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fesso\Desktop\Felipe\"/>
    </mc:Choice>
  </mc:AlternateContent>
  <xr:revisionPtr revIDLastSave="0" documentId="8_{6F070DC7-CA19-4A57-8493-CCE448171A6A}" xr6:coauthVersionLast="47" xr6:coauthVersionMax="47" xr10:uidLastSave="{00000000-0000-0000-0000-000000000000}"/>
  <bookViews>
    <workbookView xWindow="-108" yWindow="-108" windowWidth="23256" windowHeight="12456" tabRatio="706" activeTab="5" xr2:uid="{00000000-000D-0000-FFFF-FFFF00000000}"/>
  </bookViews>
  <sheets>
    <sheet name="Atualização" sheetId="13" r:id="rId1"/>
    <sheet name="Memória" sheetId="8" r:id="rId2"/>
    <sheet name="Dados" sheetId="2" r:id="rId3"/>
    <sheet name="Ligas" sheetId="1" r:id="rId4"/>
    <sheet name="Equipes" sheetId="3" r:id="rId5"/>
    <sheet name="Ranking" sheetId="4" r:id="rId6"/>
    <sheet name="Avaliação Partidas" sheetId="16" r:id="rId7"/>
    <sheet name="Confronto" sheetId="5" r:id="rId8"/>
    <sheet name="Prova Real" sheetId="11" r:id="rId9"/>
    <sheet name="Bilhetes" sheetId="7" r:id="rId10"/>
    <sheet name="Backtest" sheetId="6" r:id="rId11"/>
  </sheets>
  <definedNames>
    <definedName name="_xlnm._FilterDatabase" localSheetId="4" hidden="1">Equipes!$A$1:$Z$1</definedName>
    <definedName name="CadastroEquipes">Equipes!$A$2:$A$1000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 i="4" l="1"/>
  <c r="W2" i="4" s="1"/>
  <c r="V3" i="4"/>
  <c r="W3" i="4" s="1"/>
  <c r="V47" i="4"/>
  <c r="V48" i="4"/>
  <c r="V49" i="4"/>
  <c r="V50" i="4"/>
  <c r="V51" i="4"/>
  <c r="V52" i="4"/>
  <c r="A5" i="4" a="1"/>
  <c r="A5" i="4" s="1"/>
  <c r="G382" i="7"/>
  <c r="E383" i="7" s="1"/>
  <c r="G372" i="7"/>
  <c r="E373" i="7" s="1"/>
  <c r="C363" i="7"/>
  <c r="G362" i="7"/>
  <c r="E363" i="7" s="1"/>
  <c r="E353" i="7"/>
  <c r="C353" i="7"/>
  <c r="G352" i="7"/>
  <c r="O9" i="16"/>
  <c r="O8" i="16"/>
  <c r="O7" i="16"/>
  <c r="N9" i="16"/>
  <c r="N8" i="16"/>
  <c r="N7" i="16"/>
  <c r="O6" i="16"/>
  <c r="N6" i="16"/>
  <c r="A10" i="16"/>
  <c r="A9" i="16"/>
  <c r="A8" i="16"/>
  <c r="A7" i="16"/>
  <c r="A6" i="16"/>
  <c r="M10" i="16" a="1"/>
  <c r="M10" i="16" s="1"/>
  <c r="G10" i="16"/>
  <c r="J10" i="16" s="1"/>
  <c r="F10" i="16"/>
  <c r="E10" i="16"/>
  <c r="L10" i="16" s="1" a="1"/>
  <c r="L10" i="16" s="1"/>
  <c r="D10" i="16"/>
  <c r="M9" i="16" a="1"/>
  <c r="M9" i="16" s="1"/>
  <c r="G9" i="16"/>
  <c r="I9" i="16" s="1"/>
  <c r="F9" i="16"/>
  <c r="E9" i="16"/>
  <c r="L9" i="16" s="1" a="1"/>
  <c r="L9" i="16" s="1"/>
  <c r="D9" i="16"/>
  <c r="M8" i="16" a="1"/>
  <c r="M8" i="16" s="1"/>
  <c r="L8" i="16" a="1"/>
  <c r="L8" i="16" s="1"/>
  <c r="K8" i="16" a="1"/>
  <c r="K8" i="16" s="1"/>
  <c r="G8" i="16"/>
  <c r="H8" i="16" s="1"/>
  <c r="F8" i="16"/>
  <c r="E8" i="16"/>
  <c r="D8" i="16"/>
  <c r="M7" i="16"/>
  <c r="M7" i="16" a="1"/>
  <c r="L7" i="16" a="1"/>
  <c r="L7" i="16" s="1"/>
  <c r="K7" i="16" a="1"/>
  <c r="K7" i="16" s="1"/>
  <c r="J7" i="16"/>
  <c r="G7" i="16"/>
  <c r="I7" i="16" s="1"/>
  <c r="F7" i="16"/>
  <c r="E7" i="16"/>
  <c r="D7" i="16"/>
  <c r="M6" i="16" a="1"/>
  <c r="M6" i="16" s="1"/>
  <c r="L6" i="16" a="1"/>
  <c r="L6" i="16" s="1"/>
  <c r="K6" i="16" a="1"/>
  <c r="K6" i="16" s="1"/>
  <c r="J6" i="16"/>
  <c r="I6" i="16"/>
  <c r="H6" i="16"/>
  <c r="G6" i="16"/>
  <c r="F6" i="16"/>
  <c r="E6" i="16"/>
  <c r="D6" i="16"/>
  <c r="I10" i="13"/>
  <c r="G47" i="13"/>
  <c r="D47" i="13"/>
  <c r="G40" i="13"/>
  <c r="D40" i="13"/>
  <c r="B87" i="6"/>
  <c r="E87" i="6" s="1"/>
  <c r="B88" i="6"/>
  <c r="E88" i="6" s="1"/>
  <c r="P78" i="6"/>
  <c r="A78" i="6"/>
  <c r="F68" i="6"/>
  <c r="K68" i="6"/>
  <c r="M68" i="6"/>
  <c r="N68" i="6"/>
  <c r="O68" i="6"/>
  <c r="P68" i="6"/>
  <c r="Q68" i="6"/>
  <c r="R68" i="6"/>
  <c r="S68" i="6"/>
  <c r="T68" i="6"/>
  <c r="U68" i="6"/>
  <c r="V68" i="6"/>
  <c r="W68" i="6"/>
  <c r="X68" i="6"/>
  <c r="K69" i="6"/>
  <c r="M69" i="6"/>
  <c r="N69" i="6"/>
  <c r="O69" i="6"/>
  <c r="P69" i="6"/>
  <c r="Q69" i="6"/>
  <c r="R69" i="6"/>
  <c r="S69" i="6"/>
  <c r="T69" i="6"/>
  <c r="U69" i="6"/>
  <c r="V69" i="6"/>
  <c r="W69" i="6"/>
  <c r="X69" i="6"/>
  <c r="F70" i="6"/>
  <c r="K70" i="6"/>
  <c r="M70" i="6"/>
  <c r="N70" i="6"/>
  <c r="O70" i="6"/>
  <c r="P70" i="6"/>
  <c r="Q70" i="6"/>
  <c r="R70" i="6"/>
  <c r="S70" i="6"/>
  <c r="T70" i="6"/>
  <c r="U70" i="6"/>
  <c r="V70" i="6"/>
  <c r="W70" i="6"/>
  <c r="X70" i="6"/>
  <c r="I34" i="1"/>
  <c r="H34" i="1"/>
  <c r="B6" i="11"/>
  <c r="B5" i="11"/>
  <c r="I27" i="1"/>
  <c r="H27" i="1"/>
  <c r="S1752" i="2"/>
  <c r="S1751" i="2"/>
  <c r="S1750" i="2"/>
  <c r="S1749" i="2"/>
  <c r="S1748" i="2"/>
  <c r="S1747" i="2"/>
  <c r="S1746" i="2"/>
  <c r="S1745" i="2"/>
  <c r="S1744" i="2"/>
  <c r="S1743" i="2"/>
  <c r="S1742" i="2"/>
  <c r="S1741" i="2"/>
  <c r="S1740" i="2"/>
  <c r="S1739" i="2"/>
  <c r="S1738" i="2"/>
  <c r="S1737" i="2"/>
  <c r="S1736" i="2"/>
  <c r="S1735" i="2"/>
  <c r="S1734" i="2"/>
  <c r="S1733" i="2"/>
  <c r="S1732" i="2"/>
  <c r="S1731" i="2"/>
  <c r="S1730" i="2"/>
  <c r="S1729" i="2"/>
  <c r="S1728" i="2"/>
  <c r="S1727" i="2"/>
  <c r="S1726" i="2"/>
  <c r="S1725" i="2"/>
  <c r="S1724" i="2"/>
  <c r="S1723" i="2"/>
  <c r="S1722" i="2"/>
  <c r="S1721" i="2"/>
  <c r="S1720" i="2"/>
  <c r="S1719" i="2"/>
  <c r="S1718" i="2"/>
  <c r="S1717" i="2"/>
  <c r="S1716" i="2"/>
  <c r="S1715" i="2"/>
  <c r="S1714" i="2"/>
  <c r="S1713" i="2"/>
  <c r="S1712" i="2"/>
  <c r="S1711" i="2"/>
  <c r="S1710" i="2"/>
  <c r="S1709" i="2"/>
  <c r="S1708" i="2"/>
  <c r="S1707" i="2"/>
  <c r="S1706" i="2"/>
  <c r="S1705" i="2"/>
  <c r="S1704" i="2"/>
  <c r="S1703" i="2"/>
  <c r="S1702" i="2"/>
  <c r="S1701" i="2"/>
  <c r="X67" i="6"/>
  <c r="W67" i="6"/>
  <c r="V67" i="6"/>
  <c r="U67" i="6"/>
  <c r="T67" i="6"/>
  <c r="S67" i="6"/>
  <c r="R67" i="6"/>
  <c r="Q67" i="6"/>
  <c r="P67" i="6"/>
  <c r="O67" i="6"/>
  <c r="N67" i="6"/>
  <c r="X66" i="6"/>
  <c r="W66" i="6"/>
  <c r="V66" i="6"/>
  <c r="U66" i="6"/>
  <c r="T66" i="6"/>
  <c r="S66" i="6"/>
  <c r="R66" i="6"/>
  <c r="Q66" i="6"/>
  <c r="P66" i="6"/>
  <c r="O66" i="6"/>
  <c r="N66" i="6"/>
  <c r="X65" i="6"/>
  <c r="W65" i="6"/>
  <c r="V65" i="6"/>
  <c r="U65" i="6"/>
  <c r="T65" i="6"/>
  <c r="S65" i="6"/>
  <c r="R65" i="6"/>
  <c r="Q65" i="6"/>
  <c r="P65" i="6"/>
  <c r="O65" i="6"/>
  <c r="N65" i="6"/>
  <c r="X64" i="6"/>
  <c r="W64" i="6"/>
  <c r="V64" i="6"/>
  <c r="U64" i="6"/>
  <c r="T64" i="6"/>
  <c r="S64" i="6"/>
  <c r="R64" i="6"/>
  <c r="Q64" i="6"/>
  <c r="P64" i="6"/>
  <c r="O64" i="6"/>
  <c r="N64" i="6"/>
  <c r="X63" i="6"/>
  <c r="W63" i="6"/>
  <c r="V63" i="6"/>
  <c r="U63" i="6"/>
  <c r="T63" i="6"/>
  <c r="S63" i="6"/>
  <c r="R63" i="6"/>
  <c r="Q63" i="6"/>
  <c r="P63" i="6"/>
  <c r="O63" i="6"/>
  <c r="N63" i="6"/>
  <c r="X62" i="6"/>
  <c r="W62" i="6"/>
  <c r="V62" i="6"/>
  <c r="U62" i="6"/>
  <c r="T62" i="6"/>
  <c r="S62" i="6"/>
  <c r="R62" i="6"/>
  <c r="Q62" i="6"/>
  <c r="P62" i="6"/>
  <c r="O62" i="6"/>
  <c r="N62" i="6"/>
  <c r="X61" i="6"/>
  <c r="W61" i="6"/>
  <c r="V61" i="6"/>
  <c r="U61" i="6"/>
  <c r="T61" i="6"/>
  <c r="S61" i="6"/>
  <c r="R61" i="6"/>
  <c r="Q61" i="6"/>
  <c r="P61" i="6"/>
  <c r="O61" i="6"/>
  <c r="N61" i="6"/>
  <c r="X60" i="6"/>
  <c r="W60" i="6"/>
  <c r="V60" i="6"/>
  <c r="U60" i="6"/>
  <c r="T60" i="6"/>
  <c r="S60" i="6"/>
  <c r="R60" i="6"/>
  <c r="Q60" i="6"/>
  <c r="P60" i="6"/>
  <c r="O60" i="6"/>
  <c r="N60" i="6"/>
  <c r="X59" i="6"/>
  <c r="W59" i="6"/>
  <c r="V59" i="6"/>
  <c r="U59" i="6"/>
  <c r="T59" i="6"/>
  <c r="S59" i="6"/>
  <c r="R59" i="6"/>
  <c r="Q59" i="6"/>
  <c r="P59" i="6"/>
  <c r="O59" i="6"/>
  <c r="N59" i="6"/>
  <c r="X58" i="6"/>
  <c r="W58" i="6"/>
  <c r="V58" i="6"/>
  <c r="U58" i="6"/>
  <c r="T58" i="6"/>
  <c r="S58" i="6"/>
  <c r="R58" i="6"/>
  <c r="Q58" i="6"/>
  <c r="P58" i="6"/>
  <c r="O58" i="6"/>
  <c r="N58" i="6"/>
  <c r="X57" i="6"/>
  <c r="W57" i="6"/>
  <c r="V57" i="6"/>
  <c r="U57" i="6"/>
  <c r="T57" i="6"/>
  <c r="S57" i="6"/>
  <c r="R57" i="6"/>
  <c r="Q57" i="6"/>
  <c r="P57" i="6"/>
  <c r="O57" i="6"/>
  <c r="N57" i="6"/>
  <c r="X56" i="6"/>
  <c r="W56" i="6"/>
  <c r="V56" i="6"/>
  <c r="U56" i="6"/>
  <c r="T56" i="6"/>
  <c r="S56" i="6"/>
  <c r="R56" i="6"/>
  <c r="Q56" i="6"/>
  <c r="P56" i="6"/>
  <c r="O56" i="6"/>
  <c r="N56" i="6"/>
  <c r="X55" i="6"/>
  <c r="W55" i="6"/>
  <c r="V55" i="6"/>
  <c r="U55" i="6"/>
  <c r="T55" i="6"/>
  <c r="S55" i="6"/>
  <c r="R55" i="6"/>
  <c r="Q55" i="6"/>
  <c r="P55" i="6"/>
  <c r="O55" i="6"/>
  <c r="N55" i="6"/>
  <c r="X54" i="6"/>
  <c r="W54" i="6"/>
  <c r="V54" i="6"/>
  <c r="U54" i="6"/>
  <c r="T54" i="6"/>
  <c r="S54" i="6"/>
  <c r="R54" i="6"/>
  <c r="Q54" i="6"/>
  <c r="P54" i="6"/>
  <c r="O54" i="6"/>
  <c r="N54" i="6"/>
  <c r="M67" i="6"/>
  <c r="M66" i="6"/>
  <c r="M65" i="6"/>
  <c r="M64" i="6"/>
  <c r="M63" i="6"/>
  <c r="M62" i="6"/>
  <c r="M61" i="6"/>
  <c r="M60" i="6"/>
  <c r="M59" i="6"/>
  <c r="M58" i="6"/>
  <c r="M57" i="6"/>
  <c r="M56" i="6"/>
  <c r="M55" i="6"/>
  <c r="M54" i="6"/>
  <c r="K67" i="6"/>
  <c r="K66" i="6"/>
  <c r="K65" i="6"/>
  <c r="K64" i="6"/>
  <c r="K63" i="6"/>
  <c r="K62" i="6"/>
  <c r="K61" i="6"/>
  <c r="K60" i="6"/>
  <c r="K59" i="6"/>
  <c r="K58" i="6"/>
  <c r="K57" i="6"/>
  <c r="K56" i="6"/>
  <c r="K55" i="6"/>
  <c r="K54" i="6"/>
  <c r="F67" i="6"/>
  <c r="F66" i="6"/>
  <c r="F65" i="6"/>
  <c r="F64" i="6"/>
  <c r="F63" i="6"/>
  <c r="F62" i="6"/>
  <c r="F61" i="6"/>
  <c r="F59" i="6"/>
  <c r="F58" i="6"/>
  <c r="F57" i="6"/>
  <c r="F56" i="6"/>
  <c r="F55" i="6"/>
  <c r="F54" i="6"/>
  <c r="G342" i="7"/>
  <c r="C343" i="7" s="1"/>
  <c r="E343" i="7" s="1"/>
  <c r="H341" i="7"/>
  <c r="I7" i="1"/>
  <c r="H7" i="1"/>
  <c r="S2754" i="2"/>
  <c r="S2753" i="2"/>
  <c r="S2752" i="2"/>
  <c r="S2751" i="2"/>
  <c r="S2750" i="2"/>
  <c r="S2749" i="2"/>
  <c r="S2748" i="2"/>
  <c r="S2747" i="2"/>
  <c r="S2746" i="2"/>
  <c r="S2745" i="2"/>
  <c r="S2744" i="2"/>
  <c r="S2743" i="2"/>
  <c r="S2742" i="2"/>
  <c r="S2741" i="2"/>
  <c r="S2740" i="2"/>
  <c r="S2739" i="2"/>
  <c r="S2738" i="2"/>
  <c r="S2737" i="2"/>
  <c r="S2736" i="2"/>
  <c r="S2735" i="2"/>
  <c r="S2734" i="2"/>
  <c r="S2733" i="2"/>
  <c r="S2732" i="2"/>
  <c r="S2731" i="2"/>
  <c r="S2730" i="2"/>
  <c r="S2729" i="2"/>
  <c r="S2728" i="2"/>
  <c r="S2727" i="2"/>
  <c r="S2726" i="2"/>
  <c r="S2725" i="2"/>
  <c r="S2724" i="2"/>
  <c r="S2723" i="2"/>
  <c r="S2721" i="2"/>
  <c r="S2720" i="2"/>
  <c r="S2719" i="2"/>
  <c r="S2718" i="2"/>
  <c r="S2717" i="2"/>
  <c r="S2716" i="2"/>
  <c r="S2715" i="2"/>
  <c r="S2714" i="2"/>
  <c r="G332" i="7"/>
  <c r="H331" i="7"/>
  <c r="G322" i="7"/>
  <c r="C323" i="7" s="1"/>
  <c r="E323" i="7" s="1"/>
  <c r="H321" i="7"/>
  <c r="S1700" i="2"/>
  <c r="S1699" i="2"/>
  <c r="S1698" i="2"/>
  <c r="S1697" i="2"/>
  <c r="S1696" i="2"/>
  <c r="S1695" i="2"/>
  <c r="S1694" i="2"/>
  <c r="S1693" i="2"/>
  <c r="S1692" i="2"/>
  <c r="S1691" i="2"/>
  <c r="S1690" i="2"/>
  <c r="S1689" i="2"/>
  <c r="S1688" i="2"/>
  <c r="S1687" i="2"/>
  <c r="S1686" i="2"/>
  <c r="S1685" i="2"/>
  <c r="S1684" i="2"/>
  <c r="S1683" i="2"/>
  <c r="S1682" i="2"/>
  <c r="S1681" i="2"/>
  <c r="S1680" i="2"/>
  <c r="S1679" i="2"/>
  <c r="S1678" i="2"/>
  <c r="S1677" i="2"/>
  <c r="S1676" i="2"/>
  <c r="S1675" i="2"/>
  <c r="S1674" i="2"/>
  <c r="S1673" i="2"/>
  <c r="S1672" i="2"/>
  <c r="S1671" i="2"/>
  <c r="S1670" i="2"/>
  <c r="S1669" i="2"/>
  <c r="S1668" i="2"/>
  <c r="S1667" i="2"/>
  <c r="S1666" i="2"/>
  <c r="S1665" i="2"/>
  <c r="S1664" i="2"/>
  <c r="S1663" i="2"/>
  <c r="S1662" i="2"/>
  <c r="S1661" i="2"/>
  <c r="S1660" i="2"/>
  <c r="S1659" i="2"/>
  <c r="S1658" i="2"/>
  <c r="S1657" i="2"/>
  <c r="S1656" i="2"/>
  <c r="S1655" i="2"/>
  <c r="S1654" i="2"/>
  <c r="S1653" i="2"/>
  <c r="S1652" i="2"/>
  <c r="S1651" i="2"/>
  <c r="S1650" i="2"/>
  <c r="S1649" i="2"/>
  <c r="S1648" i="2"/>
  <c r="S1647" i="2"/>
  <c r="S1646" i="2"/>
  <c r="S1645" i="2"/>
  <c r="S1644" i="2"/>
  <c r="S1643" i="2"/>
  <c r="S1642" i="2"/>
  <c r="S1641" i="2"/>
  <c r="S1640" i="2"/>
  <c r="S1639" i="2"/>
  <c r="S1638" i="2"/>
  <c r="S1637" i="2"/>
  <c r="S1636" i="2"/>
  <c r="S1635" i="2"/>
  <c r="S1634" i="2"/>
  <c r="S1633" i="2"/>
  <c r="S1632" i="2"/>
  <c r="S1631" i="2"/>
  <c r="S1630" i="2"/>
  <c r="S1629" i="2"/>
  <c r="S1628" i="2"/>
  <c r="S1627" i="2"/>
  <c r="S1626" i="2"/>
  <c r="S1625" i="2"/>
  <c r="S1624" i="2"/>
  <c r="S1623" i="2"/>
  <c r="S1622" i="2"/>
  <c r="S1621" i="2"/>
  <c r="S1620" i="2"/>
  <c r="S1619" i="2"/>
  <c r="S1618" i="2"/>
  <c r="S1617" i="2"/>
  <c r="S1616" i="2"/>
  <c r="S1615" i="2"/>
  <c r="S1614" i="2"/>
  <c r="S1613" i="2"/>
  <c r="S1612" i="2"/>
  <c r="S1611" i="2"/>
  <c r="S1610" i="2"/>
  <c r="S1609" i="2"/>
  <c r="S1608" i="2"/>
  <c r="S1607" i="2"/>
  <c r="S1606" i="2"/>
  <c r="S1605" i="2"/>
  <c r="S1604" i="2"/>
  <c r="S1603" i="2"/>
  <c r="S1602" i="2"/>
  <c r="S1601" i="2"/>
  <c r="S1600" i="2"/>
  <c r="S1599" i="2"/>
  <c r="S1598" i="2"/>
  <c r="S1597" i="2"/>
  <c r="S1596" i="2"/>
  <c r="S1595" i="2"/>
  <c r="S1594" i="2"/>
  <c r="S1593" i="2"/>
  <c r="S1592" i="2"/>
  <c r="S1591" i="2"/>
  <c r="S1590" i="2"/>
  <c r="S1589" i="2"/>
  <c r="S1588" i="2"/>
  <c r="S1587" i="2"/>
  <c r="S1586" i="2"/>
  <c r="S1585" i="2"/>
  <c r="S1584" i="2"/>
  <c r="S1583" i="2"/>
  <c r="G312" i="7"/>
  <c r="S1582" i="2"/>
  <c r="S1581" i="2"/>
  <c r="S1580" i="2"/>
  <c r="S1579" i="2"/>
  <c r="S1578" i="2"/>
  <c r="S1577" i="2"/>
  <c r="S1576" i="2"/>
  <c r="S1575" i="2"/>
  <c r="S1574" i="2"/>
  <c r="S1573" i="2"/>
  <c r="S1572" i="2"/>
  <c r="S1571" i="2"/>
  <c r="S1570" i="2"/>
  <c r="S1569" i="2"/>
  <c r="S1568" i="2"/>
  <c r="S1567" i="2"/>
  <c r="S1566" i="2"/>
  <c r="S1565" i="2"/>
  <c r="S1564" i="2"/>
  <c r="S1563" i="2"/>
  <c r="S1562" i="2"/>
  <c r="S1561" i="2"/>
  <c r="S1560" i="2"/>
  <c r="S1559" i="2"/>
  <c r="S1558" i="2"/>
  <c r="S1557" i="2"/>
  <c r="S1556" i="2"/>
  <c r="S1555" i="2"/>
  <c r="S1554" i="2"/>
  <c r="S1553" i="2"/>
  <c r="S1552" i="2"/>
  <c r="S1551" i="2"/>
  <c r="S1550" i="2"/>
  <c r="S1549" i="2"/>
  <c r="S1548" i="2"/>
  <c r="S1547" i="2"/>
  <c r="S1546" i="2"/>
  <c r="S1545" i="2"/>
  <c r="S1544" i="2"/>
  <c r="S1543" i="2"/>
  <c r="S1542" i="2"/>
  <c r="S1541" i="2"/>
  <c r="S1540" i="2"/>
  <c r="S1539" i="2"/>
  <c r="S1538" i="2"/>
  <c r="S1537" i="2"/>
  <c r="S1536" i="2"/>
  <c r="S1535" i="2"/>
  <c r="S1534" i="2"/>
  <c r="S1533" i="2"/>
  <c r="S1532" i="2"/>
  <c r="S1531" i="2"/>
  <c r="S1530" i="2"/>
  <c r="S1529" i="2"/>
  <c r="S1528" i="2"/>
  <c r="S1527" i="2"/>
  <c r="S1526" i="2"/>
  <c r="S1525" i="2"/>
  <c r="S1524" i="2"/>
  <c r="S1523" i="2"/>
  <c r="S1522" i="2"/>
  <c r="S1521" i="2"/>
  <c r="S1520" i="2"/>
  <c r="S1519" i="2"/>
  <c r="S1518" i="2"/>
  <c r="S1517" i="2"/>
  <c r="S1516" i="2"/>
  <c r="S1515" i="2"/>
  <c r="S1514" i="2"/>
  <c r="S1513" i="2"/>
  <c r="S1512" i="2"/>
  <c r="S1511" i="2"/>
  <c r="S1510" i="2"/>
  <c r="S1509" i="2"/>
  <c r="S1508" i="2"/>
  <c r="S1507" i="2"/>
  <c r="S1506" i="2"/>
  <c r="S1505" i="2"/>
  <c r="S1504" i="2"/>
  <c r="S1503" i="2"/>
  <c r="S1502" i="2"/>
  <c r="S1501" i="2"/>
  <c r="S1500" i="2"/>
  <c r="S1499" i="2"/>
  <c r="S1498" i="2"/>
  <c r="S1497" i="2"/>
  <c r="S1496" i="2"/>
  <c r="S1495" i="2"/>
  <c r="S1494" i="2"/>
  <c r="S1493" i="2"/>
  <c r="S1492" i="2"/>
  <c r="S1491" i="2"/>
  <c r="S1490" i="2"/>
  <c r="S1489" i="2"/>
  <c r="S1488" i="2"/>
  <c r="S1487" i="2"/>
  <c r="S1486" i="2"/>
  <c r="S1485" i="2"/>
  <c r="S1484" i="2"/>
  <c r="S1483" i="2"/>
  <c r="S1482" i="2"/>
  <c r="S1481" i="2"/>
  <c r="S1480" i="2"/>
  <c r="S1479" i="2"/>
  <c r="S1478" i="2"/>
  <c r="S1477" i="2"/>
  <c r="S1476" i="2"/>
  <c r="S1475" i="2"/>
  <c r="S1474" i="2"/>
  <c r="S1473" i="2"/>
  <c r="S1472" i="2"/>
  <c r="S1471" i="2"/>
  <c r="S1470" i="2"/>
  <c r="S1469" i="2"/>
  <c r="S1468" i="2"/>
  <c r="S1467" i="2"/>
  <c r="S1466" i="2"/>
  <c r="S1465" i="2"/>
  <c r="S1464" i="2"/>
  <c r="S1463" i="2"/>
  <c r="S1462" i="2"/>
  <c r="S1461" i="2"/>
  <c r="S1460" i="2"/>
  <c r="S1459" i="2"/>
  <c r="S1458" i="2"/>
  <c r="S1457" i="2"/>
  <c r="S1456" i="2"/>
  <c r="S1455" i="2"/>
  <c r="S1454" i="2"/>
  <c r="S1453" i="2"/>
  <c r="S1452" i="2"/>
  <c r="S1451" i="2"/>
  <c r="S1450" i="2"/>
  <c r="S1449" i="2"/>
  <c r="S1448" i="2"/>
  <c r="S1447" i="2"/>
  <c r="S1446" i="2"/>
  <c r="S1445" i="2"/>
  <c r="S1444" i="2"/>
  <c r="S1443" i="2"/>
  <c r="S1442" i="2"/>
  <c r="S1441" i="2"/>
  <c r="S1440" i="2"/>
  <c r="S1439" i="2"/>
  <c r="S1438" i="2"/>
  <c r="S1437" i="2"/>
  <c r="S1436" i="2"/>
  <c r="S1435" i="2"/>
  <c r="S1434" i="2"/>
  <c r="S1433" i="2"/>
  <c r="S1432" i="2"/>
  <c r="S1431" i="2"/>
  <c r="S1430" i="2"/>
  <c r="S1429" i="2"/>
  <c r="S1428" i="2"/>
  <c r="S1427" i="2"/>
  <c r="S1426" i="2"/>
  <c r="S1425" i="2"/>
  <c r="S1424" i="2"/>
  <c r="S1423" i="2"/>
  <c r="S1422" i="2"/>
  <c r="S1421" i="2"/>
  <c r="S1420" i="2"/>
  <c r="S1419" i="2"/>
  <c r="S1418" i="2"/>
  <c r="S1417" i="2"/>
  <c r="S1416" i="2"/>
  <c r="S1415" i="2"/>
  <c r="S1414" i="2"/>
  <c r="S1413" i="2"/>
  <c r="S1412" i="2"/>
  <c r="S1411" i="2"/>
  <c r="S1410" i="2"/>
  <c r="S1409" i="2"/>
  <c r="S1408" i="2"/>
  <c r="S1407" i="2"/>
  <c r="S1406" i="2"/>
  <c r="S1405" i="2"/>
  <c r="S1404" i="2"/>
  <c r="S1403" i="2"/>
  <c r="S1402" i="2"/>
  <c r="S1401" i="2"/>
  <c r="S1400" i="2"/>
  <c r="S1399" i="2"/>
  <c r="S1398" i="2"/>
  <c r="S1397" i="2"/>
  <c r="S1396" i="2"/>
  <c r="S1395" i="2"/>
  <c r="S1394" i="2"/>
  <c r="S1393" i="2"/>
  <c r="S1392" i="2"/>
  <c r="S1391" i="2"/>
  <c r="S1390" i="2"/>
  <c r="S1389" i="2"/>
  <c r="S1388" i="2"/>
  <c r="S1387" i="2"/>
  <c r="S1386" i="2"/>
  <c r="S1385" i="2"/>
  <c r="S1384" i="2"/>
  <c r="S1383" i="2"/>
  <c r="S1382" i="2"/>
  <c r="S1381" i="2"/>
  <c r="S1380" i="2"/>
  <c r="S1379" i="2"/>
  <c r="S1378" i="2"/>
  <c r="S1377" i="2"/>
  <c r="S1376" i="2"/>
  <c r="S1375" i="2"/>
  <c r="S1374" i="2"/>
  <c r="S1373" i="2"/>
  <c r="S1372" i="2"/>
  <c r="S1371" i="2"/>
  <c r="S1370" i="2"/>
  <c r="S1369" i="2"/>
  <c r="S1368" i="2"/>
  <c r="S1367" i="2"/>
  <c r="S1366" i="2"/>
  <c r="S1365" i="2"/>
  <c r="S1364" i="2"/>
  <c r="S1363" i="2"/>
  <c r="S1362" i="2"/>
  <c r="S1361" i="2"/>
  <c r="S1360" i="2"/>
  <c r="S1359" i="2"/>
  <c r="S1358" i="2"/>
  <c r="S1357" i="2"/>
  <c r="S1356" i="2"/>
  <c r="S1355" i="2"/>
  <c r="S1354" i="2"/>
  <c r="S1353" i="2"/>
  <c r="S1352" i="2"/>
  <c r="S1351" i="2"/>
  <c r="S1350" i="2"/>
  <c r="S1349" i="2"/>
  <c r="S1348" i="2"/>
  <c r="S1347" i="2"/>
  <c r="S1346" i="2"/>
  <c r="S1345" i="2"/>
  <c r="S1344" i="2"/>
  <c r="S1343" i="2"/>
  <c r="S1342" i="2"/>
  <c r="S1341" i="2"/>
  <c r="S1340" i="2"/>
  <c r="S1339" i="2"/>
  <c r="S1338" i="2"/>
  <c r="S1337" i="2"/>
  <c r="S1336" i="2"/>
  <c r="S1335" i="2"/>
  <c r="S1334" i="2"/>
  <c r="S1333" i="2"/>
  <c r="S1332" i="2"/>
  <c r="S1331" i="2"/>
  <c r="S1330" i="2"/>
  <c r="S1329" i="2"/>
  <c r="S1328" i="2"/>
  <c r="S1327" i="2"/>
  <c r="S1326" i="2"/>
  <c r="S1325" i="2"/>
  <c r="S1324" i="2"/>
  <c r="S1323" i="2"/>
  <c r="S1322" i="2"/>
  <c r="S1321" i="2"/>
  <c r="S1320" i="2"/>
  <c r="S1319" i="2"/>
  <c r="S1318" i="2"/>
  <c r="S1317" i="2"/>
  <c r="S1316" i="2"/>
  <c r="S1315" i="2"/>
  <c r="S1314" i="2"/>
  <c r="S1313" i="2"/>
  <c r="S1312" i="2"/>
  <c r="S1311" i="2"/>
  <c r="S1310" i="2"/>
  <c r="S1309" i="2"/>
  <c r="S1308" i="2"/>
  <c r="S1307" i="2"/>
  <c r="S1306" i="2"/>
  <c r="S54" i="2"/>
  <c r="S52" i="2"/>
  <c r="S51" i="2"/>
  <c r="S36" i="2"/>
  <c r="I32" i="1"/>
  <c r="H32" i="1"/>
  <c r="I31" i="1"/>
  <c r="H31" i="1"/>
  <c r="I30" i="1"/>
  <c r="H30" i="1"/>
  <c r="G302" i="7"/>
  <c r="C303" i="7" s="1"/>
  <c r="E303" i="7" s="1"/>
  <c r="H301" i="7"/>
  <c r="G292" i="7"/>
  <c r="C293" i="7" s="1"/>
  <c r="E293" i="7" s="1"/>
  <c r="H291" i="7"/>
  <c r="G282" i="7"/>
  <c r="C283" i="7" s="1"/>
  <c r="E283" i="7" s="1"/>
  <c r="H281" i="7"/>
  <c r="G272" i="7"/>
  <c r="C273" i="7" s="1"/>
  <c r="E273" i="7" s="1"/>
  <c r="H271" i="7"/>
  <c r="G262" i="7"/>
  <c r="C263" i="7" s="1"/>
  <c r="E263" i="7" s="1"/>
  <c r="H261" i="7"/>
  <c r="G252" i="7"/>
  <c r="C253" i="7" s="1"/>
  <c r="E253" i="7" s="1"/>
  <c r="H251" i="7"/>
  <c r="G242" i="7"/>
  <c r="G232" i="7"/>
  <c r="C233" i="7" s="1"/>
  <c r="E233" i="7" s="1"/>
  <c r="H231" i="7"/>
  <c r="G222" i="7"/>
  <c r="C223" i="7" s="1"/>
  <c r="E223" i="7" s="1"/>
  <c r="H221" i="7"/>
  <c r="G212" i="7"/>
  <c r="C213" i="7" s="1"/>
  <c r="E213" i="7" s="1"/>
  <c r="H211" i="7"/>
  <c r="I1000" i="3" a="1"/>
  <c r="I1000" i="3" s="1"/>
  <c r="I999" i="3" a="1"/>
  <c r="I999" i="3" s="1"/>
  <c r="I998" i="3" a="1"/>
  <c r="I998" i="3" s="1"/>
  <c r="I997" i="3" a="1"/>
  <c r="I997" i="3" s="1"/>
  <c r="I996" i="3" a="1"/>
  <c r="I996" i="3" s="1"/>
  <c r="I995" i="3" a="1"/>
  <c r="I995" i="3" s="1"/>
  <c r="I994" i="3" a="1"/>
  <c r="I994" i="3" s="1"/>
  <c r="I993" i="3" a="1"/>
  <c r="I993" i="3" s="1"/>
  <c r="I992" i="3" a="1"/>
  <c r="I992" i="3" s="1"/>
  <c r="I991" i="3" a="1"/>
  <c r="I991" i="3" s="1"/>
  <c r="I990" i="3" a="1"/>
  <c r="I990" i="3" s="1"/>
  <c r="I989" i="3" a="1"/>
  <c r="I989" i="3" s="1"/>
  <c r="I988" i="3" a="1"/>
  <c r="I988" i="3" s="1"/>
  <c r="I987" i="3" a="1"/>
  <c r="I987" i="3" s="1"/>
  <c r="I986" i="3" a="1"/>
  <c r="I986" i="3" s="1"/>
  <c r="I985" i="3" a="1"/>
  <c r="I985" i="3" s="1"/>
  <c r="I984" i="3" a="1"/>
  <c r="I984" i="3" s="1"/>
  <c r="I983" i="3" a="1"/>
  <c r="I983" i="3" s="1"/>
  <c r="I982" i="3" a="1"/>
  <c r="I982" i="3" s="1"/>
  <c r="I981" i="3" a="1"/>
  <c r="I981" i="3" s="1"/>
  <c r="I980" i="3" a="1"/>
  <c r="I980" i="3" s="1"/>
  <c r="I979" i="3" a="1"/>
  <c r="I979" i="3" s="1"/>
  <c r="I978" i="3" a="1"/>
  <c r="I978" i="3" s="1"/>
  <c r="I977" i="3" a="1"/>
  <c r="I977" i="3" s="1"/>
  <c r="I976" i="3" a="1"/>
  <c r="I976" i="3" s="1"/>
  <c r="I975" i="3" a="1"/>
  <c r="I975" i="3" s="1"/>
  <c r="I974" i="3" a="1"/>
  <c r="I974" i="3" s="1"/>
  <c r="I973" i="3" a="1"/>
  <c r="I973" i="3" s="1"/>
  <c r="I972" i="3" a="1"/>
  <c r="I972" i="3" s="1"/>
  <c r="I971" i="3" a="1"/>
  <c r="I971" i="3" s="1"/>
  <c r="I970" i="3" a="1"/>
  <c r="I970" i="3" s="1"/>
  <c r="I969" i="3" a="1"/>
  <c r="I969" i="3" s="1"/>
  <c r="I968" i="3" a="1"/>
  <c r="I968" i="3" s="1"/>
  <c r="I967" i="3" a="1"/>
  <c r="I967" i="3" s="1"/>
  <c r="I966" i="3" a="1"/>
  <c r="I966" i="3" s="1"/>
  <c r="I965" i="3" a="1"/>
  <c r="I965" i="3" s="1"/>
  <c r="I964" i="3" a="1"/>
  <c r="I964" i="3" s="1"/>
  <c r="I963" i="3" a="1"/>
  <c r="I963" i="3" s="1"/>
  <c r="I962" i="3" a="1"/>
  <c r="I962" i="3" s="1"/>
  <c r="I961" i="3" a="1"/>
  <c r="I961" i="3" s="1"/>
  <c r="I960" i="3" a="1"/>
  <c r="I960" i="3" s="1"/>
  <c r="I959" i="3" a="1"/>
  <c r="I959" i="3" s="1"/>
  <c r="I958" i="3" a="1"/>
  <c r="I958" i="3" s="1"/>
  <c r="I957" i="3" a="1"/>
  <c r="I957" i="3" s="1"/>
  <c r="I956" i="3" a="1"/>
  <c r="I956" i="3" s="1"/>
  <c r="I955" i="3" a="1"/>
  <c r="I955" i="3" s="1"/>
  <c r="I954" i="3" a="1"/>
  <c r="I954" i="3" s="1"/>
  <c r="I953" i="3" a="1"/>
  <c r="I953" i="3" s="1"/>
  <c r="I952" i="3" a="1"/>
  <c r="I952" i="3" s="1"/>
  <c r="I951" i="3" a="1"/>
  <c r="I951" i="3" s="1"/>
  <c r="I950" i="3" a="1"/>
  <c r="I950" i="3" s="1"/>
  <c r="I949" i="3" a="1"/>
  <c r="I949" i="3" s="1"/>
  <c r="I948" i="3" a="1"/>
  <c r="I948" i="3" s="1"/>
  <c r="I947" i="3" a="1"/>
  <c r="I947" i="3" s="1"/>
  <c r="I946" i="3" a="1"/>
  <c r="I946" i="3" s="1"/>
  <c r="I945" i="3" a="1"/>
  <c r="I945" i="3" s="1"/>
  <c r="I944" i="3" a="1"/>
  <c r="I944" i="3" s="1"/>
  <c r="I943" i="3" a="1"/>
  <c r="I943" i="3" s="1"/>
  <c r="I942" i="3" a="1"/>
  <c r="I942" i="3" s="1"/>
  <c r="I941" i="3" a="1"/>
  <c r="I941" i="3" s="1"/>
  <c r="I940" i="3" a="1"/>
  <c r="I940" i="3" s="1"/>
  <c r="I939" i="3" a="1"/>
  <c r="I939" i="3" s="1"/>
  <c r="I938" i="3" a="1"/>
  <c r="I938" i="3" s="1"/>
  <c r="I937" i="3" a="1"/>
  <c r="I937" i="3" s="1"/>
  <c r="I936" i="3" a="1"/>
  <c r="I936" i="3" s="1"/>
  <c r="I935" i="3" a="1"/>
  <c r="I935" i="3" s="1"/>
  <c r="I934" i="3" a="1"/>
  <c r="I934" i="3" s="1"/>
  <c r="I933" i="3" a="1"/>
  <c r="I933" i="3" s="1"/>
  <c r="I932" i="3" a="1"/>
  <c r="I932" i="3" s="1"/>
  <c r="I931" i="3" a="1"/>
  <c r="I931" i="3" s="1"/>
  <c r="I930" i="3" a="1"/>
  <c r="I930" i="3" s="1"/>
  <c r="I929" i="3" a="1"/>
  <c r="I929" i="3" s="1"/>
  <c r="I928" i="3" a="1"/>
  <c r="I928" i="3" s="1"/>
  <c r="I927" i="3" a="1"/>
  <c r="I927" i="3" s="1"/>
  <c r="I926" i="3" a="1"/>
  <c r="I926" i="3" s="1"/>
  <c r="I925" i="3" a="1"/>
  <c r="I925" i="3" s="1"/>
  <c r="I924" i="3" a="1"/>
  <c r="I924" i="3" s="1"/>
  <c r="I923" i="3" a="1"/>
  <c r="I923" i="3" s="1"/>
  <c r="I922" i="3" a="1"/>
  <c r="I922" i="3" s="1"/>
  <c r="I921" i="3" a="1"/>
  <c r="I921" i="3" s="1"/>
  <c r="I920" i="3" a="1"/>
  <c r="I920" i="3" s="1"/>
  <c r="I919" i="3" a="1"/>
  <c r="I919" i="3" s="1"/>
  <c r="I918" i="3" a="1"/>
  <c r="I918" i="3" s="1"/>
  <c r="I917" i="3" a="1"/>
  <c r="I917" i="3" s="1"/>
  <c r="I916" i="3" a="1"/>
  <c r="I916" i="3" s="1"/>
  <c r="I915" i="3" a="1"/>
  <c r="I915" i="3" s="1"/>
  <c r="I914" i="3" a="1"/>
  <c r="I914" i="3" s="1"/>
  <c r="I913" i="3" a="1"/>
  <c r="I913" i="3" s="1"/>
  <c r="I912" i="3" a="1"/>
  <c r="I912" i="3" s="1"/>
  <c r="I911" i="3" a="1"/>
  <c r="I911" i="3" s="1"/>
  <c r="I910" i="3" a="1"/>
  <c r="I910" i="3" s="1"/>
  <c r="I909" i="3" a="1"/>
  <c r="I909" i="3" s="1"/>
  <c r="I908" i="3" a="1"/>
  <c r="I908" i="3" s="1"/>
  <c r="I907" i="3" a="1"/>
  <c r="I907" i="3" s="1"/>
  <c r="I906" i="3" a="1"/>
  <c r="I906" i="3" s="1"/>
  <c r="I905" i="3" a="1"/>
  <c r="I905" i="3" s="1"/>
  <c r="I904" i="3" a="1"/>
  <c r="I904" i="3" s="1"/>
  <c r="I903" i="3" a="1"/>
  <c r="I903" i="3" s="1"/>
  <c r="I902" i="3" a="1"/>
  <c r="I902" i="3" s="1"/>
  <c r="I901" i="3" a="1"/>
  <c r="I901" i="3" s="1"/>
  <c r="I900" i="3" a="1"/>
  <c r="I900" i="3" s="1"/>
  <c r="I899" i="3" a="1"/>
  <c r="I899" i="3" s="1"/>
  <c r="I898" i="3" a="1"/>
  <c r="I898" i="3" s="1"/>
  <c r="I897" i="3" a="1"/>
  <c r="I897" i="3" s="1"/>
  <c r="I896" i="3" a="1"/>
  <c r="I896" i="3" s="1"/>
  <c r="I895" i="3" a="1"/>
  <c r="I895" i="3" s="1"/>
  <c r="I894" i="3" a="1"/>
  <c r="I894" i="3" s="1"/>
  <c r="I893" i="3" a="1"/>
  <c r="I893" i="3" s="1"/>
  <c r="I892" i="3" a="1"/>
  <c r="I892" i="3" s="1"/>
  <c r="I891" i="3" a="1"/>
  <c r="I891" i="3" s="1"/>
  <c r="I890" i="3" a="1"/>
  <c r="I890" i="3" s="1"/>
  <c r="I889" i="3" a="1"/>
  <c r="I889" i="3" s="1"/>
  <c r="I888" i="3" a="1"/>
  <c r="I888" i="3" s="1"/>
  <c r="I887" i="3" a="1"/>
  <c r="I887" i="3" s="1"/>
  <c r="I886" i="3" a="1"/>
  <c r="I886" i="3" s="1"/>
  <c r="I885" i="3" a="1"/>
  <c r="I885" i="3" s="1"/>
  <c r="I884" i="3" a="1"/>
  <c r="I884" i="3" s="1"/>
  <c r="I883" i="3" a="1"/>
  <c r="I883" i="3" s="1"/>
  <c r="I882" i="3" a="1"/>
  <c r="I882" i="3" s="1"/>
  <c r="I881" i="3" a="1"/>
  <c r="I881" i="3" s="1"/>
  <c r="I880" i="3" a="1"/>
  <c r="I880" i="3" s="1"/>
  <c r="I879" i="3" a="1"/>
  <c r="I879" i="3" s="1"/>
  <c r="I878" i="3" a="1"/>
  <c r="I878" i="3" s="1"/>
  <c r="I877" i="3" a="1"/>
  <c r="I877" i="3" s="1"/>
  <c r="I876" i="3" a="1"/>
  <c r="I876" i="3" s="1"/>
  <c r="I875" i="3" a="1"/>
  <c r="I875" i="3" s="1"/>
  <c r="I874" i="3" a="1"/>
  <c r="I874" i="3" s="1"/>
  <c r="I873" i="3" a="1"/>
  <c r="I873" i="3" s="1"/>
  <c r="I872" i="3" a="1"/>
  <c r="I872" i="3" s="1"/>
  <c r="I871" i="3" a="1"/>
  <c r="I871" i="3" s="1"/>
  <c r="I870" i="3" a="1"/>
  <c r="I870" i="3" s="1"/>
  <c r="I869" i="3" a="1"/>
  <c r="I869" i="3" s="1"/>
  <c r="I868" i="3" a="1"/>
  <c r="I868" i="3" s="1"/>
  <c r="I867" i="3" a="1"/>
  <c r="I867" i="3" s="1"/>
  <c r="I866" i="3" a="1"/>
  <c r="I866" i="3" s="1"/>
  <c r="I865" i="3" a="1"/>
  <c r="I865" i="3" s="1"/>
  <c r="I864" i="3" a="1"/>
  <c r="I864" i="3" s="1"/>
  <c r="I863" i="3" a="1"/>
  <c r="I863" i="3" s="1"/>
  <c r="I862" i="3" a="1"/>
  <c r="I862" i="3" s="1"/>
  <c r="I861" i="3" a="1"/>
  <c r="I861" i="3" s="1"/>
  <c r="I860" i="3" a="1"/>
  <c r="I860" i="3" s="1"/>
  <c r="I859" i="3" a="1"/>
  <c r="I859" i="3" s="1"/>
  <c r="I858" i="3" a="1"/>
  <c r="I858" i="3" s="1"/>
  <c r="I857" i="3" a="1"/>
  <c r="I857" i="3" s="1"/>
  <c r="I856" i="3" a="1"/>
  <c r="I856" i="3" s="1"/>
  <c r="I855" i="3" a="1"/>
  <c r="I855" i="3" s="1"/>
  <c r="I854" i="3" a="1"/>
  <c r="I854" i="3" s="1"/>
  <c r="I853" i="3" a="1"/>
  <c r="I853" i="3" s="1"/>
  <c r="I852" i="3" a="1"/>
  <c r="I852" i="3" s="1"/>
  <c r="I851" i="3" a="1"/>
  <c r="I851" i="3" s="1"/>
  <c r="I850" i="3" a="1"/>
  <c r="I850" i="3" s="1"/>
  <c r="I849" i="3" a="1"/>
  <c r="I849" i="3" s="1"/>
  <c r="I848" i="3" a="1"/>
  <c r="I848" i="3" s="1"/>
  <c r="I847" i="3" a="1"/>
  <c r="I847" i="3" s="1"/>
  <c r="I846" i="3" a="1"/>
  <c r="I846" i="3" s="1"/>
  <c r="I845" i="3" a="1"/>
  <c r="I845" i="3" s="1"/>
  <c r="I844" i="3" a="1"/>
  <c r="I844" i="3" s="1"/>
  <c r="I843" i="3" a="1"/>
  <c r="I843" i="3" s="1"/>
  <c r="I842" i="3" a="1"/>
  <c r="I842" i="3" s="1"/>
  <c r="I841" i="3" a="1"/>
  <c r="I841" i="3" s="1"/>
  <c r="I840" i="3" a="1"/>
  <c r="I840" i="3" s="1"/>
  <c r="I839" i="3" a="1"/>
  <c r="I839" i="3" s="1"/>
  <c r="I838" i="3" a="1"/>
  <c r="I838" i="3" s="1"/>
  <c r="I837" i="3" a="1"/>
  <c r="I837" i="3" s="1"/>
  <c r="I836" i="3" a="1"/>
  <c r="I836" i="3" s="1"/>
  <c r="I835" i="3" a="1"/>
  <c r="I835" i="3" s="1"/>
  <c r="I834" i="3" a="1"/>
  <c r="I834" i="3" s="1"/>
  <c r="I833" i="3" a="1"/>
  <c r="I833" i="3" s="1"/>
  <c r="I832" i="3" a="1"/>
  <c r="I832" i="3" s="1"/>
  <c r="I831" i="3" a="1"/>
  <c r="I831" i="3" s="1"/>
  <c r="I830" i="3" a="1"/>
  <c r="I830" i="3" s="1"/>
  <c r="I829" i="3" a="1"/>
  <c r="I829" i="3" s="1"/>
  <c r="I828" i="3" a="1"/>
  <c r="I828" i="3" s="1"/>
  <c r="I827" i="3" a="1"/>
  <c r="I827" i="3" s="1"/>
  <c r="I826" i="3" a="1"/>
  <c r="I826" i="3" s="1"/>
  <c r="I825" i="3" a="1"/>
  <c r="I825" i="3" s="1"/>
  <c r="I824" i="3" a="1"/>
  <c r="I824" i="3" s="1"/>
  <c r="I823" i="3" a="1"/>
  <c r="I823" i="3" s="1"/>
  <c r="I822" i="3" a="1"/>
  <c r="I822" i="3" s="1"/>
  <c r="I821" i="3" a="1"/>
  <c r="I821" i="3" s="1"/>
  <c r="I820" i="3" a="1"/>
  <c r="I820" i="3" s="1"/>
  <c r="I819" i="3" a="1"/>
  <c r="I819" i="3" s="1"/>
  <c r="I818" i="3" a="1"/>
  <c r="I818" i="3" s="1"/>
  <c r="I817" i="3" a="1"/>
  <c r="I817" i="3" s="1"/>
  <c r="I816" i="3" a="1"/>
  <c r="I816" i="3" s="1"/>
  <c r="I815" i="3" a="1"/>
  <c r="I815" i="3" s="1"/>
  <c r="I814" i="3" a="1"/>
  <c r="I814" i="3" s="1"/>
  <c r="I813" i="3" a="1"/>
  <c r="I813" i="3" s="1"/>
  <c r="I812" i="3" a="1"/>
  <c r="I812" i="3" s="1"/>
  <c r="I811" i="3" a="1"/>
  <c r="I811" i="3" s="1"/>
  <c r="I810" i="3" a="1"/>
  <c r="I810" i="3" s="1"/>
  <c r="I809" i="3" a="1"/>
  <c r="I809" i="3" s="1"/>
  <c r="I808" i="3" a="1"/>
  <c r="I808" i="3" s="1"/>
  <c r="I807" i="3" a="1"/>
  <c r="I807" i="3" s="1"/>
  <c r="I806" i="3" a="1"/>
  <c r="I806" i="3" s="1"/>
  <c r="I805" i="3" a="1"/>
  <c r="I805" i="3" s="1"/>
  <c r="I804" i="3" a="1"/>
  <c r="I804" i="3" s="1"/>
  <c r="I803" i="3" a="1"/>
  <c r="I803" i="3" s="1"/>
  <c r="I802" i="3" a="1"/>
  <c r="I802" i="3" s="1"/>
  <c r="I801" i="3" a="1"/>
  <c r="I801" i="3" s="1"/>
  <c r="I800" i="3" a="1"/>
  <c r="I800" i="3" s="1"/>
  <c r="I799" i="3" a="1"/>
  <c r="I799" i="3" s="1"/>
  <c r="I798" i="3" a="1"/>
  <c r="I798" i="3" s="1"/>
  <c r="I797" i="3" a="1"/>
  <c r="I797" i="3" s="1"/>
  <c r="I796" i="3" a="1"/>
  <c r="I796" i="3" s="1"/>
  <c r="I795" i="3" a="1"/>
  <c r="I795" i="3" s="1"/>
  <c r="I794" i="3" a="1"/>
  <c r="I794" i="3" s="1"/>
  <c r="I793" i="3" a="1"/>
  <c r="I793" i="3" s="1"/>
  <c r="I792" i="3" a="1"/>
  <c r="I792" i="3" s="1"/>
  <c r="I791" i="3" a="1"/>
  <c r="I791" i="3" s="1"/>
  <c r="I790" i="3" a="1"/>
  <c r="I790" i="3" s="1"/>
  <c r="I789" i="3" a="1"/>
  <c r="I789" i="3" s="1"/>
  <c r="I788" i="3" a="1"/>
  <c r="I788" i="3" s="1"/>
  <c r="I787" i="3" a="1"/>
  <c r="I787" i="3" s="1"/>
  <c r="I786" i="3" a="1"/>
  <c r="I786" i="3" s="1"/>
  <c r="I785" i="3" a="1"/>
  <c r="I785" i="3" s="1"/>
  <c r="I784" i="3" a="1"/>
  <c r="I784" i="3" s="1"/>
  <c r="I783" i="3" a="1"/>
  <c r="I783" i="3" s="1"/>
  <c r="I782" i="3" a="1"/>
  <c r="I782" i="3" s="1"/>
  <c r="I781" i="3" a="1"/>
  <c r="I781" i="3" s="1"/>
  <c r="I780" i="3" a="1"/>
  <c r="I780" i="3" s="1"/>
  <c r="I779" i="3" a="1"/>
  <c r="I779" i="3" s="1"/>
  <c r="I778" i="3" a="1"/>
  <c r="I778" i="3" s="1"/>
  <c r="I777" i="3" a="1"/>
  <c r="I777" i="3" s="1"/>
  <c r="I776" i="3" a="1"/>
  <c r="I776" i="3" s="1"/>
  <c r="I775" i="3" a="1"/>
  <c r="I775" i="3" s="1"/>
  <c r="I774" i="3" a="1"/>
  <c r="I774" i="3" s="1"/>
  <c r="I773" i="3" a="1"/>
  <c r="I773" i="3" s="1"/>
  <c r="I772" i="3" a="1"/>
  <c r="I772" i="3" s="1"/>
  <c r="I771" i="3" a="1"/>
  <c r="I771" i="3" s="1"/>
  <c r="I770" i="3" a="1"/>
  <c r="I770" i="3" s="1"/>
  <c r="I769" i="3" a="1"/>
  <c r="I769" i="3" s="1"/>
  <c r="I768" i="3" a="1"/>
  <c r="I768" i="3" s="1"/>
  <c r="I767" i="3" a="1"/>
  <c r="I767" i="3" s="1"/>
  <c r="I766" i="3" a="1"/>
  <c r="I766" i="3" s="1"/>
  <c r="I765" i="3" a="1"/>
  <c r="I765" i="3" s="1"/>
  <c r="I764" i="3" a="1"/>
  <c r="I764" i="3" s="1"/>
  <c r="I763" i="3" a="1"/>
  <c r="I763" i="3" s="1"/>
  <c r="I762" i="3" a="1"/>
  <c r="I762" i="3" s="1"/>
  <c r="I761" i="3" a="1"/>
  <c r="I761" i="3" s="1"/>
  <c r="I760" i="3" a="1"/>
  <c r="I760" i="3" s="1"/>
  <c r="I759" i="3" a="1"/>
  <c r="I759" i="3" s="1"/>
  <c r="I758" i="3" a="1"/>
  <c r="I758" i="3" s="1"/>
  <c r="I757" i="3" a="1"/>
  <c r="I757" i="3" s="1"/>
  <c r="I756" i="3" a="1"/>
  <c r="I756" i="3" s="1"/>
  <c r="I755" i="3" a="1"/>
  <c r="I755" i="3" s="1"/>
  <c r="I754" i="3" a="1"/>
  <c r="I754" i="3" s="1"/>
  <c r="I753" i="3" a="1"/>
  <c r="I753" i="3" s="1"/>
  <c r="I752" i="3" a="1"/>
  <c r="I752" i="3" s="1"/>
  <c r="I751" i="3" a="1"/>
  <c r="I751" i="3" s="1"/>
  <c r="I750" i="3" a="1"/>
  <c r="I750" i="3" s="1"/>
  <c r="I749" i="3" a="1"/>
  <c r="I749" i="3" s="1"/>
  <c r="I748" i="3" a="1"/>
  <c r="I748" i="3" s="1"/>
  <c r="I747" i="3" a="1"/>
  <c r="I747" i="3" s="1"/>
  <c r="I746" i="3" a="1"/>
  <c r="I746" i="3" s="1"/>
  <c r="I745" i="3" a="1"/>
  <c r="I745" i="3" s="1"/>
  <c r="I744" i="3" a="1"/>
  <c r="I744" i="3" s="1"/>
  <c r="I743" i="3" a="1"/>
  <c r="I743" i="3" s="1"/>
  <c r="I742" i="3" a="1"/>
  <c r="I742" i="3" s="1"/>
  <c r="I741" i="3" a="1"/>
  <c r="I741" i="3" s="1"/>
  <c r="I740" i="3" a="1"/>
  <c r="I740" i="3" s="1"/>
  <c r="I739" i="3" a="1"/>
  <c r="I739" i="3" s="1"/>
  <c r="I738" i="3" a="1"/>
  <c r="I738" i="3" s="1"/>
  <c r="I737" i="3" a="1"/>
  <c r="I737" i="3" s="1"/>
  <c r="I736" i="3" a="1"/>
  <c r="I736" i="3" s="1"/>
  <c r="I735" i="3" a="1"/>
  <c r="I735" i="3" s="1"/>
  <c r="I734" i="3" a="1"/>
  <c r="I734" i="3" s="1"/>
  <c r="I733" i="3" a="1"/>
  <c r="I733" i="3" s="1"/>
  <c r="I732" i="3" a="1"/>
  <c r="I732" i="3" s="1"/>
  <c r="I731" i="3" a="1"/>
  <c r="I731" i="3" s="1"/>
  <c r="I730" i="3" a="1"/>
  <c r="I730" i="3" s="1"/>
  <c r="I729" i="3" a="1"/>
  <c r="I729" i="3" s="1"/>
  <c r="I728" i="3" a="1"/>
  <c r="I728" i="3" s="1"/>
  <c r="I727" i="3" a="1"/>
  <c r="I727" i="3" s="1"/>
  <c r="I726" i="3" a="1"/>
  <c r="I726" i="3" s="1"/>
  <c r="I725" i="3" a="1"/>
  <c r="I725" i="3" s="1"/>
  <c r="I724" i="3" a="1"/>
  <c r="I724" i="3" s="1"/>
  <c r="I723" i="3" a="1"/>
  <c r="I723" i="3" s="1"/>
  <c r="I722" i="3" a="1"/>
  <c r="I722" i="3" s="1"/>
  <c r="I721" i="3" a="1"/>
  <c r="I721" i="3" s="1"/>
  <c r="I720" i="3" a="1"/>
  <c r="I720" i="3" s="1"/>
  <c r="I719" i="3" a="1"/>
  <c r="I719" i="3" s="1"/>
  <c r="I718" i="3" a="1"/>
  <c r="I718" i="3" s="1"/>
  <c r="I717" i="3" a="1"/>
  <c r="I717" i="3" s="1"/>
  <c r="I716" i="3" a="1"/>
  <c r="I716" i="3" s="1"/>
  <c r="I715" i="3" a="1"/>
  <c r="I715" i="3" s="1"/>
  <c r="I714" i="3" a="1"/>
  <c r="I714" i="3" s="1"/>
  <c r="I713" i="3" a="1"/>
  <c r="I713" i="3" s="1"/>
  <c r="I712" i="3" a="1"/>
  <c r="I712" i="3" s="1"/>
  <c r="I711" i="3" a="1"/>
  <c r="I711" i="3" s="1"/>
  <c r="I710" i="3" a="1"/>
  <c r="I710" i="3" s="1"/>
  <c r="I709" i="3" a="1"/>
  <c r="I709" i="3" s="1"/>
  <c r="I708" i="3" a="1"/>
  <c r="I708" i="3" s="1"/>
  <c r="I707" i="3" a="1"/>
  <c r="I707" i="3" s="1"/>
  <c r="I706" i="3" a="1"/>
  <c r="I706" i="3" s="1"/>
  <c r="I705" i="3" a="1"/>
  <c r="I705" i="3" s="1"/>
  <c r="I704" i="3" a="1"/>
  <c r="I704" i="3" s="1"/>
  <c r="I703" i="3" a="1"/>
  <c r="I703" i="3" s="1"/>
  <c r="I702" i="3" a="1"/>
  <c r="I702" i="3" s="1"/>
  <c r="I701" i="3" a="1"/>
  <c r="I701" i="3" s="1"/>
  <c r="I700" i="3" a="1"/>
  <c r="I700" i="3" s="1"/>
  <c r="I699" i="3" a="1"/>
  <c r="I699" i="3" s="1"/>
  <c r="I698" i="3" a="1"/>
  <c r="I698" i="3" s="1"/>
  <c r="I697" i="3" a="1"/>
  <c r="I697" i="3" s="1"/>
  <c r="I696" i="3" a="1"/>
  <c r="I696" i="3" s="1"/>
  <c r="I695" i="3" a="1"/>
  <c r="I695" i="3" s="1"/>
  <c r="I694" i="3" a="1"/>
  <c r="I694" i="3" s="1"/>
  <c r="I693" i="3" a="1"/>
  <c r="I693" i="3" s="1"/>
  <c r="I692" i="3" a="1"/>
  <c r="I692" i="3" s="1"/>
  <c r="I691" i="3" a="1"/>
  <c r="I691" i="3" s="1"/>
  <c r="I690" i="3" a="1"/>
  <c r="I690" i="3" s="1"/>
  <c r="I689" i="3" a="1"/>
  <c r="I689" i="3" s="1"/>
  <c r="I688" i="3" a="1"/>
  <c r="I688" i="3" s="1"/>
  <c r="I687" i="3" a="1"/>
  <c r="I687" i="3" s="1"/>
  <c r="I686" i="3" a="1"/>
  <c r="I686" i="3" s="1"/>
  <c r="I685" i="3" a="1"/>
  <c r="I685" i="3" s="1"/>
  <c r="I684" i="3" a="1"/>
  <c r="I684" i="3" s="1"/>
  <c r="I683" i="3" a="1"/>
  <c r="I683" i="3" s="1"/>
  <c r="I682" i="3" a="1"/>
  <c r="I682" i="3" s="1"/>
  <c r="I681" i="3" a="1"/>
  <c r="I681" i="3" s="1"/>
  <c r="I680" i="3" a="1"/>
  <c r="I680" i="3" s="1"/>
  <c r="I679" i="3" a="1"/>
  <c r="I679" i="3" s="1"/>
  <c r="I678" i="3" a="1"/>
  <c r="I678" i="3" s="1"/>
  <c r="I677" i="3" a="1"/>
  <c r="I677" i="3" s="1"/>
  <c r="I676" i="3" a="1"/>
  <c r="I676" i="3" s="1"/>
  <c r="I675" i="3" a="1"/>
  <c r="I675" i="3" s="1"/>
  <c r="I674" i="3" a="1"/>
  <c r="I674" i="3" s="1"/>
  <c r="I673" i="3" a="1"/>
  <c r="I673" i="3" s="1"/>
  <c r="I672" i="3" a="1"/>
  <c r="I672" i="3" s="1"/>
  <c r="I671" i="3" a="1"/>
  <c r="I671" i="3" s="1"/>
  <c r="I670" i="3" a="1"/>
  <c r="I670" i="3" s="1"/>
  <c r="I669" i="3" a="1"/>
  <c r="I669" i="3" s="1"/>
  <c r="I668" i="3" a="1"/>
  <c r="I668" i="3" s="1"/>
  <c r="I667" i="3" a="1"/>
  <c r="I667" i="3" s="1"/>
  <c r="I666" i="3" a="1"/>
  <c r="I666" i="3" s="1"/>
  <c r="I665" i="3" a="1"/>
  <c r="I665" i="3" s="1"/>
  <c r="I664" i="3" a="1"/>
  <c r="I664" i="3" s="1"/>
  <c r="I663" i="3" a="1"/>
  <c r="I663" i="3" s="1"/>
  <c r="I662" i="3" a="1"/>
  <c r="I662" i="3" s="1"/>
  <c r="I661" i="3" a="1"/>
  <c r="I661" i="3" s="1"/>
  <c r="I660" i="3" a="1"/>
  <c r="I660" i="3" s="1"/>
  <c r="I659" i="3" a="1"/>
  <c r="I659" i="3" s="1"/>
  <c r="I658" i="3" a="1"/>
  <c r="I658" i="3" s="1"/>
  <c r="I657" i="3" a="1"/>
  <c r="I657" i="3" s="1"/>
  <c r="I656" i="3" a="1"/>
  <c r="I656" i="3" s="1"/>
  <c r="I655" i="3" a="1"/>
  <c r="I655" i="3" s="1"/>
  <c r="I654" i="3" a="1"/>
  <c r="I654" i="3" s="1"/>
  <c r="I653" i="3" a="1"/>
  <c r="I653" i="3" s="1"/>
  <c r="I652" i="3" a="1"/>
  <c r="I652" i="3" s="1"/>
  <c r="I651" i="3" a="1"/>
  <c r="I651" i="3" s="1"/>
  <c r="I650" i="3" a="1"/>
  <c r="I650" i="3" s="1"/>
  <c r="I649" i="3" a="1"/>
  <c r="I649" i="3" s="1"/>
  <c r="I648" i="3" a="1"/>
  <c r="I648" i="3" s="1"/>
  <c r="I647" i="3" a="1"/>
  <c r="I647" i="3" s="1"/>
  <c r="I646" i="3" a="1"/>
  <c r="I646" i="3" s="1"/>
  <c r="I645" i="3" a="1"/>
  <c r="I645" i="3" s="1"/>
  <c r="I644" i="3" a="1"/>
  <c r="I644" i="3" s="1"/>
  <c r="I643" i="3" a="1"/>
  <c r="I643" i="3" s="1"/>
  <c r="I642" i="3" a="1"/>
  <c r="I642" i="3" s="1"/>
  <c r="I641" i="3" a="1"/>
  <c r="I641" i="3" s="1"/>
  <c r="I640" i="3" a="1"/>
  <c r="I640" i="3" s="1"/>
  <c r="I639" i="3" a="1"/>
  <c r="I639" i="3" s="1"/>
  <c r="I638" i="3" a="1"/>
  <c r="I638" i="3" s="1"/>
  <c r="I637" i="3" a="1"/>
  <c r="I637" i="3" s="1"/>
  <c r="I636" i="3" a="1"/>
  <c r="I636" i="3" s="1"/>
  <c r="I635" i="3" a="1"/>
  <c r="I635" i="3" s="1"/>
  <c r="I634" i="3" a="1"/>
  <c r="I634" i="3" s="1"/>
  <c r="I633" i="3" a="1"/>
  <c r="I633" i="3" s="1"/>
  <c r="I632" i="3" a="1"/>
  <c r="I632" i="3" s="1"/>
  <c r="I631" i="3" a="1"/>
  <c r="I631" i="3" s="1"/>
  <c r="I630" i="3" a="1"/>
  <c r="I630" i="3" s="1"/>
  <c r="I629" i="3" a="1"/>
  <c r="I629" i="3" s="1"/>
  <c r="I628" i="3" a="1"/>
  <c r="I628" i="3" s="1"/>
  <c r="I627" i="3" a="1"/>
  <c r="I627" i="3" s="1"/>
  <c r="I626" i="3" a="1"/>
  <c r="I626" i="3" s="1"/>
  <c r="I625" i="3" a="1"/>
  <c r="I625" i="3" s="1"/>
  <c r="I624" i="3" a="1"/>
  <c r="I624" i="3" s="1"/>
  <c r="I623" i="3" a="1"/>
  <c r="I623" i="3" s="1"/>
  <c r="I622" i="3" a="1"/>
  <c r="I622" i="3" s="1"/>
  <c r="I621" i="3" a="1"/>
  <c r="I621" i="3" s="1"/>
  <c r="I620" i="3" a="1"/>
  <c r="I620" i="3" s="1"/>
  <c r="I619" i="3" a="1"/>
  <c r="I619" i="3" s="1"/>
  <c r="I618" i="3" a="1"/>
  <c r="I618" i="3" s="1"/>
  <c r="I617" i="3" a="1"/>
  <c r="I617" i="3" s="1"/>
  <c r="I616" i="3" a="1"/>
  <c r="I616" i="3" s="1"/>
  <c r="I615" i="3" a="1"/>
  <c r="I615" i="3" s="1"/>
  <c r="I614" i="3" a="1"/>
  <c r="I614" i="3" s="1"/>
  <c r="I613" i="3" a="1"/>
  <c r="I613" i="3" s="1"/>
  <c r="I612" i="3" a="1"/>
  <c r="I612" i="3" s="1"/>
  <c r="I611" i="3" a="1"/>
  <c r="I611" i="3" s="1"/>
  <c r="I610" i="3" a="1"/>
  <c r="I610" i="3" s="1"/>
  <c r="I609" i="3" a="1"/>
  <c r="I609" i="3" s="1"/>
  <c r="I608" i="3" a="1"/>
  <c r="I608" i="3" s="1"/>
  <c r="I607" i="3" a="1"/>
  <c r="I607" i="3" s="1"/>
  <c r="I606" i="3" a="1"/>
  <c r="I606" i="3" s="1"/>
  <c r="I605" i="3" a="1"/>
  <c r="I605" i="3" s="1"/>
  <c r="I604" i="3" a="1"/>
  <c r="I604" i="3" s="1"/>
  <c r="I603" i="3" a="1"/>
  <c r="I603" i="3" s="1"/>
  <c r="I602" i="3" a="1"/>
  <c r="I602" i="3" s="1"/>
  <c r="I601" i="3" a="1"/>
  <c r="I601" i="3" s="1"/>
  <c r="I600" i="3" a="1"/>
  <c r="I600" i="3" s="1"/>
  <c r="I599" i="3" a="1"/>
  <c r="I599" i="3" s="1"/>
  <c r="I598" i="3" a="1"/>
  <c r="I598" i="3" s="1"/>
  <c r="I597" i="3" a="1"/>
  <c r="I597" i="3" s="1"/>
  <c r="I596" i="3" a="1"/>
  <c r="I596" i="3" s="1"/>
  <c r="I595" i="3" a="1"/>
  <c r="I595" i="3" s="1"/>
  <c r="I594" i="3" a="1"/>
  <c r="I594" i="3" s="1"/>
  <c r="I593" i="3" a="1"/>
  <c r="I593" i="3" s="1"/>
  <c r="I592" i="3" a="1"/>
  <c r="I592" i="3" s="1"/>
  <c r="I591" i="3" a="1"/>
  <c r="I591" i="3" s="1"/>
  <c r="I590" i="3" a="1"/>
  <c r="I590" i="3" s="1"/>
  <c r="I589" i="3" a="1"/>
  <c r="I589" i="3" s="1"/>
  <c r="I588" i="3" a="1"/>
  <c r="I588" i="3" s="1"/>
  <c r="I587" i="3" a="1"/>
  <c r="I587" i="3" s="1"/>
  <c r="I586" i="3" a="1"/>
  <c r="I586" i="3" s="1"/>
  <c r="I585" i="3" a="1"/>
  <c r="I585" i="3" s="1"/>
  <c r="I584" i="3" a="1"/>
  <c r="I584" i="3" s="1"/>
  <c r="I583" i="3" a="1"/>
  <c r="I583" i="3" s="1"/>
  <c r="I582" i="3" a="1"/>
  <c r="I582" i="3" s="1"/>
  <c r="I581" i="3" a="1"/>
  <c r="I581" i="3" s="1"/>
  <c r="I580" i="3" a="1"/>
  <c r="I580" i="3" s="1"/>
  <c r="I579" i="3" a="1"/>
  <c r="I579" i="3" s="1"/>
  <c r="I578" i="3" a="1"/>
  <c r="I578" i="3" s="1"/>
  <c r="I577" i="3" a="1"/>
  <c r="I577" i="3" s="1"/>
  <c r="I576" i="3" a="1"/>
  <c r="I576" i="3" s="1"/>
  <c r="I575" i="3" a="1"/>
  <c r="I575" i="3" s="1"/>
  <c r="I574" i="3" a="1"/>
  <c r="I574" i="3" s="1"/>
  <c r="I573" i="3" a="1"/>
  <c r="I573" i="3" s="1"/>
  <c r="I572" i="3" a="1"/>
  <c r="I572" i="3" s="1"/>
  <c r="I571" i="3" a="1"/>
  <c r="I571" i="3" s="1"/>
  <c r="I570" i="3" a="1"/>
  <c r="I570" i="3" s="1"/>
  <c r="I569" i="3" a="1"/>
  <c r="I569" i="3" s="1"/>
  <c r="I568" i="3" a="1"/>
  <c r="I568" i="3" s="1"/>
  <c r="I567" i="3" a="1"/>
  <c r="I567" i="3" s="1"/>
  <c r="I566" i="3" a="1"/>
  <c r="I566" i="3" s="1"/>
  <c r="I565" i="3" a="1"/>
  <c r="I565" i="3" s="1"/>
  <c r="I564" i="3" a="1"/>
  <c r="I564" i="3" s="1"/>
  <c r="I563" i="3" a="1"/>
  <c r="I563" i="3" s="1"/>
  <c r="I562" i="3" a="1"/>
  <c r="I562" i="3" s="1"/>
  <c r="I561" i="3" a="1"/>
  <c r="I561" i="3" s="1"/>
  <c r="I560" i="3" a="1"/>
  <c r="I560" i="3" s="1"/>
  <c r="I559" i="3" a="1"/>
  <c r="I559" i="3" s="1"/>
  <c r="I558" i="3" a="1"/>
  <c r="I558" i="3" s="1"/>
  <c r="I557" i="3" a="1"/>
  <c r="I557" i="3" s="1"/>
  <c r="I556" i="3" a="1"/>
  <c r="I556" i="3" s="1"/>
  <c r="I555" i="3" a="1"/>
  <c r="I555" i="3" s="1"/>
  <c r="I554" i="3" a="1"/>
  <c r="I554" i="3" s="1"/>
  <c r="I553" i="3" a="1"/>
  <c r="I553" i="3" s="1"/>
  <c r="I552" i="3" a="1"/>
  <c r="I552" i="3" s="1"/>
  <c r="I551" i="3" a="1"/>
  <c r="I551" i="3" s="1"/>
  <c r="I550" i="3" a="1"/>
  <c r="I550" i="3" s="1"/>
  <c r="I549" i="3" a="1"/>
  <c r="I549" i="3" s="1"/>
  <c r="I548" i="3" a="1"/>
  <c r="I548" i="3" s="1"/>
  <c r="I547" i="3" a="1"/>
  <c r="I547" i="3" s="1"/>
  <c r="I546" i="3" a="1"/>
  <c r="I546" i="3" s="1"/>
  <c r="I545" i="3" a="1"/>
  <c r="I545" i="3" s="1"/>
  <c r="I544" i="3" a="1"/>
  <c r="I544" i="3" s="1"/>
  <c r="I543" i="3" a="1"/>
  <c r="I543" i="3" s="1"/>
  <c r="I542" i="3" a="1"/>
  <c r="I542" i="3" s="1"/>
  <c r="I541" i="3" a="1"/>
  <c r="I541" i="3" s="1"/>
  <c r="I540" i="3" a="1"/>
  <c r="I540" i="3" s="1"/>
  <c r="I539" i="3" a="1"/>
  <c r="I539" i="3" s="1"/>
  <c r="I538" i="3" a="1"/>
  <c r="I538" i="3" s="1"/>
  <c r="I537" i="3" a="1"/>
  <c r="I537" i="3" s="1"/>
  <c r="I536" i="3" a="1"/>
  <c r="I536" i="3" s="1"/>
  <c r="I535" i="3" a="1"/>
  <c r="I535" i="3" s="1"/>
  <c r="I534" i="3" a="1"/>
  <c r="I534" i="3" s="1"/>
  <c r="I533" i="3" a="1"/>
  <c r="I533" i="3" s="1"/>
  <c r="I532" i="3" a="1"/>
  <c r="I532" i="3" s="1"/>
  <c r="I531" i="3" a="1"/>
  <c r="I531" i="3" s="1"/>
  <c r="I530" i="3" a="1"/>
  <c r="I530" i="3" s="1"/>
  <c r="I529" i="3" a="1"/>
  <c r="I529" i="3" s="1"/>
  <c r="I528" i="3" a="1"/>
  <c r="I528" i="3" s="1"/>
  <c r="I527" i="3" a="1"/>
  <c r="I527" i="3" s="1"/>
  <c r="I526" i="3" a="1"/>
  <c r="I526" i="3" s="1"/>
  <c r="I525" i="3" a="1"/>
  <c r="I525" i="3" s="1"/>
  <c r="I524" i="3" a="1"/>
  <c r="I524" i="3" s="1"/>
  <c r="I523" i="3" a="1"/>
  <c r="I523" i="3" s="1"/>
  <c r="I522" i="3" a="1"/>
  <c r="I522" i="3" s="1"/>
  <c r="I521" i="3" a="1"/>
  <c r="I521" i="3" s="1"/>
  <c r="I520" i="3" a="1"/>
  <c r="I520" i="3" s="1"/>
  <c r="I519" i="3" a="1"/>
  <c r="I519" i="3" s="1"/>
  <c r="I518" i="3" a="1"/>
  <c r="I518" i="3" s="1"/>
  <c r="I517" i="3" a="1"/>
  <c r="I517" i="3" s="1"/>
  <c r="I516" i="3" a="1"/>
  <c r="I516" i="3" s="1"/>
  <c r="I515" i="3" a="1"/>
  <c r="I515" i="3" s="1"/>
  <c r="I514" i="3" a="1"/>
  <c r="I514" i="3" s="1"/>
  <c r="I513" i="3" a="1"/>
  <c r="I513" i="3" s="1"/>
  <c r="I512" i="3" a="1"/>
  <c r="I512" i="3" s="1"/>
  <c r="I511" i="3" a="1"/>
  <c r="I511" i="3" s="1"/>
  <c r="I510" i="3" a="1"/>
  <c r="I510" i="3" s="1"/>
  <c r="I509" i="3" a="1"/>
  <c r="I509" i="3" s="1"/>
  <c r="I508" i="3" a="1"/>
  <c r="I508" i="3" s="1"/>
  <c r="I507" i="3" a="1"/>
  <c r="I507" i="3" s="1"/>
  <c r="I506" i="3" a="1"/>
  <c r="I506" i="3" s="1"/>
  <c r="I505" i="3" a="1"/>
  <c r="I505" i="3" s="1"/>
  <c r="I504" i="3" a="1"/>
  <c r="I504" i="3" s="1"/>
  <c r="I503" i="3" a="1"/>
  <c r="I503" i="3" s="1"/>
  <c r="I39" i="1"/>
  <c r="I38" i="1"/>
  <c r="I37" i="1"/>
  <c r="I36" i="1"/>
  <c r="I35" i="1"/>
  <c r="I33" i="1"/>
  <c r="I29" i="1"/>
  <c r="I28" i="1"/>
  <c r="I26" i="1"/>
  <c r="I25" i="1"/>
  <c r="I24" i="1"/>
  <c r="I23" i="1"/>
  <c r="I22" i="1"/>
  <c r="I21" i="1"/>
  <c r="I20" i="1"/>
  <c r="I19" i="1"/>
  <c r="I18" i="1"/>
  <c r="I17" i="1"/>
  <c r="I16" i="1"/>
  <c r="I15" i="1"/>
  <c r="I14" i="1"/>
  <c r="I13" i="1"/>
  <c r="I12" i="1"/>
  <c r="I11" i="1"/>
  <c r="I10" i="1"/>
  <c r="I9" i="1"/>
  <c r="I8" i="1"/>
  <c r="I6" i="1"/>
  <c r="I5" i="1"/>
  <c r="I4" i="1"/>
  <c r="I3" i="1"/>
  <c r="I2" i="1"/>
  <c r="H39" i="1"/>
  <c r="H38" i="1"/>
  <c r="H37" i="1"/>
  <c r="H36" i="1"/>
  <c r="H35" i="1"/>
  <c r="H33" i="1"/>
  <c r="H29" i="1"/>
  <c r="H28" i="1"/>
  <c r="H26" i="1"/>
  <c r="H25" i="1"/>
  <c r="H24" i="1"/>
  <c r="H23" i="1"/>
  <c r="H22" i="1"/>
  <c r="H21" i="1"/>
  <c r="H20" i="1"/>
  <c r="H19" i="1"/>
  <c r="H18" i="1"/>
  <c r="H17" i="1"/>
  <c r="H16" i="1"/>
  <c r="H15" i="1"/>
  <c r="H14" i="1"/>
  <c r="H13" i="1"/>
  <c r="H12" i="1"/>
  <c r="H11" i="1"/>
  <c r="H10" i="1"/>
  <c r="H9" i="1"/>
  <c r="H8" i="1"/>
  <c r="H6" i="1"/>
  <c r="H5" i="1"/>
  <c r="H4" i="1"/>
  <c r="H3" i="1"/>
  <c r="H2" i="1"/>
  <c r="M53" i="6"/>
  <c r="K53" i="6"/>
  <c r="F53" i="6"/>
  <c r="M52" i="6"/>
  <c r="K52" i="6"/>
  <c r="F52" i="6"/>
  <c r="M51" i="6"/>
  <c r="K51" i="6"/>
  <c r="F51" i="6"/>
  <c r="M50" i="6"/>
  <c r="K50" i="6"/>
  <c r="F50" i="6"/>
  <c r="M49" i="6"/>
  <c r="K49" i="6"/>
  <c r="F49" i="6"/>
  <c r="M48" i="6"/>
  <c r="K48" i="6"/>
  <c r="F48" i="6"/>
  <c r="M47" i="6"/>
  <c r="K47" i="6"/>
  <c r="F47" i="6"/>
  <c r="M46" i="6"/>
  <c r="K46" i="6"/>
  <c r="F46" i="6"/>
  <c r="M45" i="6"/>
  <c r="K45" i="6"/>
  <c r="F45" i="6"/>
  <c r="M44" i="6"/>
  <c r="K44" i="6"/>
  <c r="F44" i="6"/>
  <c r="M43" i="6"/>
  <c r="K43" i="6"/>
  <c r="F43" i="6"/>
  <c r="M42" i="6"/>
  <c r="K42" i="6"/>
  <c r="F42" i="6"/>
  <c r="M41" i="6"/>
  <c r="K41" i="6"/>
  <c r="F41" i="6"/>
  <c r="M40" i="6"/>
  <c r="F40" i="6"/>
  <c r="M39" i="6"/>
  <c r="K39" i="6"/>
  <c r="F39" i="6"/>
  <c r="M38" i="6"/>
  <c r="K38" i="6"/>
  <c r="F38" i="6"/>
  <c r="M34" i="6"/>
  <c r="M35" i="6"/>
  <c r="M36" i="6"/>
  <c r="M37" i="6"/>
  <c r="K34" i="6"/>
  <c r="K35" i="6"/>
  <c r="K36" i="6"/>
  <c r="K37" i="6"/>
  <c r="F37" i="6"/>
  <c r="X53" i="6"/>
  <c r="X52" i="6"/>
  <c r="X51" i="6"/>
  <c r="X50" i="6"/>
  <c r="X49" i="6"/>
  <c r="X48" i="6"/>
  <c r="X47" i="6"/>
  <c r="X46" i="6"/>
  <c r="X45" i="6"/>
  <c r="X44" i="6"/>
  <c r="X43" i="6"/>
  <c r="X42" i="6"/>
  <c r="X41" i="6"/>
  <c r="X40" i="6"/>
  <c r="X39" i="6"/>
  <c r="X38" i="6"/>
  <c r="X37" i="6"/>
  <c r="W53" i="6"/>
  <c r="W52" i="6"/>
  <c r="W51" i="6"/>
  <c r="W50" i="6"/>
  <c r="W49" i="6"/>
  <c r="W48" i="6"/>
  <c r="W47" i="6"/>
  <c r="W46" i="6"/>
  <c r="W45" i="6"/>
  <c r="W44" i="6"/>
  <c r="W43" i="6"/>
  <c r="W42" i="6"/>
  <c r="W41" i="6"/>
  <c r="W40" i="6"/>
  <c r="W39" i="6"/>
  <c r="W38" i="6"/>
  <c r="W37" i="6"/>
  <c r="V53" i="6"/>
  <c r="V52" i="6"/>
  <c r="V51" i="6"/>
  <c r="V50" i="6"/>
  <c r="V49" i="6"/>
  <c r="V48" i="6"/>
  <c r="V47" i="6"/>
  <c r="V46" i="6"/>
  <c r="V45" i="6"/>
  <c r="V44" i="6"/>
  <c r="V43" i="6"/>
  <c r="V42" i="6"/>
  <c r="V41" i="6"/>
  <c r="V40" i="6"/>
  <c r="V39" i="6"/>
  <c r="V38" i="6"/>
  <c r="V37" i="6"/>
  <c r="U53" i="6"/>
  <c r="U52" i="6"/>
  <c r="U51" i="6"/>
  <c r="U50" i="6"/>
  <c r="U49" i="6"/>
  <c r="U48" i="6"/>
  <c r="U47" i="6"/>
  <c r="U46" i="6"/>
  <c r="U45" i="6"/>
  <c r="U44" i="6"/>
  <c r="U43" i="6"/>
  <c r="U42" i="6"/>
  <c r="U41" i="6"/>
  <c r="U40" i="6"/>
  <c r="U39" i="6"/>
  <c r="U38" i="6"/>
  <c r="U37" i="6"/>
  <c r="T53" i="6"/>
  <c r="T52" i="6"/>
  <c r="T51" i="6"/>
  <c r="T50" i="6"/>
  <c r="T49" i="6"/>
  <c r="T48" i="6"/>
  <c r="T47" i="6"/>
  <c r="T46" i="6"/>
  <c r="T45" i="6"/>
  <c r="T44" i="6"/>
  <c r="T43" i="6"/>
  <c r="T42" i="6"/>
  <c r="T41" i="6"/>
  <c r="T40" i="6"/>
  <c r="T39" i="6"/>
  <c r="T38" i="6"/>
  <c r="T37" i="6"/>
  <c r="S53" i="6"/>
  <c r="S52" i="6"/>
  <c r="S51" i="6"/>
  <c r="S50" i="6"/>
  <c r="S49" i="6"/>
  <c r="S48" i="6"/>
  <c r="S47" i="6"/>
  <c r="S46" i="6"/>
  <c r="S45" i="6"/>
  <c r="S44" i="6"/>
  <c r="S43" i="6"/>
  <c r="S42" i="6"/>
  <c r="S41" i="6"/>
  <c r="S40" i="6"/>
  <c r="S39" i="6"/>
  <c r="S38" i="6"/>
  <c r="S37" i="6"/>
  <c r="R53" i="6"/>
  <c r="R52" i="6"/>
  <c r="R51" i="6"/>
  <c r="R50" i="6"/>
  <c r="R49" i="6"/>
  <c r="R48" i="6"/>
  <c r="R47" i="6"/>
  <c r="R46" i="6"/>
  <c r="R45" i="6"/>
  <c r="R44" i="6"/>
  <c r="R43" i="6"/>
  <c r="R42" i="6"/>
  <c r="R41" i="6"/>
  <c r="R40" i="6"/>
  <c r="R39" i="6"/>
  <c r="R38" i="6"/>
  <c r="R37" i="6"/>
  <c r="Q53" i="6"/>
  <c r="Q52" i="6"/>
  <c r="Q51" i="6"/>
  <c r="Q50" i="6"/>
  <c r="Q49" i="6"/>
  <c r="Q48" i="6"/>
  <c r="Q47" i="6"/>
  <c r="Q46" i="6"/>
  <c r="Q45" i="6"/>
  <c r="Q44" i="6"/>
  <c r="Q43" i="6"/>
  <c r="Q42" i="6"/>
  <c r="Q41" i="6"/>
  <c r="Q40" i="6"/>
  <c r="Q39" i="6"/>
  <c r="Q38" i="6"/>
  <c r="Q37" i="6"/>
  <c r="P53" i="6"/>
  <c r="P52" i="6"/>
  <c r="P51" i="6"/>
  <c r="P50" i="6"/>
  <c r="P49" i="6"/>
  <c r="P48" i="6"/>
  <c r="P47" i="6"/>
  <c r="P46" i="6"/>
  <c r="P45" i="6"/>
  <c r="P44" i="6"/>
  <c r="P43" i="6"/>
  <c r="P42" i="6"/>
  <c r="P41" i="6"/>
  <c r="P40" i="6"/>
  <c r="P39" i="6"/>
  <c r="P38" i="6"/>
  <c r="P37" i="6"/>
  <c r="O53" i="6"/>
  <c r="O52" i="6"/>
  <c r="O51" i="6"/>
  <c r="O50" i="6"/>
  <c r="O49" i="6"/>
  <c r="O48" i="6"/>
  <c r="O47" i="6"/>
  <c r="O46" i="6"/>
  <c r="O45" i="6"/>
  <c r="O44" i="6"/>
  <c r="O43" i="6"/>
  <c r="O42" i="6"/>
  <c r="O41" i="6"/>
  <c r="O40" i="6"/>
  <c r="O39" i="6"/>
  <c r="O38" i="6"/>
  <c r="O37" i="6"/>
  <c r="N53" i="6"/>
  <c r="N52" i="6"/>
  <c r="N51" i="6"/>
  <c r="N50" i="6"/>
  <c r="N49" i="6"/>
  <c r="N48" i="6"/>
  <c r="N47" i="6"/>
  <c r="N46" i="6"/>
  <c r="N45" i="6"/>
  <c r="N44" i="6"/>
  <c r="N43" i="6"/>
  <c r="N42" i="6"/>
  <c r="N41" i="6"/>
  <c r="N40" i="6"/>
  <c r="N39" i="6"/>
  <c r="N38" i="6"/>
  <c r="N37" i="6"/>
  <c r="X36" i="6"/>
  <c r="W36" i="6"/>
  <c r="V36" i="6"/>
  <c r="U36" i="6"/>
  <c r="T36" i="6"/>
  <c r="S36" i="6"/>
  <c r="R36" i="6"/>
  <c r="Q36" i="6"/>
  <c r="P36" i="6"/>
  <c r="O36" i="6"/>
  <c r="N36" i="6"/>
  <c r="E173" i="7"/>
  <c r="G202" i="7"/>
  <c r="C203" i="7" s="1"/>
  <c r="E203" i="7" s="1"/>
  <c r="H201" i="7"/>
  <c r="G192" i="7"/>
  <c r="C193" i="7" s="1"/>
  <c r="E193" i="7" s="1"/>
  <c r="H191" i="7"/>
  <c r="G182" i="7"/>
  <c r="C183" i="7" s="1"/>
  <c r="E183" i="7" s="1"/>
  <c r="H181" i="7"/>
  <c r="S1204" i="2"/>
  <c r="S1205" i="2"/>
  <c r="S1206" i="2"/>
  <c r="S1202" i="2"/>
  <c r="S1203" i="2"/>
  <c r="S1197" i="2"/>
  <c r="S1198" i="2"/>
  <c r="S1199" i="2"/>
  <c r="S1200" i="2"/>
  <c r="S1201" i="2"/>
  <c r="S1194" i="2"/>
  <c r="S1195" i="2"/>
  <c r="S1196" i="2"/>
  <c r="S1193" i="2"/>
  <c r="S1192" i="2"/>
  <c r="S1191" i="2"/>
  <c r="S1190" i="2"/>
  <c r="S1189" i="2"/>
  <c r="S1188" i="2"/>
  <c r="S1186" i="2"/>
  <c r="S1187" i="2"/>
  <c r="S1183" i="2"/>
  <c r="S1184" i="2"/>
  <c r="S1185" i="2"/>
  <c r="S1178" i="2"/>
  <c r="S1179" i="2"/>
  <c r="S1180" i="2"/>
  <c r="S1181" i="2"/>
  <c r="S1182" i="2"/>
  <c r="S1176" i="2"/>
  <c r="S1177" i="2"/>
  <c r="S1175" i="2"/>
  <c r="S1174" i="2"/>
  <c r="S1172" i="2"/>
  <c r="S1173" i="2"/>
  <c r="S1168" i="2"/>
  <c r="S1169" i="2"/>
  <c r="S1170" i="2"/>
  <c r="S1171" i="2"/>
  <c r="S1162" i="2"/>
  <c r="S1163" i="2"/>
  <c r="S1164" i="2"/>
  <c r="S1165" i="2"/>
  <c r="S1166" i="2"/>
  <c r="S1167" i="2"/>
  <c r="S1157" i="2"/>
  <c r="S1158" i="2"/>
  <c r="S1159" i="2"/>
  <c r="S1160" i="2"/>
  <c r="S1161" i="2"/>
  <c r="S1150" i="2"/>
  <c r="S1151" i="2"/>
  <c r="S1152" i="2"/>
  <c r="S1153" i="2"/>
  <c r="S1154" i="2"/>
  <c r="S1155" i="2"/>
  <c r="S1156" i="2"/>
  <c r="S1149" i="2"/>
  <c r="S1148" i="2"/>
  <c r="S1144" i="2"/>
  <c r="S1145" i="2"/>
  <c r="S1146" i="2"/>
  <c r="S1147" i="2"/>
  <c r="S1139" i="2"/>
  <c r="S1140" i="2"/>
  <c r="S1141" i="2"/>
  <c r="S1142" i="2"/>
  <c r="S1143" i="2"/>
  <c r="S1135" i="2"/>
  <c r="S1136" i="2"/>
  <c r="S1137" i="2"/>
  <c r="S1138" i="2"/>
  <c r="S1134" i="2"/>
  <c r="S1133" i="2"/>
  <c r="S1132" i="2"/>
  <c r="S1125" i="2"/>
  <c r="S1126" i="2"/>
  <c r="S1127" i="2"/>
  <c r="S1128" i="2"/>
  <c r="S1129" i="2"/>
  <c r="S1130" i="2"/>
  <c r="S1131" i="2"/>
  <c r="S1124" i="2"/>
  <c r="S1121" i="2"/>
  <c r="S1122" i="2"/>
  <c r="S1123" i="2"/>
  <c r="S1118" i="2"/>
  <c r="S1119" i="2"/>
  <c r="S1120" i="2"/>
  <c r="S1115" i="2"/>
  <c r="S1116" i="2"/>
  <c r="S1117" i="2"/>
  <c r="S1110" i="2"/>
  <c r="S1111" i="2"/>
  <c r="S1112" i="2"/>
  <c r="S1113" i="2"/>
  <c r="S1114" i="2"/>
  <c r="S1102" i="2"/>
  <c r="S1103" i="2"/>
  <c r="S1104" i="2"/>
  <c r="S1105" i="2"/>
  <c r="S1106" i="2"/>
  <c r="S1107" i="2"/>
  <c r="S1108" i="2"/>
  <c r="S1109" i="2"/>
  <c r="S1096" i="2"/>
  <c r="S1097" i="2"/>
  <c r="S1098" i="2"/>
  <c r="S1099" i="2"/>
  <c r="S1100" i="2"/>
  <c r="S1101" i="2"/>
  <c r="S1086" i="2"/>
  <c r="S1087" i="2"/>
  <c r="S1088" i="2"/>
  <c r="S1089" i="2"/>
  <c r="S1090" i="2"/>
  <c r="S1091" i="2"/>
  <c r="S1092" i="2"/>
  <c r="S1093" i="2"/>
  <c r="S1094" i="2"/>
  <c r="S1095" i="2"/>
  <c r="S1077" i="2"/>
  <c r="S1078" i="2"/>
  <c r="S1079" i="2"/>
  <c r="S1080" i="2"/>
  <c r="S1081" i="2"/>
  <c r="S1082" i="2"/>
  <c r="S1083" i="2"/>
  <c r="S1084" i="2"/>
  <c r="S1085" i="2"/>
  <c r="S1066" i="2"/>
  <c r="S1067" i="2"/>
  <c r="S1068" i="2"/>
  <c r="S1069" i="2"/>
  <c r="S1070" i="2"/>
  <c r="S1071" i="2"/>
  <c r="S1072" i="2"/>
  <c r="S1073" i="2"/>
  <c r="S1074" i="2"/>
  <c r="S1075" i="2"/>
  <c r="S1076" i="2"/>
  <c r="S1054" i="2"/>
  <c r="S1055" i="2"/>
  <c r="S1056" i="2"/>
  <c r="S1057" i="2"/>
  <c r="S1058" i="2"/>
  <c r="S1059" i="2"/>
  <c r="S1060" i="2"/>
  <c r="S1061" i="2"/>
  <c r="S1062" i="2"/>
  <c r="S1063" i="2"/>
  <c r="S1064" i="2"/>
  <c r="S1065" i="2"/>
  <c r="S1052" i="2"/>
  <c r="S1053" i="2"/>
  <c r="S1049" i="2"/>
  <c r="S1050" i="2"/>
  <c r="S1051" i="2"/>
  <c r="S1045" i="2"/>
  <c r="S1046" i="2"/>
  <c r="S1047" i="2"/>
  <c r="S1048" i="2"/>
  <c r="S1037" i="2"/>
  <c r="S1038" i="2"/>
  <c r="S1039" i="2"/>
  <c r="S1040" i="2"/>
  <c r="S1041" i="2"/>
  <c r="S1042" i="2"/>
  <c r="S1043" i="2"/>
  <c r="S1044" i="2"/>
  <c r="S1030" i="2"/>
  <c r="S1031" i="2"/>
  <c r="S1032" i="2"/>
  <c r="S1033" i="2"/>
  <c r="S1034" i="2"/>
  <c r="S1035" i="2"/>
  <c r="S1036" i="2"/>
  <c r="S1020" i="2"/>
  <c r="S1021" i="2"/>
  <c r="S1022" i="2"/>
  <c r="S1023" i="2"/>
  <c r="S1024" i="2"/>
  <c r="S1025" i="2"/>
  <c r="S1026" i="2"/>
  <c r="S1027" i="2"/>
  <c r="S1028" i="2"/>
  <c r="S1029" i="2"/>
  <c r="S1008" i="2"/>
  <c r="S1009" i="2"/>
  <c r="S1010" i="2"/>
  <c r="S1011" i="2"/>
  <c r="S1012" i="2"/>
  <c r="S1013" i="2"/>
  <c r="S1014" i="2"/>
  <c r="S1015" i="2"/>
  <c r="S1016" i="2"/>
  <c r="S1017" i="2"/>
  <c r="S1018" i="2"/>
  <c r="S1019" i="2"/>
  <c r="S1007" i="2"/>
  <c r="S1005" i="2"/>
  <c r="S1006" i="2"/>
  <c r="S1003" i="2"/>
  <c r="S1004" i="2"/>
  <c r="S1001" i="2"/>
  <c r="S1002" i="2"/>
  <c r="S1000" i="2"/>
  <c r="S998" i="2"/>
  <c r="S999" i="2"/>
  <c r="S995" i="2"/>
  <c r="S996" i="2"/>
  <c r="S997" i="2"/>
  <c r="S992" i="2"/>
  <c r="S993" i="2"/>
  <c r="S994" i="2"/>
  <c r="S988" i="2"/>
  <c r="S989" i="2"/>
  <c r="S990" i="2"/>
  <c r="S991" i="2"/>
  <c r="S981" i="2"/>
  <c r="S982" i="2"/>
  <c r="S983" i="2"/>
  <c r="S984" i="2"/>
  <c r="S985" i="2"/>
  <c r="S986" i="2"/>
  <c r="S987" i="2"/>
  <c r="S980" i="2"/>
  <c r="S979" i="2"/>
  <c r="S978" i="2"/>
  <c r="S977" i="2"/>
  <c r="S976" i="2"/>
  <c r="S975" i="2"/>
  <c r="S974" i="2"/>
  <c r="S973" i="2"/>
  <c r="S972" i="2"/>
  <c r="S971" i="2"/>
  <c r="S970" i="2"/>
  <c r="S969" i="2"/>
  <c r="S968" i="2"/>
  <c r="S967" i="2"/>
  <c r="S966" i="2"/>
  <c r="S965" i="2"/>
  <c r="S964" i="2"/>
  <c r="S963" i="2"/>
  <c r="S962" i="2"/>
  <c r="S961" i="2"/>
  <c r="S960" i="2"/>
  <c r="S959" i="2"/>
  <c r="S958" i="2"/>
  <c r="S957" i="2"/>
  <c r="S956" i="2"/>
  <c r="S955" i="2"/>
  <c r="S954" i="2"/>
  <c r="S953" i="2"/>
  <c r="S952" i="2"/>
  <c r="S951" i="2"/>
  <c r="S950" i="2"/>
  <c r="S949" i="2"/>
  <c r="S948" i="2"/>
  <c r="S947" i="2"/>
  <c r="S946" i="2"/>
  <c r="S945" i="2"/>
  <c r="S944" i="2"/>
  <c r="S943" i="2"/>
  <c r="S942" i="2"/>
  <c r="S941" i="2"/>
  <c r="S940" i="2"/>
  <c r="S939" i="2"/>
  <c r="S938" i="2"/>
  <c r="S937" i="2"/>
  <c r="S936" i="2"/>
  <c r="S935" i="2"/>
  <c r="S934" i="2"/>
  <c r="S933" i="2"/>
  <c r="S932" i="2"/>
  <c r="S931" i="2"/>
  <c r="S930" i="2"/>
  <c r="S929" i="2"/>
  <c r="S928" i="2"/>
  <c r="S927" i="2"/>
  <c r="S926" i="2"/>
  <c r="S925" i="2"/>
  <c r="S924" i="2"/>
  <c r="S923" i="2"/>
  <c r="S922" i="2"/>
  <c r="S921" i="2"/>
  <c r="S920" i="2"/>
  <c r="S919" i="2"/>
  <c r="S918" i="2"/>
  <c r="S917" i="2"/>
  <c r="S916" i="2"/>
  <c r="S915" i="2"/>
  <c r="S914" i="2"/>
  <c r="S913" i="2"/>
  <c r="S912" i="2"/>
  <c r="S911" i="2"/>
  <c r="S910" i="2"/>
  <c r="S909" i="2"/>
  <c r="S908" i="2"/>
  <c r="S907" i="2"/>
  <c r="S906" i="2"/>
  <c r="S905" i="2"/>
  <c r="S904" i="2"/>
  <c r="S903" i="2"/>
  <c r="S902" i="2"/>
  <c r="S901" i="2"/>
  <c r="S900" i="2"/>
  <c r="S899" i="2"/>
  <c r="S898" i="2"/>
  <c r="S897" i="2"/>
  <c r="S896" i="2"/>
  <c r="S895" i="2"/>
  <c r="S894" i="2"/>
  <c r="S893" i="2"/>
  <c r="S892" i="2"/>
  <c r="S891" i="2"/>
  <c r="S890" i="2"/>
  <c r="S889" i="2"/>
  <c r="S888" i="2"/>
  <c r="S887" i="2"/>
  <c r="S886" i="2"/>
  <c r="S885" i="2"/>
  <c r="S884" i="2"/>
  <c r="S883" i="2"/>
  <c r="S882" i="2"/>
  <c r="S881" i="2"/>
  <c r="S880" i="2"/>
  <c r="S879" i="2"/>
  <c r="S878" i="2"/>
  <c r="S877" i="2"/>
  <c r="S876" i="2"/>
  <c r="S875" i="2"/>
  <c r="S874" i="2"/>
  <c r="S873" i="2"/>
  <c r="S872" i="2"/>
  <c r="S871" i="2"/>
  <c r="S870" i="2"/>
  <c r="S869" i="2"/>
  <c r="S868" i="2"/>
  <c r="S867" i="2"/>
  <c r="S866" i="2"/>
  <c r="S865" i="2"/>
  <c r="S864" i="2"/>
  <c r="S863" i="2"/>
  <c r="S862" i="2"/>
  <c r="S861" i="2"/>
  <c r="S860" i="2"/>
  <c r="S859" i="2"/>
  <c r="S858" i="2"/>
  <c r="S857" i="2"/>
  <c r="S856" i="2"/>
  <c r="S855" i="2"/>
  <c r="S854" i="2"/>
  <c r="S853" i="2"/>
  <c r="S852" i="2"/>
  <c r="S851" i="2"/>
  <c r="S850" i="2"/>
  <c r="S849" i="2"/>
  <c r="S848" i="2"/>
  <c r="S847" i="2"/>
  <c r="S846" i="2"/>
  <c r="S845" i="2"/>
  <c r="S844" i="2"/>
  <c r="S843" i="2"/>
  <c r="S842" i="2"/>
  <c r="S841" i="2"/>
  <c r="S840" i="2"/>
  <c r="S839" i="2"/>
  <c r="S838" i="2"/>
  <c r="S837" i="2"/>
  <c r="S836" i="2"/>
  <c r="S835" i="2"/>
  <c r="S834" i="2"/>
  <c r="S833" i="2"/>
  <c r="S832" i="2"/>
  <c r="S831" i="2"/>
  <c r="S830" i="2"/>
  <c r="S829" i="2"/>
  <c r="S828" i="2"/>
  <c r="S827" i="2"/>
  <c r="S826" i="2"/>
  <c r="S825" i="2"/>
  <c r="S824" i="2"/>
  <c r="S823" i="2"/>
  <c r="S822" i="2"/>
  <c r="S821" i="2"/>
  <c r="S820" i="2"/>
  <c r="S819" i="2"/>
  <c r="S818" i="2"/>
  <c r="S817" i="2"/>
  <c r="S816" i="2"/>
  <c r="S815" i="2"/>
  <c r="S814" i="2"/>
  <c r="S813" i="2"/>
  <c r="S812" i="2"/>
  <c r="S811" i="2"/>
  <c r="S810" i="2"/>
  <c r="S809" i="2"/>
  <c r="S808" i="2"/>
  <c r="S807" i="2"/>
  <c r="S806" i="2"/>
  <c r="S805" i="2"/>
  <c r="S804" i="2"/>
  <c r="S803" i="2"/>
  <c r="S31" i="2"/>
  <c r="S802" i="2"/>
  <c r="S801" i="2"/>
  <c r="S800" i="2"/>
  <c r="S799" i="2"/>
  <c r="S798" i="2"/>
  <c r="S797" i="2"/>
  <c r="S796" i="2"/>
  <c r="S795" i="2"/>
  <c r="S794" i="2"/>
  <c r="S793" i="2"/>
  <c r="S792" i="2"/>
  <c r="S791" i="2"/>
  <c r="S790" i="2"/>
  <c r="S789" i="2"/>
  <c r="S788" i="2"/>
  <c r="S787" i="2"/>
  <c r="S13" i="2"/>
  <c r="S786" i="2"/>
  <c r="S785" i="2"/>
  <c r="S784" i="2"/>
  <c r="S783" i="2"/>
  <c r="S782" i="2"/>
  <c r="S781" i="2"/>
  <c r="S780" i="2"/>
  <c r="S779" i="2"/>
  <c r="S778" i="2"/>
  <c r="S777" i="2"/>
  <c r="S776" i="2"/>
  <c r="S775" i="2"/>
  <c r="S774" i="2"/>
  <c r="S773" i="2"/>
  <c r="S772" i="2"/>
  <c r="S771" i="2"/>
  <c r="S770" i="2"/>
  <c r="S769" i="2"/>
  <c r="S768" i="2"/>
  <c r="S767" i="2"/>
  <c r="S680" i="2"/>
  <c r="S664" i="2"/>
  <c r="S766" i="2"/>
  <c r="S765" i="2"/>
  <c r="S764" i="2"/>
  <c r="S763" i="2"/>
  <c r="S762" i="2"/>
  <c r="S761" i="2"/>
  <c r="S760" i="2"/>
  <c r="S759" i="2"/>
  <c r="S758" i="2"/>
  <c r="S757" i="2"/>
  <c r="S756" i="2"/>
  <c r="S755" i="2"/>
  <c r="S754" i="2"/>
  <c r="S753" i="2"/>
  <c r="S675" i="2"/>
  <c r="S12" i="2"/>
  <c r="S752" i="2"/>
  <c r="S751" i="2"/>
  <c r="S750" i="2"/>
  <c r="S749" i="2"/>
  <c r="S748" i="2"/>
  <c r="S747" i="2"/>
  <c r="S746" i="2"/>
  <c r="S745" i="2"/>
  <c r="S744" i="2"/>
  <c r="S743" i="2"/>
  <c r="S742" i="2"/>
  <c r="S741" i="2"/>
  <c r="S740" i="2"/>
  <c r="S739" i="2"/>
  <c r="S738" i="2"/>
  <c r="S737" i="2"/>
  <c r="S736" i="2"/>
  <c r="S735" i="2"/>
  <c r="S734" i="2"/>
  <c r="S733" i="2"/>
  <c r="S732" i="2"/>
  <c r="S731" i="2"/>
  <c r="S730" i="2"/>
  <c r="S729" i="2"/>
  <c r="S728" i="2"/>
  <c r="S727" i="2"/>
  <c r="S726" i="2"/>
  <c r="S725" i="2"/>
  <c r="S724" i="2"/>
  <c r="S723" i="2"/>
  <c r="S722" i="2"/>
  <c r="S721" i="2"/>
  <c r="S720" i="2"/>
  <c r="S719" i="2"/>
  <c r="S718" i="2"/>
  <c r="S717" i="2"/>
  <c r="S716" i="2"/>
  <c r="S715" i="2"/>
  <c r="S17" i="2"/>
  <c r="S714" i="2"/>
  <c r="S713" i="2"/>
  <c r="S712" i="2"/>
  <c r="S711" i="2"/>
  <c r="S710" i="2"/>
  <c r="S709" i="2"/>
  <c r="S708" i="2"/>
  <c r="S707" i="2"/>
  <c r="S706" i="2"/>
  <c r="S705" i="2"/>
  <c r="S681" i="2"/>
  <c r="S704" i="2"/>
  <c r="S703" i="2"/>
  <c r="S702" i="2"/>
  <c r="S701" i="2"/>
  <c r="S700" i="2"/>
  <c r="S699" i="2"/>
  <c r="S698" i="2"/>
  <c r="S697" i="2"/>
  <c r="S696" i="2"/>
  <c r="S695" i="2"/>
  <c r="S694" i="2"/>
  <c r="S693" i="2"/>
  <c r="S692" i="2"/>
  <c r="S691" i="2"/>
  <c r="S690" i="2"/>
  <c r="S689" i="2"/>
  <c r="S688" i="2"/>
  <c r="S687" i="2"/>
  <c r="S686" i="2"/>
  <c r="S685" i="2"/>
  <c r="S684" i="2"/>
  <c r="S683" i="2"/>
  <c r="X35" i="6"/>
  <c r="W35" i="6"/>
  <c r="V35" i="6"/>
  <c r="U35" i="6"/>
  <c r="T35" i="6"/>
  <c r="S35" i="6"/>
  <c r="R35" i="6"/>
  <c r="Q35" i="6"/>
  <c r="P35" i="6"/>
  <c r="O35" i="6"/>
  <c r="N35" i="6"/>
  <c r="F35" i="6"/>
  <c r="H171" i="7"/>
  <c r="G172" i="7"/>
  <c r="S682" i="2"/>
  <c r="S679" i="2"/>
  <c r="S678" i="2"/>
  <c r="S677" i="2"/>
  <c r="S676" i="2"/>
  <c r="S674" i="2"/>
  <c r="S673" i="2"/>
  <c r="S672" i="2"/>
  <c r="S671" i="2"/>
  <c r="S670" i="2"/>
  <c r="S669" i="2"/>
  <c r="S668" i="2"/>
  <c r="S667" i="2"/>
  <c r="S666" i="2"/>
  <c r="S665" i="2"/>
  <c r="S663" i="2"/>
  <c r="S662" i="2"/>
  <c r="S661" i="2"/>
  <c r="H162" i="7"/>
  <c r="G163" i="7"/>
  <c r="C164" i="7" s="1"/>
  <c r="E164" i="7" s="1"/>
  <c r="H153" i="7"/>
  <c r="G154" i="7"/>
  <c r="C155" i="7" s="1"/>
  <c r="E155" i="7" s="1"/>
  <c r="H144" i="7"/>
  <c r="G145" i="7"/>
  <c r="C146" i="7" s="1"/>
  <c r="E146" i="7" s="1"/>
  <c r="S660" i="2"/>
  <c r="S659" i="2"/>
  <c r="S658" i="2"/>
  <c r="S657" i="2"/>
  <c r="S656" i="2"/>
  <c r="S655" i="2"/>
  <c r="S654" i="2"/>
  <c r="S653" i="2"/>
  <c r="S652" i="2"/>
  <c r="S651" i="2"/>
  <c r="S650" i="2"/>
  <c r="S649" i="2"/>
  <c r="S648" i="2"/>
  <c r="S647" i="2"/>
  <c r="S646" i="2"/>
  <c r="S645" i="2"/>
  <c r="S644" i="2"/>
  <c r="S643" i="2"/>
  <c r="S642" i="2"/>
  <c r="S641" i="2"/>
  <c r="S640" i="2"/>
  <c r="S639" i="2"/>
  <c r="S638" i="2"/>
  <c r="S637" i="2"/>
  <c r="S636" i="2"/>
  <c r="S635" i="2"/>
  <c r="S634" i="2"/>
  <c r="S633" i="2"/>
  <c r="S632" i="2"/>
  <c r="S631" i="2"/>
  <c r="S630" i="2"/>
  <c r="S629" i="2"/>
  <c r="S628" i="2"/>
  <c r="S627" i="2"/>
  <c r="S626" i="2"/>
  <c r="S625" i="2"/>
  <c r="S624" i="2"/>
  <c r="S623" i="2"/>
  <c r="S622" i="2"/>
  <c r="S621" i="2"/>
  <c r="S620" i="2"/>
  <c r="S619" i="2"/>
  <c r="S618" i="2"/>
  <c r="S617" i="2"/>
  <c r="S616" i="2"/>
  <c r="S615" i="2"/>
  <c r="S614" i="2"/>
  <c r="S613" i="2"/>
  <c r="S612" i="2"/>
  <c r="S611" i="2"/>
  <c r="S610" i="2"/>
  <c r="S609" i="2"/>
  <c r="S608" i="2"/>
  <c r="S607" i="2"/>
  <c r="S606" i="2"/>
  <c r="S605" i="2"/>
  <c r="S604" i="2"/>
  <c r="S603" i="2"/>
  <c r="S602" i="2"/>
  <c r="S601" i="2"/>
  <c r="S600" i="2"/>
  <c r="S599" i="2"/>
  <c r="S598" i="2"/>
  <c r="S597" i="2"/>
  <c r="S596" i="2"/>
  <c r="S595" i="2"/>
  <c r="S594" i="2"/>
  <c r="S593" i="2"/>
  <c r="S592" i="2"/>
  <c r="S591" i="2"/>
  <c r="S590" i="2"/>
  <c r="S589" i="2"/>
  <c r="S588" i="2"/>
  <c r="S587" i="2"/>
  <c r="S586" i="2"/>
  <c r="S585" i="2"/>
  <c r="S584" i="2"/>
  <c r="S583" i="2"/>
  <c r="S582" i="2"/>
  <c r="S581" i="2"/>
  <c r="S580" i="2"/>
  <c r="S579" i="2"/>
  <c r="S578" i="2"/>
  <c r="S577" i="2"/>
  <c r="S576" i="2"/>
  <c r="S575" i="2"/>
  <c r="S574" i="2"/>
  <c r="S573" i="2"/>
  <c r="S572" i="2"/>
  <c r="S571" i="2"/>
  <c r="S570" i="2"/>
  <c r="S569" i="2"/>
  <c r="S568" i="2"/>
  <c r="S567" i="2"/>
  <c r="S566" i="2"/>
  <c r="S565" i="2"/>
  <c r="S564" i="2"/>
  <c r="H135" i="7"/>
  <c r="G136" i="7"/>
  <c r="C137" i="7" s="1"/>
  <c r="E137" i="7" s="1"/>
  <c r="G127" i="7"/>
  <c r="C128" i="7" s="1"/>
  <c r="E128" i="7" s="1"/>
  <c r="H126" i="7"/>
  <c r="G118" i="7"/>
  <c r="C119" i="7" s="1"/>
  <c r="E119" i="7" s="1"/>
  <c r="H117" i="7"/>
  <c r="S559" i="2"/>
  <c r="S560" i="2"/>
  <c r="S561" i="2"/>
  <c r="S562" i="2"/>
  <c r="S563" i="2"/>
  <c r="S554" i="2"/>
  <c r="S555" i="2"/>
  <c r="S556" i="2"/>
  <c r="S557" i="2"/>
  <c r="S558" i="2"/>
  <c r="S551" i="2"/>
  <c r="S552" i="2"/>
  <c r="S553" i="2"/>
  <c r="S546" i="2"/>
  <c r="S547" i="2"/>
  <c r="S548" i="2"/>
  <c r="S549" i="2"/>
  <c r="S550" i="2"/>
  <c r="S542" i="2"/>
  <c r="S543" i="2"/>
  <c r="S544" i="2"/>
  <c r="S545" i="2"/>
  <c r="S536" i="2"/>
  <c r="S537" i="2"/>
  <c r="S538" i="2"/>
  <c r="S539" i="2"/>
  <c r="S540" i="2"/>
  <c r="S541" i="2"/>
  <c r="H108" i="7"/>
  <c r="G109" i="7"/>
  <c r="C110" i="7" s="1"/>
  <c r="E110" i="7" s="1"/>
  <c r="S532" i="2"/>
  <c r="S533" i="2"/>
  <c r="S534" i="2"/>
  <c r="S535" i="2"/>
  <c r="H99" i="7"/>
  <c r="G100" i="7"/>
  <c r="C101" i="7" s="1"/>
  <c r="E101" i="7" s="1"/>
  <c r="H90" i="7"/>
  <c r="G91" i="7"/>
  <c r="C92" i="7" s="1"/>
  <c r="E92" i="7" s="1"/>
  <c r="S528" i="2"/>
  <c r="S529" i="2"/>
  <c r="S530" i="2"/>
  <c r="S531" i="2"/>
  <c r="S523" i="2"/>
  <c r="S524" i="2"/>
  <c r="S525" i="2"/>
  <c r="S526" i="2"/>
  <c r="S527" i="2"/>
  <c r="H81" i="7"/>
  <c r="G82" i="7"/>
  <c r="C83" i="7" s="1"/>
  <c r="E83" i="7" s="1"/>
  <c r="S517" i="2"/>
  <c r="S518" i="2"/>
  <c r="S519" i="2"/>
  <c r="S520" i="2"/>
  <c r="S521" i="2"/>
  <c r="S522" i="2"/>
  <c r="G73" i="7"/>
  <c r="C74" i="7" s="1"/>
  <c r="E74" i="7" s="1"/>
  <c r="H72" i="7"/>
  <c r="S516" i="2"/>
  <c r="S510" i="2"/>
  <c r="S511" i="2"/>
  <c r="S512" i="2"/>
  <c r="S513" i="2"/>
  <c r="S514" i="2"/>
  <c r="S515" i="2"/>
  <c r="F34" i="6"/>
  <c r="X34" i="6"/>
  <c r="W34" i="6"/>
  <c r="V34" i="6"/>
  <c r="U34" i="6"/>
  <c r="T34" i="6"/>
  <c r="S34" i="6"/>
  <c r="R34" i="6"/>
  <c r="Q34" i="6"/>
  <c r="P34" i="6"/>
  <c r="O34" i="6"/>
  <c r="N34" i="6"/>
  <c r="G64" i="7"/>
  <c r="C65" i="7" s="1"/>
  <c r="E65" i="7" s="1"/>
  <c r="H63" i="7"/>
  <c r="S502" i="2"/>
  <c r="S503" i="2"/>
  <c r="S504" i="2"/>
  <c r="S505" i="2"/>
  <c r="S506" i="2"/>
  <c r="S507" i="2"/>
  <c r="S508" i="2"/>
  <c r="S509" i="2"/>
  <c r="S494" i="2"/>
  <c r="S495" i="2"/>
  <c r="S496" i="2"/>
  <c r="S497" i="2"/>
  <c r="S498" i="2"/>
  <c r="S499" i="2"/>
  <c r="S500" i="2"/>
  <c r="S501" i="2"/>
  <c r="G55" i="7"/>
  <c r="C56" i="7" s="1"/>
  <c r="E56" i="7" s="1"/>
  <c r="H54" i="7"/>
  <c r="G46" i="7"/>
  <c r="C47" i="7" s="1"/>
  <c r="E47" i="7" s="1"/>
  <c r="H45" i="7"/>
  <c r="G37" i="7"/>
  <c r="C38" i="7" s="1"/>
  <c r="E38" i="7" s="1"/>
  <c r="H36" i="7"/>
  <c r="G28" i="7"/>
  <c r="C29" i="7" s="1"/>
  <c r="E29" i="7" s="1"/>
  <c r="H27" i="7"/>
  <c r="G19" i="7"/>
  <c r="C20" i="7" s="1"/>
  <c r="E20" i="7" s="1"/>
  <c r="H18" i="7"/>
  <c r="G10" i="7"/>
  <c r="C11" i="7" s="1"/>
  <c r="E11" i="7" s="1"/>
  <c r="H9" i="7"/>
  <c r="S484" i="2"/>
  <c r="S485" i="2"/>
  <c r="S486" i="2"/>
  <c r="S487" i="2"/>
  <c r="S488" i="2"/>
  <c r="S489" i="2"/>
  <c r="S490" i="2"/>
  <c r="S491" i="2"/>
  <c r="S492" i="2"/>
  <c r="S493" i="2"/>
  <c r="S474" i="2"/>
  <c r="S475" i="2"/>
  <c r="S476" i="2"/>
  <c r="S477" i="2"/>
  <c r="S478" i="2"/>
  <c r="S479" i="2"/>
  <c r="S480" i="2"/>
  <c r="S481" i="2"/>
  <c r="S482" i="2"/>
  <c r="S483" i="2"/>
  <c r="S470" i="2"/>
  <c r="S471" i="2"/>
  <c r="S472" i="2"/>
  <c r="S473" i="2"/>
  <c r="S466" i="2"/>
  <c r="S467" i="2"/>
  <c r="S468" i="2"/>
  <c r="S469" i="2"/>
  <c r="S461" i="2"/>
  <c r="S462" i="2"/>
  <c r="S463" i="2"/>
  <c r="S464" i="2"/>
  <c r="S465" i="2"/>
  <c r="S457" i="2"/>
  <c r="S458" i="2"/>
  <c r="S459" i="2"/>
  <c r="S460" i="2"/>
  <c r="S446" i="2"/>
  <c r="S447" i="2"/>
  <c r="S448" i="2"/>
  <c r="S449" i="2"/>
  <c r="S450" i="2"/>
  <c r="S451" i="2"/>
  <c r="S452" i="2"/>
  <c r="S453" i="2"/>
  <c r="S454" i="2"/>
  <c r="S455" i="2"/>
  <c r="S456" i="2"/>
  <c r="S437" i="2"/>
  <c r="S438" i="2"/>
  <c r="S439" i="2"/>
  <c r="S440" i="2"/>
  <c r="S441" i="2"/>
  <c r="S442" i="2"/>
  <c r="S443" i="2"/>
  <c r="S444" i="2"/>
  <c r="S445" i="2"/>
  <c r="S425" i="2"/>
  <c r="S426" i="2"/>
  <c r="S427" i="2"/>
  <c r="S428" i="2"/>
  <c r="S429" i="2"/>
  <c r="S430" i="2"/>
  <c r="S431" i="2"/>
  <c r="S432" i="2"/>
  <c r="S433" i="2"/>
  <c r="S434" i="2"/>
  <c r="S435" i="2"/>
  <c r="S436" i="2"/>
  <c r="S411" i="2"/>
  <c r="S412" i="2"/>
  <c r="S413" i="2"/>
  <c r="S414" i="2"/>
  <c r="S415" i="2"/>
  <c r="S416" i="2"/>
  <c r="S417" i="2"/>
  <c r="S418" i="2"/>
  <c r="S419" i="2"/>
  <c r="S420" i="2"/>
  <c r="S421" i="2"/>
  <c r="S422" i="2"/>
  <c r="S423" i="2"/>
  <c r="S424" i="2"/>
  <c r="S396" i="2"/>
  <c r="S397" i="2"/>
  <c r="S398" i="2"/>
  <c r="S399" i="2"/>
  <c r="S400" i="2"/>
  <c r="S401" i="2"/>
  <c r="S402" i="2"/>
  <c r="S403" i="2"/>
  <c r="S404" i="2"/>
  <c r="S405" i="2"/>
  <c r="S406" i="2"/>
  <c r="S407" i="2"/>
  <c r="S408" i="2"/>
  <c r="S409" i="2"/>
  <c r="S410" i="2"/>
  <c r="S379" i="2"/>
  <c r="S380" i="2"/>
  <c r="S381" i="2"/>
  <c r="S382" i="2"/>
  <c r="S383" i="2"/>
  <c r="S384" i="2"/>
  <c r="S385" i="2"/>
  <c r="S386" i="2"/>
  <c r="S387" i="2"/>
  <c r="S388" i="2"/>
  <c r="S389" i="2"/>
  <c r="S390" i="2"/>
  <c r="S391" i="2"/>
  <c r="S392" i="2"/>
  <c r="S393" i="2"/>
  <c r="S394" i="2"/>
  <c r="S395" i="2"/>
  <c r="S369" i="2"/>
  <c r="S370" i="2"/>
  <c r="S371" i="2"/>
  <c r="S372" i="2"/>
  <c r="S373" i="2"/>
  <c r="S374" i="2"/>
  <c r="S375" i="2"/>
  <c r="S376" i="2"/>
  <c r="S377" i="2"/>
  <c r="S378" i="2"/>
  <c r="S358" i="2"/>
  <c r="S359" i="2"/>
  <c r="S360" i="2"/>
  <c r="S361" i="2"/>
  <c r="S362" i="2"/>
  <c r="S363" i="2"/>
  <c r="S364" i="2"/>
  <c r="S365" i="2"/>
  <c r="S366" i="2"/>
  <c r="S367" i="2"/>
  <c r="S368" i="2"/>
  <c r="S349" i="2"/>
  <c r="S350" i="2"/>
  <c r="S351" i="2"/>
  <c r="S352" i="2"/>
  <c r="S353" i="2"/>
  <c r="S354" i="2"/>
  <c r="S355" i="2"/>
  <c r="S356" i="2"/>
  <c r="S357" i="2"/>
  <c r="S341" i="2"/>
  <c r="S342" i="2"/>
  <c r="S343" i="2"/>
  <c r="S344" i="2"/>
  <c r="S345" i="2"/>
  <c r="S346" i="2"/>
  <c r="S347" i="2"/>
  <c r="S348" i="2"/>
  <c r="S332" i="2"/>
  <c r="S333" i="2"/>
  <c r="S334" i="2"/>
  <c r="S335" i="2"/>
  <c r="S336" i="2"/>
  <c r="S337" i="2"/>
  <c r="S338" i="2"/>
  <c r="S339" i="2"/>
  <c r="S340" i="2"/>
  <c r="S319" i="2"/>
  <c r="S320" i="2"/>
  <c r="S321" i="2"/>
  <c r="S322" i="2"/>
  <c r="S323" i="2"/>
  <c r="S324" i="2"/>
  <c r="S325" i="2"/>
  <c r="S326" i="2"/>
  <c r="S327" i="2"/>
  <c r="S328" i="2"/>
  <c r="S329" i="2"/>
  <c r="S330" i="2"/>
  <c r="S331" i="2"/>
  <c r="S306" i="2"/>
  <c r="S307" i="2"/>
  <c r="S308" i="2"/>
  <c r="S309" i="2"/>
  <c r="S310" i="2"/>
  <c r="S311" i="2"/>
  <c r="S312" i="2"/>
  <c r="S313" i="2"/>
  <c r="S314" i="2"/>
  <c r="S315" i="2"/>
  <c r="S316" i="2"/>
  <c r="S317" i="2"/>
  <c r="S318" i="2"/>
  <c r="X33" i="6"/>
  <c r="W33" i="6"/>
  <c r="V33" i="6"/>
  <c r="U33" i="6"/>
  <c r="T33" i="6"/>
  <c r="S33" i="6"/>
  <c r="R33" i="6"/>
  <c r="Q33" i="6"/>
  <c r="P33" i="6"/>
  <c r="O33" i="6"/>
  <c r="N33" i="6"/>
  <c r="I33" i="6"/>
  <c r="M33" i="6" s="1"/>
  <c r="F33" i="6"/>
  <c r="S305" i="2"/>
  <c r="X32" i="6"/>
  <c r="W32" i="6"/>
  <c r="V32" i="6"/>
  <c r="U32" i="6"/>
  <c r="T32" i="6"/>
  <c r="S32" i="6"/>
  <c r="R32" i="6"/>
  <c r="Q32" i="6"/>
  <c r="P32" i="6"/>
  <c r="O32" i="6"/>
  <c r="N32" i="6"/>
  <c r="I32" i="6"/>
  <c r="M32" i="6" s="1"/>
  <c r="F32" i="6"/>
  <c r="S304" i="2"/>
  <c r="X31" i="6"/>
  <c r="W31" i="6"/>
  <c r="V31" i="6"/>
  <c r="U31" i="6"/>
  <c r="T31" i="6"/>
  <c r="S31" i="6"/>
  <c r="R31" i="6"/>
  <c r="Q31" i="6"/>
  <c r="P31" i="6"/>
  <c r="O31" i="6"/>
  <c r="N31" i="6"/>
  <c r="I31" i="6"/>
  <c r="M31" i="6" s="1"/>
  <c r="F31" i="6"/>
  <c r="X30" i="6"/>
  <c r="W30" i="6"/>
  <c r="V30" i="6"/>
  <c r="U30" i="6"/>
  <c r="T30" i="6"/>
  <c r="S30" i="6"/>
  <c r="R30" i="6"/>
  <c r="Q30" i="6"/>
  <c r="P30" i="6"/>
  <c r="O30" i="6"/>
  <c r="N30" i="6"/>
  <c r="I30" i="6"/>
  <c r="M30" i="6" s="1"/>
  <c r="F30" i="6"/>
  <c r="S302" i="2"/>
  <c r="X29" i="6"/>
  <c r="W29" i="6"/>
  <c r="V29" i="6"/>
  <c r="U29" i="6"/>
  <c r="T29" i="6"/>
  <c r="S29" i="6"/>
  <c r="R29" i="6"/>
  <c r="Q29" i="6"/>
  <c r="P29" i="6"/>
  <c r="O29" i="6"/>
  <c r="N29" i="6"/>
  <c r="I29" i="6"/>
  <c r="K29" i="6" s="1"/>
  <c r="F29" i="6"/>
  <c r="S301" i="2"/>
  <c r="X28" i="6"/>
  <c r="W28" i="6"/>
  <c r="V28" i="6"/>
  <c r="U28" i="6"/>
  <c r="T28" i="6"/>
  <c r="S28" i="6"/>
  <c r="R28" i="6"/>
  <c r="Q28" i="6"/>
  <c r="P28" i="6"/>
  <c r="O28" i="6"/>
  <c r="N28" i="6"/>
  <c r="I28" i="6"/>
  <c r="K28" i="6" s="1"/>
  <c r="F28" i="6"/>
  <c r="S300" i="2"/>
  <c r="X27" i="6"/>
  <c r="W27" i="6"/>
  <c r="V27" i="6"/>
  <c r="U27" i="6"/>
  <c r="T27" i="6"/>
  <c r="S27" i="6"/>
  <c r="R27" i="6"/>
  <c r="Q27" i="6"/>
  <c r="P27" i="6"/>
  <c r="O27" i="6"/>
  <c r="N27" i="6"/>
  <c r="I27" i="6"/>
  <c r="K27" i="6" s="1"/>
  <c r="F27" i="6"/>
  <c r="S299" i="2"/>
  <c r="X26" i="6"/>
  <c r="W26" i="6"/>
  <c r="V26" i="6"/>
  <c r="U26" i="6"/>
  <c r="T26" i="6"/>
  <c r="S26" i="6"/>
  <c r="R26" i="6"/>
  <c r="Q26" i="6"/>
  <c r="P26" i="6"/>
  <c r="O26" i="6"/>
  <c r="N26" i="6"/>
  <c r="I26" i="6"/>
  <c r="M26" i="6" s="1"/>
  <c r="F26" i="6"/>
  <c r="S298" i="2"/>
  <c r="X25" i="6"/>
  <c r="W25" i="6"/>
  <c r="V25" i="6"/>
  <c r="U25" i="6"/>
  <c r="T25" i="6"/>
  <c r="S25" i="6"/>
  <c r="R25" i="6"/>
  <c r="Q25" i="6"/>
  <c r="P25" i="6"/>
  <c r="O25" i="6"/>
  <c r="N25" i="6"/>
  <c r="I25" i="6"/>
  <c r="M25" i="6" s="1"/>
  <c r="F25" i="6"/>
  <c r="S297" i="2"/>
  <c r="X24" i="6"/>
  <c r="W24" i="6"/>
  <c r="V24" i="6"/>
  <c r="U24" i="6"/>
  <c r="T24" i="6"/>
  <c r="S24" i="6"/>
  <c r="R24" i="6"/>
  <c r="Q24" i="6"/>
  <c r="P24" i="6"/>
  <c r="O24" i="6"/>
  <c r="N24" i="6"/>
  <c r="I24" i="6"/>
  <c r="M24" i="6" s="1"/>
  <c r="F24" i="6"/>
  <c r="S296" i="2"/>
  <c r="X23" i="6"/>
  <c r="W23" i="6"/>
  <c r="V23" i="6"/>
  <c r="U23" i="6"/>
  <c r="T23" i="6"/>
  <c r="S23" i="6"/>
  <c r="R23" i="6"/>
  <c r="Q23" i="6"/>
  <c r="P23" i="6"/>
  <c r="O23" i="6"/>
  <c r="N23" i="6"/>
  <c r="I23" i="6"/>
  <c r="M23" i="6" s="1"/>
  <c r="F23" i="6"/>
  <c r="G3" i="6"/>
  <c r="I3" i="6" s="1"/>
  <c r="K3" i="6" s="1"/>
  <c r="G4" i="6"/>
  <c r="T4" i="6" s="1"/>
  <c r="G5" i="6"/>
  <c r="T5" i="6" s="1"/>
  <c r="G6" i="6"/>
  <c r="N6" i="6" s="1"/>
  <c r="G7" i="6"/>
  <c r="O7" i="6" s="1"/>
  <c r="G8" i="6"/>
  <c r="P8" i="6" s="1"/>
  <c r="G9" i="6"/>
  <c r="Q9" i="6" s="1"/>
  <c r="G10" i="6"/>
  <c r="T10" i="6" s="1"/>
  <c r="G11" i="6"/>
  <c r="I11" i="6" s="1"/>
  <c r="K11" i="6" s="1"/>
  <c r="G12" i="6"/>
  <c r="N12" i="6" s="1"/>
  <c r="G13" i="6"/>
  <c r="O13" i="6" s="1"/>
  <c r="G14" i="6"/>
  <c r="P14" i="6" s="1"/>
  <c r="G15" i="6"/>
  <c r="O15" i="6" s="1"/>
  <c r="G16" i="6"/>
  <c r="P16" i="6" s="1"/>
  <c r="G17" i="6"/>
  <c r="Q17" i="6" s="1"/>
  <c r="G18" i="6"/>
  <c r="T18" i="6" s="1"/>
  <c r="G19" i="6"/>
  <c r="I19" i="6" s="1"/>
  <c r="K19" i="6" s="1"/>
  <c r="G20" i="6"/>
  <c r="N20" i="6" s="1"/>
  <c r="G21" i="6"/>
  <c r="O21" i="6" s="1"/>
  <c r="G22" i="6"/>
  <c r="P22" i="6" s="1"/>
  <c r="S295" i="2"/>
  <c r="S293" i="2"/>
  <c r="S294" i="2"/>
  <c r="S292" i="2"/>
  <c r="S277" i="2"/>
  <c r="S278" i="2"/>
  <c r="S279" i="2"/>
  <c r="S280" i="2"/>
  <c r="S281" i="2"/>
  <c r="S282" i="2"/>
  <c r="S283" i="2"/>
  <c r="S284" i="2"/>
  <c r="S285" i="2"/>
  <c r="S286" i="2"/>
  <c r="S287" i="2"/>
  <c r="S288" i="2"/>
  <c r="S289" i="2"/>
  <c r="S290" i="2"/>
  <c r="S291" i="2"/>
  <c r="S254" i="2"/>
  <c r="S255" i="2"/>
  <c r="S256" i="2"/>
  <c r="S257" i="2"/>
  <c r="S258" i="2"/>
  <c r="S259" i="2"/>
  <c r="S260" i="2"/>
  <c r="S261" i="2"/>
  <c r="S262" i="2"/>
  <c r="S263" i="2"/>
  <c r="S264" i="2"/>
  <c r="S265" i="2"/>
  <c r="S266" i="2"/>
  <c r="S267" i="2"/>
  <c r="S268" i="2"/>
  <c r="S269" i="2"/>
  <c r="S270" i="2"/>
  <c r="S271" i="2"/>
  <c r="S272" i="2"/>
  <c r="S273" i="2"/>
  <c r="S274" i="2"/>
  <c r="S275" i="2"/>
  <c r="S276" i="2"/>
  <c r="S243" i="2"/>
  <c r="S244" i="2"/>
  <c r="S245" i="2"/>
  <c r="S246" i="2"/>
  <c r="S247" i="2"/>
  <c r="S248" i="2"/>
  <c r="S249" i="2"/>
  <c r="S250" i="2"/>
  <c r="S251" i="2"/>
  <c r="S252" i="2"/>
  <c r="S253" i="2"/>
  <c r="S228" i="2"/>
  <c r="S229" i="2"/>
  <c r="S230" i="2"/>
  <c r="S231" i="2"/>
  <c r="S232" i="2"/>
  <c r="S233" i="2"/>
  <c r="S234" i="2"/>
  <c r="S235" i="2"/>
  <c r="S236" i="2"/>
  <c r="S237" i="2"/>
  <c r="S238" i="2"/>
  <c r="S239" i="2"/>
  <c r="S240" i="2"/>
  <c r="S241" i="2"/>
  <c r="S242" i="2"/>
  <c r="S227" i="2"/>
  <c r="S226" i="2"/>
  <c r="S225" i="2"/>
  <c r="S224" i="2"/>
  <c r="S223" i="2"/>
  <c r="S222" i="2"/>
  <c r="S221" i="2"/>
  <c r="S220" i="2"/>
  <c r="S219" i="2"/>
  <c r="S218" i="2"/>
  <c r="S217" i="2"/>
  <c r="S216" i="2"/>
  <c r="S215" i="2"/>
  <c r="S214" i="2"/>
  <c r="S213" i="2"/>
  <c r="S212" i="2"/>
  <c r="S211" i="2"/>
  <c r="S210" i="2"/>
  <c r="S209" i="2"/>
  <c r="S208" i="2"/>
  <c r="S207" i="2"/>
  <c r="S206" i="2"/>
  <c r="S205" i="2"/>
  <c r="S204" i="2"/>
  <c r="S203" i="2"/>
  <c r="S202" i="2"/>
  <c r="S201" i="2"/>
  <c r="S200" i="2"/>
  <c r="S199" i="2"/>
  <c r="S198" i="2"/>
  <c r="S197" i="2"/>
  <c r="S196" i="2"/>
  <c r="S195" i="2"/>
  <c r="S194" i="2"/>
  <c r="S193" i="2"/>
  <c r="S192" i="2"/>
  <c r="S191" i="2"/>
  <c r="S190" i="2"/>
  <c r="S189" i="2"/>
  <c r="S188" i="2"/>
  <c r="S187" i="2"/>
  <c r="S186" i="2"/>
  <c r="S185" i="2"/>
  <c r="S184" i="2"/>
  <c r="S183" i="2"/>
  <c r="S182" i="2"/>
  <c r="S181" i="2"/>
  <c r="S180" i="2"/>
  <c r="S179" i="2"/>
  <c r="S178" i="2"/>
  <c r="S177" i="2"/>
  <c r="S176" i="2"/>
  <c r="S175" i="2"/>
  <c r="S174" i="2"/>
  <c r="S173" i="2"/>
  <c r="S172" i="2"/>
  <c r="S171" i="2"/>
  <c r="S170" i="2"/>
  <c r="S169" i="2"/>
  <c r="S168" i="2"/>
  <c r="S167" i="2"/>
  <c r="S166" i="2"/>
  <c r="S165" i="2"/>
  <c r="S164" i="2"/>
  <c r="S163" i="2"/>
  <c r="S162" i="2"/>
  <c r="S161" i="2"/>
  <c r="S160" i="2"/>
  <c r="S159" i="2"/>
  <c r="S158" i="2"/>
  <c r="S157" i="2"/>
  <c r="S156" i="2"/>
  <c r="S155" i="2"/>
  <c r="S154" i="2"/>
  <c r="S153" i="2"/>
  <c r="S152" i="2"/>
  <c r="S151" i="2"/>
  <c r="S150" i="2"/>
  <c r="S149" i="2"/>
  <c r="S148" i="2"/>
  <c r="S147" i="2"/>
  <c r="S146" i="2"/>
  <c r="S145" i="2"/>
  <c r="S144" i="2"/>
  <c r="S143" i="2"/>
  <c r="S142" i="2"/>
  <c r="S141" i="2"/>
  <c r="S140" i="2"/>
  <c r="S139" i="2"/>
  <c r="S138" i="2"/>
  <c r="S137" i="2"/>
  <c r="S136" i="2"/>
  <c r="S135" i="2"/>
  <c r="S134" i="2"/>
  <c r="S133" i="2"/>
  <c r="S132" i="2"/>
  <c r="S131" i="2"/>
  <c r="S130" i="2"/>
  <c r="S129" i="2"/>
  <c r="S128" i="2"/>
  <c r="S127" i="2"/>
  <c r="S126" i="2"/>
  <c r="S125" i="2"/>
  <c r="S124" i="2"/>
  <c r="S123" i="2"/>
  <c r="S122" i="2"/>
  <c r="S121" i="2"/>
  <c r="S120" i="2"/>
  <c r="S119" i="2"/>
  <c r="S118" i="2"/>
  <c r="S117" i="2"/>
  <c r="S116" i="2"/>
  <c r="S115" i="2"/>
  <c r="S114" i="2"/>
  <c r="S113" i="2"/>
  <c r="S112" i="2"/>
  <c r="S111" i="2"/>
  <c r="S110" i="2"/>
  <c r="S109" i="2"/>
  <c r="S108" i="2"/>
  <c r="S107" i="2"/>
  <c r="S106" i="2"/>
  <c r="S105" i="2"/>
  <c r="S104" i="2"/>
  <c r="S103" i="2"/>
  <c r="S102" i="2"/>
  <c r="S101" i="2"/>
  <c r="S100" i="2"/>
  <c r="S99" i="2"/>
  <c r="S98" i="2"/>
  <c r="S97" i="2"/>
  <c r="S96" i="2"/>
  <c r="S95" i="2"/>
  <c r="S94" i="2"/>
  <c r="S93" i="2"/>
  <c r="S92" i="2"/>
  <c r="S91" i="2"/>
  <c r="S90" i="2"/>
  <c r="S89" i="2"/>
  <c r="S88" i="2"/>
  <c r="S87" i="2"/>
  <c r="S86" i="2"/>
  <c r="S85" i="2"/>
  <c r="S84" i="2"/>
  <c r="S83" i="2"/>
  <c r="S82" i="2"/>
  <c r="S81" i="2"/>
  <c r="S80" i="2"/>
  <c r="S79" i="2"/>
  <c r="S78" i="2"/>
  <c r="S77" i="2"/>
  <c r="S76" i="2"/>
  <c r="S75" i="2"/>
  <c r="S74" i="2"/>
  <c r="S73" i="2"/>
  <c r="S72" i="2"/>
  <c r="S71" i="2"/>
  <c r="S69" i="2"/>
  <c r="S66" i="2"/>
  <c r="S64" i="2"/>
  <c r="S62" i="2"/>
  <c r="S61" i="2"/>
  <c r="S60" i="2"/>
  <c r="S59" i="2"/>
  <c r="S58" i="2"/>
  <c r="S57" i="2"/>
  <c r="S56" i="2"/>
  <c r="S55" i="2"/>
  <c r="S53" i="2"/>
  <c r="S50" i="2"/>
  <c r="S49" i="2"/>
  <c r="S48" i="2"/>
  <c r="S47" i="2"/>
  <c r="S45" i="2"/>
  <c r="S44" i="2"/>
  <c r="S43" i="2"/>
  <c r="S41" i="2"/>
  <c r="S40" i="2"/>
  <c r="S39" i="2"/>
  <c r="S38" i="2"/>
  <c r="S37" i="2"/>
  <c r="S35" i="2"/>
  <c r="S34" i="2"/>
  <c r="S33" i="2"/>
  <c r="S32" i="2"/>
  <c r="S30" i="2"/>
  <c r="S29" i="2"/>
  <c r="S28" i="2"/>
  <c r="S27" i="2"/>
  <c r="S26" i="2"/>
  <c r="S25" i="2"/>
  <c r="S24" i="2"/>
  <c r="S23" i="2"/>
  <c r="S22" i="2"/>
  <c r="S21" i="2"/>
  <c r="S20" i="2"/>
  <c r="S19" i="2"/>
  <c r="S18" i="2"/>
  <c r="S16" i="2"/>
  <c r="S15" i="2"/>
  <c r="S14" i="2"/>
  <c r="S11" i="2"/>
  <c r="S10" i="2"/>
  <c r="S9" i="2"/>
  <c r="S8" i="2"/>
  <c r="S7" i="2"/>
  <c r="S6" i="2"/>
  <c r="S5" i="2"/>
  <c r="D1000" i="3"/>
  <c r="D999" i="3"/>
  <c r="D998" i="3"/>
  <c r="D997" i="3"/>
  <c r="D996" i="3"/>
  <c r="D995" i="3"/>
  <c r="D994" i="3"/>
  <c r="D993" i="3"/>
  <c r="D992" i="3"/>
  <c r="D991" i="3"/>
  <c r="D990" i="3"/>
  <c r="D989" i="3"/>
  <c r="D988" i="3"/>
  <c r="D987" i="3"/>
  <c r="D986" i="3"/>
  <c r="D985" i="3"/>
  <c r="D984" i="3"/>
  <c r="D983" i="3"/>
  <c r="D982" i="3"/>
  <c r="D981" i="3"/>
  <c r="D980" i="3"/>
  <c r="D979" i="3"/>
  <c r="D978" i="3"/>
  <c r="D977" i="3"/>
  <c r="D976" i="3"/>
  <c r="D975" i="3"/>
  <c r="D974" i="3"/>
  <c r="D973" i="3"/>
  <c r="D972" i="3"/>
  <c r="D971" i="3"/>
  <c r="D970" i="3"/>
  <c r="D969" i="3"/>
  <c r="D968" i="3"/>
  <c r="D967" i="3"/>
  <c r="D966" i="3"/>
  <c r="D965" i="3"/>
  <c r="D964" i="3"/>
  <c r="D963" i="3"/>
  <c r="D962" i="3"/>
  <c r="D961" i="3"/>
  <c r="D960" i="3"/>
  <c r="D959" i="3"/>
  <c r="D958" i="3"/>
  <c r="D957" i="3"/>
  <c r="D956" i="3"/>
  <c r="D955" i="3"/>
  <c r="D954" i="3"/>
  <c r="D953" i="3"/>
  <c r="D952" i="3"/>
  <c r="D951" i="3"/>
  <c r="D950" i="3"/>
  <c r="D949" i="3"/>
  <c r="D948" i="3"/>
  <c r="D947" i="3"/>
  <c r="D946" i="3"/>
  <c r="D945" i="3"/>
  <c r="D944" i="3"/>
  <c r="D943" i="3"/>
  <c r="D942" i="3"/>
  <c r="D941" i="3"/>
  <c r="D940" i="3"/>
  <c r="D939" i="3"/>
  <c r="D938" i="3"/>
  <c r="D937" i="3"/>
  <c r="D936" i="3"/>
  <c r="D935" i="3"/>
  <c r="D934" i="3"/>
  <c r="D933" i="3"/>
  <c r="D932" i="3"/>
  <c r="D931" i="3"/>
  <c r="D930" i="3"/>
  <c r="D929" i="3"/>
  <c r="D928" i="3"/>
  <c r="D927" i="3"/>
  <c r="D926" i="3"/>
  <c r="D925" i="3"/>
  <c r="D924" i="3"/>
  <c r="D923" i="3"/>
  <c r="D922" i="3"/>
  <c r="D921" i="3"/>
  <c r="D920" i="3"/>
  <c r="D919" i="3"/>
  <c r="D918" i="3"/>
  <c r="D917" i="3"/>
  <c r="D916" i="3"/>
  <c r="D915" i="3"/>
  <c r="D914" i="3"/>
  <c r="D913" i="3"/>
  <c r="D912" i="3"/>
  <c r="D911" i="3"/>
  <c r="D910" i="3"/>
  <c r="D909" i="3"/>
  <c r="D908" i="3"/>
  <c r="D907" i="3"/>
  <c r="D906" i="3"/>
  <c r="D905" i="3"/>
  <c r="D904" i="3"/>
  <c r="D903" i="3"/>
  <c r="D902" i="3"/>
  <c r="D901" i="3"/>
  <c r="D900" i="3"/>
  <c r="D899" i="3"/>
  <c r="D898" i="3"/>
  <c r="D897" i="3"/>
  <c r="D896" i="3"/>
  <c r="D895" i="3"/>
  <c r="D894" i="3"/>
  <c r="D893" i="3"/>
  <c r="D892" i="3"/>
  <c r="D891" i="3"/>
  <c r="D890" i="3"/>
  <c r="D889" i="3"/>
  <c r="D888" i="3"/>
  <c r="D887" i="3"/>
  <c r="D886" i="3"/>
  <c r="D885" i="3"/>
  <c r="D884" i="3"/>
  <c r="D883" i="3"/>
  <c r="D882" i="3"/>
  <c r="D881" i="3"/>
  <c r="D880" i="3"/>
  <c r="D879" i="3"/>
  <c r="D878" i="3"/>
  <c r="D877" i="3"/>
  <c r="D876" i="3"/>
  <c r="D875" i="3"/>
  <c r="D874" i="3"/>
  <c r="D873" i="3"/>
  <c r="D872" i="3"/>
  <c r="D871" i="3"/>
  <c r="D870" i="3"/>
  <c r="D869" i="3"/>
  <c r="D868" i="3"/>
  <c r="D867" i="3"/>
  <c r="D866" i="3"/>
  <c r="D865" i="3"/>
  <c r="D864" i="3"/>
  <c r="D863" i="3"/>
  <c r="D862" i="3"/>
  <c r="D861" i="3"/>
  <c r="D860" i="3"/>
  <c r="D859" i="3"/>
  <c r="D858" i="3"/>
  <c r="D857" i="3"/>
  <c r="D856" i="3"/>
  <c r="D855" i="3"/>
  <c r="D854" i="3"/>
  <c r="D853" i="3"/>
  <c r="D852" i="3"/>
  <c r="D851" i="3"/>
  <c r="D850" i="3"/>
  <c r="D849" i="3"/>
  <c r="D848" i="3"/>
  <c r="D847" i="3"/>
  <c r="D846" i="3"/>
  <c r="D845" i="3"/>
  <c r="D844" i="3"/>
  <c r="D843" i="3"/>
  <c r="D842" i="3"/>
  <c r="D841" i="3"/>
  <c r="D840" i="3"/>
  <c r="D839" i="3"/>
  <c r="D838" i="3"/>
  <c r="D837" i="3"/>
  <c r="D836" i="3"/>
  <c r="D835" i="3"/>
  <c r="D834" i="3"/>
  <c r="D833" i="3"/>
  <c r="D832" i="3"/>
  <c r="D831" i="3"/>
  <c r="D830" i="3"/>
  <c r="D829" i="3"/>
  <c r="D828" i="3"/>
  <c r="D827" i="3"/>
  <c r="D826" i="3"/>
  <c r="D825" i="3"/>
  <c r="D824" i="3"/>
  <c r="D823" i="3"/>
  <c r="D822" i="3"/>
  <c r="D821" i="3"/>
  <c r="D820" i="3"/>
  <c r="D819" i="3"/>
  <c r="D818" i="3"/>
  <c r="D817" i="3"/>
  <c r="D816" i="3"/>
  <c r="D815" i="3"/>
  <c r="D814" i="3"/>
  <c r="D813" i="3"/>
  <c r="D812" i="3"/>
  <c r="D811" i="3"/>
  <c r="D810" i="3"/>
  <c r="D809" i="3"/>
  <c r="D808" i="3"/>
  <c r="D807" i="3"/>
  <c r="D806" i="3"/>
  <c r="D805" i="3"/>
  <c r="D804" i="3"/>
  <c r="D803" i="3"/>
  <c r="D802" i="3"/>
  <c r="D801" i="3"/>
  <c r="D800" i="3"/>
  <c r="D799" i="3"/>
  <c r="D798" i="3"/>
  <c r="D797" i="3"/>
  <c r="D796" i="3"/>
  <c r="D795" i="3"/>
  <c r="D794" i="3"/>
  <c r="D793" i="3"/>
  <c r="D792" i="3"/>
  <c r="D791" i="3"/>
  <c r="D790" i="3"/>
  <c r="D789" i="3"/>
  <c r="D788" i="3"/>
  <c r="D787" i="3"/>
  <c r="D786" i="3"/>
  <c r="D785" i="3"/>
  <c r="D784" i="3"/>
  <c r="D783" i="3"/>
  <c r="D782" i="3"/>
  <c r="D781" i="3"/>
  <c r="D780" i="3"/>
  <c r="D779" i="3"/>
  <c r="D778" i="3"/>
  <c r="D777" i="3"/>
  <c r="D776" i="3"/>
  <c r="D775" i="3"/>
  <c r="D774" i="3"/>
  <c r="D773" i="3"/>
  <c r="D772" i="3"/>
  <c r="D771" i="3"/>
  <c r="D770" i="3"/>
  <c r="D769" i="3"/>
  <c r="D768" i="3"/>
  <c r="D767" i="3"/>
  <c r="D766" i="3"/>
  <c r="D765" i="3"/>
  <c r="D764" i="3"/>
  <c r="D763" i="3"/>
  <c r="D762" i="3"/>
  <c r="D761" i="3"/>
  <c r="D760" i="3"/>
  <c r="D759" i="3"/>
  <c r="D758" i="3"/>
  <c r="D757" i="3"/>
  <c r="D756" i="3"/>
  <c r="D755" i="3"/>
  <c r="D754" i="3"/>
  <c r="D753" i="3"/>
  <c r="D752" i="3"/>
  <c r="D751" i="3"/>
  <c r="D750" i="3"/>
  <c r="D749" i="3"/>
  <c r="D748" i="3"/>
  <c r="D747" i="3"/>
  <c r="D746" i="3"/>
  <c r="D745" i="3"/>
  <c r="D744" i="3"/>
  <c r="D743" i="3"/>
  <c r="D742" i="3"/>
  <c r="D741" i="3"/>
  <c r="D740" i="3"/>
  <c r="D739" i="3"/>
  <c r="D738" i="3"/>
  <c r="D737" i="3"/>
  <c r="D736" i="3"/>
  <c r="D735" i="3"/>
  <c r="D734" i="3"/>
  <c r="D733" i="3"/>
  <c r="D732" i="3"/>
  <c r="D731" i="3"/>
  <c r="D730" i="3"/>
  <c r="D729" i="3"/>
  <c r="D728" i="3"/>
  <c r="D727" i="3"/>
  <c r="D726" i="3"/>
  <c r="D725" i="3"/>
  <c r="D724" i="3"/>
  <c r="D723" i="3"/>
  <c r="D722" i="3"/>
  <c r="D721" i="3"/>
  <c r="D720" i="3"/>
  <c r="D719" i="3"/>
  <c r="D718" i="3"/>
  <c r="D717" i="3"/>
  <c r="D716" i="3"/>
  <c r="D715" i="3"/>
  <c r="D714" i="3"/>
  <c r="D713" i="3"/>
  <c r="D712" i="3"/>
  <c r="D711" i="3"/>
  <c r="D710" i="3"/>
  <c r="D709" i="3"/>
  <c r="D708" i="3"/>
  <c r="D707" i="3"/>
  <c r="D706" i="3"/>
  <c r="D705" i="3"/>
  <c r="D704" i="3"/>
  <c r="D703" i="3"/>
  <c r="D702" i="3"/>
  <c r="D701" i="3"/>
  <c r="D700" i="3"/>
  <c r="D699" i="3"/>
  <c r="D698" i="3"/>
  <c r="D697" i="3"/>
  <c r="D696" i="3"/>
  <c r="D695" i="3"/>
  <c r="D694" i="3"/>
  <c r="D693" i="3"/>
  <c r="D692" i="3"/>
  <c r="D691" i="3"/>
  <c r="D690" i="3"/>
  <c r="D689" i="3"/>
  <c r="D688" i="3"/>
  <c r="D687" i="3"/>
  <c r="D686" i="3"/>
  <c r="D685" i="3"/>
  <c r="D684" i="3"/>
  <c r="D683" i="3"/>
  <c r="D682" i="3"/>
  <c r="D681" i="3"/>
  <c r="D680" i="3"/>
  <c r="D679" i="3"/>
  <c r="D678" i="3"/>
  <c r="D677" i="3"/>
  <c r="D676" i="3"/>
  <c r="D675" i="3"/>
  <c r="D674" i="3"/>
  <c r="D673" i="3"/>
  <c r="D672" i="3"/>
  <c r="D671" i="3"/>
  <c r="D670" i="3"/>
  <c r="D669" i="3"/>
  <c r="D668" i="3"/>
  <c r="D667" i="3"/>
  <c r="D666" i="3"/>
  <c r="D665" i="3"/>
  <c r="D664" i="3"/>
  <c r="D663" i="3"/>
  <c r="D662" i="3"/>
  <c r="D661" i="3"/>
  <c r="D660" i="3"/>
  <c r="D659" i="3"/>
  <c r="D658" i="3"/>
  <c r="D657" i="3"/>
  <c r="D656" i="3"/>
  <c r="D655" i="3"/>
  <c r="D654" i="3"/>
  <c r="D653" i="3"/>
  <c r="D652" i="3"/>
  <c r="D651" i="3"/>
  <c r="D650" i="3"/>
  <c r="D649" i="3"/>
  <c r="D648" i="3"/>
  <c r="D647" i="3"/>
  <c r="D646" i="3"/>
  <c r="D645" i="3"/>
  <c r="D644" i="3"/>
  <c r="D643" i="3"/>
  <c r="D642" i="3"/>
  <c r="D641" i="3"/>
  <c r="D640" i="3"/>
  <c r="D639" i="3"/>
  <c r="D638" i="3"/>
  <c r="D637" i="3"/>
  <c r="D636" i="3"/>
  <c r="D635" i="3"/>
  <c r="D634" i="3"/>
  <c r="D633" i="3"/>
  <c r="D632" i="3"/>
  <c r="D631" i="3"/>
  <c r="D630" i="3"/>
  <c r="D629" i="3"/>
  <c r="D628" i="3"/>
  <c r="D627" i="3"/>
  <c r="D626" i="3"/>
  <c r="D625" i="3"/>
  <c r="D624" i="3"/>
  <c r="D623" i="3"/>
  <c r="D622" i="3"/>
  <c r="D621" i="3"/>
  <c r="D620" i="3"/>
  <c r="D619" i="3"/>
  <c r="D618" i="3"/>
  <c r="D617" i="3"/>
  <c r="D616" i="3"/>
  <c r="D615" i="3"/>
  <c r="D614" i="3"/>
  <c r="D613" i="3"/>
  <c r="D612" i="3"/>
  <c r="D611" i="3"/>
  <c r="D610" i="3"/>
  <c r="D609" i="3"/>
  <c r="D608" i="3"/>
  <c r="D607" i="3"/>
  <c r="D606" i="3"/>
  <c r="D605" i="3"/>
  <c r="D604" i="3"/>
  <c r="D603" i="3"/>
  <c r="D602" i="3"/>
  <c r="D601" i="3"/>
  <c r="D600" i="3"/>
  <c r="D599" i="3"/>
  <c r="D598" i="3"/>
  <c r="D597" i="3"/>
  <c r="D596" i="3"/>
  <c r="D595" i="3"/>
  <c r="D594" i="3"/>
  <c r="D593" i="3"/>
  <c r="D592" i="3"/>
  <c r="D591" i="3"/>
  <c r="D590" i="3"/>
  <c r="D589" i="3"/>
  <c r="D588" i="3"/>
  <c r="D587" i="3"/>
  <c r="D586" i="3"/>
  <c r="D585" i="3"/>
  <c r="D584" i="3"/>
  <c r="D583" i="3"/>
  <c r="D582" i="3"/>
  <c r="D581" i="3"/>
  <c r="D580" i="3"/>
  <c r="D579" i="3"/>
  <c r="D578" i="3"/>
  <c r="D577" i="3"/>
  <c r="D576" i="3"/>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C1000" i="3"/>
  <c r="C999" i="3"/>
  <c r="C998" i="3"/>
  <c r="C997" i="3"/>
  <c r="C996" i="3"/>
  <c r="C995" i="3"/>
  <c r="C994" i="3"/>
  <c r="C993" i="3"/>
  <c r="C992" i="3"/>
  <c r="C991" i="3"/>
  <c r="C990" i="3"/>
  <c r="C989" i="3"/>
  <c r="C988" i="3"/>
  <c r="C987" i="3"/>
  <c r="C986" i="3"/>
  <c r="C985" i="3"/>
  <c r="C984" i="3"/>
  <c r="C983" i="3"/>
  <c r="C982" i="3"/>
  <c r="C981" i="3"/>
  <c r="C980" i="3"/>
  <c r="C979" i="3"/>
  <c r="C978" i="3"/>
  <c r="C977" i="3"/>
  <c r="C976" i="3"/>
  <c r="C975" i="3"/>
  <c r="C974" i="3"/>
  <c r="C973" i="3"/>
  <c r="C972" i="3"/>
  <c r="C971" i="3"/>
  <c r="C970" i="3"/>
  <c r="C969" i="3"/>
  <c r="C968" i="3"/>
  <c r="C967" i="3"/>
  <c r="C966" i="3"/>
  <c r="C965" i="3"/>
  <c r="C964" i="3"/>
  <c r="C963" i="3"/>
  <c r="C962" i="3"/>
  <c r="C961" i="3"/>
  <c r="C960" i="3"/>
  <c r="C959" i="3"/>
  <c r="C958" i="3"/>
  <c r="C957" i="3"/>
  <c r="C956" i="3"/>
  <c r="C955" i="3"/>
  <c r="C954" i="3"/>
  <c r="C953" i="3"/>
  <c r="C952" i="3"/>
  <c r="C951" i="3"/>
  <c r="C950" i="3"/>
  <c r="C949" i="3"/>
  <c r="C948" i="3"/>
  <c r="C947" i="3"/>
  <c r="C946" i="3"/>
  <c r="C945" i="3"/>
  <c r="C944" i="3"/>
  <c r="C943" i="3"/>
  <c r="C942" i="3"/>
  <c r="C941" i="3"/>
  <c r="C940" i="3"/>
  <c r="C939" i="3"/>
  <c r="C938" i="3"/>
  <c r="C937" i="3"/>
  <c r="C936" i="3"/>
  <c r="C935" i="3"/>
  <c r="C934" i="3"/>
  <c r="C933" i="3"/>
  <c r="C932" i="3"/>
  <c r="C931" i="3"/>
  <c r="C930" i="3"/>
  <c r="C929" i="3"/>
  <c r="C928" i="3"/>
  <c r="C927" i="3"/>
  <c r="C926" i="3"/>
  <c r="C925" i="3"/>
  <c r="C924" i="3"/>
  <c r="C923" i="3"/>
  <c r="C922" i="3"/>
  <c r="C921" i="3"/>
  <c r="C920" i="3"/>
  <c r="C919" i="3"/>
  <c r="C918" i="3"/>
  <c r="C917" i="3"/>
  <c r="C916" i="3"/>
  <c r="C915" i="3"/>
  <c r="C914" i="3"/>
  <c r="C913" i="3"/>
  <c r="C912" i="3"/>
  <c r="C911" i="3"/>
  <c r="C910" i="3"/>
  <c r="C909" i="3"/>
  <c r="C908" i="3"/>
  <c r="C907" i="3"/>
  <c r="C906" i="3"/>
  <c r="C905" i="3"/>
  <c r="C904" i="3"/>
  <c r="C903" i="3"/>
  <c r="C902" i="3"/>
  <c r="C901" i="3"/>
  <c r="C900" i="3"/>
  <c r="C899" i="3"/>
  <c r="C898" i="3"/>
  <c r="C897" i="3"/>
  <c r="C896" i="3"/>
  <c r="C895" i="3"/>
  <c r="C894" i="3"/>
  <c r="C893" i="3"/>
  <c r="C892" i="3"/>
  <c r="C891" i="3"/>
  <c r="C890" i="3"/>
  <c r="C889" i="3"/>
  <c r="C888" i="3"/>
  <c r="C887" i="3"/>
  <c r="C886" i="3"/>
  <c r="C885" i="3"/>
  <c r="C884" i="3"/>
  <c r="C883" i="3"/>
  <c r="C882" i="3"/>
  <c r="C881" i="3"/>
  <c r="C880" i="3"/>
  <c r="C879" i="3"/>
  <c r="C878" i="3"/>
  <c r="C877" i="3"/>
  <c r="C876" i="3"/>
  <c r="C875" i="3"/>
  <c r="C874" i="3"/>
  <c r="C873" i="3"/>
  <c r="C872" i="3"/>
  <c r="C871" i="3"/>
  <c r="C870" i="3"/>
  <c r="C869" i="3"/>
  <c r="C868" i="3"/>
  <c r="C867" i="3"/>
  <c r="C866" i="3"/>
  <c r="C865" i="3"/>
  <c r="C864" i="3"/>
  <c r="C863" i="3"/>
  <c r="C862" i="3"/>
  <c r="C861" i="3"/>
  <c r="C860" i="3"/>
  <c r="C859" i="3"/>
  <c r="C858" i="3"/>
  <c r="C857" i="3"/>
  <c r="C856" i="3"/>
  <c r="C855" i="3"/>
  <c r="C854" i="3"/>
  <c r="C853" i="3"/>
  <c r="C852" i="3"/>
  <c r="C851" i="3"/>
  <c r="C850" i="3"/>
  <c r="C849" i="3"/>
  <c r="C848" i="3"/>
  <c r="C847" i="3"/>
  <c r="C846" i="3"/>
  <c r="C845" i="3"/>
  <c r="C844" i="3"/>
  <c r="C843" i="3"/>
  <c r="C842" i="3"/>
  <c r="C841" i="3"/>
  <c r="C840" i="3"/>
  <c r="C839" i="3"/>
  <c r="C838" i="3"/>
  <c r="C837" i="3"/>
  <c r="C836" i="3"/>
  <c r="C835" i="3"/>
  <c r="C834" i="3"/>
  <c r="C833" i="3"/>
  <c r="C832" i="3"/>
  <c r="C831" i="3"/>
  <c r="C830" i="3"/>
  <c r="C829" i="3"/>
  <c r="C828" i="3"/>
  <c r="C827" i="3"/>
  <c r="C826" i="3"/>
  <c r="C825" i="3"/>
  <c r="C824" i="3"/>
  <c r="C823" i="3"/>
  <c r="C822" i="3"/>
  <c r="C821" i="3"/>
  <c r="C820" i="3"/>
  <c r="C819" i="3"/>
  <c r="C818" i="3"/>
  <c r="C817" i="3"/>
  <c r="C816" i="3"/>
  <c r="C815" i="3"/>
  <c r="C814" i="3"/>
  <c r="C813" i="3"/>
  <c r="C812" i="3"/>
  <c r="C811" i="3"/>
  <c r="C810" i="3"/>
  <c r="C809" i="3"/>
  <c r="C808" i="3"/>
  <c r="C807" i="3"/>
  <c r="C806" i="3"/>
  <c r="C805" i="3"/>
  <c r="C804" i="3"/>
  <c r="C803" i="3"/>
  <c r="C802" i="3"/>
  <c r="C801" i="3"/>
  <c r="C800" i="3"/>
  <c r="C799" i="3"/>
  <c r="C798" i="3"/>
  <c r="C797" i="3"/>
  <c r="C796" i="3"/>
  <c r="C795" i="3"/>
  <c r="C794" i="3"/>
  <c r="C793" i="3"/>
  <c r="C792" i="3"/>
  <c r="C791" i="3"/>
  <c r="C790" i="3"/>
  <c r="C789" i="3"/>
  <c r="C788" i="3"/>
  <c r="C787" i="3"/>
  <c r="C786" i="3"/>
  <c r="C785" i="3"/>
  <c r="C784" i="3"/>
  <c r="C783" i="3"/>
  <c r="C782" i="3"/>
  <c r="C781" i="3"/>
  <c r="C780" i="3"/>
  <c r="C779" i="3"/>
  <c r="C778" i="3"/>
  <c r="C777" i="3"/>
  <c r="C776" i="3"/>
  <c r="C775" i="3"/>
  <c r="C774" i="3"/>
  <c r="C773" i="3"/>
  <c r="C772" i="3"/>
  <c r="C771" i="3"/>
  <c r="C770" i="3"/>
  <c r="C769" i="3"/>
  <c r="C768" i="3"/>
  <c r="C767" i="3"/>
  <c r="C766" i="3"/>
  <c r="C765" i="3"/>
  <c r="C764" i="3"/>
  <c r="C763" i="3"/>
  <c r="C762" i="3"/>
  <c r="C761" i="3"/>
  <c r="C760" i="3"/>
  <c r="C759" i="3"/>
  <c r="C758" i="3"/>
  <c r="C757" i="3"/>
  <c r="C756" i="3"/>
  <c r="C755" i="3"/>
  <c r="C754" i="3"/>
  <c r="C753" i="3"/>
  <c r="C752" i="3"/>
  <c r="C751" i="3"/>
  <c r="C750" i="3"/>
  <c r="C749" i="3"/>
  <c r="C748" i="3"/>
  <c r="C747" i="3"/>
  <c r="C746" i="3"/>
  <c r="C745" i="3"/>
  <c r="C744" i="3"/>
  <c r="C743" i="3"/>
  <c r="C742" i="3"/>
  <c r="C741" i="3"/>
  <c r="C740" i="3"/>
  <c r="C739" i="3"/>
  <c r="C738" i="3"/>
  <c r="C737" i="3"/>
  <c r="C736" i="3"/>
  <c r="C735" i="3"/>
  <c r="C734" i="3"/>
  <c r="C733" i="3"/>
  <c r="C732" i="3"/>
  <c r="C731" i="3"/>
  <c r="C730" i="3"/>
  <c r="C729" i="3"/>
  <c r="C728" i="3"/>
  <c r="C727" i="3"/>
  <c r="C726" i="3"/>
  <c r="C725" i="3"/>
  <c r="C724" i="3"/>
  <c r="C723" i="3"/>
  <c r="C722" i="3"/>
  <c r="C721" i="3"/>
  <c r="C720" i="3"/>
  <c r="C719" i="3"/>
  <c r="C718" i="3"/>
  <c r="C717" i="3"/>
  <c r="C716" i="3"/>
  <c r="C715" i="3"/>
  <c r="C714" i="3"/>
  <c r="C713" i="3"/>
  <c r="C712" i="3"/>
  <c r="C711" i="3"/>
  <c r="C710" i="3"/>
  <c r="C709" i="3"/>
  <c r="C708" i="3"/>
  <c r="C707" i="3"/>
  <c r="C706" i="3"/>
  <c r="C705" i="3"/>
  <c r="C704" i="3"/>
  <c r="C703" i="3"/>
  <c r="C702" i="3"/>
  <c r="C701" i="3"/>
  <c r="C700" i="3"/>
  <c r="C699" i="3"/>
  <c r="C698" i="3"/>
  <c r="C697" i="3"/>
  <c r="C696" i="3"/>
  <c r="C695" i="3"/>
  <c r="C694" i="3"/>
  <c r="C693" i="3"/>
  <c r="C692" i="3"/>
  <c r="C691" i="3"/>
  <c r="C690" i="3"/>
  <c r="C689" i="3"/>
  <c r="C688" i="3"/>
  <c r="C687" i="3"/>
  <c r="C686" i="3"/>
  <c r="C685" i="3"/>
  <c r="C684" i="3"/>
  <c r="C683" i="3"/>
  <c r="C682" i="3"/>
  <c r="C681" i="3"/>
  <c r="C680" i="3"/>
  <c r="C679" i="3"/>
  <c r="C678" i="3"/>
  <c r="C677" i="3"/>
  <c r="C676" i="3"/>
  <c r="C675" i="3"/>
  <c r="C674" i="3"/>
  <c r="C673" i="3"/>
  <c r="C672" i="3"/>
  <c r="C671" i="3"/>
  <c r="C670" i="3"/>
  <c r="C669" i="3"/>
  <c r="C668" i="3"/>
  <c r="C667" i="3"/>
  <c r="C666" i="3"/>
  <c r="C665" i="3"/>
  <c r="C664" i="3"/>
  <c r="C663" i="3"/>
  <c r="C662" i="3"/>
  <c r="C661" i="3"/>
  <c r="C660" i="3"/>
  <c r="C659" i="3"/>
  <c r="C658" i="3"/>
  <c r="C657" i="3"/>
  <c r="C656" i="3"/>
  <c r="C655" i="3"/>
  <c r="C654" i="3"/>
  <c r="C653" i="3"/>
  <c r="C652" i="3"/>
  <c r="C651" i="3"/>
  <c r="C650" i="3"/>
  <c r="C649" i="3"/>
  <c r="C648" i="3"/>
  <c r="C647" i="3"/>
  <c r="C646" i="3"/>
  <c r="C645" i="3"/>
  <c r="C644" i="3"/>
  <c r="C643" i="3"/>
  <c r="C642" i="3"/>
  <c r="C641" i="3"/>
  <c r="C640" i="3"/>
  <c r="C639" i="3"/>
  <c r="C638" i="3"/>
  <c r="C637" i="3"/>
  <c r="C636" i="3"/>
  <c r="C635" i="3"/>
  <c r="C634" i="3"/>
  <c r="C633" i="3"/>
  <c r="C632" i="3"/>
  <c r="C631" i="3"/>
  <c r="C630" i="3"/>
  <c r="C629" i="3"/>
  <c r="C628" i="3"/>
  <c r="C627" i="3"/>
  <c r="C626" i="3"/>
  <c r="C625" i="3"/>
  <c r="C624" i="3"/>
  <c r="C623" i="3"/>
  <c r="C622" i="3"/>
  <c r="C621" i="3"/>
  <c r="C620" i="3"/>
  <c r="C619" i="3"/>
  <c r="C618" i="3"/>
  <c r="C617" i="3"/>
  <c r="C616" i="3"/>
  <c r="C615" i="3"/>
  <c r="C614" i="3"/>
  <c r="C613" i="3"/>
  <c r="C612" i="3"/>
  <c r="C611" i="3"/>
  <c r="C610" i="3"/>
  <c r="C609" i="3"/>
  <c r="C608" i="3"/>
  <c r="C607" i="3"/>
  <c r="C606" i="3"/>
  <c r="C605" i="3"/>
  <c r="C604" i="3"/>
  <c r="C603" i="3"/>
  <c r="C602" i="3"/>
  <c r="C601" i="3"/>
  <c r="C600" i="3"/>
  <c r="C599" i="3"/>
  <c r="C598" i="3"/>
  <c r="C597" i="3"/>
  <c r="C596" i="3"/>
  <c r="C595" i="3"/>
  <c r="C594" i="3"/>
  <c r="C593" i="3"/>
  <c r="C592" i="3"/>
  <c r="C591" i="3"/>
  <c r="C590" i="3"/>
  <c r="C589" i="3"/>
  <c r="C588" i="3"/>
  <c r="C587" i="3"/>
  <c r="C586" i="3"/>
  <c r="C585" i="3"/>
  <c r="C584" i="3"/>
  <c r="C583" i="3"/>
  <c r="C582" i="3"/>
  <c r="C581" i="3"/>
  <c r="C580" i="3"/>
  <c r="C579" i="3"/>
  <c r="C578" i="3"/>
  <c r="C577" i="3"/>
  <c r="C576" i="3"/>
  <c r="C575" i="3"/>
  <c r="C574" i="3"/>
  <c r="C573" i="3"/>
  <c r="C572" i="3"/>
  <c r="C571" i="3"/>
  <c r="C570" i="3"/>
  <c r="C569" i="3"/>
  <c r="C568" i="3"/>
  <c r="C567" i="3"/>
  <c r="C566" i="3"/>
  <c r="C565" i="3"/>
  <c r="C564" i="3"/>
  <c r="C563" i="3"/>
  <c r="C562" i="3"/>
  <c r="C561" i="3"/>
  <c r="C560" i="3"/>
  <c r="C559" i="3"/>
  <c r="C558" i="3"/>
  <c r="C557" i="3"/>
  <c r="C556" i="3"/>
  <c r="C555" i="3"/>
  <c r="C554" i="3"/>
  <c r="C553" i="3"/>
  <c r="C552" i="3"/>
  <c r="C551" i="3"/>
  <c r="C550" i="3"/>
  <c r="C549" i="3"/>
  <c r="C548" i="3"/>
  <c r="C547" i="3"/>
  <c r="C546" i="3"/>
  <c r="C545" i="3"/>
  <c r="C544" i="3"/>
  <c r="C543" i="3"/>
  <c r="C542" i="3"/>
  <c r="C541" i="3"/>
  <c r="C540" i="3"/>
  <c r="C539" i="3"/>
  <c r="C538" i="3"/>
  <c r="C537" i="3"/>
  <c r="C536" i="3"/>
  <c r="C535" i="3"/>
  <c r="C534" i="3"/>
  <c r="C533" i="3"/>
  <c r="C532" i="3"/>
  <c r="C531" i="3"/>
  <c r="C530" i="3"/>
  <c r="C529" i="3"/>
  <c r="C528" i="3"/>
  <c r="C527" i="3"/>
  <c r="C526" i="3"/>
  <c r="C525" i="3"/>
  <c r="C524" i="3"/>
  <c r="C523" i="3"/>
  <c r="C522" i="3"/>
  <c r="C521" i="3"/>
  <c r="C520" i="3"/>
  <c r="C519" i="3"/>
  <c r="C518" i="3"/>
  <c r="C517" i="3"/>
  <c r="C516" i="3"/>
  <c r="C515" i="3"/>
  <c r="C514" i="3"/>
  <c r="C513" i="3"/>
  <c r="C512" i="3"/>
  <c r="C511" i="3"/>
  <c r="C510" i="3"/>
  <c r="C509" i="3"/>
  <c r="C508" i="3"/>
  <c r="C507" i="3"/>
  <c r="C506" i="3"/>
  <c r="C505" i="3"/>
  <c r="C504" i="3"/>
  <c r="C503" i="3"/>
  <c r="R1000" i="3"/>
  <c r="R999" i="3"/>
  <c r="R998" i="3"/>
  <c r="R997" i="3"/>
  <c r="R996" i="3"/>
  <c r="R995" i="3"/>
  <c r="R994" i="3"/>
  <c r="R993" i="3"/>
  <c r="R992" i="3"/>
  <c r="R991" i="3"/>
  <c r="R990" i="3"/>
  <c r="R989" i="3"/>
  <c r="R988" i="3"/>
  <c r="R987" i="3"/>
  <c r="R986" i="3"/>
  <c r="R985" i="3"/>
  <c r="R984" i="3"/>
  <c r="R983" i="3"/>
  <c r="R982" i="3"/>
  <c r="R981" i="3"/>
  <c r="R980" i="3"/>
  <c r="R979" i="3"/>
  <c r="R978" i="3"/>
  <c r="R977" i="3"/>
  <c r="R976" i="3"/>
  <c r="R975" i="3"/>
  <c r="R974" i="3"/>
  <c r="R973" i="3"/>
  <c r="R972" i="3"/>
  <c r="R971" i="3"/>
  <c r="R970" i="3"/>
  <c r="R969" i="3"/>
  <c r="R968" i="3"/>
  <c r="R967" i="3"/>
  <c r="R966" i="3"/>
  <c r="R965" i="3"/>
  <c r="R964" i="3"/>
  <c r="R963" i="3"/>
  <c r="R962" i="3"/>
  <c r="R961" i="3"/>
  <c r="R960" i="3"/>
  <c r="R959" i="3"/>
  <c r="R958" i="3"/>
  <c r="R957" i="3"/>
  <c r="R956" i="3"/>
  <c r="R955" i="3"/>
  <c r="R954" i="3"/>
  <c r="R953" i="3"/>
  <c r="R952" i="3"/>
  <c r="R951" i="3"/>
  <c r="R950" i="3"/>
  <c r="R949" i="3"/>
  <c r="R948" i="3"/>
  <c r="R947" i="3"/>
  <c r="R946" i="3"/>
  <c r="R945" i="3"/>
  <c r="R944" i="3"/>
  <c r="R943" i="3"/>
  <c r="R942" i="3"/>
  <c r="R941" i="3"/>
  <c r="R940" i="3"/>
  <c r="R939" i="3"/>
  <c r="R938" i="3"/>
  <c r="R937" i="3"/>
  <c r="R936" i="3"/>
  <c r="R935" i="3"/>
  <c r="R934" i="3"/>
  <c r="R933" i="3"/>
  <c r="R932" i="3"/>
  <c r="R931" i="3"/>
  <c r="R930" i="3"/>
  <c r="R929" i="3"/>
  <c r="R928" i="3"/>
  <c r="R927" i="3"/>
  <c r="R926" i="3"/>
  <c r="R925" i="3"/>
  <c r="R924" i="3"/>
  <c r="R923" i="3"/>
  <c r="R922" i="3"/>
  <c r="R921" i="3"/>
  <c r="R920" i="3"/>
  <c r="R919" i="3"/>
  <c r="R918" i="3"/>
  <c r="R917" i="3"/>
  <c r="R916" i="3"/>
  <c r="R915" i="3"/>
  <c r="R914" i="3"/>
  <c r="R913" i="3"/>
  <c r="R912" i="3"/>
  <c r="R911" i="3"/>
  <c r="R910" i="3"/>
  <c r="R909" i="3"/>
  <c r="R908" i="3"/>
  <c r="R907" i="3"/>
  <c r="R906" i="3"/>
  <c r="R905" i="3"/>
  <c r="R904" i="3"/>
  <c r="R903" i="3"/>
  <c r="R902" i="3"/>
  <c r="R901" i="3"/>
  <c r="R900" i="3"/>
  <c r="R899" i="3"/>
  <c r="R898" i="3"/>
  <c r="R897" i="3"/>
  <c r="R896" i="3"/>
  <c r="R895" i="3"/>
  <c r="R894" i="3"/>
  <c r="R893" i="3"/>
  <c r="R892" i="3"/>
  <c r="R891" i="3"/>
  <c r="R890" i="3"/>
  <c r="R889" i="3"/>
  <c r="R888" i="3"/>
  <c r="R887" i="3"/>
  <c r="R886" i="3"/>
  <c r="R885" i="3"/>
  <c r="R884" i="3"/>
  <c r="R883" i="3"/>
  <c r="R882" i="3"/>
  <c r="R881" i="3"/>
  <c r="R880" i="3"/>
  <c r="R879" i="3"/>
  <c r="R878" i="3"/>
  <c r="R877" i="3"/>
  <c r="R876" i="3"/>
  <c r="R875" i="3"/>
  <c r="R874" i="3"/>
  <c r="R873" i="3"/>
  <c r="R872" i="3"/>
  <c r="R871" i="3"/>
  <c r="R870" i="3"/>
  <c r="R869" i="3"/>
  <c r="R868" i="3"/>
  <c r="R867" i="3"/>
  <c r="R866" i="3"/>
  <c r="R865" i="3"/>
  <c r="R864" i="3"/>
  <c r="R863" i="3"/>
  <c r="R862" i="3"/>
  <c r="R861" i="3"/>
  <c r="R860" i="3"/>
  <c r="R859" i="3"/>
  <c r="R858" i="3"/>
  <c r="R857" i="3"/>
  <c r="R856" i="3"/>
  <c r="R855" i="3"/>
  <c r="R854" i="3"/>
  <c r="R853" i="3"/>
  <c r="R852" i="3"/>
  <c r="R851" i="3"/>
  <c r="R850" i="3"/>
  <c r="R849" i="3"/>
  <c r="R848" i="3"/>
  <c r="R847" i="3"/>
  <c r="R846" i="3"/>
  <c r="R845" i="3"/>
  <c r="R844" i="3"/>
  <c r="R843" i="3"/>
  <c r="R842" i="3"/>
  <c r="R841" i="3"/>
  <c r="R840" i="3"/>
  <c r="R839" i="3"/>
  <c r="R838" i="3"/>
  <c r="R837" i="3"/>
  <c r="R836" i="3"/>
  <c r="R835" i="3"/>
  <c r="R834" i="3"/>
  <c r="R833" i="3"/>
  <c r="R832" i="3"/>
  <c r="R831" i="3"/>
  <c r="R830" i="3"/>
  <c r="R829" i="3"/>
  <c r="R828" i="3"/>
  <c r="R827" i="3"/>
  <c r="R826" i="3"/>
  <c r="R825" i="3"/>
  <c r="R824" i="3"/>
  <c r="R823" i="3"/>
  <c r="R822" i="3"/>
  <c r="R821" i="3"/>
  <c r="R820" i="3"/>
  <c r="R819" i="3"/>
  <c r="R818" i="3"/>
  <c r="R817" i="3"/>
  <c r="R816" i="3"/>
  <c r="R815" i="3"/>
  <c r="R814" i="3"/>
  <c r="R813" i="3"/>
  <c r="R812" i="3"/>
  <c r="R811" i="3"/>
  <c r="R810" i="3"/>
  <c r="R809" i="3"/>
  <c r="R808" i="3"/>
  <c r="R807" i="3"/>
  <c r="R806" i="3"/>
  <c r="R805" i="3"/>
  <c r="R804" i="3"/>
  <c r="R803" i="3"/>
  <c r="R802" i="3"/>
  <c r="R801" i="3"/>
  <c r="R800" i="3"/>
  <c r="R799" i="3"/>
  <c r="R798" i="3"/>
  <c r="R797" i="3"/>
  <c r="R796" i="3"/>
  <c r="R795" i="3"/>
  <c r="R794" i="3"/>
  <c r="R793" i="3"/>
  <c r="R792" i="3"/>
  <c r="R791" i="3"/>
  <c r="R790" i="3"/>
  <c r="R789" i="3"/>
  <c r="R788" i="3"/>
  <c r="R787" i="3"/>
  <c r="R786" i="3"/>
  <c r="R785" i="3"/>
  <c r="R784" i="3"/>
  <c r="R783" i="3"/>
  <c r="R782" i="3"/>
  <c r="R781" i="3"/>
  <c r="R780" i="3"/>
  <c r="R779" i="3"/>
  <c r="R778" i="3"/>
  <c r="R777" i="3"/>
  <c r="R776" i="3"/>
  <c r="R775" i="3"/>
  <c r="R774" i="3"/>
  <c r="R773" i="3"/>
  <c r="R772" i="3"/>
  <c r="R771" i="3"/>
  <c r="R770" i="3"/>
  <c r="R769" i="3"/>
  <c r="R768" i="3"/>
  <c r="R767" i="3"/>
  <c r="R766" i="3"/>
  <c r="R765" i="3"/>
  <c r="R764" i="3"/>
  <c r="R763" i="3"/>
  <c r="R762" i="3"/>
  <c r="R761" i="3"/>
  <c r="R760" i="3"/>
  <c r="R759" i="3"/>
  <c r="R758" i="3"/>
  <c r="R757" i="3"/>
  <c r="R756" i="3"/>
  <c r="R755" i="3"/>
  <c r="R754" i="3"/>
  <c r="R753" i="3"/>
  <c r="R752" i="3"/>
  <c r="R751" i="3"/>
  <c r="R750" i="3"/>
  <c r="R749" i="3"/>
  <c r="R748" i="3"/>
  <c r="R747" i="3"/>
  <c r="R746" i="3"/>
  <c r="R745" i="3"/>
  <c r="R744" i="3"/>
  <c r="R743" i="3"/>
  <c r="R742" i="3"/>
  <c r="R741" i="3"/>
  <c r="R740" i="3"/>
  <c r="R739" i="3"/>
  <c r="R738" i="3"/>
  <c r="R737" i="3"/>
  <c r="R736" i="3"/>
  <c r="R735" i="3"/>
  <c r="R734" i="3"/>
  <c r="R733" i="3"/>
  <c r="R732" i="3"/>
  <c r="R731" i="3"/>
  <c r="R730" i="3"/>
  <c r="R729" i="3"/>
  <c r="R728" i="3"/>
  <c r="R727" i="3"/>
  <c r="R726" i="3"/>
  <c r="R725" i="3"/>
  <c r="R724" i="3"/>
  <c r="R723" i="3"/>
  <c r="R722" i="3"/>
  <c r="R721" i="3"/>
  <c r="R720" i="3"/>
  <c r="R719" i="3"/>
  <c r="R718" i="3"/>
  <c r="R717" i="3"/>
  <c r="R716" i="3"/>
  <c r="R715" i="3"/>
  <c r="R714" i="3"/>
  <c r="R713" i="3"/>
  <c r="R712" i="3"/>
  <c r="R711" i="3"/>
  <c r="R710" i="3"/>
  <c r="R709" i="3"/>
  <c r="R708" i="3"/>
  <c r="R707" i="3"/>
  <c r="R706" i="3"/>
  <c r="R705" i="3"/>
  <c r="R704" i="3"/>
  <c r="R703" i="3"/>
  <c r="R702" i="3"/>
  <c r="R701" i="3"/>
  <c r="R700" i="3"/>
  <c r="R699" i="3"/>
  <c r="R698" i="3"/>
  <c r="R697" i="3"/>
  <c r="R696" i="3"/>
  <c r="R695" i="3"/>
  <c r="R694" i="3"/>
  <c r="R693" i="3"/>
  <c r="R692" i="3"/>
  <c r="R691" i="3"/>
  <c r="R690" i="3"/>
  <c r="R689" i="3"/>
  <c r="R688" i="3"/>
  <c r="R687" i="3"/>
  <c r="R686" i="3"/>
  <c r="R685" i="3"/>
  <c r="R684" i="3"/>
  <c r="R683" i="3"/>
  <c r="R682" i="3"/>
  <c r="R681" i="3"/>
  <c r="R680" i="3"/>
  <c r="R679" i="3"/>
  <c r="R678" i="3"/>
  <c r="R677" i="3"/>
  <c r="R676" i="3"/>
  <c r="R675" i="3"/>
  <c r="R674" i="3"/>
  <c r="R673" i="3"/>
  <c r="R672" i="3"/>
  <c r="R671" i="3"/>
  <c r="R670" i="3"/>
  <c r="R669" i="3"/>
  <c r="R668" i="3"/>
  <c r="R667" i="3"/>
  <c r="R666" i="3"/>
  <c r="R665" i="3"/>
  <c r="R664" i="3"/>
  <c r="R663" i="3"/>
  <c r="R662" i="3"/>
  <c r="R661" i="3"/>
  <c r="R660" i="3"/>
  <c r="R659" i="3"/>
  <c r="R658" i="3"/>
  <c r="R657" i="3"/>
  <c r="R656" i="3"/>
  <c r="R655" i="3"/>
  <c r="R654" i="3"/>
  <c r="R653" i="3"/>
  <c r="R652" i="3"/>
  <c r="R651" i="3"/>
  <c r="R650" i="3"/>
  <c r="R649" i="3"/>
  <c r="R648" i="3"/>
  <c r="R647" i="3"/>
  <c r="R646" i="3"/>
  <c r="R645" i="3"/>
  <c r="R644" i="3"/>
  <c r="R643" i="3"/>
  <c r="R642" i="3"/>
  <c r="R641" i="3"/>
  <c r="R640" i="3"/>
  <c r="R639" i="3"/>
  <c r="R638" i="3"/>
  <c r="R637" i="3"/>
  <c r="R636" i="3"/>
  <c r="R635" i="3"/>
  <c r="R634" i="3"/>
  <c r="R633" i="3"/>
  <c r="R632" i="3"/>
  <c r="R631" i="3"/>
  <c r="R630" i="3"/>
  <c r="R629" i="3"/>
  <c r="R628" i="3"/>
  <c r="R627" i="3"/>
  <c r="R626" i="3"/>
  <c r="R625" i="3"/>
  <c r="R624" i="3"/>
  <c r="R623" i="3"/>
  <c r="R622" i="3"/>
  <c r="R621" i="3"/>
  <c r="R620" i="3"/>
  <c r="R619" i="3"/>
  <c r="R618" i="3"/>
  <c r="R617" i="3"/>
  <c r="R616" i="3"/>
  <c r="R615" i="3"/>
  <c r="R614" i="3"/>
  <c r="R613" i="3"/>
  <c r="R612" i="3"/>
  <c r="R611" i="3"/>
  <c r="R610" i="3"/>
  <c r="R609" i="3"/>
  <c r="R608" i="3"/>
  <c r="R607" i="3"/>
  <c r="R606" i="3"/>
  <c r="R605" i="3"/>
  <c r="R604" i="3"/>
  <c r="R603" i="3"/>
  <c r="R602" i="3"/>
  <c r="R601" i="3"/>
  <c r="R600" i="3"/>
  <c r="R599" i="3"/>
  <c r="R598" i="3"/>
  <c r="R597" i="3"/>
  <c r="R596" i="3"/>
  <c r="R595" i="3"/>
  <c r="R594" i="3"/>
  <c r="R593" i="3"/>
  <c r="R592" i="3"/>
  <c r="R591" i="3"/>
  <c r="R590" i="3"/>
  <c r="R589" i="3"/>
  <c r="R588" i="3"/>
  <c r="R587" i="3"/>
  <c r="R586" i="3"/>
  <c r="R585" i="3"/>
  <c r="R584" i="3"/>
  <c r="R583" i="3"/>
  <c r="R582" i="3"/>
  <c r="R581" i="3"/>
  <c r="R580" i="3"/>
  <c r="R579" i="3"/>
  <c r="R578" i="3"/>
  <c r="R577" i="3"/>
  <c r="R576" i="3"/>
  <c r="R575" i="3"/>
  <c r="R574" i="3"/>
  <c r="R573" i="3"/>
  <c r="R572" i="3"/>
  <c r="R571" i="3"/>
  <c r="R570" i="3"/>
  <c r="R569" i="3"/>
  <c r="R568" i="3"/>
  <c r="R567" i="3"/>
  <c r="R566" i="3"/>
  <c r="R565" i="3"/>
  <c r="R564" i="3"/>
  <c r="R563" i="3"/>
  <c r="R562" i="3"/>
  <c r="R561" i="3"/>
  <c r="R560" i="3"/>
  <c r="R559" i="3"/>
  <c r="R558" i="3"/>
  <c r="R557" i="3"/>
  <c r="R556" i="3"/>
  <c r="R555" i="3"/>
  <c r="R554" i="3"/>
  <c r="R553" i="3"/>
  <c r="R552" i="3"/>
  <c r="R551" i="3"/>
  <c r="R550" i="3"/>
  <c r="R549" i="3"/>
  <c r="R548" i="3"/>
  <c r="R547" i="3"/>
  <c r="R546" i="3"/>
  <c r="R545" i="3"/>
  <c r="R544" i="3"/>
  <c r="R543" i="3"/>
  <c r="R542" i="3"/>
  <c r="R541" i="3"/>
  <c r="R540" i="3"/>
  <c r="R539" i="3"/>
  <c r="R538" i="3"/>
  <c r="R537" i="3"/>
  <c r="R536" i="3"/>
  <c r="R535" i="3"/>
  <c r="R534" i="3"/>
  <c r="R533" i="3"/>
  <c r="R532" i="3"/>
  <c r="R531" i="3"/>
  <c r="R530" i="3"/>
  <c r="R529" i="3"/>
  <c r="R528" i="3"/>
  <c r="R527" i="3"/>
  <c r="R526" i="3"/>
  <c r="R525" i="3"/>
  <c r="R524" i="3"/>
  <c r="R523" i="3"/>
  <c r="R522" i="3"/>
  <c r="R521" i="3"/>
  <c r="R520" i="3"/>
  <c r="R519" i="3"/>
  <c r="R518" i="3"/>
  <c r="R517" i="3"/>
  <c r="R516" i="3"/>
  <c r="R515" i="3"/>
  <c r="R514" i="3"/>
  <c r="R513" i="3"/>
  <c r="R512" i="3"/>
  <c r="R511" i="3"/>
  <c r="R510" i="3"/>
  <c r="R509" i="3"/>
  <c r="R508" i="3"/>
  <c r="R507" i="3"/>
  <c r="R506" i="3"/>
  <c r="R505" i="3"/>
  <c r="R504" i="3"/>
  <c r="R503" i="3"/>
  <c r="Q1000" i="3"/>
  <c r="Q999" i="3"/>
  <c r="Q998" i="3"/>
  <c r="Q997" i="3"/>
  <c r="Q996" i="3"/>
  <c r="Q995" i="3"/>
  <c r="Q994" i="3"/>
  <c r="Q993" i="3"/>
  <c r="Q992" i="3"/>
  <c r="Q991" i="3"/>
  <c r="Q990" i="3"/>
  <c r="Q989" i="3"/>
  <c r="Q988" i="3"/>
  <c r="Q987" i="3"/>
  <c r="Q986" i="3"/>
  <c r="Q985" i="3"/>
  <c r="Q984" i="3"/>
  <c r="Q983" i="3"/>
  <c r="Q982" i="3"/>
  <c r="Q981" i="3"/>
  <c r="Q980" i="3"/>
  <c r="Q979" i="3"/>
  <c r="Q978" i="3"/>
  <c r="Q977" i="3"/>
  <c r="Q976" i="3"/>
  <c r="Q975" i="3"/>
  <c r="Q974" i="3"/>
  <c r="Q973" i="3"/>
  <c r="Q972" i="3"/>
  <c r="Q971" i="3"/>
  <c r="Q970" i="3"/>
  <c r="Q969" i="3"/>
  <c r="Q968" i="3"/>
  <c r="Q967" i="3"/>
  <c r="Q966" i="3"/>
  <c r="Q965" i="3"/>
  <c r="Q964" i="3"/>
  <c r="Q963" i="3"/>
  <c r="Q962" i="3"/>
  <c r="Q961" i="3"/>
  <c r="Q960" i="3"/>
  <c r="Q959" i="3"/>
  <c r="Q958" i="3"/>
  <c r="Q957" i="3"/>
  <c r="Q956" i="3"/>
  <c r="Q955" i="3"/>
  <c r="Q954" i="3"/>
  <c r="Q953" i="3"/>
  <c r="Q952" i="3"/>
  <c r="Q951" i="3"/>
  <c r="Q950" i="3"/>
  <c r="Q949" i="3"/>
  <c r="Q948" i="3"/>
  <c r="Q947" i="3"/>
  <c r="Q946" i="3"/>
  <c r="Q945" i="3"/>
  <c r="Q944" i="3"/>
  <c r="Q943" i="3"/>
  <c r="Q942" i="3"/>
  <c r="Q941" i="3"/>
  <c r="Q940" i="3"/>
  <c r="Q939" i="3"/>
  <c r="Q938" i="3"/>
  <c r="Q937" i="3"/>
  <c r="Q936" i="3"/>
  <c r="Q935" i="3"/>
  <c r="Q934" i="3"/>
  <c r="Q933" i="3"/>
  <c r="Q932" i="3"/>
  <c r="Q931" i="3"/>
  <c r="Q930" i="3"/>
  <c r="Q929" i="3"/>
  <c r="Q928" i="3"/>
  <c r="Q927" i="3"/>
  <c r="Q926" i="3"/>
  <c r="Q925" i="3"/>
  <c r="Q924" i="3"/>
  <c r="Q923" i="3"/>
  <c r="Q922" i="3"/>
  <c r="Q921" i="3"/>
  <c r="Q920" i="3"/>
  <c r="Q919" i="3"/>
  <c r="Q918" i="3"/>
  <c r="Q917" i="3"/>
  <c r="Q916" i="3"/>
  <c r="Q915" i="3"/>
  <c r="Q914" i="3"/>
  <c r="Q913" i="3"/>
  <c r="Q912" i="3"/>
  <c r="Q911" i="3"/>
  <c r="Q910" i="3"/>
  <c r="Q909" i="3"/>
  <c r="Q908" i="3"/>
  <c r="Q907" i="3"/>
  <c r="Q906" i="3"/>
  <c r="Q905" i="3"/>
  <c r="Q904" i="3"/>
  <c r="Q903" i="3"/>
  <c r="Q902" i="3"/>
  <c r="Q901" i="3"/>
  <c r="Q900" i="3"/>
  <c r="Q899" i="3"/>
  <c r="Q898" i="3"/>
  <c r="Q897" i="3"/>
  <c r="Q896" i="3"/>
  <c r="Q895" i="3"/>
  <c r="Q894" i="3"/>
  <c r="Q893" i="3"/>
  <c r="Q892" i="3"/>
  <c r="Q891" i="3"/>
  <c r="Q890" i="3"/>
  <c r="Q889" i="3"/>
  <c r="Q888" i="3"/>
  <c r="Q887" i="3"/>
  <c r="Q886" i="3"/>
  <c r="Q885" i="3"/>
  <c r="Q884" i="3"/>
  <c r="Q883" i="3"/>
  <c r="Q882" i="3"/>
  <c r="Q881" i="3"/>
  <c r="Q880" i="3"/>
  <c r="Q879" i="3"/>
  <c r="Q878" i="3"/>
  <c r="Q877" i="3"/>
  <c r="Q876" i="3"/>
  <c r="Q875" i="3"/>
  <c r="Q874" i="3"/>
  <c r="Q873" i="3"/>
  <c r="Q872" i="3"/>
  <c r="Q871" i="3"/>
  <c r="Q870" i="3"/>
  <c r="Q869" i="3"/>
  <c r="Q868" i="3"/>
  <c r="Q867" i="3"/>
  <c r="Q866" i="3"/>
  <c r="Q865" i="3"/>
  <c r="Q864" i="3"/>
  <c r="Q863" i="3"/>
  <c r="Q862" i="3"/>
  <c r="Q861" i="3"/>
  <c r="Q860" i="3"/>
  <c r="Q859" i="3"/>
  <c r="Q858" i="3"/>
  <c r="Q857" i="3"/>
  <c r="Q856" i="3"/>
  <c r="Q855" i="3"/>
  <c r="Q854" i="3"/>
  <c r="Q853" i="3"/>
  <c r="Q852" i="3"/>
  <c r="Q851" i="3"/>
  <c r="Q850" i="3"/>
  <c r="Q849" i="3"/>
  <c r="Q848" i="3"/>
  <c r="Q847" i="3"/>
  <c r="Q846" i="3"/>
  <c r="Q845" i="3"/>
  <c r="Q844" i="3"/>
  <c r="Q843" i="3"/>
  <c r="Q842" i="3"/>
  <c r="Q841" i="3"/>
  <c r="Q840" i="3"/>
  <c r="Q839" i="3"/>
  <c r="Q838" i="3"/>
  <c r="Q837" i="3"/>
  <c r="Q836" i="3"/>
  <c r="Q835" i="3"/>
  <c r="Q834" i="3"/>
  <c r="Q833" i="3"/>
  <c r="Q832" i="3"/>
  <c r="Q831" i="3"/>
  <c r="Q830" i="3"/>
  <c r="Q829" i="3"/>
  <c r="Q828" i="3"/>
  <c r="Q827" i="3"/>
  <c r="Q826" i="3"/>
  <c r="Q825" i="3"/>
  <c r="Q824" i="3"/>
  <c r="Q823" i="3"/>
  <c r="Q822" i="3"/>
  <c r="Q821" i="3"/>
  <c r="Q820" i="3"/>
  <c r="Q819" i="3"/>
  <c r="Q818" i="3"/>
  <c r="Q817" i="3"/>
  <c r="Q816" i="3"/>
  <c r="Q815" i="3"/>
  <c r="Q814" i="3"/>
  <c r="Q813" i="3"/>
  <c r="Q812" i="3"/>
  <c r="Q811" i="3"/>
  <c r="Q810" i="3"/>
  <c r="Q809" i="3"/>
  <c r="Q808" i="3"/>
  <c r="Q807" i="3"/>
  <c r="Q806" i="3"/>
  <c r="Q805" i="3"/>
  <c r="Q804" i="3"/>
  <c r="Q803" i="3"/>
  <c r="Q802" i="3"/>
  <c r="Q801" i="3"/>
  <c r="Q800" i="3"/>
  <c r="Q799" i="3"/>
  <c r="Q798" i="3"/>
  <c r="Q797" i="3"/>
  <c r="Q796" i="3"/>
  <c r="Q795" i="3"/>
  <c r="Q794" i="3"/>
  <c r="Q793" i="3"/>
  <c r="Q792" i="3"/>
  <c r="Q791" i="3"/>
  <c r="Q790" i="3"/>
  <c r="Q789" i="3"/>
  <c r="Q788" i="3"/>
  <c r="Q787" i="3"/>
  <c r="Q786" i="3"/>
  <c r="Q785" i="3"/>
  <c r="Q784" i="3"/>
  <c r="Q783" i="3"/>
  <c r="Q782" i="3"/>
  <c r="Q781" i="3"/>
  <c r="Q780" i="3"/>
  <c r="Q779" i="3"/>
  <c r="Q778" i="3"/>
  <c r="Q777" i="3"/>
  <c r="Q776" i="3"/>
  <c r="Q775" i="3"/>
  <c r="Q774" i="3"/>
  <c r="Q773" i="3"/>
  <c r="Q772" i="3"/>
  <c r="Q771" i="3"/>
  <c r="Q770" i="3"/>
  <c r="Q769" i="3"/>
  <c r="Q768" i="3"/>
  <c r="Q767" i="3"/>
  <c r="Q766" i="3"/>
  <c r="Q765" i="3"/>
  <c r="Q764" i="3"/>
  <c r="Q763" i="3"/>
  <c r="Q762" i="3"/>
  <c r="Q761" i="3"/>
  <c r="Q760" i="3"/>
  <c r="Q759" i="3"/>
  <c r="Q758" i="3"/>
  <c r="Q757" i="3"/>
  <c r="Q756" i="3"/>
  <c r="Q755" i="3"/>
  <c r="Q754" i="3"/>
  <c r="Q753" i="3"/>
  <c r="Q752" i="3"/>
  <c r="Q751" i="3"/>
  <c r="Q750" i="3"/>
  <c r="Q749" i="3"/>
  <c r="Q748" i="3"/>
  <c r="Q747" i="3"/>
  <c r="Q746" i="3"/>
  <c r="Q745" i="3"/>
  <c r="Q744" i="3"/>
  <c r="Q743" i="3"/>
  <c r="Q742" i="3"/>
  <c r="Q741" i="3"/>
  <c r="Q740" i="3"/>
  <c r="Q739" i="3"/>
  <c r="Q738" i="3"/>
  <c r="Q737" i="3"/>
  <c r="Q736" i="3"/>
  <c r="Q735" i="3"/>
  <c r="Q734" i="3"/>
  <c r="Q733" i="3"/>
  <c r="Q732" i="3"/>
  <c r="Q731" i="3"/>
  <c r="Q730" i="3"/>
  <c r="Q729" i="3"/>
  <c r="Q728" i="3"/>
  <c r="Q727" i="3"/>
  <c r="Q726" i="3"/>
  <c r="Q725" i="3"/>
  <c r="Q724" i="3"/>
  <c r="Q723" i="3"/>
  <c r="Q722" i="3"/>
  <c r="Q721" i="3"/>
  <c r="Q720" i="3"/>
  <c r="Q719" i="3"/>
  <c r="Q718" i="3"/>
  <c r="Q717" i="3"/>
  <c r="Q716" i="3"/>
  <c r="Q715" i="3"/>
  <c r="Q714" i="3"/>
  <c r="Q713" i="3"/>
  <c r="Q712" i="3"/>
  <c r="Q711" i="3"/>
  <c r="Q710" i="3"/>
  <c r="Q709" i="3"/>
  <c r="Q708" i="3"/>
  <c r="Q707" i="3"/>
  <c r="Q706" i="3"/>
  <c r="Q705" i="3"/>
  <c r="Q704" i="3"/>
  <c r="Q703" i="3"/>
  <c r="Q702" i="3"/>
  <c r="Q701" i="3"/>
  <c r="Q700" i="3"/>
  <c r="Q699" i="3"/>
  <c r="Q698" i="3"/>
  <c r="Q697" i="3"/>
  <c r="Q696" i="3"/>
  <c r="Q695" i="3"/>
  <c r="Q694" i="3"/>
  <c r="Q693" i="3"/>
  <c r="Q692" i="3"/>
  <c r="Q691" i="3"/>
  <c r="Q690" i="3"/>
  <c r="Q689" i="3"/>
  <c r="Q688" i="3"/>
  <c r="Q687" i="3"/>
  <c r="Q686" i="3"/>
  <c r="Q685" i="3"/>
  <c r="Q684" i="3"/>
  <c r="Q683" i="3"/>
  <c r="Q682" i="3"/>
  <c r="Q681" i="3"/>
  <c r="Q680" i="3"/>
  <c r="Q679" i="3"/>
  <c r="Q678" i="3"/>
  <c r="Q677" i="3"/>
  <c r="Q676" i="3"/>
  <c r="Q675" i="3"/>
  <c r="Q674" i="3"/>
  <c r="Q673" i="3"/>
  <c r="Q672" i="3"/>
  <c r="Q671" i="3"/>
  <c r="Q670" i="3"/>
  <c r="Q669" i="3"/>
  <c r="Q668" i="3"/>
  <c r="Q667" i="3"/>
  <c r="Q666" i="3"/>
  <c r="Q665" i="3"/>
  <c r="Q664" i="3"/>
  <c r="Q663" i="3"/>
  <c r="Q662" i="3"/>
  <c r="Q661" i="3"/>
  <c r="Q660" i="3"/>
  <c r="Q659" i="3"/>
  <c r="Q658" i="3"/>
  <c r="Q657" i="3"/>
  <c r="Q656" i="3"/>
  <c r="Q655" i="3"/>
  <c r="Q654" i="3"/>
  <c r="Q653" i="3"/>
  <c r="Q652" i="3"/>
  <c r="Q651" i="3"/>
  <c r="Q650" i="3"/>
  <c r="Q649" i="3"/>
  <c r="Q648" i="3"/>
  <c r="Q647" i="3"/>
  <c r="Q646" i="3"/>
  <c r="Q645" i="3"/>
  <c r="Q644" i="3"/>
  <c r="Q643" i="3"/>
  <c r="Q642" i="3"/>
  <c r="Q641" i="3"/>
  <c r="Q640" i="3"/>
  <c r="Q639" i="3"/>
  <c r="Q638" i="3"/>
  <c r="Q637" i="3"/>
  <c r="Q636" i="3"/>
  <c r="Q635" i="3"/>
  <c r="Q634" i="3"/>
  <c r="Q633" i="3"/>
  <c r="Q632" i="3"/>
  <c r="Q631" i="3"/>
  <c r="Q630" i="3"/>
  <c r="Q629" i="3"/>
  <c r="Q628" i="3"/>
  <c r="Q627" i="3"/>
  <c r="Q626" i="3"/>
  <c r="Q625" i="3"/>
  <c r="Q624" i="3"/>
  <c r="Q623" i="3"/>
  <c r="Q622" i="3"/>
  <c r="Q621" i="3"/>
  <c r="Q620" i="3"/>
  <c r="Q619" i="3"/>
  <c r="Q618" i="3"/>
  <c r="Q617" i="3"/>
  <c r="Q616" i="3"/>
  <c r="Q615" i="3"/>
  <c r="Q614" i="3"/>
  <c r="Q613" i="3"/>
  <c r="Q612" i="3"/>
  <c r="Q611" i="3"/>
  <c r="Q610" i="3"/>
  <c r="Q609" i="3"/>
  <c r="Q608" i="3"/>
  <c r="Q607" i="3"/>
  <c r="Q606" i="3"/>
  <c r="Q605" i="3"/>
  <c r="Q604" i="3"/>
  <c r="Q603" i="3"/>
  <c r="Q602" i="3"/>
  <c r="Q601" i="3"/>
  <c r="Q600" i="3"/>
  <c r="Q599" i="3"/>
  <c r="Q598" i="3"/>
  <c r="Q597" i="3"/>
  <c r="Q596" i="3"/>
  <c r="Q595" i="3"/>
  <c r="Q594" i="3"/>
  <c r="Q593" i="3"/>
  <c r="Q592" i="3"/>
  <c r="Q591" i="3"/>
  <c r="Q590" i="3"/>
  <c r="Q589" i="3"/>
  <c r="Q588" i="3"/>
  <c r="Q587" i="3"/>
  <c r="Q586" i="3"/>
  <c r="Q585" i="3"/>
  <c r="Q584" i="3"/>
  <c r="Q583" i="3"/>
  <c r="Q582" i="3"/>
  <c r="Q581" i="3"/>
  <c r="Q580" i="3"/>
  <c r="Q579" i="3"/>
  <c r="Q578" i="3"/>
  <c r="Q577" i="3"/>
  <c r="Q576" i="3"/>
  <c r="Q575" i="3"/>
  <c r="Q574" i="3"/>
  <c r="Q573" i="3"/>
  <c r="Q572" i="3"/>
  <c r="Q571" i="3"/>
  <c r="Q570" i="3"/>
  <c r="Q569" i="3"/>
  <c r="Q568" i="3"/>
  <c r="Q567" i="3"/>
  <c r="Q566" i="3"/>
  <c r="Q565" i="3"/>
  <c r="Q564" i="3"/>
  <c r="Q563" i="3"/>
  <c r="Q562" i="3"/>
  <c r="Q561" i="3"/>
  <c r="Q560" i="3"/>
  <c r="Q559" i="3"/>
  <c r="Q558" i="3"/>
  <c r="Q557" i="3"/>
  <c r="Q556" i="3"/>
  <c r="Q555" i="3"/>
  <c r="Q554" i="3"/>
  <c r="Q553" i="3"/>
  <c r="Q552" i="3"/>
  <c r="Q551" i="3"/>
  <c r="Q550" i="3"/>
  <c r="Q549" i="3"/>
  <c r="Q548" i="3"/>
  <c r="Q547" i="3"/>
  <c r="Q546" i="3"/>
  <c r="Q545" i="3"/>
  <c r="Q544" i="3"/>
  <c r="Q543" i="3"/>
  <c r="Q542" i="3"/>
  <c r="Q541" i="3"/>
  <c r="Q540" i="3"/>
  <c r="Q539" i="3"/>
  <c r="Q538" i="3"/>
  <c r="Q537" i="3"/>
  <c r="Q536" i="3"/>
  <c r="Q535" i="3"/>
  <c r="Q534" i="3"/>
  <c r="Q533" i="3"/>
  <c r="Q532" i="3"/>
  <c r="Q531" i="3"/>
  <c r="Q530" i="3"/>
  <c r="Q529" i="3"/>
  <c r="Q528" i="3"/>
  <c r="Q527" i="3"/>
  <c r="Q526" i="3"/>
  <c r="Q525" i="3"/>
  <c r="Q524" i="3"/>
  <c r="Q523" i="3"/>
  <c r="Q522" i="3"/>
  <c r="Q521" i="3"/>
  <c r="Q520" i="3"/>
  <c r="Q519" i="3"/>
  <c r="Q518" i="3"/>
  <c r="Q517" i="3"/>
  <c r="Q516" i="3"/>
  <c r="Q515" i="3"/>
  <c r="Q514" i="3"/>
  <c r="Q513" i="3"/>
  <c r="Q512" i="3"/>
  <c r="Q511" i="3"/>
  <c r="Q510" i="3"/>
  <c r="Q509" i="3"/>
  <c r="Q508" i="3"/>
  <c r="Q507" i="3"/>
  <c r="Q506" i="3"/>
  <c r="Q505" i="3"/>
  <c r="Q504" i="3"/>
  <c r="Q503" i="3"/>
  <c r="P1000" i="3" a="1"/>
  <c r="P1000" i="3" s="1"/>
  <c r="P999" i="3" a="1"/>
  <c r="P999" i="3" s="1"/>
  <c r="P998" i="3" a="1"/>
  <c r="P998" i="3" s="1"/>
  <c r="P997" i="3" a="1"/>
  <c r="P997" i="3" s="1"/>
  <c r="P996" i="3" a="1"/>
  <c r="P996" i="3" s="1"/>
  <c r="P995" i="3" a="1"/>
  <c r="P995" i="3" s="1"/>
  <c r="P994" i="3" a="1"/>
  <c r="P994" i="3" s="1"/>
  <c r="P993" i="3" a="1"/>
  <c r="P993" i="3" s="1"/>
  <c r="P992" i="3" a="1"/>
  <c r="P992" i="3" s="1"/>
  <c r="P991" i="3" a="1"/>
  <c r="P991" i="3" s="1"/>
  <c r="P990" i="3" a="1"/>
  <c r="P990" i="3" s="1"/>
  <c r="P989" i="3" a="1"/>
  <c r="P989" i="3" s="1"/>
  <c r="P988" i="3" a="1"/>
  <c r="P988" i="3" s="1"/>
  <c r="P987" i="3" a="1"/>
  <c r="P987" i="3" s="1"/>
  <c r="P986" i="3" a="1"/>
  <c r="P986" i="3" s="1"/>
  <c r="P985" i="3" a="1"/>
  <c r="P985" i="3" s="1"/>
  <c r="P984" i="3" a="1"/>
  <c r="P984" i="3" s="1"/>
  <c r="P983" i="3" a="1"/>
  <c r="P983" i="3" s="1"/>
  <c r="P982" i="3" a="1"/>
  <c r="P982" i="3" s="1"/>
  <c r="P981" i="3" a="1"/>
  <c r="P981" i="3" s="1"/>
  <c r="P980" i="3" a="1"/>
  <c r="P980" i="3" s="1"/>
  <c r="P979" i="3" a="1"/>
  <c r="P979" i="3" s="1"/>
  <c r="P978" i="3" a="1"/>
  <c r="P978" i="3" s="1"/>
  <c r="P977" i="3" a="1"/>
  <c r="P977" i="3" s="1"/>
  <c r="P976" i="3" a="1"/>
  <c r="P976" i="3" s="1"/>
  <c r="P975" i="3" a="1"/>
  <c r="P975" i="3" s="1"/>
  <c r="P974" i="3" a="1"/>
  <c r="P974" i="3" s="1"/>
  <c r="P973" i="3" a="1"/>
  <c r="P973" i="3" s="1"/>
  <c r="P972" i="3" a="1"/>
  <c r="P972" i="3" s="1"/>
  <c r="P971" i="3" a="1"/>
  <c r="P971" i="3" s="1"/>
  <c r="P970" i="3" a="1"/>
  <c r="P970" i="3" s="1"/>
  <c r="P969" i="3" a="1"/>
  <c r="P969" i="3" s="1"/>
  <c r="P968" i="3" a="1"/>
  <c r="P968" i="3" s="1"/>
  <c r="P967" i="3" a="1"/>
  <c r="P967" i="3" s="1"/>
  <c r="P966" i="3" a="1"/>
  <c r="P966" i="3" s="1"/>
  <c r="P965" i="3" a="1"/>
  <c r="P965" i="3" s="1"/>
  <c r="P964" i="3" a="1"/>
  <c r="P964" i="3" s="1"/>
  <c r="P963" i="3" a="1"/>
  <c r="P963" i="3" s="1"/>
  <c r="P962" i="3" a="1"/>
  <c r="P962" i="3" s="1"/>
  <c r="P961" i="3" a="1"/>
  <c r="P961" i="3" s="1"/>
  <c r="P960" i="3" a="1"/>
  <c r="P960" i="3" s="1"/>
  <c r="P959" i="3" a="1"/>
  <c r="P959" i="3" s="1"/>
  <c r="P958" i="3" a="1"/>
  <c r="P958" i="3" s="1"/>
  <c r="P957" i="3" a="1"/>
  <c r="P957" i="3" s="1"/>
  <c r="P956" i="3" a="1"/>
  <c r="P956" i="3" s="1"/>
  <c r="P955" i="3" a="1"/>
  <c r="P955" i="3" s="1"/>
  <c r="P954" i="3" a="1"/>
  <c r="P954" i="3" s="1"/>
  <c r="P953" i="3" a="1"/>
  <c r="P953" i="3" s="1"/>
  <c r="P952" i="3" a="1"/>
  <c r="P952" i="3" s="1"/>
  <c r="P951" i="3" a="1"/>
  <c r="P951" i="3" s="1"/>
  <c r="P950" i="3" a="1"/>
  <c r="P950" i="3" s="1"/>
  <c r="P949" i="3" a="1"/>
  <c r="P949" i="3" s="1"/>
  <c r="P948" i="3" a="1"/>
  <c r="P948" i="3" s="1"/>
  <c r="P947" i="3" a="1"/>
  <c r="P947" i="3" s="1"/>
  <c r="P946" i="3" a="1"/>
  <c r="P946" i="3" s="1"/>
  <c r="P945" i="3" a="1"/>
  <c r="P945" i="3" s="1"/>
  <c r="P944" i="3" a="1"/>
  <c r="P944" i="3" s="1"/>
  <c r="P943" i="3" a="1"/>
  <c r="P943" i="3" s="1"/>
  <c r="P942" i="3" a="1"/>
  <c r="P942" i="3" s="1"/>
  <c r="P941" i="3" a="1"/>
  <c r="P941" i="3" s="1"/>
  <c r="P940" i="3" a="1"/>
  <c r="P940" i="3" s="1"/>
  <c r="P939" i="3" a="1"/>
  <c r="P939" i="3" s="1"/>
  <c r="P938" i="3" a="1"/>
  <c r="P938" i="3" s="1"/>
  <c r="P937" i="3" a="1"/>
  <c r="P937" i="3" s="1"/>
  <c r="P936" i="3" a="1"/>
  <c r="P936" i="3" s="1"/>
  <c r="P935" i="3" a="1"/>
  <c r="P935" i="3" s="1"/>
  <c r="P934" i="3" a="1"/>
  <c r="P934" i="3" s="1"/>
  <c r="P933" i="3" a="1"/>
  <c r="P933" i="3" s="1"/>
  <c r="P932" i="3" a="1"/>
  <c r="P932" i="3" s="1"/>
  <c r="P931" i="3" a="1"/>
  <c r="P931" i="3" s="1"/>
  <c r="P930" i="3" a="1"/>
  <c r="P930" i="3" s="1"/>
  <c r="P929" i="3" a="1"/>
  <c r="P929" i="3" s="1"/>
  <c r="P928" i="3" a="1"/>
  <c r="P928" i="3" s="1"/>
  <c r="P927" i="3" a="1"/>
  <c r="P927" i="3" s="1"/>
  <c r="P926" i="3" a="1"/>
  <c r="P926" i="3" s="1"/>
  <c r="P925" i="3" a="1"/>
  <c r="P925" i="3" s="1"/>
  <c r="P924" i="3" a="1"/>
  <c r="P924" i="3" s="1"/>
  <c r="P923" i="3" a="1"/>
  <c r="P923" i="3" s="1"/>
  <c r="P922" i="3" a="1"/>
  <c r="P922" i="3" s="1"/>
  <c r="P921" i="3" a="1"/>
  <c r="P921" i="3" s="1"/>
  <c r="P920" i="3" a="1"/>
  <c r="P920" i="3" s="1"/>
  <c r="P919" i="3" a="1"/>
  <c r="P919" i="3" s="1"/>
  <c r="P918" i="3" a="1"/>
  <c r="P918" i="3" s="1"/>
  <c r="P917" i="3" a="1"/>
  <c r="P917" i="3" s="1"/>
  <c r="P916" i="3" a="1"/>
  <c r="P916" i="3" s="1"/>
  <c r="P915" i="3" a="1"/>
  <c r="P915" i="3" s="1"/>
  <c r="P914" i="3" a="1"/>
  <c r="P914" i="3" s="1"/>
  <c r="P913" i="3" a="1"/>
  <c r="P913" i="3" s="1"/>
  <c r="P912" i="3" a="1"/>
  <c r="P912" i="3" s="1"/>
  <c r="P911" i="3" a="1"/>
  <c r="P911" i="3" s="1"/>
  <c r="P910" i="3" a="1"/>
  <c r="P910" i="3" s="1"/>
  <c r="P909" i="3" a="1"/>
  <c r="P909" i="3" s="1"/>
  <c r="P908" i="3" a="1"/>
  <c r="P908" i="3" s="1"/>
  <c r="P907" i="3" a="1"/>
  <c r="P907" i="3" s="1"/>
  <c r="P906" i="3" a="1"/>
  <c r="P906" i="3" s="1"/>
  <c r="P905" i="3" a="1"/>
  <c r="P905" i="3" s="1"/>
  <c r="P904" i="3" a="1"/>
  <c r="P904" i="3" s="1"/>
  <c r="P903" i="3" a="1"/>
  <c r="P903" i="3" s="1"/>
  <c r="P902" i="3" a="1"/>
  <c r="P902" i="3" s="1"/>
  <c r="P901" i="3" a="1"/>
  <c r="P901" i="3" s="1"/>
  <c r="P900" i="3" a="1"/>
  <c r="P900" i="3" s="1"/>
  <c r="P899" i="3" a="1"/>
  <c r="P899" i="3" s="1"/>
  <c r="P898" i="3" a="1"/>
  <c r="P898" i="3" s="1"/>
  <c r="P897" i="3" a="1"/>
  <c r="P897" i="3" s="1"/>
  <c r="P896" i="3" a="1"/>
  <c r="P896" i="3" s="1"/>
  <c r="P895" i="3" a="1"/>
  <c r="P895" i="3" s="1"/>
  <c r="P894" i="3" a="1"/>
  <c r="P894" i="3" s="1"/>
  <c r="P893" i="3" a="1"/>
  <c r="P893" i="3" s="1"/>
  <c r="P892" i="3" a="1"/>
  <c r="P892" i="3" s="1"/>
  <c r="P891" i="3" a="1"/>
  <c r="P891" i="3" s="1"/>
  <c r="P890" i="3" a="1"/>
  <c r="P890" i="3" s="1"/>
  <c r="P889" i="3" a="1"/>
  <c r="P889" i="3" s="1"/>
  <c r="P888" i="3" a="1"/>
  <c r="P888" i="3" s="1"/>
  <c r="P887" i="3" a="1"/>
  <c r="P887" i="3" s="1"/>
  <c r="P886" i="3" a="1"/>
  <c r="P886" i="3" s="1"/>
  <c r="P885" i="3" a="1"/>
  <c r="P885" i="3" s="1"/>
  <c r="P884" i="3" a="1"/>
  <c r="P884" i="3" s="1"/>
  <c r="P883" i="3" a="1"/>
  <c r="P883" i="3" s="1"/>
  <c r="P882" i="3" a="1"/>
  <c r="P882" i="3" s="1"/>
  <c r="P881" i="3" a="1"/>
  <c r="P881" i="3" s="1"/>
  <c r="P880" i="3" a="1"/>
  <c r="P880" i="3" s="1"/>
  <c r="P879" i="3" a="1"/>
  <c r="P879" i="3" s="1"/>
  <c r="P878" i="3" a="1"/>
  <c r="P878" i="3" s="1"/>
  <c r="P877" i="3" a="1"/>
  <c r="P877" i="3" s="1"/>
  <c r="P876" i="3" a="1"/>
  <c r="P876" i="3" s="1"/>
  <c r="P875" i="3" a="1"/>
  <c r="P875" i="3" s="1"/>
  <c r="P874" i="3" a="1"/>
  <c r="P874" i="3" s="1"/>
  <c r="P873" i="3" a="1"/>
  <c r="P873" i="3" s="1"/>
  <c r="P872" i="3" a="1"/>
  <c r="P872" i="3" s="1"/>
  <c r="P871" i="3" a="1"/>
  <c r="P871" i="3" s="1"/>
  <c r="P870" i="3" a="1"/>
  <c r="P870" i="3" s="1"/>
  <c r="P869" i="3" a="1"/>
  <c r="P869" i="3" s="1"/>
  <c r="P868" i="3" a="1"/>
  <c r="P868" i="3" s="1"/>
  <c r="P867" i="3" a="1"/>
  <c r="P867" i="3" s="1"/>
  <c r="P866" i="3" a="1"/>
  <c r="P866" i="3" s="1"/>
  <c r="P865" i="3" a="1"/>
  <c r="P865" i="3" s="1"/>
  <c r="P864" i="3" a="1"/>
  <c r="P864" i="3" s="1"/>
  <c r="P863" i="3" a="1"/>
  <c r="P863" i="3" s="1"/>
  <c r="P862" i="3" a="1"/>
  <c r="P862" i="3" s="1"/>
  <c r="P861" i="3" a="1"/>
  <c r="P861" i="3" s="1"/>
  <c r="P860" i="3" a="1"/>
  <c r="P860" i="3" s="1"/>
  <c r="P859" i="3" a="1"/>
  <c r="P859" i="3" s="1"/>
  <c r="P858" i="3" a="1"/>
  <c r="P858" i="3" s="1"/>
  <c r="P857" i="3" a="1"/>
  <c r="P857" i="3" s="1"/>
  <c r="P856" i="3" a="1"/>
  <c r="P856" i="3" s="1"/>
  <c r="P855" i="3" a="1"/>
  <c r="P855" i="3" s="1"/>
  <c r="P854" i="3" a="1"/>
  <c r="P854" i="3" s="1"/>
  <c r="P853" i="3" a="1"/>
  <c r="P853" i="3" s="1"/>
  <c r="P852" i="3" a="1"/>
  <c r="P852" i="3" s="1"/>
  <c r="P851" i="3" a="1"/>
  <c r="P851" i="3" s="1"/>
  <c r="P850" i="3" a="1"/>
  <c r="P850" i="3" s="1"/>
  <c r="P849" i="3" a="1"/>
  <c r="P849" i="3" s="1"/>
  <c r="P848" i="3" a="1"/>
  <c r="P848" i="3" s="1"/>
  <c r="P847" i="3" a="1"/>
  <c r="P847" i="3" s="1"/>
  <c r="P846" i="3" a="1"/>
  <c r="P846" i="3" s="1"/>
  <c r="P845" i="3" a="1"/>
  <c r="P845" i="3" s="1"/>
  <c r="P844" i="3" a="1"/>
  <c r="P844" i="3" s="1"/>
  <c r="P843" i="3" a="1"/>
  <c r="P843" i="3" s="1"/>
  <c r="P842" i="3" a="1"/>
  <c r="P842" i="3" s="1"/>
  <c r="P841" i="3" a="1"/>
  <c r="P841" i="3" s="1"/>
  <c r="P840" i="3" a="1"/>
  <c r="P840" i="3" s="1"/>
  <c r="P839" i="3" a="1"/>
  <c r="P839" i="3" s="1"/>
  <c r="P838" i="3" a="1"/>
  <c r="P838" i="3" s="1"/>
  <c r="P837" i="3" a="1"/>
  <c r="P837" i="3" s="1"/>
  <c r="P836" i="3" a="1"/>
  <c r="P836" i="3" s="1"/>
  <c r="P835" i="3" a="1"/>
  <c r="P835" i="3" s="1"/>
  <c r="P834" i="3" a="1"/>
  <c r="P834" i="3" s="1"/>
  <c r="P833" i="3" a="1"/>
  <c r="P833" i="3" s="1"/>
  <c r="P832" i="3" a="1"/>
  <c r="P832" i="3" s="1"/>
  <c r="P831" i="3" a="1"/>
  <c r="P831" i="3" s="1"/>
  <c r="P830" i="3" a="1"/>
  <c r="P830" i="3" s="1"/>
  <c r="P829" i="3" a="1"/>
  <c r="P829" i="3" s="1"/>
  <c r="P828" i="3" a="1"/>
  <c r="P828" i="3" s="1"/>
  <c r="P827" i="3" a="1"/>
  <c r="P827" i="3" s="1"/>
  <c r="P826" i="3" a="1"/>
  <c r="P826" i="3" s="1"/>
  <c r="P825" i="3" a="1"/>
  <c r="P825" i="3" s="1"/>
  <c r="P824" i="3" a="1"/>
  <c r="P824" i="3" s="1"/>
  <c r="P823" i="3" a="1"/>
  <c r="P823" i="3" s="1"/>
  <c r="P822" i="3" a="1"/>
  <c r="P822" i="3" s="1"/>
  <c r="P821" i="3" a="1"/>
  <c r="P821" i="3" s="1"/>
  <c r="P820" i="3" a="1"/>
  <c r="P820" i="3" s="1"/>
  <c r="P819" i="3" a="1"/>
  <c r="P819" i="3" s="1"/>
  <c r="P818" i="3" a="1"/>
  <c r="P818" i="3" s="1"/>
  <c r="P817" i="3" a="1"/>
  <c r="P817" i="3" s="1"/>
  <c r="P816" i="3" a="1"/>
  <c r="P816" i="3" s="1"/>
  <c r="P815" i="3" a="1"/>
  <c r="P815" i="3" s="1"/>
  <c r="P814" i="3" a="1"/>
  <c r="P814" i="3" s="1"/>
  <c r="P813" i="3" a="1"/>
  <c r="P813" i="3" s="1"/>
  <c r="P812" i="3" a="1"/>
  <c r="P812" i="3" s="1"/>
  <c r="P811" i="3" a="1"/>
  <c r="P811" i="3" s="1"/>
  <c r="P810" i="3" a="1"/>
  <c r="P810" i="3" s="1"/>
  <c r="P809" i="3" a="1"/>
  <c r="P809" i="3" s="1"/>
  <c r="P808" i="3" a="1"/>
  <c r="P808" i="3" s="1"/>
  <c r="P807" i="3" a="1"/>
  <c r="P807" i="3" s="1"/>
  <c r="P806" i="3" a="1"/>
  <c r="P806" i="3" s="1"/>
  <c r="P805" i="3" a="1"/>
  <c r="P805" i="3" s="1"/>
  <c r="P804" i="3" a="1"/>
  <c r="P804" i="3" s="1"/>
  <c r="P803" i="3" a="1"/>
  <c r="P803" i="3" s="1"/>
  <c r="P802" i="3" a="1"/>
  <c r="P802" i="3" s="1"/>
  <c r="P801" i="3" a="1"/>
  <c r="P801" i="3" s="1"/>
  <c r="P800" i="3" a="1"/>
  <c r="P800" i="3" s="1"/>
  <c r="P799" i="3" a="1"/>
  <c r="P799" i="3" s="1"/>
  <c r="P798" i="3" a="1"/>
  <c r="P798" i="3" s="1"/>
  <c r="P797" i="3" a="1"/>
  <c r="P797" i="3" s="1"/>
  <c r="P796" i="3" a="1"/>
  <c r="P796" i="3" s="1"/>
  <c r="P795" i="3" a="1"/>
  <c r="P795" i="3" s="1"/>
  <c r="P794" i="3" a="1"/>
  <c r="P794" i="3" s="1"/>
  <c r="P793" i="3" a="1"/>
  <c r="P793" i="3" s="1"/>
  <c r="P792" i="3" a="1"/>
  <c r="P792" i="3" s="1"/>
  <c r="P791" i="3" a="1"/>
  <c r="P791" i="3" s="1"/>
  <c r="P790" i="3" a="1"/>
  <c r="P790" i="3" s="1"/>
  <c r="P789" i="3" a="1"/>
  <c r="P789" i="3" s="1"/>
  <c r="P788" i="3" a="1"/>
  <c r="P788" i="3" s="1"/>
  <c r="P787" i="3" a="1"/>
  <c r="P787" i="3" s="1"/>
  <c r="P786" i="3" a="1"/>
  <c r="P786" i="3" s="1"/>
  <c r="P785" i="3" a="1"/>
  <c r="P785" i="3" s="1"/>
  <c r="P784" i="3" a="1"/>
  <c r="P784" i="3" s="1"/>
  <c r="P783" i="3" a="1"/>
  <c r="P783" i="3" s="1"/>
  <c r="P782" i="3" a="1"/>
  <c r="P782" i="3" s="1"/>
  <c r="P781" i="3" a="1"/>
  <c r="P781" i="3" s="1"/>
  <c r="P780" i="3" a="1"/>
  <c r="P780" i="3" s="1"/>
  <c r="P779" i="3" a="1"/>
  <c r="P779" i="3" s="1"/>
  <c r="P778" i="3" a="1"/>
  <c r="P778" i="3" s="1"/>
  <c r="P777" i="3" a="1"/>
  <c r="P777" i="3" s="1"/>
  <c r="P776" i="3" a="1"/>
  <c r="P776" i="3" s="1"/>
  <c r="P775" i="3" a="1"/>
  <c r="P775" i="3" s="1"/>
  <c r="P774" i="3" a="1"/>
  <c r="P774" i="3" s="1"/>
  <c r="P773" i="3" a="1"/>
  <c r="P773" i="3" s="1"/>
  <c r="P772" i="3" a="1"/>
  <c r="P772" i="3" s="1"/>
  <c r="P771" i="3" a="1"/>
  <c r="P771" i="3" s="1"/>
  <c r="P770" i="3" a="1"/>
  <c r="P770" i="3" s="1"/>
  <c r="P769" i="3" a="1"/>
  <c r="P769" i="3" s="1"/>
  <c r="P768" i="3" a="1"/>
  <c r="P768" i="3" s="1"/>
  <c r="P767" i="3" a="1"/>
  <c r="P767" i="3" s="1"/>
  <c r="P766" i="3" a="1"/>
  <c r="P766" i="3" s="1"/>
  <c r="P765" i="3" a="1"/>
  <c r="P765" i="3" s="1"/>
  <c r="P764" i="3" a="1"/>
  <c r="P764" i="3" s="1"/>
  <c r="P763" i="3" a="1"/>
  <c r="P763" i="3" s="1"/>
  <c r="P762" i="3" a="1"/>
  <c r="P762" i="3" s="1"/>
  <c r="P761" i="3" a="1"/>
  <c r="P761" i="3" s="1"/>
  <c r="P760" i="3" a="1"/>
  <c r="P760" i="3" s="1"/>
  <c r="P759" i="3" a="1"/>
  <c r="P759" i="3" s="1"/>
  <c r="P758" i="3" a="1"/>
  <c r="P758" i="3" s="1"/>
  <c r="P757" i="3" a="1"/>
  <c r="P757" i="3" s="1"/>
  <c r="P756" i="3" a="1"/>
  <c r="P756" i="3" s="1"/>
  <c r="P755" i="3" a="1"/>
  <c r="P755" i="3" s="1"/>
  <c r="P754" i="3" a="1"/>
  <c r="P754" i="3" s="1"/>
  <c r="P753" i="3" a="1"/>
  <c r="P753" i="3" s="1"/>
  <c r="P752" i="3" a="1"/>
  <c r="P752" i="3" s="1"/>
  <c r="P751" i="3" a="1"/>
  <c r="P751" i="3" s="1"/>
  <c r="P750" i="3" a="1"/>
  <c r="P750" i="3" s="1"/>
  <c r="P749" i="3" a="1"/>
  <c r="P749" i="3" s="1"/>
  <c r="P748" i="3" a="1"/>
  <c r="P748" i="3" s="1"/>
  <c r="P747" i="3" a="1"/>
  <c r="P747" i="3" s="1"/>
  <c r="P746" i="3" a="1"/>
  <c r="P746" i="3" s="1"/>
  <c r="P745" i="3" a="1"/>
  <c r="P745" i="3" s="1"/>
  <c r="P744" i="3" a="1"/>
  <c r="P744" i="3" s="1"/>
  <c r="P743" i="3" a="1"/>
  <c r="P743" i="3" s="1"/>
  <c r="P742" i="3" a="1"/>
  <c r="P742" i="3" s="1"/>
  <c r="P741" i="3" a="1"/>
  <c r="P741" i="3" s="1"/>
  <c r="P740" i="3" a="1"/>
  <c r="P740" i="3" s="1"/>
  <c r="P739" i="3" a="1"/>
  <c r="P739" i="3" s="1"/>
  <c r="P738" i="3" a="1"/>
  <c r="P738" i="3" s="1"/>
  <c r="P737" i="3" a="1"/>
  <c r="P737" i="3" s="1"/>
  <c r="P736" i="3" a="1"/>
  <c r="P736" i="3" s="1"/>
  <c r="P735" i="3" a="1"/>
  <c r="P735" i="3" s="1"/>
  <c r="P734" i="3" a="1"/>
  <c r="P734" i="3" s="1"/>
  <c r="P733" i="3" a="1"/>
  <c r="P733" i="3" s="1"/>
  <c r="P732" i="3" a="1"/>
  <c r="P732" i="3" s="1"/>
  <c r="P731" i="3" a="1"/>
  <c r="P731" i="3" s="1"/>
  <c r="P730" i="3" a="1"/>
  <c r="P730" i="3" s="1"/>
  <c r="P729" i="3" a="1"/>
  <c r="P729" i="3" s="1"/>
  <c r="P728" i="3" a="1"/>
  <c r="P728" i="3" s="1"/>
  <c r="P727" i="3" a="1"/>
  <c r="P727" i="3" s="1"/>
  <c r="P726" i="3" a="1"/>
  <c r="P726" i="3" s="1"/>
  <c r="P725" i="3" a="1"/>
  <c r="P725" i="3" s="1"/>
  <c r="P724" i="3" a="1"/>
  <c r="P724" i="3" s="1"/>
  <c r="P723" i="3" a="1"/>
  <c r="P723" i="3" s="1"/>
  <c r="P722" i="3" a="1"/>
  <c r="P722" i="3" s="1"/>
  <c r="P721" i="3" a="1"/>
  <c r="P721" i="3" s="1"/>
  <c r="P720" i="3" a="1"/>
  <c r="P720" i="3" s="1"/>
  <c r="P719" i="3" a="1"/>
  <c r="P719" i="3" s="1"/>
  <c r="P718" i="3" a="1"/>
  <c r="P718" i="3" s="1"/>
  <c r="P717" i="3" a="1"/>
  <c r="P717" i="3" s="1"/>
  <c r="P716" i="3" a="1"/>
  <c r="P716" i="3" s="1"/>
  <c r="P715" i="3" a="1"/>
  <c r="P715" i="3" s="1"/>
  <c r="P714" i="3" a="1"/>
  <c r="P714" i="3" s="1"/>
  <c r="P713" i="3" a="1"/>
  <c r="P713" i="3" s="1"/>
  <c r="P712" i="3" a="1"/>
  <c r="P712" i="3" s="1"/>
  <c r="P711" i="3" a="1"/>
  <c r="P711" i="3" s="1"/>
  <c r="P710" i="3" a="1"/>
  <c r="P710" i="3" s="1"/>
  <c r="P709" i="3" a="1"/>
  <c r="P709" i="3" s="1"/>
  <c r="P708" i="3" a="1"/>
  <c r="P708" i="3" s="1"/>
  <c r="P707" i="3" a="1"/>
  <c r="P707" i="3" s="1"/>
  <c r="P706" i="3" a="1"/>
  <c r="P706" i="3" s="1"/>
  <c r="P705" i="3" a="1"/>
  <c r="P705" i="3" s="1"/>
  <c r="P704" i="3" a="1"/>
  <c r="P704" i="3" s="1"/>
  <c r="P703" i="3" a="1"/>
  <c r="P703" i="3" s="1"/>
  <c r="P702" i="3" a="1"/>
  <c r="P702" i="3" s="1"/>
  <c r="P701" i="3" a="1"/>
  <c r="P701" i="3" s="1"/>
  <c r="P700" i="3" a="1"/>
  <c r="P700" i="3" s="1"/>
  <c r="P699" i="3" a="1"/>
  <c r="P699" i="3" s="1"/>
  <c r="P698" i="3" a="1"/>
  <c r="P698" i="3" s="1"/>
  <c r="P697" i="3" a="1"/>
  <c r="P697" i="3" s="1"/>
  <c r="P696" i="3" a="1"/>
  <c r="P696" i="3" s="1"/>
  <c r="P695" i="3" a="1"/>
  <c r="P695" i="3" s="1"/>
  <c r="P694" i="3" a="1"/>
  <c r="P694" i="3" s="1"/>
  <c r="P693" i="3" a="1"/>
  <c r="P693" i="3" s="1"/>
  <c r="P692" i="3" a="1"/>
  <c r="P692" i="3" s="1"/>
  <c r="P691" i="3" a="1"/>
  <c r="P691" i="3" s="1"/>
  <c r="P690" i="3" a="1"/>
  <c r="P690" i="3" s="1"/>
  <c r="P689" i="3" a="1"/>
  <c r="P689" i="3" s="1"/>
  <c r="P688" i="3" a="1"/>
  <c r="P688" i="3" s="1"/>
  <c r="P687" i="3" a="1"/>
  <c r="P687" i="3" s="1"/>
  <c r="P686" i="3" a="1"/>
  <c r="P686" i="3" s="1"/>
  <c r="P685" i="3" a="1"/>
  <c r="P685" i="3" s="1"/>
  <c r="P684" i="3" a="1"/>
  <c r="P684" i="3" s="1"/>
  <c r="P683" i="3" a="1"/>
  <c r="P683" i="3" s="1"/>
  <c r="P682" i="3" a="1"/>
  <c r="P682" i="3" s="1"/>
  <c r="P681" i="3" a="1"/>
  <c r="P681" i="3" s="1"/>
  <c r="P680" i="3" a="1"/>
  <c r="P680" i="3" s="1"/>
  <c r="P679" i="3" a="1"/>
  <c r="P679" i="3" s="1"/>
  <c r="P678" i="3" a="1"/>
  <c r="P678" i="3" s="1"/>
  <c r="P677" i="3" a="1"/>
  <c r="P677" i="3" s="1"/>
  <c r="P676" i="3" a="1"/>
  <c r="P676" i="3" s="1"/>
  <c r="P675" i="3" a="1"/>
  <c r="P675" i="3" s="1"/>
  <c r="P674" i="3" a="1"/>
  <c r="P674" i="3" s="1"/>
  <c r="P673" i="3" a="1"/>
  <c r="P673" i="3" s="1"/>
  <c r="P672" i="3" a="1"/>
  <c r="P672" i="3" s="1"/>
  <c r="P671" i="3" a="1"/>
  <c r="P671" i="3" s="1"/>
  <c r="P670" i="3" a="1"/>
  <c r="P670" i="3" s="1"/>
  <c r="P669" i="3" a="1"/>
  <c r="P669" i="3" s="1"/>
  <c r="P668" i="3" a="1"/>
  <c r="P668" i="3" s="1"/>
  <c r="P667" i="3" a="1"/>
  <c r="P667" i="3" s="1"/>
  <c r="P666" i="3" a="1"/>
  <c r="P666" i="3" s="1"/>
  <c r="P665" i="3" a="1"/>
  <c r="P665" i="3" s="1"/>
  <c r="P664" i="3" a="1"/>
  <c r="P664" i="3" s="1"/>
  <c r="P663" i="3" a="1"/>
  <c r="P663" i="3" s="1"/>
  <c r="P662" i="3" a="1"/>
  <c r="P662" i="3" s="1"/>
  <c r="P661" i="3" a="1"/>
  <c r="P661" i="3" s="1"/>
  <c r="P660" i="3" a="1"/>
  <c r="P660" i="3" s="1"/>
  <c r="P659" i="3" a="1"/>
  <c r="P659" i="3" s="1"/>
  <c r="P658" i="3" a="1"/>
  <c r="P658" i="3" s="1"/>
  <c r="P657" i="3" a="1"/>
  <c r="P657" i="3" s="1"/>
  <c r="P656" i="3" a="1"/>
  <c r="P656" i="3" s="1"/>
  <c r="P655" i="3" a="1"/>
  <c r="P655" i="3" s="1"/>
  <c r="P654" i="3" a="1"/>
  <c r="P654" i="3" s="1"/>
  <c r="P653" i="3" a="1"/>
  <c r="P653" i="3" s="1"/>
  <c r="P652" i="3" a="1"/>
  <c r="P652" i="3" s="1"/>
  <c r="P651" i="3" a="1"/>
  <c r="P651" i="3" s="1"/>
  <c r="P650" i="3" a="1"/>
  <c r="P650" i="3" s="1"/>
  <c r="P649" i="3" a="1"/>
  <c r="P649" i="3" s="1"/>
  <c r="P648" i="3" a="1"/>
  <c r="P648" i="3" s="1"/>
  <c r="P647" i="3" a="1"/>
  <c r="P647" i="3" s="1"/>
  <c r="P646" i="3" a="1"/>
  <c r="P646" i="3" s="1"/>
  <c r="P645" i="3" a="1"/>
  <c r="P645" i="3" s="1"/>
  <c r="P644" i="3" a="1"/>
  <c r="P644" i="3" s="1"/>
  <c r="P643" i="3" a="1"/>
  <c r="P643" i="3" s="1"/>
  <c r="P642" i="3" a="1"/>
  <c r="P642" i="3" s="1"/>
  <c r="P641" i="3" a="1"/>
  <c r="P641" i="3" s="1"/>
  <c r="P640" i="3" a="1"/>
  <c r="P640" i="3" s="1"/>
  <c r="P639" i="3" a="1"/>
  <c r="P639" i="3" s="1"/>
  <c r="P638" i="3" a="1"/>
  <c r="P638" i="3" s="1"/>
  <c r="P637" i="3" a="1"/>
  <c r="P637" i="3" s="1"/>
  <c r="P636" i="3" a="1"/>
  <c r="P636" i="3" s="1"/>
  <c r="P635" i="3" a="1"/>
  <c r="P635" i="3" s="1"/>
  <c r="P634" i="3" a="1"/>
  <c r="P634" i="3" s="1"/>
  <c r="P633" i="3" a="1"/>
  <c r="P633" i="3" s="1"/>
  <c r="P632" i="3" a="1"/>
  <c r="P632" i="3" s="1"/>
  <c r="P631" i="3" a="1"/>
  <c r="P631" i="3" s="1"/>
  <c r="P630" i="3" a="1"/>
  <c r="P630" i="3" s="1"/>
  <c r="P629" i="3" a="1"/>
  <c r="P629" i="3" s="1"/>
  <c r="P628" i="3" a="1"/>
  <c r="P628" i="3" s="1"/>
  <c r="P627" i="3" a="1"/>
  <c r="P627" i="3" s="1"/>
  <c r="P626" i="3" a="1"/>
  <c r="P626" i="3" s="1"/>
  <c r="P625" i="3" a="1"/>
  <c r="P625" i="3" s="1"/>
  <c r="P624" i="3" a="1"/>
  <c r="P624" i="3" s="1"/>
  <c r="P623" i="3" a="1"/>
  <c r="P623" i="3" s="1"/>
  <c r="P622" i="3" a="1"/>
  <c r="P622" i="3" s="1"/>
  <c r="P621" i="3" a="1"/>
  <c r="P621" i="3" s="1"/>
  <c r="P620" i="3" a="1"/>
  <c r="P620" i="3" s="1"/>
  <c r="P619" i="3" a="1"/>
  <c r="P619" i="3" s="1"/>
  <c r="P618" i="3" a="1"/>
  <c r="P618" i="3" s="1"/>
  <c r="P617" i="3" a="1"/>
  <c r="P617" i="3" s="1"/>
  <c r="P616" i="3" a="1"/>
  <c r="P616" i="3" s="1"/>
  <c r="P615" i="3" a="1"/>
  <c r="P615" i="3" s="1"/>
  <c r="P614" i="3" a="1"/>
  <c r="P614" i="3" s="1"/>
  <c r="P613" i="3" a="1"/>
  <c r="P613" i="3" s="1"/>
  <c r="P612" i="3" a="1"/>
  <c r="P612" i="3" s="1"/>
  <c r="P611" i="3" a="1"/>
  <c r="P611" i="3" s="1"/>
  <c r="P610" i="3" a="1"/>
  <c r="P610" i="3" s="1"/>
  <c r="P609" i="3" a="1"/>
  <c r="P609" i="3" s="1"/>
  <c r="P608" i="3" a="1"/>
  <c r="P608" i="3" s="1"/>
  <c r="P607" i="3" a="1"/>
  <c r="P607" i="3" s="1"/>
  <c r="P606" i="3" a="1"/>
  <c r="P606" i="3" s="1"/>
  <c r="P605" i="3" a="1"/>
  <c r="P605" i="3" s="1"/>
  <c r="P604" i="3" a="1"/>
  <c r="P604" i="3" s="1"/>
  <c r="P603" i="3" a="1"/>
  <c r="P603" i="3" s="1"/>
  <c r="P602" i="3" a="1"/>
  <c r="P602" i="3" s="1"/>
  <c r="P601" i="3" a="1"/>
  <c r="P601" i="3" s="1"/>
  <c r="P600" i="3" a="1"/>
  <c r="P600" i="3" s="1"/>
  <c r="P599" i="3" a="1"/>
  <c r="P599" i="3" s="1"/>
  <c r="P598" i="3" a="1"/>
  <c r="P598" i="3" s="1"/>
  <c r="P597" i="3" a="1"/>
  <c r="P597" i="3" s="1"/>
  <c r="P596" i="3" a="1"/>
  <c r="P596" i="3" s="1"/>
  <c r="P595" i="3" a="1"/>
  <c r="P595" i="3" s="1"/>
  <c r="P594" i="3" a="1"/>
  <c r="P594" i="3" s="1"/>
  <c r="P593" i="3" a="1"/>
  <c r="P593" i="3" s="1"/>
  <c r="P592" i="3" a="1"/>
  <c r="P592" i="3" s="1"/>
  <c r="P591" i="3" a="1"/>
  <c r="P591" i="3" s="1"/>
  <c r="P590" i="3" a="1"/>
  <c r="P590" i="3" s="1"/>
  <c r="P589" i="3" a="1"/>
  <c r="P589" i="3" s="1"/>
  <c r="P588" i="3" a="1"/>
  <c r="P588" i="3" s="1"/>
  <c r="P587" i="3" a="1"/>
  <c r="P587" i="3" s="1"/>
  <c r="P586" i="3" a="1"/>
  <c r="P586" i="3" s="1"/>
  <c r="P585" i="3" a="1"/>
  <c r="P585" i="3" s="1"/>
  <c r="P584" i="3" a="1"/>
  <c r="P584" i="3" s="1"/>
  <c r="P583" i="3" a="1"/>
  <c r="P583" i="3" s="1"/>
  <c r="P582" i="3" a="1"/>
  <c r="P582" i="3" s="1"/>
  <c r="P581" i="3" a="1"/>
  <c r="P581" i="3" s="1"/>
  <c r="P580" i="3" a="1"/>
  <c r="P580" i="3" s="1"/>
  <c r="P579" i="3" a="1"/>
  <c r="P579" i="3" s="1"/>
  <c r="P578" i="3" a="1"/>
  <c r="P578" i="3" s="1"/>
  <c r="P577" i="3" a="1"/>
  <c r="P577" i="3" s="1"/>
  <c r="P576" i="3" a="1"/>
  <c r="P576" i="3" s="1"/>
  <c r="P575" i="3" a="1"/>
  <c r="P575" i="3" s="1"/>
  <c r="P574" i="3" a="1"/>
  <c r="P574" i="3" s="1"/>
  <c r="P573" i="3" a="1"/>
  <c r="P573" i="3" s="1"/>
  <c r="P572" i="3" a="1"/>
  <c r="P572" i="3" s="1"/>
  <c r="P571" i="3" a="1"/>
  <c r="P571" i="3" s="1"/>
  <c r="P570" i="3" a="1"/>
  <c r="P570" i="3" s="1"/>
  <c r="P569" i="3" a="1"/>
  <c r="P569" i="3" s="1"/>
  <c r="P568" i="3" a="1"/>
  <c r="P568" i="3" s="1"/>
  <c r="P567" i="3" a="1"/>
  <c r="P567" i="3" s="1"/>
  <c r="P566" i="3" a="1"/>
  <c r="P566" i="3" s="1"/>
  <c r="P565" i="3" a="1"/>
  <c r="P565" i="3" s="1"/>
  <c r="P564" i="3" a="1"/>
  <c r="P564" i="3" s="1"/>
  <c r="P563" i="3" a="1"/>
  <c r="P563" i="3" s="1"/>
  <c r="P562" i="3" a="1"/>
  <c r="P562" i="3" s="1"/>
  <c r="P561" i="3" a="1"/>
  <c r="P561" i="3" s="1"/>
  <c r="P560" i="3" a="1"/>
  <c r="P560" i="3" s="1"/>
  <c r="P559" i="3" a="1"/>
  <c r="P559" i="3" s="1"/>
  <c r="P558" i="3" a="1"/>
  <c r="P558" i="3" s="1"/>
  <c r="P557" i="3" a="1"/>
  <c r="P557" i="3" s="1"/>
  <c r="P556" i="3" a="1"/>
  <c r="P556" i="3" s="1"/>
  <c r="P555" i="3" a="1"/>
  <c r="P555" i="3" s="1"/>
  <c r="P554" i="3" a="1"/>
  <c r="P554" i="3" s="1"/>
  <c r="P553" i="3" a="1"/>
  <c r="P553" i="3" s="1"/>
  <c r="P552" i="3" a="1"/>
  <c r="P552" i="3" s="1"/>
  <c r="P551" i="3" a="1"/>
  <c r="P551" i="3" s="1"/>
  <c r="P550" i="3" a="1"/>
  <c r="P550" i="3" s="1"/>
  <c r="P549" i="3" a="1"/>
  <c r="P549" i="3" s="1"/>
  <c r="P548" i="3" a="1"/>
  <c r="P548" i="3" s="1"/>
  <c r="P547" i="3" a="1"/>
  <c r="P547" i="3" s="1"/>
  <c r="P546" i="3" a="1"/>
  <c r="P546" i="3" s="1"/>
  <c r="P545" i="3" a="1"/>
  <c r="P545" i="3" s="1"/>
  <c r="P544" i="3" a="1"/>
  <c r="P544" i="3" s="1"/>
  <c r="P543" i="3" a="1"/>
  <c r="P543" i="3" s="1"/>
  <c r="P542" i="3" a="1"/>
  <c r="P542" i="3" s="1"/>
  <c r="P541" i="3" a="1"/>
  <c r="P541" i="3" s="1"/>
  <c r="P540" i="3" a="1"/>
  <c r="P540" i="3" s="1"/>
  <c r="P539" i="3" a="1"/>
  <c r="P539" i="3" s="1"/>
  <c r="P538" i="3" a="1"/>
  <c r="P538" i="3" s="1"/>
  <c r="P537" i="3" a="1"/>
  <c r="P537" i="3" s="1"/>
  <c r="P536" i="3" a="1"/>
  <c r="P536" i="3" s="1"/>
  <c r="P535" i="3" a="1"/>
  <c r="P535" i="3" s="1"/>
  <c r="P534" i="3" a="1"/>
  <c r="P534" i="3" s="1"/>
  <c r="P533" i="3" a="1"/>
  <c r="P533" i="3" s="1"/>
  <c r="P532" i="3" a="1"/>
  <c r="P532" i="3" s="1"/>
  <c r="P531" i="3" a="1"/>
  <c r="P531" i="3" s="1"/>
  <c r="P530" i="3" a="1"/>
  <c r="P530" i="3" s="1"/>
  <c r="P529" i="3" a="1"/>
  <c r="P529" i="3" s="1"/>
  <c r="P528" i="3" a="1"/>
  <c r="P528" i="3" s="1"/>
  <c r="P527" i="3" a="1"/>
  <c r="P527" i="3" s="1"/>
  <c r="P526" i="3" a="1"/>
  <c r="P526" i="3" s="1"/>
  <c r="P525" i="3" a="1"/>
  <c r="P525" i="3" s="1"/>
  <c r="P524" i="3" a="1"/>
  <c r="P524" i="3" s="1"/>
  <c r="P523" i="3" a="1"/>
  <c r="P523" i="3" s="1"/>
  <c r="P522" i="3" a="1"/>
  <c r="P522" i="3" s="1"/>
  <c r="P521" i="3" a="1"/>
  <c r="P521" i="3" s="1"/>
  <c r="P520" i="3" a="1"/>
  <c r="P520" i="3" s="1"/>
  <c r="P519" i="3" a="1"/>
  <c r="P519" i="3" s="1"/>
  <c r="P518" i="3" a="1"/>
  <c r="P518" i="3" s="1"/>
  <c r="P517" i="3" a="1"/>
  <c r="P517" i="3" s="1"/>
  <c r="P516" i="3" a="1"/>
  <c r="P516" i="3" s="1"/>
  <c r="P515" i="3" a="1"/>
  <c r="P515" i="3" s="1"/>
  <c r="P514" i="3" a="1"/>
  <c r="P514" i="3" s="1"/>
  <c r="P513" i="3" a="1"/>
  <c r="P513" i="3" s="1"/>
  <c r="P512" i="3" a="1"/>
  <c r="P512" i="3" s="1"/>
  <c r="P511" i="3" a="1"/>
  <c r="P511" i="3" s="1"/>
  <c r="P510" i="3" a="1"/>
  <c r="P510" i="3" s="1"/>
  <c r="P509" i="3" a="1"/>
  <c r="P509" i="3" s="1"/>
  <c r="P508" i="3" a="1"/>
  <c r="P508" i="3" s="1"/>
  <c r="P507" i="3" a="1"/>
  <c r="P507" i="3" s="1"/>
  <c r="P506" i="3" a="1"/>
  <c r="P506" i="3" s="1"/>
  <c r="P505" i="3" a="1"/>
  <c r="P505" i="3" s="1"/>
  <c r="P504" i="3" a="1"/>
  <c r="P504" i="3" s="1"/>
  <c r="P503" i="3" a="1"/>
  <c r="P503" i="3" s="1"/>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AD1000" i="3"/>
  <c r="AD999" i="3"/>
  <c r="AD998" i="3"/>
  <c r="AD997" i="3"/>
  <c r="AD996" i="3"/>
  <c r="AD995" i="3"/>
  <c r="AD994" i="3"/>
  <c r="AD993" i="3"/>
  <c r="AD992" i="3"/>
  <c r="AD991" i="3"/>
  <c r="AD990" i="3"/>
  <c r="AD989" i="3"/>
  <c r="AD988" i="3"/>
  <c r="AD987" i="3"/>
  <c r="AD986" i="3"/>
  <c r="AD985" i="3"/>
  <c r="AD984" i="3"/>
  <c r="AD983" i="3"/>
  <c r="AD982" i="3"/>
  <c r="AD981" i="3"/>
  <c r="AD980" i="3"/>
  <c r="AD979" i="3"/>
  <c r="AD978" i="3"/>
  <c r="AD977" i="3"/>
  <c r="AD976" i="3"/>
  <c r="AD975" i="3"/>
  <c r="AD974" i="3"/>
  <c r="AD973" i="3"/>
  <c r="AD972" i="3"/>
  <c r="AD971" i="3"/>
  <c r="AD970" i="3"/>
  <c r="AD969" i="3"/>
  <c r="AD968" i="3"/>
  <c r="AD967" i="3"/>
  <c r="AD966" i="3"/>
  <c r="AD965" i="3"/>
  <c r="AD964" i="3"/>
  <c r="AD963" i="3"/>
  <c r="AD962" i="3"/>
  <c r="AD961" i="3"/>
  <c r="AD960" i="3"/>
  <c r="AD959" i="3"/>
  <c r="AD958" i="3"/>
  <c r="AD957" i="3"/>
  <c r="AD956" i="3"/>
  <c r="AD955" i="3"/>
  <c r="AD954" i="3"/>
  <c r="AD953" i="3"/>
  <c r="AD952" i="3"/>
  <c r="AD951" i="3"/>
  <c r="AD950" i="3"/>
  <c r="AD949" i="3"/>
  <c r="AD948" i="3"/>
  <c r="AD947" i="3"/>
  <c r="AD946" i="3"/>
  <c r="AD945" i="3"/>
  <c r="AD944" i="3"/>
  <c r="AD943" i="3"/>
  <c r="AD942" i="3"/>
  <c r="AD941" i="3"/>
  <c r="AD940" i="3"/>
  <c r="AD939" i="3"/>
  <c r="AD938" i="3"/>
  <c r="AD937" i="3"/>
  <c r="AD936" i="3"/>
  <c r="AD935" i="3"/>
  <c r="AD934" i="3"/>
  <c r="AD933" i="3"/>
  <c r="AD932" i="3"/>
  <c r="AD931" i="3"/>
  <c r="AD930" i="3"/>
  <c r="AD929" i="3"/>
  <c r="AD928" i="3"/>
  <c r="AD927" i="3"/>
  <c r="AD926" i="3"/>
  <c r="AD925" i="3"/>
  <c r="AD924" i="3"/>
  <c r="AD923" i="3"/>
  <c r="AD922" i="3"/>
  <c r="AD921" i="3"/>
  <c r="AD920" i="3"/>
  <c r="AD919" i="3"/>
  <c r="AD918" i="3"/>
  <c r="AD917" i="3"/>
  <c r="AD916" i="3"/>
  <c r="AD915" i="3"/>
  <c r="AD914" i="3"/>
  <c r="AD913" i="3"/>
  <c r="AD912" i="3"/>
  <c r="AD911" i="3"/>
  <c r="AD910" i="3"/>
  <c r="AD909" i="3"/>
  <c r="AD908" i="3"/>
  <c r="AD907" i="3"/>
  <c r="AD906" i="3"/>
  <c r="AD905" i="3"/>
  <c r="AD904" i="3"/>
  <c r="AD903" i="3"/>
  <c r="AD902" i="3"/>
  <c r="AD901" i="3"/>
  <c r="AD900" i="3"/>
  <c r="AD899" i="3"/>
  <c r="AD898" i="3"/>
  <c r="AD897" i="3"/>
  <c r="AD896" i="3"/>
  <c r="AD895" i="3"/>
  <c r="AD894" i="3"/>
  <c r="AD893" i="3"/>
  <c r="AD892" i="3"/>
  <c r="AD891" i="3"/>
  <c r="AD890" i="3"/>
  <c r="AD889" i="3"/>
  <c r="AD888" i="3"/>
  <c r="AD887" i="3"/>
  <c r="AD886" i="3"/>
  <c r="AD885" i="3"/>
  <c r="AD884" i="3"/>
  <c r="AD883" i="3"/>
  <c r="AD882" i="3"/>
  <c r="AD881" i="3"/>
  <c r="AD880" i="3"/>
  <c r="AD879" i="3"/>
  <c r="AD878" i="3"/>
  <c r="AD877" i="3"/>
  <c r="AD876" i="3"/>
  <c r="AD875" i="3"/>
  <c r="AD874" i="3"/>
  <c r="AD873" i="3"/>
  <c r="AD872" i="3"/>
  <c r="AD871" i="3"/>
  <c r="AD870" i="3"/>
  <c r="AD869" i="3"/>
  <c r="AD868" i="3"/>
  <c r="AD867" i="3"/>
  <c r="AD866" i="3"/>
  <c r="AD865" i="3"/>
  <c r="AD864" i="3"/>
  <c r="AD863" i="3"/>
  <c r="AD862" i="3"/>
  <c r="AD861" i="3"/>
  <c r="AD860" i="3"/>
  <c r="AD859" i="3"/>
  <c r="AD858" i="3"/>
  <c r="AD857" i="3"/>
  <c r="AD856" i="3"/>
  <c r="AD855" i="3"/>
  <c r="AD854" i="3"/>
  <c r="AD853" i="3"/>
  <c r="AD852" i="3"/>
  <c r="AD851" i="3"/>
  <c r="AD850" i="3"/>
  <c r="AD849" i="3"/>
  <c r="AD848" i="3"/>
  <c r="AD847" i="3"/>
  <c r="AD846" i="3"/>
  <c r="AD845" i="3"/>
  <c r="AD844" i="3"/>
  <c r="AD843" i="3"/>
  <c r="AD842" i="3"/>
  <c r="AD841" i="3"/>
  <c r="AD840" i="3"/>
  <c r="AD839" i="3"/>
  <c r="AD838" i="3"/>
  <c r="AD837" i="3"/>
  <c r="AD836" i="3"/>
  <c r="AD835" i="3"/>
  <c r="AD834" i="3"/>
  <c r="AD833" i="3"/>
  <c r="AD832" i="3"/>
  <c r="AD831" i="3"/>
  <c r="AD830" i="3"/>
  <c r="AD829" i="3"/>
  <c r="AD828" i="3"/>
  <c r="AD827" i="3"/>
  <c r="AD826" i="3"/>
  <c r="AD825" i="3"/>
  <c r="AD824" i="3"/>
  <c r="AD823" i="3"/>
  <c r="AD822" i="3"/>
  <c r="AD821" i="3"/>
  <c r="AD820" i="3"/>
  <c r="AD819" i="3"/>
  <c r="AD818" i="3"/>
  <c r="AD817" i="3"/>
  <c r="AD816" i="3"/>
  <c r="AD815" i="3"/>
  <c r="AD814" i="3"/>
  <c r="AD813" i="3"/>
  <c r="AD812" i="3"/>
  <c r="AD811" i="3"/>
  <c r="AD810" i="3"/>
  <c r="AD809" i="3"/>
  <c r="AD808" i="3"/>
  <c r="AD807" i="3"/>
  <c r="AD806" i="3"/>
  <c r="AD805" i="3"/>
  <c r="AD804" i="3"/>
  <c r="AD803" i="3"/>
  <c r="AD802" i="3"/>
  <c r="AD801" i="3"/>
  <c r="AD800" i="3"/>
  <c r="AD799" i="3"/>
  <c r="AD798" i="3"/>
  <c r="AD797" i="3"/>
  <c r="AD796" i="3"/>
  <c r="AD795" i="3"/>
  <c r="AD794" i="3"/>
  <c r="AD793" i="3"/>
  <c r="AD792" i="3"/>
  <c r="AD791" i="3"/>
  <c r="AD790" i="3"/>
  <c r="AD789" i="3"/>
  <c r="AD788" i="3"/>
  <c r="AD787" i="3"/>
  <c r="AD786" i="3"/>
  <c r="AD785" i="3"/>
  <c r="AD784" i="3"/>
  <c r="AD783" i="3"/>
  <c r="AD782" i="3"/>
  <c r="AD781" i="3"/>
  <c r="AD780" i="3"/>
  <c r="AD779" i="3"/>
  <c r="AD778" i="3"/>
  <c r="AD777" i="3"/>
  <c r="AD776" i="3"/>
  <c r="AD775" i="3"/>
  <c r="AD774" i="3"/>
  <c r="AD773" i="3"/>
  <c r="AD772" i="3"/>
  <c r="AD771" i="3"/>
  <c r="AD770" i="3"/>
  <c r="AD769" i="3"/>
  <c r="AD768" i="3"/>
  <c r="AD767" i="3"/>
  <c r="AD766" i="3"/>
  <c r="AD765" i="3"/>
  <c r="AD764" i="3"/>
  <c r="AD763" i="3"/>
  <c r="AD762" i="3"/>
  <c r="AD761" i="3"/>
  <c r="AD760" i="3"/>
  <c r="AD759" i="3"/>
  <c r="AD758" i="3"/>
  <c r="AD757" i="3"/>
  <c r="AD756" i="3"/>
  <c r="AD755" i="3"/>
  <c r="AD754" i="3"/>
  <c r="AD753" i="3"/>
  <c r="AD752" i="3"/>
  <c r="AD751" i="3"/>
  <c r="AD750" i="3"/>
  <c r="AD749" i="3"/>
  <c r="AD748" i="3"/>
  <c r="AD747" i="3"/>
  <c r="AD746" i="3"/>
  <c r="AD745" i="3"/>
  <c r="AD744" i="3"/>
  <c r="AD743" i="3"/>
  <c r="AD742" i="3"/>
  <c r="AD741" i="3"/>
  <c r="AD740" i="3"/>
  <c r="AD739" i="3"/>
  <c r="AD738" i="3"/>
  <c r="AD737" i="3"/>
  <c r="AD736" i="3"/>
  <c r="AD735" i="3"/>
  <c r="AD734" i="3"/>
  <c r="AD733" i="3"/>
  <c r="AD732" i="3"/>
  <c r="AD731" i="3"/>
  <c r="AD730" i="3"/>
  <c r="AD729" i="3"/>
  <c r="AD728" i="3"/>
  <c r="AD727" i="3"/>
  <c r="AD726" i="3"/>
  <c r="AD725" i="3"/>
  <c r="AD724" i="3"/>
  <c r="AD723" i="3"/>
  <c r="AD722" i="3"/>
  <c r="AD721" i="3"/>
  <c r="AD720" i="3"/>
  <c r="AD719" i="3"/>
  <c r="AD718" i="3"/>
  <c r="AD717" i="3"/>
  <c r="AD716" i="3"/>
  <c r="AD715" i="3"/>
  <c r="AD714" i="3"/>
  <c r="AD713" i="3"/>
  <c r="AD712" i="3"/>
  <c r="AD711" i="3"/>
  <c r="AD710" i="3"/>
  <c r="AD709" i="3"/>
  <c r="AD708" i="3"/>
  <c r="AD707" i="3"/>
  <c r="AD706" i="3"/>
  <c r="AD705" i="3"/>
  <c r="AD704" i="3"/>
  <c r="AD703" i="3"/>
  <c r="AD702" i="3"/>
  <c r="AD701" i="3"/>
  <c r="AD700" i="3"/>
  <c r="AD699" i="3"/>
  <c r="AD698" i="3"/>
  <c r="AD697" i="3"/>
  <c r="AD696" i="3"/>
  <c r="AD695" i="3"/>
  <c r="AD694" i="3"/>
  <c r="AD693" i="3"/>
  <c r="AD692" i="3"/>
  <c r="AD691" i="3"/>
  <c r="AD690" i="3"/>
  <c r="AD689" i="3"/>
  <c r="AD688" i="3"/>
  <c r="AD687" i="3"/>
  <c r="AD686" i="3"/>
  <c r="AD685" i="3"/>
  <c r="AD684" i="3"/>
  <c r="AD683" i="3"/>
  <c r="AD682" i="3"/>
  <c r="AD681" i="3"/>
  <c r="AD680" i="3"/>
  <c r="AD679" i="3"/>
  <c r="AD678" i="3"/>
  <c r="AD677" i="3"/>
  <c r="AD676" i="3"/>
  <c r="AD675" i="3"/>
  <c r="AD674" i="3"/>
  <c r="AD673" i="3"/>
  <c r="AD672" i="3"/>
  <c r="AD671" i="3"/>
  <c r="AD670" i="3"/>
  <c r="AD669" i="3"/>
  <c r="AD668" i="3"/>
  <c r="AD667" i="3"/>
  <c r="AD666" i="3"/>
  <c r="AD665" i="3"/>
  <c r="AD664" i="3"/>
  <c r="AD663" i="3"/>
  <c r="AD662" i="3"/>
  <c r="AD661" i="3"/>
  <c r="AD660" i="3"/>
  <c r="AD659" i="3"/>
  <c r="AD658" i="3"/>
  <c r="AD657" i="3"/>
  <c r="AD656" i="3"/>
  <c r="AD655" i="3"/>
  <c r="AD654" i="3"/>
  <c r="AD653" i="3"/>
  <c r="AD652" i="3"/>
  <c r="AD651" i="3"/>
  <c r="AD650" i="3"/>
  <c r="AD649" i="3"/>
  <c r="AD648" i="3"/>
  <c r="AD647" i="3"/>
  <c r="AD646" i="3"/>
  <c r="AD645" i="3"/>
  <c r="AD644" i="3"/>
  <c r="AD643" i="3"/>
  <c r="AD642" i="3"/>
  <c r="AD641" i="3"/>
  <c r="AD640" i="3"/>
  <c r="AD639" i="3"/>
  <c r="AD638" i="3"/>
  <c r="AD637" i="3"/>
  <c r="AD636" i="3"/>
  <c r="AD635" i="3"/>
  <c r="AD634" i="3"/>
  <c r="AD633" i="3"/>
  <c r="AD632" i="3"/>
  <c r="AD631" i="3"/>
  <c r="AD630" i="3"/>
  <c r="AD629" i="3"/>
  <c r="AD628" i="3"/>
  <c r="AD627" i="3"/>
  <c r="AD626" i="3"/>
  <c r="AD625" i="3"/>
  <c r="AD624" i="3"/>
  <c r="AD623" i="3"/>
  <c r="AD622" i="3"/>
  <c r="AD621" i="3"/>
  <c r="AD620" i="3"/>
  <c r="AD619" i="3"/>
  <c r="AD618" i="3"/>
  <c r="AD617" i="3"/>
  <c r="AD616" i="3"/>
  <c r="AD615" i="3"/>
  <c r="AD614" i="3"/>
  <c r="AD613" i="3"/>
  <c r="AD612" i="3"/>
  <c r="AD611" i="3"/>
  <c r="AD610" i="3"/>
  <c r="AD609" i="3"/>
  <c r="AD608" i="3"/>
  <c r="AD607" i="3"/>
  <c r="AD606" i="3"/>
  <c r="AD605" i="3"/>
  <c r="AD604" i="3"/>
  <c r="AD603" i="3"/>
  <c r="AD602" i="3"/>
  <c r="AD601" i="3"/>
  <c r="AD600" i="3"/>
  <c r="AD599" i="3"/>
  <c r="AD598" i="3"/>
  <c r="AD597" i="3"/>
  <c r="AD596" i="3"/>
  <c r="AD595" i="3"/>
  <c r="AD594" i="3"/>
  <c r="AD593" i="3"/>
  <c r="AD592" i="3"/>
  <c r="AD591" i="3"/>
  <c r="AD590" i="3"/>
  <c r="AD589" i="3"/>
  <c r="AD588" i="3"/>
  <c r="AD587" i="3"/>
  <c r="AD586" i="3"/>
  <c r="AD585" i="3"/>
  <c r="AD584" i="3"/>
  <c r="AD583" i="3"/>
  <c r="AD582" i="3"/>
  <c r="AD581" i="3"/>
  <c r="AD580" i="3"/>
  <c r="AD579" i="3"/>
  <c r="AD578" i="3"/>
  <c r="AD577" i="3"/>
  <c r="AD576" i="3"/>
  <c r="AD575" i="3"/>
  <c r="AD574" i="3"/>
  <c r="AD573" i="3"/>
  <c r="AD572" i="3"/>
  <c r="AD571" i="3"/>
  <c r="AD570" i="3"/>
  <c r="AD569" i="3"/>
  <c r="AD568" i="3"/>
  <c r="AD567" i="3"/>
  <c r="AD566" i="3"/>
  <c r="AD565" i="3"/>
  <c r="AD564" i="3"/>
  <c r="AD563" i="3"/>
  <c r="AD562" i="3"/>
  <c r="AD561" i="3"/>
  <c r="AD560" i="3"/>
  <c r="AD559" i="3"/>
  <c r="AD558" i="3"/>
  <c r="AD557" i="3"/>
  <c r="AD556" i="3"/>
  <c r="AD555" i="3"/>
  <c r="AD554" i="3"/>
  <c r="AD553" i="3"/>
  <c r="AD552" i="3"/>
  <c r="AD551" i="3"/>
  <c r="AD550" i="3"/>
  <c r="AD549" i="3"/>
  <c r="AD548" i="3"/>
  <c r="AD547" i="3"/>
  <c r="AD546" i="3"/>
  <c r="AD545" i="3"/>
  <c r="AD544" i="3"/>
  <c r="AD543" i="3"/>
  <c r="AD542" i="3"/>
  <c r="AD541" i="3"/>
  <c r="AD540" i="3"/>
  <c r="AD539" i="3"/>
  <c r="AD538" i="3"/>
  <c r="AD537" i="3"/>
  <c r="AD536" i="3"/>
  <c r="AD535" i="3"/>
  <c r="AD534" i="3"/>
  <c r="AD533" i="3"/>
  <c r="AD532" i="3"/>
  <c r="AD531" i="3"/>
  <c r="AD530" i="3"/>
  <c r="AD529" i="3"/>
  <c r="AD528" i="3"/>
  <c r="AD527" i="3"/>
  <c r="AD526" i="3"/>
  <c r="AD525" i="3"/>
  <c r="AD524" i="3"/>
  <c r="AD523" i="3"/>
  <c r="AD522" i="3"/>
  <c r="AD521" i="3"/>
  <c r="AD520" i="3"/>
  <c r="AD519" i="3"/>
  <c r="AD518" i="3"/>
  <c r="AD517" i="3"/>
  <c r="AD516" i="3"/>
  <c r="AD515" i="3"/>
  <c r="AD514" i="3"/>
  <c r="AD513" i="3"/>
  <c r="AD512" i="3"/>
  <c r="AD511" i="3"/>
  <c r="AD510" i="3"/>
  <c r="AD509" i="3"/>
  <c r="AD508" i="3"/>
  <c r="AD507" i="3"/>
  <c r="AD506" i="3"/>
  <c r="AD505" i="3"/>
  <c r="AD504" i="3"/>
  <c r="AD503" i="3"/>
  <c r="AB1000" i="3"/>
  <c r="AB999" i="3"/>
  <c r="AB998" i="3"/>
  <c r="AB997" i="3"/>
  <c r="AB996" i="3"/>
  <c r="AB995" i="3"/>
  <c r="AB994" i="3"/>
  <c r="AB993" i="3"/>
  <c r="AB992" i="3"/>
  <c r="AB991" i="3"/>
  <c r="AB990" i="3"/>
  <c r="AB989" i="3"/>
  <c r="AB988" i="3"/>
  <c r="AB987" i="3"/>
  <c r="AB986" i="3"/>
  <c r="AB985" i="3"/>
  <c r="AB984" i="3"/>
  <c r="AB983" i="3"/>
  <c r="AB982" i="3"/>
  <c r="AB981" i="3"/>
  <c r="AB980" i="3"/>
  <c r="AB979" i="3"/>
  <c r="AB978" i="3"/>
  <c r="AB977" i="3"/>
  <c r="AB976" i="3"/>
  <c r="AB975" i="3"/>
  <c r="AB974" i="3"/>
  <c r="AB973" i="3"/>
  <c r="AB972" i="3"/>
  <c r="AB971" i="3"/>
  <c r="AB970" i="3"/>
  <c r="AB969" i="3"/>
  <c r="AB968" i="3"/>
  <c r="AB967" i="3"/>
  <c r="AB966" i="3"/>
  <c r="AB965" i="3"/>
  <c r="AB964" i="3"/>
  <c r="AB963" i="3"/>
  <c r="AB962" i="3"/>
  <c r="AB961" i="3"/>
  <c r="AB960" i="3"/>
  <c r="AB959" i="3"/>
  <c r="AB958" i="3"/>
  <c r="AB957" i="3"/>
  <c r="AB956" i="3"/>
  <c r="AB955" i="3"/>
  <c r="AB954" i="3"/>
  <c r="AB953" i="3"/>
  <c r="AB952" i="3"/>
  <c r="AB951" i="3"/>
  <c r="AB950" i="3"/>
  <c r="AB949" i="3"/>
  <c r="AB948" i="3"/>
  <c r="AB947" i="3"/>
  <c r="AB946" i="3"/>
  <c r="AB945" i="3"/>
  <c r="AB944" i="3"/>
  <c r="AB943" i="3"/>
  <c r="AB942" i="3"/>
  <c r="AB941" i="3"/>
  <c r="AB940" i="3"/>
  <c r="AB939" i="3"/>
  <c r="AB938" i="3"/>
  <c r="AB937" i="3"/>
  <c r="AB936" i="3"/>
  <c r="AB935" i="3"/>
  <c r="AB934" i="3"/>
  <c r="AB933" i="3"/>
  <c r="AB932" i="3"/>
  <c r="AB931" i="3"/>
  <c r="AB930" i="3"/>
  <c r="AB929" i="3"/>
  <c r="AB928" i="3"/>
  <c r="AB927" i="3"/>
  <c r="AB926" i="3"/>
  <c r="AB925" i="3"/>
  <c r="AB924" i="3"/>
  <c r="AB923" i="3"/>
  <c r="AB922" i="3"/>
  <c r="AB921" i="3"/>
  <c r="AB920" i="3"/>
  <c r="AB919" i="3"/>
  <c r="AB918" i="3"/>
  <c r="AB917" i="3"/>
  <c r="AB916" i="3"/>
  <c r="AB915" i="3"/>
  <c r="AB914" i="3"/>
  <c r="AB913" i="3"/>
  <c r="AB912" i="3"/>
  <c r="AB911" i="3"/>
  <c r="AB910" i="3"/>
  <c r="AB909" i="3"/>
  <c r="AB908" i="3"/>
  <c r="AB907" i="3"/>
  <c r="AB906" i="3"/>
  <c r="AB905" i="3"/>
  <c r="AB904" i="3"/>
  <c r="AB903" i="3"/>
  <c r="AB902" i="3"/>
  <c r="AB901" i="3"/>
  <c r="AB900" i="3"/>
  <c r="AB899" i="3"/>
  <c r="AB898" i="3"/>
  <c r="AB897" i="3"/>
  <c r="AB896" i="3"/>
  <c r="AB895" i="3"/>
  <c r="AB894" i="3"/>
  <c r="AB893" i="3"/>
  <c r="AB892" i="3"/>
  <c r="AB891" i="3"/>
  <c r="AB890" i="3"/>
  <c r="AB889" i="3"/>
  <c r="AB888" i="3"/>
  <c r="AB887" i="3"/>
  <c r="AB886" i="3"/>
  <c r="AB885" i="3"/>
  <c r="AB884" i="3"/>
  <c r="AB883" i="3"/>
  <c r="AB882" i="3"/>
  <c r="AB881" i="3"/>
  <c r="AB880" i="3"/>
  <c r="AB879" i="3"/>
  <c r="AB878" i="3"/>
  <c r="AB877" i="3"/>
  <c r="AB876" i="3"/>
  <c r="AB875" i="3"/>
  <c r="AB874" i="3"/>
  <c r="AB873" i="3"/>
  <c r="AB872" i="3"/>
  <c r="AB871" i="3"/>
  <c r="AB870" i="3"/>
  <c r="AB869" i="3"/>
  <c r="AB868" i="3"/>
  <c r="AB867" i="3"/>
  <c r="AB866" i="3"/>
  <c r="AB865" i="3"/>
  <c r="AB864" i="3"/>
  <c r="AB863" i="3"/>
  <c r="AB862" i="3"/>
  <c r="AB861" i="3"/>
  <c r="AB860" i="3"/>
  <c r="AB859" i="3"/>
  <c r="AB858" i="3"/>
  <c r="AB857" i="3"/>
  <c r="AB856" i="3"/>
  <c r="AB855" i="3"/>
  <c r="AB854" i="3"/>
  <c r="AB853" i="3"/>
  <c r="AB852" i="3"/>
  <c r="AB851" i="3"/>
  <c r="AB850" i="3"/>
  <c r="AB849" i="3"/>
  <c r="AB848" i="3"/>
  <c r="AB847" i="3"/>
  <c r="AB846" i="3"/>
  <c r="AB845" i="3"/>
  <c r="AB844" i="3"/>
  <c r="AB843" i="3"/>
  <c r="AB842" i="3"/>
  <c r="AB841" i="3"/>
  <c r="AB840" i="3"/>
  <c r="AB839" i="3"/>
  <c r="AB838" i="3"/>
  <c r="AB837" i="3"/>
  <c r="AB836" i="3"/>
  <c r="AB835" i="3"/>
  <c r="AB834" i="3"/>
  <c r="AB833" i="3"/>
  <c r="AB832" i="3"/>
  <c r="AB831" i="3"/>
  <c r="AB830" i="3"/>
  <c r="AB829" i="3"/>
  <c r="AB828" i="3"/>
  <c r="AB827" i="3"/>
  <c r="AB826" i="3"/>
  <c r="AB825" i="3"/>
  <c r="AB824" i="3"/>
  <c r="AB823" i="3"/>
  <c r="AB822" i="3"/>
  <c r="AB821" i="3"/>
  <c r="AB820" i="3"/>
  <c r="AB819" i="3"/>
  <c r="AB818" i="3"/>
  <c r="AB817" i="3"/>
  <c r="AB816" i="3"/>
  <c r="AB815" i="3"/>
  <c r="AB814" i="3"/>
  <c r="AB813" i="3"/>
  <c r="AB812" i="3"/>
  <c r="AB811" i="3"/>
  <c r="AB810" i="3"/>
  <c r="AB809" i="3"/>
  <c r="AB808" i="3"/>
  <c r="AB807" i="3"/>
  <c r="AB806" i="3"/>
  <c r="AB805" i="3"/>
  <c r="AB804" i="3"/>
  <c r="AB803" i="3"/>
  <c r="AB802" i="3"/>
  <c r="AB801" i="3"/>
  <c r="AB800" i="3"/>
  <c r="AB799" i="3"/>
  <c r="AB798" i="3"/>
  <c r="AB797" i="3"/>
  <c r="AB796" i="3"/>
  <c r="AB795" i="3"/>
  <c r="AB794" i="3"/>
  <c r="AB793" i="3"/>
  <c r="AB792" i="3"/>
  <c r="AB791" i="3"/>
  <c r="AB790" i="3"/>
  <c r="AB789" i="3"/>
  <c r="AB788" i="3"/>
  <c r="AB787" i="3"/>
  <c r="AB786" i="3"/>
  <c r="AB785" i="3"/>
  <c r="AB784" i="3"/>
  <c r="AB783" i="3"/>
  <c r="AB782" i="3"/>
  <c r="AB781" i="3"/>
  <c r="AB780" i="3"/>
  <c r="AB779" i="3"/>
  <c r="AB778" i="3"/>
  <c r="AB777" i="3"/>
  <c r="AB776" i="3"/>
  <c r="AB775" i="3"/>
  <c r="AB774" i="3"/>
  <c r="AB773" i="3"/>
  <c r="AB772" i="3"/>
  <c r="AB771" i="3"/>
  <c r="AB770" i="3"/>
  <c r="AB769" i="3"/>
  <c r="AB768" i="3"/>
  <c r="AB767" i="3"/>
  <c r="AB766" i="3"/>
  <c r="AB765" i="3"/>
  <c r="AB764" i="3"/>
  <c r="AB763" i="3"/>
  <c r="AB762" i="3"/>
  <c r="AB761" i="3"/>
  <c r="AB760" i="3"/>
  <c r="AB759" i="3"/>
  <c r="AB758" i="3"/>
  <c r="AB757" i="3"/>
  <c r="AB756" i="3"/>
  <c r="AB755" i="3"/>
  <c r="AB754" i="3"/>
  <c r="AB753" i="3"/>
  <c r="AB752" i="3"/>
  <c r="AB751" i="3"/>
  <c r="AB750" i="3"/>
  <c r="AB749" i="3"/>
  <c r="AB748" i="3"/>
  <c r="AB747" i="3"/>
  <c r="AB746" i="3"/>
  <c r="AB745" i="3"/>
  <c r="AB744" i="3"/>
  <c r="AB743" i="3"/>
  <c r="AB742" i="3"/>
  <c r="AB741" i="3"/>
  <c r="AB740" i="3"/>
  <c r="AB739" i="3"/>
  <c r="AB738" i="3"/>
  <c r="AB737" i="3"/>
  <c r="AB736" i="3"/>
  <c r="AB735" i="3"/>
  <c r="AB734" i="3"/>
  <c r="AB733" i="3"/>
  <c r="AB732" i="3"/>
  <c r="AB731" i="3"/>
  <c r="AB730" i="3"/>
  <c r="AB729" i="3"/>
  <c r="AB728" i="3"/>
  <c r="AB727" i="3"/>
  <c r="AB726" i="3"/>
  <c r="AB725" i="3"/>
  <c r="AB724" i="3"/>
  <c r="AB723" i="3"/>
  <c r="AB722" i="3"/>
  <c r="AB721" i="3"/>
  <c r="AB720" i="3"/>
  <c r="AB719" i="3"/>
  <c r="AB718" i="3"/>
  <c r="AB717" i="3"/>
  <c r="AB716" i="3"/>
  <c r="AB715" i="3"/>
  <c r="AB714" i="3"/>
  <c r="AB713" i="3"/>
  <c r="AB712" i="3"/>
  <c r="AB711" i="3"/>
  <c r="AB710" i="3"/>
  <c r="AB709" i="3"/>
  <c r="AB708" i="3"/>
  <c r="AB707" i="3"/>
  <c r="AB706" i="3"/>
  <c r="AB705" i="3"/>
  <c r="AB704" i="3"/>
  <c r="AB703" i="3"/>
  <c r="AB702" i="3"/>
  <c r="AB701" i="3"/>
  <c r="AB700" i="3"/>
  <c r="AB699" i="3"/>
  <c r="AB698" i="3"/>
  <c r="AB697" i="3"/>
  <c r="AB696" i="3"/>
  <c r="AB695" i="3"/>
  <c r="AB694" i="3"/>
  <c r="AB693" i="3"/>
  <c r="AB692" i="3"/>
  <c r="AB691" i="3"/>
  <c r="AB690" i="3"/>
  <c r="AB689" i="3"/>
  <c r="AB688" i="3"/>
  <c r="AB687" i="3"/>
  <c r="AB686" i="3"/>
  <c r="AB685" i="3"/>
  <c r="AB684" i="3"/>
  <c r="AB683" i="3"/>
  <c r="AB682" i="3"/>
  <c r="AB681" i="3"/>
  <c r="AB680" i="3"/>
  <c r="AB679" i="3"/>
  <c r="AB678" i="3"/>
  <c r="AB677" i="3"/>
  <c r="AB676" i="3"/>
  <c r="AB675" i="3"/>
  <c r="AB674" i="3"/>
  <c r="AB673" i="3"/>
  <c r="AB672" i="3"/>
  <c r="AB671" i="3"/>
  <c r="AB670" i="3"/>
  <c r="AB669" i="3"/>
  <c r="AB668" i="3"/>
  <c r="AB667" i="3"/>
  <c r="AB666" i="3"/>
  <c r="AB665" i="3"/>
  <c r="AB664" i="3"/>
  <c r="AB663" i="3"/>
  <c r="AB662" i="3"/>
  <c r="AB661" i="3"/>
  <c r="AB660" i="3"/>
  <c r="AB659" i="3"/>
  <c r="AB658" i="3"/>
  <c r="AB657" i="3"/>
  <c r="AB656" i="3"/>
  <c r="AB655" i="3"/>
  <c r="AB654" i="3"/>
  <c r="AB653" i="3"/>
  <c r="AB652" i="3"/>
  <c r="AB651" i="3"/>
  <c r="AB650" i="3"/>
  <c r="AB649" i="3"/>
  <c r="AB648" i="3"/>
  <c r="AB647" i="3"/>
  <c r="AB646" i="3"/>
  <c r="AB645" i="3"/>
  <c r="AB644" i="3"/>
  <c r="AB643" i="3"/>
  <c r="AB642" i="3"/>
  <c r="AB641" i="3"/>
  <c r="AB640" i="3"/>
  <c r="AB639" i="3"/>
  <c r="AB638" i="3"/>
  <c r="AB637" i="3"/>
  <c r="AB636" i="3"/>
  <c r="AB635" i="3"/>
  <c r="AB634" i="3"/>
  <c r="AB633" i="3"/>
  <c r="AB632" i="3"/>
  <c r="AB631" i="3"/>
  <c r="AB630" i="3"/>
  <c r="AB629" i="3"/>
  <c r="AB628" i="3"/>
  <c r="AB627" i="3"/>
  <c r="AB626" i="3"/>
  <c r="AB625" i="3"/>
  <c r="AB624" i="3"/>
  <c r="AB623" i="3"/>
  <c r="AB622" i="3"/>
  <c r="AB621" i="3"/>
  <c r="AB620" i="3"/>
  <c r="AB619" i="3"/>
  <c r="AB618" i="3"/>
  <c r="AB617" i="3"/>
  <c r="AB616" i="3"/>
  <c r="AB615" i="3"/>
  <c r="AB614" i="3"/>
  <c r="AB613" i="3"/>
  <c r="AB612" i="3"/>
  <c r="AB611" i="3"/>
  <c r="AB610" i="3"/>
  <c r="AB609" i="3"/>
  <c r="AB608" i="3"/>
  <c r="AB607" i="3"/>
  <c r="AB606" i="3"/>
  <c r="AB605" i="3"/>
  <c r="AB604" i="3"/>
  <c r="AB603" i="3"/>
  <c r="AB602" i="3"/>
  <c r="AB601" i="3"/>
  <c r="AB600" i="3"/>
  <c r="AB599" i="3"/>
  <c r="AB598" i="3"/>
  <c r="AB597" i="3"/>
  <c r="AB596" i="3"/>
  <c r="AB595" i="3"/>
  <c r="AB594" i="3"/>
  <c r="AB593" i="3"/>
  <c r="AB592" i="3"/>
  <c r="AB591" i="3"/>
  <c r="AB590" i="3"/>
  <c r="AB589" i="3"/>
  <c r="AB588" i="3"/>
  <c r="AB587" i="3"/>
  <c r="AB586" i="3"/>
  <c r="AB585" i="3"/>
  <c r="AB584" i="3"/>
  <c r="AB583" i="3"/>
  <c r="AB582" i="3"/>
  <c r="AB581" i="3"/>
  <c r="AB580" i="3"/>
  <c r="AB579" i="3"/>
  <c r="AB578" i="3"/>
  <c r="AB577" i="3"/>
  <c r="AB576" i="3"/>
  <c r="AB575" i="3"/>
  <c r="AB574" i="3"/>
  <c r="AB573" i="3"/>
  <c r="AB572" i="3"/>
  <c r="AB571" i="3"/>
  <c r="AB570" i="3"/>
  <c r="AB569" i="3"/>
  <c r="AB568" i="3"/>
  <c r="AB567" i="3"/>
  <c r="AB566" i="3"/>
  <c r="AB565" i="3"/>
  <c r="AB564" i="3"/>
  <c r="AB563" i="3"/>
  <c r="AB562" i="3"/>
  <c r="AB561" i="3"/>
  <c r="AB560" i="3"/>
  <c r="AB559" i="3"/>
  <c r="AB558" i="3"/>
  <c r="AB557" i="3"/>
  <c r="AB556" i="3"/>
  <c r="AB555" i="3"/>
  <c r="AB554" i="3"/>
  <c r="AB553" i="3"/>
  <c r="AB552" i="3"/>
  <c r="AB551" i="3"/>
  <c r="AB550" i="3"/>
  <c r="AB549" i="3"/>
  <c r="AB548" i="3"/>
  <c r="AB547" i="3"/>
  <c r="AB546" i="3"/>
  <c r="AB545" i="3"/>
  <c r="AB544" i="3"/>
  <c r="AB543" i="3"/>
  <c r="AB542" i="3"/>
  <c r="AB541" i="3"/>
  <c r="AB540" i="3"/>
  <c r="AB539" i="3"/>
  <c r="AB538" i="3"/>
  <c r="AB537" i="3"/>
  <c r="AB536" i="3"/>
  <c r="AB535" i="3"/>
  <c r="AB534" i="3"/>
  <c r="AB533" i="3"/>
  <c r="AB532" i="3"/>
  <c r="AB531" i="3"/>
  <c r="AB530" i="3"/>
  <c r="AB529" i="3"/>
  <c r="AB528" i="3"/>
  <c r="AB527" i="3"/>
  <c r="AB526" i="3"/>
  <c r="AB525" i="3"/>
  <c r="AB524" i="3"/>
  <c r="AB523" i="3"/>
  <c r="AB522" i="3"/>
  <c r="AB521" i="3"/>
  <c r="AB520" i="3"/>
  <c r="AB519" i="3"/>
  <c r="AB518" i="3"/>
  <c r="AB517" i="3"/>
  <c r="AB516" i="3"/>
  <c r="AB515" i="3"/>
  <c r="AB514" i="3"/>
  <c r="AB513" i="3"/>
  <c r="AB512" i="3"/>
  <c r="AB511" i="3"/>
  <c r="AB510" i="3"/>
  <c r="AB509" i="3"/>
  <c r="AB508" i="3"/>
  <c r="AB507" i="3"/>
  <c r="AB506" i="3"/>
  <c r="AB505" i="3"/>
  <c r="AB504" i="3"/>
  <c r="AB503" i="3"/>
  <c r="AC1000" i="3"/>
  <c r="AC999" i="3"/>
  <c r="AC998" i="3"/>
  <c r="AC997" i="3"/>
  <c r="AC996" i="3"/>
  <c r="AC995" i="3"/>
  <c r="AC994" i="3"/>
  <c r="AC993" i="3"/>
  <c r="AC992" i="3"/>
  <c r="AC991" i="3"/>
  <c r="AC990" i="3"/>
  <c r="AC989" i="3"/>
  <c r="AC988" i="3"/>
  <c r="AC987" i="3"/>
  <c r="AC986" i="3"/>
  <c r="AC985" i="3"/>
  <c r="AC984" i="3"/>
  <c r="AC983" i="3"/>
  <c r="AC982" i="3"/>
  <c r="AC981" i="3"/>
  <c r="AC980" i="3"/>
  <c r="AC979" i="3"/>
  <c r="AC978" i="3"/>
  <c r="AC977" i="3"/>
  <c r="AC976" i="3"/>
  <c r="AC975" i="3"/>
  <c r="AC974" i="3"/>
  <c r="AC973" i="3"/>
  <c r="AC972" i="3"/>
  <c r="AC971" i="3"/>
  <c r="AC970" i="3"/>
  <c r="AC969" i="3"/>
  <c r="AC968" i="3"/>
  <c r="AC967" i="3"/>
  <c r="AC966" i="3"/>
  <c r="AC965" i="3"/>
  <c r="AC964" i="3"/>
  <c r="AC963" i="3"/>
  <c r="AC962" i="3"/>
  <c r="AC961" i="3"/>
  <c r="AC960" i="3"/>
  <c r="AC959" i="3"/>
  <c r="AC958" i="3"/>
  <c r="AC957" i="3"/>
  <c r="AC956" i="3"/>
  <c r="AC955" i="3"/>
  <c r="AC954" i="3"/>
  <c r="AC953" i="3"/>
  <c r="AC952" i="3"/>
  <c r="AC951" i="3"/>
  <c r="AC950" i="3"/>
  <c r="AC949" i="3"/>
  <c r="AC948" i="3"/>
  <c r="AC947" i="3"/>
  <c r="AC946" i="3"/>
  <c r="AC945" i="3"/>
  <c r="AC944" i="3"/>
  <c r="AC943" i="3"/>
  <c r="AC942" i="3"/>
  <c r="AC941" i="3"/>
  <c r="AC940" i="3"/>
  <c r="AC939" i="3"/>
  <c r="AC938" i="3"/>
  <c r="AC937" i="3"/>
  <c r="AC936" i="3"/>
  <c r="AC935" i="3"/>
  <c r="AC934" i="3"/>
  <c r="AC933" i="3"/>
  <c r="AC932" i="3"/>
  <c r="AC931" i="3"/>
  <c r="AC930" i="3"/>
  <c r="AC929" i="3"/>
  <c r="AC928" i="3"/>
  <c r="AC927" i="3"/>
  <c r="AC926" i="3"/>
  <c r="AC925" i="3"/>
  <c r="AC924" i="3"/>
  <c r="AC923" i="3"/>
  <c r="AC922" i="3"/>
  <c r="AC921" i="3"/>
  <c r="AC920" i="3"/>
  <c r="AC919" i="3"/>
  <c r="AC918" i="3"/>
  <c r="AC917" i="3"/>
  <c r="AC916" i="3"/>
  <c r="AC915" i="3"/>
  <c r="AC914" i="3"/>
  <c r="AC913" i="3"/>
  <c r="AC912" i="3"/>
  <c r="AC911" i="3"/>
  <c r="AC910" i="3"/>
  <c r="AC909" i="3"/>
  <c r="AC908" i="3"/>
  <c r="AC907" i="3"/>
  <c r="AC906" i="3"/>
  <c r="AC905" i="3"/>
  <c r="AC904" i="3"/>
  <c r="AC903" i="3"/>
  <c r="AC902" i="3"/>
  <c r="AC901" i="3"/>
  <c r="AC900" i="3"/>
  <c r="AC899" i="3"/>
  <c r="AC898" i="3"/>
  <c r="AC897" i="3"/>
  <c r="AC896" i="3"/>
  <c r="AC895" i="3"/>
  <c r="AC894" i="3"/>
  <c r="AC893" i="3"/>
  <c r="AC892" i="3"/>
  <c r="AC891" i="3"/>
  <c r="AC890" i="3"/>
  <c r="AC889" i="3"/>
  <c r="AC888" i="3"/>
  <c r="AC887" i="3"/>
  <c r="AC886" i="3"/>
  <c r="AC885" i="3"/>
  <c r="AC884" i="3"/>
  <c r="AC883" i="3"/>
  <c r="AC882" i="3"/>
  <c r="AC881" i="3"/>
  <c r="AC880" i="3"/>
  <c r="AC879" i="3"/>
  <c r="AC878" i="3"/>
  <c r="AC877" i="3"/>
  <c r="AC876" i="3"/>
  <c r="AC875" i="3"/>
  <c r="AC874" i="3"/>
  <c r="AC873" i="3"/>
  <c r="AC872" i="3"/>
  <c r="AC871" i="3"/>
  <c r="AC870" i="3"/>
  <c r="AC869" i="3"/>
  <c r="AC868" i="3"/>
  <c r="AC867" i="3"/>
  <c r="AC866" i="3"/>
  <c r="AC865" i="3"/>
  <c r="AC864" i="3"/>
  <c r="AC863" i="3"/>
  <c r="AC862" i="3"/>
  <c r="AC861" i="3"/>
  <c r="AC860" i="3"/>
  <c r="AC859" i="3"/>
  <c r="AC858" i="3"/>
  <c r="AC857" i="3"/>
  <c r="AC856" i="3"/>
  <c r="AC855" i="3"/>
  <c r="AC854" i="3"/>
  <c r="AC853" i="3"/>
  <c r="AC852" i="3"/>
  <c r="AC851" i="3"/>
  <c r="AC850" i="3"/>
  <c r="AC849" i="3"/>
  <c r="AC848" i="3"/>
  <c r="AC847" i="3"/>
  <c r="AC846" i="3"/>
  <c r="AC845" i="3"/>
  <c r="AC844" i="3"/>
  <c r="AC843" i="3"/>
  <c r="AC842" i="3"/>
  <c r="AC841" i="3"/>
  <c r="AC840" i="3"/>
  <c r="AC839" i="3"/>
  <c r="AC838" i="3"/>
  <c r="AC837" i="3"/>
  <c r="AC836" i="3"/>
  <c r="AC835" i="3"/>
  <c r="AC834" i="3"/>
  <c r="AC833" i="3"/>
  <c r="AC832" i="3"/>
  <c r="AC831" i="3"/>
  <c r="AC830" i="3"/>
  <c r="AC829" i="3"/>
  <c r="AC828" i="3"/>
  <c r="AC827" i="3"/>
  <c r="AC826" i="3"/>
  <c r="AC825" i="3"/>
  <c r="AC824" i="3"/>
  <c r="AC823" i="3"/>
  <c r="AC822" i="3"/>
  <c r="AC821" i="3"/>
  <c r="AC820" i="3"/>
  <c r="AC819" i="3"/>
  <c r="AC818" i="3"/>
  <c r="AC817" i="3"/>
  <c r="AC816" i="3"/>
  <c r="AC815" i="3"/>
  <c r="AC814" i="3"/>
  <c r="AC813" i="3"/>
  <c r="AC812" i="3"/>
  <c r="AC811" i="3"/>
  <c r="AC810" i="3"/>
  <c r="AC809" i="3"/>
  <c r="AC808" i="3"/>
  <c r="AC807" i="3"/>
  <c r="AC806" i="3"/>
  <c r="AC805" i="3"/>
  <c r="AC804" i="3"/>
  <c r="AC803" i="3"/>
  <c r="AC802" i="3"/>
  <c r="AC801" i="3"/>
  <c r="AC800" i="3"/>
  <c r="AC799" i="3"/>
  <c r="AC798" i="3"/>
  <c r="AC797" i="3"/>
  <c r="AC796" i="3"/>
  <c r="AC795" i="3"/>
  <c r="AC794" i="3"/>
  <c r="AC793" i="3"/>
  <c r="AC792" i="3"/>
  <c r="AC791" i="3"/>
  <c r="AC790" i="3"/>
  <c r="AC789" i="3"/>
  <c r="AC788" i="3"/>
  <c r="AC787" i="3"/>
  <c r="AC786" i="3"/>
  <c r="AC785" i="3"/>
  <c r="AC784" i="3"/>
  <c r="AC783" i="3"/>
  <c r="AC782" i="3"/>
  <c r="AC781" i="3"/>
  <c r="AC780" i="3"/>
  <c r="AC779" i="3"/>
  <c r="AC778" i="3"/>
  <c r="AC777" i="3"/>
  <c r="AC776" i="3"/>
  <c r="AC775" i="3"/>
  <c r="AC774" i="3"/>
  <c r="AC773" i="3"/>
  <c r="AC772" i="3"/>
  <c r="AC771" i="3"/>
  <c r="AC770" i="3"/>
  <c r="AC769" i="3"/>
  <c r="AC768" i="3"/>
  <c r="AC767" i="3"/>
  <c r="AC766" i="3"/>
  <c r="AC765" i="3"/>
  <c r="AC764" i="3"/>
  <c r="AC763" i="3"/>
  <c r="AC762" i="3"/>
  <c r="AC761" i="3"/>
  <c r="AC760" i="3"/>
  <c r="AC759" i="3"/>
  <c r="AC758" i="3"/>
  <c r="AC757" i="3"/>
  <c r="AC756" i="3"/>
  <c r="AC755" i="3"/>
  <c r="AC754" i="3"/>
  <c r="AC753" i="3"/>
  <c r="AC752" i="3"/>
  <c r="AC751" i="3"/>
  <c r="AC750" i="3"/>
  <c r="AC749" i="3"/>
  <c r="AC748" i="3"/>
  <c r="AC747" i="3"/>
  <c r="AC746" i="3"/>
  <c r="AC745" i="3"/>
  <c r="AC744" i="3"/>
  <c r="AC743" i="3"/>
  <c r="AC742" i="3"/>
  <c r="AC741" i="3"/>
  <c r="AC740" i="3"/>
  <c r="AC739" i="3"/>
  <c r="AC738" i="3"/>
  <c r="AC737" i="3"/>
  <c r="AC736" i="3"/>
  <c r="AC735" i="3"/>
  <c r="AC734" i="3"/>
  <c r="AC733" i="3"/>
  <c r="AC732" i="3"/>
  <c r="AC731" i="3"/>
  <c r="AC730" i="3"/>
  <c r="AC729" i="3"/>
  <c r="AC728" i="3"/>
  <c r="AC727" i="3"/>
  <c r="AC726" i="3"/>
  <c r="AC725" i="3"/>
  <c r="AC724" i="3"/>
  <c r="AC723" i="3"/>
  <c r="AC722" i="3"/>
  <c r="AC721" i="3"/>
  <c r="AC720" i="3"/>
  <c r="AC719" i="3"/>
  <c r="AC718" i="3"/>
  <c r="AC717" i="3"/>
  <c r="AC716" i="3"/>
  <c r="AC715" i="3"/>
  <c r="AC714" i="3"/>
  <c r="AC713" i="3"/>
  <c r="AC712" i="3"/>
  <c r="AC711" i="3"/>
  <c r="AC710" i="3"/>
  <c r="AC709" i="3"/>
  <c r="AC708" i="3"/>
  <c r="AC707" i="3"/>
  <c r="AC706" i="3"/>
  <c r="AC705" i="3"/>
  <c r="AC704" i="3"/>
  <c r="AC703" i="3"/>
  <c r="AC702" i="3"/>
  <c r="AC701" i="3"/>
  <c r="AC700" i="3"/>
  <c r="AC699" i="3"/>
  <c r="AC698" i="3"/>
  <c r="AC697" i="3"/>
  <c r="AC696" i="3"/>
  <c r="AC695" i="3"/>
  <c r="AC694" i="3"/>
  <c r="AC693" i="3"/>
  <c r="AC692" i="3"/>
  <c r="AC691" i="3"/>
  <c r="AC690" i="3"/>
  <c r="AC689" i="3"/>
  <c r="AC688" i="3"/>
  <c r="AC687" i="3"/>
  <c r="AC686" i="3"/>
  <c r="AC685" i="3"/>
  <c r="AC684" i="3"/>
  <c r="AC683" i="3"/>
  <c r="AC682" i="3"/>
  <c r="AC681" i="3"/>
  <c r="AC680" i="3"/>
  <c r="AC679" i="3"/>
  <c r="AC678" i="3"/>
  <c r="AC677" i="3"/>
  <c r="AC676" i="3"/>
  <c r="AC675" i="3"/>
  <c r="AC674" i="3"/>
  <c r="AC673" i="3"/>
  <c r="AC672" i="3"/>
  <c r="AC671" i="3"/>
  <c r="AC670" i="3"/>
  <c r="AC669" i="3"/>
  <c r="AC668" i="3"/>
  <c r="AC667" i="3"/>
  <c r="AC666" i="3"/>
  <c r="AC665" i="3"/>
  <c r="AC664" i="3"/>
  <c r="AC663" i="3"/>
  <c r="AC662" i="3"/>
  <c r="AC661" i="3"/>
  <c r="AC660" i="3"/>
  <c r="AC659" i="3"/>
  <c r="AC658" i="3"/>
  <c r="AC657" i="3"/>
  <c r="AC656" i="3"/>
  <c r="AC655" i="3"/>
  <c r="AC654" i="3"/>
  <c r="AC653" i="3"/>
  <c r="AC652" i="3"/>
  <c r="AC651" i="3"/>
  <c r="AC650" i="3"/>
  <c r="AC649" i="3"/>
  <c r="AC648" i="3"/>
  <c r="AC647" i="3"/>
  <c r="AC646" i="3"/>
  <c r="AC645" i="3"/>
  <c r="AC644" i="3"/>
  <c r="AC643" i="3"/>
  <c r="AC642" i="3"/>
  <c r="AC641" i="3"/>
  <c r="AC640" i="3"/>
  <c r="AC639" i="3"/>
  <c r="AC638" i="3"/>
  <c r="AC637" i="3"/>
  <c r="AC636" i="3"/>
  <c r="AC635" i="3"/>
  <c r="AC634" i="3"/>
  <c r="AC633" i="3"/>
  <c r="AC632" i="3"/>
  <c r="AC631" i="3"/>
  <c r="AC630" i="3"/>
  <c r="AC629" i="3"/>
  <c r="AC628" i="3"/>
  <c r="AC627" i="3"/>
  <c r="AC626" i="3"/>
  <c r="AC625" i="3"/>
  <c r="AC624" i="3"/>
  <c r="AC623" i="3"/>
  <c r="AC622" i="3"/>
  <c r="AC621" i="3"/>
  <c r="AC620" i="3"/>
  <c r="AC619" i="3"/>
  <c r="AC618" i="3"/>
  <c r="AC617" i="3"/>
  <c r="AC616" i="3"/>
  <c r="AC615" i="3"/>
  <c r="AC614" i="3"/>
  <c r="AC613" i="3"/>
  <c r="AC612" i="3"/>
  <c r="AC611" i="3"/>
  <c r="AC610" i="3"/>
  <c r="AC609" i="3"/>
  <c r="AC608" i="3"/>
  <c r="AC607" i="3"/>
  <c r="AC606" i="3"/>
  <c r="AC605" i="3"/>
  <c r="AC604" i="3"/>
  <c r="AC603" i="3"/>
  <c r="AC602" i="3"/>
  <c r="AC601" i="3"/>
  <c r="AC600" i="3"/>
  <c r="AC599" i="3"/>
  <c r="AC598" i="3"/>
  <c r="AC597" i="3"/>
  <c r="AC596" i="3"/>
  <c r="AC595" i="3"/>
  <c r="AC594" i="3"/>
  <c r="AC593" i="3"/>
  <c r="AC592" i="3"/>
  <c r="AC591" i="3"/>
  <c r="AC590" i="3"/>
  <c r="AC589" i="3"/>
  <c r="AC588" i="3"/>
  <c r="AC587" i="3"/>
  <c r="AC586" i="3"/>
  <c r="AC585" i="3"/>
  <c r="AC584" i="3"/>
  <c r="AC583" i="3"/>
  <c r="AC582" i="3"/>
  <c r="AC581" i="3"/>
  <c r="AC580" i="3"/>
  <c r="AC579" i="3"/>
  <c r="AC578" i="3"/>
  <c r="AC577" i="3"/>
  <c r="AC576" i="3"/>
  <c r="AC575" i="3"/>
  <c r="AC574" i="3"/>
  <c r="AC573" i="3"/>
  <c r="AC572" i="3"/>
  <c r="AC571" i="3"/>
  <c r="AC570" i="3"/>
  <c r="AC569" i="3"/>
  <c r="AC568" i="3"/>
  <c r="AC567" i="3"/>
  <c r="AC566" i="3"/>
  <c r="AC565" i="3"/>
  <c r="AC564" i="3"/>
  <c r="AC563" i="3"/>
  <c r="AC562" i="3"/>
  <c r="AC561" i="3"/>
  <c r="AC560" i="3"/>
  <c r="AC559" i="3"/>
  <c r="AC558" i="3"/>
  <c r="AC557" i="3"/>
  <c r="AC556" i="3"/>
  <c r="AC555" i="3"/>
  <c r="AC554" i="3"/>
  <c r="AC553" i="3"/>
  <c r="AC552" i="3"/>
  <c r="AC551" i="3"/>
  <c r="AC550" i="3"/>
  <c r="AC549" i="3"/>
  <c r="AC548" i="3"/>
  <c r="AC547" i="3"/>
  <c r="AC546" i="3"/>
  <c r="AC545" i="3"/>
  <c r="AC544" i="3"/>
  <c r="AC543" i="3"/>
  <c r="AC542" i="3"/>
  <c r="AC541" i="3"/>
  <c r="AC540" i="3"/>
  <c r="AC539" i="3"/>
  <c r="AC538" i="3"/>
  <c r="AC537" i="3"/>
  <c r="AC536" i="3"/>
  <c r="AC535" i="3"/>
  <c r="AC534" i="3"/>
  <c r="AC533" i="3"/>
  <c r="AC532" i="3"/>
  <c r="AC531" i="3"/>
  <c r="AC530" i="3"/>
  <c r="AC529" i="3"/>
  <c r="AC528" i="3"/>
  <c r="AC527" i="3"/>
  <c r="AC526" i="3"/>
  <c r="AC525" i="3"/>
  <c r="AC524" i="3"/>
  <c r="AC523" i="3"/>
  <c r="AC522" i="3"/>
  <c r="AC521" i="3"/>
  <c r="AC520" i="3"/>
  <c r="AC519" i="3"/>
  <c r="AC518" i="3"/>
  <c r="AC517" i="3"/>
  <c r="AC516" i="3"/>
  <c r="AC515" i="3"/>
  <c r="AC514" i="3"/>
  <c r="AC513" i="3"/>
  <c r="AC512" i="3"/>
  <c r="AC511" i="3"/>
  <c r="AC510" i="3"/>
  <c r="AC509" i="3"/>
  <c r="AC508" i="3"/>
  <c r="AC507" i="3"/>
  <c r="AC506" i="3"/>
  <c r="AC505" i="3"/>
  <c r="AC504" i="3"/>
  <c r="AC503" i="3"/>
  <c r="AA1000" i="3"/>
  <c r="AA999" i="3"/>
  <c r="AA998" i="3"/>
  <c r="AA997" i="3"/>
  <c r="AA996" i="3"/>
  <c r="AA995" i="3"/>
  <c r="AA994" i="3"/>
  <c r="AA993" i="3"/>
  <c r="AA992" i="3"/>
  <c r="AA991" i="3"/>
  <c r="AA990" i="3"/>
  <c r="AA989" i="3"/>
  <c r="AA988" i="3"/>
  <c r="AA987" i="3"/>
  <c r="AA986" i="3"/>
  <c r="AA985" i="3"/>
  <c r="AA984" i="3"/>
  <c r="AA983" i="3"/>
  <c r="AA982" i="3"/>
  <c r="AA981" i="3"/>
  <c r="AA980" i="3"/>
  <c r="AA979" i="3"/>
  <c r="AA978" i="3"/>
  <c r="AA977" i="3"/>
  <c r="AA976" i="3"/>
  <c r="AA975" i="3"/>
  <c r="AA974" i="3"/>
  <c r="AA973" i="3"/>
  <c r="AA972" i="3"/>
  <c r="AA971" i="3"/>
  <c r="AA970" i="3"/>
  <c r="AA969" i="3"/>
  <c r="AA968" i="3"/>
  <c r="AA967" i="3"/>
  <c r="AA966" i="3"/>
  <c r="AA965" i="3"/>
  <c r="AA964" i="3"/>
  <c r="AA963" i="3"/>
  <c r="AA962" i="3"/>
  <c r="AA961" i="3"/>
  <c r="AA960" i="3"/>
  <c r="AA959" i="3"/>
  <c r="AA958" i="3"/>
  <c r="AA957" i="3"/>
  <c r="AA956" i="3"/>
  <c r="AA955" i="3"/>
  <c r="AA954" i="3"/>
  <c r="AA953" i="3"/>
  <c r="AA952" i="3"/>
  <c r="AA951" i="3"/>
  <c r="AA950" i="3"/>
  <c r="AA949" i="3"/>
  <c r="AA948" i="3"/>
  <c r="AA947" i="3"/>
  <c r="AA946" i="3"/>
  <c r="AA945" i="3"/>
  <c r="AA944" i="3"/>
  <c r="AA943" i="3"/>
  <c r="AA942" i="3"/>
  <c r="AA941" i="3"/>
  <c r="AA940" i="3"/>
  <c r="AA939" i="3"/>
  <c r="AA938" i="3"/>
  <c r="AA937" i="3"/>
  <c r="AA936" i="3"/>
  <c r="AA935" i="3"/>
  <c r="AA934" i="3"/>
  <c r="AA933" i="3"/>
  <c r="AA932" i="3"/>
  <c r="AA931" i="3"/>
  <c r="AA930" i="3"/>
  <c r="AA929" i="3"/>
  <c r="AA928" i="3"/>
  <c r="AA927" i="3"/>
  <c r="AA926" i="3"/>
  <c r="AA925" i="3"/>
  <c r="AA924" i="3"/>
  <c r="AA923" i="3"/>
  <c r="AA922" i="3"/>
  <c r="AA921" i="3"/>
  <c r="AA920" i="3"/>
  <c r="AA919" i="3"/>
  <c r="AA918" i="3"/>
  <c r="AA917" i="3"/>
  <c r="AA916" i="3"/>
  <c r="AA915" i="3"/>
  <c r="AA914" i="3"/>
  <c r="AA913" i="3"/>
  <c r="AA912" i="3"/>
  <c r="AA911" i="3"/>
  <c r="AA910" i="3"/>
  <c r="AA909" i="3"/>
  <c r="AA908" i="3"/>
  <c r="AA907" i="3"/>
  <c r="AA906" i="3"/>
  <c r="AA905" i="3"/>
  <c r="AA904" i="3"/>
  <c r="AA903" i="3"/>
  <c r="AA902" i="3"/>
  <c r="AA901" i="3"/>
  <c r="AA900" i="3"/>
  <c r="AA899" i="3"/>
  <c r="AA898" i="3"/>
  <c r="AA897" i="3"/>
  <c r="AA896" i="3"/>
  <c r="AA895" i="3"/>
  <c r="AA894" i="3"/>
  <c r="AA893" i="3"/>
  <c r="AA892" i="3"/>
  <c r="AA891" i="3"/>
  <c r="AA890" i="3"/>
  <c r="AA889" i="3"/>
  <c r="AA888" i="3"/>
  <c r="AA887" i="3"/>
  <c r="AA886" i="3"/>
  <c r="AA885" i="3"/>
  <c r="AA884" i="3"/>
  <c r="AA883" i="3"/>
  <c r="AA882" i="3"/>
  <c r="AA881" i="3"/>
  <c r="AA880" i="3"/>
  <c r="AA879" i="3"/>
  <c r="AA878" i="3"/>
  <c r="AA877" i="3"/>
  <c r="AA876" i="3"/>
  <c r="AA875" i="3"/>
  <c r="AA874" i="3"/>
  <c r="AA873" i="3"/>
  <c r="AA872" i="3"/>
  <c r="AA871" i="3"/>
  <c r="AA870" i="3"/>
  <c r="AA869" i="3"/>
  <c r="AA868" i="3"/>
  <c r="AA867" i="3"/>
  <c r="AA866" i="3"/>
  <c r="AA865" i="3"/>
  <c r="AA864" i="3"/>
  <c r="AA863" i="3"/>
  <c r="AA862" i="3"/>
  <c r="AA861" i="3"/>
  <c r="AA860" i="3"/>
  <c r="AA859" i="3"/>
  <c r="AA858" i="3"/>
  <c r="AA857" i="3"/>
  <c r="AA856" i="3"/>
  <c r="AA855" i="3"/>
  <c r="AA854" i="3"/>
  <c r="AA853" i="3"/>
  <c r="AA852" i="3"/>
  <c r="AA851" i="3"/>
  <c r="AA850" i="3"/>
  <c r="AA849" i="3"/>
  <c r="AA848" i="3"/>
  <c r="AA847" i="3"/>
  <c r="AA846" i="3"/>
  <c r="AA845" i="3"/>
  <c r="AA844" i="3"/>
  <c r="AA843" i="3"/>
  <c r="AA842" i="3"/>
  <c r="AA841" i="3"/>
  <c r="AA840" i="3"/>
  <c r="AA839" i="3"/>
  <c r="AA838" i="3"/>
  <c r="AA837" i="3"/>
  <c r="AA836" i="3"/>
  <c r="AA835" i="3"/>
  <c r="AA834" i="3"/>
  <c r="AA833" i="3"/>
  <c r="AA832" i="3"/>
  <c r="AA831" i="3"/>
  <c r="AA830" i="3"/>
  <c r="AA829" i="3"/>
  <c r="AA828" i="3"/>
  <c r="AA827" i="3"/>
  <c r="AA826" i="3"/>
  <c r="AA825" i="3"/>
  <c r="AA824" i="3"/>
  <c r="AA823" i="3"/>
  <c r="AA822" i="3"/>
  <c r="AA821" i="3"/>
  <c r="AA820" i="3"/>
  <c r="AA819" i="3"/>
  <c r="AA818" i="3"/>
  <c r="AA817" i="3"/>
  <c r="AA816" i="3"/>
  <c r="AA815" i="3"/>
  <c r="AA814" i="3"/>
  <c r="AA813" i="3"/>
  <c r="AA812" i="3"/>
  <c r="AA811" i="3"/>
  <c r="AA810" i="3"/>
  <c r="AA809" i="3"/>
  <c r="AA808" i="3"/>
  <c r="AA807" i="3"/>
  <c r="AA806" i="3"/>
  <c r="AA805" i="3"/>
  <c r="AA804" i="3"/>
  <c r="AA803" i="3"/>
  <c r="AA802" i="3"/>
  <c r="AA801" i="3"/>
  <c r="AA800" i="3"/>
  <c r="AA799" i="3"/>
  <c r="AA798" i="3"/>
  <c r="AA797" i="3"/>
  <c r="AA796" i="3"/>
  <c r="AA795" i="3"/>
  <c r="AA794" i="3"/>
  <c r="AA793" i="3"/>
  <c r="AA792" i="3"/>
  <c r="AA791" i="3"/>
  <c r="AA790" i="3"/>
  <c r="AA789" i="3"/>
  <c r="AA788" i="3"/>
  <c r="AA787" i="3"/>
  <c r="AA786" i="3"/>
  <c r="AA785" i="3"/>
  <c r="AA784" i="3"/>
  <c r="AA783" i="3"/>
  <c r="AA782" i="3"/>
  <c r="AA781" i="3"/>
  <c r="AA780" i="3"/>
  <c r="AA779" i="3"/>
  <c r="AA778" i="3"/>
  <c r="AA777" i="3"/>
  <c r="AA776" i="3"/>
  <c r="AA775" i="3"/>
  <c r="AA774" i="3"/>
  <c r="AA773" i="3"/>
  <c r="AA772" i="3"/>
  <c r="AA771" i="3"/>
  <c r="AA770" i="3"/>
  <c r="AA769" i="3"/>
  <c r="AA768" i="3"/>
  <c r="AA767" i="3"/>
  <c r="AA766" i="3"/>
  <c r="AA765" i="3"/>
  <c r="AA764" i="3"/>
  <c r="AA763" i="3"/>
  <c r="AA762" i="3"/>
  <c r="AA761" i="3"/>
  <c r="AA760" i="3"/>
  <c r="AA759" i="3"/>
  <c r="AA758" i="3"/>
  <c r="AA757" i="3"/>
  <c r="AA756" i="3"/>
  <c r="AA755" i="3"/>
  <c r="AA754" i="3"/>
  <c r="AA753" i="3"/>
  <c r="AA752" i="3"/>
  <c r="AA751" i="3"/>
  <c r="AA750" i="3"/>
  <c r="AA749" i="3"/>
  <c r="AA748" i="3"/>
  <c r="AA747" i="3"/>
  <c r="AA746" i="3"/>
  <c r="AA745" i="3"/>
  <c r="AA744" i="3"/>
  <c r="AA743" i="3"/>
  <c r="AA742" i="3"/>
  <c r="AA741" i="3"/>
  <c r="AA740" i="3"/>
  <c r="AA739" i="3"/>
  <c r="AA738" i="3"/>
  <c r="AA737" i="3"/>
  <c r="AA736" i="3"/>
  <c r="AA735" i="3"/>
  <c r="AA734" i="3"/>
  <c r="AA733" i="3"/>
  <c r="AA732" i="3"/>
  <c r="AA731" i="3"/>
  <c r="AA730" i="3"/>
  <c r="AA729" i="3"/>
  <c r="AA728" i="3"/>
  <c r="AA727" i="3"/>
  <c r="AA726" i="3"/>
  <c r="AA725" i="3"/>
  <c r="AA724" i="3"/>
  <c r="AA723" i="3"/>
  <c r="AA722" i="3"/>
  <c r="AA721" i="3"/>
  <c r="AA720" i="3"/>
  <c r="AA719" i="3"/>
  <c r="AA718" i="3"/>
  <c r="AA717" i="3"/>
  <c r="AA716" i="3"/>
  <c r="AA715" i="3"/>
  <c r="AA714" i="3"/>
  <c r="AA713" i="3"/>
  <c r="AA712" i="3"/>
  <c r="AA711" i="3"/>
  <c r="AA710" i="3"/>
  <c r="AA709" i="3"/>
  <c r="AA708" i="3"/>
  <c r="AA707" i="3"/>
  <c r="AA706" i="3"/>
  <c r="AA705" i="3"/>
  <c r="AA704" i="3"/>
  <c r="AA703" i="3"/>
  <c r="AA702" i="3"/>
  <c r="AA701" i="3"/>
  <c r="AA700" i="3"/>
  <c r="AA699" i="3"/>
  <c r="AA698" i="3"/>
  <c r="AA697" i="3"/>
  <c r="AA696" i="3"/>
  <c r="AA695" i="3"/>
  <c r="AA694" i="3"/>
  <c r="AA693" i="3"/>
  <c r="AA692" i="3"/>
  <c r="AA691" i="3"/>
  <c r="AA690" i="3"/>
  <c r="AA689" i="3"/>
  <c r="AA688" i="3"/>
  <c r="AA687" i="3"/>
  <c r="AA686" i="3"/>
  <c r="AA685" i="3"/>
  <c r="AA684" i="3"/>
  <c r="AA683" i="3"/>
  <c r="AA682" i="3"/>
  <c r="AA681" i="3"/>
  <c r="AA680" i="3"/>
  <c r="AA679" i="3"/>
  <c r="AA678" i="3"/>
  <c r="AA677" i="3"/>
  <c r="AA676" i="3"/>
  <c r="AA675" i="3"/>
  <c r="AA674" i="3"/>
  <c r="AA673" i="3"/>
  <c r="AA672" i="3"/>
  <c r="AA671" i="3"/>
  <c r="AA670" i="3"/>
  <c r="AA669" i="3"/>
  <c r="AA668" i="3"/>
  <c r="AA667" i="3"/>
  <c r="AA666" i="3"/>
  <c r="AA665" i="3"/>
  <c r="AA664" i="3"/>
  <c r="AA663" i="3"/>
  <c r="AA662" i="3"/>
  <c r="AA661" i="3"/>
  <c r="AA660" i="3"/>
  <c r="AA659" i="3"/>
  <c r="AA658" i="3"/>
  <c r="AA657" i="3"/>
  <c r="AA656" i="3"/>
  <c r="AA655" i="3"/>
  <c r="AA654" i="3"/>
  <c r="AA653" i="3"/>
  <c r="AA652" i="3"/>
  <c r="AA651" i="3"/>
  <c r="AA650" i="3"/>
  <c r="AA649" i="3"/>
  <c r="AA648" i="3"/>
  <c r="AA647" i="3"/>
  <c r="AA646" i="3"/>
  <c r="AA645" i="3"/>
  <c r="AA644" i="3"/>
  <c r="AA643" i="3"/>
  <c r="AA642" i="3"/>
  <c r="AA641" i="3"/>
  <c r="AA640" i="3"/>
  <c r="AA639" i="3"/>
  <c r="AA638" i="3"/>
  <c r="AA637" i="3"/>
  <c r="AA636" i="3"/>
  <c r="AA635" i="3"/>
  <c r="AA634" i="3"/>
  <c r="AA633" i="3"/>
  <c r="AA632" i="3"/>
  <c r="AA631" i="3"/>
  <c r="AA630" i="3"/>
  <c r="AA629" i="3"/>
  <c r="AA628" i="3"/>
  <c r="AA627" i="3"/>
  <c r="AA626" i="3"/>
  <c r="AA625" i="3"/>
  <c r="AA624" i="3"/>
  <c r="AA623" i="3"/>
  <c r="AA622" i="3"/>
  <c r="AA621" i="3"/>
  <c r="AA620" i="3"/>
  <c r="AA619" i="3"/>
  <c r="AA618" i="3"/>
  <c r="AA617" i="3"/>
  <c r="AA616" i="3"/>
  <c r="AA615" i="3"/>
  <c r="AA614" i="3"/>
  <c r="AA613" i="3"/>
  <c r="AA612" i="3"/>
  <c r="AA611" i="3"/>
  <c r="AA610" i="3"/>
  <c r="AA609" i="3"/>
  <c r="AA608" i="3"/>
  <c r="AA607" i="3"/>
  <c r="AA606" i="3"/>
  <c r="AA605" i="3"/>
  <c r="AA604" i="3"/>
  <c r="AA603" i="3"/>
  <c r="AA602" i="3"/>
  <c r="AA601" i="3"/>
  <c r="AA600" i="3"/>
  <c r="AA599" i="3"/>
  <c r="AA598" i="3"/>
  <c r="AA597" i="3"/>
  <c r="AA596" i="3"/>
  <c r="AA595" i="3"/>
  <c r="AA594" i="3"/>
  <c r="AA593" i="3"/>
  <c r="AA592" i="3"/>
  <c r="AA591" i="3"/>
  <c r="AA590" i="3"/>
  <c r="AA589" i="3"/>
  <c r="AA588" i="3"/>
  <c r="AA587" i="3"/>
  <c r="AA586" i="3"/>
  <c r="AA585" i="3"/>
  <c r="AA584" i="3"/>
  <c r="AA583" i="3"/>
  <c r="AA582" i="3"/>
  <c r="AA581" i="3"/>
  <c r="AA580" i="3"/>
  <c r="AA579" i="3"/>
  <c r="AA578" i="3"/>
  <c r="AA577" i="3"/>
  <c r="AA576" i="3"/>
  <c r="AA575" i="3"/>
  <c r="AA574" i="3"/>
  <c r="AA573" i="3"/>
  <c r="AA572" i="3"/>
  <c r="AA571" i="3"/>
  <c r="AA570" i="3"/>
  <c r="AA569" i="3"/>
  <c r="AA568" i="3"/>
  <c r="AA567" i="3"/>
  <c r="AA566" i="3"/>
  <c r="AA565" i="3"/>
  <c r="AA564" i="3"/>
  <c r="AA563" i="3"/>
  <c r="AA562" i="3"/>
  <c r="AA561" i="3"/>
  <c r="AA560" i="3"/>
  <c r="AA559" i="3"/>
  <c r="AA558" i="3"/>
  <c r="AA557" i="3"/>
  <c r="AA556" i="3"/>
  <c r="AA555" i="3"/>
  <c r="AA554" i="3"/>
  <c r="AA553" i="3"/>
  <c r="AA552" i="3"/>
  <c r="AA551" i="3"/>
  <c r="AA550" i="3"/>
  <c r="AA549" i="3"/>
  <c r="AA548" i="3"/>
  <c r="AA547" i="3"/>
  <c r="AA546" i="3"/>
  <c r="AA545" i="3"/>
  <c r="AA544" i="3"/>
  <c r="AA543" i="3"/>
  <c r="AA542" i="3"/>
  <c r="AA541" i="3"/>
  <c r="AA540" i="3"/>
  <c r="AA539" i="3"/>
  <c r="AA538" i="3"/>
  <c r="AA537" i="3"/>
  <c r="AA536" i="3"/>
  <c r="AA535" i="3"/>
  <c r="AA534" i="3"/>
  <c r="AA533" i="3"/>
  <c r="AA532" i="3"/>
  <c r="AA531" i="3"/>
  <c r="AA530" i="3"/>
  <c r="AA529" i="3"/>
  <c r="AA528" i="3"/>
  <c r="AA527" i="3"/>
  <c r="AA526" i="3"/>
  <c r="AA525" i="3"/>
  <c r="AA524" i="3"/>
  <c r="AA523" i="3"/>
  <c r="AA522" i="3"/>
  <c r="AA521" i="3"/>
  <c r="AA520" i="3"/>
  <c r="AA519" i="3"/>
  <c r="AA518" i="3"/>
  <c r="AA517" i="3"/>
  <c r="AA516" i="3"/>
  <c r="AA515" i="3"/>
  <c r="AA514" i="3"/>
  <c r="AA513" i="3"/>
  <c r="AA512" i="3"/>
  <c r="AA511" i="3"/>
  <c r="AA510" i="3"/>
  <c r="AA509" i="3"/>
  <c r="AA508" i="3"/>
  <c r="AA507" i="3"/>
  <c r="AA506" i="3"/>
  <c r="AA505" i="3"/>
  <c r="AA504" i="3"/>
  <c r="AA503" i="3"/>
  <c r="F1000" i="3" a="1"/>
  <c r="F1000" i="3" s="1"/>
  <c r="F999" i="3" a="1"/>
  <c r="F999" i="3" s="1"/>
  <c r="F998" i="3" a="1"/>
  <c r="F998" i="3" s="1"/>
  <c r="F997" i="3" a="1"/>
  <c r="F997" i="3" s="1"/>
  <c r="F996" i="3" a="1"/>
  <c r="F996" i="3" s="1"/>
  <c r="F995" i="3" a="1"/>
  <c r="F995" i="3" s="1"/>
  <c r="F994" i="3" a="1"/>
  <c r="F994" i="3" s="1"/>
  <c r="F993" i="3" a="1"/>
  <c r="F993" i="3" s="1"/>
  <c r="F992" i="3" a="1"/>
  <c r="F992" i="3" s="1"/>
  <c r="F991" i="3" a="1"/>
  <c r="F991" i="3" s="1"/>
  <c r="F990" i="3" a="1"/>
  <c r="F990" i="3" s="1"/>
  <c r="F989" i="3" a="1"/>
  <c r="F989" i="3" s="1"/>
  <c r="F988" i="3" a="1"/>
  <c r="F988" i="3" s="1"/>
  <c r="F987" i="3" a="1"/>
  <c r="F987" i="3" s="1"/>
  <c r="F986" i="3" a="1"/>
  <c r="F986" i="3" s="1"/>
  <c r="F985" i="3" a="1"/>
  <c r="F985" i="3" s="1"/>
  <c r="F984" i="3" a="1"/>
  <c r="F984" i="3" s="1"/>
  <c r="F983" i="3" a="1"/>
  <c r="F983" i="3" s="1"/>
  <c r="F982" i="3" a="1"/>
  <c r="F982" i="3" s="1"/>
  <c r="F981" i="3" a="1"/>
  <c r="F981" i="3" s="1"/>
  <c r="F980" i="3" a="1"/>
  <c r="F980" i="3" s="1"/>
  <c r="F979" i="3" a="1"/>
  <c r="F979" i="3" s="1"/>
  <c r="F978" i="3" a="1"/>
  <c r="F978" i="3" s="1"/>
  <c r="F977" i="3" a="1"/>
  <c r="F977" i="3" s="1"/>
  <c r="F976" i="3" a="1"/>
  <c r="F976" i="3" s="1"/>
  <c r="F975" i="3" a="1"/>
  <c r="F975" i="3" s="1"/>
  <c r="F974" i="3" a="1"/>
  <c r="F974" i="3" s="1"/>
  <c r="F973" i="3" a="1"/>
  <c r="F973" i="3" s="1"/>
  <c r="F972" i="3" a="1"/>
  <c r="F972" i="3" s="1"/>
  <c r="F971" i="3" a="1"/>
  <c r="F971" i="3" s="1"/>
  <c r="F970" i="3" a="1"/>
  <c r="F970" i="3" s="1"/>
  <c r="F969" i="3" a="1"/>
  <c r="F969" i="3" s="1"/>
  <c r="F968" i="3" a="1"/>
  <c r="F968" i="3" s="1"/>
  <c r="F967" i="3" a="1"/>
  <c r="F967" i="3" s="1"/>
  <c r="F966" i="3" a="1"/>
  <c r="F966" i="3" s="1"/>
  <c r="F965" i="3" a="1"/>
  <c r="F965" i="3" s="1"/>
  <c r="F964" i="3" a="1"/>
  <c r="F964" i="3" s="1"/>
  <c r="F963" i="3" a="1"/>
  <c r="F963" i="3" s="1"/>
  <c r="F962" i="3" a="1"/>
  <c r="F962" i="3" s="1"/>
  <c r="F961" i="3" a="1"/>
  <c r="F961" i="3" s="1"/>
  <c r="F960" i="3" a="1"/>
  <c r="F960" i="3" s="1"/>
  <c r="F959" i="3" a="1"/>
  <c r="F959" i="3" s="1"/>
  <c r="F958" i="3" a="1"/>
  <c r="F958" i="3" s="1"/>
  <c r="F957" i="3" a="1"/>
  <c r="F957" i="3" s="1"/>
  <c r="F956" i="3" a="1"/>
  <c r="F956" i="3" s="1"/>
  <c r="F955" i="3" a="1"/>
  <c r="F955" i="3" s="1"/>
  <c r="F954" i="3" a="1"/>
  <c r="F954" i="3" s="1"/>
  <c r="F953" i="3" a="1"/>
  <c r="F953" i="3" s="1"/>
  <c r="F952" i="3" a="1"/>
  <c r="F952" i="3" s="1"/>
  <c r="F951" i="3" a="1"/>
  <c r="F951" i="3" s="1"/>
  <c r="F950" i="3" a="1"/>
  <c r="F950" i="3" s="1"/>
  <c r="F949" i="3" a="1"/>
  <c r="F949" i="3" s="1"/>
  <c r="F948" i="3" a="1"/>
  <c r="F948" i="3" s="1"/>
  <c r="F947" i="3" a="1"/>
  <c r="F947" i="3" s="1"/>
  <c r="F946" i="3" a="1"/>
  <c r="F946" i="3" s="1"/>
  <c r="F945" i="3" a="1"/>
  <c r="F945" i="3" s="1"/>
  <c r="F944" i="3" a="1"/>
  <c r="F944" i="3" s="1"/>
  <c r="F943" i="3" a="1"/>
  <c r="F943" i="3" s="1"/>
  <c r="F942" i="3" a="1"/>
  <c r="F942" i="3" s="1"/>
  <c r="F941" i="3" a="1"/>
  <c r="F941" i="3" s="1"/>
  <c r="F940" i="3" a="1"/>
  <c r="F940" i="3" s="1"/>
  <c r="F939" i="3" a="1"/>
  <c r="F939" i="3" s="1"/>
  <c r="F938" i="3" a="1"/>
  <c r="F938" i="3" s="1"/>
  <c r="F937" i="3" a="1"/>
  <c r="F937" i="3" s="1"/>
  <c r="F936" i="3" a="1"/>
  <c r="F936" i="3" s="1"/>
  <c r="F935" i="3" a="1"/>
  <c r="F935" i="3" s="1"/>
  <c r="F934" i="3" a="1"/>
  <c r="F934" i="3" s="1"/>
  <c r="F933" i="3" a="1"/>
  <c r="F933" i="3" s="1"/>
  <c r="F932" i="3" a="1"/>
  <c r="F932" i="3" s="1"/>
  <c r="F931" i="3" a="1"/>
  <c r="F931" i="3" s="1"/>
  <c r="F930" i="3" a="1"/>
  <c r="F930" i="3" s="1"/>
  <c r="F929" i="3" a="1"/>
  <c r="F929" i="3" s="1"/>
  <c r="F928" i="3" a="1"/>
  <c r="F928" i="3" s="1"/>
  <c r="F927" i="3" a="1"/>
  <c r="F927" i="3" s="1"/>
  <c r="F926" i="3" a="1"/>
  <c r="F926" i="3" s="1"/>
  <c r="F925" i="3" a="1"/>
  <c r="F925" i="3" s="1"/>
  <c r="F924" i="3" a="1"/>
  <c r="F924" i="3" s="1"/>
  <c r="F923" i="3" a="1"/>
  <c r="F923" i="3" s="1"/>
  <c r="F922" i="3" a="1"/>
  <c r="F922" i="3" s="1"/>
  <c r="F921" i="3" a="1"/>
  <c r="F921" i="3" s="1"/>
  <c r="F920" i="3" a="1"/>
  <c r="F920" i="3" s="1"/>
  <c r="F919" i="3" a="1"/>
  <c r="F919" i="3" s="1"/>
  <c r="F918" i="3" a="1"/>
  <c r="F918" i="3" s="1"/>
  <c r="F917" i="3" a="1"/>
  <c r="F917" i="3" s="1"/>
  <c r="F916" i="3" a="1"/>
  <c r="F916" i="3" s="1"/>
  <c r="F915" i="3" a="1"/>
  <c r="F915" i="3" s="1"/>
  <c r="F914" i="3" a="1"/>
  <c r="F914" i="3" s="1"/>
  <c r="F913" i="3" a="1"/>
  <c r="F913" i="3" s="1"/>
  <c r="F912" i="3" a="1"/>
  <c r="F912" i="3" s="1"/>
  <c r="F911" i="3" a="1"/>
  <c r="F911" i="3" s="1"/>
  <c r="F910" i="3" a="1"/>
  <c r="F910" i="3" s="1"/>
  <c r="F909" i="3" a="1"/>
  <c r="F909" i="3" s="1"/>
  <c r="F908" i="3" a="1"/>
  <c r="F908" i="3" s="1"/>
  <c r="F907" i="3" a="1"/>
  <c r="F907" i="3" s="1"/>
  <c r="F906" i="3" a="1"/>
  <c r="F906" i="3" s="1"/>
  <c r="F905" i="3" a="1"/>
  <c r="F905" i="3" s="1"/>
  <c r="F904" i="3" a="1"/>
  <c r="F904" i="3" s="1"/>
  <c r="F903" i="3" a="1"/>
  <c r="F903" i="3" s="1"/>
  <c r="F902" i="3" a="1"/>
  <c r="F902" i="3" s="1"/>
  <c r="F901" i="3" a="1"/>
  <c r="F901" i="3" s="1"/>
  <c r="F900" i="3" a="1"/>
  <c r="F900" i="3" s="1"/>
  <c r="F899" i="3" a="1"/>
  <c r="F899" i="3" s="1"/>
  <c r="F898" i="3" a="1"/>
  <c r="F898" i="3" s="1"/>
  <c r="F897" i="3" a="1"/>
  <c r="F897" i="3" s="1"/>
  <c r="F896" i="3" a="1"/>
  <c r="F896" i="3" s="1"/>
  <c r="F895" i="3" a="1"/>
  <c r="F895" i="3" s="1"/>
  <c r="F894" i="3" a="1"/>
  <c r="F894" i="3" s="1"/>
  <c r="F893" i="3" a="1"/>
  <c r="F893" i="3" s="1"/>
  <c r="F892" i="3" a="1"/>
  <c r="F892" i="3" s="1"/>
  <c r="F891" i="3" a="1"/>
  <c r="F891" i="3" s="1"/>
  <c r="F890" i="3" a="1"/>
  <c r="F890" i="3" s="1"/>
  <c r="F889" i="3" a="1"/>
  <c r="F889" i="3" s="1"/>
  <c r="F888" i="3" a="1"/>
  <c r="F888" i="3" s="1"/>
  <c r="F887" i="3" a="1"/>
  <c r="F887" i="3" s="1"/>
  <c r="F886" i="3" a="1"/>
  <c r="F886" i="3" s="1"/>
  <c r="F885" i="3" a="1"/>
  <c r="F885" i="3" s="1"/>
  <c r="F884" i="3" a="1"/>
  <c r="F884" i="3" s="1"/>
  <c r="F883" i="3" a="1"/>
  <c r="F883" i="3" s="1"/>
  <c r="F882" i="3" a="1"/>
  <c r="F882" i="3" s="1"/>
  <c r="F881" i="3" a="1"/>
  <c r="F881" i="3" s="1"/>
  <c r="F880" i="3" a="1"/>
  <c r="F880" i="3" s="1"/>
  <c r="F879" i="3" a="1"/>
  <c r="F879" i="3" s="1"/>
  <c r="F878" i="3" a="1"/>
  <c r="F878" i="3" s="1"/>
  <c r="F877" i="3" a="1"/>
  <c r="F877" i="3" s="1"/>
  <c r="F876" i="3" a="1"/>
  <c r="F876" i="3" s="1"/>
  <c r="F875" i="3" a="1"/>
  <c r="F875" i="3" s="1"/>
  <c r="F874" i="3" a="1"/>
  <c r="F874" i="3" s="1"/>
  <c r="F873" i="3" a="1"/>
  <c r="F873" i="3" s="1"/>
  <c r="F872" i="3" a="1"/>
  <c r="F872" i="3" s="1"/>
  <c r="F871" i="3" a="1"/>
  <c r="F871" i="3" s="1"/>
  <c r="F870" i="3" a="1"/>
  <c r="F870" i="3" s="1"/>
  <c r="F869" i="3" a="1"/>
  <c r="F869" i="3" s="1"/>
  <c r="F868" i="3" a="1"/>
  <c r="F868" i="3" s="1"/>
  <c r="F867" i="3" a="1"/>
  <c r="F867" i="3" s="1"/>
  <c r="F866" i="3" a="1"/>
  <c r="F866" i="3" s="1"/>
  <c r="F865" i="3" a="1"/>
  <c r="F865" i="3" s="1"/>
  <c r="F864" i="3" a="1"/>
  <c r="F864" i="3" s="1"/>
  <c r="F863" i="3" a="1"/>
  <c r="F863" i="3" s="1"/>
  <c r="F862" i="3" a="1"/>
  <c r="F862" i="3" s="1"/>
  <c r="F861" i="3" a="1"/>
  <c r="F861" i="3" s="1"/>
  <c r="F860" i="3" a="1"/>
  <c r="F860" i="3" s="1"/>
  <c r="F859" i="3" a="1"/>
  <c r="F859" i="3" s="1"/>
  <c r="F858" i="3" a="1"/>
  <c r="F858" i="3" s="1"/>
  <c r="F857" i="3" a="1"/>
  <c r="F857" i="3" s="1"/>
  <c r="F856" i="3" a="1"/>
  <c r="F856" i="3" s="1"/>
  <c r="F855" i="3" a="1"/>
  <c r="F855" i="3" s="1"/>
  <c r="F854" i="3" a="1"/>
  <c r="F854" i="3" s="1"/>
  <c r="F853" i="3" a="1"/>
  <c r="F853" i="3" s="1"/>
  <c r="F852" i="3" a="1"/>
  <c r="F852" i="3" s="1"/>
  <c r="F851" i="3" a="1"/>
  <c r="F851" i="3" s="1"/>
  <c r="F850" i="3" a="1"/>
  <c r="F850" i="3" s="1"/>
  <c r="F849" i="3" a="1"/>
  <c r="F849" i="3" s="1"/>
  <c r="F848" i="3" a="1"/>
  <c r="F848" i="3" s="1"/>
  <c r="F847" i="3" a="1"/>
  <c r="F847" i="3" s="1"/>
  <c r="F846" i="3" a="1"/>
  <c r="F846" i="3" s="1"/>
  <c r="F845" i="3" a="1"/>
  <c r="F845" i="3" s="1"/>
  <c r="F844" i="3" a="1"/>
  <c r="F844" i="3" s="1"/>
  <c r="F843" i="3" a="1"/>
  <c r="F843" i="3" s="1"/>
  <c r="F842" i="3" a="1"/>
  <c r="F842" i="3" s="1"/>
  <c r="F841" i="3" a="1"/>
  <c r="F841" i="3" s="1"/>
  <c r="F840" i="3" a="1"/>
  <c r="F840" i="3" s="1"/>
  <c r="F839" i="3" a="1"/>
  <c r="F839" i="3" s="1"/>
  <c r="F838" i="3" a="1"/>
  <c r="F838" i="3" s="1"/>
  <c r="F837" i="3" a="1"/>
  <c r="F837" i="3" s="1"/>
  <c r="F836" i="3" a="1"/>
  <c r="F836" i="3" s="1"/>
  <c r="F835" i="3" a="1"/>
  <c r="F835" i="3" s="1"/>
  <c r="F834" i="3" a="1"/>
  <c r="F834" i="3" s="1"/>
  <c r="F833" i="3" a="1"/>
  <c r="F833" i="3" s="1"/>
  <c r="F832" i="3" a="1"/>
  <c r="F832" i="3" s="1"/>
  <c r="F831" i="3" a="1"/>
  <c r="F831" i="3" s="1"/>
  <c r="F830" i="3" a="1"/>
  <c r="F830" i="3" s="1"/>
  <c r="F829" i="3" a="1"/>
  <c r="F829" i="3" s="1"/>
  <c r="F828" i="3" a="1"/>
  <c r="F828" i="3" s="1"/>
  <c r="F827" i="3" a="1"/>
  <c r="F827" i="3" s="1"/>
  <c r="F826" i="3" a="1"/>
  <c r="F826" i="3" s="1"/>
  <c r="F825" i="3" a="1"/>
  <c r="F825" i="3" s="1"/>
  <c r="F824" i="3" a="1"/>
  <c r="F824" i="3" s="1"/>
  <c r="F823" i="3" a="1"/>
  <c r="F823" i="3" s="1"/>
  <c r="F822" i="3" a="1"/>
  <c r="F822" i="3" s="1"/>
  <c r="F821" i="3" a="1"/>
  <c r="F821" i="3" s="1"/>
  <c r="F820" i="3" a="1"/>
  <c r="F820" i="3" s="1"/>
  <c r="F819" i="3" a="1"/>
  <c r="F819" i="3" s="1"/>
  <c r="F818" i="3" a="1"/>
  <c r="F818" i="3" s="1"/>
  <c r="F817" i="3" a="1"/>
  <c r="F817" i="3" s="1"/>
  <c r="F816" i="3" a="1"/>
  <c r="F816" i="3" s="1"/>
  <c r="F815" i="3" a="1"/>
  <c r="F815" i="3" s="1"/>
  <c r="F814" i="3" a="1"/>
  <c r="F814" i="3" s="1"/>
  <c r="F813" i="3" a="1"/>
  <c r="F813" i="3" s="1"/>
  <c r="F812" i="3" a="1"/>
  <c r="F812" i="3" s="1"/>
  <c r="F811" i="3" a="1"/>
  <c r="F811" i="3" s="1"/>
  <c r="F810" i="3" a="1"/>
  <c r="F810" i="3" s="1"/>
  <c r="F809" i="3" a="1"/>
  <c r="F809" i="3" s="1"/>
  <c r="F808" i="3" a="1"/>
  <c r="F808" i="3" s="1"/>
  <c r="F807" i="3" a="1"/>
  <c r="F807" i="3" s="1"/>
  <c r="F806" i="3" a="1"/>
  <c r="F806" i="3" s="1"/>
  <c r="F805" i="3" a="1"/>
  <c r="F805" i="3" s="1"/>
  <c r="F804" i="3" a="1"/>
  <c r="F804" i="3" s="1"/>
  <c r="F803" i="3" a="1"/>
  <c r="F803" i="3" s="1"/>
  <c r="F802" i="3" a="1"/>
  <c r="F802" i="3" s="1"/>
  <c r="F801" i="3" a="1"/>
  <c r="F801" i="3" s="1"/>
  <c r="F800" i="3" a="1"/>
  <c r="F800" i="3" s="1"/>
  <c r="F799" i="3" a="1"/>
  <c r="F799" i="3" s="1"/>
  <c r="F798" i="3" a="1"/>
  <c r="F798" i="3" s="1"/>
  <c r="F797" i="3" a="1"/>
  <c r="F797" i="3" s="1"/>
  <c r="F796" i="3" a="1"/>
  <c r="F796" i="3" s="1"/>
  <c r="F795" i="3" a="1"/>
  <c r="F795" i="3" s="1"/>
  <c r="F794" i="3" a="1"/>
  <c r="F794" i="3" s="1"/>
  <c r="F793" i="3" a="1"/>
  <c r="F793" i="3" s="1"/>
  <c r="F792" i="3" a="1"/>
  <c r="F792" i="3" s="1"/>
  <c r="F791" i="3" a="1"/>
  <c r="F791" i="3" s="1"/>
  <c r="F790" i="3" a="1"/>
  <c r="F790" i="3" s="1"/>
  <c r="F789" i="3" a="1"/>
  <c r="F789" i="3" s="1"/>
  <c r="F788" i="3" a="1"/>
  <c r="F788" i="3" s="1"/>
  <c r="F787" i="3" a="1"/>
  <c r="F787" i="3" s="1"/>
  <c r="F786" i="3" a="1"/>
  <c r="F786" i="3" s="1"/>
  <c r="F785" i="3" a="1"/>
  <c r="F785" i="3" s="1"/>
  <c r="F784" i="3" a="1"/>
  <c r="F784" i="3" s="1"/>
  <c r="F783" i="3" a="1"/>
  <c r="F783" i="3" s="1"/>
  <c r="F782" i="3" a="1"/>
  <c r="F782" i="3" s="1"/>
  <c r="F781" i="3" a="1"/>
  <c r="F781" i="3" s="1"/>
  <c r="F780" i="3" a="1"/>
  <c r="F780" i="3" s="1"/>
  <c r="F779" i="3" a="1"/>
  <c r="F779" i="3" s="1"/>
  <c r="F778" i="3" a="1"/>
  <c r="F778" i="3" s="1"/>
  <c r="F777" i="3" a="1"/>
  <c r="F777" i="3" s="1"/>
  <c r="F776" i="3" a="1"/>
  <c r="F776" i="3" s="1"/>
  <c r="F775" i="3" a="1"/>
  <c r="F775" i="3" s="1"/>
  <c r="F774" i="3" a="1"/>
  <c r="F774" i="3" s="1"/>
  <c r="F773" i="3" a="1"/>
  <c r="F773" i="3" s="1"/>
  <c r="F772" i="3" a="1"/>
  <c r="F772" i="3" s="1"/>
  <c r="F771" i="3" a="1"/>
  <c r="F771" i="3" s="1"/>
  <c r="F770" i="3" a="1"/>
  <c r="F770" i="3" s="1"/>
  <c r="F769" i="3" a="1"/>
  <c r="F769" i="3" s="1"/>
  <c r="F768" i="3" a="1"/>
  <c r="F768" i="3" s="1"/>
  <c r="F767" i="3" a="1"/>
  <c r="F767" i="3" s="1"/>
  <c r="F766" i="3" a="1"/>
  <c r="F766" i="3" s="1"/>
  <c r="F765" i="3" a="1"/>
  <c r="F765" i="3" s="1"/>
  <c r="F764" i="3" a="1"/>
  <c r="F764" i="3" s="1"/>
  <c r="F763" i="3" a="1"/>
  <c r="F763" i="3" s="1"/>
  <c r="F762" i="3" a="1"/>
  <c r="F762" i="3" s="1"/>
  <c r="F761" i="3" a="1"/>
  <c r="F761" i="3" s="1"/>
  <c r="F760" i="3" a="1"/>
  <c r="F760" i="3" s="1"/>
  <c r="F759" i="3" a="1"/>
  <c r="F759" i="3" s="1"/>
  <c r="F758" i="3" a="1"/>
  <c r="F758" i="3" s="1"/>
  <c r="F757" i="3" a="1"/>
  <c r="F757" i="3" s="1"/>
  <c r="F756" i="3" a="1"/>
  <c r="F756" i="3" s="1"/>
  <c r="F755" i="3" a="1"/>
  <c r="F755" i="3" s="1"/>
  <c r="F754" i="3" a="1"/>
  <c r="F754" i="3" s="1"/>
  <c r="F753" i="3" a="1"/>
  <c r="F753" i="3" s="1"/>
  <c r="F752" i="3" a="1"/>
  <c r="F752" i="3" s="1"/>
  <c r="F751" i="3" a="1"/>
  <c r="F751" i="3" s="1"/>
  <c r="F750" i="3" a="1"/>
  <c r="F750" i="3" s="1"/>
  <c r="F749" i="3" a="1"/>
  <c r="F749" i="3" s="1"/>
  <c r="F748" i="3" a="1"/>
  <c r="F748" i="3" s="1"/>
  <c r="F747" i="3" a="1"/>
  <c r="F747" i="3" s="1"/>
  <c r="F746" i="3" a="1"/>
  <c r="F746" i="3" s="1"/>
  <c r="F745" i="3" a="1"/>
  <c r="F745" i="3" s="1"/>
  <c r="F744" i="3" a="1"/>
  <c r="F744" i="3" s="1"/>
  <c r="F743" i="3" a="1"/>
  <c r="F743" i="3" s="1"/>
  <c r="F742" i="3" a="1"/>
  <c r="F742" i="3" s="1"/>
  <c r="F741" i="3" a="1"/>
  <c r="F741" i="3" s="1"/>
  <c r="F740" i="3" a="1"/>
  <c r="F740" i="3" s="1"/>
  <c r="F739" i="3" a="1"/>
  <c r="F739" i="3" s="1"/>
  <c r="F738" i="3" a="1"/>
  <c r="F738" i="3" s="1"/>
  <c r="F737" i="3" a="1"/>
  <c r="F737" i="3" s="1"/>
  <c r="F736" i="3" a="1"/>
  <c r="F736" i="3" s="1"/>
  <c r="F735" i="3" a="1"/>
  <c r="F735" i="3" s="1"/>
  <c r="F734" i="3" a="1"/>
  <c r="F734" i="3" s="1"/>
  <c r="F733" i="3" a="1"/>
  <c r="F733" i="3" s="1"/>
  <c r="F732" i="3" a="1"/>
  <c r="F732" i="3" s="1"/>
  <c r="F731" i="3" a="1"/>
  <c r="F731" i="3" s="1"/>
  <c r="F730" i="3" a="1"/>
  <c r="F730" i="3" s="1"/>
  <c r="F729" i="3" a="1"/>
  <c r="F729" i="3" s="1"/>
  <c r="F728" i="3" a="1"/>
  <c r="F728" i="3" s="1"/>
  <c r="F727" i="3" a="1"/>
  <c r="F727" i="3" s="1"/>
  <c r="F726" i="3" a="1"/>
  <c r="F726" i="3" s="1"/>
  <c r="F725" i="3" a="1"/>
  <c r="F725" i="3" s="1"/>
  <c r="F724" i="3" a="1"/>
  <c r="F724" i="3" s="1"/>
  <c r="F723" i="3" a="1"/>
  <c r="F723" i="3" s="1"/>
  <c r="F722" i="3" a="1"/>
  <c r="F722" i="3" s="1"/>
  <c r="F721" i="3" a="1"/>
  <c r="F721" i="3" s="1"/>
  <c r="F720" i="3" a="1"/>
  <c r="F720" i="3" s="1"/>
  <c r="F719" i="3" a="1"/>
  <c r="F719" i="3" s="1"/>
  <c r="F718" i="3" a="1"/>
  <c r="F718" i="3" s="1"/>
  <c r="F717" i="3" a="1"/>
  <c r="F717" i="3" s="1"/>
  <c r="F716" i="3" a="1"/>
  <c r="F716" i="3" s="1"/>
  <c r="F715" i="3" a="1"/>
  <c r="F715" i="3" s="1"/>
  <c r="F714" i="3" a="1"/>
  <c r="F714" i="3" s="1"/>
  <c r="F713" i="3" a="1"/>
  <c r="F713" i="3" s="1"/>
  <c r="F712" i="3" a="1"/>
  <c r="F712" i="3" s="1"/>
  <c r="F711" i="3" a="1"/>
  <c r="F711" i="3" s="1"/>
  <c r="F710" i="3" a="1"/>
  <c r="F710" i="3" s="1"/>
  <c r="F709" i="3" a="1"/>
  <c r="F709" i="3" s="1"/>
  <c r="F708" i="3" a="1"/>
  <c r="F708" i="3" s="1"/>
  <c r="F707" i="3" a="1"/>
  <c r="F707" i="3" s="1"/>
  <c r="F706" i="3" a="1"/>
  <c r="F706" i="3" s="1"/>
  <c r="F705" i="3" a="1"/>
  <c r="F705" i="3" s="1"/>
  <c r="F704" i="3" a="1"/>
  <c r="F704" i="3" s="1"/>
  <c r="F703" i="3" a="1"/>
  <c r="F703" i="3" s="1"/>
  <c r="F702" i="3" a="1"/>
  <c r="F702" i="3" s="1"/>
  <c r="F701" i="3" a="1"/>
  <c r="F701" i="3" s="1"/>
  <c r="F700" i="3" a="1"/>
  <c r="F700" i="3" s="1"/>
  <c r="F699" i="3" a="1"/>
  <c r="F699" i="3" s="1"/>
  <c r="F698" i="3" a="1"/>
  <c r="F698" i="3" s="1"/>
  <c r="F697" i="3" a="1"/>
  <c r="F697" i="3" s="1"/>
  <c r="F696" i="3" a="1"/>
  <c r="F696" i="3" s="1"/>
  <c r="F695" i="3" a="1"/>
  <c r="F695" i="3" s="1"/>
  <c r="F694" i="3" a="1"/>
  <c r="F694" i="3" s="1"/>
  <c r="F693" i="3" a="1"/>
  <c r="F693" i="3" s="1"/>
  <c r="F692" i="3" a="1"/>
  <c r="F692" i="3" s="1"/>
  <c r="F691" i="3" a="1"/>
  <c r="F691" i="3" s="1"/>
  <c r="F690" i="3" a="1"/>
  <c r="F690" i="3" s="1"/>
  <c r="F689" i="3" a="1"/>
  <c r="F689" i="3" s="1"/>
  <c r="F688" i="3" a="1"/>
  <c r="F688" i="3" s="1"/>
  <c r="F687" i="3" a="1"/>
  <c r="F687" i="3" s="1"/>
  <c r="F686" i="3" a="1"/>
  <c r="F686" i="3" s="1"/>
  <c r="F685" i="3" a="1"/>
  <c r="F685" i="3" s="1"/>
  <c r="F684" i="3" a="1"/>
  <c r="F684" i="3" s="1"/>
  <c r="F683" i="3" a="1"/>
  <c r="F683" i="3" s="1"/>
  <c r="F682" i="3" a="1"/>
  <c r="F682" i="3" s="1"/>
  <c r="F681" i="3" a="1"/>
  <c r="F681" i="3" s="1"/>
  <c r="F680" i="3" a="1"/>
  <c r="F680" i="3" s="1"/>
  <c r="F679" i="3" a="1"/>
  <c r="F679" i="3" s="1"/>
  <c r="F678" i="3" a="1"/>
  <c r="F678" i="3" s="1"/>
  <c r="F677" i="3" a="1"/>
  <c r="F677" i="3" s="1"/>
  <c r="F676" i="3" a="1"/>
  <c r="F676" i="3" s="1"/>
  <c r="F675" i="3" a="1"/>
  <c r="F675" i="3" s="1"/>
  <c r="F674" i="3" a="1"/>
  <c r="F674" i="3" s="1"/>
  <c r="F673" i="3" a="1"/>
  <c r="F673" i="3" s="1"/>
  <c r="F672" i="3" a="1"/>
  <c r="F672" i="3" s="1"/>
  <c r="F671" i="3" a="1"/>
  <c r="F671" i="3" s="1"/>
  <c r="F670" i="3" a="1"/>
  <c r="F670" i="3" s="1"/>
  <c r="F669" i="3" a="1"/>
  <c r="F669" i="3" s="1"/>
  <c r="F668" i="3" a="1"/>
  <c r="F668" i="3" s="1"/>
  <c r="F667" i="3" a="1"/>
  <c r="F667" i="3" s="1"/>
  <c r="F666" i="3" a="1"/>
  <c r="F666" i="3" s="1"/>
  <c r="F665" i="3" a="1"/>
  <c r="F665" i="3" s="1"/>
  <c r="F664" i="3" a="1"/>
  <c r="F664" i="3" s="1"/>
  <c r="F663" i="3" a="1"/>
  <c r="F663" i="3" s="1"/>
  <c r="F662" i="3" a="1"/>
  <c r="F662" i="3" s="1"/>
  <c r="F661" i="3" a="1"/>
  <c r="F661" i="3" s="1"/>
  <c r="F660" i="3" a="1"/>
  <c r="F660" i="3" s="1"/>
  <c r="F659" i="3" a="1"/>
  <c r="F659" i="3" s="1"/>
  <c r="F658" i="3" a="1"/>
  <c r="F658" i="3" s="1"/>
  <c r="F657" i="3" a="1"/>
  <c r="F657" i="3" s="1"/>
  <c r="F656" i="3" a="1"/>
  <c r="F656" i="3" s="1"/>
  <c r="F655" i="3" a="1"/>
  <c r="F655" i="3" s="1"/>
  <c r="F654" i="3" a="1"/>
  <c r="F654" i="3" s="1"/>
  <c r="F653" i="3" a="1"/>
  <c r="F653" i="3" s="1"/>
  <c r="F652" i="3" a="1"/>
  <c r="F652" i="3" s="1"/>
  <c r="F651" i="3" a="1"/>
  <c r="F651" i="3" s="1"/>
  <c r="F650" i="3" a="1"/>
  <c r="F650" i="3" s="1"/>
  <c r="F649" i="3" a="1"/>
  <c r="F649" i="3" s="1"/>
  <c r="F648" i="3" a="1"/>
  <c r="F648" i="3" s="1"/>
  <c r="F647" i="3" a="1"/>
  <c r="F647" i="3" s="1"/>
  <c r="F646" i="3" a="1"/>
  <c r="F646" i="3" s="1"/>
  <c r="F645" i="3" a="1"/>
  <c r="F645" i="3" s="1"/>
  <c r="F644" i="3" a="1"/>
  <c r="F644" i="3" s="1"/>
  <c r="F643" i="3" a="1"/>
  <c r="F643" i="3" s="1"/>
  <c r="F642" i="3" a="1"/>
  <c r="F642" i="3" s="1"/>
  <c r="F641" i="3" a="1"/>
  <c r="F641" i="3" s="1"/>
  <c r="F640" i="3" a="1"/>
  <c r="F640" i="3" s="1"/>
  <c r="F639" i="3" a="1"/>
  <c r="F639" i="3" s="1"/>
  <c r="F638" i="3" a="1"/>
  <c r="F638" i="3" s="1"/>
  <c r="F637" i="3" a="1"/>
  <c r="F637" i="3" s="1"/>
  <c r="F636" i="3" a="1"/>
  <c r="F636" i="3" s="1"/>
  <c r="F635" i="3" a="1"/>
  <c r="F635" i="3" s="1"/>
  <c r="F634" i="3" a="1"/>
  <c r="F634" i="3" s="1"/>
  <c r="F633" i="3" a="1"/>
  <c r="F633" i="3" s="1"/>
  <c r="F632" i="3" a="1"/>
  <c r="F632" i="3" s="1"/>
  <c r="F631" i="3" a="1"/>
  <c r="F631" i="3" s="1"/>
  <c r="F630" i="3" a="1"/>
  <c r="F630" i="3" s="1"/>
  <c r="F629" i="3" a="1"/>
  <c r="F629" i="3" s="1"/>
  <c r="F628" i="3" a="1"/>
  <c r="F628" i="3" s="1"/>
  <c r="F627" i="3" a="1"/>
  <c r="F627" i="3" s="1"/>
  <c r="F626" i="3" a="1"/>
  <c r="F626" i="3" s="1"/>
  <c r="F625" i="3" a="1"/>
  <c r="F625" i="3" s="1"/>
  <c r="F624" i="3" a="1"/>
  <c r="F624" i="3" s="1"/>
  <c r="F623" i="3" a="1"/>
  <c r="F623" i="3" s="1"/>
  <c r="F622" i="3" a="1"/>
  <c r="F622" i="3" s="1"/>
  <c r="F621" i="3" a="1"/>
  <c r="F621" i="3" s="1"/>
  <c r="F620" i="3" a="1"/>
  <c r="F620" i="3" s="1"/>
  <c r="F619" i="3" a="1"/>
  <c r="F619" i="3" s="1"/>
  <c r="F618" i="3" a="1"/>
  <c r="F618" i="3" s="1"/>
  <c r="F617" i="3" a="1"/>
  <c r="F617" i="3" s="1"/>
  <c r="F616" i="3" a="1"/>
  <c r="F616" i="3" s="1"/>
  <c r="F615" i="3" a="1"/>
  <c r="F615" i="3" s="1"/>
  <c r="F614" i="3" a="1"/>
  <c r="F614" i="3" s="1"/>
  <c r="F613" i="3" a="1"/>
  <c r="F613" i="3" s="1"/>
  <c r="F612" i="3" a="1"/>
  <c r="F612" i="3" s="1"/>
  <c r="F611" i="3" a="1"/>
  <c r="F611" i="3" s="1"/>
  <c r="F610" i="3" a="1"/>
  <c r="F610" i="3" s="1"/>
  <c r="F609" i="3" a="1"/>
  <c r="F609" i="3" s="1"/>
  <c r="F608" i="3" a="1"/>
  <c r="F608" i="3" s="1"/>
  <c r="F607" i="3" a="1"/>
  <c r="F607" i="3" s="1"/>
  <c r="F606" i="3" a="1"/>
  <c r="F606" i="3" s="1"/>
  <c r="F605" i="3" a="1"/>
  <c r="F605" i="3" s="1"/>
  <c r="F604" i="3" a="1"/>
  <c r="F604" i="3" s="1"/>
  <c r="F603" i="3" a="1"/>
  <c r="F603" i="3" s="1"/>
  <c r="F602" i="3" a="1"/>
  <c r="F602" i="3" s="1"/>
  <c r="F601" i="3" a="1"/>
  <c r="F601" i="3" s="1"/>
  <c r="F600" i="3" a="1"/>
  <c r="F600" i="3" s="1"/>
  <c r="F599" i="3" a="1"/>
  <c r="F599" i="3" s="1"/>
  <c r="F598" i="3" a="1"/>
  <c r="F598" i="3" s="1"/>
  <c r="F597" i="3" a="1"/>
  <c r="F597" i="3" s="1"/>
  <c r="F596" i="3" a="1"/>
  <c r="F596" i="3" s="1"/>
  <c r="F595" i="3" a="1"/>
  <c r="F595" i="3" s="1"/>
  <c r="F594" i="3" a="1"/>
  <c r="F594" i="3" s="1"/>
  <c r="F593" i="3" a="1"/>
  <c r="F593" i="3" s="1"/>
  <c r="F592" i="3" a="1"/>
  <c r="F592" i="3" s="1"/>
  <c r="F591" i="3" a="1"/>
  <c r="F591" i="3" s="1"/>
  <c r="F590" i="3" a="1"/>
  <c r="F590" i="3" s="1"/>
  <c r="F589" i="3" a="1"/>
  <c r="F589" i="3" s="1"/>
  <c r="F588" i="3" a="1"/>
  <c r="F588" i="3" s="1"/>
  <c r="F587" i="3" a="1"/>
  <c r="F587" i="3" s="1"/>
  <c r="F586" i="3" a="1"/>
  <c r="F586" i="3" s="1"/>
  <c r="F585" i="3" a="1"/>
  <c r="F585" i="3" s="1"/>
  <c r="F584" i="3" a="1"/>
  <c r="F584" i="3" s="1"/>
  <c r="F583" i="3" a="1"/>
  <c r="F583" i="3" s="1"/>
  <c r="F582" i="3" a="1"/>
  <c r="F582" i="3" s="1"/>
  <c r="F581" i="3" a="1"/>
  <c r="F581" i="3" s="1"/>
  <c r="F580" i="3" a="1"/>
  <c r="F580" i="3" s="1"/>
  <c r="F579" i="3" a="1"/>
  <c r="F579" i="3" s="1"/>
  <c r="F578" i="3" a="1"/>
  <c r="F578" i="3" s="1"/>
  <c r="F577" i="3" a="1"/>
  <c r="F577" i="3" s="1"/>
  <c r="F576" i="3" a="1"/>
  <c r="F576" i="3" s="1"/>
  <c r="F575" i="3" a="1"/>
  <c r="F575" i="3" s="1"/>
  <c r="F574" i="3" a="1"/>
  <c r="F574" i="3" s="1"/>
  <c r="F573" i="3" a="1"/>
  <c r="F573" i="3" s="1"/>
  <c r="F572" i="3" a="1"/>
  <c r="F572" i="3" s="1"/>
  <c r="F571" i="3" a="1"/>
  <c r="F571" i="3" s="1"/>
  <c r="F570" i="3" a="1"/>
  <c r="F570" i="3" s="1"/>
  <c r="F569" i="3" a="1"/>
  <c r="F569" i="3" s="1"/>
  <c r="F568" i="3" a="1"/>
  <c r="F568" i="3" s="1"/>
  <c r="F567" i="3" a="1"/>
  <c r="F567" i="3" s="1"/>
  <c r="F566" i="3" a="1"/>
  <c r="F566" i="3" s="1"/>
  <c r="F565" i="3" a="1"/>
  <c r="F565" i="3" s="1"/>
  <c r="F564" i="3" a="1"/>
  <c r="F564" i="3" s="1"/>
  <c r="F563" i="3" a="1"/>
  <c r="F563" i="3" s="1"/>
  <c r="F562" i="3" a="1"/>
  <c r="F562" i="3" s="1"/>
  <c r="F561" i="3" a="1"/>
  <c r="F561" i="3" s="1"/>
  <c r="F560" i="3" a="1"/>
  <c r="F560" i="3" s="1"/>
  <c r="F559" i="3" a="1"/>
  <c r="F559" i="3" s="1"/>
  <c r="F558" i="3" a="1"/>
  <c r="F558" i="3" s="1"/>
  <c r="F557" i="3" a="1"/>
  <c r="F557" i="3" s="1"/>
  <c r="F556" i="3" a="1"/>
  <c r="F556" i="3" s="1"/>
  <c r="F555" i="3" a="1"/>
  <c r="F555" i="3" s="1"/>
  <c r="F554" i="3" a="1"/>
  <c r="F554" i="3" s="1"/>
  <c r="F553" i="3" a="1"/>
  <c r="F553" i="3" s="1"/>
  <c r="F552" i="3" a="1"/>
  <c r="F552" i="3" s="1"/>
  <c r="F551" i="3" a="1"/>
  <c r="F551" i="3" s="1"/>
  <c r="F550" i="3" a="1"/>
  <c r="F550" i="3" s="1"/>
  <c r="F549" i="3" a="1"/>
  <c r="F549" i="3" s="1"/>
  <c r="F548" i="3" a="1"/>
  <c r="F548" i="3" s="1"/>
  <c r="F547" i="3" a="1"/>
  <c r="F547" i="3" s="1"/>
  <c r="F546" i="3" a="1"/>
  <c r="F546" i="3" s="1"/>
  <c r="F545" i="3" a="1"/>
  <c r="F545" i="3" s="1"/>
  <c r="F544" i="3" a="1"/>
  <c r="F544" i="3" s="1"/>
  <c r="F543" i="3" a="1"/>
  <c r="F543" i="3" s="1"/>
  <c r="F542" i="3" a="1"/>
  <c r="F542" i="3" s="1"/>
  <c r="F541" i="3" a="1"/>
  <c r="F541" i="3" s="1"/>
  <c r="F540" i="3" a="1"/>
  <c r="F540" i="3" s="1"/>
  <c r="F539" i="3" a="1"/>
  <c r="F539" i="3" s="1"/>
  <c r="F538" i="3" a="1"/>
  <c r="F538" i="3" s="1"/>
  <c r="F537" i="3" a="1"/>
  <c r="F537" i="3" s="1"/>
  <c r="F536" i="3" a="1"/>
  <c r="F536" i="3" s="1"/>
  <c r="F535" i="3" a="1"/>
  <c r="F535" i="3" s="1"/>
  <c r="F534" i="3" a="1"/>
  <c r="F534" i="3" s="1"/>
  <c r="F533" i="3" a="1"/>
  <c r="F533" i="3" s="1"/>
  <c r="F532" i="3" a="1"/>
  <c r="F532" i="3" s="1"/>
  <c r="F531" i="3" a="1"/>
  <c r="F531" i="3" s="1"/>
  <c r="F530" i="3" a="1"/>
  <c r="F530" i="3" s="1"/>
  <c r="F529" i="3" a="1"/>
  <c r="F529" i="3" s="1"/>
  <c r="F528" i="3" a="1"/>
  <c r="F528" i="3" s="1"/>
  <c r="F527" i="3" a="1"/>
  <c r="F527" i="3" s="1"/>
  <c r="F526" i="3" a="1"/>
  <c r="F526" i="3" s="1"/>
  <c r="F525" i="3" a="1"/>
  <c r="F525" i="3" s="1"/>
  <c r="F524" i="3" a="1"/>
  <c r="F524" i="3" s="1"/>
  <c r="F523" i="3" a="1"/>
  <c r="F523" i="3" s="1"/>
  <c r="F522" i="3" a="1"/>
  <c r="F522" i="3" s="1"/>
  <c r="F521" i="3" a="1"/>
  <c r="F521" i="3" s="1"/>
  <c r="F520" i="3" a="1"/>
  <c r="F520" i="3" s="1"/>
  <c r="F519" i="3" a="1"/>
  <c r="F519" i="3" s="1"/>
  <c r="F518" i="3" a="1"/>
  <c r="F518" i="3" s="1"/>
  <c r="F517" i="3" a="1"/>
  <c r="F517" i="3" s="1"/>
  <c r="F516" i="3" a="1"/>
  <c r="F516" i="3" s="1"/>
  <c r="F515" i="3" a="1"/>
  <c r="F515" i="3" s="1"/>
  <c r="F514" i="3" a="1"/>
  <c r="F514" i="3" s="1"/>
  <c r="F513" i="3" a="1"/>
  <c r="F513" i="3" s="1"/>
  <c r="F512" i="3" a="1"/>
  <c r="F512" i="3" s="1"/>
  <c r="F511" i="3" a="1"/>
  <c r="F511" i="3" s="1"/>
  <c r="F510" i="3" a="1"/>
  <c r="F510" i="3" s="1"/>
  <c r="F509" i="3" a="1"/>
  <c r="F509" i="3" s="1"/>
  <c r="F508" i="3" a="1"/>
  <c r="F508" i="3" s="1"/>
  <c r="F507" i="3" a="1"/>
  <c r="F507" i="3" s="1"/>
  <c r="F506" i="3" a="1"/>
  <c r="F506" i="3" s="1"/>
  <c r="F505" i="3" a="1"/>
  <c r="F505" i="3" s="1"/>
  <c r="F504" i="3" a="1"/>
  <c r="F504" i="3" s="1"/>
  <c r="F503" i="3" a="1"/>
  <c r="F503" i="3" s="1"/>
  <c r="E1000" i="3" a="1"/>
  <c r="E1000" i="3" s="1"/>
  <c r="E999" i="3" a="1"/>
  <c r="E999" i="3" s="1"/>
  <c r="E998" i="3" a="1"/>
  <c r="E998" i="3" s="1"/>
  <c r="E997" i="3" a="1"/>
  <c r="E997" i="3" s="1"/>
  <c r="E996" i="3" a="1"/>
  <c r="E996" i="3" s="1"/>
  <c r="E995" i="3" a="1"/>
  <c r="E995" i="3" s="1"/>
  <c r="E994" i="3" a="1"/>
  <c r="E994" i="3" s="1"/>
  <c r="E993" i="3" a="1"/>
  <c r="E993" i="3" s="1"/>
  <c r="E992" i="3" a="1"/>
  <c r="E992" i="3" s="1"/>
  <c r="E991" i="3" a="1"/>
  <c r="E991" i="3" s="1"/>
  <c r="E990" i="3" a="1"/>
  <c r="E990" i="3" s="1"/>
  <c r="E989" i="3" a="1"/>
  <c r="E989" i="3" s="1"/>
  <c r="E988" i="3" a="1"/>
  <c r="E988" i="3" s="1"/>
  <c r="E987" i="3" a="1"/>
  <c r="E987" i="3" s="1"/>
  <c r="E986" i="3" a="1"/>
  <c r="E986" i="3" s="1"/>
  <c r="E985" i="3" a="1"/>
  <c r="E985" i="3" s="1"/>
  <c r="E984" i="3" a="1"/>
  <c r="E984" i="3" s="1"/>
  <c r="E983" i="3" a="1"/>
  <c r="E983" i="3" s="1"/>
  <c r="E982" i="3" a="1"/>
  <c r="E982" i="3" s="1"/>
  <c r="E981" i="3" a="1"/>
  <c r="E981" i="3" s="1"/>
  <c r="E980" i="3" a="1"/>
  <c r="E980" i="3" s="1"/>
  <c r="E979" i="3" a="1"/>
  <c r="E979" i="3" s="1"/>
  <c r="E978" i="3" a="1"/>
  <c r="E978" i="3" s="1"/>
  <c r="E977" i="3" a="1"/>
  <c r="E977" i="3" s="1"/>
  <c r="E976" i="3" a="1"/>
  <c r="E976" i="3" s="1"/>
  <c r="E975" i="3" a="1"/>
  <c r="E975" i="3" s="1"/>
  <c r="E974" i="3" a="1"/>
  <c r="E974" i="3" s="1"/>
  <c r="E973" i="3" a="1"/>
  <c r="E973" i="3" s="1"/>
  <c r="E972" i="3" a="1"/>
  <c r="E972" i="3" s="1"/>
  <c r="E971" i="3" a="1"/>
  <c r="E971" i="3" s="1"/>
  <c r="E970" i="3" a="1"/>
  <c r="E970" i="3" s="1"/>
  <c r="E969" i="3" a="1"/>
  <c r="E969" i="3" s="1"/>
  <c r="E968" i="3" a="1"/>
  <c r="E968" i="3" s="1"/>
  <c r="E967" i="3" a="1"/>
  <c r="E967" i="3" s="1"/>
  <c r="E966" i="3" a="1"/>
  <c r="E966" i="3" s="1"/>
  <c r="E965" i="3" a="1"/>
  <c r="E965" i="3" s="1"/>
  <c r="E964" i="3" a="1"/>
  <c r="E964" i="3" s="1"/>
  <c r="E963" i="3" a="1"/>
  <c r="E963" i="3" s="1"/>
  <c r="E962" i="3" a="1"/>
  <c r="E962" i="3" s="1"/>
  <c r="E961" i="3" a="1"/>
  <c r="E961" i="3" s="1"/>
  <c r="E960" i="3" a="1"/>
  <c r="E960" i="3" s="1"/>
  <c r="E959" i="3" a="1"/>
  <c r="E959" i="3" s="1"/>
  <c r="E958" i="3" a="1"/>
  <c r="E958" i="3" s="1"/>
  <c r="E957" i="3" a="1"/>
  <c r="E957" i="3" s="1"/>
  <c r="E956" i="3" a="1"/>
  <c r="E956" i="3" s="1"/>
  <c r="E955" i="3" a="1"/>
  <c r="E955" i="3" s="1"/>
  <c r="E954" i="3" a="1"/>
  <c r="E954" i="3" s="1"/>
  <c r="E953" i="3" a="1"/>
  <c r="E953" i="3" s="1"/>
  <c r="E952" i="3" a="1"/>
  <c r="E952" i="3" s="1"/>
  <c r="E951" i="3" a="1"/>
  <c r="E951" i="3" s="1"/>
  <c r="E950" i="3" a="1"/>
  <c r="E950" i="3" s="1"/>
  <c r="E949" i="3" a="1"/>
  <c r="E949" i="3" s="1"/>
  <c r="E948" i="3" a="1"/>
  <c r="E948" i="3" s="1"/>
  <c r="E947" i="3" a="1"/>
  <c r="E947" i="3" s="1"/>
  <c r="E946" i="3" a="1"/>
  <c r="E946" i="3" s="1"/>
  <c r="E945" i="3" a="1"/>
  <c r="E945" i="3" s="1"/>
  <c r="E944" i="3" a="1"/>
  <c r="E944" i="3" s="1"/>
  <c r="E943" i="3" a="1"/>
  <c r="E943" i="3" s="1"/>
  <c r="E942" i="3" a="1"/>
  <c r="E942" i="3" s="1"/>
  <c r="E941" i="3" a="1"/>
  <c r="E941" i="3" s="1"/>
  <c r="E940" i="3" a="1"/>
  <c r="E940" i="3" s="1"/>
  <c r="E939" i="3" a="1"/>
  <c r="E939" i="3" s="1"/>
  <c r="E938" i="3" a="1"/>
  <c r="E938" i="3" s="1"/>
  <c r="E937" i="3" a="1"/>
  <c r="E937" i="3" s="1"/>
  <c r="E936" i="3" a="1"/>
  <c r="E936" i="3" s="1"/>
  <c r="E935" i="3" a="1"/>
  <c r="E935" i="3" s="1"/>
  <c r="E934" i="3" a="1"/>
  <c r="E934" i="3" s="1"/>
  <c r="E933" i="3" a="1"/>
  <c r="E933" i="3" s="1"/>
  <c r="E932" i="3" a="1"/>
  <c r="E932" i="3" s="1"/>
  <c r="E931" i="3" a="1"/>
  <c r="E931" i="3" s="1"/>
  <c r="E930" i="3" a="1"/>
  <c r="E930" i="3" s="1"/>
  <c r="E929" i="3" a="1"/>
  <c r="E929" i="3" s="1"/>
  <c r="E928" i="3" a="1"/>
  <c r="E928" i="3" s="1"/>
  <c r="E927" i="3" a="1"/>
  <c r="E927" i="3" s="1"/>
  <c r="E926" i="3" a="1"/>
  <c r="E926" i="3" s="1"/>
  <c r="E925" i="3" a="1"/>
  <c r="E925" i="3" s="1"/>
  <c r="E924" i="3" a="1"/>
  <c r="E924" i="3" s="1"/>
  <c r="E923" i="3" a="1"/>
  <c r="E923" i="3" s="1"/>
  <c r="E922" i="3" a="1"/>
  <c r="E922" i="3" s="1"/>
  <c r="E921" i="3" a="1"/>
  <c r="E921" i="3" s="1"/>
  <c r="E920" i="3" a="1"/>
  <c r="E920" i="3" s="1"/>
  <c r="E919" i="3" a="1"/>
  <c r="E919" i="3" s="1"/>
  <c r="E918" i="3" a="1"/>
  <c r="E918" i="3" s="1"/>
  <c r="E917" i="3" a="1"/>
  <c r="E917" i="3" s="1"/>
  <c r="E916" i="3" a="1"/>
  <c r="E916" i="3" s="1"/>
  <c r="E915" i="3" a="1"/>
  <c r="E915" i="3" s="1"/>
  <c r="E914" i="3" a="1"/>
  <c r="E914" i="3" s="1"/>
  <c r="E913" i="3" a="1"/>
  <c r="E913" i="3" s="1"/>
  <c r="E912" i="3" a="1"/>
  <c r="E912" i="3" s="1"/>
  <c r="E911" i="3" a="1"/>
  <c r="E911" i="3" s="1"/>
  <c r="E910" i="3" a="1"/>
  <c r="E910" i="3" s="1"/>
  <c r="E909" i="3" a="1"/>
  <c r="E909" i="3" s="1"/>
  <c r="E908" i="3" a="1"/>
  <c r="E908" i="3" s="1"/>
  <c r="E907" i="3" a="1"/>
  <c r="E907" i="3" s="1"/>
  <c r="E906" i="3" a="1"/>
  <c r="E906" i="3" s="1"/>
  <c r="E905" i="3" a="1"/>
  <c r="E905" i="3" s="1"/>
  <c r="E904" i="3" a="1"/>
  <c r="E904" i="3" s="1"/>
  <c r="E903" i="3" a="1"/>
  <c r="E903" i="3" s="1"/>
  <c r="E902" i="3" a="1"/>
  <c r="E902" i="3" s="1"/>
  <c r="E901" i="3" a="1"/>
  <c r="E901" i="3" s="1"/>
  <c r="E900" i="3" a="1"/>
  <c r="E900" i="3" s="1"/>
  <c r="E899" i="3" a="1"/>
  <c r="E899" i="3" s="1"/>
  <c r="E898" i="3" a="1"/>
  <c r="E898" i="3" s="1"/>
  <c r="E897" i="3" a="1"/>
  <c r="E897" i="3" s="1"/>
  <c r="E896" i="3" a="1"/>
  <c r="E896" i="3" s="1"/>
  <c r="E895" i="3" a="1"/>
  <c r="E895" i="3" s="1"/>
  <c r="E894" i="3" a="1"/>
  <c r="E894" i="3" s="1"/>
  <c r="E893" i="3" a="1"/>
  <c r="E893" i="3" s="1"/>
  <c r="E892" i="3" a="1"/>
  <c r="E892" i="3" s="1"/>
  <c r="E891" i="3" a="1"/>
  <c r="E891" i="3" s="1"/>
  <c r="E890" i="3" a="1"/>
  <c r="E890" i="3" s="1"/>
  <c r="E889" i="3" a="1"/>
  <c r="E889" i="3" s="1"/>
  <c r="E888" i="3" a="1"/>
  <c r="E888" i="3" s="1"/>
  <c r="E887" i="3" a="1"/>
  <c r="E887" i="3" s="1"/>
  <c r="E886" i="3" a="1"/>
  <c r="E886" i="3" s="1"/>
  <c r="E885" i="3" a="1"/>
  <c r="E885" i="3" s="1"/>
  <c r="E884" i="3" a="1"/>
  <c r="E884" i="3" s="1"/>
  <c r="E883" i="3" a="1"/>
  <c r="E883" i="3" s="1"/>
  <c r="E882" i="3" a="1"/>
  <c r="E882" i="3" s="1"/>
  <c r="E881" i="3" a="1"/>
  <c r="E881" i="3" s="1"/>
  <c r="E880" i="3" a="1"/>
  <c r="E880" i="3" s="1"/>
  <c r="E879" i="3" a="1"/>
  <c r="E879" i="3" s="1"/>
  <c r="E878" i="3" a="1"/>
  <c r="E878" i="3" s="1"/>
  <c r="E877" i="3" a="1"/>
  <c r="E877" i="3" s="1"/>
  <c r="E876" i="3" a="1"/>
  <c r="E876" i="3" s="1"/>
  <c r="E875" i="3" a="1"/>
  <c r="E875" i="3" s="1"/>
  <c r="E874" i="3" a="1"/>
  <c r="E874" i="3" s="1"/>
  <c r="E873" i="3" a="1"/>
  <c r="E873" i="3" s="1"/>
  <c r="E872" i="3" a="1"/>
  <c r="E872" i="3" s="1"/>
  <c r="E871" i="3" a="1"/>
  <c r="E871" i="3" s="1"/>
  <c r="E870" i="3" a="1"/>
  <c r="E870" i="3" s="1"/>
  <c r="E869" i="3" a="1"/>
  <c r="E869" i="3" s="1"/>
  <c r="E868" i="3" a="1"/>
  <c r="E868" i="3" s="1"/>
  <c r="E867" i="3" a="1"/>
  <c r="E867" i="3" s="1"/>
  <c r="E866" i="3" a="1"/>
  <c r="E866" i="3" s="1"/>
  <c r="E865" i="3" a="1"/>
  <c r="E865" i="3" s="1"/>
  <c r="E864" i="3" a="1"/>
  <c r="E864" i="3" s="1"/>
  <c r="E863" i="3" a="1"/>
  <c r="E863" i="3" s="1"/>
  <c r="E862" i="3" a="1"/>
  <c r="E862" i="3" s="1"/>
  <c r="E861" i="3" a="1"/>
  <c r="E861" i="3" s="1"/>
  <c r="E860" i="3" a="1"/>
  <c r="E860" i="3" s="1"/>
  <c r="E859" i="3" a="1"/>
  <c r="E859" i="3" s="1"/>
  <c r="E858" i="3" a="1"/>
  <c r="E858" i="3" s="1"/>
  <c r="E857" i="3" a="1"/>
  <c r="E857" i="3" s="1"/>
  <c r="E856" i="3" a="1"/>
  <c r="E856" i="3" s="1"/>
  <c r="E855" i="3" a="1"/>
  <c r="E855" i="3" s="1"/>
  <c r="E854" i="3" a="1"/>
  <c r="E854" i="3" s="1"/>
  <c r="E853" i="3" a="1"/>
  <c r="E853" i="3" s="1"/>
  <c r="E852" i="3" a="1"/>
  <c r="E852" i="3" s="1"/>
  <c r="E851" i="3" a="1"/>
  <c r="E851" i="3" s="1"/>
  <c r="E850" i="3" a="1"/>
  <c r="E850" i="3" s="1"/>
  <c r="E849" i="3" a="1"/>
  <c r="E849" i="3" s="1"/>
  <c r="E848" i="3" a="1"/>
  <c r="E848" i="3" s="1"/>
  <c r="E847" i="3" a="1"/>
  <c r="E847" i="3" s="1"/>
  <c r="E846" i="3" a="1"/>
  <c r="E846" i="3" s="1"/>
  <c r="E845" i="3" a="1"/>
  <c r="E845" i="3" s="1"/>
  <c r="E844" i="3" a="1"/>
  <c r="E844" i="3" s="1"/>
  <c r="E843" i="3" a="1"/>
  <c r="E843" i="3" s="1"/>
  <c r="E842" i="3" a="1"/>
  <c r="E842" i="3" s="1"/>
  <c r="E841" i="3" a="1"/>
  <c r="E841" i="3" s="1"/>
  <c r="E840" i="3" a="1"/>
  <c r="E840" i="3" s="1"/>
  <c r="E839" i="3" a="1"/>
  <c r="E839" i="3" s="1"/>
  <c r="E838" i="3" a="1"/>
  <c r="E838" i="3" s="1"/>
  <c r="E837" i="3" a="1"/>
  <c r="E837" i="3" s="1"/>
  <c r="E836" i="3" a="1"/>
  <c r="E836" i="3" s="1"/>
  <c r="E835" i="3" a="1"/>
  <c r="E835" i="3" s="1"/>
  <c r="E834" i="3" a="1"/>
  <c r="E834" i="3" s="1"/>
  <c r="E833" i="3" a="1"/>
  <c r="E833" i="3" s="1"/>
  <c r="E832" i="3" a="1"/>
  <c r="E832" i="3" s="1"/>
  <c r="E831" i="3" a="1"/>
  <c r="E831" i="3" s="1"/>
  <c r="E830" i="3" a="1"/>
  <c r="E830" i="3" s="1"/>
  <c r="E829" i="3" a="1"/>
  <c r="E829" i="3" s="1"/>
  <c r="E828" i="3" a="1"/>
  <c r="E828" i="3" s="1"/>
  <c r="E827" i="3" a="1"/>
  <c r="E827" i="3" s="1"/>
  <c r="E826" i="3" a="1"/>
  <c r="E826" i="3" s="1"/>
  <c r="E825" i="3" a="1"/>
  <c r="E825" i="3" s="1"/>
  <c r="E824" i="3" a="1"/>
  <c r="E824" i="3" s="1"/>
  <c r="E823" i="3" a="1"/>
  <c r="E823" i="3" s="1"/>
  <c r="E822" i="3" a="1"/>
  <c r="E822" i="3" s="1"/>
  <c r="E821" i="3" a="1"/>
  <c r="E821" i="3" s="1"/>
  <c r="E820" i="3" a="1"/>
  <c r="E820" i="3" s="1"/>
  <c r="E819" i="3" a="1"/>
  <c r="E819" i="3" s="1"/>
  <c r="E818" i="3" a="1"/>
  <c r="E818" i="3" s="1"/>
  <c r="E817" i="3" a="1"/>
  <c r="E817" i="3" s="1"/>
  <c r="E816" i="3" a="1"/>
  <c r="E816" i="3" s="1"/>
  <c r="E815" i="3" a="1"/>
  <c r="E815" i="3" s="1"/>
  <c r="E814" i="3" a="1"/>
  <c r="E814" i="3" s="1"/>
  <c r="E813" i="3" a="1"/>
  <c r="E813" i="3" s="1"/>
  <c r="E812" i="3" a="1"/>
  <c r="E812" i="3" s="1"/>
  <c r="E811" i="3" a="1"/>
  <c r="E811" i="3" s="1"/>
  <c r="E810" i="3" a="1"/>
  <c r="E810" i="3" s="1"/>
  <c r="E809" i="3" a="1"/>
  <c r="E809" i="3" s="1"/>
  <c r="E808" i="3" a="1"/>
  <c r="E808" i="3" s="1"/>
  <c r="E807" i="3" a="1"/>
  <c r="E807" i="3" s="1"/>
  <c r="E806" i="3" a="1"/>
  <c r="E806" i="3" s="1"/>
  <c r="E805" i="3" a="1"/>
  <c r="E805" i="3" s="1"/>
  <c r="E804" i="3" a="1"/>
  <c r="E804" i="3" s="1"/>
  <c r="E803" i="3" a="1"/>
  <c r="E803" i="3" s="1"/>
  <c r="E802" i="3" a="1"/>
  <c r="E802" i="3" s="1"/>
  <c r="E801" i="3" a="1"/>
  <c r="E801" i="3" s="1"/>
  <c r="E800" i="3" a="1"/>
  <c r="E800" i="3" s="1"/>
  <c r="E799" i="3" a="1"/>
  <c r="E799" i="3" s="1"/>
  <c r="E798" i="3" a="1"/>
  <c r="E798" i="3" s="1"/>
  <c r="E797" i="3" a="1"/>
  <c r="E797" i="3" s="1"/>
  <c r="E796" i="3" a="1"/>
  <c r="E796" i="3" s="1"/>
  <c r="E795" i="3" a="1"/>
  <c r="E795" i="3" s="1"/>
  <c r="E794" i="3" a="1"/>
  <c r="E794" i="3" s="1"/>
  <c r="E793" i="3" a="1"/>
  <c r="E793" i="3" s="1"/>
  <c r="E792" i="3" a="1"/>
  <c r="E792" i="3" s="1"/>
  <c r="E791" i="3" a="1"/>
  <c r="E791" i="3" s="1"/>
  <c r="E790" i="3" a="1"/>
  <c r="E790" i="3" s="1"/>
  <c r="E789" i="3" a="1"/>
  <c r="E789" i="3" s="1"/>
  <c r="E788" i="3" a="1"/>
  <c r="E788" i="3" s="1"/>
  <c r="E787" i="3" a="1"/>
  <c r="E787" i="3" s="1"/>
  <c r="E786" i="3" a="1"/>
  <c r="E786" i="3" s="1"/>
  <c r="E785" i="3" a="1"/>
  <c r="E785" i="3" s="1"/>
  <c r="E784" i="3" a="1"/>
  <c r="E784" i="3" s="1"/>
  <c r="E783" i="3" a="1"/>
  <c r="E783" i="3" s="1"/>
  <c r="E782" i="3" a="1"/>
  <c r="E782" i="3" s="1"/>
  <c r="E781" i="3" a="1"/>
  <c r="E781" i="3" s="1"/>
  <c r="E780" i="3" a="1"/>
  <c r="E780" i="3" s="1"/>
  <c r="E779" i="3" a="1"/>
  <c r="E779" i="3" s="1"/>
  <c r="E778" i="3" a="1"/>
  <c r="E778" i="3" s="1"/>
  <c r="E777" i="3" a="1"/>
  <c r="E777" i="3" s="1"/>
  <c r="E776" i="3" a="1"/>
  <c r="E776" i="3" s="1"/>
  <c r="E775" i="3" a="1"/>
  <c r="E775" i="3" s="1"/>
  <c r="E774" i="3" a="1"/>
  <c r="E774" i="3" s="1"/>
  <c r="E773" i="3" a="1"/>
  <c r="E773" i="3" s="1"/>
  <c r="E772" i="3" a="1"/>
  <c r="E772" i="3" s="1"/>
  <c r="E771" i="3" a="1"/>
  <c r="E771" i="3" s="1"/>
  <c r="E770" i="3" a="1"/>
  <c r="E770" i="3" s="1"/>
  <c r="E769" i="3" a="1"/>
  <c r="E769" i="3" s="1"/>
  <c r="E768" i="3" a="1"/>
  <c r="E768" i="3" s="1"/>
  <c r="E767" i="3" a="1"/>
  <c r="E767" i="3" s="1"/>
  <c r="E766" i="3" a="1"/>
  <c r="E766" i="3" s="1"/>
  <c r="E765" i="3" a="1"/>
  <c r="E765" i="3" s="1"/>
  <c r="E764" i="3" a="1"/>
  <c r="E764" i="3" s="1"/>
  <c r="E763" i="3" a="1"/>
  <c r="E763" i="3" s="1"/>
  <c r="E762" i="3" a="1"/>
  <c r="E762" i="3" s="1"/>
  <c r="E761" i="3" a="1"/>
  <c r="E761" i="3" s="1"/>
  <c r="E760" i="3" a="1"/>
  <c r="E760" i="3" s="1"/>
  <c r="E759" i="3" a="1"/>
  <c r="E759" i="3" s="1"/>
  <c r="E758" i="3" a="1"/>
  <c r="E758" i="3" s="1"/>
  <c r="E757" i="3" a="1"/>
  <c r="E757" i="3" s="1"/>
  <c r="E756" i="3" a="1"/>
  <c r="E756" i="3" s="1"/>
  <c r="E755" i="3" a="1"/>
  <c r="E755" i="3" s="1"/>
  <c r="E754" i="3" a="1"/>
  <c r="E754" i="3" s="1"/>
  <c r="E753" i="3" a="1"/>
  <c r="E753" i="3" s="1"/>
  <c r="E752" i="3" a="1"/>
  <c r="E752" i="3" s="1"/>
  <c r="E751" i="3" a="1"/>
  <c r="E751" i="3" s="1"/>
  <c r="E750" i="3" a="1"/>
  <c r="E750" i="3" s="1"/>
  <c r="E749" i="3" a="1"/>
  <c r="E749" i="3" s="1"/>
  <c r="E748" i="3" a="1"/>
  <c r="E748" i="3" s="1"/>
  <c r="E747" i="3" a="1"/>
  <c r="E747" i="3" s="1"/>
  <c r="E746" i="3" a="1"/>
  <c r="E746" i="3" s="1"/>
  <c r="E745" i="3" a="1"/>
  <c r="E745" i="3" s="1"/>
  <c r="E744" i="3" a="1"/>
  <c r="E744" i="3" s="1"/>
  <c r="E743" i="3" a="1"/>
  <c r="E743" i="3" s="1"/>
  <c r="E742" i="3" a="1"/>
  <c r="E742" i="3" s="1"/>
  <c r="E741" i="3" a="1"/>
  <c r="E741" i="3" s="1"/>
  <c r="E740" i="3" a="1"/>
  <c r="E740" i="3" s="1"/>
  <c r="E739" i="3" a="1"/>
  <c r="E739" i="3" s="1"/>
  <c r="E738" i="3" a="1"/>
  <c r="E738" i="3" s="1"/>
  <c r="E737" i="3" a="1"/>
  <c r="E737" i="3" s="1"/>
  <c r="E736" i="3" a="1"/>
  <c r="E736" i="3" s="1"/>
  <c r="E735" i="3" a="1"/>
  <c r="E735" i="3" s="1"/>
  <c r="E734" i="3" a="1"/>
  <c r="E734" i="3" s="1"/>
  <c r="E733" i="3" a="1"/>
  <c r="E733" i="3" s="1"/>
  <c r="E732" i="3" a="1"/>
  <c r="E732" i="3" s="1"/>
  <c r="E731" i="3" a="1"/>
  <c r="E731" i="3" s="1"/>
  <c r="E730" i="3" a="1"/>
  <c r="E730" i="3" s="1"/>
  <c r="E729" i="3" a="1"/>
  <c r="E729" i="3" s="1"/>
  <c r="E728" i="3" a="1"/>
  <c r="E728" i="3" s="1"/>
  <c r="E727" i="3" a="1"/>
  <c r="E727" i="3" s="1"/>
  <c r="E726" i="3" a="1"/>
  <c r="E726" i="3" s="1"/>
  <c r="E725" i="3" a="1"/>
  <c r="E725" i="3" s="1"/>
  <c r="E724" i="3" a="1"/>
  <c r="E724" i="3" s="1"/>
  <c r="E723" i="3" a="1"/>
  <c r="E723" i="3" s="1"/>
  <c r="E722" i="3" a="1"/>
  <c r="E722" i="3" s="1"/>
  <c r="E721" i="3" a="1"/>
  <c r="E721" i="3" s="1"/>
  <c r="E720" i="3" a="1"/>
  <c r="E720" i="3" s="1"/>
  <c r="E719" i="3" a="1"/>
  <c r="E719" i="3" s="1"/>
  <c r="E718" i="3" a="1"/>
  <c r="E718" i="3" s="1"/>
  <c r="E717" i="3" a="1"/>
  <c r="E717" i="3" s="1"/>
  <c r="E716" i="3" a="1"/>
  <c r="E716" i="3" s="1"/>
  <c r="E715" i="3" a="1"/>
  <c r="E715" i="3" s="1"/>
  <c r="E714" i="3" a="1"/>
  <c r="E714" i="3" s="1"/>
  <c r="E713" i="3" a="1"/>
  <c r="E713" i="3" s="1"/>
  <c r="E712" i="3" a="1"/>
  <c r="E712" i="3" s="1"/>
  <c r="E711" i="3" a="1"/>
  <c r="E711" i="3" s="1"/>
  <c r="E710" i="3" a="1"/>
  <c r="E710" i="3" s="1"/>
  <c r="E709" i="3" a="1"/>
  <c r="E709" i="3" s="1"/>
  <c r="E708" i="3" a="1"/>
  <c r="E708" i="3" s="1"/>
  <c r="E707" i="3" a="1"/>
  <c r="E707" i="3" s="1"/>
  <c r="E706" i="3" a="1"/>
  <c r="E706" i="3" s="1"/>
  <c r="E705" i="3" a="1"/>
  <c r="E705" i="3" s="1"/>
  <c r="E704" i="3" a="1"/>
  <c r="E704" i="3" s="1"/>
  <c r="E703" i="3" a="1"/>
  <c r="E703" i="3" s="1"/>
  <c r="E702" i="3" a="1"/>
  <c r="E702" i="3" s="1"/>
  <c r="E701" i="3" a="1"/>
  <c r="E701" i="3" s="1"/>
  <c r="E700" i="3" a="1"/>
  <c r="E700" i="3" s="1"/>
  <c r="E699" i="3" a="1"/>
  <c r="E699" i="3" s="1"/>
  <c r="E698" i="3" a="1"/>
  <c r="E698" i="3" s="1"/>
  <c r="E697" i="3" a="1"/>
  <c r="E697" i="3" s="1"/>
  <c r="E696" i="3" a="1"/>
  <c r="E696" i="3" s="1"/>
  <c r="E695" i="3" a="1"/>
  <c r="E695" i="3" s="1"/>
  <c r="E694" i="3" a="1"/>
  <c r="E694" i="3" s="1"/>
  <c r="E693" i="3" a="1"/>
  <c r="E693" i="3" s="1"/>
  <c r="E692" i="3" a="1"/>
  <c r="E692" i="3" s="1"/>
  <c r="E691" i="3" a="1"/>
  <c r="E691" i="3" s="1"/>
  <c r="E690" i="3" a="1"/>
  <c r="E690" i="3" s="1"/>
  <c r="E689" i="3" a="1"/>
  <c r="E689" i="3" s="1"/>
  <c r="E688" i="3" a="1"/>
  <c r="E688" i="3" s="1"/>
  <c r="E687" i="3" a="1"/>
  <c r="E687" i="3" s="1"/>
  <c r="E686" i="3" a="1"/>
  <c r="E686" i="3" s="1"/>
  <c r="E685" i="3" a="1"/>
  <c r="E685" i="3" s="1"/>
  <c r="E684" i="3" a="1"/>
  <c r="E684" i="3" s="1"/>
  <c r="E683" i="3" a="1"/>
  <c r="E683" i="3" s="1"/>
  <c r="E682" i="3" a="1"/>
  <c r="E682" i="3" s="1"/>
  <c r="E681" i="3" a="1"/>
  <c r="E681" i="3" s="1"/>
  <c r="E680" i="3" a="1"/>
  <c r="E680" i="3" s="1"/>
  <c r="E679" i="3" a="1"/>
  <c r="E679" i="3" s="1"/>
  <c r="E678" i="3" a="1"/>
  <c r="E678" i="3" s="1"/>
  <c r="E677" i="3" a="1"/>
  <c r="E677" i="3" s="1"/>
  <c r="E676" i="3" a="1"/>
  <c r="E676" i="3" s="1"/>
  <c r="E675" i="3" a="1"/>
  <c r="E675" i="3" s="1"/>
  <c r="E674" i="3" a="1"/>
  <c r="E674" i="3" s="1"/>
  <c r="E673" i="3" a="1"/>
  <c r="E673" i="3" s="1"/>
  <c r="E672" i="3" a="1"/>
  <c r="E672" i="3" s="1"/>
  <c r="E671" i="3" a="1"/>
  <c r="E671" i="3" s="1"/>
  <c r="E670" i="3" a="1"/>
  <c r="E670" i="3" s="1"/>
  <c r="E669" i="3" a="1"/>
  <c r="E669" i="3" s="1"/>
  <c r="E668" i="3" a="1"/>
  <c r="E668" i="3" s="1"/>
  <c r="E667" i="3" a="1"/>
  <c r="E667" i="3" s="1"/>
  <c r="E666" i="3" a="1"/>
  <c r="E666" i="3" s="1"/>
  <c r="E665" i="3" a="1"/>
  <c r="E665" i="3" s="1"/>
  <c r="E664" i="3" a="1"/>
  <c r="E664" i="3" s="1"/>
  <c r="E663" i="3" a="1"/>
  <c r="E663" i="3" s="1"/>
  <c r="E662" i="3" a="1"/>
  <c r="E662" i="3" s="1"/>
  <c r="E661" i="3" a="1"/>
  <c r="E661" i="3" s="1"/>
  <c r="E660" i="3" a="1"/>
  <c r="E660" i="3" s="1"/>
  <c r="E659" i="3" a="1"/>
  <c r="E659" i="3" s="1"/>
  <c r="E658" i="3" a="1"/>
  <c r="E658" i="3" s="1"/>
  <c r="E657" i="3" a="1"/>
  <c r="E657" i="3" s="1"/>
  <c r="E656" i="3" a="1"/>
  <c r="E656" i="3" s="1"/>
  <c r="E655" i="3" a="1"/>
  <c r="E655" i="3" s="1"/>
  <c r="E654" i="3" a="1"/>
  <c r="E654" i="3" s="1"/>
  <c r="E653" i="3" a="1"/>
  <c r="E653" i="3" s="1"/>
  <c r="E652" i="3" a="1"/>
  <c r="E652" i="3" s="1"/>
  <c r="E651" i="3" a="1"/>
  <c r="E651" i="3" s="1"/>
  <c r="E650" i="3" a="1"/>
  <c r="E650" i="3" s="1"/>
  <c r="E649" i="3" a="1"/>
  <c r="E649" i="3" s="1"/>
  <c r="E648" i="3" a="1"/>
  <c r="E648" i="3" s="1"/>
  <c r="E647" i="3" a="1"/>
  <c r="E647" i="3" s="1"/>
  <c r="E646" i="3" a="1"/>
  <c r="E646" i="3" s="1"/>
  <c r="E645" i="3" a="1"/>
  <c r="E645" i="3" s="1"/>
  <c r="E644" i="3" a="1"/>
  <c r="E644" i="3" s="1"/>
  <c r="E643" i="3" a="1"/>
  <c r="E643" i="3" s="1"/>
  <c r="E642" i="3" a="1"/>
  <c r="E642" i="3" s="1"/>
  <c r="E641" i="3" a="1"/>
  <c r="E641" i="3" s="1"/>
  <c r="E640" i="3" a="1"/>
  <c r="E640" i="3" s="1"/>
  <c r="E639" i="3" a="1"/>
  <c r="E639" i="3" s="1"/>
  <c r="E638" i="3" a="1"/>
  <c r="E638" i="3" s="1"/>
  <c r="E637" i="3" a="1"/>
  <c r="E637" i="3" s="1"/>
  <c r="E636" i="3" a="1"/>
  <c r="E636" i="3" s="1"/>
  <c r="E635" i="3" a="1"/>
  <c r="E635" i="3" s="1"/>
  <c r="E634" i="3" a="1"/>
  <c r="E634" i="3" s="1"/>
  <c r="E633" i="3" a="1"/>
  <c r="E633" i="3" s="1"/>
  <c r="E632" i="3" a="1"/>
  <c r="E632" i="3" s="1"/>
  <c r="E631" i="3" a="1"/>
  <c r="E631" i="3" s="1"/>
  <c r="E630" i="3" a="1"/>
  <c r="E630" i="3" s="1"/>
  <c r="E629" i="3" a="1"/>
  <c r="E629" i="3" s="1"/>
  <c r="E628" i="3" a="1"/>
  <c r="E628" i="3" s="1"/>
  <c r="E627" i="3" a="1"/>
  <c r="E627" i="3" s="1"/>
  <c r="E626" i="3" a="1"/>
  <c r="E626" i="3" s="1"/>
  <c r="E625" i="3" a="1"/>
  <c r="E625" i="3" s="1"/>
  <c r="E624" i="3" a="1"/>
  <c r="E624" i="3" s="1"/>
  <c r="E623" i="3" a="1"/>
  <c r="E623" i="3" s="1"/>
  <c r="E622" i="3" a="1"/>
  <c r="E622" i="3" s="1"/>
  <c r="E621" i="3" a="1"/>
  <c r="E621" i="3" s="1"/>
  <c r="E620" i="3" a="1"/>
  <c r="E620" i="3" s="1"/>
  <c r="E619" i="3" a="1"/>
  <c r="E619" i="3" s="1"/>
  <c r="E618" i="3" a="1"/>
  <c r="E618" i="3" s="1"/>
  <c r="E617" i="3" a="1"/>
  <c r="E617" i="3" s="1"/>
  <c r="E616" i="3" a="1"/>
  <c r="E616" i="3" s="1"/>
  <c r="E615" i="3" a="1"/>
  <c r="E615" i="3" s="1"/>
  <c r="E614" i="3" a="1"/>
  <c r="E614" i="3" s="1"/>
  <c r="E613" i="3" a="1"/>
  <c r="E613" i="3" s="1"/>
  <c r="E612" i="3" a="1"/>
  <c r="E612" i="3" s="1"/>
  <c r="E611" i="3" a="1"/>
  <c r="E611" i="3" s="1"/>
  <c r="E610" i="3" a="1"/>
  <c r="E610" i="3" s="1"/>
  <c r="E609" i="3" a="1"/>
  <c r="E609" i="3" s="1"/>
  <c r="E608" i="3" a="1"/>
  <c r="E608" i="3" s="1"/>
  <c r="E607" i="3" a="1"/>
  <c r="E607" i="3" s="1"/>
  <c r="E606" i="3" a="1"/>
  <c r="E606" i="3" s="1"/>
  <c r="E605" i="3" a="1"/>
  <c r="E605" i="3" s="1"/>
  <c r="E604" i="3" a="1"/>
  <c r="E604" i="3" s="1"/>
  <c r="E603" i="3" a="1"/>
  <c r="E603" i="3" s="1"/>
  <c r="E602" i="3" a="1"/>
  <c r="E602" i="3" s="1"/>
  <c r="E601" i="3" a="1"/>
  <c r="E601" i="3" s="1"/>
  <c r="E600" i="3" a="1"/>
  <c r="E600" i="3" s="1"/>
  <c r="E599" i="3" a="1"/>
  <c r="E599" i="3" s="1"/>
  <c r="E598" i="3" a="1"/>
  <c r="E598" i="3" s="1"/>
  <c r="E597" i="3" a="1"/>
  <c r="E597" i="3" s="1"/>
  <c r="E596" i="3" a="1"/>
  <c r="E596" i="3" s="1"/>
  <c r="E595" i="3" a="1"/>
  <c r="E595" i="3" s="1"/>
  <c r="E594" i="3" a="1"/>
  <c r="E594" i="3" s="1"/>
  <c r="E593" i="3" a="1"/>
  <c r="E593" i="3" s="1"/>
  <c r="E592" i="3" a="1"/>
  <c r="E592" i="3" s="1"/>
  <c r="E591" i="3" a="1"/>
  <c r="E591" i="3" s="1"/>
  <c r="E590" i="3" a="1"/>
  <c r="E590" i="3" s="1"/>
  <c r="E589" i="3" a="1"/>
  <c r="E589" i="3" s="1"/>
  <c r="E588" i="3" a="1"/>
  <c r="E588" i="3" s="1"/>
  <c r="E587" i="3" a="1"/>
  <c r="E587" i="3" s="1"/>
  <c r="E586" i="3" a="1"/>
  <c r="E586" i="3" s="1"/>
  <c r="E585" i="3" a="1"/>
  <c r="E585" i="3" s="1"/>
  <c r="E584" i="3" a="1"/>
  <c r="E584" i="3" s="1"/>
  <c r="E583" i="3" a="1"/>
  <c r="E583" i="3" s="1"/>
  <c r="E582" i="3" a="1"/>
  <c r="E582" i="3" s="1"/>
  <c r="E581" i="3" a="1"/>
  <c r="E581" i="3" s="1"/>
  <c r="E580" i="3" a="1"/>
  <c r="E580" i="3" s="1"/>
  <c r="E579" i="3" a="1"/>
  <c r="E579" i="3" s="1"/>
  <c r="E578" i="3" a="1"/>
  <c r="E578" i="3" s="1"/>
  <c r="E577" i="3" a="1"/>
  <c r="E577" i="3" s="1"/>
  <c r="E576" i="3" a="1"/>
  <c r="E576" i="3" s="1"/>
  <c r="E575" i="3" a="1"/>
  <c r="E575" i="3" s="1"/>
  <c r="E574" i="3" a="1"/>
  <c r="E574" i="3" s="1"/>
  <c r="E573" i="3" a="1"/>
  <c r="E573" i="3" s="1"/>
  <c r="E572" i="3" a="1"/>
  <c r="E572" i="3" s="1"/>
  <c r="E571" i="3" a="1"/>
  <c r="E571" i="3" s="1"/>
  <c r="E570" i="3" a="1"/>
  <c r="E570" i="3" s="1"/>
  <c r="E569" i="3" a="1"/>
  <c r="E569" i="3" s="1"/>
  <c r="E568" i="3" a="1"/>
  <c r="E568" i="3" s="1"/>
  <c r="E567" i="3" a="1"/>
  <c r="E567" i="3" s="1"/>
  <c r="E566" i="3" a="1"/>
  <c r="E566" i="3" s="1"/>
  <c r="E565" i="3" a="1"/>
  <c r="E565" i="3" s="1"/>
  <c r="E564" i="3" a="1"/>
  <c r="E564" i="3" s="1"/>
  <c r="E563" i="3" a="1"/>
  <c r="E563" i="3" s="1"/>
  <c r="E562" i="3" a="1"/>
  <c r="E562" i="3" s="1"/>
  <c r="E561" i="3" a="1"/>
  <c r="E561" i="3" s="1"/>
  <c r="E560" i="3" a="1"/>
  <c r="E560" i="3" s="1"/>
  <c r="E559" i="3" a="1"/>
  <c r="E559" i="3" s="1"/>
  <c r="E558" i="3" a="1"/>
  <c r="E558" i="3" s="1"/>
  <c r="E557" i="3" a="1"/>
  <c r="E557" i="3" s="1"/>
  <c r="E556" i="3" a="1"/>
  <c r="E556" i="3" s="1"/>
  <c r="E555" i="3" a="1"/>
  <c r="E555" i="3" s="1"/>
  <c r="E554" i="3" a="1"/>
  <c r="E554" i="3" s="1"/>
  <c r="E553" i="3" a="1"/>
  <c r="E553" i="3" s="1"/>
  <c r="E552" i="3" a="1"/>
  <c r="E552" i="3" s="1"/>
  <c r="E551" i="3" a="1"/>
  <c r="E551" i="3" s="1"/>
  <c r="E550" i="3" a="1"/>
  <c r="E550" i="3" s="1"/>
  <c r="E549" i="3" a="1"/>
  <c r="E549" i="3" s="1"/>
  <c r="E548" i="3" a="1"/>
  <c r="E548" i="3" s="1"/>
  <c r="E547" i="3" a="1"/>
  <c r="E547" i="3" s="1"/>
  <c r="E546" i="3" a="1"/>
  <c r="E546" i="3" s="1"/>
  <c r="E545" i="3" a="1"/>
  <c r="E545" i="3" s="1"/>
  <c r="E544" i="3" a="1"/>
  <c r="E544" i="3" s="1"/>
  <c r="E543" i="3" a="1"/>
  <c r="E543" i="3" s="1"/>
  <c r="E542" i="3" a="1"/>
  <c r="E542" i="3" s="1"/>
  <c r="E541" i="3" a="1"/>
  <c r="E541" i="3" s="1"/>
  <c r="E540" i="3" a="1"/>
  <c r="E540" i="3" s="1"/>
  <c r="E539" i="3" a="1"/>
  <c r="E539" i="3" s="1"/>
  <c r="E538" i="3" a="1"/>
  <c r="E538" i="3" s="1"/>
  <c r="E537" i="3" a="1"/>
  <c r="E537" i="3" s="1"/>
  <c r="E536" i="3" a="1"/>
  <c r="E536" i="3" s="1"/>
  <c r="E535" i="3" a="1"/>
  <c r="E535" i="3" s="1"/>
  <c r="E534" i="3" a="1"/>
  <c r="E534" i="3" s="1"/>
  <c r="E533" i="3" a="1"/>
  <c r="E533" i="3" s="1"/>
  <c r="E532" i="3" a="1"/>
  <c r="E532" i="3" s="1"/>
  <c r="E531" i="3" a="1"/>
  <c r="E531" i="3" s="1"/>
  <c r="E530" i="3" a="1"/>
  <c r="E530" i="3" s="1"/>
  <c r="E529" i="3" a="1"/>
  <c r="E529" i="3" s="1"/>
  <c r="E528" i="3" a="1"/>
  <c r="E528" i="3" s="1"/>
  <c r="E527" i="3" a="1"/>
  <c r="E527" i="3" s="1"/>
  <c r="E526" i="3" a="1"/>
  <c r="E526" i="3" s="1"/>
  <c r="E525" i="3" a="1"/>
  <c r="E525" i="3" s="1"/>
  <c r="E524" i="3" a="1"/>
  <c r="E524" i="3" s="1"/>
  <c r="E523" i="3" a="1"/>
  <c r="E523" i="3" s="1"/>
  <c r="E522" i="3" a="1"/>
  <c r="E522" i="3" s="1"/>
  <c r="E521" i="3" a="1"/>
  <c r="E521" i="3" s="1"/>
  <c r="E520" i="3" a="1"/>
  <c r="E520" i="3" s="1"/>
  <c r="E519" i="3" a="1"/>
  <c r="E519" i="3" s="1"/>
  <c r="E518" i="3" a="1"/>
  <c r="E518" i="3" s="1"/>
  <c r="E517" i="3" a="1"/>
  <c r="E517" i="3" s="1"/>
  <c r="E516" i="3" a="1"/>
  <c r="E516" i="3" s="1"/>
  <c r="E515" i="3" a="1"/>
  <c r="E515" i="3" s="1"/>
  <c r="E514" i="3" a="1"/>
  <c r="E514" i="3" s="1"/>
  <c r="E513" i="3" a="1"/>
  <c r="E513" i="3" s="1"/>
  <c r="E512" i="3" a="1"/>
  <c r="E512" i="3" s="1"/>
  <c r="E511" i="3" a="1"/>
  <c r="E511" i="3" s="1"/>
  <c r="E510" i="3" a="1"/>
  <c r="E510" i="3" s="1"/>
  <c r="E509" i="3" a="1"/>
  <c r="E509" i="3" s="1"/>
  <c r="E508" i="3" a="1"/>
  <c r="E508" i="3" s="1"/>
  <c r="E507" i="3" a="1"/>
  <c r="E507" i="3" s="1"/>
  <c r="E506" i="3" a="1"/>
  <c r="E506" i="3" s="1"/>
  <c r="E505" i="3" a="1"/>
  <c r="E505" i="3" s="1"/>
  <c r="E504" i="3" a="1"/>
  <c r="E504" i="3" s="1"/>
  <c r="E503" i="3" a="1"/>
  <c r="E503" i="3" s="1"/>
  <c r="B1000" i="3" a="1"/>
  <c r="B1000" i="3" s="1"/>
  <c r="B999" i="3" a="1"/>
  <c r="B999" i="3" s="1"/>
  <c r="B998" i="3" a="1"/>
  <c r="B998" i="3" s="1"/>
  <c r="B997" i="3" a="1"/>
  <c r="B997" i="3" s="1"/>
  <c r="B996" i="3" a="1"/>
  <c r="B996" i="3" s="1"/>
  <c r="B995" i="3" a="1"/>
  <c r="B995" i="3" s="1"/>
  <c r="B994" i="3" a="1"/>
  <c r="B994" i="3" s="1"/>
  <c r="B993" i="3" a="1"/>
  <c r="B993" i="3" s="1"/>
  <c r="B992" i="3" a="1"/>
  <c r="B992" i="3" s="1"/>
  <c r="B991" i="3" a="1"/>
  <c r="B991" i="3" s="1"/>
  <c r="B990" i="3" a="1"/>
  <c r="B990" i="3" s="1"/>
  <c r="B989" i="3" a="1"/>
  <c r="B989" i="3" s="1"/>
  <c r="B988" i="3" a="1"/>
  <c r="B988" i="3" s="1"/>
  <c r="B987" i="3" a="1"/>
  <c r="B987" i="3" s="1"/>
  <c r="B986" i="3" a="1"/>
  <c r="B986" i="3" s="1"/>
  <c r="B985" i="3" a="1"/>
  <c r="B985" i="3" s="1"/>
  <c r="B984" i="3" a="1"/>
  <c r="B984" i="3" s="1"/>
  <c r="B983" i="3" a="1"/>
  <c r="B983" i="3" s="1"/>
  <c r="B982" i="3" a="1"/>
  <c r="B982" i="3" s="1"/>
  <c r="B981" i="3" a="1"/>
  <c r="B981" i="3" s="1"/>
  <c r="B980" i="3" a="1"/>
  <c r="B980" i="3" s="1"/>
  <c r="B979" i="3" a="1"/>
  <c r="B979" i="3" s="1"/>
  <c r="B978" i="3" a="1"/>
  <c r="B978" i="3" s="1"/>
  <c r="B977" i="3" a="1"/>
  <c r="B977" i="3" s="1"/>
  <c r="B976" i="3" a="1"/>
  <c r="B976" i="3" s="1"/>
  <c r="B975" i="3" a="1"/>
  <c r="B975" i="3" s="1"/>
  <c r="B974" i="3" a="1"/>
  <c r="B974" i="3" s="1"/>
  <c r="B973" i="3" a="1"/>
  <c r="B973" i="3" s="1"/>
  <c r="B972" i="3" a="1"/>
  <c r="B972" i="3" s="1"/>
  <c r="B971" i="3" a="1"/>
  <c r="B971" i="3" s="1"/>
  <c r="B970" i="3" a="1"/>
  <c r="B970" i="3" s="1"/>
  <c r="B969" i="3" a="1"/>
  <c r="B969" i="3" s="1"/>
  <c r="B968" i="3" a="1"/>
  <c r="B968" i="3" s="1"/>
  <c r="B967" i="3" a="1"/>
  <c r="B967" i="3" s="1"/>
  <c r="B966" i="3" a="1"/>
  <c r="B966" i="3" s="1"/>
  <c r="B965" i="3" a="1"/>
  <c r="B965" i="3" s="1"/>
  <c r="B964" i="3" a="1"/>
  <c r="B964" i="3" s="1"/>
  <c r="B963" i="3" a="1"/>
  <c r="B963" i="3" s="1"/>
  <c r="B962" i="3" a="1"/>
  <c r="B962" i="3" s="1"/>
  <c r="B961" i="3" a="1"/>
  <c r="B961" i="3" s="1"/>
  <c r="B960" i="3" a="1"/>
  <c r="B960" i="3" s="1"/>
  <c r="B959" i="3" a="1"/>
  <c r="B959" i="3" s="1"/>
  <c r="B958" i="3" a="1"/>
  <c r="B958" i="3" s="1"/>
  <c r="B957" i="3" a="1"/>
  <c r="B957" i="3" s="1"/>
  <c r="B956" i="3" a="1"/>
  <c r="B956" i="3" s="1"/>
  <c r="B955" i="3" a="1"/>
  <c r="B955" i="3" s="1"/>
  <c r="B954" i="3" a="1"/>
  <c r="B954" i="3" s="1"/>
  <c r="B953" i="3" a="1"/>
  <c r="B953" i="3" s="1"/>
  <c r="B952" i="3" a="1"/>
  <c r="B952" i="3" s="1"/>
  <c r="B951" i="3" a="1"/>
  <c r="B951" i="3" s="1"/>
  <c r="B950" i="3" a="1"/>
  <c r="B950" i="3" s="1"/>
  <c r="B949" i="3" a="1"/>
  <c r="B949" i="3" s="1"/>
  <c r="B948" i="3" a="1"/>
  <c r="B948" i="3" s="1"/>
  <c r="B947" i="3" a="1"/>
  <c r="B947" i="3" s="1"/>
  <c r="B946" i="3" a="1"/>
  <c r="B946" i="3" s="1"/>
  <c r="B945" i="3" a="1"/>
  <c r="B945" i="3" s="1"/>
  <c r="B944" i="3" a="1"/>
  <c r="B944" i="3" s="1"/>
  <c r="B943" i="3" a="1"/>
  <c r="B943" i="3" s="1"/>
  <c r="B942" i="3" a="1"/>
  <c r="B942" i="3" s="1"/>
  <c r="B941" i="3" a="1"/>
  <c r="B941" i="3" s="1"/>
  <c r="B940" i="3" a="1"/>
  <c r="B940" i="3" s="1"/>
  <c r="B939" i="3" a="1"/>
  <c r="B939" i="3" s="1"/>
  <c r="B938" i="3" a="1"/>
  <c r="B938" i="3" s="1"/>
  <c r="B937" i="3" a="1"/>
  <c r="B937" i="3" s="1"/>
  <c r="B936" i="3" a="1"/>
  <c r="B936" i="3" s="1"/>
  <c r="B935" i="3" a="1"/>
  <c r="B935" i="3" s="1"/>
  <c r="B934" i="3" a="1"/>
  <c r="B934" i="3" s="1"/>
  <c r="B933" i="3" a="1"/>
  <c r="B933" i="3" s="1"/>
  <c r="B932" i="3" a="1"/>
  <c r="B932" i="3" s="1"/>
  <c r="B931" i="3" a="1"/>
  <c r="B931" i="3" s="1"/>
  <c r="B930" i="3" a="1"/>
  <c r="B930" i="3" s="1"/>
  <c r="B929" i="3" a="1"/>
  <c r="B929" i="3" s="1"/>
  <c r="B928" i="3" a="1"/>
  <c r="B928" i="3" s="1"/>
  <c r="B927" i="3" a="1"/>
  <c r="B927" i="3" s="1"/>
  <c r="B926" i="3" a="1"/>
  <c r="B926" i="3" s="1"/>
  <c r="B925" i="3" a="1"/>
  <c r="B925" i="3" s="1"/>
  <c r="B924" i="3" a="1"/>
  <c r="B924" i="3" s="1"/>
  <c r="B923" i="3" a="1"/>
  <c r="B923" i="3" s="1"/>
  <c r="B922" i="3" a="1"/>
  <c r="B922" i="3" s="1"/>
  <c r="B921" i="3" a="1"/>
  <c r="B921" i="3" s="1"/>
  <c r="B920" i="3" a="1"/>
  <c r="B920" i="3" s="1"/>
  <c r="B919" i="3" a="1"/>
  <c r="B919" i="3" s="1"/>
  <c r="B918" i="3" a="1"/>
  <c r="B918" i="3" s="1"/>
  <c r="B917" i="3" a="1"/>
  <c r="B917" i="3" s="1"/>
  <c r="B916" i="3" a="1"/>
  <c r="B916" i="3" s="1"/>
  <c r="B915" i="3" a="1"/>
  <c r="B915" i="3" s="1"/>
  <c r="B914" i="3" a="1"/>
  <c r="B914" i="3" s="1"/>
  <c r="B913" i="3" a="1"/>
  <c r="B913" i="3" s="1"/>
  <c r="B912" i="3" a="1"/>
  <c r="B912" i="3" s="1"/>
  <c r="B911" i="3" a="1"/>
  <c r="B911" i="3" s="1"/>
  <c r="B910" i="3" a="1"/>
  <c r="B910" i="3" s="1"/>
  <c r="B909" i="3" a="1"/>
  <c r="B909" i="3" s="1"/>
  <c r="B908" i="3" a="1"/>
  <c r="B908" i="3" s="1"/>
  <c r="B907" i="3" a="1"/>
  <c r="B907" i="3" s="1"/>
  <c r="B906" i="3" a="1"/>
  <c r="B906" i="3" s="1"/>
  <c r="B905" i="3" a="1"/>
  <c r="B905" i="3" s="1"/>
  <c r="B904" i="3" a="1"/>
  <c r="B904" i="3" s="1"/>
  <c r="B903" i="3" a="1"/>
  <c r="B903" i="3" s="1"/>
  <c r="B902" i="3" a="1"/>
  <c r="B902" i="3" s="1"/>
  <c r="B901" i="3" a="1"/>
  <c r="B901" i="3" s="1"/>
  <c r="B900" i="3" a="1"/>
  <c r="B900" i="3" s="1"/>
  <c r="B899" i="3" a="1"/>
  <c r="B899" i="3" s="1"/>
  <c r="B898" i="3" a="1"/>
  <c r="B898" i="3" s="1"/>
  <c r="B897" i="3" a="1"/>
  <c r="B897" i="3" s="1"/>
  <c r="B896" i="3" a="1"/>
  <c r="B896" i="3" s="1"/>
  <c r="B895" i="3" a="1"/>
  <c r="B895" i="3" s="1"/>
  <c r="B894" i="3" a="1"/>
  <c r="B894" i="3" s="1"/>
  <c r="B893" i="3" a="1"/>
  <c r="B893" i="3" s="1"/>
  <c r="B892" i="3" a="1"/>
  <c r="B892" i="3" s="1"/>
  <c r="B891" i="3" a="1"/>
  <c r="B891" i="3" s="1"/>
  <c r="B890" i="3" a="1"/>
  <c r="B890" i="3" s="1"/>
  <c r="B889" i="3" a="1"/>
  <c r="B889" i="3" s="1"/>
  <c r="B888" i="3" a="1"/>
  <c r="B888" i="3" s="1"/>
  <c r="B887" i="3" a="1"/>
  <c r="B887" i="3" s="1"/>
  <c r="B886" i="3" a="1"/>
  <c r="B886" i="3" s="1"/>
  <c r="B885" i="3" a="1"/>
  <c r="B885" i="3" s="1"/>
  <c r="B884" i="3" a="1"/>
  <c r="B884" i="3" s="1"/>
  <c r="B883" i="3" a="1"/>
  <c r="B883" i="3" s="1"/>
  <c r="B882" i="3" a="1"/>
  <c r="B882" i="3" s="1"/>
  <c r="B881" i="3" a="1"/>
  <c r="B881" i="3" s="1"/>
  <c r="B880" i="3" a="1"/>
  <c r="B880" i="3" s="1"/>
  <c r="B879" i="3" a="1"/>
  <c r="B879" i="3" s="1"/>
  <c r="B878" i="3" a="1"/>
  <c r="B878" i="3" s="1"/>
  <c r="B877" i="3" a="1"/>
  <c r="B877" i="3" s="1"/>
  <c r="B876" i="3" a="1"/>
  <c r="B876" i="3" s="1"/>
  <c r="B875" i="3" a="1"/>
  <c r="B875" i="3" s="1"/>
  <c r="B874" i="3" a="1"/>
  <c r="B874" i="3" s="1"/>
  <c r="B873" i="3" a="1"/>
  <c r="B873" i="3" s="1"/>
  <c r="B872" i="3" a="1"/>
  <c r="B872" i="3" s="1"/>
  <c r="B871" i="3" a="1"/>
  <c r="B871" i="3" s="1"/>
  <c r="B870" i="3" a="1"/>
  <c r="B870" i="3" s="1"/>
  <c r="B869" i="3" a="1"/>
  <c r="B869" i="3" s="1"/>
  <c r="B868" i="3" a="1"/>
  <c r="B868" i="3" s="1"/>
  <c r="B867" i="3" a="1"/>
  <c r="B867" i="3" s="1"/>
  <c r="B866" i="3" a="1"/>
  <c r="B866" i="3" s="1"/>
  <c r="B865" i="3" a="1"/>
  <c r="B865" i="3" s="1"/>
  <c r="B864" i="3" a="1"/>
  <c r="B864" i="3" s="1"/>
  <c r="B863" i="3" a="1"/>
  <c r="B863" i="3" s="1"/>
  <c r="B862" i="3" a="1"/>
  <c r="B862" i="3" s="1"/>
  <c r="B861" i="3" a="1"/>
  <c r="B861" i="3" s="1"/>
  <c r="B860" i="3" a="1"/>
  <c r="B860" i="3" s="1"/>
  <c r="B859" i="3" a="1"/>
  <c r="B859" i="3" s="1"/>
  <c r="B858" i="3" a="1"/>
  <c r="B858" i="3" s="1"/>
  <c r="B857" i="3" a="1"/>
  <c r="B857" i="3" s="1"/>
  <c r="B856" i="3" a="1"/>
  <c r="B856" i="3" s="1"/>
  <c r="B855" i="3" a="1"/>
  <c r="B855" i="3" s="1"/>
  <c r="B854" i="3" a="1"/>
  <c r="B854" i="3" s="1"/>
  <c r="B853" i="3" a="1"/>
  <c r="B853" i="3" s="1"/>
  <c r="B852" i="3" a="1"/>
  <c r="B852" i="3" s="1"/>
  <c r="B851" i="3" a="1"/>
  <c r="B851" i="3" s="1"/>
  <c r="B850" i="3" a="1"/>
  <c r="B850" i="3" s="1"/>
  <c r="B849" i="3" a="1"/>
  <c r="B849" i="3" s="1"/>
  <c r="B848" i="3" a="1"/>
  <c r="B848" i="3" s="1"/>
  <c r="B847" i="3" a="1"/>
  <c r="B847" i="3" s="1"/>
  <c r="B846" i="3" a="1"/>
  <c r="B846" i="3" s="1"/>
  <c r="B845" i="3" a="1"/>
  <c r="B845" i="3" s="1"/>
  <c r="B844" i="3" a="1"/>
  <c r="B844" i="3" s="1"/>
  <c r="B843" i="3" a="1"/>
  <c r="B843" i="3" s="1"/>
  <c r="B842" i="3" a="1"/>
  <c r="B842" i="3" s="1"/>
  <c r="B841" i="3" a="1"/>
  <c r="B841" i="3" s="1"/>
  <c r="B840" i="3" a="1"/>
  <c r="B840" i="3" s="1"/>
  <c r="B839" i="3" a="1"/>
  <c r="B839" i="3" s="1"/>
  <c r="B838" i="3" a="1"/>
  <c r="B838" i="3" s="1"/>
  <c r="B837" i="3" a="1"/>
  <c r="B837" i="3" s="1"/>
  <c r="B836" i="3" a="1"/>
  <c r="B836" i="3" s="1"/>
  <c r="B835" i="3" a="1"/>
  <c r="B835" i="3" s="1"/>
  <c r="B834" i="3" a="1"/>
  <c r="B834" i="3" s="1"/>
  <c r="B833" i="3" a="1"/>
  <c r="B833" i="3" s="1"/>
  <c r="B832" i="3" a="1"/>
  <c r="B832" i="3" s="1"/>
  <c r="B831" i="3" a="1"/>
  <c r="B831" i="3" s="1"/>
  <c r="B830" i="3" a="1"/>
  <c r="B830" i="3" s="1"/>
  <c r="B829" i="3" a="1"/>
  <c r="B829" i="3" s="1"/>
  <c r="B828" i="3" a="1"/>
  <c r="B828" i="3" s="1"/>
  <c r="B827" i="3" a="1"/>
  <c r="B827" i="3" s="1"/>
  <c r="B826" i="3" a="1"/>
  <c r="B826" i="3" s="1"/>
  <c r="B825" i="3" a="1"/>
  <c r="B825" i="3" s="1"/>
  <c r="B824" i="3" a="1"/>
  <c r="B824" i="3" s="1"/>
  <c r="B823" i="3" a="1"/>
  <c r="B823" i="3" s="1"/>
  <c r="B822" i="3" a="1"/>
  <c r="B822" i="3" s="1"/>
  <c r="B821" i="3" a="1"/>
  <c r="B821" i="3" s="1"/>
  <c r="B820" i="3" a="1"/>
  <c r="B820" i="3" s="1"/>
  <c r="B819" i="3" a="1"/>
  <c r="B819" i="3" s="1"/>
  <c r="B818" i="3" a="1"/>
  <c r="B818" i="3" s="1"/>
  <c r="B817" i="3" a="1"/>
  <c r="B817" i="3" s="1"/>
  <c r="B816" i="3" a="1"/>
  <c r="B816" i="3" s="1"/>
  <c r="B815" i="3" a="1"/>
  <c r="B815" i="3" s="1"/>
  <c r="B814" i="3" a="1"/>
  <c r="B814" i="3" s="1"/>
  <c r="B813" i="3" a="1"/>
  <c r="B813" i="3" s="1"/>
  <c r="B812" i="3" a="1"/>
  <c r="B812" i="3" s="1"/>
  <c r="B811" i="3" a="1"/>
  <c r="B811" i="3" s="1"/>
  <c r="B810" i="3" a="1"/>
  <c r="B810" i="3" s="1"/>
  <c r="B809" i="3" a="1"/>
  <c r="B809" i="3" s="1"/>
  <c r="B808" i="3" a="1"/>
  <c r="B808" i="3" s="1"/>
  <c r="B807" i="3" a="1"/>
  <c r="B807" i="3" s="1"/>
  <c r="B806" i="3" a="1"/>
  <c r="B806" i="3" s="1"/>
  <c r="B805" i="3" a="1"/>
  <c r="B805" i="3" s="1"/>
  <c r="B804" i="3" a="1"/>
  <c r="B804" i="3" s="1"/>
  <c r="B803" i="3" a="1"/>
  <c r="B803" i="3" s="1"/>
  <c r="B802" i="3" a="1"/>
  <c r="B802" i="3" s="1"/>
  <c r="B801" i="3" a="1"/>
  <c r="B801" i="3" s="1"/>
  <c r="B800" i="3" a="1"/>
  <c r="B800" i="3" s="1"/>
  <c r="B799" i="3" a="1"/>
  <c r="B799" i="3" s="1"/>
  <c r="B798" i="3" a="1"/>
  <c r="B798" i="3" s="1"/>
  <c r="B797" i="3" a="1"/>
  <c r="B797" i="3" s="1"/>
  <c r="B796" i="3" a="1"/>
  <c r="B796" i="3" s="1"/>
  <c r="B795" i="3" a="1"/>
  <c r="B795" i="3" s="1"/>
  <c r="B794" i="3" a="1"/>
  <c r="B794" i="3" s="1"/>
  <c r="B793" i="3" a="1"/>
  <c r="B793" i="3" s="1"/>
  <c r="B792" i="3" a="1"/>
  <c r="B792" i="3" s="1"/>
  <c r="B791" i="3" a="1"/>
  <c r="B791" i="3" s="1"/>
  <c r="B790" i="3" a="1"/>
  <c r="B790" i="3" s="1"/>
  <c r="B789" i="3" a="1"/>
  <c r="B789" i="3" s="1"/>
  <c r="B788" i="3" a="1"/>
  <c r="B788" i="3" s="1"/>
  <c r="B787" i="3" a="1"/>
  <c r="B787" i="3" s="1"/>
  <c r="B786" i="3" a="1"/>
  <c r="B786" i="3" s="1"/>
  <c r="B785" i="3" a="1"/>
  <c r="B785" i="3" s="1"/>
  <c r="B784" i="3" a="1"/>
  <c r="B784" i="3" s="1"/>
  <c r="B783" i="3" a="1"/>
  <c r="B783" i="3" s="1"/>
  <c r="B782" i="3" a="1"/>
  <c r="B782" i="3" s="1"/>
  <c r="B781" i="3" a="1"/>
  <c r="B781" i="3" s="1"/>
  <c r="B780" i="3" a="1"/>
  <c r="B780" i="3" s="1"/>
  <c r="B779" i="3" a="1"/>
  <c r="B779" i="3" s="1"/>
  <c r="B778" i="3" a="1"/>
  <c r="B778" i="3" s="1"/>
  <c r="B777" i="3" a="1"/>
  <c r="B777" i="3" s="1"/>
  <c r="B776" i="3" a="1"/>
  <c r="B776" i="3" s="1"/>
  <c r="B775" i="3" a="1"/>
  <c r="B775" i="3" s="1"/>
  <c r="B774" i="3" a="1"/>
  <c r="B774" i="3" s="1"/>
  <c r="B773" i="3" a="1"/>
  <c r="B773" i="3" s="1"/>
  <c r="B772" i="3" a="1"/>
  <c r="B772" i="3" s="1"/>
  <c r="B771" i="3" a="1"/>
  <c r="B771" i="3" s="1"/>
  <c r="B770" i="3" a="1"/>
  <c r="B770" i="3" s="1"/>
  <c r="B769" i="3" a="1"/>
  <c r="B769" i="3" s="1"/>
  <c r="B768" i="3" a="1"/>
  <c r="B768" i="3" s="1"/>
  <c r="B767" i="3" a="1"/>
  <c r="B767" i="3" s="1"/>
  <c r="B766" i="3" a="1"/>
  <c r="B766" i="3" s="1"/>
  <c r="B765" i="3" a="1"/>
  <c r="B765" i="3" s="1"/>
  <c r="B764" i="3" a="1"/>
  <c r="B764" i="3" s="1"/>
  <c r="B763" i="3" a="1"/>
  <c r="B763" i="3" s="1"/>
  <c r="B762" i="3" a="1"/>
  <c r="B762" i="3" s="1"/>
  <c r="B761" i="3" a="1"/>
  <c r="B761" i="3" s="1"/>
  <c r="B760" i="3" a="1"/>
  <c r="B760" i="3" s="1"/>
  <c r="B759" i="3" a="1"/>
  <c r="B759" i="3" s="1"/>
  <c r="B758" i="3" a="1"/>
  <c r="B758" i="3" s="1"/>
  <c r="B757" i="3" a="1"/>
  <c r="B757" i="3" s="1"/>
  <c r="B756" i="3" a="1"/>
  <c r="B756" i="3" s="1"/>
  <c r="B755" i="3" a="1"/>
  <c r="B755" i="3" s="1"/>
  <c r="B754" i="3" a="1"/>
  <c r="B754" i="3" s="1"/>
  <c r="B753" i="3" a="1"/>
  <c r="B753" i="3" s="1"/>
  <c r="B752" i="3" a="1"/>
  <c r="B752" i="3" s="1"/>
  <c r="B751" i="3" a="1"/>
  <c r="B751" i="3" s="1"/>
  <c r="B750" i="3" a="1"/>
  <c r="B750" i="3" s="1"/>
  <c r="B749" i="3" a="1"/>
  <c r="B749" i="3" s="1"/>
  <c r="B748" i="3" a="1"/>
  <c r="B748" i="3" s="1"/>
  <c r="B747" i="3" a="1"/>
  <c r="B747" i="3" s="1"/>
  <c r="B746" i="3" a="1"/>
  <c r="B746" i="3" s="1"/>
  <c r="B745" i="3" a="1"/>
  <c r="B745" i="3" s="1"/>
  <c r="B744" i="3" a="1"/>
  <c r="B744" i="3" s="1"/>
  <c r="B743" i="3" a="1"/>
  <c r="B743" i="3" s="1"/>
  <c r="B742" i="3" a="1"/>
  <c r="B742" i="3" s="1"/>
  <c r="B741" i="3" a="1"/>
  <c r="B741" i="3" s="1"/>
  <c r="B740" i="3" a="1"/>
  <c r="B740" i="3" s="1"/>
  <c r="B739" i="3" a="1"/>
  <c r="B739" i="3" s="1"/>
  <c r="B738" i="3" a="1"/>
  <c r="B738" i="3" s="1"/>
  <c r="B737" i="3" a="1"/>
  <c r="B737" i="3" s="1"/>
  <c r="B736" i="3" a="1"/>
  <c r="B736" i="3" s="1"/>
  <c r="B735" i="3" a="1"/>
  <c r="B735" i="3" s="1"/>
  <c r="B734" i="3" a="1"/>
  <c r="B734" i="3" s="1"/>
  <c r="B733" i="3" a="1"/>
  <c r="B733" i="3" s="1"/>
  <c r="B732" i="3" a="1"/>
  <c r="B732" i="3" s="1"/>
  <c r="B731" i="3" a="1"/>
  <c r="B731" i="3" s="1"/>
  <c r="B730" i="3" a="1"/>
  <c r="B730" i="3" s="1"/>
  <c r="B729" i="3" a="1"/>
  <c r="B729" i="3" s="1"/>
  <c r="B728" i="3" a="1"/>
  <c r="B728" i="3" s="1"/>
  <c r="B727" i="3" a="1"/>
  <c r="B727" i="3" s="1"/>
  <c r="B726" i="3" a="1"/>
  <c r="B726" i="3" s="1"/>
  <c r="B725" i="3" a="1"/>
  <c r="B725" i="3" s="1"/>
  <c r="B724" i="3" a="1"/>
  <c r="B724" i="3" s="1"/>
  <c r="B723" i="3" a="1"/>
  <c r="B723" i="3" s="1"/>
  <c r="B722" i="3" a="1"/>
  <c r="B722" i="3" s="1"/>
  <c r="B721" i="3" a="1"/>
  <c r="B721" i="3" s="1"/>
  <c r="B720" i="3" a="1"/>
  <c r="B720" i="3" s="1"/>
  <c r="B719" i="3" a="1"/>
  <c r="B719" i="3" s="1"/>
  <c r="B718" i="3" a="1"/>
  <c r="B718" i="3" s="1"/>
  <c r="B717" i="3" a="1"/>
  <c r="B717" i="3" s="1"/>
  <c r="B716" i="3" a="1"/>
  <c r="B716" i="3" s="1"/>
  <c r="B715" i="3" a="1"/>
  <c r="B715" i="3" s="1"/>
  <c r="B714" i="3" a="1"/>
  <c r="B714" i="3" s="1"/>
  <c r="B713" i="3" a="1"/>
  <c r="B713" i="3" s="1"/>
  <c r="B712" i="3" a="1"/>
  <c r="B712" i="3" s="1"/>
  <c r="B711" i="3" a="1"/>
  <c r="B711" i="3" s="1"/>
  <c r="B710" i="3" a="1"/>
  <c r="B710" i="3" s="1"/>
  <c r="B709" i="3" a="1"/>
  <c r="B709" i="3" s="1"/>
  <c r="B708" i="3" a="1"/>
  <c r="B708" i="3" s="1"/>
  <c r="B707" i="3" a="1"/>
  <c r="B707" i="3" s="1"/>
  <c r="B706" i="3" a="1"/>
  <c r="B706" i="3" s="1"/>
  <c r="B705" i="3" a="1"/>
  <c r="B705" i="3" s="1"/>
  <c r="B704" i="3" a="1"/>
  <c r="B704" i="3" s="1"/>
  <c r="B703" i="3" a="1"/>
  <c r="B703" i="3" s="1"/>
  <c r="B702" i="3" a="1"/>
  <c r="B702" i="3" s="1"/>
  <c r="B701" i="3" a="1"/>
  <c r="B701" i="3" s="1"/>
  <c r="B700" i="3" a="1"/>
  <c r="B700" i="3" s="1"/>
  <c r="B699" i="3" a="1"/>
  <c r="B699" i="3" s="1"/>
  <c r="B698" i="3" a="1"/>
  <c r="B698" i="3" s="1"/>
  <c r="B697" i="3" a="1"/>
  <c r="B697" i="3" s="1"/>
  <c r="B696" i="3" a="1"/>
  <c r="B696" i="3" s="1"/>
  <c r="B695" i="3" a="1"/>
  <c r="B695" i="3" s="1"/>
  <c r="B694" i="3" a="1"/>
  <c r="B694" i="3" s="1"/>
  <c r="B693" i="3" a="1"/>
  <c r="B693" i="3" s="1"/>
  <c r="B692" i="3" a="1"/>
  <c r="B692" i="3" s="1"/>
  <c r="B691" i="3" a="1"/>
  <c r="B691" i="3" s="1"/>
  <c r="B690" i="3" a="1"/>
  <c r="B690" i="3" s="1"/>
  <c r="B689" i="3" a="1"/>
  <c r="B689" i="3" s="1"/>
  <c r="B688" i="3" a="1"/>
  <c r="B688" i="3" s="1"/>
  <c r="B687" i="3" a="1"/>
  <c r="B687" i="3" s="1"/>
  <c r="B686" i="3" a="1"/>
  <c r="B686" i="3" s="1"/>
  <c r="B685" i="3" a="1"/>
  <c r="B685" i="3" s="1"/>
  <c r="B684" i="3" a="1"/>
  <c r="B684" i="3" s="1"/>
  <c r="B683" i="3" a="1"/>
  <c r="B683" i="3" s="1"/>
  <c r="B682" i="3" a="1"/>
  <c r="B682" i="3" s="1"/>
  <c r="B681" i="3" a="1"/>
  <c r="B681" i="3" s="1"/>
  <c r="B680" i="3" a="1"/>
  <c r="B680" i="3" s="1"/>
  <c r="B679" i="3" a="1"/>
  <c r="B679" i="3" s="1"/>
  <c r="B678" i="3" a="1"/>
  <c r="B678" i="3" s="1"/>
  <c r="B677" i="3" a="1"/>
  <c r="B677" i="3" s="1"/>
  <c r="B676" i="3" a="1"/>
  <c r="B676" i="3" s="1"/>
  <c r="B675" i="3" a="1"/>
  <c r="B675" i="3" s="1"/>
  <c r="B674" i="3" a="1"/>
  <c r="B674" i="3" s="1"/>
  <c r="B673" i="3" a="1"/>
  <c r="B673" i="3" s="1"/>
  <c r="B672" i="3" a="1"/>
  <c r="B672" i="3" s="1"/>
  <c r="B671" i="3" a="1"/>
  <c r="B671" i="3" s="1"/>
  <c r="B670" i="3" a="1"/>
  <c r="B670" i="3" s="1"/>
  <c r="B669" i="3" a="1"/>
  <c r="B669" i="3" s="1"/>
  <c r="B668" i="3" a="1"/>
  <c r="B668" i="3" s="1"/>
  <c r="B667" i="3" a="1"/>
  <c r="B667" i="3" s="1"/>
  <c r="B666" i="3" a="1"/>
  <c r="B666" i="3" s="1"/>
  <c r="B665" i="3" a="1"/>
  <c r="B665" i="3" s="1"/>
  <c r="B664" i="3" a="1"/>
  <c r="B664" i="3" s="1"/>
  <c r="B663" i="3" a="1"/>
  <c r="B663" i="3" s="1"/>
  <c r="B662" i="3" a="1"/>
  <c r="B662" i="3" s="1"/>
  <c r="B661" i="3" a="1"/>
  <c r="B661" i="3" s="1"/>
  <c r="B660" i="3" a="1"/>
  <c r="B660" i="3" s="1"/>
  <c r="B659" i="3" a="1"/>
  <c r="B659" i="3" s="1"/>
  <c r="B658" i="3" a="1"/>
  <c r="B658" i="3" s="1"/>
  <c r="B657" i="3" a="1"/>
  <c r="B657" i="3" s="1"/>
  <c r="B656" i="3" a="1"/>
  <c r="B656" i="3" s="1"/>
  <c r="B655" i="3" a="1"/>
  <c r="B655" i="3" s="1"/>
  <c r="B654" i="3" a="1"/>
  <c r="B654" i="3" s="1"/>
  <c r="B653" i="3" a="1"/>
  <c r="B653" i="3" s="1"/>
  <c r="B652" i="3" a="1"/>
  <c r="B652" i="3" s="1"/>
  <c r="B651" i="3" a="1"/>
  <c r="B651" i="3" s="1"/>
  <c r="B650" i="3" a="1"/>
  <c r="B650" i="3" s="1"/>
  <c r="B649" i="3" a="1"/>
  <c r="B649" i="3" s="1"/>
  <c r="B648" i="3" a="1"/>
  <c r="B648" i="3" s="1"/>
  <c r="B647" i="3" a="1"/>
  <c r="B647" i="3" s="1"/>
  <c r="B646" i="3" a="1"/>
  <c r="B646" i="3" s="1"/>
  <c r="B645" i="3" a="1"/>
  <c r="B645" i="3" s="1"/>
  <c r="B644" i="3" a="1"/>
  <c r="B644" i="3" s="1"/>
  <c r="B643" i="3" a="1"/>
  <c r="B643" i="3" s="1"/>
  <c r="B642" i="3" a="1"/>
  <c r="B642" i="3" s="1"/>
  <c r="B641" i="3" a="1"/>
  <c r="B641" i="3" s="1"/>
  <c r="B640" i="3" a="1"/>
  <c r="B640" i="3" s="1"/>
  <c r="B639" i="3" a="1"/>
  <c r="B639" i="3" s="1"/>
  <c r="B638" i="3" a="1"/>
  <c r="B638" i="3" s="1"/>
  <c r="B637" i="3" a="1"/>
  <c r="B637" i="3" s="1"/>
  <c r="B636" i="3" a="1"/>
  <c r="B636" i="3" s="1"/>
  <c r="B635" i="3" a="1"/>
  <c r="B635" i="3" s="1"/>
  <c r="B634" i="3" a="1"/>
  <c r="B634" i="3" s="1"/>
  <c r="B633" i="3" a="1"/>
  <c r="B633" i="3" s="1"/>
  <c r="B632" i="3" a="1"/>
  <c r="B632" i="3" s="1"/>
  <c r="B631" i="3" a="1"/>
  <c r="B631" i="3" s="1"/>
  <c r="B630" i="3" a="1"/>
  <c r="B630" i="3" s="1"/>
  <c r="B629" i="3" a="1"/>
  <c r="B629" i="3" s="1"/>
  <c r="B628" i="3" a="1"/>
  <c r="B628" i="3" s="1"/>
  <c r="B627" i="3" a="1"/>
  <c r="B627" i="3" s="1"/>
  <c r="B626" i="3" a="1"/>
  <c r="B626" i="3" s="1"/>
  <c r="B625" i="3" a="1"/>
  <c r="B625" i="3" s="1"/>
  <c r="B624" i="3" a="1"/>
  <c r="B624" i="3" s="1"/>
  <c r="B623" i="3" a="1"/>
  <c r="B623" i="3" s="1"/>
  <c r="B622" i="3" a="1"/>
  <c r="B622" i="3" s="1"/>
  <c r="B621" i="3" a="1"/>
  <c r="B621" i="3" s="1"/>
  <c r="B620" i="3" a="1"/>
  <c r="B620" i="3" s="1"/>
  <c r="B619" i="3" a="1"/>
  <c r="B619" i="3" s="1"/>
  <c r="B618" i="3" a="1"/>
  <c r="B618" i="3" s="1"/>
  <c r="B617" i="3" a="1"/>
  <c r="B617" i="3" s="1"/>
  <c r="B616" i="3" a="1"/>
  <c r="B616" i="3" s="1"/>
  <c r="B615" i="3" a="1"/>
  <c r="B615" i="3" s="1"/>
  <c r="B614" i="3" a="1"/>
  <c r="B614" i="3" s="1"/>
  <c r="B613" i="3" a="1"/>
  <c r="B613" i="3" s="1"/>
  <c r="B612" i="3" a="1"/>
  <c r="B612" i="3" s="1"/>
  <c r="B611" i="3" a="1"/>
  <c r="B611" i="3" s="1"/>
  <c r="B610" i="3" a="1"/>
  <c r="B610" i="3" s="1"/>
  <c r="B609" i="3" a="1"/>
  <c r="B609" i="3" s="1"/>
  <c r="B608" i="3" a="1"/>
  <c r="B608" i="3" s="1"/>
  <c r="B607" i="3" a="1"/>
  <c r="B607" i="3" s="1"/>
  <c r="B606" i="3" a="1"/>
  <c r="B606" i="3" s="1"/>
  <c r="B605" i="3" a="1"/>
  <c r="B605" i="3" s="1"/>
  <c r="B604" i="3" a="1"/>
  <c r="B604" i="3" s="1"/>
  <c r="B603" i="3" a="1"/>
  <c r="B603" i="3" s="1"/>
  <c r="B602" i="3" a="1"/>
  <c r="B602" i="3" s="1"/>
  <c r="B601" i="3" a="1"/>
  <c r="B601" i="3" s="1"/>
  <c r="B600" i="3" a="1"/>
  <c r="B600" i="3" s="1"/>
  <c r="B599" i="3" a="1"/>
  <c r="B599" i="3" s="1"/>
  <c r="B598" i="3" a="1"/>
  <c r="B598" i="3" s="1"/>
  <c r="B597" i="3" a="1"/>
  <c r="B597" i="3" s="1"/>
  <c r="B596" i="3" a="1"/>
  <c r="B596" i="3" s="1"/>
  <c r="B595" i="3" a="1"/>
  <c r="B595" i="3" s="1"/>
  <c r="B594" i="3" a="1"/>
  <c r="B594" i="3" s="1"/>
  <c r="B593" i="3" a="1"/>
  <c r="B593" i="3" s="1"/>
  <c r="B592" i="3" a="1"/>
  <c r="B592" i="3" s="1"/>
  <c r="B591" i="3" a="1"/>
  <c r="B591" i="3" s="1"/>
  <c r="B590" i="3" a="1"/>
  <c r="B590" i="3" s="1"/>
  <c r="B589" i="3" a="1"/>
  <c r="B589" i="3" s="1"/>
  <c r="B588" i="3" a="1"/>
  <c r="B588" i="3" s="1"/>
  <c r="B587" i="3" a="1"/>
  <c r="B587" i="3" s="1"/>
  <c r="B586" i="3" a="1"/>
  <c r="B586" i="3" s="1"/>
  <c r="B585" i="3" a="1"/>
  <c r="B585" i="3" s="1"/>
  <c r="B584" i="3" a="1"/>
  <c r="B584" i="3" s="1"/>
  <c r="B583" i="3" a="1"/>
  <c r="B583" i="3" s="1"/>
  <c r="B582" i="3" a="1"/>
  <c r="B582" i="3" s="1"/>
  <c r="B581" i="3" a="1"/>
  <c r="B581" i="3" s="1"/>
  <c r="B580" i="3" a="1"/>
  <c r="B580" i="3" s="1"/>
  <c r="B579" i="3" a="1"/>
  <c r="B579" i="3" s="1"/>
  <c r="B578" i="3" a="1"/>
  <c r="B578" i="3" s="1"/>
  <c r="B577" i="3" a="1"/>
  <c r="B577" i="3" s="1"/>
  <c r="B576" i="3" a="1"/>
  <c r="B576" i="3" s="1"/>
  <c r="B575" i="3" a="1"/>
  <c r="B575" i="3" s="1"/>
  <c r="B574" i="3" a="1"/>
  <c r="B574" i="3" s="1"/>
  <c r="B573" i="3" a="1"/>
  <c r="B573" i="3" s="1"/>
  <c r="B572" i="3" a="1"/>
  <c r="B572" i="3" s="1"/>
  <c r="B571" i="3" a="1"/>
  <c r="B571" i="3" s="1"/>
  <c r="B570" i="3" a="1"/>
  <c r="B570" i="3" s="1"/>
  <c r="B569" i="3" a="1"/>
  <c r="B569" i="3" s="1"/>
  <c r="B568" i="3" a="1"/>
  <c r="B568" i="3" s="1"/>
  <c r="B567" i="3" a="1"/>
  <c r="B567" i="3" s="1"/>
  <c r="B566" i="3" a="1"/>
  <c r="B566" i="3" s="1"/>
  <c r="B565" i="3" a="1"/>
  <c r="B565" i="3" s="1"/>
  <c r="B564" i="3" a="1"/>
  <c r="B564" i="3" s="1"/>
  <c r="B563" i="3" a="1"/>
  <c r="B563" i="3" s="1"/>
  <c r="B562" i="3" a="1"/>
  <c r="B562" i="3" s="1"/>
  <c r="B561" i="3" a="1"/>
  <c r="B561" i="3" s="1"/>
  <c r="B560" i="3" a="1"/>
  <c r="B560" i="3" s="1"/>
  <c r="B559" i="3" a="1"/>
  <c r="B559" i="3" s="1"/>
  <c r="B558" i="3" a="1"/>
  <c r="B558" i="3" s="1"/>
  <c r="B557" i="3" a="1"/>
  <c r="B557" i="3" s="1"/>
  <c r="B556" i="3" a="1"/>
  <c r="B556" i="3" s="1"/>
  <c r="B555" i="3" a="1"/>
  <c r="B555" i="3" s="1"/>
  <c r="B554" i="3" a="1"/>
  <c r="B554" i="3" s="1"/>
  <c r="B553" i="3" a="1"/>
  <c r="B553" i="3" s="1"/>
  <c r="B552" i="3" a="1"/>
  <c r="B552" i="3" s="1"/>
  <c r="B551" i="3" a="1"/>
  <c r="B551" i="3" s="1"/>
  <c r="B550" i="3" a="1"/>
  <c r="B550" i="3" s="1"/>
  <c r="B549" i="3" a="1"/>
  <c r="B549" i="3" s="1"/>
  <c r="B548" i="3" a="1"/>
  <c r="B548" i="3" s="1"/>
  <c r="B547" i="3" a="1"/>
  <c r="B547" i="3" s="1"/>
  <c r="B546" i="3" a="1"/>
  <c r="B546" i="3" s="1"/>
  <c r="B545" i="3" a="1"/>
  <c r="B545" i="3" s="1"/>
  <c r="B544" i="3" a="1"/>
  <c r="B544" i="3" s="1"/>
  <c r="B543" i="3" a="1"/>
  <c r="B543" i="3" s="1"/>
  <c r="B542" i="3" a="1"/>
  <c r="B542" i="3" s="1"/>
  <c r="B541" i="3" a="1"/>
  <c r="B541" i="3" s="1"/>
  <c r="B540" i="3" a="1"/>
  <c r="B540" i="3" s="1"/>
  <c r="B539" i="3" a="1"/>
  <c r="B539" i="3" s="1"/>
  <c r="B538" i="3" a="1"/>
  <c r="B538" i="3" s="1"/>
  <c r="B537" i="3" a="1"/>
  <c r="B537" i="3" s="1"/>
  <c r="B536" i="3" a="1"/>
  <c r="B536" i="3" s="1"/>
  <c r="B535" i="3" a="1"/>
  <c r="B535" i="3" s="1"/>
  <c r="B534" i="3" a="1"/>
  <c r="B534" i="3" s="1"/>
  <c r="B533" i="3" a="1"/>
  <c r="B533" i="3" s="1"/>
  <c r="B532" i="3" a="1"/>
  <c r="B532" i="3" s="1"/>
  <c r="B531" i="3" a="1"/>
  <c r="B531" i="3" s="1"/>
  <c r="B530" i="3" a="1"/>
  <c r="B530" i="3" s="1"/>
  <c r="B529" i="3" a="1"/>
  <c r="B529" i="3" s="1"/>
  <c r="B528" i="3" a="1"/>
  <c r="B528" i="3" s="1"/>
  <c r="B527" i="3" a="1"/>
  <c r="B527" i="3" s="1"/>
  <c r="B526" i="3" a="1"/>
  <c r="B526" i="3" s="1"/>
  <c r="B525" i="3" a="1"/>
  <c r="B525" i="3" s="1"/>
  <c r="B524" i="3" a="1"/>
  <c r="B524" i="3" s="1"/>
  <c r="B523" i="3" a="1"/>
  <c r="B523" i="3" s="1"/>
  <c r="B522" i="3" a="1"/>
  <c r="B522" i="3" s="1"/>
  <c r="B521" i="3" a="1"/>
  <c r="B521" i="3" s="1"/>
  <c r="B520" i="3" a="1"/>
  <c r="B520" i="3" s="1"/>
  <c r="B519" i="3" a="1"/>
  <c r="B519" i="3" s="1"/>
  <c r="B518" i="3" a="1"/>
  <c r="B518" i="3" s="1"/>
  <c r="B517" i="3" a="1"/>
  <c r="B517" i="3" s="1"/>
  <c r="B516" i="3" a="1"/>
  <c r="B516" i="3" s="1"/>
  <c r="B515" i="3" a="1"/>
  <c r="B515" i="3" s="1"/>
  <c r="B514" i="3" a="1"/>
  <c r="B514" i="3" s="1"/>
  <c r="B513" i="3" a="1"/>
  <c r="B513" i="3" s="1"/>
  <c r="B512" i="3" a="1"/>
  <c r="B512" i="3" s="1"/>
  <c r="B511" i="3" a="1"/>
  <c r="B511" i="3" s="1"/>
  <c r="B510" i="3" a="1"/>
  <c r="B510" i="3" s="1"/>
  <c r="B509" i="3" a="1"/>
  <c r="B509" i="3" s="1"/>
  <c r="B508" i="3" a="1"/>
  <c r="B508" i="3" s="1"/>
  <c r="B507" i="3" a="1"/>
  <c r="B507" i="3" s="1"/>
  <c r="B506" i="3" a="1"/>
  <c r="B506" i="3" s="1"/>
  <c r="B505" i="3" a="1"/>
  <c r="B505" i="3" s="1"/>
  <c r="B504" i="3" a="1"/>
  <c r="B504" i="3" s="1"/>
  <c r="B503" i="3" a="1"/>
  <c r="B503" i="3" s="1"/>
  <c r="Z1000" i="3"/>
  <c r="Z999" i="3"/>
  <c r="Z998" i="3"/>
  <c r="Z997" i="3"/>
  <c r="Z996" i="3"/>
  <c r="Z995" i="3"/>
  <c r="Z994" i="3"/>
  <c r="Z993" i="3"/>
  <c r="Z992" i="3"/>
  <c r="Z991" i="3"/>
  <c r="Z990" i="3"/>
  <c r="Z989" i="3"/>
  <c r="Z988" i="3"/>
  <c r="Z987" i="3"/>
  <c r="Z986" i="3"/>
  <c r="Z985" i="3"/>
  <c r="Z984" i="3"/>
  <c r="Z983" i="3"/>
  <c r="Z982" i="3"/>
  <c r="Z981" i="3"/>
  <c r="Z980" i="3"/>
  <c r="Z979" i="3"/>
  <c r="Z978" i="3"/>
  <c r="Z977" i="3"/>
  <c r="Z976" i="3"/>
  <c r="Z975" i="3"/>
  <c r="Z974" i="3"/>
  <c r="Z973" i="3"/>
  <c r="Z972" i="3"/>
  <c r="Z971" i="3"/>
  <c r="Z970" i="3"/>
  <c r="Z969" i="3"/>
  <c r="Z968" i="3"/>
  <c r="Z967" i="3"/>
  <c r="Z966" i="3"/>
  <c r="Z965" i="3"/>
  <c r="Z964" i="3"/>
  <c r="Z963" i="3"/>
  <c r="Z962" i="3"/>
  <c r="Z961" i="3"/>
  <c r="Z960" i="3"/>
  <c r="Z959" i="3"/>
  <c r="Z958" i="3"/>
  <c r="Z957" i="3"/>
  <c r="Z956" i="3"/>
  <c r="Z955" i="3"/>
  <c r="Z954" i="3"/>
  <c r="Z953" i="3"/>
  <c r="Z952" i="3"/>
  <c r="Z951" i="3"/>
  <c r="Z950" i="3"/>
  <c r="Z949" i="3"/>
  <c r="Z948" i="3"/>
  <c r="Z947" i="3"/>
  <c r="Z946" i="3"/>
  <c r="Z945" i="3"/>
  <c r="Z944" i="3"/>
  <c r="Z943" i="3"/>
  <c r="Z942" i="3"/>
  <c r="Z941" i="3"/>
  <c r="Z940" i="3"/>
  <c r="Z939" i="3"/>
  <c r="Z938" i="3"/>
  <c r="Z937" i="3"/>
  <c r="Z936" i="3"/>
  <c r="Z935" i="3"/>
  <c r="Z934" i="3"/>
  <c r="Z933" i="3"/>
  <c r="Z932" i="3"/>
  <c r="Z931" i="3"/>
  <c r="Z930" i="3"/>
  <c r="Z929" i="3"/>
  <c r="Z928" i="3"/>
  <c r="Z927" i="3"/>
  <c r="Z926" i="3"/>
  <c r="Z925" i="3"/>
  <c r="Z924" i="3"/>
  <c r="Z923" i="3"/>
  <c r="Z922" i="3"/>
  <c r="Z921" i="3"/>
  <c r="Z920" i="3"/>
  <c r="Z919" i="3"/>
  <c r="Z918" i="3"/>
  <c r="Z917" i="3"/>
  <c r="Z916" i="3"/>
  <c r="Z915" i="3"/>
  <c r="Z914" i="3"/>
  <c r="Z913" i="3"/>
  <c r="Z912" i="3"/>
  <c r="Z911" i="3"/>
  <c r="Z910" i="3"/>
  <c r="Z909" i="3"/>
  <c r="Z908" i="3"/>
  <c r="Z907" i="3"/>
  <c r="Z906" i="3"/>
  <c r="Z905" i="3"/>
  <c r="Z904" i="3"/>
  <c r="Z903" i="3"/>
  <c r="Z902" i="3"/>
  <c r="Z901" i="3"/>
  <c r="Z900" i="3"/>
  <c r="Z899" i="3"/>
  <c r="Z898" i="3"/>
  <c r="Z897" i="3"/>
  <c r="Z896" i="3"/>
  <c r="Z895" i="3"/>
  <c r="Z894" i="3"/>
  <c r="Z893" i="3"/>
  <c r="Z892" i="3"/>
  <c r="Z891" i="3"/>
  <c r="Z890" i="3"/>
  <c r="Z889" i="3"/>
  <c r="Z888" i="3"/>
  <c r="Z887" i="3"/>
  <c r="Z886" i="3"/>
  <c r="Z885" i="3"/>
  <c r="Z884" i="3"/>
  <c r="Z883" i="3"/>
  <c r="Z882" i="3"/>
  <c r="Z881" i="3"/>
  <c r="Z880" i="3"/>
  <c r="Z879" i="3"/>
  <c r="Z878" i="3"/>
  <c r="Z877" i="3"/>
  <c r="Z876" i="3"/>
  <c r="Z875" i="3"/>
  <c r="Z874" i="3"/>
  <c r="Z873" i="3"/>
  <c r="Z872" i="3"/>
  <c r="Z871" i="3"/>
  <c r="Z870" i="3"/>
  <c r="Z869" i="3"/>
  <c r="Z868" i="3"/>
  <c r="Z867" i="3"/>
  <c r="Z866" i="3"/>
  <c r="Z865" i="3"/>
  <c r="Z864" i="3"/>
  <c r="Z863" i="3"/>
  <c r="Z862" i="3"/>
  <c r="Z861" i="3"/>
  <c r="Z860" i="3"/>
  <c r="Z859" i="3"/>
  <c r="Z858" i="3"/>
  <c r="Z857" i="3"/>
  <c r="Z856" i="3"/>
  <c r="Z855" i="3"/>
  <c r="Z854" i="3"/>
  <c r="Z853" i="3"/>
  <c r="Z852" i="3"/>
  <c r="Z851" i="3"/>
  <c r="Z850" i="3"/>
  <c r="Z849" i="3"/>
  <c r="Z848" i="3"/>
  <c r="Z847" i="3"/>
  <c r="Z846" i="3"/>
  <c r="Z845" i="3"/>
  <c r="Z844" i="3"/>
  <c r="Z843" i="3"/>
  <c r="Z842" i="3"/>
  <c r="Z841" i="3"/>
  <c r="Z840" i="3"/>
  <c r="Z839" i="3"/>
  <c r="Z838" i="3"/>
  <c r="Z837" i="3"/>
  <c r="Z836" i="3"/>
  <c r="Z835" i="3"/>
  <c r="Z834" i="3"/>
  <c r="Z833" i="3"/>
  <c r="Z832" i="3"/>
  <c r="Z831" i="3"/>
  <c r="Z830" i="3"/>
  <c r="Z829" i="3"/>
  <c r="Z828" i="3"/>
  <c r="Z827" i="3"/>
  <c r="Z826" i="3"/>
  <c r="Z825" i="3"/>
  <c r="Z824" i="3"/>
  <c r="Z823" i="3"/>
  <c r="Z822" i="3"/>
  <c r="Z821" i="3"/>
  <c r="Z820" i="3"/>
  <c r="Z819" i="3"/>
  <c r="Z818" i="3"/>
  <c r="Z817" i="3"/>
  <c r="Z816" i="3"/>
  <c r="Z815" i="3"/>
  <c r="Z814" i="3"/>
  <c r="Z813" i="3"/>
  <c r="Z812" i="3"/>
  <c r="Z811" i="3"/>
  <c r="Z810" i="3"/>
  <c r="Z809" i="3"/>
  <c r="Z808" i="3"/>
  <c r="Z807" i="3"/>
  <c r="Z806" i="3"/>
  <c r="Z805" i="3"/>
  <c r="Z804" i="3"/>
  <c r="Z803" i="3"/>
  <c r="Z802" i="3"/>
  <c r="Z801" i="3"/>
  <c r="Z800" i="3"/>
  <c r="Z799" i="3"/>
  <c r="Z798" i="3"/>
  <c r="Z797" i="3"/>
  <c r="Z796" i="3"/>
  <c r="Z795" i="3"/>
  <c r="Z794" i="3"/>
  <c r="Z793" i="3"/>
  <c r="Z792" i="3"/>
  <c r="Z791" i="3"/>
  <c r="Z790" i="3"/>
  <c r="Z789" i="3"/>
  <c r="Z788" i="3"/>
  <c r="Z787" i="3"/>
  <c r="Z786" i="3"/>
  <c r="Z785" i="3"/>
  <c r="Z784" i="3"/>
  <c r="Z783" i="3"/>
  <c r="Z782" i="3"/>
  <c r="Z781" i="3"/>
  <c r="Z780" i="3"/>
  <c r="Z779" i="3"/>
  <c r="Z778" i="3"/>
  <c r="Z777" i="3"/>
  <c r="Z776" i="3"/>
  <c r="Z775" i="3"/>
  <c r="Z774" i="3"/>
  <c r="Z773" i="3"/>
  <c r="Z772" i="3"/>
  <c r="Z771" i="3"/>
  <c r="Z770" i="3"/>
  <c r="Z769" i="3"/>
  <c r="Z768" i="3"/>
  <c r="Z767" i="3"/>
  <c r="Z766" i="3"/>
  <c r="Z765" i="3"/>
  <c r="Z764" i="3"/>
  <c r="Z763" i="3"/>
  <c r="Z762" i="3"/>
  <c r="Z761" i="3"/>
  <c r="Z760" i="3"/>
  <c r="Z759" i="3"/>
  <c r="Z758" i="3"/>
  <c r="Z757" i="3"/>
  <c r="Z756" i="3"/>
  <c r="Z755" i="3"/>
  <c r="Z754" i="3"/>
  <c r="Z753" i="3"/>
  <c r="Z752" i="3"/>
  <c r="Z751" i="3"/>
  <c r="Z750" i="3"/>
  <c r="Z749" i="3"/>
  <c r="Z748" i="3"/>
  <c r="Z747" i="3"/>
  <c r="Z746" i="3"/>
  <c r="Z745" i="3"/>
  <c r="Z744" i="3"/>
  <c r="Z743" i="3"/>
  <c r="Z742" i="3"/>
  <c r="Z741" i="3"/>
  <c r="Z740" i="3"/>
  <c r="Z739" i="3"/>
  <c r="Z738" i="3"/>
  <c r="Z737" i="3"/>
  <c r="Z736" i="3"/>
  <c r="Z735" i="3"/>
  <c r="Z734" i="3"/>
  <c r="Z733" i="3"/>
  <c r="Z732" i="3"/>
  <c r="Z731" i="3"/>
  <c r="Z730" i="3"/>
  <c r="Z729" i="3"/>
  <c r="Z728" i="3"/>
  <c r="Z727" i="3"/>
  <c r="Z726" i="3"/>
  <c r="Z725" i="3"/>
  <c r="Z724" i="3"/>
  <c r="Z723" i="3"/>
  <c r="Z722" i="3"/>
  <c r="Z721" i="3"/>
  <c r="Z720" i="3"/>
  <c r="Z719" i="3"/>
  <c r="Z718" i="3"/>
  <c r="Z717" i="3"/>
  <c r="Z716" i="3"/>
  <c r="Z715" i="3"/>
  <c r="Z714" i="3"/>
  <c r="Z713" i="3"/>
  <c r="Z712" i="3"/>
  <c r="Z711" i="3"/>
  <c r="Z710" i="3"/>
  <c r="Z709" i="3"/>
  <c r="Z708" i="3"/>
  <c r="Z707" i="3"/>
  <c r="Z706" i="3"/>
  <c r="Z705" i="3"/>
  <c r="Z704" i="3"/>
  <c r="Z703" i="3"/>
  <c r="Z702" i="3"/>
  <c r="Z701" i="3"/>
  <c r="Z700" i="3"/>
  <c r="Z699" i="3"/>
  <c r="Z698" i="3"/>
  <c r="Z697" i="3"/>
  <c r="Z696" i="3"/>
  <c r="Z695" i="3"/>
  <c r="Z694" i="3"/>
  <c r="Z693" i="3"/>
  <c r="Z692" i="3"/>
  <c r="Z691" i="3"/>
  <c r="Z690" i="3"/>
  <c r="Z689" i="3"/>
  <c r="Z688" i="3"/>
  <c r="Z687" i="3"/>
  <c r="Z686" i="3"/>
  <c r="Z685" i="3"/>
  <c r="Z684" i="3"/>
  <c r="Z683" i="3"/>
  <c r="Z682" i="3"/>
  <c r="Z681" i="3"/>
  <c r="Z680" i="3"/>
  <c r="Z679" i="3"/>
  <c r="Z678" i="3"/>
  <c r="Z677" i="3"/>
  <c r="Z676" i="3"/>
  <c r="Z675" i="3"/>
  <c r="Z674" i="3"/>
  <c r="Z673" i="3"/>
  <c r="Z672" i="3"/>
  <c r="Z671" i="3"/>
  <c r="Z670" i="3"/>
  <c r="Z669" i="3"/>
  <c r="Z668" i="3"/>
  <c r="Z667" i="3"/>
  <c r="Z666" i="3"/>
  <c r="Z665" i="3"/>
  <c r="Z664" i="3"/>
  <c r="Z663" i="3"/>
  <c r="Z662" i="3"/>
  <c r="Z661" i="3"/>
  <c r="Z660" i="3"/>
  <c r="Z659" i="3"/>
  <c r="Z658" i="3"/>
  <c r="Z657" i="3"/>
  <c r="Z656" i="3"/>
  <c r="Z655" i="3"/>
  <c r="Z654" i="3"/>
  <c r="Z653" i="3"/>
  <c r="Z652" i="3"/>
  <c r="Z651" i="3"/>
  <c r="Z650" i="3"/>
  <c r="Z649" i="3"/>
  <c r="Z648" i="3"/>
  <c r="Z647" i="3"/>
  <c r="Z646" i="3"/>
  <c r="Z645" i="3"/>
  <c r="Z644" i="3"/>
  <c r="Z643" i="3"/>
  <c r="Z642" i="3"/>
  <c r="Z641" i="3"/>
  <c r="Z640" i="3"/>
  <c r="Z639" i="3"/>
  <c r="Z638" i="3"/>
  <c r="Z637" i="3"/>
  <c r="Z636" i="3"/>
  <c r="Z635" i="3"/>
  <c r="Z634" i="3"/>
  <c r="Z633" i="3"/>
  <c r="Z632" i="3"/>
  <c r="Z631" i="3"/>
  <c r="Z630" i="3"/>
  <c r="Z629" i="3"/>
  <c r="Z628" i="3"/>
  <c r="Z627" i="3"/>
  <c r="Z626" i="3"/>
  <c r="Z625" i="3"/>
  <c r="Z624" i="3"/>
  <c r="Z623" i="3"/>
  <c r="Z622" i="3"/>
  <c r="Z621" i="3"/>
  <c r="Z620" i="3"/>
  <c r="Z619" i="3"/>
  <c r="Z618" i="3"/>
  <c r="Z617" i="3"/>
  <c r="Z616" i="3"/>
  <c r="Z615" i="3"/>
  <c r="Z614" i="3"/>
  <c r="Z613" i="3"/>
  <c r="Z612" i="3"/>
  <c r="Z611" i="3"/>
  <c r="Z610" i="3"/>
  <c r="Z609" i="3"/>
  <c r="Z608" i="3"/>
  <c r="Z607" i="3"/>
  <c r="Z606" i="3"/>
  <c r="Z605" i="3"/>
  <c r="Z604" i="3"/>
  <c r="Z603" i="3"/>
  <c r="Z602" i="3"/>
  <c r="Z601" i="3"/>
  <c r="Z600" i="3"/>
  <c r="Z599" i="3"/>
  <c r="Z598" i="3"/>
  <c r="Z597" i="3"/>
  <c r="Z596" i="3"/>
  <c r="Z595" i="3"/>
  <c r="Z594" i="3"/>
  <c r="Z593" i="3"/>
  <c r="Z592" i="3"/>
  <c r="Z591" i="3"/>
  <c r="Z590" i="3"/>
  <c r="Z589" i="3"/>
  <c r="Z588" i="3"/>
  <c r="Z587" i="3"/>
  <c r="Z586" i="3"/>
  <c r="Z585" i="3"/>
  <c r="Z584" i="3"/>
  <c r="Z583" i="3"/>
  <c r="Z582" i="3"/>
  <c r="Z581" i="3"/>
  <c r="Z580" i="3"/>
  <c r="Z579" i="3"/>
  <c r="Z578" i="3"/>
  <c r="Z577" i="3"/>
  <c r="Z576" i="3"/>
  <c r="Z575" i="3"/>
  <c r="Z574" i="3"/>
  <c r="Z573" i="3"/>
  <c r="Z572" i="3"/>
  <c r="Z571" i="3"/>
  <c r="Z570" i="3"/>
  <c r="Z569" i="3"/>
  <c r="Z568" i="3"/>
  <c r="Z567" i="3"/>
  <c r="Z566" i="3"/>
  <c r="Z565" i="3"/>
  <c r="Z564" i="3"/>
  <c r="Z563" i="3"/>
  <c r="Z562" i="3"/>
  <c r="Z561" i="3"/>
  <c r="Z560" i="3"/>
  <c r="Z559" i="3"/>
  <c r="Z558" i="3"/>
  <c r="Z557" i="3"/>
  <c r="Z556" i="3"/>
  <c r="Z555" i="3"/>
  <c r="Z554" i="3"/>
  <c r="Z553" i="3"/>
  <c r="Z552" i="3"/>
  <c r="Z551" i="3"/>
  <c r="Z550" i="3"/>
  <c r="Z549" i="3"/>
  <c r="Z548" i="3"/>
  <c r="Z547" i="3"/>
  <c r="Z546" i="3"/>
  <c r="Z545" i="3"/>
  <c r="Z544" i="3"/>
  <c r="Z543" i="3"/>
  <c r="Z542" i="3"/>
  <c r="Z541" i="3"/>
  <c r="Z540" i="3"/>
  <c r="Z539" i="3"/>
  <c r="Z538" i="3"/>
  <c r="Z537" i="3"/>
  <c r="Z536" i="3"/>
  <c r="Z535" i="3"/>
  <c r="Z534" i="3"/>
  <c r="Z533" i="3"/>
  <c r="Z532" i="3"/>
  <c r="Z531" i="3"/>
  <c r="Z530" i="3"/>
  <c r="Z529" i="3"/>
  <c r="Z528" i="3"/>
  <c r="Z527" i="3"/>
  <c r="Z526" i="3"/>
  <c r="Z525" i="3"/>
  <c r="Z524" i="3"/>
  <c r="Z523" i="3"/>
  <c r="Z522" i="3"/>
  <c r="Z521" i="3"/>
  <c r="Z520" i="3"/>
  <c r="Z519" i="3"/>
  <c r="Z518" i="3"/>
  <c r="Z517" i="3"/>
  <c r="Z516" i="3"/>
  <c r="Z515" i="3"/>
  <c r="Z514" i="3"/>
  <c r="Z513" i="3"/>
  <c r="Z512" i="3"/>
  <c r="Z511" i="3"/>
  <c r="Z510" i="3"/>
  <c r="Z509" i="3"/>
  <c r="Z508" i="3"/>
  <c r="Z507" i="3"/>
  <c r="Z506" i="3"/>
  <c r="Z505" i="3"/>
  <c r="Z504" i="3"/>
  <c r="Z503" i="3"/>
  <c r="Y1000" i="3"/>
  <c r="Y999" i="3"/>
  <c r="Y998" i="3"/>
  <c r="Y997" i="3"/>
  <c r="Y996" i="3"/>
  <c r="Y995" i="3"/>
  <c r="Y994" i="3"/>
  <c r="Y993" i="3"/>
  <c r="Y992" i="3"/>
  <c r="Y991" i="3"/>
  <c r="Y990" i="3"/>
  <c r="Y989" i="3"/>
  <c r="Y988" i="3"/>
  <c r="Y987" i="3"/>
  <c r="Y986" i="3"/>
  <c r="Y985" i="3"/>
  <c r="Y984" i="3"/>
  <c r="Y983" i="3"/>
  <c r="Y982" i="3"/>
  <c r="Y981" i="3"/>
  <c r="Y980" i="3"/>
  <c r="Y979" i="3"/>
  <c r="Y978" i="3"/>
  <c r="Y977" i="3"/>
  <c r="Y976" i="3"/>
  <c r="Y975" i="3"/>
  <c r="Y974" i="3"/>
  <c r="Y973" i="3"/>
  <c r="Y972" i="3"/>
  <c r="Y971" i="3"/>
  <c r="Y970" i="3"/>
  <c r="Y969" i="3"/>
  <c r="Y968" i="3"/>
  <c r="Y967" i="3"/>
  <c r="Y966" i="3"/>
  <c r="Y965" i="3"/>
  <c r="Y964" i="3"/>
  <c r="Y963" i="3"/>
  <c r="Y962" i="3"/>
  <c r="Y961" i="3"/>
  <c r="Y960" i="3"/>
  <c r="Y959" i="3"/>
  <c r="Y958" i="3"/>
  <c r="Y957" i="3"/>
  <c r="Y956" i="3"/>
  <c r="Y955" i="3"/>
  <c r="Y954" i="3"/>
  <c r="Y953" i="3"/>
  <c r="Y952" i="3"/>
  <c r="Y951" i="3"/>
  <c r="Y950" i="3"/>
  <c r="Y949" i="3"/>
  <c r="Y948" i="3"/>
  <c r="Y947" i="3"/>
  <c r="Y946" i="3"/>
  <c r="Y945" i="3"/>
  <c r="Y944" i="3"/>
  <c r="Y943" i="3"/>
  <c r="Y942" i="3"/>
  <c r="Y941" i="3"/>
  <c r="Y940" i="3"/>
  <c r="Y939" i="3"/>
  <c r="Y938" i="3"/>
  <c r="Y937" i="3"/>
  <c r="Y936" i="3"/>
  <c r="Y935" i="3"/>
  <c r="Y934" i="3"/>
  <c r="Y933" i="3"/>
  <c r="Y932" i="3"/>
  <c r="Y931" i="3"/>
  <c r="Y930" i="3"/>
  <c r="Y929" i="3"/>
  <c r="Y928" i="3"/>
  <c r="Y927" i="3"/>
  <c r="Y926" i="3"/>
  <c r="Y925" i="3"/>
  <c r="Y924" i="3"/>
  <c r="Y923" i="3"/>
  <c r="Y922" i="3"/>
  <c r="Y921" i="3"/>
  <c r="Y920" i="3"/>
  <c r="Y919" i="3"/>
  <c r="Y918" i="3"/>
  <c r="Y917" i="3"/>
  <c r="Y916" i="3"/>
  <c r="Y915" i="3"/>
  <c r="Y914" i="3"/>
  <c r="Y913" i="3"/>
  <c r="Y912" i="3"/>
  <c r="Y911" i="3"/>
  <c r="Y910" i="3"/>
  <c r="Y909" i="3"/>
  <c r="Y908" i="3"/>
  <c r="Y907" i="3"/>
  <c r="Y906" i="3"/>
  <c r="Y905" i="3"/>
  <c r="Y904" i="3"/>
  <c r="Y903" i="3"/>
  <c r="Y902" i="3"/>
  <c r="Y901" i="3"/>
  <c r="Y900" i="3"/>
  <c r="Y899" i="3"/>
  <c r="Y898" i="3"/>
  <c r="Y897" i="3"/>
  <c r="Y896" i="3"/>
  <c r="Y895" i="3"/>
  <c r="Y894" i="3"/>
  <c r="Y893" i="3"/>
  <c r="Y892" i="3"/>
  <c r="Y891" i="3"/>
  <c r="Y890" i="3"/>
  <c r="Y889" i="3"/>
  <c r="Y888" i="3"/>
  <c r="Y887" i="3"/>
  <c r="Y886" i="3"/>
  <c r="Y885" i="3"/>
  <c r="Y884" i="3"/>
  <c r="Y883" i="3"/>
  <c r="Y882" i="3"/>
  <c r="Y881" i="3"/>
  <c r="Y880" i="3"/>
  <c r="Y879" i="3"/>
  <c r="Y878" i="3"/>
  <c r="Y877" i="3"/>
  <c r="Y876" i="3"/>
  <c r="Y875" i="3"/>
  <c r="Y874" i="3"/>
  <c r="Y873" i="3"/>
  <c r="Y872" i="3"/>
  <c r="Y871" i="3"/>
  <c r="Y870" i="3"/>
  <c r="Y869" i="3"/>
  <c r="Y868" i="3"/>
  <c r="Y867" i="3"/>
  <c r="Y866" i="3"/>
  <c r="Y865" i="3"/>
  <c r="Y864" i="3"/>
  <c r="Y863" i="3"/>
  <c r="Y862" i="3"/>
  <c r="Y861" i="3"/>
  <c r="Y860" i="3"/>
  <c r="Y859" i="3"/>
  <c r="Y858" i="3"/>
  <c r="Y857" i="3"/>
  <c r="Y856" i="3"/>
  <c r="Y855" i="3"/>
  <c r="Y854" i="3"/>
  <c r="Y853" i="3"/>
  <c r="Y852" i="3"/>
  <c r="Y851" i="3"/>
  <c r="Y850" i="3"/>
  <c r="Y849" i="3"/>
  <c r="Y848" i="3"/>
  <c r="Y847" i="3"/>
  <c r="Y846" i="3"/>
  <c r="Y845" i="3"/>
  <c r="Y844" i="3"/>
  <c r="Y843" i="3"/>
  <c r="Y842" i="3"/>
  <c r="Y841" i="3"/>
  <c r="Y840" i="3"/>
  <c r="Y839" i="3"/>
  <c r="Y838" i="3"/>
  <c r="Y837" i="3"/>
  <c r="Y836" i="3"/>
  <c r="Y835" i="3"/>
  <c r="Y834" i="3"/>
  <c r="Y833" i="3"/>
  <c r="Y832" i="3"/>
  <c r="Y831" i="3"/>
  <c r="Y830" i="3"/>
  <c r="Y829" i="3"/>
  <c r="Y828" i="3"/>
  <c r="Y827" i="3"/>
  <c r="Y826" i="3"/>
  <c r="Y825" i="3"/>
  <c r="Y824" i="3"/>
  <c r="Y823" i="3"/>
  <c r="Y822" i="3"/>
  <c r="Y821" i="3"/>
  <c r="Y820" i="3"/>
  <c r="Y819" i="3"/>
  <c r="Y818" i="3"/>
  <c r="Y817" i="3"/>
  <c r="Y816" i="3"/>
  <c r="Y815" i="3"/>
  <c r="Y814" i="3"/>
  <c r="Y813" i="3"/>
  <c r="Y812" i="3"/>
  <c r="Y811" i="3"/>
  <c r="Y810" i="3"/>
  <c r="Y809" i="3"/>
  <c r="Y808" i="3"/>
  <c r="Y807" i="3"/>
  <c r="Y806" i="3"/>
  <c r="Y805" i="3"/>
  <c r="Y804" i="3"/>
  <c r="Y803" i="3"/>
  <c r="Y802" i="3"/>
  <c r="Y801" i="3"/>
  <c r="Y800" i="3"/>
  <c r="Y799" i="3"/>
  <c r="Y798" i="3"/>
  <c r="Y797" i="3"/>
  <c r="Y796" i="3"/>
  <c r="Y795" i="3"/>
  <c r="Y794" i="3"/>
  <c r="Y793" i="3"/>
  <c r="Y792" i="3"/>
  <c r="Y791" i="3"/>
  <c r="Y790" i="3"/>
  <c r="Y789" i="3"/>
  <c r="Y788" i="3"/>
  <c r="Y787" i="3"/>
  <c r="Y786" i="3"/>
  <c r="Y785" i="3"/>
  <c r="Y784" i="3"/>
  <c r="Y783" i="3"/>
  <c r="Y782" i="3"/>
  <c r="Y781" i="3"/>
  <c r="Y780" i="3"/>
  <c r="Y779" i="3"/>
  <c r="Y778" i="3"/>
  <c r="Y777" i="3"/>
  <c r="Y776" i="3"/>
  <c r="Y775" i="3"/>
  <c r="Y774" i="3"/>
  <c r="Y773" i="3"/>
  <c r="Y772" i="3"/>
  <c r="Y771" i="3"/>
  <c r="Y770" i="3"/>
  <c r="Y769" i="3"/>
  <c r="Y768" i="3"/>
  <c r="Y767" i="3"/>
  <c r="Y766" i="3"/>
  <c r="Y765" i="3"/>
  <c r="Y764" i="3"/>
  <c r="Y763" i="3"/>
  <c r="Y762" i="3"/>
  <c r="Y761" i="3"/>
  <c r="Y760" i="3"/>
  <c r="Y759" i="3"/>
  <c r="Y758" i="3"/>
  <c r="Y757" i="3"/>
  <c r="Y756" i="3"/>
  <c r="Y755" i="3"/>
  <c r="Y754" i="3"/>
  <c r="Y753" i="3"/>
  <c r="Y752" i="3"/>
  <c r="Y751" i="3"/>
  <c r="Y750" i="3"/>
  <c r="Y749" i="3"/>
  <c r="Y748" i="3"/>
  <c r="Y747" i="3"/>
  <c r="Y746" i="3"/>
  <c r="Y745" i="3"/>
  <c r="Y744" i="3"/>
  <c r="Y743" i="3"/>
  <c r="Y742" i="3"/>
  <c r="Y741" i="3"/>
  <c r="Y740" i="3"/>
  <c r="Y739" i="3"/>
  <c r="Y738" i="3"/>
  <c r="Y737" i="3"/>
  <c r="Y736" i="3"/>
  <c r="Y735" i="3"/>
  <c r="Y734" i="3"/>
  <c r="Y733" i="3"/>
  <c r="Y732" i="3"/>
  <c r="Y731" i="3"/>
  <c r="Y730" i="3"/>
  <c r="Y729" i="3"/>
  <c r="Y728" i="3"/>
  <c r="Y727" i="3"/>
  <c r="Y726" i="3"/>
  <c r="Y725" i="3"/>
  <c r="Y724" i="3"/>
  <c r="Y723" i="3"/>
  <c r="Y722" i="3"/>
  <c r="Y721" i="3"/>
  <c r="Y720" i="3"/>
  <c r="Y719" i="3"/>
  <c r="Y718" i="3"/>
  <c r="Y717" i="3"/>
  <c r="Y716" i="3"/>
  <c r="Y715" i="3"/>
  <c r="Y714" i="3"/>
  <c r="Y713" i="3"/>
  <c r="Y712" i="3"/>
  <c r="Y711" i="3"/>
  <c r="Y710" i="3"/>
  <c r="Y709" i="3"/>
  <c r="Y708" i="3"/>
  <c r="Y707" i="3"/>
  <c r="Y706" i="3"/>
  <c r="Y705" i="3"/>
  <c r="Y704" i="3"/>
  <c r="Y703" i="3"/>
  <c r="Y702" i="3"/>
  <c r="Y701" i="3"/>
  <c r="Y700" i="3"/>
  <c r="Y699" i="3"/>
  <c r="Y698" i="3"/>
  <c r="Y697" i="3"/>
  <c r="Y696" i="3"/>
  <c r="Y695" i="3"/>
  <c r="Y694" i="3"/>
  <c r="Y693" i="3"/>
  <c r="Y692" i="3"/>
  <c r="Y691" i="3"/>
  <c r="Y690" i="3"/>
  <c r="Y689" i="3"/>
  <c r="Y688" i="3"/>
  <c r="Y687" i="3"/>
  <c r="Y686" i="3"/>
  <c r="Y685" i="3"/>
  <c r="Y684" i="3"/>
  <c r="Y683" i="3"/>
  <c r="Y682" i="3"/>
  <c r="Y681" i="3"/>
  <c r="Y680" i="3"/>
  <c r="Y679" i="3"/>
  <c r="Y678" i="3"/>
  <c r="Y677" i="3"/>
  <c r="Y676" i="3"/>
  <c r="Y675" i="3"/>
  <c r="Y674" i="3"/>
  <c r="Y673" i="3"/>
  <c r="Y672" i="3"/>
  <c r="Y671" i="3"/>
  <c r="Y670" i="3"/>
  <c r="Y669" i="3"/>
  <c r="Y668" i="3"/>
  <c r="Y667" i="3"/>
  <c r="Y666" i="3"/>
  <c r="Y665" i="3"/>
  <c r="Y664" i="3"/>
  <c r="Y663" i="3"/>
  <c r="Y662" i="3"/>
  <c r="Y661" i="3"/>
  <c r="Y660" i="3"/>
  <c r="Y659" i="3"/>
  <c r="Y658" i="3"/>
  <c r="Y657" i="3"/>
  <c r="Y656" i="3"/>
  <c r="Y655" i="3"/>
  <c r="Y654" i="3"/>
  <c r="Y653" i="3"/>
  <c r="Y652" i="3"/>
  <c r="Y651" i="3"/>
  <c r="Y650" i="3"/>
  <c r="Y649" i="3"/>
  <c r="Y648" i="3"/>
  <c r="Y647" i="3"/>
  <c r="Y646" i="3"/>
  <c r="Y645" i="3"/>
  <c r="Y644" i="3"/>
  <c r="Y643" i="3"/>
  <c r="Y642" i="3"/>
  <c r="Y641" i="3"/>
  <c r="Y640" i="3"/>
  <c r="Y639" i="3"/>
  <c r="Y638" i="3"/>
  <c r="Y637" i="3"/>
  <c r="Y636" i="3"/>
  <c r="Y635" i="3"/>
  <c r="Y634" i="3"/>
  <c r="Y633" i="3"/>
  <c r="Y632" i="3"/>
  <c r="Y631" i="3"/>
  <c r="Y630" i="3"/>
  <c r="Y629" i="3"/>
  <c r="Y628" i="3"/>
  <c r="Y627" i="3"/>
  <c r="Y626" i="3"/>
  <c r="Y625" i="3"/>
  <c r="Y624" i="3"/>
  <c r="Y623" i="3"/>
  <c r="Y622" i="3"/>
  <c r="Y621" i="3"/>
  <c r="Y620" i="3"/>
  <c r="Y619" i="3"/>
  <c r="Y618" i="3"/>
  <c r="Y617" i="3"/>
  <c r="Y616" i="3"/>
  <c r="Y615" i="3"/>
  <c r="Y614" i="3"/>
  <c r="Y613" i="3"/>
  <c r="Y612" i="3"/>
  <c r="Y611" i="3"/>
  <c r="Y610" i="3"/>
  <c r="Y609" i="3"/>
  <c r="Y608" i="3"/>
  <c r="Y607" i="3"/>
  <c r="Y606" i="3"/>
  <c r="Y605" i="3"/>
  <c r="Y604" i="3"/>
  <c r="Y603" i="3"/>
  <c r="Y602" i="3"/>
  <c r="Y601" i="3"/>
  <c r="Y600" i="3"/>
  <c r="Y599" i="3"/>
  <c r="Y598" i="3"/>
  <c r="Y597" i="3"/>
  <c r="Y596" i="3"/>
  <c r="Y595" i="3"/>
  <c r="Y594" i="3"/>
  <c r="Y593" i="3"/>
  <c r="Y592" i="3"/>
  <c r="Y591" i="3"/>
  <c r="Y590" i="3"/>
  <c r="Y589" i="3"/>
  <c r="Y588" i="3"/>
  <c r="Y587" i="3"/>
  <c r="Y586" i="3"/>
  <c r="Y585" i="3"/>
  <c r="Y584" i="3"/>
  <c r="Y583" i="3"/>
  <c r="Y582" i="3"/>
  <c r="Y581" i="3"/>
  <c r="Y580" i="3"/>
  <c r="Y579" i="3"/>
  <c r="Y578" i="3"/>
  <c r="Y577" i="3"/>
  <c r="Y576" i="3"/>
  <c r="Y575" i="3"/>
  <c r="Y574" i="3"/>
  <c r="Y573" i="3"/>
  <c r="Y572" i="3"/>
  <c r="Y571" i="3"/>
  <c r="Y570" i="3"/>
  <c r="Y569" i="3"/>
  <c r="Y568" i="3"/>
  <c r="Y567" i="3"/>
  <c r="Y566" i="3"/>
  <c r="Y565" i="3"/>
  <c r="Y564" i="3"/>
  <c r="Y563" i="3"/>
  <c r="Y562" i="3"/>
  <c r="Y561" i="3"/>
  <c r="Y560" i="3"/>
  <c r="Y559" i="3"/>
  <c r="Y558" i="3"/>
  <c r="Y557" i="3"/>
  <c r="Y556" i="3"/>
  <c r="Y555" i="3"/>
  <c r="Y554" i="3"/>
  <c r="Y553" i="3"/>
  <c r="Y552" i="3"/>
  <c r="Y551" i="3"/>
  <c r="Y550" i="3"/>
  <c r="Y549" i="3"/>
  <c r="Y548" i="3"/>
  <c r="Y547" i="3"/>
  <c r="Y546" i="3"/>
  <c r="Y545" i="3"/>
  <c r="Y544" i="3"/>
  <c r="Y543" i="3"/>
  <c r="Y542" i="3"/>
  <c r="Y541" i="3"/>
  <c r="Y540" i="3"/>
  <c r="Y539" i="3"/>
  <c r="Y538" i="3"/>
  <c r="Y537" i="3"/>
  <c r="Y536" i="3"/>
  <c r="Y535" i="3"/>
  <c r="Y534" i="3"/>
  <c r="Y533" i="3"/>
  <c r="Y532" i="3"/>
  <c r="Y531" i="3"/>
  <c r="Y530" i="3"/>
  <c r="Y529" i="3"/>
  <c r="Y528" i="3"/>
  <c r="Y527" i="3"/>
  <c r="Y526" i="3"/>
  <c r="Y525" i="3"/>
  <c r="Y524" i="3"/>
  <c r="Y523" i="3"/>
  <c r="Y522" i="3"/>
  <c r="Y521" i="3"/>
  <c r="Y520" i="3"/>
  <c r="Y519" i="3"/>
  <c r="Y518" i="3"/>
  <c r="Y517" i="3"/>
  <c r="Y516" i="3"/>
  <c r="Y515" i="3"/>
  <c r="Y514" i="3"/>
  <c r="Y513" i="3"/>
  <c r="Y512" i="3"/>
  <c r="Y511" i="3"/>
  <c r="Y510" i="3"/>
  <c r="Y509" i="3"/>
  <c r="Y508" i="3"/>
  <c r="Y507" i="3"/>
  <c r="Y506" i="3"/>
  <c r="Y505" i="3"/>
  <c r="Y504" i="3"/>
  <c r="Y503" i="3"/>
  <c r="X1000" i="3" a="1"/>
  <c r="X1000" i="3" s="1"/>
  <c r="X999" i="3" a="1"/>
  <c r="X999" i="3" s="1"/>
  <c r="X998" i="3" a="1"/>
  <c r="X998" i="3" s="1"/>
  <c r="X997" i="3" a="1"/>
  <c r="X997" i="3" s="1"/>
  <c r="X996" i="3" a="1"/>
  <c r="X996" i="3" s="1"/>
  <c r="X995" i="3" a="1"/>
  <c r="X995" i="3" s="1"/>
  <c r="X994" i="3" a="1"/>
  <c r="X994" i="3" s="1"/>
  <c r="X993" i="3" a="1"/>
  <c r="X993" i="3" s="1"/>
  <c r="X992" i="3" a="1"/>
  <c r="X992" i="3" s="1"/>
  <c r="X991" i="3" a="1"/>
  <c r="X991" i="3" s="1"/>
  <c r="X990" i="3" a="1"/>
  <c r="X990" i="3" s="1"/>
  <c r="X989" i="3" a="1"/>
  <c r="X989" i="3" s="1"/>
  <c r="X988" i="3" a="1"/>
  <c r="X988" i="3" s="1"/>
  <c r="X987" i="3" a="1"/>
  <c r="X987" i="3" s="1"/>
  <c r="X986" i="3" a="1"/>
  <c r="X986" i="3" s="1"/>
  <c r="X985" i="3" a="1"/>
  <c r="X985" i="3" s="1"/>
  <c r="X984" i="3" a="1"/>
  <c r="X984" i="3" s="1"/>
  <c r="X983" i="3" a="1"/>
  <c r="X983" i="3" s="1"/>
  <c r="X982" i="3" a="1"/>
  <c r="X982" i="3" s="1"/>
  <c r="X981" i="3" a="1"/>
  <c r="X981" i="3" s="1"/>
  <c r="X980" i="3" a="1"/>
  <c r="X980" i="3" s="1"/>
  <c r="X979" i="3" a="1"/>
  <c r="X979" i="3" s="1"/>
  <c r="X978" i="3" a="1"/>
  <c r="X978" i="3" s="1"/>
  <c r="X977" i="3" a="1"/>
  <c r="X977" i="3" s="1"/>
  <c r="X976" i="3" a="1"/>
  <c r="X976" i="3" s="1"/>
  <c r="X975" i="3" a="1"/>
  <c r="X975" i="3" s="1"/>
  <c r="X974" i="3" a="1"/>
  <c r="X974" i="3" s="1"/>
  <c r="X973" i="3" a="1"/>
  <c r="X973" i="3" s="1"/>
  <c r="X972" i="3" a="1"/>
  <c r="X972" i="3" s="1"/>
  <c r="X971" i="3" a="1"/>
  <c r="X971" i="3" s="1"/>
  <c r="X970" i="3" a="1"/>
  <c r="X970" i="3" s="1"/>
  <c r="X969" i="3" a="1"/>
  <c r="X969" i="3" s="1"/>
  <c r="X968" i="3" a="1"/>
  <c r="X968" i="3" s="1"/>
  <c r="X967" i="3" a="1"/>
  <c r="X967" i="3" s="1"/>
  <c r="X966" i="3" a="1"/>
  <c r="X966" i="3" s="1"/>
  <c r="X965" i="3" a="1"/>
  <c r="X965" i="3" s="1"/>
  <c r="X964" i="3" a="1"/>
  <c r="X964" i="3" s="1"/>
  <c r="X963" i="3" a="1"/>
  <c r="X963" i="3" s="1"/>
  <c r="X962" i="3" a="1"/>
  <c r="X962" i="3" s="1"/>
  <c r="X961" i="3" a="1"/>
  <c r="X961" i="3" s="1"/>
  <c r="X960" i="3" a="1"/>
  <c r="X960" i="3" s="1"/>
  <c r="X959" i="3" a="1"/>
  <c r="X959" i="3" s="1"/>
  <c r="X958" i="3" a="1"/>
  <c r="X958" i="3" s="1"/>
  <c r="X957" i="3" a="1"/>
  <c r="X957" i="3" s="1"/>
  <c r="X956" i="3" a="1"/>
  <c r="X956" i="3" s="1"/>
  <c r="X955" i="3" a="1"/>
  <c r="X955" i="3" s="1"/>
  <c r="X954" i="3" a="1"/>
  <c r="X954" i="3" s="1"/>
  <c r="X953" i="3" a="1"/>
  <c r="X953" i="3" s="1"/>
  <c r="X952" i="3" a="1"/>
  <c r="X952" i="3" s="1"/>
  <c r="X951" i="3" a="1"/>
  <c r="X951" i="3" s="1"/>
  <c r="X950" i="3" a="1"/>
  <c r="X950" i="3" s="1"/>
  <c r="X949" i="3" a="1"/>
  <c r="X949" i="3" s="1"/>
  <c r="X948" i="3" a="1"/>
  <c r="X948" i="3" s="1"/>
  <c r="X947" i="3" a="1"/>
  <c r="X947" i="3" s="1"/>
  <c r="X946" i="3" a="1"/>
  <c r="X946" i="3" s="1"/>
  <c r="X945" i="3" a="1"/>
  <c r="X945" i="3" s="1"/>
  <c r="X944" i="3" a="1"/>
  <c r="X944" i="3" s="1"/>
  <c r="X943" i="3" a="1"/>
  <c r="X943" i="3" s="1"/>
  <c r="X942" i="3" a="1"/>
  <c r="X942" i="3" s="1"/>
  <c r="X941" i="3" a="1"/>
  <c r="X941" i="3" s="1"/>
  <c r="X940" i="3" a="1"/>
  <c r="X940" i="3" s="1"/>
  <c r="X939" i="3" a="1"/>
  <c r="X939" i="3" s="1"/>
  <c r="X938" i="3" a="1"/>
  <c r="X938" i="3" s="1"/>
  <c r="X937" i="3" a="1"/>
  <c r="X937" i="3" s="1"/>
  <c r="X936" i="3" a="1"/>
  <c r="X936" i="3" s="1"/>
  <c r="X935" i="3" a="1"/>
  <c r="X935" i="3" s="1"/>
  <c r="X934" i="3" a="1"/>
  <c r="X934" i="3" s="1"/>
  <c r="X933" i="3" a="1"/>
  <c r="X933" i="3" s="1"/>
  <c r="X932" i="3" a="1"/>
  <c r="X932" i="3" s="1"/>
  <c r="X931" i="3" a="1"/>
  <c r="X931" i="3" s="1"/>
  <c r="X930" i="3" a="1"/>
  <c r="X930" i="3" s="1"/>
  <c r="X929" i="3" a="1"/>
  <c r="X929" i="3" s="1"/>
  <c r="X928" i="3" a="1"/>
  <c r="X928" i="3" s="1"/>
  <c r="X927" i="3" a="1"/>
  <c r="X927" i="3" s="1"/>
  <c r="X926" i="3" a="1"/>
  <c r="X926" i="3" s="1"/>
  <c r="X925" i="3" a="1"/>
  <c r="X925" i="3" s="1"/>
  <c r="X924" i="3" a="1"/>
  <c r="X924" i="3" s="1"/>
  <c r="X923" i="3" a="1"/>
  <c r="X923" i="3" s="1"/>
  <c r="X922" i="3" a="1"/>
  <c r="X922" i="3" s="1"/>
  <c r="X921" i="3" a="1"/>
  <c r="X921" i="3" s="1"/>
  <c r="X920" i="3" a="1"/>
  <c r="X920" i="3" s="1"/>
  <c r="X919" i="3" a="1"/>
  <c r="X919" i="3" s="1"/>
  <c r="X918" i="3" a="1"/>
  <c r="X918" i="3" s="1"/>
  <c r="X917" i="3" a="1"/>
  <c r="X917" i="3" s="1"/>
  <c r="X916" i="3" a="1"/>
  <c r="X916" i="3" s="1"/>
  <c r="X915" i="3" a="1"/>
  <c r="X915" i="3" s="1"/>
  <c r="X914" i="3" a="1"/>
  <c r="X914" i="3" s="1"/>
  <c r="X913" i="3" a="1"/>
  <c r="X913" i="3" s="1"/>
  <c r="X912" i="3" a="1"/>
  <c r="X912" i="3" s="1"/>
  <c r="X911" i="3" a="1"/>
  <c r="X911" i="3" s="1"/>
  <c r="X910" i="3" a="1"/>
  <c r="X910" i="3" s="1"/>
  <c r="X909" i="3" a="1"/>
  <c r="X909" i="3" s="1"/>
  <c r="X908" i="3" a="1"/>
  <c r="X908" i="3" s="1"/>
  <c r="X907" i="3" a="1"/>
  <c r="X907" i="3" s="1"/>
  <c r="X906" i="3" a="1"/>
  <c r="X906" i="3" s="1"/>
  <c r="X905" i="3" a="1"/>
  <c r="X905" i="3" s="1"/>
  <c r="X904" i="3" a="1"/>
  <c r="X904" i="3" s="1"/>
  <c r="X903" i="3" a="1"/>
  <c r="X903" i="3" s="1"/>
  <c r="X902" i="3" a="1"/>
  <c r="X902" i="3" s="1"/>
  <c r="X901" i="3" a="1"/>
  <c r="X901" i="3" s="1"/>
  <c r="X900" i="3" a="1"/>
  <c r="X900" i="3" s="1"/>
  <c r="X899" i="3" a="1"/>
  <c r="X899" i="3" s="1"/>
  <c r="X898" i="3" a="1"/>
  <c r="X898" i="3" s="1"/>
  <c r="X897" i="3" a="1"/>
  <c r="X897" i="3" s="1"/>
  <c r="X896" i="3" a="1"/>
  <c r="X896" i="3" s="1"/>
  <c r="X895" i="3" a="1"/>
  <c r="X895" i="3" s="1"/>
  <c r="X894" i="3" a="1"/>
  <c r="X894" i="3" s="1"/>
  <c r="X893" i="3" a="1"/>
  <c r="X893" i="3" s="1"/>
  <c r="X892" i="3" a="1"/>
  <c r="X892" i="3" s="1"/>
  <c r="X891" i="3" a="1"/>
  <c r="X891" i="3" s="1"/>
  <c r="X890" i="3" a="1"/>
  <c r="X890" i="3" s="1"/>
  <c r="X889" i="3" a="1"/>
  <c r="X889" i="3" s="1"/>
  <c r="X888" i="3" a="1"/>
  <c r="X888" i="3" s="1"/>
  <c r="X887" i="3" a="1"/>
  <c r="X887" i="3" s="1"/>
  <c r="X886" i="3" a="1"/>
  <c r="X886" i="3" s="1"/>
  <c r="X885" i="3" a="1"/>
  <c r="X885" i="3" s="1"/>
  <c r="X884" i="3" a="1"/>
  <c r="X884" i="3" s="1"/>
  <c r="X883" i="3" a="1"/>
  <c r="X883" i="3" s="1"/>
  <c r="X882" i="3" a="1"/>
  <c r="X882" i="3" s="1"/>
  <c r="X881" i="3" a="1"/>
  <c r="X881" i="3" s="1"/>
  <c r="X880" i="3" a="1"/>
  <c r="X880" i="3" s="1"/>
  <c r="X879" i="3" a="1"/>
  <c r="X879" i="3" s="1"/>
  <c r="X878" i="3" a="1"/>
  <c r="X878" i="3" s="1"/>
  <c r="X877" i="3" a="1"/>
  <c r="X877" i="3" s="1"/>
  <c r="X876" i="3" a="1"/>
  <c r="X876" i="3" s="1"/>
  <c r="X875" i="3" a="1"/>
  <c r="X875" i="3" s="1"/>
  <c r="X874" i="3" a="1"/>
  <c r="X874" i="3" s="1"/>
  <c r="X873" i="3" a="1"/>
  <c r="X873" i="3" s="1"/>
  <c r="X872" i="3" a="1"/>
  <c r="X872" i="3" s="1"/>
  <c r="X871" i="3" a="1"/>
  <c r="X871" i="3" s="1"/>
  <c r="X870" i="3" a="1"/>
  <c r="X870" i="3" s="1"/>
  <c r="X869" i="3" a="1"/>
  <c r="X869" i="3" s="1"/>
  <c r="X868" i="3" a="1"/>
  <c r="X868" i="3" s="1"/>
  <c r="X867" i="3" a="1"/>
  <c r="X867" i="3" s="1"/>
  <c r="X866" i="3" a="1"/>
  <c r="X866" i="3" s="1"/>
  <c r="X865" i="3" a="1"/>
  <c r="X865" i="3" s="1"/>
  <c r="X864" i="3" a="1"/>
  <c r="X864" i="3" s="1"/>
  <c r="X863" i="3" a="1"/>
  <c r="X863" i="3" s="1"/>
  <c r="X862" i="3" a="1"/>
  <c r="X862" i="3" s="1"/>
  <c r="X861" i="3" a="1"/>
  <c r="X861" i="3" s="1"/>
  <c r="X860" i="3" a="1"/>
  <c r="X860" i="3" s="1"/>
  <c r="X859" i="3" a="1"/>
  <c r="X859" i="3" s="1"/>
  <c r="X858" i="3" a="1"/>
  <c r="X858" i="3" s="1"/>
  <c r="X857" i="3" a="1"/>
  <c r="X857" i="3" s="1"/>
  <c r="X856" i="3" a="1"/>
  <c r="X856" i="3" s="1"/>
  <c r="X855" i="3" a="1"/>
  <c r="X855" i="3" s="1"/>
  <c r="X854" i="3" a="1"/>
  <c r="X854" i="3" s="1"/>
  <c r="X853" i="3" a="1"/>
  <c r="X853" i="3" s="1"/>
  <c r="X852" i="3" a="1"/>
  <c r="X852" i="3" s="1"/>
  <c r="X851" i="3" a="1"/>
  <c r="X851" i="3" s="1"/>
  <c r="X850" i="3" a="1"/>
  <c r="X850" i="3" s="1"/>
  <c r="X849" i="3" a="1"/>
  <c r="X849" i="3" s="1"/>
  <c r="X848" i="3" a="1"/>
  <c r="X848" i="3" s="1"/>
  <c r="X847" i="3" a="1"/>
  <c r="X847" i="3" s="1"/>
  <c r="X846" i="3" a="1"/>
  <c r="X846" i="3" s="1"/>
  <c r="X845" i="3" a="1"/>
  <c r="X845" i="3" s="1"/>
  <c r="X844" i="3" a="1"/>
  <c r="X844" i="3" s="1"/>
  <c r="X843" i="3" a="1"/>
  <c r="X843" i="3" s="1"/>
  <c r="X842" i="3" a="1"/>
  <c r="X842" i="3" s="1"/>
  <c r="X841" i="3" a="1"/>
  <c r="X841" i="3" s="1"/>
  <c r="X840" i="3" a="1"/>
  <c r="X840" i="3" s="1"/>
  <c r="X839" i="3" a="1"/>
  <c r="X839" i="3" s="1"/>
  <c r="X838" i="3" a="1"/>
  <c r="X838" i="3" s="1"/>
  <c r="X837" i="3" a="1"/>
  <c r="X837" i="3" s="1"/>
  <c r="X836" i="3" a="1"/>
  <c r="X836" i="3" s="1"/>
  <c r="X835" i="3" a="1"/>
  <c r="X835" i="3" s="1"/>
  <c r="X834" i="3" a="1"/>
  <c r="X834" i="3" s="1"/>
  <c r="X833" i="3" a="1"/>
  <c r="X833" i="3" s="1"/>
  <c r="X832" i="3" a="1"/>
  <c r="X832" i="3" s="1"/>
  <c r="X831" i="3" a="1"/>
  <c r="X831" i="3" s="1"/>
  <c r="X830" i="3" a="1"/>
  <c r="X830" i="3" s="1"/>
  <c r="X829" i="3" a="1"/>
  <c r="X829" i="3" s="1"/>
  <c r="X828" i="3" a="1"/>
  <c r="X828" i="3" s="1"/>
  <c r="X827" i="3" a="1"/>
  <c r="X827" i="3" s="1"/>
  <c r="X826" i="3" a="1"/>
  <c r="X826" i="3" s="1"/>
  <c r="X825" i="3" a="1"/>
  <c r="X825" i="3" s="1"/>
  <c r="X824" i="3" a="1"/>
  <c r="X824" i="3" s="1"/>
  <c r="X823" i="3" a="1"/>
  <c r="X823" i="3" s="1"/>
  <c r="X822" i="3" a="1"/>
  <c r="X822" i="3" s="1"/>
  <c r="X821" i="3" a="1"/>
  <c r="X821" i="3" s="1"/>
  <c r="X820" i="3" a="1"/>
  <c r="X820" i="3" s="1"/>
  <c r="X819" i="3" a="1"/>
  <c r="X819" i="3" s="1"/>
  <c r="X818" i="3" a="1"/>
  <c r="X818" i="3" s="1"/>
  <c r="X817" i="3" a="1"/>
  <c r="X817" i="3" s="1"/>
  <c r="X816" i="3" a="1"/>
  <c r="X816" i="3" s="1"/>
  <c r="X815" i="3" a="1"/>
  <c r="X815" i="3" s="1"/>
  <c r="X814" i="3" a="1"/>
  <c r="X814" i="3" s="1"/>
  <c r="X813" i="3" a="1"/>
  <c r="X813" i="3" s="1"/>
  <c r="X812" i="3" a="1"/>
  <c r="X812" i="3" s="1"/>
  <c r="X811" i="3" a="1"/>
  <c r="X811" i="3" s="1"/>
  <c r="X810" i="3" a="1"/>
  <c r="X810" i="3" s="1"/>
  <c r="X809" i="3" a="1"/>
  <c r="X809" i="3" s="1"/>
  <c r="X808" i="3" a="1"/>
  <c r="X808" i="3" s="1"/>
  <c r="X807" i="3" a="1"/>
  <c r="X807" i="3" s="1"/>
  <c r="X806" i="3" a="1"/>
  <c r="X806" i="3" s="1"/>
  <c r="X805" i="3" a="1"/>
  <c r="X805" i="3" s="1"/>
  <c r="X804" i="3" a="1"/>
  <c r="X804" i="3" s="1"/>
  <c r="X803" i="3" a="1"/>
  <c r="X803" i="3" s="1"/>
  <c r="X802" i="3" a="1"/>
  <c r="X802" i="3" s="1"/>
  <c r="X801" i="3" a="1"/>
  <c r="X801" i="3" s="1"/>
  <c r="X800" i="3" a="1"/>
  <c r="X800" i="3" s="1"/>
  <c r="X799" i="3" a="1"/>
  <c r="X799" i="3" s="1"/>
  <c r="X798" i="3" a="1"/>
  <c r="X798" i="3" s="1"/>
  <c r="X797" i="3" a="1"/>
  <c r="X797" i="3" s="1"/>
  <c r="X796" i="3" a="1"/>
  <c r="X796" i="3" s="1"/>
  <c r="X795" i="3" a="1"/>
  <c r="X795" i="3" s="1"/>
  <c r="X794" i="3" a="1"/>
  <c r="X794" i="3" s="1"/>
  <c r="X793" i="3" a="1"/>
  <c r="X793" i="3" s="1"/>
  <c r="X792" i="3" a="1"/>
  <c r="X792" i="3" s="1"/>
  <c r="X791" i="3" a="1"/>
  <c r="X791" i="3" s="1"/>
  <c r="X790" i="3" a="1"/>
  <c r="X790" i="3" s="1"/>
  <c r="X789" i="3" a="1"/>
  <c r="X789" i="3" s="1"/>
  <c r="X788" i="3" a="1"/>
  <c r="X788" i="3" s="1"/>
  <c r="X787" i="3" a="1"/>
  <c r="X787" i="3" s="1"/>
  <c r="X786" i="3" a="1"/>
  <c r="X786" i="3" s="1"/>
  <c r="X785" i="3" a="1"/>
  <c r="X785" i="3" s="1"/>
  <c r="X784" i="3" a="1"/>
  <c r="X784" i="3" s="1"/>
  <c r="X783" i="3" a="1"/>
  <c r="X783" i="3" s="1"/>
  <c r="X782" i="3" a="1"/>
  <c r="X782" i="3" s="1"/>
  <c r="X781" i="3" a="1"/>
  <c r="X781" i="3" s="1"/>
  <c r="X780" i="3" a="1"/>
  <c r="X780" i="3" s="1"/>
  <c r="X779" i="3" a="1"/>
  <c r="X779" i="3" s="1"/>
  <c r="X778" i="3" a="1"/>
  <c r="X778" i="3" s="1"/>
  <c r="X777" i="3" a="1"/>
  <c r="X777" i="3" s="1"/>
  <c r="X776" i="3" a="1"/>
  <c r="X776" i="3" s="1"/>
  <c r="X775" i="3" a="1"/>
  <c r="X775" i="3" s="1"/>
  <c r="X774" i="3" a="1"/>
  <c r="X774" i="3" s="1"/>
  <c r="X773" i="3" a="1"/>
  <c r="X773" i="3" s="1"/>
  <c r="X772" i="3" a="1"/>
  <c r="X772" i="3" s="1"/>
  <c r="X771" i="3" a="1"/>
  <c r="X771" i="3" s="1"/>
  <c r="X770" i="3" a="1"/>
  <c r="X770" i="3" s="1"/>
  <c r="X769" i="3" a="1"/>
  <c r="X769" i="3" s="1"/>
  <c r="X768" i="3" a="1"/>
  <c r="X768" i="3" s="1"/>
  <c r="X767" i="3" a="1"/>
  <c r="X767" i="3" s="1"/>
  <c r="X766" i="3" a="1"/>
  <c r="X766" i="3" s="1"/>
  <c r="X765" i="3" a="1"/>
  <c r="X765" i="3" s="1"/>
  <c r="X764" i="3" a="1"/>
  <c r="X764" i="3" s="1"/>
  <c r="X763" i="3" a="1"/>
  <c r="X763" i="3" s="1"/>
  <c r="X762" i="3" a="1"/>
  <c r="X762" i="3" s="1"/>
  <c r="X761" i="3" a="1"/>
  <c r="X761" i="3" s="1"/>
  <c r="X760" i="3" a="1"/>
  <c r="X760" i="3" s="1"/>
  <c r="X759" i="3" a="1"/>
  <c r="X759" i="3" s="1"/>
  <c r="X758" i="3" a="1"/>
  <c r="X758" i="3" s="1"/>
  <c r="X757" i="3" a="1"/>
  <c r="X757" i="3" s="1"/>
  <c r="X756" i="3" a="1"/>
  <c r="X756" i="3" s="1"/>
  <c r="X755" i="3" a="1"/>
  <c r="X755" i="3" s="1"/>
  <c r="X754" i="3" a="1"/>
  <c r="X754" i="3" s="1"/>
  <c r="X753" i="3" a="1"/>
  <c r="X753" i="3" s="1"/>
  <c r="X752" i="3" a="1"/>
  <c r="X752" i="3" s="1"/>
  <c r="X751" i="3" a="1"/>
  <c r="X751" i="3" s="1"/>
  <c r="X750" i="3" a="1"/>
  <c r="X750" i="3" s="1"/>
  <c r="X749" i="3" a="1"/>
  <c r="X749" i="3" s="1"/>
  <c r="X748" i="3" a="1"/>
  <c r="X748" i="3" s="1"/>
  <c r="X747" i="3" a="1"/>
  <c r="X747" i="3" s="1"/>
  <c r="X746" i="3" a="1"/>
  <c r="X746" i="3" s="1"/>
  <c r="X745" i="3" a="1"/>
  <c r="X745" i="3" s="1"/>
  <c r="X744" i="3" a="1"/>
  <c r="X744" i="3" s="1"/>
  <c r="X743" i="3" a="1"/>
  <c r="X743" i="3" s="1"/>
  <c r="X742" i="3" a="1"/>
  <c r="X742" i="3" s="1"/>
  <c r="X741" i="3" a="1"/>
  <c r="X741" i="3" s="1"/>
  <c r="X740" i="3" a="1"/>
  <c r="X740" i="3" s="1"/>
  <c r="X739" i="3" a="1"/>
  <c r="X739" i="3" s="1"/>
  <c r="X738" i="3" a="1"/>
  <c r="X738" i="3" s="1"/>
  <c r="X737" i="3" a="1"/>
  <c r="X737" i="3" s="1"/>
  <c r="X736" i="3" a="1"/>
  <c r="X736" i="3" s="1"/>
  <c r="X735" i="3" a="1"/>
  <c r="X735" i="3" s="1"/>
  <c r="X734" i="3" a="1"/>
  <c r="X734" i="3" s="1"/>
  <c r="X733" i="3" a="1"/>
  <c r="X733" i="3" s="1"/>
  <c r="X732" i="3" a="1"/>
  <c r="X732" i="3" s="1"/>
  <c r="X731" i="3" a="1"/>
  <c r="X731" i="3" s="1"/>
  <c r="X730" i="3" a="1"/>
  <c r="X730" i="3" s="1"/>
  <c r="X729" i="3" a="1"/>
  <c r="X729" i="3" s="1"/>
  <c r="X728" i="3" a="1"/>
  <c r="X728" i="3" s="1"/>
  <c r="X727" i="3" a="1"/>
  <c r="X727" i="3" s="1"/>
  <c r="X726" i="3" a="1"/>
  <c r="X726" i="3" s="1"/>
  <c r="X725" i="3" a="1"/>
  <c r="X725" i="3" s="1"/>
  <c r="X724" i="3" a="1"/>
  <c r="X724" i="3" s="1"/>
  <c r="X723" i="3" a="1"/>
  <c r="X723" i="3" s="1"/>
  <c r="X722" i="3" a="1"/>
  <c r="X722" i="3" s="1"/>
  <c r="X721" i="3" a="1"/>
  <c r="X721" i="3" s="1"/>
  <c r="X720" i="3" a="1"/>
  <c r="X720" i="3" s="1"/>
  <c r="X719" i="3" a="1"/>
  <c r="X719" i="3" s="1"/>
  <c r="X718" i="3" a="1"/>
  <c r="X718" i="3" s="1"/>
  <c r="X717" i="3" a="1"/>
  <c r="X717" i="3" s="1"/>
  <c r="X716" i="3" a="1"/>
  <c r="X716" i="3" s="1"/>
  <c r="X715" i="3" a="1"/>
  <c r="X715" i="3" s="1"/>
  <c r="X714" i="3" a="1"/>
  <c r="X714" i="3" s="1"/>
  <c r="X713" i="3" a="1"/>
  <c r="X713" i="3" s="1"/>
  <c r="X712" i="3" a="1"/>
  <c r="X712" i="3" s="1"/>
  <c r="X711" i="3" a="1"/>
  <c r="X711" i="3" s="1"/>
  <c r="X710" i="3" a="1"/>
  <c r="X710" i="3" s="1"/>
  <c r="X709" i="3" a="1"/>
  <c r="X709" i="3" s="1"/>
  <c r="X708" i="3" a="1"/>
  <c r="X708" i="3" s="1"/>
  <c r="X707" i="3" a="1"/>
  <c r="X707" i="3" s="1"/>
  <c r="X706" i="3" a="1"/>
  <c r="X706" i="3" s="1"/>
  <c r="X705" i="3" a="1"/>
  <c r="X705" i="3" s="1"/>
  <c r="X704" i="3" a="1"/>
  <c r="X704" i="3" s="1"/>
  <c r="X703" i="3" a="1"/>
  <c r="X703" i="3" s="1"/>
  <c r="X702" i="3" a="1"/>
  <c r="X702" i="3" s="1"/>
  <c r="X701" i="3" a="1"/>
  <c r="X701" i="3" s="1"/>
  <c r="X700" i="3" a="1"/>
  <c r="X700" i="3" s="1"/>
  <c r="X699" i="3" a="1"/>
  <c r="X699" i="3" s="1"/>
  <c r="X698" i="3" a="1"/>
  <c r="X698" i="3" s="1"/>
  <c r="X697" i="3" a="1"/>
  <c r="X697" i="3" s="1"/>
  <c r="X696" i="3" a="1"/>
  <c r="X696" i="3" s="1"/>
  <c r="X695" i="3" a="1"/>
  <c r="X695" i="3" s="1"/>
  <c r="X694" i="3" a="1"/>
  <c r="X694" i="3" s="1"/>
  <c r="X693" i="3" a="1"/>
  <c r="X693" i="3" s="1"/>
  <c r="X692" i="3" a="1"/>
  <c r="X692" i="3" s="1"/>
  <c r="X691" i="3" a="1"/>
  <c r="X691" i="3" s="1"/>
  <c r="X690" i="3" a="1"/>
  <c r="X690" i="3" s="1"/>
  <c r="X689" i="3" a="1"/>
  <c r="X689" i="3" s="1"/>
  <c r="X688" i="3" a="1"/>
  <c r="X688" i="3" s="1"/>
  <c r="X687" i="3" a="1"/>
  <c r="X687" i="3" s="1"/>
  <c r="X686" i="3" a="1"/>
  <c r="X686" i="3" s="1"/>
  <c r="X685" i="3" a="1"/>
  <c r="X685" i="3" s="1"/>
  <c r="X684" i="3" a="1"/>
  <c r="X684" i="3" s="1"/>
  <c r="X683" i="3" a="1"/>
  <c r="X683" i="3" s="1"/>
  <c r="X682" i="3" a="1"/>
  <c r="X682" i="3" s="1"/>
  <c r="X681" i="3" a="1"/>
  <c r="X681" i="3" s="1"/>
  <c r="X680" i="3" a="1"/>
  <c r="X680" i="3" s="1"/>
  <c r="X679" i="3" a="1"/>
  <c r="X679" i="3" s="1"/>
  <c r="X678" i="3" a="1"/>
  <c r="X678" i="3" s="1"/>
  <c r="X677" i="3" a="1"/>
  <c r="X677" i="3" s="1"/>
  <c r="X676" i="3" a="1"/>
  <c r="X676" i="3" s="1"/>
  <c r="X675" i="3" a="1"/>
  <c r="X675" i="3" s="1"/>
  <c r="X674" i="3" a="1"/>
  <c r="X674" i="3" s="1"/>
  <c r="X673" i="3" a="1"/>
  <c r="X673" i="3" s="1"/>
  <c r="X672" i="3" a="1"/>
  <c r="X672" i="3" s="1"/>
  <c r="X671" i="3" a="1"/>
  <c r="X671" i="3" s="1"/>
  <c r="X670" i="3" a="1"/>
  <c r="X670" i="3" s="1"/>
  <c r="X669" i="3" a="1"/>
  <c r="X669" i="3" s="1"/>
  <c r="X668" i="3" a="1"/>
  <c r="X668" i="3" s="1"/>
  <c r="X667" i="3" a="1"/>
  <c r="X667" i="3" s="1"/>
  <c r="X666" i="3" a="1"/>
  <c r="X666" i="3" s="1"/>
  <c r="X665" i="3" a="1"/>
  <c r="X665" i="3" s="1"/>
  <c r="X664" i="3" a="1"/>
  <c r="X664" i="3" s="1"/>
  <c r="X663" i="3" a="1"/>
  <c r="X663" i="3" s="1"/>
  <c r="X662" i="3" a="1"/>
  <c r="X662" i="3" s="1"/>
  <c r="X661" i="3" a="1"/>
  <c r="X661" i="3" s="1"/>
  <c r="X660" i="3" a="1"/>
  <c r="X660" i="3" s="1"/>
  <c r="X659" i="3" a="1"/>
  <c r="X659" i="3" s="1"/>
  <c r="X658" i="3" a="1"/>
  <c r="X658" i="3" s="1"/>
  <c r="X657" i="3" a="1"/>
  <c r="X657" i="3" s="1"/>
  <c r="X656" i="3" a="1"/>
  <c r="X656" i="3" s="1"/>
  <c r="X655" i="3" a="1"/>
  <c r="X655" i="3" s="1"/>
  <c r="X654" i="3" a="1"/>
  <c r="X654" i="3" s="1"/>
  <c r="X653" i="3" a="1"/>
  <c r="X653" i="3" s="1"/>
  <c r="X652" i="3" a="1"/>
  <c r="X652" i="3" s="1"/>
  <c r="X651" i="3" a="1"/>
  <c r="X651" i="3" s="1"/>
  <c r="X650" i="3" a="1"/>
  <c r="X650" i="3" s="1"/>
  <c r="X649" i="3" a="1"/>
  <c r="X649" i="3" s="1"/>
  <c r="X648" i="3" a="1"/>
  <c r="X648" i="3" s="1"/>
  <c r="X647" i="3" a="1"/>
  <c r="X647" i="3" s="1"/>
  <c r="X646" i="3" a="1"/>
  <c r="X646" i="3" s="1"/>
  <c r="X645" i="3" a="1"/>
  <c r="X645" i="3" s="1"/>
  <c r="X644" i="3" a="1"/>
  <c r="X644" i="3" s="1"/>
  <c r="X643" i="3" a="1"/>
  <c r="X643" i="3" s="1"/>
  <c r="X642" i="3" a="1"/>
  <c r="X642" i="3" s="1"/>
  <c r="X641" i="3" a="1"/>
  <c r="X641" i="3" s="1"/>
  <c r="X640" i="3" a="1"/>
  <c r="X640" i="3" s="1"/>
  <c r="X639" i="3" a="1"/>
  <c r="X639" i="3" s="1"/>
  <c r="X638" i="3" a="1"/>
  <c r="X638" i="3" s="1"/>
  <c r="X637" i="3" a="1"/>
  <c r="X637" i="3" s="1"/>
  <c r="X636" i="3" a="1"/>
  <c r="X636" i="3" s="1"/>
  <c r="X635" i="3" a="1"/>
  <c r="X635" i="3" s="1"/>
  <c r="X634" i="3" a="1"/>
  <c r="X634" i="3" s="1"/>
  <c r="X633" i="3" a="1"/>
  <c r="X633" i="3" s="1"/>
  <c r="X632" i="3" a="1"/>
  <c r="X632" i="3" s="1"/>
  <c r="X631" i="3" a="1"/>
  <c r="X631" i="3" s="1"/>
  <c r="X630" i="3" a="1"/>
  <c r="X630" i="3" s="1"/>
  <c r="X629" i="3" a="1"/>
  <c r="X629" i="3" s="1"/>
  <c r="X628" i="3" a="1"/>
  <c r="X628" i="3" s="1"/>
  <c r="X627" i="3" a="1"/>
  <c r="X627" i="3" s="1"/>
  <c r="X626" i="3" a="1"/>
  <c r="X626" i="3" s="1"/>
  <c r="X625" i="3" a="1"/>
  <c r="X625" i="3" s="1"/>
  <c r="X624" i="3" a="1"/>
  <c r="X624" i="3" s="1"/>
  <c r="X623" i="3" a="1"/>
  <c r="X623" i="3" s="1"/>
  <c r="X622" i="3" a="1"/>
  <c r="X622" i="3" s="1"/>
  <c r="X621" i="3" a="1"/>
  <c r="X621" i="3" s="1"/>
  <c r="X620" i="3" a="1"/>
  <c r="X620" i="3" s="1"/>
  <c r="X619" i="3" a="1"/>
  <c r="X619" i="3" s="1"/>
  <c r="X618" i="3" a="1"/>
  <c r="X618" i="3" s="1"/>
  <c r="X617" i="3" a="1"/>
  <c r="X617" i="3" s="1"/>
  <c r="X616" i="3" a="1"/>
  <c r="X616" i="3" s="1"/>
  <c r="X615" i="3" a="1"/>
  <c r="X615" i="3" s="1"/>
  <c r="X614" i="3" a="1"/>
  <c r="X614" i="3" s="1"/>
  <c r="X613" i="3" a="1"/>
  <c r="X613" i="3" s="1"/>
  <c r="X612" i="3" a="1"/>
  <c r="X612" i="3" s="1"/>
  <c r="X611" i="3" a="1"/>
  <c r="X611" i="3" s="1"/>
  <c r="X610" i="3" a="1"/>
  <c r="X610" i="3" s="1"/>
  <c r="X609" i="3" a="1"/>
  <c r="X609" i="3" s="1"/>
  <c r="X608" i="3" a="1"/>
  <c r="X608" i="3" s="1"/>
  <c r="X607" i="3" a="1"/>
  <c r="X607" i="3" s="1"/>
  <c r="X606" i="3" a="1"/>
  <c r="X606" i="3" s="1"/>
  <c r="X605" i="3" a="1"/>
  <c r="X605" i="3" s="1"/>
  <c r="X604" i="3" a="1"/>
  <c r="X604" i="3" s="1"/>
  <c r="X603" i="3" a="1"/>
  <c r="X603" i="3" s="1"/>
  <c r="X602" i="3" a="1"/>
  <c r="X602" i="3" s="1"/>
  <c r="X601" i="3" a="1"/>
  <c r="X601" i="3" s="1"/>
  <c r="X600" i="3" a="1"/>
  <c r="X600" i="3" s="1"/>
  <c r="X599" i="3" a="1"/>
  <c r="X599" i="3" s="1"/>
  <c r="X598" i="3" a="1"/>
  <c r="X598" i="3" s="1"/>
  <c r="X597" i="3" a="1"/>
  <c r="X597" i="3" s="1"/>
  <c r="X596" i="3" a="1"/>
  <c r="X596" i="3" s="1"/>
  <c r="X595" i="3" a="1"/>
  <c r="X595" i="3" s="1"/>
  <c r="X594" i="3" a="1"/>
  <c r="X594" i="3" s="1"/>
  <c r="X593" i="3" a="1"/>
  <c r="X593" i="3" s="1"/>
  <c r="X592" i="3" a="1"/>
  <c r="X592" i="3" s="1"/>
  <c r="X591" i="3" a="1"/>
  <c r="X591" i="3" s="1"/>
  <c r="X590" i="3" a="1"/>
  <c r="X590" i="3" s="1"/>
  <c r="X589" i="3" a="1"/>
  <c r="X589" i="3" s="1"/>
  <c r="X588" i="3" a="1"/>
  <c r="X588" i="3" s="1"/>
  <c r="X587" i="3" a="1"/>
  <c r="X587" i="3" s="1"/>
  <c r="X586" i="3" a="1"/>
  <c r="X586" i="3" s="1"/>
  <c r="X585" i="3" a="1"/>
  <c r="X585" i="3" s="1"/>
  <c r="X584" i="3" a="1"/>
  <c r="X584" i="3" s="1"/>
  <c r="X583" i="3" a="1"/>
  <c r="X583" i="3" s="1"/>
  <c r="X582" i="3" a="1"/>
  <c r="X582" i="3" s="1"/>
  <c r="X581" i="3" a="1"/>
  <c r="X581" i="3" s="1"/>
  <c r="X580" i="3" a="1"/>
  <c r="X580" i="3" s="1"/>
  <c r="X579" i="3" a="1"/>
  <c r="X579" i="3" s="1"/>
  <c r="X578" i="3" a="1"/>
  <c r="X578" i="3" s="1"/>
  <c r="X577" i="3" a="1"/>
  <c r="X577" i="3" s="1"/>
  <c r="X576" i="3" a="1"/>
  <c r="X576" i="3" s="1"/>
  <c r="X575" i="3" a="1"/>
  <c r="X575" i="3" s="1"/>
  <c r="X574" i="3" a="1"/>
  <c r="X574" i="3" s="1"/>
  <c r="X573" i="3" a="1"/>
  <c r="X573" i="3" s="1"/>
  <c r="X572" i="3" a="1"/>
  <c r="X572" i="3" s="1"/>
  <c r="X571" i="3" a="1"/>
  <c r="X571" i="3" s="1"/>
  <c r="X570" i="3" a="1"/>
  <c r="X570" i="3" s="1"/>
  <c r="X569" i="3" a="1"/>
  <c r="X569" i="3" s="1"/>
  <c r="X568" i="3" a="1"/>
  <c r="X568" i="3" s="1"/>
  <c r="X567" i="3" a="1"/>
  <c r="X567" i="3" s="1"/>
  <c r="X566" i="3" a="1"/>
  <c r="X566" i="3" s="1"/>
  <c r="X565" i="3" a="1"/>
  <c r="X565" i="3" s="1"/>
  <c r="X564" i="3" a="1"/>
  <c r="X564" i="3" s="1"/>
  <c r="X563" i="3" a="1"/>
  <c r="X563" i="3" s="1"/>
  <c r="X562" i="3" a="1"/>
  <c r="X562" i="3" s="1"/>
  <c r="X561" i="3" a="1"/>
  <c r="X561" i="3" s="1"/>
  <c r="X560" i="3" a="1"/>
  <c r="X560" i="3" s="1"/>
  <c r="X559" i="3" a="1"/>
  <c r="X559" i="3" s="1"/>
  <c r="X558" i="3" a="1"/>
  <c r="X558" i="3" s="1"/>
  <c r="X557" i="3" a="1"/>
  <c r="X557" i="3" s="1"/>
  <c r="X556" i="3" a="1"/>
  <c r="X556" i="3" s="1"/>
  <c r="X555" i="3" a="1"/>
  <c r="X555" i="3" s="1"/>
  <c r="X554" i="3" a="1"/>
  <c r="X554" i="3" s="1"/>
  <c r="X553" i="3" a="1"/>
  <c r="X553" i="3" s="1"/>
  <c r="X552" i="3" a="1"/>
  <c r="X552" i="3" s="1"/>
  <c r="X551" i="3" a="1"/>
  <c r="X551" i="3" s="1"/>
  <c r="X550" i="3" a="1"/>
  <c r="X550" i="3" s="1"/>
  <c r="X549" i="3" a="1"/>
  <c r="X549" i="3" s="1"/>
  <c r="X548" i="3" a="1"/>
  <c r="X548" i="3" s="1"/>
  <c r="X547" i="3" a="1"/>
  <c r="X547" i="3" s="1"/>
  <c r="X546" i="3" a="1"/>
  <c r="X546" i="3" s="1"/>
  <c r="X545" i="3" a="1"/>
  <c r="X545" i="3" s="1"/>
  <c r="X544" i="3" a="1"/>
  <c r="X544" i="3" s="1"/>
  <c r="X543" i="3" a="1"/>
  <c r="X543" i="3" s="1"/>
  <c r="X542" i="3" a="1"/>
  <c r="X542" i="3" s="1"/>
  <c r="X541" i="3" a="1"/>
  <c r="X541" i="3" s="1"/>
  <c r="X540" i="3" a="1"/>
  <c r="X540" i="3" s="1"/>
  <c r="X539" i="3" a="1"/>
  <c r="X539" i="3" s="1"/>
  <c r="X538" i="3" a="1"/>
  <c r="X538" i="3" s="1"/>
  <c r="X537" i="3" a="1"/>
  <c r="X537" i="3" s="1"/>
  <c r="X536" i="3" a="1"/>
  <c r="X536" i="3" s="1"/>
  <c r="X535" i="3" a="1"/>
  <c r="X535" i="3" s="1"/>
  <c r="X534" i="3" a="1"/>
  <c r="X534" i="3" s="1"/>
  <c r="X533" i="3" a="1"/>
  <c r="X533" i="3" s="1"/>
  <c r="X532" i="3" a="1"/>
  <c r="X532" i="3" s="1"/>
  <c r="X531" i="3" a="1"/>
  <c r="X531" i="3" s="1"/>
  <c r="X530" i="3" a="1"/>
  <c r="X530" i="3" s="1"/>
  <c r="X529" i="3" a="1"/>
  <c r="X529" i="3" s="1"/>
  <c r="X528" i="3" a="1"/>
  <c r="X528" i="3" s="1"/>
  <c r="X527" i="3" a="1"/>
  <c r="X527" i="3" s="1"/>
  <c r="X526" i="3" a="1"/>
  <c r="X526" i="3" s="1"/>
  <c r="X525" i="3" a="1"/>
  <c r="X525" i="3" s="1"/>
  <c r="X524" i="3" a="1"/>
  <c r="X524" i="3" s="1"/>
  <c r="X523" i="3" a="1"/>
  <c r="X523" i="3" s="1"/>
  <c r="X522" i="3" a="1"/>
  <c r="X522" i="3" s="1"/>
  <c r="X521" i="3" a="1"/>
  <c r="X521" i="3" s="1"/>
  <c r="X520" i="3" a="1"/>
  <c r="X520" i="3" s="1"/>
  <c r="X519" i="3" a="1"/>
  <c r="X519" i="3" s="1"/>
  <c r="X518" i="3" a="1"/>
  <c r="X518" i="3" s="1"/>
  <c r="X517" i="3" a="1"/>
  <c r="X517" i="3" s="1"/>
  <c r="X516" i="3" a="1"/>
  <c r="X516" i="3" s="1"/>
  <c r="X515" i="3" a="1"/>
  <c r="X515" i="3" s="1"/>
  <c r="X514" i="3" a="1"/>
  <c r="X514" i="3" s="1"/>
  <c r="X513" i="3" a="1"/>
  <c r="X513" i="3" s="1"/>
  <c r="X512" i="3" a="1"/>
  <c r="X512" i="3" s="1"/>
  <c r="X511" i="3" a="1"/>
  <c r="X511" i="3" s="1"/>
  <c r="X510" i="3" a="1"/>
  <c r="X510" i="3" s="1"/>
  <c r="X509" i="3" a="1"/>
  <c r="X509" i="3" s="1"/>
  <c r="X508" i="3" a="1"/>
  <c r="X508" i="3" s="1"/>
  <c r="X507" i="3" a="1"/>
  <c r="X507" i="3" s="1"/>
  <c r="X506" i="3" a="1"/>
  <c r="X506" i="3" s="1"/>
  <c r="X505" i="3" a="1"/>
  <c r="X505" i="3" s="1"/>
  <c r="X504" i="3" a="1"/>
  <c r="X504" i="3" s="1"/>
  <c r="X503" i="3" a="1"/>
  <c r="X503" i="3" s="1"/>
  <c r="W1000" i="3" a="1"/>
  <c r="W1000" i="3" s="1"/>
  <c r="W999" i="3" a="1"/>
  <c r="W999" i="3" s="1"/>
  <c r="W998" i="3" a="1"/>
  <c r="W998" i="3" s="1"/>
  <c r="W997" i="3" a="1"/>
  <c r="W997" i="3" s="1"/>
  <c r="W996" i="3" a="1"/>
  <c r="W996" i="3" s="1"/>
  <c r="W995" i="3" a="1"/>
  <c r="W995" i="3" s="1"/>
  <c r="W994" i="3" a="1"/>
  <c r="W994" i="3" s="1"/>
  <c r="W993" i="3" a="1"/>
  <c r="W993" i="3" s="1"/>
  <c r="W992" i="3" a="1"/>
  <c r="W992" i="3" s="1"/>
  <c r="W991" i="3" a="1"/>
  <c r="W991" i="3" s="1"/>
  <c r="W990" i="3" a="1"/>
  <c r="W990" i="3" s="1"/>
  <c r="W989" i="3" a="1"/>
  <c r="W989" i="3" s="1"/>
  <c r="W988" i="3" a="1"/>
  <c r="W988" i="3" s="1"/>
  <c r="W987" i="3" a="1"/>
  <c r="W987" i="3" s="1"/>
  <c r="W986" i="3" a="1"/>
  <c r="W986" i="3" s="1"/>
  <c r="W985" i="3" a="1"/>
  <c r="W985" i="3" s="1"/>
  <c r="W984" i="3" a="1"/>
  <c r="W984" i="3" s="1"/>
  <c r="W983" i="3" a="1"/>
  <c r="W983" i="3" s="1"/>
  <c r="W982" i="3" a="1"/>
  <c r="W982" i="3" s="1"/>
  <c r="W981" i="3" a="1"/>
  <c r="W981" i="3" s="1"/>
  <c r="W980" i="3" a="1"/>
  <c r="W980" i="3" s="1"/>
  <c r="W979" i="3" a="1"/>
  <c r="W979" i="3" s="1"/>
  <c r="W978" i="3" a="1"/>
  <c r="W978" i="3" s="1"/>
  <c r="W977" i="3" a="1"/>
  <c r="W977" i="3" s="1"/>
  <c r="W976" i="3" a="1"/>
  <c r="W976" i="3" s="1"/>
  <c r="W975" i="3" a="1"/>
  <c r="W975" i="3" s="1"/>
  <c r="W974" i="3" a="1"/>
  <c r="W974" i="3" s="1"/>
  <c r="W973" i="3" a="1"/>
  <c r="W973" i="3" s="1"/>
  <c r="W972" i="3" a="1"/>
  <c r="W972" i="3" s="1"/>
  <c r="W971" i="3" a="1"/>
  <c r="W971" i="3" s="1"/>
  <c r="W970" i="3" a="1"/>
  <c r="W970" i="3" s="1"/>
  <c r="W969" i="3" a="1"/>
  <c r="W969" i="3" s="1"/>
  <c r="W968" i="3" a="1"/>
  <c r="W968" i="3" s="1"/>
  <c r="W967" i="3" a="1"/>
  <c r="W967" i="3" s="1"/>
  <c r="W966" i="3" a="1"/>
  <c r="W966" i="3" s="1"/>
  <c r="W965" i="3" a="1"/>
  <c r="W965" i="3" s="1"/>
  <c r="W964" i="3" a="1"/>
  <c r="W964" i="3" s="1"/>
  <c r="W963" i="3" a="1"/>
  <c r="W963" i="3" s="1"/>
  <c r="W962" i="3" a="1"/>
  <c r="W962" i="3" s="1"/>
  <c r="W961" i="3" a="1"/>
  <c r="W961" i="3" s="1"/>
  <c r="W960" i="3" a="1"/>
  <c r="W960" i="3" s="1"/>
  <c r="W959" i="3" a="1"/>
  <c r="W959" i="3" s="1"/>
  <c r="W958" i="3" a="1"/>
  <c r="W958" i="3" s="1"/>
  <c r="W957" i="3" a="1"/>
  <c r="W957" i="3" s="1"/>
  <c r="W956" i="3" a="1"/>
  <c r="W956" i="3" s="1"/>
  <c r="W955" i="3" a="1"/>
  <c r="W955" i="3" s="1"/>
  <c r="W954" i="3" a="1"/>
  <c r="W954" i="3" s="1"/>
  <c r="W953" i="3" a="1"/>
  <c r="W953" i="3" s="1"/>
  <c r="W952" i="3" a="1"/>
  <c r="W952" i="3" s="1"/>
  <c r="W951" i="3" a="1"/>
  <c r="W951" i="3" s="1"/>
  <c r="W950" i="3" a="1"/>
  <c r="W950" i="3" s="1"/>
  <c r="W949" i="3" a="1"/>
  <c r="W949" i="3" s="1"/>
  <c r="W948" i="3" a="1"/>
  <c r="W948" i="3" s="1"/>
  <c r="W947" i="3" a="1"/>
  <c r="W947" i="3" s="1"/>
  <c r="W946" i="3" a="1"/>
  <c r="W946" i="3" s="1"/>
  <c r="W945" i="3" a="1"/>
  <c r="W945" i="3" s="1"/>
  <c r="W944" i="3" a="1"/>
  <c r="W944" i="3" s="1"/>
  <c r="W943" i="3" a="1"/>
  <c r="W943" i="3" s="1"/>
  <c r="W942" i="3" a="1"/>
  <c r="W942" i="3" s="1"/>
  <c r="W941" i="3" a="1"/>
  <c r="W941" i="3" s="1"/>
  <c r="W940" i="3" a="1"/>
  <c r="W940" i="3" s="1"/>
  <c r="W939" i="3" a="1"/>
  <c r="W939" i="3" s="1"/>
  <c r="W938" i="3" a="1"/>
  <c r="W938" i="3" s="1"/>
  <c r="W937" i="3" a="1"/>
  <c r="W937" i="3" s="1"/>
  <c r="W936" i="3" a="1"/>
  <c r="W936" i="3" s="1"/>
  <c r="W935" i="3" a="1"/>
  <c r="W935" i="3" s="1"/>
  <c r="W934" i="3" a="1"/>
  <c r="W934" i="3" s="1"/>
  <c r="W933" i="3" a="1"/>
  <c r="W933" i="3" s="1"/>
  <c r="W932" i="3" a="1"/>
  <c r="W932" i="3" s="1"/>
  <c r="W931" i="3" a="1"/>
  <c r="W931" i="3" s="1"/>
  <c r="W930" i="3" a="1"/>
  <c r="W930" i="3" s="1"/>
  <c r="W929" i="3" a="1"/>
  <c r="W929" i="3" s="1"/>
  <c r="W928" i="3" a="1"/>
  <c r="W928" i="3" s="1"/>
  <c r="W927" i="3" a="1"/>
  <c r="W927" i="3" s="1"/>
  <c r="W926" i="3" a="1"/>
  <c r="W926" i="3" s="1"/>
  <c r="W925" i="3" a="1"/>
  <c r="W925" i="3" s="1"/>
  <c r="W924" i="3" a="1"/>
  <c r="W924" i="3" s="1"/>
  <c r="W923" i="3" a="1"/>
  <c r="W923" i="3" s="1"/>
  <c r="W922" i="3" a="1"/>
  <c r="W922" i="3" s="1"/>
  <c r="W921" i="3" a="1"/>
  <c r="W921" i="3" s="1"/>
  <c r="W920" i="3" a="1"/>
  <c r="W920" i="3" s="1"/>
  <c r="W919" i="3" a="1"/>
  <c r="W919" i="3" s="1"/>
  <c r="W918" i="3" a="1"/>
  <c r="W918" i="3" s="1"/>
  <c r="W917" i="3" a="1"/>
  <c r="W917" i="3" s="1"/>
  <c r="W916" i="3" a="1"/>
  <c r="W916" i="3" s="1"/>
  <c r="W915" i="3" a="1"/>
  <c r="W915" i="3" s="1"/>
  <c r="W914" i="3" a="1"/>
  <c r="W914" i="3" s="1"/>
  <c r="W913" i="3" a="1"/>
  <c r="W913" i="3" s="1"/>
  <c r="W912" i="3" a="1"/>
  <c r="W912" i="3" s="1"/>
  <c r="W911" i="3" a="1"/>
  <c r="W911" i="3" s="1"/>
  <c r="W910" i="3" a="1"/>
  <c r="W910" i="3" s="1"/>
  <c r="W909" i="3" a="1"/>
  <c r="W909" i="3" s="1"/>
  <c r="W908" i="3" a="1"/>
  <c r="W908" i="3" s="1"/>
  <c r="W907" i="3" a="1"/>
  <c r="W907" i="3" s="1"/>
  <c r="W906" i="3" a="1"/>
  <c r="W906" i="3" s="1"/>
  <c r="W905" i="3" a="1"/>
  <c r="W905" i="3" s="1"/>
  <c r="W904" i="3" a="1"/>
  <c r="W904" i="3" s="1"/>
  <c r="W903" i="3" a="1"/>
  <c r="W903" i="3" s="1"/>
  <c r="W902" i="3" a="1"/>
  <c r="W902" i="3" s="1"/>
  <c r="W901" i="3" a="1"/>
  <c r="W901" i="3" s="1"/>
  <c r="W900" i="3" a="1"/>
  <c r="W900" i="3" s="1"/>
  <c r="W899" i="3" a="1"/>
  <c r="W899" i="3" s="1"/>
  <c r="W898" i="3" a="1"/>
  <c r="W898" i="3" s="1"/>
  <c r="W897" i="3" a="1"/>
  <c r="W897" i="3" s="1"/>
  <c r="W896" i="3" a="1"/>
  <c r="W896" i="3" s="1"/>
  <c r="W895" i="3" a="1"/>
  <c r="W895" i="3" s="1"/>
  <c r="W894" i="3" a="1"/>
  <c r="W894" i="3" s="1"/>
  <c r="W893" i="3" a="1"/>
  <c r="W893" i="3" s="1"/>
  <c r="W892" i="3" a="1"/>
  <c r="W892" i="3" s="1"/>
  <c r="W891" i="3" a="1"/>
  <c r="W891" i="3" s="1"/>
  <c r="W890" i="3" a="1"/>
  <c r="W890" i="3" s="1"/>
  <c r="W889" i="3" a="1"/>
  <c r="W889" i="3" s="1"/>
  <c r="W888" i="3" a="1"/>
  <c r="W888" i="3" s="1"/>
  <c r="W887" i="3" a="1"/>
  <c r="W887" i="3" s="1"/>
  <c r="W886" i="3" a="1"/>
  <c r="W886" i="3" s="1"/>
  <c r="W885" i="3" a="1"/>
  <c r="W885" i="3" s="1"/>
  <c r="W884" i="3" a="1"/>
  <c r="W884" i="3" s="1"/>
  <c r="W883" i="3" a="1"/>
  <c r="W883" i="3" s="1"/>
  <c r="W882" i="3" a="1"/>
  <c r="W882" i="3" s="1"/>
  <c r="W881" i="3" a="1"/>
  <c r="W881" i="3" s="1"/>
  <c r="W880" i="3" a="1"/>
  <c r="W880" i="3" s="1"/>
  <c r="W879" i="3" a="1"/>
  <c r="W879" i="3" s="1"/>
  <c r="W878" i="3" a="1"/>
  <c r="W878" i="3" s="1"/>
  <c r="W877" i="3" a="1"/>
  <c r="W877" i="3" s="1"/>
  <c r="W876" i="3" a="1"/>
  <c r="W876" i="3" s="1"/>
  <c r="W875" i="3" a="1"/>
  <c r="W875" i="3" s="1"/>
  <c r="W874" i="3" a="1"/>
  <c r="W874" i="3" s="1"/>
  <c r="W873" i="3" a="1"/>
  <c r="W873" i="3" s="1"/>
  <c r="W872" i="3" a="1"/>
  <c r="W872" i="3" s="1"/>
  <c r="W871" i="3" a="1"/>
  <c r="W871" i="3" s="1"/>
  <c r="W870" i="3" a="1"/>
  <c r="W870" i="3" s="1"/>
  <c r="W869" i="3" a="1"/>
  <c r="W869" i="3" s="1"/>
  <c r="W868" i="3" a="1"/>
  <c r="W868" i="3" s="1"/>
  <c r="W867" i="3" a="1"/>
  <c r="W867" i="3" s="1"/>
  <c r="W866" i="3" a="1"/>
  <c r="W866" i="3" s="1"/>
  <c r="W865" i="3" a="1"/>
  <c r="W865" i="3" s="1"/>
  <c r="W864" i="3" a="1"/>
  <c r="W864" i="3" s="1"/>
  <c r="W863" i="3" a="1"/>
  <c r="W863" i="3" s="1"/>
  <c r="W862" i="3" a="1"/>
  <c r="W862" i="3" s="1"/>
  <c r="W861" i="3" a="1"/>
  <c r="W861" i="3" s="1"/>
  <c r="W860" i="3" a="1"/>
  <c r="W860" i="3" s="1"/>
  <c r="W859" i="3" a="1"/>
  <c r="W859" i="3" s="1"/>
  <c r="W858" i="3" a="1"/>
  <c r="W858" i="3" s="1"/>
  <c r="W857" i="3" a="1"/>
  <c r="W857" i="3" s="1"/>
  <c r="W856" i="3" a="1"/>
  <c r="W856" i="3" s="1"/>
  <c r="W855" i="3" a="1"/>
  <c r="W855" i="3" s="1"/>
  <c r="W854" i="3" a="1"/>
  <c r="W854" i="3" s="1"/>
  <c r="W853" i="3" a="1"/>
  <c r="W853" i="3" s="1"/>
  <c r="W852" i="3" a="1"/>
  <c r="W852" i="3" s="1"/>
  <c r="W851" i="3" a="1"/>
  <c r="W851" i="3" s="1"/>
  <c r="W850" i="3" a="1"/>
  <c r="W850" i="3" s="1"/>
  <c r="W849" i="3" a="1"/>
  <c r="W849" i="3" s="1"/>
  <c r="W848" i="3" a="1"/>
  <c r="W848" i="3" s="1"/>
  <c r="W847" i="3" a="1"/>
  <c r="W847" i="3" s="1"/>
  <c r="W846" i="3" a="1"/>
  <c r="W846" i="3" s="1"/>
  <c r="W845" i="3" a="1"/>
  <c r="W845" i="3" s="1"/>
  <c r="W844" i="3" a="1"/>
  <c r="W844" i="3" s="1"/>
  <c r="W843" i="3" a="1"/>
  <c r="W843" i="3" s="1"/>
  <c r="W842" i="3" a="1"/>
  <c r="W842" i="3" s="1"/>
  <c r="W841" i="3" a="1"/>
  <c r="W841" i="3" s="1"/>
  <c r="W840" i="3" a="1"/>
  <c r="W840" i="3" s="1"/>
  <c r="W839" i="3" a="1"/>
  <c r="W839" i="3" s="1"/>
  <c r="W838" i="3" a="1"/>
  <c r="W838" i="3" s="1"/>
  <c r="W837" i="3" a="1"/>
  <c r="W837" i="3" s="1"/>
  <c r="W836" i="3" a="1"/>
  <c r="W836" i="3" s="1"/>
  <c r="W835" i="3" a="1"/>
  <c r="W835" i="3" s="1"/>
  <c r="W834" i="3" a="1"/>
  <c r="W834" i="3" s="1"/>
  <c r="W833" i="3" a="1"/>
  <c r="W833" i="3" s="1"/>
  <c r="W832" i="3" a="1"/>
  <c r="W832" i="3" s="1"/>
  <c r="W831" i="3" a="1"/>
  <c r="W831" i="3" s="1"/>
  <c r="W830" i="3" a="1"/>
  <c r="W830" i="3" s="1"/>
  <c r="W829" i="3" a="1"/>
  <c r="W829" i="3" s="1"/>
  <c r="W828" i="3" a="1"/>
  <c r="W828" i="3" s="1"/>
  <c r="W827" i="3" a="1"/>
  <c r="W827" i="3" s="1"/>
  <c r="W826" i="3" a="1"/>
  <c r="W826" i="3" s="1"/>
  <c r="W825" i="3" a="1"/>
  <c r="W825" i="3" s="1"/>
  <c r="W824" i="3" a="1"/>
  <c r="W824" i="3" s="1"/>
  <c r="W823" i="3" a="1"/>
  <c r="W823" i="3" s="1"/>
  <c r="W822" i="3" a="1"/>
  <c r="W822" i="3" s="1"/>
  <c r="W821" i="3" a="1"/>
  <c r="W821" i="3" s="1"/>
  <c r="W820" i="3" a="1"/>
  <c r="W820" i="3" s="1"/>
  <c r="W819" i="3" a="1"/>
  <c r="W819" i="3" s="1"/>
  <c r="W818" i="3" a="1"/>
  <c r="W818" i="3" s="1"/>
  <c r="W817" i="3" a="1"/>
  <c r="W817" i="3" s="1"/>
  <c r="W816" i="3" a="1"/>
  <c r="W816" i="3" s="1"/>
  <c r="W815" i="3" a="1"/>
  <c r="W815" i="3" s="1"/>
  <c r="W814" i="3" a="1"/>
  <c r="W814" i="3" s="1"/>
  <c r="W813" i="3" a="1"/>
  <c r="W813" i="3" s="1"/>
  <c r="W812" i="3" a="1"/>
  <c r="W812" i="3" s="1"/>
  <c r="W811" i="3" a="1"/>
  <c r="W811" i="3" s="1"/>
  <c r="W810" i="3" a="1"/>
  <c r="W810" i="3" s="1"/>
  <c r="W809" i="3" a="1"/>
  <c r="W809" i="3" s="1"/>
  <c r="W808" i="3" a="1"/>
  <c r="W808" i="3" s="1"/>
  <c r="W807" i="3" a="1"/>
  <c r="W807" i="3" s="1"/>
  <c r="W806" i="3" a="1"/>
  <c r="W806" i="3" s="1"/>
  <c r="W805" i="3" a="1"/>
  <c r="W805" i="3" s="1"/>
  <c r="W804" i="3" a="1"/>
  <c r="W804" i="3" s="1"/>
  <c r="W803" i="3" a="1"/>
  <c r="W803" i="3" s="1"/>
  <c r="W802" i="3" a="1"/>
  <c r="W802" i="3" s="1"/>
  <c r="W801" i="3" a="1"/>
  <c r="W801" i="3" s="1"/>
  <c r="W800" i="3" a="1"/>
  <c r="W800" i="3" s="1"/>
  <c r="W799" i="3" a="1"/>
  <c r="W799" i="3" s="1"/>
  <c r="W798" i="3" a="1"/>
  <c r="W798" i="3" s="1"/>
  <c r="W797" i="3" a="1"/>
  <c r="W797" i="3" s="1"/>
  <c r="W796" i="3" a="1"/>
  <c r="W796" i="3" s="1"/>
  <c r="W795" i="3" a="1"/>
  <c r="W795" i="3" s="1"/>
  <c r="W794" i="3" a="1"/>
  <c r="W794" i="3" s="1"/>
  <c r="W793" i="3" a="1"/>
  <c r="W793" i="3" s="1"/>
  <c r="W792" i="3" a="1"/>
  <c r="W792" i="3" s="1"/>
  <c r="W791" i="3" a="1"/>
  <c r="W791" i="3" s="1"/>
  <c r="W790" i="3" a="1"/>
  <c r="W790" i="3" s="1"/>
  <c r="W789" i="3" a="1"/>
  <c r="W789" i="3" s="1"/>
  <c r="W788" i="3" a="1"/>
  <c r="W788" i="3" s="1"/>
  <c r="W787" i="3" a="1"/>
  <c r="W787" i="3" s="1"/>
  <c r="W786" i="3" a="1"/>
  <c r="W786" i="3" s="1"/>
  <c r="W785" i="3" a="1"/>
  <c r="W785" i="3" s="1"/>
  <c r="W784" i="3" a="1"/>
  <c r="W784" i="3" s="1"/>
  <c r="W783" i="3" a="1"/>
  <c r="W783" i="3" s="1"/>
  <c r="W782" i="3" a="1"/>
  <c r="W782" i="3" s="1"/>
  <c r="W781" i="3" a="1"/>
  <c r="W781" i="3" s="1"/>
  <c r="W780" i="3" a="1"/>
  <c r="W780" i="3" s="1"/>
  <c r="W779" i="3" a="1"/>
  <c r="W779" i="3" s="1"/>
  <c r="W778" i="3" a="1"/>
  <c r="W778" i="3" s="1"/>
  <c r="W777" i="3" a="1"/>
  <c r="W777" i="3" s="1"/>
  <c r="W776" i="3" a="1"/>
  <c r="W776" i="3" s="1"/>
  <c r="W775" i="3" a="1"/>
  <c r="W775" i="3" s="1"/>
  <c r="W774" i="3" a="1"/>
  <c r="W774" i="3" s="1"/>
  <c r="W773" i="3" a="1"/>
  <c r="W773" i="3" s="1"/>
  <c r="W772" i="3" a="1"/>
  <c r="W772" i="3" s="1"/>
  <c r="W771" i="3" a="1"/>
  <c r="W771" i="3" s="1"/>
  <c r="W770" i="3" a="1"/>
  <c r="W770" i="3" s="1"/>
  <c r="W769" i="3" a="1"/>
  <c r="W769" i="3" s="1"/>
  <c r="W768" i="3" a="1"/>
  <c r="W768" i="3" s="1"/>
  <c r="W767" i="3" a="1"/>
  <c r="W767" i="3" s="1"/>
  <c r="W766" i="3" a="1"/>
  <c r="W766" i="3" s="1"/>
  <c r="W765" i="3" a="1"/>
  <c r="W765" i="3" s="1"/>
  <c r="W764" i="3" a="1"/>
  <c r="W764" i="3" s="1"/>
  <c r="W763" i="3" a="1"/>
  <c r="W763" i="3" s="1"/>
  <c r="W762" i="3" a="1"/>
  <c r="W762" i="3" s="1"/>
  <c r="W761" i="3" a="1"/>
  <c r="W761" i="3" s="1"/>
  <c r="W760" i="3" a="1"/>
  <c r="W760" i="3" s="1"/>
  <c r="W759" i="3" a="1"/>
  <c r="W759" i="3" s="1"/>
  <c r="W758" i="3" a="1"/>
  <c r="W758" i="3" s="1"/>
  <c r="W757" i="3" a="1"/>
  <c r="W757" i="3" s="1"/>
  <c r="W756" i="3" a="1"/>
  <c r="W756" i="3" s="1"/>
  <c r="W755" i="3" a="1"/>
  <c r="W755" i="3" s="1"/>
  <c r="W754" i="3" a="1"/>
  <c r="W754" i="3" s="1"/>
  <c r="W753" i="3" a="1"/>
  <c r="W753" i="3" s="1"/>
  <c r="W752" i="3" a="1"/>
  <c r="W752" i="3" s="1"/>
  <c r="W751" i="3" a="1"/>
  <c r="W751" i="3" s="1"/>
  <c r="W750" i="3" a="1"/>
  <c r="W750" i="3" s="1"/>
  <c r="W749" i="3" a="1"/>
  <c r="W749" i="3" s="1"/>
  <c r="W748" i="3" a="1"/>
  <c r="W748" i="3" s="1"/>
  <c r="W747" i="3" a="1"/>
  <c r="W747" i="3" s="1"/>
  <c r="W746" i="3" a="1"/>
  <c r="W746" i="3" s="1"/>
  <c r="W745" i="3" a="1"/>
  <c r="W745" i="3" s="1"/>
  <c r="W744" i="3" a="1"/>
  <c r="W744" i="3" s="1"/>
  <c r="W743" i="3" a="1"/>
  <c r="W743" i="3" s="1"/>
  <c r="W742" i="3" a="1"/>
  <c r="W742" i="3" s="1"/>
  <c r="W741" i="3" a="1"/>
  <c r="W741" i="3" s="1"/>
  <c r="W740" i="3" a="1"/>
  <c r="W740" i="3" s="1"/>
  <c r="W739" i="3" a="1"/>
  <c r="W739" i="3" s="1"/>
  <c r="W738" i="3" a="1"/>
  <c r="W738" i="3" s="1"/>
  <c r="W737" i="3" a="1"/>
  <c r="W737" i="3" s="1"/>
  <c r="W736" i="3" a="1"/>
  <c r="W736" i="3" s="1"/>
  <c r="W735" i="3" a="1"/>
  <c r="W735" i="3" s="1"/>
  <c r="W734" i="3" a="1"/>
  <c r="W734" i="3" s="1"/>
  <c r="W733" i="3" a="1"/>
  <c r="W733" i="3" s="1"/>
  <c r="W732" i="3" a="1"/>
  <c r="W732" i="3" s="1"/>
  <c r="W731" i="3" a="1"/>
  <c r="W731" i="3" s="1"/>
  <c r="W730" i="3" a="1"/>
  <c r="W730" i="3" s="1"/>
  <c r="W729" i="3" a="1"/>
  <c r="W729" i="3" s="1"/>
  <c r="W728" i="3" a="1"/>
  <c r="W728" i="3" s="1"/>
  <c r="W727" i="3" a="1"/>
  <c r="W727" i="3" s="1"/>
  <c r="W726" i="3" a="1"/>
  <c r="W726" i="3" s="1"/>
  <c r="W725" i="3" a="1"/>
  <c r="W725" i="3" s="1"/>
  <c r="W724" i="3" a="1"/>
  <c r="W724" i="3" s="1"/>
  <c r="W723" i="3" a="1"/>
  <c r="W723" i="3" s="1"/>
  <c r="W722" i="3" a="1"/>
  <c r="W722" i="3" s="1"/>
  <c r="W721" i="3" a="1"/>
  <c r="W721" i="3" s="1"/>
  <c r="W720" i="3" a="1"/>
  <c r="W720" i="3" s="1"/>
  <c r="W719" i="3" a="1"/>
  <c r="W719" i="3" s="1"/>
  <c r="W718" i="3" a="1"/>
  <c r="W718" i="3" s="1"/>
  <c r="W717" i="3" a="1"/>
  <c r="W717" i="3" s="1"/>
  <c r="W716" i="3" a="1"/>
  <c r="W716" i="3" s="1"/>
  <c r="W715" i="3" a="1"/>
  <c r="W715" i="3" s="1"/>
  <c r="W714" i="3" a="1"/>
  <c r="W714" i="3" s="1"/>
  <c r="W713" i="3" a="1"/>
  <c r="W713" i="3" s="1"/>
  <c r="W712" i="3" a="1"/>
  <c r="W712" i="3" s="1"/>
  <c r="W711" i="3" a="1"/>
  <c r="W711" i="3" s="1"/>
  <c r="W710" i="3" a="1"/>
  <c r="W710" i="3" s="1"/>
  <c r="W709" i="3" a="1"/>
  <c r="W709" i="3" s="1"/>
  <c r="W708" i="3" a="1"/>
  <c r="W708" i="3" s="1"/>
  <c r="W707" i="3" a="1"/>
  <c r="W707" i="3" s="1"/>
  <c r="W706" i="3" a="1"/>
  <c r="W706" i="3" s="1"/>
  <c r="W705" i="3" a="1"/>
  <c r="W705" i="3" s="1"/>
  <c r="W704" i="3" a="1"/>
  <c r="W704" i="3" s="1"/>
  <c r="W703" i="3" a="1"/>
  <c r="W703" i="3" s="1"/>
  <c r="W702" i="3" a="1"/>
  <c r="W702" i="3" s="1"/>
  <c r="W701" i="3" a="1"/>
  <c r="W701" i="3" s="1"/>
  <c r="W700" i="3" a="1"/>
  <c r="W700" i="3" s="1"/>
  <c r="W699" i="3" a="1"/>
  <c r="W699" i="3" s="1"/>
  <c r="W698" i="3" a="1"/>
  <c r="W698" i="3" s="1"/>
  <c r="W697" i="3" a="1"/>
  <c r="W697" i="3" s="1"/>
  <c r="W696" i="3" a="1"/>
  <c r="W696" i="3" s="1"/>
  <c r="W695" i="3" a="1"/>
  <c r="W695" i="3" s="1"/>
  <c r="W694" i="3" a="1"/>
  <c r="W694" i="3" s="1"/>
  <c r="W693" i="3" a="1"/>
  <c r="W693" i="3" s="1"/>
  <c r="W692" i="3" a="1"/>
  <c r="W692" i="3" s="1"/>
  <c r="W691" i="3" a="1"/>
  <c r="W691" i="3" s="1"/>
  <c r="W690" i="3" a="1"/>
  <c r="W690" i="3" s="1"/>
  <c r="W689" i="3" a="1"/>
  <c r="W689" i="3" s="1"/>
  <c r="W688" i="3" a="1"/>
  <c r="W688" i="3" s="1"/>
  <c r="W687" i="3" a="1"/>
  <c r="W687" i="3" s="1"/>
  <c r="W686" i="3" a="1"/>
  <c r="W686" i="3" s="1"/>
  <c r="W685" i="3" a="1"/>
  <c r="W685" i="3" s="1"/>
  <c r="W684" i="3" a="1"/>
  <c r="W684" i="3" s="1"/>
  <c r="W683" i="3" a="1"/>
  <c r="W683" i="3" s="1"/>
  <c r="W682" i="3" a="1"/>
  <c r="W682" i="3" s="1"/>
  <c r="W681" i="3" a="1"/>
  <c r="W681" i="3" s="1"/>
  <c r="W680" i="3" a="1"/>
  <c r="W680" i="3" s="1"/>
  <c r="W679" i="3" a="1"/>
  <c r="W679" i="3" s="1"/>
  <c r="W678" i="3" a="1"/>
  <c r="W678" i="3" s="1"/>
  <c r="W677" i="3" a="1"/>
  <c r="W677" i="3" s="1"/>
  <c r="W676" i="3" a="1"/>
  <c r="W676" i="3" s="1"/>
  <c r="W675" i="3" a="1"/>
  <c r="W675" i="3" s="1"/>
  <c r="W674" i="3" a="1"/>
  <c r="W674" i="3" s="1"/>
  <c r="W673" i="3" a="1"/>
  <c r="W673" i="3" s="1"/>
  <c r="W672" i="3" a="1"/>
  <c r="W672" i="3" s="1"/>
  <c r="W671" i="3" a="1"/>
  <c r="W671" i="3" s="1"/>
  <c r="W670" i="3" a="1"/>
  <c r="W670" i="3" s="1"/>
  <c r="W669" i="3" a="1"/>
  <c r="W669" i="3" s="1"/>
  <c r="W668" i="3" a="1"/>
  <c r="W668" i="3" s="1"/>
  <c r="W667" i="3" a="1"/>
  <c r="W667" i="3" s="1"/>
  <c r="W666" i="3" a="1"/>
  <c r="W666" i="3" s="1"/>
  <c r="W665" i="3" a="1"/>
  <c r="W665" i="3" s="1"/>
  <c r="W664" i="3" a="1"/>
  <c r="W664" i="3" s="1"/>
  <c r="W663" i="3" a="1"/>
  <c r="W663" i="3" s="1"/>
  <c r="W662" i="3" a="1"/>
  <c r="W662" i="3" s="1"/>
  <c r="W661" i="3" a="1"/>
  <c r="W661" i="3" s="1"/>
  <c r="W660" i="3" a="1"/>
  <c r="W660" i="3" s="1"/>
  <c r="W659" i="3" a="1"/>
  <c r="W659" i="3" s="1"/>
  <c r="W658" i="3" a="1"/>
  <c r="W658" i="3" s="1"/>
  <c r="W657" i="3" a="1"/>
  <c r="W657" i="3" s="1"/>
  <c r="W656" i="3" a="1"/>
  <c r="W656" i="3" s="1"/>
  <c r="W655" i="3" a="1"/>
  <c r="W655" i="3" s="1"/>
  <c r="W654" i="3" a="1"/>
  <c r="W654" i="3" s="1"/>
  <c r="W653" i="3" a="1"/>
  <c r="W653" i="3" s="1"/>
  <c r="W652" i="3" a="1"/>
  <c r="W652" i="3" s="1"/>
  <c r="W651" i="3" a="1"/>
  <c r="W651" i="3" s="1"/>
  <c r="W650" i="3" a="1"/>
  <c r="W650" i="3" s="1"/>
  <c r="W649" i="3" a="1"/>
  <c r="W649" i="3" s="1"/>
  <c r="W648" i="3" a="1"/>
  <c r="W648" i="3" s="1"/>
  <c r="W647" i="3" a="1"/>
  <c r="W647" i="3" s="1"/>
  <c r="W646" i="3" a="1"/>
  <c r="W646" i="3" s="1"/>
  <c r="W645" i="3" a="1"/>
  <c r="W645" i="3" s="1"/>
  <c r="W644" i="3" a="1"/>
  <c r="W644" i="3" s="1"/>
  <c r="W643" i="3" a="1"/>
  <c r="W643" i="3" s="1"/>
  <c r="W642" i="3" a="1"/>
  <c r="W642" i="3" s="1"/>
  <c r="W641" i="3" a="1"/>
  <c r="W641" i="3" s="1"/>
  <c r="W640" i="3" a="1"/>
  <c r="W640" i="3" s="1"/>
  <c r="W639" i="3" a="1"/>
  <c r="W639" i="3" s="1"/>
  <c r="W638" i="3" a="1"/>
  <c r="W638" i="3" s="1"/>
  <c r="W637" i="3" a="1"/>
  <c r="W637" i="3" s="1"/>
  <c r="W636" i="3" a="1"/>
  <c r="W636" i="3" s="1"/>
  <c r="W635" i="3" a="1"/>
  <c r="W635" i="3" s="1"/>
  <c r="W634" i="3" a="1"/>
  <c r="W634" i="3" s="1"/>
  <c r="W633" i="3" a="1"/>
  <c r="W633" i="3" s="1"/>
  <c r="W632" i="3" a="1"/>
  <c r="W632" i="3" s="1"/>
  <c r="W631" i="3" a="1"/>
  <c r="W631" i="3" s="1"/>
  <c r="W630" i="3" a="1"/>
  <c r="W630" i="3" s="1"/>
  <c r="W629" i="3" a="1"/>
  <c r="W629" i="3" s="1"/>
  <c r="W628" i="3" a="1"/>
  <c r="W628" i="3" s="1"/>
  <c r="W627" i="3" a="1"/>
  <c r="W627" i="3" s="1"/>
  <c r="W626" i="3" a="1"/>
  <c r="W626" i="3" s="1"/>
  <c r="W625" i="3" a="1"/>
  <c r="W625" i="3" s="1"/>
  <c r="W624" i="3" a="1"/>
  <c r="W624" i="3" s="1"/>
  <c r="W623" i="3" a="1"/>
  <c r="W623" i="3" s="1"/>
  <c r="W622" i="3" a="1"/>
  <c r="W622" i="3" s="1"/>
  <c r="W621" i="3" a="1"/>
  <c r="W621" i="3" s="1"/>
  <c r="W620" i="3" a="1"/>
  <c r="W620" i="3" s="1"/>
  <c r="W619" i="3" a="1"/>
  <c r="W619" i="3" s="1"/>
  <c r="W618" i="3" a="1"/>
  <c r="W618" i="3" s="1"/>
  <c r="W617" i="3" a="1"/>
  <c r="W617" i="3" s="1"/>
  <c r="W616" i="3" a="1"/>
  <c r="W616" i="3" s="1"/>
  <c r="W615" i="3" a="1"/>
  <c r="W615" i="3" s="1"/>
  <c r="W614" i="3" a="1"/>
  <c r="W614" i="3" s="1"/>
  <c r="W613" i="3" a="1"/>
  <c r="W613" i="3" s="1"/>
  <c r="W612" i="3" a="1"/>
  <c r="W612" i="3" s="1"/>
  <c r="W611" i="3" a="1"/>
  <c r="W611" i="3" s="1"/>
  <c r="W610" i="3" a="1"/>
  <c r="W610" i="3" s="1"/>
  <c r="W609" i="3" a="1"/>
  <c r="W609" i="3" s="1"/>
  <c r="W608" i="3" a="1"/>
  <c r="W608" i="3" s="1"/>
  <c r="W607" i="3" a="1"/>
  <c r="W607" i="3" s="1"/>
  <c r="W606" i="3" a="1"/>
  <c r="W606" i="3" s="1"/>
  <c r="W605" i="3" a="1"/>
  <c r="W605" i="3" s="1"/>
  <c r="W604" i="3" a="1"/>
  <c r="W604" i="3" s="1"/>
  <c r="W603" i="3" a="1"/>
  <c r="W603" i="3" s="1"/>
  <c r="W602" i="3" a="1"/>
  <c r="W602" i="3" s="1"/>
  <c r="W601" i="3" a="1"/>
  <c r="W601" i="3" s="1"/>
  <c r="W600" i="3" a="1"/>
  <c r="W600" i="3" s="1"/>
  <c r="W599" i="3" a="1"/>
  <c r="W599" i="3" s="1"/>
  <c r="W598" i="3" a="1"/>
  <c r="W598" i="3" s="1"/>
  <c r="W597" i="3" a="1"/>
  <c r="W597" i="3" s="1"/>
  <c r="W596" i="3" a="1"/>
  <c r="W596" i="3" s="1"/>
  <c r="W595" i="3" a="1"/>
  <c r="W595" i="3" s="1"/>
  <c r="W594" i="3" a="1"/>
  <c r="W594" i="3" s="1"/>
  <c r="W593" i="3" a="1"/>
  <c r="W593" i="3" s="1"/>
  <c r="W592" i="3" a="1"/>
  <c r="W592" i="3" s="1"/>
  <c r="W591" i="3" a="1"/>
  <c r="W591" i="3" s="1"/>
  <c r="W590" i="3" a="1"/>
  <c r="W590" i="3" s="1"/>
  <c r="W589" i="3" a="1"/>
  <c r="W589" i="3" s="1"/>
  <c r="W588" i="3" a="1"/>
  <c r="W588" i="3" s="1"/>
  <c r="W587" i="3" a="1"/>
  <c r="W587" i="3" s="1"/>
  <c r="W586" i="3" a="1"/>
  <c r="W586" i="3" s="1"/>
  <c r="W585" i="3" a="1"/>
  <c r="W585" i="3" s="1"/>
  <c r="W584" i="3" a="1"/>
  <c r="W584" i="3" s="1"/>
  <c r="W583" i="3" a="1"/>
  <c r="W583" i="3" s="1"/>
  <c r="W582" i="3" a="1"/>
  <c r="W582" i="3" s="1"/>
  <c r="W581" i="3" a="1"/>
  <c r="W581" i="3" s="1"/>
  <c r="W580" i="3" a="1"/>
  <c r="W580" i="3" s="1"/>
  <c r="W579" i="3" a="1"/>
  <c r="W579" i="3" s="1"/>
  <c r="W578" i="3" a="1"/>
  <c r="W578" i="3" s="1"/>
  <c r="W577" i="3" a="1"/>
  <c r="W577" i="3" s="1"/>
  <c r="W576" i="3" a="1"/>
  <c r="W576" i="3" s="1"/>
  <c r="W575" i="3" a="1"/>
  <c r="W575" i="3" s="1"/>
  <c r="W574" i="3" a="1"/>
  <c r="W574" i="3" s="1"/>
  <c r="W573" i="3" a="1"/>
  <c r="W573" i="3" s="1"/>
  <c r="W572" i="3" a="1"/>
  <c r="W572" i="3" s="1"/>
  <c r="W571" i="3" a="1"/>
  <c r="W571" i="3" s="1"/>
  <c r="W570" i="3" a="1"/>
  <c r="W570" i="3" s="1"/>
  <c r="W569" i="3" a="1"/>
  <c r="W569" i="3" s="1"/>
  <c r="W568" i="3" a="1"/>
  <c r="W568" i="3" s="1"/>
  <c r="W567" i="3" a="1"/>
  <c r="W567" i="3" s="1"/>
  <c r="W566" i="3" a="1"/>
  <c r="W566" i="3" s="1"/>
  <c r="W565" i="3" a="1"/>
  <c r="W565" i="3" s="1"/>
  <c r="W564" i="3" a="1"/>
  <c r="W564" i="3" s="1"/>
  <c r="W563" i="3" a="1"/>
  <c r="W563" i="3" s="1"/>
  <c r="W562" i="3" a="1"/>
  <c r="W562" i="3" s="1"/>
  <c r="W561" i="3" a="1"/>
  <c r="W561" i="3" s="1"/>
  <c r="W560" i="3" a="1"/>
  <c r="W560" i="3" s="1"/>
  <c r="W559" i="3" a="1"/>
  <c r="W559" i="3" s="1"/>
  <c r="W558" i="3" a="1"/>
  <c r="W558" i="3" s="1"/>
  <c r="W557" i="3" a="1"/>
  <c r="W557" i="3" s="1"/>
  <c r="W556" i="3" a="1"/>
  <c r="W556" i="3" s="1"/>
  <c r="W555" i="3" a="1"/>
  <c r="W555" i="3" s="1"/>
  <c r="W554" i="3" a="1"/>
  <c r="W554" i="3" s="1"/>
  <c r="W553" i="3" a="1"/>
  <c r="W553" i="3" s="1"/>
  <c r="W552" i="3" a="1"/>
  <c r="W552" i="3" s="1"/>
  <c r="W551" i="3" a="1"/>
  <c r="W551" i="3" s="1"/>
  <c r="W550" i="3" a="1"/>
  <c r="W550" i="3" s="1"/>
  <c r="W549" i="3" a="1"/>
  <c r="W549" i="3" s="1"/>
  <c r="W548" i="3" a="1"/>
  <c r="W548" i="3" s="1"/>
  <c r="W547" i="3" a="1"/>
  <c r="W547" i="3" s="1"/>
  <c r="W546" i="3" a="1"/>
  <c r="W546" i="3" s="1"/>
  <c r="W545" i="3" a="1"/>
  <c r="W545" i="3" s="1"/>
  <c r="W544" i="3" a="1"/>
  <c r="W544" i="3" s="1"/>
  <c r="W543" i="3" a="1"/>
  <c r="W543" i="3" s="1"/>
  <c r="W542" i="3" a="1"/>
  <c r="W542" i="3" s="1"/>
  <c r="W541" i="3" a="1"/>
  <c r="W541" i="3" s="1"/>
  <c r="W540" i="3" a="1"/>
  <c r="W540" i="3" s="1"/>
  <c r="W539" i="3" a="1"/>
  <c r="W539" i="3" s="1"/>
  <c r="W538" i="3" a="1"/>
  <c r="W538" i="3" s="1"/>
  <c r="W537" i="3" a="1"/>
  <c r="W537" i="3" s="1"/>
  <c r="W536" i="3" a="1"/>
  <c r="W536" i="3" s="1"/>
  <c r="W535" i="3" a="1"/>
  <c r="W535" i="3" s="1"/>
  <c r="W534" i="3" a="1"/>
  <c r="W534" i="3" s="1"/>
  <c r="W533" i="3" a="1"/>
  <c r="W533" i="3" s="1"/>
  <c r="W532" i="3" a="1"/>
  <c r="W532" i="3" s="1"/>
  <c r="W531" i="3" a="1"/>
  <c r="W531" i="3" s="1"/>
  <c r="W530" i="3" a="1"/>
  <c r="W530" i="3" s="1"/>
  <c r="W529" i="3" a="1"/>
  <c r="W529" i="3" s="1"/>
  <c r="W528" i="3" a="1"/>
  <c r="W528" i="3" s="1"/>
  <c r="W527" i="3" a="1"/>
  <c r="W527" i="3" s="1"/>
  <c r="W526" i="3" a="1"/>
  <c r="W526" i="3" s="1"/>
  <c r="W525" i="3" a="1"/>
  <c r="W525" i="3" s="1"/>
  <c r="W524" i="3" a="1"/>
  <c r="W524" i="3" s="1"/>
  <c r="W523" i="3" a="1"/>
  <c r="W523" i="3" s="1"/>
  <c r="W522" i="3" a="1"/>
  <c r="W522" i="3" s="1"/>
  <c r="W521" i="3" a="1"/>
  <c r="W521" i="3" s="1"/>
  <c r="W520" i="3" a="1"/>
  <c r="W520" i="3" s="1"/>
  <c r="W519" i="3" a="1"/>
  <c r="W519" i="3" s="1"/>
  <c r="W518" i="3" a="1"/>
  <c r="W518" i="3" s="1"/>
  <c r="W517" i="3" a="1"/>
  <c r="W517" i="3" s="1"/>
  <c r="W516" i="3" a="1"/>
  <c r="W516" i="3" s="1"/>
  <c r="W515" i="3" a="1"/>
  <c r="W515" i="3" s="1"/>
  <c r="W514" i="3" a="1"/>
  <c r="W514" i="3" s="1"/>
  <c r="W513" i="3" a="1"/>
  <c r="W513" i="3" s="1"/>
  <c r="W512" i="3" a="1"/>
  <c r="W512" i="3" s="1"/>
  <c r="W511" i="3" a="1"/>
  <c r="W511" i="3" s="1"/>
  <c r="W510" i="3" a="1"/>
  <c r="W510" i="3" s="1"/>
  <c r="W509" i="3" a="1"/>
  <c r="W509" i="3" s="1"/>
  <c r="W508" i="3" a="1"/>
  <c r="W508" i="3" s="1"/>
  <c r="W507" i="3" a="1"/>
  <c r="W507" i="3" s="1"/>
  <c r="W506" i="3" a="1"/>
  <c r="W506" i="3" s="1"/>
  <c r="W505" i="3" a="1"/>
  <c r="W505" i="3" s="1"/>
  <c r="W504" i="3" a="1"/>
  <c r="W504" i="3" s="1"/>
  <c r="W503" i="3" a="1"/>
  <c r="W503" i="3" s="1"/>
  <c r="V1000" i="3"/>
  <c r="V999" i="3"/>
  <c r="V998" i="3"/>
  <c r="V997" i="3"/>
  <c r="V996" i="3"/>
  <c r="V995" i="3"/>
  <c r="V994" i="3"/>
  <c r="V993" i="3"/>
  <c r="V992" i="3"/>
  <c r="V991" i="3"/>
  <c r="V990" i="3"/>
  <c r="V989" i="3"/>
  <c r="V988" i="3"/>
  <c r="V987" i="3"/>
  <c r="V986" i="3"/>
  <c r="V985" i="3"/>
  <c r="V984" i="3"/>
  <c r="V983" i="3"/>
  <c r="V982" i="3"/>
  <c r="V981" i="3"/>
  <c r="V980" i="3"/>
  <c r="V979" i="3"/>
  <c r="V978" i="3"/>
  <c r="V977" i="3"/>
  <c r="V976" i="3"/>
  <c r="V975" i="3"/>
  <c r="V974" i="3"/>
  <c r="V973" i="3"/>
  <c r="V972" i="3"/>
  <c r="V971" i="3"/>
  <c r="V970" i="3"/>
  <c r="V969" i="3"/>
  <c r="V968" i="3"/>
  <c r="V967" i="3"/>
  <c r="V966" i="3"/>
  <c r="V965" i="3"/>
  <c r="V964" i="3"/>
  <c r="V963" i="3"/>
  <c r="V962" i="3"/>
  <c r="V961" i="3"/>
  <c r="V960" i="3"/>
  <c r="V959" i="3"/>
  <c r="V958" i="3"/>
  <c r="V957" i="3"/>
  <c r="V956" i="3"/>
  <c r="V955" i="3"/>
  <c r="V954" i="3"/>
  <c r="V953" i="3"/>
  <c r="V952" i="3"/>
  <c r="V951" i="3"/>
  <c r="V950" i="3"/>
  <c r="V949" i="3"/>
  <c r="V948" i="3"/>
  <c r="V947" i="3"/>
  <c r="V946" i="3"/>
  <c r="V945" i="3"/>
  <c r="V944" i="3"/>
  <c r="V943" i="3"/>
  <c r="V942" i="3"/>
  <c r="V941" i="3"/>
  <c r="V940" i="3"/>
  <c r="V939" i="3"/>
  <c r="V938" i="3"/>
  <c r="V937" i="3"/>
  <c r="V936" i="3"/>
  <c r="V935" i="3"/>
  <c r="V934" i="3"/>
  <c r="V933" i="3"/>
  <c r="V932" i="3"/>
  <c r="V931" i="3"/>
  <c r="V930" i="3"/>
  <c r="V929" i="3"/>
  <c r="V928" i="3"/>
  <c r="V927" i="3"/>
  <c r="V926" i="3"/>
  <c r="V925" i="3"/>
  <c r="V924" i="3"/>
  <c r="V923" i="3"/>
  <c r="V922" i="3"/>
  <c r="V921" i="3"/>
  <c r="V920" i="3"/>
  <c r="V919" i="3"/>
  <c r="V918" i="3"/>
  <c r="V917" i="3"/>
  <c r="V916" i="3"/>
  <c r="V915" i="3"/>
  <c r="V914" i="3"/>
  <c r="V913" i="3"/>
  <c r="V912" i="3"/>
  <c r="V911" i="3"/>
  <c r="V910" i="3"/>
  <c r="V909" i="3"/>
  <c r="V908" i="3"/>
  <c r="V907" i="3"/>
  <c r="V906" i="3"/>
  <c r="V905" i="3"/>
  <c r="V904" i="3"/>
  <c r="V903" i="3"/>
  <c r="V902" i="3"/>
  <c r="V901" i="3"/>
  <c r="V900" i="3"/>
  <c r="V899" i="3"/>
  <c r="V898" i="3"/>
  <c r="V897" i="3"/>
  <c r="V896" i="3"/>
  <c r="V895" i="3"/>
  <c r="V894" i="3"/>
  <c r="V893" i="3"/>
  <c r="V892" i="3"/>
  <c r="V891" i="3"/>
  <c r="V890" i="3"/>
  <c r="V889" i="3"/>
  <c r="V888" i="3"/>
  <c r="V887" i="3"/>
  <c r="V886" i="3"/>
  <c r="V885" i="3"/>
  <c r="V884" i="3"/>
  <c r="V883" i="3"/>
  <c r="V882" i="3"/>
  <c r="V881" i="3"/>
  <c r="V880" i="3"/>
  <c r="V879" i="3"/>
  <c r="V878" i="3"/>
  <c r="V877" i="3"/>
  <c r="V876" i="3"/>
  <c r="V875" i="3"/>
  <c r="V874" i="3"/>
  <c r="V873" i="3"/>
  <c r="V872" i="3"/>
  <c r="V871" i="3"/>
  <c r="V870" i="3"/>
  <c r="V869" i="3"/>
  <c r="V868" i="3"/>
  <c r="V867" i="3"/>
  <c r="V866" i="3"/>
  <c r="V865" i="3"/>
  <c r="V864" i="3"/>
  <c r="V863" i="3"/>
  <c r="V862" i="3"/>
  <c r="V861" i="3"/>
  <c r="V860" i="3"/>
  <c r="V859" i="3"/>
  <c r="V858" i="3"/>
  <c r="V857" i="3"/>
  <c r="V856" i="3"/>
  <c r="V855" i="3"/>
  <c r="V854" i="3"/>
  <c r="V853" i="3"/>
  <c r="V852" i="3"/>
  <c r="V851" i="3"/>
  <c r="V850" i="3"/>
  <c r="V849" i="3"/>
  <c r="V848" i="3"/>
  <c r="V847" i="3"/>
  <c r="V846" i="3"/>
  <c r="V845" i="3"/>
  <c r="V844" i="3"/>
  <c r="V843" i="3"/>
  <c r="V842" i="3"/>
  <c r="V841" i="3"/>
  <c r="V840" i="3"/>
  <c r="V839" i="3"/>
  <c r="V838" i="3"/>
  <c r="V837" i="3"/>
  <c r="V836" i="3"/>
  <c r="V835" i="3"/>
  <c r="V834" i="3"/>
  <c r="V833" i="3"/>
  <c r="V832" i="3"/>
  <c r="V831" i="3"/>
  <c r="V830" i="3"/>
  <c r="V829" i="3"/>
  <c r="V828" i="3"/>
  <c r="V827" i="3"/>
  <c r="V826" i="3"/>
  <c r="V825" i="3"/>
  <c r="V824" i="3"/>
  <c r="V823" i="3"/>
  <c r="V822" i="3"/>
  <c r="V821" i="3"/>
  <c r="V820" i="3"/>
  <c r="V819" i="3"/>
  <c r="V818" i="3"/>
  <c r="V817" i="3"/>
  <c r="V816" i="3"/>
  <c r="V815" i="3"/>
  <c r="V814" i="3"/>
  <c r="V813" i="3"/>
  <c r="V812" i="3"/>
  <c r="V811" i="3"/>
  <c r="V810" i="3"/>
  <c r="V809" i="3"/>
  <c r="V808" i="3"/>
  <c r="V807" i="3"/>
  <c r="V806" i="3"/>
  <c r="V805" i="3"/>
  <c r="V804" i="3"/>
  <c r="V803" i="3"/>
  <c r="V802" i="3"/>
  <c r="V801" i="3"/>
  <c r="V800" i="3"/>
  <c r="V799" i="3"/>
  <c r="V798" i="3"/>
  <c r="V797" i="3"/>
  <c r="V796" i="3"/>
  <c r="V795" i="3"/>
  <c r="V794" i="3"/>
  <c r="V793" i="3"/>
  <c r="V792" i="3"/>
  <c r="V791" i="3"/>
  <c r="V790" i="3"/>
  <c r="V789" i="3"/>
  <c r="V788" i="3"/>
  <c r="V787" i="3"/>
  <c r="V786" i="3"/>
  <c r="V785" i="3"/>
  <c r="V784" i="3"/>
  <c r="V783" i="3"/>
  <c r="V782" i="3"/>
  <c r="V781" i="3"/>
  <c r="V780" i="3"/>
  <c r="V779" i="3"/>
  <c r="V778" i="3"/>
  <c r="V777" i="3"/>
  <c r="V776" i="3"/>
  <c r="V775" i="3"/>
  <c r="V774" i="3"/>
  <c r="V773" i="3"/>
  <c r="V772" i="3"/>
  <c r="V771" i="3"/>
  <c r="V770" i="3"/>
  <c r="V769" i="3"/>
  <c r="V768" i="3"/>
  <c r="V767" i="3"/>
  <c r="V766" i="3"/>
  <c r="V765" i="3"/>
  <c r="V764" i="3"/>
  <c r="V763" i="3"/>
  <c r="V762" i="3"/>
  <c r="V761" i="3"/>
  <c r="V760" i="3"/>
  <c r="V759" i="3"/>
  <c r="V758" i="3"/>
  <c r="V757" i="3"/>
  <c r="V756" i="3"/>
  <c r="V755" i="3"/>
  <c r="V754" i="3"/>
  <c r="V753" i="3"/>
  <c r="V752" i="3"/>
  <c r="V751" i="3"/>
  <c r="V750" i="3"/>
  <c r="V749" i="3"/>
  <c r="V748" i="3"/>
  <c r="V747" i="3"/>
  <c r="V746" i="3"/>
  <c r="V745" i="3"/>
  <c r="V744" i="3"/>
  <c r="V743" i="3"/>
  <c r="V742" i="3"/>
  <c r="V741" i="3"/>
  <c r="V740" i="3"/>
  <c r="V739" i="3"/>
  <c r="V738" i="3"/>
  <c r="V737" i="3"/>
  <c r="V736" i="3"/>
  <c r="V735" i="3"/>
  <c r="V734" i="3"/>
  <c r="V733" i="3"/>
  <c r="V732" i="3"/>
  <c r="V731" i="3"/>
  <c r="V730" i="3"/>
  <c r="V729" i="3"/>
  <c r="V728" i="3"/>
  <c r="V727" i="3"/>
  <c r="V726" i="3"/>
  <c r="V725" i="3"/>
  <c r="V724" i="3"/>
  <c r="V723" i="3"/>
  <c r="V722" i="3"/>
  <c r="V721" i="3"/>
  <c r="V720" i="3"/>
  <c r="V719" i="3"/>
  <c r="V718" i="3"/>
  <c r="V717" i="3"/>
  <c r="V716" i="3"/>
  <c r="V715" i="3"/>
  <c r="V714" i="3"/>
  <c r="V713" i="3"/>
  <c r="V712" i="3"/>
  <c r="V711" i="3"/>
  <c r="V710" i="3"/>
  <c r="V709" i="3"/>
  <c r="V708" i="3"/>
  <c r="V707" i="3"/>
  <c r="V706" i="3"/>
  <c r="V705" i="3"/>
  <c r="V704" i="3"/>
  <c r="V703" i="3"/>
  <c r="V702" i="3"/>
  <c r="V701" i="3"/>
  <c r="V700" i="3"/>
  <c r="V699" i="3"/>
  <c r="V698" i="3"/>
  <c r="V697" i="3"/>
  <c r="V696" i="3"/>
  <c r="V695" i="3"/>
  <c r="V694" i="3"/>
  <c r="V693" i="3"/>
  <c r="V692" i="3"/>
  <c r="V691" i="3"/>
  <c r="V690" i="3"/>
  <c r="V689" i="3"/>
  <c r="V688" i="3"/>
  <c r="V687" i="3"/>
  <c r="V686" i="3"/>
  <c r="V685" i="3"/>
  <c r="V684" i="3"/>
  <c r="V683" i="3"/>
  <c r="V682" i="3"/>
  <c r="V681" i="3"/>
  <c r="V680" i="3"/>
  <c r="V679" i="3"/>
  <c r="V678" i="3"/>
  <c r="V677" i="3"/>
  <c r="V676" i="3"/>
  <c r="V675" i="3"/>
  <c r="V674" i="3"/>
  <c r="V673" i="3"/>
  <c r="V672" i="3"/>
  <c r="V671" i="3"/>
  <c r="V670" i="3"/>
  <c r="V669" i="3"/>
  <c r="V668" i="3"/>
  <c r="V667" i="3"/>
  <c r="V666" i="3"/>
  <c r="V665" i="3"/>
  <c r="V664" i="3"/>
  <c r="V663" i="3"/>
  <c r="V662" i="3"/>
  <c r="V661" i="3"/>
  <c r="V660" i="3"/>
  <c r="V659" i="3"/>
  <c r="V658" i="3"/>
  <c r="V657" i="3"/>
  <c r="V656" i="3"/>
  <c r="V655" i="3"/>
  <c r="V654" i="3"/>
  <c r="V653" i="3"/>
  <c r="V652" i="3"/>
  <c r="V651" i="3"/>
  <c r="V650" i="3"/>
  <c r="V649" i="3"/>
  <c r="V648" i="3"/>
  <c r="V647" i="3"/>
  <c r="V646" i="3"/>
  <c r="V645" i="3"/>
  <c r="V644" i="3"/>
  <c r="V643" i="3"/>
  <c r="V642" i="3"/>
  <c r="V641" i="3"/>
  <c r="V640" i="3"/>
  <c r="V639" i="3"/>
  <c r="V638" i="3"/>
  <c r="V637" i="3"/>
  <c r="V636" i="3"/>
  <c r="V635" i="3"/>
  <c r="V634" i="3"/>
  <c r="V633" i="3"/>
  <c r="V632" i="3"/>
  <c r="V631" i="3"/>
  <c r="V630" i="3"/>
  <c r="V629" i="3"/>
  <c r="V628" i="3"/>
  <c r="V627" i="3"/>
  <c r="V626" i="3"/>
  <c r="V625" i="3"/>
  <c r="V624" i="3"/>
  <c r="V623" i="3"/>
  <c r="V622" i="3"/>
  <c r="V621" i="3"/>
  <c r="V620" i="3"/>
  <c r="V619" i="3"/>
  <c r="V618" i="3"/>
  <c r="V617" i="3"/>
  <c r="V616" i="3"/>
  <c r="V615" i="3"/>
  <c r="V614" i="3"/>
  <c r="V613" i="3"/>
  <c r="V612" i="3"/>
  <c r="V611" i="3"/>
  <c r="V610" i="3"/>
  <c r="V609" i="3"/>
  <c r="V608" i="3"/>
  <c r="V607" i="3"/>
  <c r="V606" i="3"/>
  <c r="V605" i="3"/>
  <c r="V604" i="3"/>
  <c r="V603" i="3"/>
  <c r="V602" i="3"/>
  <c r="V601" i="3"/>
  <c r="V600" i="3"/>
  <c r="V599" i="3"/>
  <c r="V598" i="3"/>
  <c r="V597" i="3"/>
  <c r="V596" i="3"/>
  <c r="V595" i="3"/>
  <c r="V594" i="3"/>
  <c r="V593" i="3"/>
  <c r="V592" i="3"/>
  <c r="V591" i="3"/>
  <c r="V590" i="3"/>
  <c r="V589" i="3"/>
  <c r="V588" i="3"/>
  <c r="V587" i="3"/>
  <c r="V586" i="3"/>
  <c r="V585" i="3"/>
  <c r="V584" i="3"/>
  <c r="V583" i="3"/>
  <c r="V582" i="3"/>
  <c r="V581" i="3"/>
  <c r="V580" i="3"/>
  <c r="V579" i="3"/>
  <c r="V578" i="3"/>
  <c r="V577" i="3"/>
  <c r="V576" i="3"/>
  <c r="V575" i="3"/>
  <c r="V574" i="3"/>
  <c r="V573" i="3"/>
  <c r="V572" i="3"/>
  <c r="V571" i="3"/>
  <c r="V570" i="3"/>
  <c r="V569" i="3"/>
  <c r="V568" i="3"/>
  <c r="V567" i="3"/>
  <c r="V566" i="3"/>
  <c r="V565" i="3"/>
  <c r="V564" i="3"/>
  <c r="V563" i="3"/>
  <c r="V562" i="3"/>
  <c r="V561" i="3"/>
  <c r="V560" i="3"/>
  <c r="V559" i="3"/>
  <c r="V558" i="3"/>
  <c r="V557" i="3"/>
  <c r="V556" i="3"/>
  <c r="V555" i="3"/>
  <c r="V554" i="3"/>
  <c r="V553" i="3"/>
  <c r="V552" i="3"/>
  <c r="V551" i="3"/>
  <c r="V550" i="3"/>
  <c r="V549" i="3"/>
  <c r="V548" i="3"/>
  <c r="V547" i="3"/>
  <c r="V546" i="3"/>
  <c r="V545" i="3"/>
  <c r="V544" i="3"/>
  <c r="V543" i="3"/>
  <c r="V542" i="3"/>
  <c r="V541" i="3"/>
  <c r="V540" i="3"/>
  <c r="V539" i="3"/>
  <c r="V538" i="3"/>
  <c r="V537" i="3"/>
  <c r="V536" i="3"/>
  <c r="V535" i="3"/>
  <c r="V534" i="3"/>
  <c r="V533" i="3"/>
  <c r="V532" i="3"/>
  <c r="V531" i="3"/>
  <c r="V530" i="3"/>
  <c r="V529" i="3"/>
  <c r="V528" i="3"/>
  <c r="V527" i="3"/>
  <c r="V526" i="3"/>
  <c r="V525" i="3"/>
  <c r="V524" i="3"/>
  <c r="V523" i="3"/>
  <c r="V522" i="3"/>
  <c r="V521" i="3"/>
  <c r="V520" i="3"/>
  <c r="V519" i="3"/>
  <c r="V518" i="3"/>
  <c r="V517" i="3"/>
  <c r="V516" i="3"/>
  <c r="V515" i="3"/>
  <c r="V514" i="3"/>
  <c r="V513" i="3"/>
  <c r="V512" i="3"/>
  <c r="V511" i="3"/>
  <c r="V510" i="3"/>
  <c r="V509" i="3"/>
  <c r="V508" i="3"/>
  <c r="V507" i="3"/>
  <c r="V506" i="3"/>
  <c r="V505" i="3"/>
  <c r="V504" i="3"/>
  <c r="V503" i="3"/>
  <c r="U1000" i="3"/>
  <c r="U999" i="3"/>
  <c r="U998" i="3"/>
  <c r="U997" i="3"/>
  <c r="U996" i="3"/>
  <c r="U995" i="3"/>
  <c r="U994" i="3"/>
  <c r="U993" i="3"/>
  <c r="U992" i="3"/>
  <c r="U991" i="3"/>
  <c r="U990" i="3"/>
  <c r="U989" i="3"/>
  <c r="U988" i="3"/>
  <c r="U987" i="3"/>
  <c r="U986" i="3"/>
  <c r="U985" i="3"/>
  <c r="U984" i="3"/>
  <c r="U983" i="3"/>
  <c r="U982" i="3"/>
  <c r="U981" i="3"/>
  <c r="U980" i="3"/>
  <c r="U979" i="3"/>
  <c r="U978" i="3"/>
  <c r="U977" i="3"/>
  <c r="U976" i="3"/>
  <c r="U975" i="3"/>
  <c r="U974" i="3"/>
  <c r="U973" i="3"/>
  <c r="U972" i="3"/>
  <c r="U971" i="3"/>
  <c r="U970" i="3"/>
  <c r="U969" i="3"/>
  <c r="U968" i="3"/>
  <c r="U967" i="3"/>
  <c r="U966" i="3"/>
  <c r="U965" i="3"/>
  <c r="U964" i="3"/>
  <c r="U963" i="3"/>
  <c r="U962" i="3"/>
  <c r="U961" i="3"/>
  <c r="U960" i="3"/>
  <c r="U959" i="3"/>
  <c r="U958" i="3"/>
  <c r="U957" i="3"/>
  <c r="U956" i="3"/>
  <c r="U955" i="3"/>
  <c r="U954" i="3"/>
  <c r="U953" i="3"/>
  <c r="U952" i="3"/>
  <c r="U951" i="3"/>
  <c r="U950" i="3"/>
  <c r="U949" i="3"/>
  <c r="U948" i="3"/>
  <c r="U947" i="3"/>
  <c r="U946" i="3"/>
  <c r="U945" i="3"/>
  <c r="U944" i="3"/>
  <c r="U943" i="3"/>
  <c r="U942" i="3"/>
  <c r="U941" i="3"/>
  <c r="U940" i="3"/>
  <c r="U939" i="3"/>
  <c r="U938" i="3"/>
  <c r="U937" i="3"/>
  <c r="U936" i="3"/>
  <c r="U935" i="3"/>
  <c r="U934" i="3"/>
  <c r="U933" i="3"/>
  <c r="U932" i="3"/>
  <c r="U931" i="3"/>
  <c r="U930" i="3"/>
  <c r="U929" i="3"/>
  <c r="U928" i="3"/>
  <c r="U927" i="3"/>
  <c r="U926" i="3"/>
  <c r="U925" i="3"/>
  <c r="U924" i="3"/>
  <c r="U923" i="3"/>
  <c r="U922" i="3"/>
  <c r="U921" i="3"/>
  <c r="U920" i="3"/>
  <c r="U919" i="3"/>
  <c r="U918" i="3"/>
  <c r="U917" i="3"/>
  <c r="U916" i="3"/>
  <c r="U915" i="3"/>
  <c r="U914" i="3"/>
  <c r="U913" i="3"/>
  <c r="U912" i="3"/>
  <c r="U911" i="3"/>
  <c r="U910" i="3"/>
  <c r="U909" i="3"/>
  <c r="U908" i="3"/>
  <c r="U907" i="3"/>
  <c r="U906" i="3"/>
  <c r="U905" i="3"/>
  <c r="U904" i="3"/>
  <c r="U903" i="3"/>
  <c r="U902" i="3"/>
  <c r="U901" i="3"/>
  <c r="U900" i="3"/>
  <c r="U899" i="3"/>
  <c r="U898" i="3"/>
  <c r="U897" i="3"/>
  <c r="U896" i="3"/>
  <c r="U895" i="3"/>
  <c r="U894" i="3"/>
  <c r="U893" i="3"/>
  <c r="U892" i="3"/>
  <c r="U891" i="3"/>
  <c r="U890" i="3"/>
  <c r="U889" i="3"/>
  <c r="U888" i="3"/>
  <c r="U887" i="3"/>
  <c r="U886" i="3"/>
  <c r="U885" i="3"/>
  <c r="U884" i="3"/>
  <c r="U883" i="3"/>
  <c r="U882" i="3"/>
  <c r="U881" i="3"/>
  <c r="U880" i="3"/>
  <c r="U879" i="3"/>
  <c r="U878" i="3"/>
  <c r="U877" i="3"/>
  <c r="U876" i="3"/>
  <c r="U875" i="3"/>
  <c r="U874" i="3"/>
  <c r="U873" i="3"/>
  <c r="U872" i="3"/>
  <c r="U871" i="3"/>
  <c r="U870" i="3"/>
  <c r="U869" i="3"/>
  <c r="U868" i="3"/>
  <c r="U867" i="3"/>
  <c r="U866" i="3"/>
  <c r="U865" i="3"/>
  <c r="U864" i="3"/>
  <c r="U863" i="3"/>
  <c r="U862" i="3"/>
  <c r="U861" i="3"/>
  <c r="U860" i="3"/>
  <c r="U859" i="3"/>
  <c r="U858" i="3"/>
  <c r="U857" i="3"/>
  <c r="U856" i="3"/>
  <c r="U855" i="3"/>
  <c r="U854" i="3"/>
  <c r="U853" i="3"/>
  <c r="U852" i="3"/>
  <c r="U851" i="3"/>
  <c r="U850" i="3"/>
  <c r="U849" i="3"/>
  <c r="U848" i="3"/>
  <c r="U847" i="3"/>
  <c r="U846" i="3"/>
  <c r="U845" i="3"/>
  <c r="U844" i="3"/>
  <c r="U843" i="3"/>
  <c r="U842" i="3"/>
  <c r="U841" i="3"/>
  <c r="U840" i="3"/>
  <c r="U839" i="3"/>
  <c r="U838" i="3"/>
  <c r="U837" i="3"/>
  <c r="U836" i="3"/>
  <c r="U835" i="3"/>
  <c r="U834" i="3"/>
  <c r="U833" i="3"/>
  <c r="U832" i="3"/>
  <c r="U831" i="3"/>
  <c r="U830" i="3"/>
  <c r="U829" i="3"/>
  <c r="U828" i="3"/>
  <c r="U827" i="3"/>
  <c r="U826" i="3"/>
  <c r="U825" i="3"/>
  <c r="U824" i="3"/>
  <c r="U823" i="3"/>
  <c r="U822" i="3"/>
  <c r="U821" i="3"/>
  <c r="U820" i="3"/>
  <c r="U819" i="3"/>
  <c r="U818" i="3"/>
  <c r="U817" i="3"/>
  <c r="U816" i="3"/>
  <c r="U815" i="3"/>
  <c r="U814" i="3"/>
  <c r="U813" i="3"/>
  <c r="U812" i="3"/>
  <c r="U811" i="3"/>
  <c r="U810" i="3"/>
  <c r="U809" i="3"/>
  <c r="U808" i="3"/>
  <c r="U807" i="3"/>
  <c r="U806" i="3"/>
  <c r="U805" i="3"/>
  <c r="U804" i="3"/>
  <c r="U803" i="3"/>
  <c r="U802" i="3"/>
  <c r="U801" i="3"/>
  <c r="U800" i="3"/>
  <c r="U799" i="3"/>
  <c r="U798" i="3"/>
  <c r="U797" i="3"/>
  <c r="U796" i="3"/>
  <c r="U795" i="3"/>
  <c r="U794" i="3"/>
  <c r="U793" i="3"/>
  <c r="U792" i="3"/>
  <c r="U791" i="3"/>
  <c r="U790" i="3"/>
  <c r="U789" i="3"/>
  <c r="U788" i="3"/>
  <c r="U787" i="3"/>
  <c r="U786" i="3"/>
  <c r="U785" i="3"/>
  <c r="U784" i="3"/>
  <c r="U783" i="3"/>
  <c r="U782" i="3"/>
  <c r="U781" i="3"/>
  <c r="U780" i="3"/>
  <c r="U779" i="3"/>
  <c r="U778" i="3"/>
  <c r="U777" i="3"/>
  <c r="U776" i="3"/>
  <c r="U775" i="3"/>
  <c r="U774" i="3"/>
  <c r="U773" i="3"/>
  <c r="U772" i="3"/>
  <c r="U771" i="3"/>
  <c r="U770" i="3"/>
  <c r="U769" i="3"/>
  <c r="U768" i="3"/>
  <c r="U767" i="3"/>
  <c r="U766" i="3"/>
  <c r="U765" i="3"/>
  <c r="U764" i="3"/>
  <c r="U763" i="3"/>
  <c r="U762" i="3"/>
  <c r="U761" i="3"/>
  <c r="U760" i="3"/>
  <c r="U759" i="3"/>
  <c r="U758" i="3"/>
  <c r="U757" i="3"/>
  <c r="U756" i="3"/>
  <c r="U755" i="3"/>
  <c r="U754" i="3"/>
  <c r="U753" i="3"/>
  <c r="U752" i="3"/>
  <c r="U751" i="3"/>
  <c r="U750" i="3"/>
  <c r="U749" i="3"/>
  <c r="U748" i="3"/>
  <c r="U747" i="3"/>
  <c r="U746" i="3"/>
  <c r="U745" i="3"/>
  <c r="U744" i="3"/>
  <c r="U743" i="3"/>
  <c r="U742" i="3"/>
  <c r="U741" i="3"/>
  <c r="U740" i="3"/>
  <c r="U739" i="3"/>
  <c r="U738" i="3"/>
  <c r="U737" i="3"/>
  <c r="U736" i="3"/>
  <c r="U735" i="3"/>
  <c r="U734" i="3"/>
  <c r="U733" i="3"/>
  <c r="U732" i="3"/>
  <c r="U731" i="3"/>
  <c r="U730" i="3"/>
  <c r="U729" i="3"/>
  <c r="U728" i="3"/>
  <c r="U727" i="3"/>
  <c r="U726" i="3"/>
  <c r="U725" i="3"/>
  <c r="U724" i="3"/>
  <c r="U723" i="3"/>
  <c r="U722" i="3"/>
  <c r="U721" i="3"/>
  <c r="U720" i="3"/>
  <c r="U719" i="3"/>
  <c r="U718" i="3"/>
  <c r="U717" i="3"/>
  <c r="U716" i="3"/>
  <c r="U715" i="3"/>
  <c r="U714" i="3"/>
  <c r="U713" i="3"/>
  <c r="U712" i="3"/>
  <c r="U711" i="3"/>
  <c r="U710" i="3"/>
  <c r="U709" i="3"/>
  <c r="U708" i="3"/>
  <c r="U707" i="3"/>
  <c r="U706" i="3"/>
  <c r="U705" i="3"/>
  <c r="U704" i="3"/>
  <c r="U703" i="3"/>
  <c r="U702" i="3"/>
  <c r="U701" i="3"/>
  <c r="U700" i="3"/>
  <c r="U699" i="3"/>
  <c r="U698" i="3"/>
  <c r="U697" i="3"/>
  <c r="U696" i="3"/>
  <c r="U695" i="3"/>
  <c r="U694" i="3"/>
  <c r="U693" i="3"/>
  <c r="U692" i="3"/>
  <c r="U691" i="3"/>
  <c r="U690" i="3"/>
  <c r="U689" i="3"/>
  <c r="U688" i="3"/>
  <c r="U687" i="3"/>
  <c r="U686" i="3"/>
  <c r="U685" i="3"/>
  <c r="U684" i="3"/>
  <c r="U683" i="3"/>
  <c r="U682" i="3"/>
  <c r="U681" i="3"/>
  <c r="U680" i="3"/>
  <c r="U679" i="3"/>
  <c r="U678" i="3"/>
  <c r="U677" i="3"/>
  <c r="U676" i="3"/>
  <c r="U675" i="3"/>
  <c r="U674" i="3"/>
  <c r="U673" i="3"/>
  <c r="U672" i="3"/>
  <c r="U671" i="3"/>
  <c r="U670" i="3"/>
  <c r="U669" i="3"/>
  <c r="U668" i="3"/>
  <c r="U667" i="3"/>
  <c r="U666" i="3"/>
  <c r="U665" i="3"/>
  <c r="U664" i="3"/>
  <c r="U663" i="3"/>
  <c r="U662" i="3"/>
  <c r="U661" i="3"/>
  <c r="U660" i="3"/>
  <c r="U659" i="3"/>
  <c r="U658" i="3"/>
  <c r="U657" i="3"/>
  <c r="U656" i="3"/>
  <c r="U655" i="3"/>
  <c r="U654" i="3"/>
  <c r="U653" i="3"/>
  <c r="U652" i="3"/>
  <c r="U651" i="3"/>
  <c r="U650" i="3"/>
  <c r="U649" i="3"/>
  <c r="U648" i="3"/>
  <c r="U647" i="3"/>
  <c r="U646" i="3"/>
  <c r="U645" i="3"/>
  <c r="U644" i="3"/>
  <c r="U643" i="3"/>
  <c r="U642" i="3"/>
  <c r="U641" i="3"/>
  <c r="U640" i="3"/>
  <c r="U639" i="3"/>
  <c r="U638" i="3"/>
  <c r="U637" i="3"/>
  <c r="U636" i="3"/>
  <c r="U635" i="3"/>
  <c r="U634" i="3"/>
  <c r="U633" i="3"/>
  <c r="U632" i="3"/>
  <c r="U631" i="3"/>
  <c r="U630" i="3"/>
  <c r="U629" i="3"/>
  <c r="U628" i="3"/>
  <c r="U627" i="3"/>
  <c r="U626" i="3"/>
  <c r="U625" i="3"/>
  <c r="U624" i="3"/>
  <c r="U623" i="3"/>
  <c r="U622" i="3"/>
  <c r="U621" i="3"/>
  <c r="U620" i="3"/>
  <c r="U619" i="3"/>
  <c r="U618" i="3"/>
  <c r="U617" i="3"/>
  <c r="U616" i="3"/>
  <c r="U615" i="3"/>
  <c r="U614" i="3"/>
  <c r="U613" i="3"/>
  <c r="U612" i="3"/>
  <c r="U611" i="3"/>
  <c r="U610" i="3"/>
  <c r="U609" i="3"/>
  <c r="U608" i="3"/>
  <c r="U607" i="3"/>
  <c r="U606" i="3"/>
  <c r="U605" i="3"/>
  <c r="U604" i="3"/>
  <c r="U603" i="3"/>
  <c r="U602" i="3"/>
  <c r="U601" i="3"/>
  <c r="U600" i="3"/>
  <c r="U599" i="3"/>
  <c r="U598" i="3"/>
  <c r="U597" i="3"/>
  <c r="U596" i="3"/>
  <c r="U595" i="3"/>
  <c r="U594" i="3"/>
  <c r="U593" i="3"/>
  <c r="U592" i="3"/>
  <c r="U591" i="3"/>
  <c r="U590" i="3"/>
  <c r="U589" i="3"/>
  <c r="U588" i="3"/>
  <c r="U587" i="3"/>
  <c r="U586" i="3"/>
  <c r="U585" i="3"/>
  <c r="U584" i="3"/>
  <c r="U583" i="3"/>
  <c r="U582" i="3"/>
  <c r="U581" i="3"/>
  <c r="U580" i="3"/>
  <c r="U579" i="3"/>
  <c r="U578" i="3"/>
  <c r="U577" i="3"/>
  <c r="U576" i="3"/>
  <c r="U575" i="3"/>
  <c r="U574" i="3"/>
  <c r="U573" i="3"/>
  <c r="U572" i="3"/>
  <c r="U571" i="3"/>
  <c r="U570" i="3"/>
  <c r="U569" i="3"/>
  <c r="U568" i="3"/>
  <c r="U567" i="3"/>
  <c r="U566" i="3"/>
  <c r="U565" i="3"/>
  <c r="U564" i="3"/>
  <c r="U563" i="3"/>
  <c r="U562" i="3"/>
  <c r="U561" i="3"/>
  <c r="U560" i="3"/>
  <c r="U559" i="3"/>
  <c r="U558" i="3"/>
  <c r="U557" i="3"/>
  <c r="U556" i="3"/>
  <c r="U555" i="3"/>
  <c r="U554" i="3"/>
  <c r="U553" i="3"/>
  <c r="U552" i="3"/>
  <c r="U551" i="3"/>
  <c r="U550" i="3"/>
  <c r="U549" i="3"/>
  <c r="U548" i="3"/>
  <c r="U547" i="3"/>
  <c r="U546" i="3"/>
  <c r="U545" i="3"/>
  <c r="U544" i="3"/>
  <c r="U543" i="3"/>
  <c r="U542" i="3"/>
  <c r="U541" i="3"/>
  <c r="U540" i="3"/>
  <c r="U539" i="3"/>
  <c r="U538" i="3"/>
  <c r="U537" i="3"/>
  <c r="U536" i="3"/>
  <c r="U535" i="3"/>
  <c r="U534" i="3"/>
  <c r="U533" i="3"/>
  <c r="U532" i="3"/>
  <c r="U531" i="3"/>
  <c r="U530" i="3"/>
  <c r="U529" i="3"/>
  <c r="U528" i="3"/>
  <c r="U527" i="3"/>
  <c r="U526" i="3"/>
  <c r="U525" i="3"/>
  <c r="U524" i="3"/>
  <c r="U523" i="3"/>
  <c r="U522" i="3"/>
  <c r="U521" i="3"/>
  <c r="U520" i="3"/>
  <c r="U519" i="3"/>
  <c r="U518" i="3"/>
  <c r="U517" i="3"/>
  <c r="U516" i="3"/>
  <c r="U515" i="3"/>
  <c r="U514" i="3"/>
  <c r="U513" i="3"/>
  <c r="U512" i="3"/>
  <c r="U511" i="3"/>
  <c r="U510" i="3"/>
  <c r="U509" i="3"/>
  <c r="U508" i="3"/>
  <c r="U507" i="3"/>
  <c r="U506" i="3"/>
  <c r="U505" i="3"/>
  <c r="U504" i="3"/>
  <c r="U503" i="3"/>
  <c r="T1000" i="3" a="1"/>
  <c r="T1000" i="3" s="1"/>
  <c r="T999" i="3" a="1"/>
  <c r="T999" i="3" s="1"/>
  <c r="T998" i="3" a="1"/>
  <c r="T998" i="3" s="1"/>
  <c r="T997" i="3" a="1"/>
  <c r="T997" i="3" s="1"/>
  <c r="T996" i="3" a="1"/>
  <c r="T996" i="3" s="1"/>
  <c r="T995" i="3" a="1"/>
  <c r="T995" i="3" s="1"/>
  <c r="T994" i="3" a="1"/>
  <c r="T994" i="3" s="1"/>
  <c r="T993" i="3" a="1"/>
  <c r="T993" i="3" s="1"/>
  <c r="T992" i="3" a="1"/>
  <c r="T992" i="3" s="1"/>
  <c r="T991" i="3" a="1"/>
  <c r="T991" i="3" s="1"/>
  <c r="T990" i="3" a="1"/>
  <c r="T990" i="3" s="1"/>
  <c r="T989" i="3" a="1"/>
  <c r="T989" i="3" s="1"/>
  <c r="T988" i="3" a="1"/>
  <c r="T988" i="3" s="1"/>
  <c r="T987" i="3" a="1"/>
  <c r="T987" i="3" s="1"/>
  <c r="T986" i="3" a="1"/>
  <c r="T986" i="3" s="1"/>
  <c r="T985" i="3" a="1"/>
  <c r="T985" i="3" s="1"/>
  <c r="T984" i="3" a="1"/>
  <c r="T984" i="3" s="1"/>
  <c r="T983" i="3" a="1"/>
  <c r="T983" i="3" s="1"/>
  <c r="T982" i="3" a="1"/>
  <c r="T982" i="3" s="1"/>
  <c r="T981" i="3" a="1"/>
  <c r="T981" i="3" s="1"/>
  <c r="T980" i="3" a="1"/>
  <c r="T980" i="3" s="1"/>
  <c r="T979" i="3" a="1"/>
  <c r="T979" i="3" s="1"/>
  <c r="T978" i="3" a="1"/>
  <c r="T978" i="3" s="1"/>
  <c r="T977" i="3" a="1"/>
  <c r="T977" i="3" s="1"/>
  <c r="T976" i="3" a="1"/>
  <c r="T976" i="3" s="1"/>
  <c r="T975" i="3" a="1"/>
  <c r="T975" i="3" s="1"/>
  <c r="T974" i="3" a="1"/>
  <c r="T974" i="3" s="1"/>
  <c r="T973" i="3" a="1"/>
  <c r="T973" i="3" s="1"/>
  <c r="T972" i="3" a="1"/>
  <c r="T972" i="3" s="1"/>
  <c r="T971" i="3" a="1"/>
  <c r="T971" i="3" s="1"/>
  <c r="T970" i="3" a="1"/>
  <c r="T970" i="3" s="1"/>
  <c r="T969" i="3" a="1"/>
  <c r="T969" i="3" s="1"/>
  <c r="T968" i="3" a="1"/>
  <c r="T968" i="3" s="1"/>
  <c r="T967" i="3" a="1"/>
  <c r="T967" i="3" s="1"/>
  <c r="T966" i="3" a="1"/>
  <c r="T966" i="3" s="1"/>
  <c r="T965" i="3" a="1"/>
  <c r="T965" i="3" s="1"/>
  <c r="T964" i="3" a="1"/>
  <c r="T964" i="3" s="1"/>
  <c r="T963" i="3" a="1"/>
  <c r="T963" i="3" s="1"/>
  <c r="T962" i="3" a="1"/>
  <c r="T962" i="3" s="1"/>
  <c r="T961" i="3" a="1"/>
  <c r="T961" i="3" s="1"/>
  <c r="T960" i="3" a="1"/>
  <c r="T960" i="3" s="1"/>
  <c r="T959" i="3" a="1"/>
  <c r="T959" i="3" s="1"/>
  <c r="T958" i="3" a="1"/>
  <c r="T958" i="3" s="1"/>
  <c r="T957" i="3" a="1"/>
  <c r="T957" i="3" s="1"/>
  <c r="T956" i="3" a="1"/>
  <c r="T956" i="3" s="1"/>
  <c r="T955" i="3" a="1"/>
  <c r="T955" i="3" s="1"/>
  <c r="T954" i="3" a="1"/>
  <c r="T954" i="3" s="1"/>
  <c r="T953" i="3" a="1"/>
  <c r="T953" i="3" s="1"/>
  <c r="T952" i="3" a="1"/>
  <c r="T952" i="3" s="1"/>
  <c r="T951" i="3" a="1"/>
  <c r="T951" i="3" s="1"/>
  <c r="T950" i="3" a="1"/>
  <c r="T950" i="3" s="1"/>
  <c r="T949" i="3" a="1"/>
  <c r="T949" i="3" s="1"/>
  <c r="T948" i="3" a="1"/>
  <c r="T948" i="3" s="1"/>
  <c r="T947" i="3" a="1"/>
  <c r="T947" i="3" s="1"/>
  <c r="T946" i="3" a="1"/>
  <c r="T946" i="3" s="1"/>
  <c r="T945" i="3" a="1"/>
  <c r="T945" i="3" s="1"/>
  <c r="T944" i="3" a="1"/>
  <c r="T944" i="3" s="1"/>
  <c r="T943" i="3" a="1"/>
  <c r="T943" i="3" s="1"/>
  <c r="T942" i="3" a="1"/>
  <c r="T942" i="3" s="1"/>
  <c r="T941" i="3" a="1"/>
  <c r="T941" i="3" s="1"/>
  <c r="T940" i="3" a="1"/>
  <c r="T940" i="3" s="1"/>
  <c r="T939" i="3" a="1"/>
  <c r="T939" i="3" s="1"/>
  <c r="T938" i="3" a="1"/>
  <c r="T938" i="3" s="1"/>
  <c r="T937" i="3" a="1"/>
  <c r="T937" i="3" s="1"/>
  <c r="T936" i="3" a="1"/>
  <c r="T936" i="3" s="1"/>
  <c r="T935" i="3" a="1"/>
  <c r="T935" i="3" s="1"/>
  <c r="T934" i="3" a="1"/>
  <c r="T934" i="3" s="1"/>
  <c r="T933" i="3" a="1"/>
  <c r="T933" i="3" s="1"/>
  <c r="T932" i="3" a="1"/>
  <c r="T932" i="3" s="1"/>
  <c r="T931" i="3" a="1"/>
  <c r="T931" i="3" s="1"/>
  <c r="T930" i="3" a="1"/>
  <c r="T930" i="3" s="1"/>
  <c r="T929" i="3" a="1"/>
  <c r="T929" i="3" s="1"/>
  <c r="T928" i="3" a="1"/>
  <c r="T928" i="3" s="1"/>
  <c r="T927" i="3" a="1"/>
  <c r="T927" i="3" s="1"/>
  <c r="T926" i="3" a="1"/>
  <c r="T926" i="3" s="1"/>
  <c r="T925" i="3" a="1"/>
  <c r="T925" i="3" s="1"/>
  <c r="T924" i="3" a="1"/>
  <c r="T924" i="3" s="1"/>
  <c r="T923" i="3" a="1"/>
  <c r="T923" i="3" s="1"/>
  <c r="T922" i="3" a="1"/>
  <c r="T922" i="3" s="1"/>
  <c r="T921" i="3" a="1"/>
  <c r="T921" i="3" s="1"/>
  <c r="T920" i="3" a="1"/>
  <c r="T920" i="3" s="1"/>
  <c r="T919" i="3" a="1"/>
  <c r="T919" i="3" s="1"/>
  <c r="T918" i="3" a="1"/>
  <c r="T918" i="3" s="1"/>
  <c r="T917" i="3" a="1"/>
  <c r="T917" i="3" s="1"/>
  <c r="T916" i="3" a="1"/>
  <c r="T916" i="3" s="1"/>
  <c r="T915" i="3" a="1"/>
  <c r="T915" i="3" s="1"/>
  <c r="T914" i="3" a="1"/>
  <c r="T914" i="3" s="1"/>
  <c r="T913" i="3" a="1"/>
  <c r="T913" i="3" s="1"/>
  <c r="T912" i="3" a="1"/>
  <c r="T912" i="3" s="1"/>
  <c r="T911" i="3" a="1"/>
  <c r="T911" i="3" s="1"/>
  <c r="T910" i="3" a="1"/>
  <c r="T910" i="3" s="1"/>
  <c r="T909" i="3" a="1"/>
  <c r="T909" i="3" s="1"/>
  <c r="T908" i="3" a="1"/>
  <c r="T908" i="3" s="1"/>
  <c r="T907" i="3" a="1"/>
  <c r="T907" i="3" s="1"/>
  <c r="T906" i="3" a="1"/>
  <c r="T906" i="3" s="1"/>
  <c r="T905" i="3" a="1"/>
  <c r="T905" i="3" s="1"/>
  <c r="T904" i="3" a="1"/>
  <c r="T904" i="3" s="1"/>
  <c r="T903" i="3" a="1"/>
  <c r="T903" i="3" s="1"/>
  <c r="T902" i="3" a="1"/>
  <c r="T902" i="3" s="1"/>
  <c r="T901" i="3" a="1"/>
  <c r="T901" i="3" s="1"/>
  <c r="T900" i="3" a="1"/>
  <c r="T900" i="3" s="1"/>
  <c r="T899" i="3" a="1"/>
  <c r="T899" i="3" s="1"/>
  <c r="T898" i="3" a="1"/>
  <c r="T898" i="3" s="1"/>
  <c r="T897" i="3" a="1"/>
  <c r="T897" i="3" s="1"/>
  <c r="T896" i="3" a="1"/>
  <c r="T896" i="3" s="1"/>
  <c r="T895" i="3" a="1"/>
  <c r="T895" i="3" s="1"/>
  <c r="T894" i="3" a="1"/>
  <c r="T894" i="3" s="1"/>
  <c r="T893" i="3" a="1"/>
  <c r="T893" i="3" s="1"/>
  <c r="T892" i="3" a="1"/>
  <c r="T892" i="3" s="1"/>
  <c r="T891" i="3" a="1"/>
  <c r="T891" i="3" s="1"/>
  <c r="T890" i="3" a="1"/>
  <c r="T890" i="3" s="1"/>
  <c r="T889" i="3" a="1"/>
  <c r="T889" i="3" s="1"/>
  <c r="T888" i="3" a="1"/>
  <c r="T888" i="3" s="1"/>
  <c r="T887" i="3" a="1"/>
  <c r="T887" i="3" s="1"/>
  <c r="T886" i="3" a="1"/>
  <c r="T886" i="3" s="1"/>
  <c r="T885" i="3" a="1"/>
  <c r="T885" i="3" s="1"/>
  <c r="T884" i="3" a="1"/>
  <c r="T884" i="3" s="1"/>
  <c r="T883" i="3" a="1"/>
  <c r="T883" i="3" s="1"/>
  <c r="T882" i="3" a="1"/>
  <c r="T882" i="3" s="1"/>
  <c r="T881" i="3" a="1"/>
  <c r="T881" i="3" s="1"/>
  <c r="T880" i="3" a="1"/>
  <c r="T880" i="3" s="1"/>
  <c r="T879" i="3" a="1"/>
  <c r="T879" i="3" s="1"/>
  <c r="T878" i="3" a="1"/>
  <c r="T878" i="3" s="1"/>
  <c r="T877" i="3" a="1"/>
  <c r="T877" i="3" s="1"/>
  <c r="T876" i="3" a="1"/>
  <c r="T876" i="3" s="1"/>
  <c r="T875" i="3" a="1"/>
  <c r="T875" i="3" s="1"/>
  <c r="T874" i="3" a="1"/>
  <c r="T874" i="3" s="1"/>
  <c r="T873" i="3" a="1"/>
  <c r="T873" i="3" s="1"/>
  <c r="T872" i="3" a="1"/>
  <c r="T872" i="3" s="1"/>
  <c r="T871" i="3" a="1"/>
  <c r="T871" i="3" s="1"/>
  <c r="T870" i="3" a="1"/>
  <c r="T870" i="3" s="1"/>
  <c r="T869" i="3" a="1"/>
  <c r="T869" i="3" s="1"/>
  <c r="T868" i="3" a="1"/>
  <c r="T868" i="3" s="1"/>
  <c r="T867" i="3" a="1"/>
  <c r="T867" i="3" s="1"/>
  <c r="T866" i="3" a="1"/>
  <c r="T866" i="3" s="1"/>
  <c r="T865" i="3" a="1"/>
  <c r="T865" i="3" s="1"/>
  <c r="T864" i="3" a="1"/>
  <c r="T864" i="3" s="1"/>
  <c r="T863" i="3" a="1"/>
  <c r="T863" i="3" s="1"/>
  <c r="T862" i="3" a="1"/>
  <c r="T862" i="3" s="1"/>
  <c r="T861" i="3" a="1"/>
  <c r="T861" i="3" s="1"/>
  <c r="T860" i="3" a="1"/>
  <c r="T860" i="3" s="1"/>
  <c r="T859" i="3" a="1"/>
  <c r="T859" i="3" s="1"/>
  <c r="T858" i="3" a="1"/>
  <c r="T858" i="3" s="1"/>
  <c r="T857" i="3" a="1"/>
  <c r="T857" i="3" s="1"/>
  <c r="T856" i="3" a="1"/>
  <c r="T856" i="3" s="1"/>
  <c r="T855" i="3" a="1"/>
  <c r="T855" i="3" s="1"/>
  <c r="T854" i="3" a="1"/>
  <c r="T854" i="3" s="1"/>
  <c r="T853" i="3" a="1"/>
  <c r="T853" i="3" s="1"/>
  <c r="T852" i="3" a="1"/>
  <c r="T852" i="3" s="1"/>
  <c r="T851" i="3" a="1"/>
  <c r="T851" i="3" s="1"/>
  <c r="T850" i="3" a="1"/>
  <c r="T850" i="3" s="1"/>
  <c r="T849" i="3" a="1"/>
  <c r="T849" i="3" s="1"/>
  <c r="T848" i="3" a="1"/>
  <c r="T848" i="3" s="1"/>
  <c r="T847" i="3" a="1"/>
  <c r="T847" i="3" s="1"/>
  <c r="T846" i="3" a="1"/>
  <c r="T846" i="3" s="1"/>
  <c r="T845" i="3" a="1"/>
  <c r="T845" i="3" s="1"/>
  <c r="T844" i="3" a="1"/>
  <c r="T844" i="3" s="1"/>
  <c r="T843" i="3" a="1"/>
  <c r="T843" i="3" s="1"/>
  <c r="T842" i="3" a="1"/>
  <c r="T842" i="3" s="1"/>
  <c r="T841" i="3" a="1"/>
  <c r="T841" i="3" s="1"/>
  <c r="T840" i="3" a="1"/>
  <c r="T840" i="3" s="1"/>
  <c r="T839" i="3" a="1"/>
  <c r="T839" i="3" s="1"/>
  <c r="T838" i="3" a="1"/>
  <c r="T838" i="3" s="1"/>
  <c r="T837" i="3" a="1"/>
  <c r="T837" i="3" s="1"/>
  <c r="T836" i="3" a="1"/>
  <c r="T836" i="3" s="1"/>
  <c r="T835" i="3" a="1"/>
  <c r="T835" i="3" s="1"/>
  <c r="T834" i="3" a="1"/>
  <c r="T834" i="3" s="1"/>
  <c r="T833" i="3" a="1"/>
  <c r="T833" i="3" s="1"/>
  <c r="T832" i="3" a="1"/>
  <c r="T832" i="3" s="1"/>
  <c r="T831" i="3" a="1"/>
  <c r="T831" i="3" s="1"/>
  <c r="T830" i="3" a="1"/>
  <c r="T830" i="3" s="1"/>
  <c r="T829" i="3" a="1"/>
  <c r="T829" i="3" s="1"/>
  <c r="T828" i="3" a="1"/>
  <c r="T828" i="3" s="1"/>
  <c r="T827" i="3" a="1"/>
  <c r="T827" i="3" s="1"/>
  <c r="T826" i="3" a="1"/>
  <c r="T826" i="3" s="1"/>
  <c r="T825" i="3" a="1"/>
  <c r="T825" i="3" s="1"/>
  <c r="T824" i="3" a="1"/>
  <c r="T824" i="3" s="1"/>
  <c r="T823" i="3" a="1"/>
  <c r="T823" i="3" s="1"/>
  <c r="T822" i="3" a="1"/>
  <c r="T822" i="3" s="1"/>
  <c r="T821" i="3" a="1"/>
  <c r="T821" i="3" s="1"/>
  <c r="T820" i="3" a="1"/>
  <c r="T820" i="3" s="1"/>
  <c r="T819" i="3" a="1"/>
  <c r="T819" i="3" s="1"/>
  <c r="T818" i="3" a="1"/>
  <c r="T818" i="3" s="1"/>
  <c r="T817" i="3" a="1"/>
  <c r="T817" i="3" s="1"/>
  <c r="T816" i="3" a="1"/>
  <c r="T816" i="3" s="1"/>
  <c r="T815" i="3" a="1"/>
  <c r="T815" i="3" s="1"/>
  <c r="T814" i="3" a="1"/>
  <c r="T814" i="3" s="1"/>
  <c r="T813" i="3" a="1"/>
  <c r="T813" i="3" s="1"/>
  <c r="T812" i="3" a="1"/>
  <c r="T812" i="3" s="1"/>
  <c r="T811" i="3" a="1"/>
  <c r="T811" i="3" s="1"/>
  <c r="T810" i="3" a="1"/>
  <c r="T810" i="3" s="1"/>
  <c r="T809" i="3" a="1"/>
  <c r="T809" i="3" s="1"/>
  <c r="T808" i="3" a="1"/>
  <c r="T808" i="3" s="1"/>
  <c r="T807" i="3" a="1"/>
  <c r="T807" i="3" s="1"/>
  <c r="T806" i="3" a="1"/>
  <c r="T806" i="3" s="1"/>
  <c r="T805" i="3" a="1"/>
  <c r="T805" i="3" s="1"/>
  <c r="T804" i="3" a="1"/>
  <c r="T804" i="3" s="1"/>
  <c r="T803" i="3" a="1"/>
  <c r="T803" i="3" s="1"/>
  <c r="T802" i="3" a="1"/>
  <c r="T802" i="3" s="1"/>
  <c r="T801" i="3" a="1"/>
  <c r="T801" i="3" s="1"/>
  <c r="T800" i="3" a="1"/>
  <c r="T800" i="3" s="1"/>
  <c r="T799" i="3" a="1"/>
  <c r="T799" i="3" s="1"/>
  <c r="T798" i="3" a="1"/>
  <c r="T798" i="3" s="1"/>
  <c r="T797" i="3" a="1"/>
  <c r="T797" i="3" s="1"/>
  <c r="T796" i="3" a="1"/>
  <c r="T796" i="3" s="1"/>
  <c r="T795" i="3" a="1"/>
  <c r="T795" i="3" s="1"/>
  <c r="T794" i="3" a="1"/>
  <c r="T794" i="3" s="1"/>
  <c r="T793" i="3" a="1"/>
  <c r="T793" i="3" s="1"/>
  <c r="T792" i="3" a="1"/>
  <c r="T792" i="3" s="1"/>
  <c r="T791" i="3" a="1"/>
  <c r="T791" i="3" s="1"/>
  <c r="T790" i="3" a="1"/>
  <c r="T790" i="3" s="1"/>
  <c r="T789" i="3" a="1"/>
  <c r="T789" i="3" s="1"/>
  <c r="T788" i="3" a="1"/>
  <c r="T788" i="3" s="1"/>
  <c r="T787" i="3" a="1"/>
  <c r="T787" i="3" s="1"/>
  <c r="T786" i="3" a="1"/>
  <c r="T786" i="3" s="1"/>
  <c r="T785" i="3" a="1"/>
  <c r="T785" i="3" s="1"/>
  <c r="T784" i="3" a="1"/>
  <c r="T784" i="3" s="1"/>
  <c r="T783" i="3" a="1"/>
  <c r="T783" i="3" s="1"/>
  <c r="T782" i="3" a="1"/>
  <c r="T782" i="3" s="1"/>
  <c r="T781" i="3" a="1"/>
  <c r="T781" i="3" s="1"/>
  <c r="T780" i="3" a="1"/>
  <c r="T780" i="3" s="1"/>
  <c r="T779" i="3" a="1"/>
  <c r="T779" i="3" s="1"/>
  <c r="T778" i="3" a="1"/>
  <c r="T778" i="3" s="1"/>
  <c r="T777" i="3" a="1"/>
  <c r="T777" i="3" s="1"/>
  <c r="T776" i="3" a="1"/>
  <c r="T776" i="3" s="1"/>
  <c r="T775" i="3" a="1"/>
  <c r="T775" i="3" s="1"/>
  <c r="T774" i="3" a="1"/>
  <c r="T774" i="3" s="1"/>
  <c r="T773" i="3" a="1"/>
  <c r="T773" i="3" s="1"/>
  <c r="T772" i="3" a="1"/>
  <c r="T772" i="3" s="1"/>
  <c r="T771" i="3" a="1"/>
  <c r="T771" i="3" s="1"/>
  <c r="T770" i="3" a="1"/>
  <c r="T770" i="3" s="1"/>
  <c r="T769" i="3" a="1"/>
  <c r="T769" i="3" s="1"/>
  <c r="T768" i="3" a="1"/>
  <c r="T768" i="3" s="1"/>
  <c r="T767" i="3" a="1"/>
  <c r="T767" i="3" s="1"/>
  <c r="T766" i="3" a="1"/>
  <c r="T766" i="3" s="1"/>
  <c r="T765" i="3" a="1"/>
  <c r="T765" i="3" s="1"/>
  <c r="T764" i="3" a="1"/>
  <c r="T764" i="3" s="1"/>
  <c r="T763" i="3" a="1"/>
  <c r="T763" i="3" s="1"/>
  <c r="T762" i="3" a="1"/>
  <c r="T762" i="3" s="1"/>
  <c r="T761" i="3" a="1"/>
  <c r="T761" i="3" s="1"/>
  <c r="T760" i="3" a="1"/>
  <c r="T760" i="3" s="1"/>
  <c r="T759" i="3" a="1"/>
  <c r="T759" i="3" s="1"/>
  <c r="T758" i="3" a="1"/>
  <c r="T758" i="3" s="1"/>
  <c r="T757" i="3" a="1"/>
  <c r="T757" i="3" s="1"/>
  <c r="T756" i="3" a="1"/>
  <c r="T756" i="3" s="1"/>
  <c r="T755" i="3" a="1"/>
  <c r="T755" i="3" s="1"/>
  <c r="T754" i="3" a="1"/>
  <c r="T754" i="3" s="1"/>
  <c r="T753" i="3" a="1"/>
  <c r="T753" i="3" s="1"/>
  <c r="T752" i="3" a="1"/>
  <c r="T752" i="3" s="1"/>
  <c r="T751" i="3" a="1"/>
  <c r="T751" i="3" s="1"/>
  <c r="T750" i="3" a="1"/>
  <c r="T750" i="3" s="1"/>
  <c r="T749" i="3" a="1"/>
  <c r="T749" i="3" s="1"/>
  <c r="T748" i="3" a="1"/>
  <c r="T748" i="3" s="1"/>
  <c r="T747" i="3" a="1"/>
  <c r="T747" i="3" s="1"/>
  <c r="T746" i="3" a="1"/>
  <c r="T746" i="3" s="1"/>
  <c r="T745" i="3" a="1"/>
  <c r="T745" i="3" s="1"/>
  <c r="T744" i="3" a="1"/>
  <c r="T744" i="3" s="1"/>
  <c r="T743" i="3" a="1"/>
  <c r="T743" i="3" s="1"/>
  <c r="T742" i="3" a="1"/>
  <c r="T742" i="3" s="1"/>
  <c r="T741" i="3" a="1"/>
  <c r="T741" i="3" s="1"/>
  <c r="T740" i="3" a="1"/>
  <c r="T740" i="3" s="1"/>
  <c r="T739" i="3" a="1"/>
  <c r="T739" i="3" s="1"/>
  <c r="T738" i="3" a="1"/>
  <c r="T738" i="3" s="1"/>
  <c r="T737" i="3" a="1"/>
  <c r="T737" i="3" s="1"/>
  <c r="T736" i="3" a="1"/>
  <c r="T736" i="3" s="1"/>
  <c r="T735" i="3" a="1"/>
  <c r="T735" i="3" s="1"/>
  <c r="T734" i="3" a="1"/>
  <c r="T734" i="3" s="1"/>
  <c r="T733" i="3" a="1"/>
  <c r="T733" i="3" s="1"/>
  <c r="T732" i="3" a="1"/>
  <c r="T732" i="3" s="1"/>
  <c r="T731" i="3" a="1"/>
  <c r="T731" i="3" s="1"/>
  <c r="T730" i="3" a="1"/>
  <c r="T730" i="3" s="1"/>
  <c r="T729" i="3" a="1"/>
  <c r="T729" i="3" s="1"/>
  <c r="T728" i="3" a="1"/>
  <c r="T728" i="3" s="1"/>
  <c r="T727" i="3" a="1"/>
  <c r="T727" i="3" s="1"/>
  <c r="T726" i="3" a="1"/>
  <c r="T726" i="3" s="1"/>
  <c r="T725" i="3" a="1"/>
  <c r="T725" i="3" s="1"/>
  <c r="T724" i="3" a="1"/>
  <c r="T724" i="3" s="1"/>
  <c r="T723" i="3" a="1"/>
  <c r="T723" i="3" s="1"/>
  <c r="T722" i="3" a="1"/>
  <c r="T722" i="3" s="1"/>
  <c r="T721" i="3" a="1"/>
  <c r="T721" i="3" s="1"/>
  <c r="T720" i="3" a="1"/>
  <c r="T720" i="3" s="1"/>
  <c r="T719" i="3" a="1"/>
  <c r="T719" i="3" s="1"/>
  <c r="T718" i="3" a="1"/>
  <c r="T718" i="3" s="1"/>
  <c r="T717" i="3" a="1"/>
  <c r="T717" i="3" s="1"/>
  <c r="T716" i="3" a="1"/>
  <c r="T716" i="3" s="1"/>
  <c r="T715" i="3" a="1"/>
  <c r="T715" i="3" s="1"/>
  <c r="T714" i="3" a="1"/>
  <c r="T714" i="3" s="1"/>
  <c r="T713" i="3" a="1"/>
  <c r="T713" i="3" s="1"/>
  <c r="T712" i="3" a="1"/>
  <c r="T712" i="3" s="1"/>
  <c r="T711" i="3" a="1"/>
  <c r="T711" i="3" s="1"/>
  <c r="T710" i="3" a="1"/>
  <c r="T710" i="3" s="1"/>
  <c r="T709" i="3" a="1"/>
  <c r="T709" i="3" s="1"/>
  <c r="T708" i="3" a="1"/>
  <c r="T708" i="3" s="1"/>
  <c r="T707" i="3" a="1"/>
  <c r="T707" i="3" s="1"/>
  <c r="T706" i="3" a="1"/>
  <c r="T706" i="3" s="1"/>
  <c r="T705" i="3" a="1"/>
  <c r="T705" i="3" s="1"/>
  <c r="T704" i="3" a="1"/>
  <c r="T704" i="3" s="1"/>
  <c r="T703" i="3" a="1"/>
  <c r="T703" i="3" s="1"/>
  <c r="T702" i="3" a="1"/>
  <c r="T702" i="3" s="1"/>
  <c r="T701" i="3" a="1"/>
  <c r="T701" i="3" s="1"/>
  <c r="T700" i="3" a="1"/>
  <c r="T700" i="3" s="1"/>
  <c r="T699" i="3" a="1"/>
  <c r="T699" i="3" s="1"/>
  <c r="T698" i="3" a="1"/>
  <c r="T698" i="3" s="1"/>
  <c r="T697" i="3" a="1"/>
  <c r="T697" i="3" s="1"/>
  <c r="T696" i="3" a="1"/>
  <c r="T696" i="3" s="1"/>
  <c r="T695" i="3" a="1"/>
  <c r="T695" i="3" s="1"/>
  <c r="T694" i="3" a="1"/>
  <c r="T694" i="3" s="1"/>
  <c r="T693" i="3" a="1"/>
  <c r="T693" i="3" s="1"/>
  <c r="T692" i="3" a="1"/>
  <c r="T692" i="3" s="1"/>
  <c r="T691" i="3" a="1"/>
  <c r="T691" i="3" s="1"/>
  <c r="T690" i="3" a="1"/>
  <c r="T690" i="3" s="1"/>
  <c r="T689" i="3" a="1"/>
  <c r="T689" i="3" s="1"/>
  <c r="T688" i="3" a="1"/>
  <c r="T688" i="3" s="1"/>
  <c r="T687" i="3" a="1"/>
  <c r="T687" i="3" s="1"/>
  <c r="T686" i="3" a="1"/>
  <c r="T686" i="3" s="1"/>
  <c r="T685" i="3" a="1"/>
  <c r="T685" i="3" s="1"/>
  <c r="T684" i="3" a="1"/>
  <c r="T684" i="3" s="1"/>
  <c r="T683" i="3" a="1"/>
  <c r="T683" i="3" s="1"/>
  <c r="T682" i="3" a="1"/>
  <c r="T682" i="3" s="1"/>
  <c r="T681" i="3" a="1"/>
  <c r="T681" i="3" s="1"/>
  <c r="T680" i="3" a="1"/>
  <c r="T680" i="3" s="1"/>
  <c r="T679" i="3" a="1"/>
  <c r="T679" i="3" s="1"/>
  <c r="T678" i="3" a="1"/>
  <c r="T678" i="3" s="1"/>
  <c r="T677" i="3" a="1"/>
  <c r="T677" i="3" s="1"/>
  <c r="T676" i="3" a="1"/>
  <c r="T676" i="3" s="1"/>
  <c r="T675" i="3" a="1"/>
  <c r="T675" i="3" s="1"/>
  <c r="T674" i="3" a="1"/>
  <c r="T674" i="3" s="1"/>
  <c r="T673" i="3" a="1"/>
  <c r="T673" i="3" s="1"/>
  <c r="T672" i="3" a="1"/>
  <c r="T672" i="3" s="1"/>
  <c r="T671" i="3" a="1"/>
  <c r="T671" i="3" s="1"/>
  <c r="T670" i="3" a="1"/>
  <c r="T670" i="3" s="1"/>
  <c r="T669" i="3" a="1"/>
  <c r="T669" i="3" s="1"/>
  <c r="T668" i="3" a="1"/>
  <c r="T668" i="3" s="1"/>
  <c r="T667" i="3" a="1"/>
  <c r="T667" i="3" s="1"/>
  <c r="T666" i="3" a="1"/>
  <c r="T666" i="3" s="1"/>
  <c r="T665" i="3" a="1"/>
  <c r="T665" i="3" s="1"/>
  <c r="T664" i="3" a="1"/>
  <c r="T664" i="3" s="1"/>
  <c r="T663" i="3" a="1"/>
  <c r="T663" i="3" s="1"/>
  <c r="T662" i="3" a="1"/>
  <c r="T662" i="3" s="1"/>
  <c r="T661" i="3" a="1"/>
  <c r="T661" i="3" s="1"/>
  <c r="T660" i="3" a="1"/>
  <c r="T660" i="3" s="1"/>
  <c r="T659" i="3" a="1"/>
  <c r="T659" i="3" s="1"/>
  <c r="T658" i="3" a="1"/>
  <c r="T658" i="3" s="1"/>
  <c r="T657" i="3" a="1"/>
  <c r="T657" i="3" s="1"/>
  <c r="T656" i="3" a="1"/>
  <c r="T656" i="3" s="1"/>
  <c r="T655" i="3" a="1"/>
  <c r="T655" i="3" s="1"/>
  <c r="T654" i="3" a="1"/>
  <c r="T654" i="3" s="1"/>
  <c r="T653" i="3" a="1"/>
  <c r="T653" i="3" s="1"/>
  <c r="T652" i="3" a="1"/>
  <c r="T652" i="3" s="1"/>
  <c r="T651" i="3" a="1"/>
  <c r="T651" i="3" s="1"/>
  <c r="T650" i="3" a="1"/>
  <c r="T650" i="3" s="1"/>
  <c r="T649" i="3" a="1"/>
  <c r="T649" i="3" s="1"/>
  <c r="T648" i="3" a="1"/>
  <c r="T648" i="3" s="1"/>
  <c r="T647" i="3" a="1"/>
  <c r="T647" i="3" s="1"/>
  <c r="T646" i="3" a="1"/>
  <c r="T646" i="3" s="1"/>
  <c r="T645" i="3" a="1"/>
  <c r="T645" i="3" s="1"/>
  <c r="T644" i="3" a="1"/>
  <c r="T644" i="3" s="1"/>
  <c r="T643" i="3" a="1"/>
  <c r="T643" i="3" s="1"/>
  <c r="T642" i="3" a="1"/>
  <c r="T642" i="3" s="1"/>
  <c r="T641" i="3" a="1"/>
  <c r="T641" i="3" s="1"/>
  <c r="T640" i="3" a="1"/>
  <c r="T640" i="3" s="1"/>
  <c r="T639" i="3" a="1"/>
  <c r="T639" i="3" s="1"/>
  <c r="T638" i="3" a="1"/>
  <c r="T638" i="3" s="1"/>
  <c r="T637" i="3" a="1"/>
  <c r="T637" i="3" s="1"/>
  <c r="T636" i="3" a="1"/>
  <c r="T636" i="3" s="1"/>
  <c r="T635" i="3" a="1"/>
  <c r="T635" i="3" s="1"/>
  <c r="T634" i="3" a="1"/>
  <c r="T634" i="3" s="1"/>
  <c r="T633" i="3" a="1"/>
  <c r="T633" i="3" s="1"/>
  <c r="T632" i="3" a="1"/>
  <c r="T632" i="3" s="1"/>
  <c r="T631" i="3" a="1"/>
  <c r="T631" i="3" s="1"/>
  <c r="T630" i="3" a="1"/>
  <c r="T630" i="3" s="1"/>
  <c r="T629" i="3" a="1"/>
  <c r="T629" i="3" s="1"/>
  <c r="T628" i="3" a="1"/>
  <c r="T628" i="3" s="1"/>
  <c r="T627" i="3" a="1"/>
  <c r="T627" i="3" s="1"/>
  <c r="T626" i="3" a="1"/>
  <c r="T626" i="3" s="1"/>
  <c r="T625" i="3" a="1"/>
  <c r="T625" i="3" s="1"/>
  <c r="T624" i="3" a="1"/>
  <c r="T624" i="3" s="1"/>
  <c r="T623" i="3" a="1"/>
  <c r="T623" i="3" s="1"/>
  <c r="T622" i="3" a="1"/>
  <c r="T622" i="3" s="1"/>
  <c r="T621" i="3" a="1"/>
  <c r="T621" i="3" s="1"/>
  <c r="T620" i="3" a="1"/>
  <c r="T620" i="3" s="1"/>
  <c r="T619" i="3" a="1"/>
  <c r="T619" i="3" s="1"/>
  <c r="T618" i="3" a="1"/>
  <c r="T618" i="3" s="1"/>
  <c r="T617" i="3" a="1"/>
  <c r="T617" i="3" s="1"/>
  <c r="T616" i="3" a="1"/>
  <c r="T616" i="3" s="1"/>
  <c r="T615" i="3" a="1"/>
  <c r="T615" i="3" s="1"/>
  <c r="T614" i="3" a="1"/>
  <c r="T614" i="3" s="1"/>
  <c r="T613" i="3" a="1"/>
  <c r="T613" i="3" s="1"/>
  <c r="T612" i="3" a="1"/>
  <c r="T612" i="3" s="1"/>
  <c r="T611" i="3" a="1"/>
  <c r="T611" i="3" s="1"/>
  <c r="T610" i="3" a="1"/>
  <c r="T610" i="3" s="1"/>
  <c r="T609" i="3" a="1"/>
  <c r="T609" i="3" s="1"/>
  <c r="T608" i="3" a="1"/>
  <c r="T608" i="3" s="1"/>
  <c r="T607" i="3" a="1"/>
  <c r="T607" i="3" s="1"/>
  <c r="T606" i="3" a="1"/>
  <c r="T606" i="3" s="1"/>
  <c r="T605" i="3" a="1"/>
  <c r="T605" i="3" s="1"/>
  <c r="T604" i="3" a="1"/>
  <c r="T604" i="3" s="1"/>
  <c r="T603" i="3" a="1"/>
  <c r="T603" i="3" s="1"/>
  <c r="T602" i="3" a="1"/>
  <c r="T602" i="3" s="1"/>
  <c r="T601" i="3" a="1"/>
  <c r="T601" i="3" s="1"/>
  <c r="T600" i="3" a="1"/>
  <c r="T600" i="3" s="1"/>
  <c r="T599" i="3" a="1"/>
  <c r="T599" i="3" s="1"/>
  <c r="T598" i="3" a="1"/>
  <c r="T598" i="3" s="1"/>
  <c r="T597" i="3" a="1"/>
  <c r="T597" i="3" s="1"/>
  <c r="T596" i="3" a="1"/>
  <c r="T596" i="3" s="1"/>
  <c r="T595" i="3" a="1"/>
  <c r="T595" i="3" s="1"/>
  <c r="T594" i="3" a="1"/>
  <c r="T594" i="3" s="1"/>
  <c r="T593" i="3" a="1"/>
  <c r="T593" i="3" s="1"/>
  <c r="T592" i="3" a="1"/>
  <c r="T592" i="3" s="1"/>
  <c r="T591" i="3" a="1"/>
  <c r="T591" i="3" s="1"/>
  <c r="T590" i="3" a="1"/>
  <c r="T590" i="3" s="1"/>
  <c r="T589" i="3" a="1"/>
  <c r="T589" i="3" s="1"/>
  <c r="T588" i="3" a="1"/>
  <c r="T588" i="3" s="1"/>
  <c r="T587" i="3" a="1"/>
  <c r="T587" i="3" s="1"/>
  <c r="T586" i="3" a="1"/>
  <c r="T586" i="3" s="1"/>
  <c r="T585" i="3" a="1"/>
  <c r="T585" i="3" s="1"/>
  <c r="T584" i="3" a="1"/>
  <c r="T584" i="3" s="1"/>
  <c r="T583" i="3" a="1"/>
  <c r="T583" i="3" s="1"/>
  <c r="T582" i="3" a="1"/>
  <c r="T582" i="3" s="1"/>
  <c r="T581" i="3" a="1"/>
  <c r="T581" i="3" s="1"/>
  <c r="T580" i="3" a="1"/>
  <c r="T580" i="3" s="1"/>
  <c r="T579" i="3" a="1"/>
  <c r="T579" i="3" s="1"/>
  <c r="T578" i="3" a="1"/>
  <c r="T578" i="3" s="1"/>
  <c r="T577" i="3" a="1"/>
  <c r="T577" i="3" s="1"/>
  <c r="T576" i="3" a="1"/>
  <c r="T576" i="3" s="1"/>
  <c r="T575" i="3" a="1"/>
  <c r="T575" i="3" s="1"/>
  <c r="T574" i="3" a="1"/>
  <c r="T574" i="3" s="1"/>
  <c r="T573" i="3" a="1"/>
  <c r="T573" i="3" s="1"/>
  <c r="T572" i="3" a="1"/>
  <c r="T572" i="3" s="1"/>
  <c r="T571" i="3" a="1"/>
  <c r="T571" i="3" s="1"/>
  <c r="T570" i="3" a="1"/>
  <c r="T570" i="3" s="1"/>
  <c r="T569" i="3" a="1"/>
  <c r="T569" i="3" s="1"/>
  <c r="T568" i="3" a="1"/>
  <c r="T568" i="3" s="1"/>
  <c r="T567" i="3" a="1"/>
  <c r="T567" i="3" s="1"/>
  <c r="T566" i="3" a="1"/>
  <c r="T566" i="3" s="1"/>
  <c r="T565" i="3" a="1"/>
  <c r="T565" i="3" s="1"/>
  <c r="T564" i="3" a="1"/>
  <c r="T564" i="3" s="1"/>
  <c r="T563" i="3" a="1"/>
  <c r="T563" i="3" s="1"/>
  <c r="T562" i="3" a="1"/>
  <c r="T562" i="3" s="1"/>
  <c r="T561" i="3" a="1"/>
  <c r="T561" i="3" s="1"/>
  <c r="T560" i="3" a="1"/>
  <c r="T560" i="3" s="1"/>
  <c r="T559" i="3" a="1"/>
  <c r="T559" i="3" s="1"/>
  <c r="T558" i="3" a="1"/>
  <c r="T558" i="3" s="1"/>
  <c r="T557" i="3" a="1"/>
  <c r="T557" i="3" s="1"/>
  <c r="T556" i="3" a="1"/>
  <c r="T556" i="3" s="1"/>
  <c r="T555" i="3" a="1"/>
  <c r="T555" i="3" s="1"/>
  <c r="T554" i="3" a="1"/>
  <c r="T554" i="3" s="1"/>
  <c r="T553" i="3" a="1"/>
  <c r="T553" i="3" s="1"/>
  <c r="T552" i="3" a="1"/>
  <c r="T552" i="3" s="1"/>
  <c r="T551" i="3" a="1"/>
  <c r="T551" i="3" s="1"/>
  <c r="T550" i="3" a="1"/>
  <c r="T550" i="3" s="1"/>
  <c r="T549" i="3" a="1"/>
  <c r="T549" i="3" s="1"/>
  <c r="T548" i="3" a="1"/>
  <c r="T548" i="3" s="1"/>
  <c r="T547" i="3" a="1"/>
  <c r="T547" i="3" s="1"/>
  <c r="T546" i="3" a="1"/>
  <c r="T546" i="3" s="1"/>
  <c r="T545" i="3" a="1"/>
  <c r="T545" i="3" s="1"/>
  <c r="T544" i="3" a="1"/>
  <c r="T544" i="3" s="1"/>
  <c r="T543" i="3" a="1"/>
  <c r="T543" i="3" s="1"/>
  <c r="T542" i="3" a="1"/>
  <c r="T542" i="3" s="1"/>
  <c r="T541" i="3" a="1"/>
  <c r="T541" i="3" s="1"/>
  <c r="T540" i="3" a="1"/>
  <c r="T540" i="3" s="1"/>
  <c r="T539" i="3" a="1"/>
  <c r="T539" i="3" s="1"/>
  <c r="T538" i="3" a="1"/>
  <c r="T538" i="3" s="1"/>
  <c r="T537" i="3" a="1"/>
  <c r="T537" i="3" s="1"/>
  <c r="T536" i="3" a="1"/>
  <c r="T536" i="3" s="1"/>
  <c r="T535" i="3" a="1"/>
  <c r="T535" i="3" s="1"/>
  <c r="T534" i="3" a="1"/>
  <c r="T534" i="3" s="1"/>
  <c r="T533" i="3" a="1"/>
  <c r="T533" i="3" s="1"/>
  <c r="T532" i="3" a="1"/>
  <c r="T532" i="3" s="1"/>
  <c r="T531" i="3" a="1"/>
  <c r="T531" i="3" s="1"/>
  <c r="T530" i="3" a="1"/>
  <c r="T530" i="3" s="1"/>
  <c r="T529" i="3" a="1"/>
  <c r="T529" i="3" s="1"/>
  <c r="T528" i="3" a="1"/>
  <c r="T528" i="3" s="1"/>
  <c r="T527" i="3" a="1"/>
  <c r="T527" i="3" s="1"/>
  <c r="T526" i="3" a="1"/>
  <c r="T526" i="3" s="1"/>
  <c r="T525" i="3" a="1"/>
  <c r="T525" i="3" s="1"/>
  <c r="T524" i="3" a="1"/>
  <c r="T524" i="3" s="1"/>
  <c r="T523" i="3" a="1"/>
  <c r="T523" i="3" s="1"/>
  <c r="T522" i="3" a="1"/>
  <c r="T522" i="3" s="1"/>
  <c r="T521" i="3" a="1"/>
  <c r="T521" i="3" s="1"/>
  <c r="T520" i="3" a="1"/>
  <c r="T520" i="3" s="1"/>
  <c r="T519" i="3" a="1"/>
  <c r="T519" i="3" s="1"/>
  <c r="T518" i="3" a="1"/>
  <c r="T518" i="3" s="1"/>
  <c r="T517" i="3" a="1"/>
  <c r="T517" i="3" s="1"/>
  <c r="T516" i="3" a="1"/>
  <c r="T516" i="3" s="1"/>
  <c r="T515" i="3" a="1"/>
  <c r="T515" i="3" s="1"/>
  <c r="T514" i="3" a="1"/>
  <c r="T514" i="3" s="1"/>
  <c r="T513" i="3" a="1"/>
  <c r="T513" i="3" s="1"/>
  <c r="T512" i="3" a="1"/>
  <c r="T512" i="3" s="1"/>
  <c r="T511" i="3" a="1"/>
  <c r="T511" i="3" s="1"/>
  <c r="T510" i="3" a="1"/>
  <c r="T510" i="3" s="1"/>
  <c r="T509" i="3" a="1"/>
  <c r="T509" i="3" s="1"/>
  <c r="T508" i="3" a="1"/>
  <c r="T508" i="3" s="1"/>
  <c r="T507" i="3" a="1"/>
  <c r="T507" i="3" s="1"/>
  <c r="T506" i="3" a="1"/>
  <c r="T506" i="3" s="1"/>
  <c r="T505" i="3" a="1"/>
  <c r="T505" i="3" s="1"/>
  <c r="T504" i="3" a="1"/>
  <c r="T504" i="3" s="1"/>
  <c r="T503" i="3" a="1"/>
  <c r="T503" i="3" s="1"/>
  <c r="S1000" i="3" a="1"/>
  <c r="S1000" i="3" s="1"/>
  <c r="S999" i="3" a="1"/>
  <c r="S999" i="3" s="1"/>
  <c r="S998" i="3" a="1"/>
  <c r="S998" i="3" s="1"/>
  <c r="S997" i="3" a="1"/>
  <c r="S997" i="3" s="1"/>
  <c r="S996" i="3" a="1"/>
  <c r="S996" i="3" s="1"/>
  <c r="S995" i="3" a="1"/>
  <c r="S995" i="3" s="1"/>
  <c r="S994" i="3" a="1"/>
  <c r="S994" i="3" s="1"/>
  <c r="S993" i="3" a="1"/>
  <c r="S993" i="3" s="1"/>
  <c r="S992" i="3" a="1"/>
  <c r="S992" i="3" s="1"/>
  <c r="S991" i="3" a="1"/>
  <c r="S991" i="3" s="1"/>
  <c r="S990" i="3" a="1"/>
  <c r="S990" i="3" s="1"/>
  <c r="S989" i="3" a="1"/>
  <c r="S989" i="3" s="1"/>
  <c r="S988" i="3" a="1"/>
  <c r="S988" i="3" s="1"/>
  <c r="S987" i="3" a="1"/>
  <c r="S987" i="3" s="1"/>
  <c r="S986" i="3" a="1"/>
  <c r="S986" i="3" s="1"/>
  <c r="S985" i="3" a="1"/>
  <c r="S985" i="3" s="1"/>
  <c r="S984" i="3" a="1"/>
  <c r="S984" i="3" s="1"/>
  <c r="S983" i="3" a="1"/>
  <c r="S983" i="3" s="1"/>
  <c r="S982" i="3" a="1"/>
  <c r="S982" i="3" s="1"/>
  <c r="S981" i="3" a="1"/>
  <c r="S981" i="3" s="1"/>
  <c r="S980" i="3" a="1"/>
  <c r="S980" i="3" s="1"/>
  <c r="S979" i="3" a="1"/>
  <c r="S979" i="3" s="1"/>
  <c r="S978" i="3" a="1"/>
  <c r="S978" i="3" s="1"/>
  <c r="S977" i="3" a="1"/>
  <c r="S977" i="3" s="1"/>
  <c r="S976" i="3" a="1"/>
  <c r="S976" i="3" s="1"/>
  <c r="S975" i="3" a="1"/>
  <c r="S975" i="3" s="1"/>
  <c r="S974" i="3" a="1"/>
  <c r="S974" i="3" s="1"/>
  <c r="S973" i="3" a="1"/>
  <c r="S973" i="3" s="1"/>
  <c r="S972" i="3" a="1"/>
  <c r="S972" i="3" s="1"/>
  <c r="S971" i="3" a="1"/>
  <c r="S971" i="3" s="1"/>
  <c r="S970" i="3" a="1"/>
  <c r="S970" i="3" s="1"/>
  <c r="S969" i="3" a="1"/>
  <c r="S969" i="3" s="1"/>
  <c r="S968" i="3" a="1"/>
  <c r="S968" i="3" s="1"/>
  <c r="S967" i="3" a="1"/>
  <c r="S967" i="3" s="1"/>
  <c r="S966" i="3" a="1"/>
  <c r="S966" i="3" s="1"/>
  <c r="S965" i="3" a="1"/>
  <c r="S965" i="3" s="1"/>
  <c r="S964" i="3" a="1"/>
  <c r="S964" i="3" s="1"/>
  <c r="S963" i="3" a="1"/>
  <c r="S963" i="3" s="1"/>
  <c r="S962" i="3" a="1"/>
  <c r="S962" i="3" s="1"/>
  <c r="S961" i="3" a="1"/>
  <c r="S961" i="3" s="1"/>
  <c r="S960" i="3" a="1"/>
  <c r="S960" i="3" s="1"/>
  <c r="S959" i="3" a="1"/>
  <c r="S959" i="3" s="1"/>
  <c r="S958" i="3" a="1"/>
  <c r="S958" i="3" s="1"/>
  <c r="S957" i="3" a="1"/>
  <c r="S957" i="3" s="1"/>
  <c r="S956" i="3" a="1"/>
  <c r="S956" i="3" s="1"/>
  <c r="S955" i="3" a="1"/>
  <c r="S955" i="3" s="1"/>
  <c r="S954" i="3" a="1"/>
  <c r="S954" i="3" s="1"/>
  <c r="S953" i="3" a="1"/>
  <c r="S953" i="3" s="1"/>
  <c r="S952" i="3" a="1"/>
  <c r="S952" i="3" s="1"/>
  <c r="S951" i="3" a="1"/>
  <c r="S951" i="3" s="1"/>
  <c r="S950" i="3" a="1"/>
  <c r="S950" i="3" s="1"/>
  <c r="S949" i="3" a="1"/>
  <c r="S949" i="3" s="1"/>
  <c r="S948" i="3" a="1"/>
  <c r="S948" i="3" s="1"/>
  <c r="S947" i="3" a="1"/>
  <c r="S947" i="3" s="1"/>
  <c r="S946" i="3" a="1"/>
  <c r="S946" i="3" s="1"/>
  <c r="S945" i="3" a="1"/>
  <c r="S945" i="3" s="1"/>
  <c r="S944" i="3" a="1"/>
  <c r="S944" i="3" s="1"/>
  <c r="S943" i="3" a="1"/>
  <c r="S943" i="3" s="1"/>
  <c r="S942" i="3" a="1"/>
  <c r="S942" i="3" s="1"/>
  <c r="S941" i="3" a="1"/>
  <c r="S941" i="3" s="1"/>
  <c r="S940" i="3" a="1"/>
  <c r="S940" i="3" s="1"/>
  <c r="S939" i="3" a="1"/>
  <c r="S939" i="3" s="1"/>
  <c r="S938" i="3" a="1"/>
  <c r="S938" i="3" s="1"/>
  <c r="S937" i="3" a="1"/>
  <c r="S937" i="3" s="1"/>
  <c r="S936" i="3" a="1"/>
  <c r="S936" i="3" s="1"/>
  <c r="S935" i="3" a="1"/>
  <c r="S935" i="3" s="1"/>
  <c r="S934" i="3" a="1"/>
  <c r="S934" i="3" s="1"/>
  <c r="S933" i="3" a="1"/>
  <c r="S933" i="3" s="1"/>
  <c r="S932" i="3" a="1"/>
  <c r="S932" i="3" s="1"/>
  <c r="S931" i="3" a="1"/>
  <c r="S931" i="3" s="1"/>
  <c r="S930" i="3" a="1"/>
  <c r="S930" i="3" s="1"/>
  <c r="S929" i="3" a="1"/>
  <c r="S929" i="3" s="1"/>
  <c r="S928" i="3" a="1"/>
  <c r="S928" i="3" s="1"/>
  <c r="S927" i="3" a="1"/>
  <c r="S927" i="3" s="1"/>
  <c r="S926" i="3" a="1"/>
  <c r="S926" i="3" s="1"/>
  <c r="S925" i="3" a="1"/>
  <c r="S925" i="3" s="1"/>
  <c r="S924" i="3" a="1"/>
  <c r="S924" i="3" s="1"/>
  <c r="S923" i="3" a="1"/>
  <c r="S923" i="3" s="1"/>
  <c r="S922" i="3" a="1"/>
  <c r="S922" i="3" s="1"/>
  <c r="S921" i="3" a="1"/>
  <c r="S921" i="3" s="1"/>
  <c r="S920" i="3" a="1"/>
  <c r="S920" i="3" s="1"/>
  <c r="S919" i="3" a="1"/>
  <c r="S919" i="3" s="1"/>
  <c r="S918" i="3" a="1"/>
  <c r="S918" i="3" s="1"/>
  <c r="S917" i="3" a="1"/>
  <c r="S917" i="3" s="1"/>
  <c r="S916" i="3" a="1"/>
  <c r="S916" i="3" s="1"/>
  <c r="S915" i="3" a="1"/>
  <c r="S915" i="3" s="1"/>
  <c r="S914" i="3" a="1"/>
  <c r="S914" i="3" s="1"/>
  <c r="S913" i="3" a="1"/>
  <c r="S913" i="3" s="1"/>
  <c r="S912" i="3" a="1"/>
  <c r="S912" i="3" s="1"/>
  <c r="S911" i="3" a="1"/>
  <c r="S911" i="3" s="1"/>
  <c r="S910" i="3" a="1"/>
  <c r="S910" i="3" s="1"/>
  <c r="S909" i="3" a="1"/>
  <c r="S909" i="3" s="1"/>
  <c r="S908" i="3" a="1"/>
  <c r="S908" i="3" s="1"/>
  <c r="S907" i="3" a="1"/>
  <c r="S907" i="3" s="1"/>
  <c r="S906" i="3" a="1"/>
  <c r="S906" i="3" s="1"/>
  <c r="S905" i="3" a="1"/>
  <c r="S905" i="3" s="1"/>
  <c r="S904" i="3" a="1"/>
  <c r="S904" i="3" s="1"/>
  <c r="S903" i="3" a="1"/>
  <c r="S903" i="3" s="1"/>
  <c r="S902" i="3" a="1"/>
  <c r="S902" i="3" s="1"/>
  <c r="S901" i="3" a="1"/>
  <c r="S901" i="3" s="1"/>
  <c r="S900" i="3" a="1"/>
  <c r="S900" i="3" s="1"/>
  <c r="S899" i="3" a="1"/>
  <c r="S899" i="3" s="1"/>
  <c r="S898" i="3" a="1"/>
  <c r="S898" i="3" s="1"/>
  <c r="S897" i="3" a="1"/>
  <c r="S897" i="3" s="1"/>
  <c r="S896" i="3" a="1"/>
  <c r="S896" i="3" s="1"/>
  <c r="S895" i="3" a="1"/>
  <c r="S895" i="3" s="1"/>
  <c r="S894" i="3" a="1"/>
  <c r="S894" i="3" s="1"/>
  <c r="S893" i="3" a="1"/>
  <c r="S893" i="3" s="1"/>
  <c r="S892" i="3" a="1"/>
  <c r="S892" i="3" s="1"/>
  <c r="S891" i="3" a="1"/>
  <c r="S891" i="3" s="1"/>
  <c r="S890" i="3" a="1"/>
  <c r="S890" i="3" s="1"/>
  <c r="S889" i="3" a="1"/>
  <c r="S889" i="3" s="1"/>
  <c r="S888" i="3" a="1"/>
  <c r="S888" i="3" s="1"/>
  <c r="S887" i="3" a="1"/>
  <c r="S887" i="3" s="1"/>
  <c r="S886" i="3" a="1"/>
  <c r="S886" i="3" s="1"/>
  <c r="S885" i="3" a="1"/>
  <c r="S885" i="3" s="1"/>
  <c r="S884" i="3" a="1"/>
  <c r="S884" i="3" s="1"/>
  <c r="S883" i="3" a="1"/>
  <c r="S883" i="3" s="1"/>
  <c r="S882" i="3" a="1"/>
  <c r="S882" i="3" s="1"/>
  <c r="S881" i="3" a="1"/>
  <c r="S881" i="3" s="1"/>
  <c r="S880" i="3" a="1"/>
  <c r="S880" i="3" s="1"/>
  <c r="S879" i="3" a="1"/>
  <c r="S879" i="3" s="1"/>
  <c r="S878" i="3" a="1"/>
  <c r="S878" i="3" s="1"/>
  <c r="S877" i="3" a="1"/>
  <c r="S877" i="3" s="1"/>
  <c r="S876" i="3" a="1"/>
  <c r="S876" i="3" s="1"/>
  <c r="S875" i="3" a="1"/>
  <c r="S875" i="3" s="1"/>
  <c r="S874" i="3" a="1"/>
  <c r="S874" i="3" s="1"/>
  <c r="S873" i="3" a="1"/>
  <c r="S873" i="3" s="1"/>
  <c r="S872" i="3" a="1"/>
  <c r="S872" i="3" s="1"/>
  <c r="S871" i="3" a="1"/>
  <c r="S871" i="3" s="1"/>
  <c r="S870" i="3" a="1"/>
  <c r="S870" i="3" s="1"/>
  <c r="S869" i="3" a="1"/>
  <c r="S869" i="3" s="1"/>
  <c r="S868" i="3" a="1"/>
  <c r="S868" i="3" s="1"/>
  <c r="S867" i="3" a="1"/>
  <c r="S867" i="3" s="1"/>
  <c r="S866" i="3" a="1"/>
  <c r="S866" i="3" s="1"/>
  <c r="S865" i="3" a="1"/>
  <c r="S865" i="3" s="1"/>
  <c r="S864" i="3" a="1"/>
  <c r="S864" i="3" s="1"/>
  <c r="S863" i="3" a="1"/>
  <c r="S863" i="3" s="1"/>
  <c r="S862" i="3" a="1"/>
  <c r="S862" i="3" s="1"/>
  <c r="S861" i="3" a="1"/>
  <c r="S861" i="3" s="1"/>
  <c r="S860" i="3" a="1"/>
  <c r="S860" i="3" s="1"/>
  <c r="S859" i="3" a="1"/>
  <c r="S859" i="3" s="1"/>
  <c r="S858" i="3" a="1"/>
  <c r="S858" i="3" s="1"/>
  <c r="S857" i="3" a="1"/>
  <c r="S857" i="3" s="1"/>
  <c r="S856" i="3" a="1"/>
  <c r="S856" i="3" s="1"/>
  <c r="S855" i="3" a="1"/>
  <c r="S855" i="3" s="1"/>
  <c r="S854" i="3" a="1"/>
  <c r="S854" i="3" s="1"/>
  <c r="S853" i="3" a="1"/>
  <c r="S853" i="3" s="1"/>
  <c r="S852" i="3" a="1"/>
  <c r="S852" i="3" s="1"/>
  <c r="S851" i="3" a="1"/>
  <c r="S851" i="3" s="1"/>
  <c r="S850" i="3" a="1"/>
  <c r="S850" i="3" s="1"/>
  <c r="S849" i="3" a="1"/>
  <c r="S849" i="3" s="1"/>
  <c r="S848" i="3" a="1"/>
  <c r="S848" i="3" s="1"/>
  <c r="S847" i="3" a="1"/>
  <c r="S847" i="3" s="1"/>
  <c r="S846" i="3" a="1"/>
  <c r="S846" i="3" s="1"/>
  <c r="S845" i="3" a="1"/>
  <c r="S845" i="3" s="1"/>
  <c r="S844" i="3" a="1"/>
  <c r="S844" i="3" s="1"/>
  <c r="S843" i="3" a="1"/>
  <c r="S843" i="3" s="1"/>
  <c r="S842" i="3" a="1"/>
  <c r="S842" i="3" s="1"/>
  <c r="S841" i="3" a="1"/>
  <c r="S841" i="3" s="1"/>
  <c r="S840" i="3" a="1"/>
  <c r="S840" i="3" s="1"/>
  <c r="S839" i="3" a="1"/>
  <c r="S839" i="3" s="1"/>
  <c r="S838" i="3" a="1"/>
  <c r="S838" i="3" s="1"/>
  <c r="S837" i="3" a="1"/>
  <c r="S837" i="3" s="1"/>
  <c r="S836" i="3" a="1"/>
  <c r="S836" i="3" s="1"/>
  <c r="S835" i="3" a="1"/>
  <c r="S835" i="3" s="1"/>
  <c r="S834" i="3" a="1"/>
  <c r="S834" i="3" s="1"/>
  <c r="S833" i="3" a="1"/>
  <c r="S833" i="3" s="1"/>
  <c r="S832" i="3" a="1"/>
  <c r="S832" i="3" s="1"/>
  <c r="S831" i="3" a="1"/>
  <c r="S831" i="3" s="1"/>
  <c r="S830" i="3" a="1"/>
  <c r="S830" i="3" s="1"/>
  <c r="S829" i="3" a="1"/>
  <c r="S829" i="3" s="1"/>
  <c r="S828" i="3" a="1"/>
  <c r="S828" i="3" s="1"/>
  <c r="S827" i="3" a="1"/>
  <c r="S827" i="3" s="1"/>
  <c r="S826" i="3" a="1"/>
  <c r="S826" i="3" s="1"/>
  <c r="S825" i="3" a="1"/>
  <c r="S825" i="3" s="1"/>
  <c r="S824" i="3" a="1"/>
  <c r="S824" i="3" s="1"/>
  <c r="S823" i="3" a="1"/>
  <c r="S823" i="3" s="1"/>
  <c r="S822" i="3" a="1"/>
  <c r="S822" i="3" s="1"/>
  <c r="S821" i="3" a="1"/>
  <c r="S821" i="3" s="1"/>
  <c r="S820" i="3" a="1"/>
  <c r="S820" i="3" s="1"/>
  <c r="S819" i="3" a="1"/>
  <c r="S819" i="3" s="1"/>
  <c r="S818" i="3" a="1"/>
  <c r="S818" i="3" s="1"/>
  <c r="S817" i="3" a="1"/>
  <c r="S817" i="3" s="1"/>
  <c r="S816" i="3" a="1"/>
  <c r="S816" i="3" s="1"/>
  <c r="S815" i="3" a="1"/>
  <c r="S815" i="3" s="1"/>
  <c r="S814" i="3" a="1"/>
  <c r="S814" i="3" s="1"/>
  <c r="S813" i="3" a="1"/>
  <c r="S813" i="3" s="1"/>
  <c r="S812" i="3" a="1"/>
  <c r="S812" i="3" s="1"/>
  <c r="S811" i="3" a="1"/>
  <c r="S811" i="3" s="1"/>
  <c r="S810" i="3" a="1"/>
  <c r="S810" i="3" s="1"/>
  <c r="S809" i="3" a="1"/>
  <c r="S809" i="3" s="1"/>
  <c r="S808" i="3" a="1"/>
  <c r="S808" i="3" s="1"/>
  <c r="S807" i="3" a="1"/>
  <c r="S807" i="3" s="1"/>
  <c r="S806" i="3" a="1"/>
  <c r="S806" i="3" s="1"/>
  <c r="S805" i="3" a="1"/>
  <c r="S805" i="3" s="1"/>
  <c r="S804" i="3" a="1"/>
  <c r="S804" i="3" s="1"/>
  <c r="S803" i="3" a="1"/>
  <c r="S803" i="3" s="1"/>
  <c r="S802" i="3" a="1"/>
  <c r="S802" i="3" s="1"/>
  <c r="S801" i="3" a="1"/>
  <c r="S801" i="3" s="1"/>
  <c r="S800" i="3" a="1"/>
  <c r="S800" i="3" s="1"/>
  <c r="S799" i="3" a="1"/>
  <c r="S799" i="3" s="1"/>
  <c r="S798" i="3" a="1"/>
  <c r="S798" i="3" s="1"/>
  <c r="S797" i="3" a="1"/>
  <c r="S797" i="3" s="1"/>
  <c r="S796" i="3" a="1"/>
  <c r="S796" i="3" s="1"/>
  <c r="S795" i="3" a="1"/>
  <c r="S795" i="3" s="1"/>
  <c r="S794" i="3" a="1"/>
  <c r="S794" i="3" s="1"/>
  <c r="S793" i="3" a="1"/>
  <c r="S793" i="3" s="1"/>
  <c r="S792" i="3" a="1"/>
  <c r="S792" i="3" s="1"/>
  <c r="S791" i="3" a="1"/>
  <c r="S791" i="3" s="1"/>
  <c r="S790" i="3" a="1"/>
  <c r="S790" i="3" s="1"/>
  <c r="S789" i="3" a="1"/>
  <c r="S789" i="3" s="1"/>
  <c r="S788" i="3" a="1"/>
  <c r="S788" i="3" s="1"/>
  <c r="S787" i="3" a="1"/>
  <c r="S787" i="3" s="1"/>
  <c r="S786" i="3" a="1"/>
  <c r="S786" i="3" s="1"/>
  <c r="S785" i="3" a="1"/>
  <c r="S785" i="3" s="1"/>
  <c r="S784" i="3" a="1"/>
  <c r="S784" i="3" s="1"/>
  <c r="S783" i="3" a="1"/>
  <c r="S783" i="3" s="1"/>
  <c r="S782" i="3" a="1"/>
  <c r="S782" i="3" s="1"/>
  <c r="S781" i="3" a="1"/>
  <c r="S781" i="3" s="1"/>
  <c r="S780" i="3" a="1"/>
  <c r="S780" i="3" s="1"/>
  <c r="S779" i="3" a="1"/>
  <c r="S779" i="3" s="1"/>
  <c r="S778" i="3" a="1"/>
  <c r="S778" i="3" s="1"/>
  <c r="S777" i="3" a="1"/>
  <c r="S777" i="3" s="1"/>
  <c r="S776" i="3" a="1"/>
  <c r="S776" i="3" s="1"/>
  <c r="S775" i="3" a="1"/>
  <c r="S775" i="3" s="1"/>
  <c r="S774" i="3" a="1"/>
  <c r="S774" i="3" s="1"/>
  <c r="S773" i="3" a="1"/>
  <c r="S773" i="3" s="1"/>
  <c r="S772" i="3" a="1"/>
  <c r="S772" i="3" s="1"/>
  <c r="S771" i="3" a="1"/>
  <c r="S771" i="3" s="1"/>
  <c r="S770" i="3" a="1"/>
  <c r="S770" i="3" s="1"/>
  <c r="S769" i="3" a="1"/>
  <c r="S769" i="3" s="1"/>
  <c r="S768" i="3" a="1"/>
  <c r="S768" i="3" s="1"/>
  <c r="S767" i="3" a="1"/>
  <c r="S767" i="3" s="1"/>
  <c r="S766" i="3" a="1"/>
  <c r="S766" i="3" s="1"/>
  <c r="S765" i="3" a="1"/>
  <c r="S765" i="3" s="1"/>
  <c r="S764" i="3" a="1"/>
  <c r="S764" i="3" s="1"/>
  <c r="S763" i="3" a="1"/>
  <c r="S763" i="3" s="1"/>
  <c r="S762" i="3" a="1"/>
  <c r="S762" i="3" s="1"/>
  <c r="S761" i="3" a="1"/>
  <c r="S761" i="3" s="1"/>
  <c r="S760" i="3" a="1"/>
  <c r="S760" i="3" s="1"/>
  <c r="S759" i="3" a="1"/>
  <c r="S759" i="3" s="1"/>
  <c r="S758" i="3" a="1"/>
  <c r="S758" i="3" s="1"/>
  <c r="S757" i="3" a="1"/>
  <c r="S757" i="3" s="1"/>
  <c r="S756" i="3" a="1"/>
  <c r="S756" i="3" s="1"/>
  <c r="S755" i="3" a="1"/>
  <c r="S755" i="3" s="1"/>
  <c r="S754" i="3" a="1"/>
  <c r="S754" i="3" s="1"/>
  <c r="S753" i="3" a="1"/>
  <c r="S753" i="3" s="1"/>
  <c r="S752" i="3" a="1"/>
  <c r="S752" i="3" s="1"/>
  <c r="S751" i="3" a="1"/>
  <c r="S751" i="3" s="1"/>
  <c r="S750" i="3" a="1"/>
  <c r="S750" i="3" s="1"/>
  <c r="S749" i="3" a="1"/>
  <c r="S749" i="3" s="1"/>
  <c r="S748" i="3" a="1"/>
  <c r="S748" i="3" s="1"/>
  <c r="S747" i="3" a="1"/>
  <c r="S747" i="3" s="1"/>
  <c r="S746" i="3" a="1"/>
  <c r="S746" i="3" s="1"/>
  <c r="S745" i="3" a="1"/>
  <c r="S745" i="3" s="1"/>
  <c r="S744" i="3" a="1"/>
  <c r="S744" i="3" s="1"/>
  <c r="S743" i="3" a="1"/>
  <c r="S743" i="3" s="1"/>
  <c r="S742" i="3" a="1"/>
  <c r="S742" i="3" s="1"/>
  <c r="S741" i="3" a="1"/>
  <c r="S741" i="3" s="1"/>
  <c r="S740" i="3" a="1"/>
  <c r="S740" i="3" s="1"/>
  <c r="S739" i="3" a="1"/>
  <c r="S739" i="3" s="1"/>
  <c r="S738" i="3" a="1"/>
  <c r="S738" i="3" s="1"/>
  <c r="S737" i="3" a="1"/>
  <c r="S737" i="3" s="1"/>
  <c r="S736" i="3" a="1"/>
  <c r="S736" i="3" s="1"/>
  <c r="S735" i="3" a="1"/>
  <c r="S735" i="3" s="1"/>
  <c r="S734" i="3" a="1"/>
  <c r="S734" i="3" s="1"/>
  <c r="S733" i="3" a="1"/>
  <c r="S733" i="3" s="1"/>
  <c r="S732" i="3" a="1"/>
  <c r="S732" i="3" s="1"/>
  <c r="S731" i="3" a="1"/>
  <c r="S731" i="3" s="1"/>
  <c r="S730" i="3" a="1"/>
  <c r="S730" i="3" s="1"/>
  <c r="S729" i="3" a="1"/>
  <c r="S729" i="3" s="1"/>
  <c r="S728" i="3" a="1"/>
  <c r="S728" i="3" s="1"/>
  <c r="S727" i="3" a="1"/>
  <c r="S727" i="3" s="1"/>
  <c r="S726" i="3" a="1"/>
  <c r="S726" i="3" s="1"/>
  <c r="S725" i="3" a="1"/>
  <c r="S725" i="3" s="1"/>
  <c r="S724" i="3" a="1"/>
  <c r="S724" i="3" s="1"/>
  <c r="S723" i="3" a="1"/>
  <c r="S723" i="3" s="1"/>
  <c r="S722" i="3" a="1"/>
  <c r="S722" i="3" s="1"/>
  <c r="S721" i="3" a="1"/>
  <c r="S721" i="3" s="1"/>
  <c r="S720" i="3" a="1"/>
  <c r="S720" i="3" s="1"/>
  <c r="S719" i="3" a="1"/>
  <c r="S719" i="3" s="1"/>
  <c r="S718" i="3" a="1"/>
  <c r="S718" i="3" s="1"/>
  <c r="S717" i="3" a="1"/>
  <c r="S717" i="3" s="1"/>
  <c r="S716" i="3" a="1"/>
  <c r="S716" i="3" s="1"/>
  <c r="S715" i="3" a="1"/>
  <c r="S715" i="3" s="1"/>
  <c r="S714" i="3" a="1"/>
  <c r="S714" i="3" s="1"/>
  <c r="S713" i="3" a="1"/>
  <c r="S713" i="3" s="1"/>
  <c r="S712" i="3" a="1"/>
  <c r="S712" i="3" s="1"/>
  <c r="S711" i="3" a="1"/>
  <c r="S711" i="3" s="1"/>
  <c r="S710" i="3" a="1"/>
  <c r="S710" i="3" s="1"/>
  <c r="S709" i="3" a="1"/>
  <c r="S709" i="3" s="1"/>
  <c r="S708" i="3" a="1"/>
  <c r="S708" i="3" s="1"/>
  <c r="S707" i="3" a="1"/>
  <c r="S707" i="3" s="1"/>
  <c r="S706" i="3" a="1"/>
  <c r="S706" i="3" s="1"/>
  <c r="S705" i="3" a="1"/>
  <c r="S705" i="3" s="1"/>
  <c r="S704" i="3" a="1"/>
  <c r="S704" i="3" s="1"/>
  <c r="S703" i="3" a="1"/>
  <c r="S703" i="3" s="1"/>
  <c r="S702" i="3" a="1"/>
  <c r="S702" i="3" s="1"/>
  <c r="S701" i="3" a="1"/>
  <c r="S701" i="3" s="1"/>
  <c r="S700" i="3" a="1"/>
  <c r="S700" i="3" s="1"/>
  <c r="S699" i="3" a="1"/>
  <c r="S699" i="3" s="1"/>
  <c r="S698" i="3" a="1"/>
  <c r="S698" i="3" s="1"/>
  <c r="S697" i="3" a="1"/>
  <c r="S697" i="3" s="1"/>
  <c r="S696" i="3" a="1"/>
  <c r="S696" i="3" s="1"/>
  <c r="S695" i="3" a="1"/>
  <c r="S695" i="3" s="1"/>
  <c r="S694" i="3" a="1"/>
  <c r="S694" i="3" s="1"/>
  <c r="S693" i="3" a="1"/>
  <c r="S693" i="3" s="1"/>
  <c r="S692" i="3" a="1"/>
  <c r="S692" i="3" s="1"/>
  <c r="S691" i="3" a="1"/>
  <c r="S691" i="3" s="1"/>
  <c r="S690" i="3" a="1"/>
  <c r="S690" i="3" s="1"/>
  <c r="S689" i="3" a="1"/>
  <c r="S689" i="3" s="1"/>
  <c r="S688" i="3" a="1"/>
  <c r="S688" i="3" s="1"/>
  <c r="S687" i="3" a="1"/>
  <c r="S687" i="3" s="1"/>
  <c r="S686" i="3" a="1"/>
  <c r="S686" i="3" s="1"/>
  <c r="S685" i="3" a="1"/>
  <c r="S685" i="3" s="1"/>
  <c r="S684" i="3" a="1"/>
  <c r="S684" i="3" s="1"/>
  <c r="S683" i="3" a="1"/>
  <c r="S683" i="3" s="1"/>
  <c r="S682" i="3" a="1"/>
  <c r="S682" i="3" s="1"/>
  <c r="S681" i="3" a="1"/>
  <c r="S681" i="3" s="1"/>
  <c r="S680" i="3" a="1"/>
  <c r="S680" i="3" s="1"/>
  <c r="S679" i="3" a="1"/>
  <c r="S679" i="3" s="1"/>
  <c r="S678" i="3" a="1"/>
  <c r="S678" i="3" s="1"/>
  <c r="S677" i="3" a="1"/>
  <c r="S677" i="3" s="1"/>
  <c r="S676" i="3" a="1"/>
  <c r="S676" i="3" s="1"/>
  <c r="S675" i="3" a="1"/>
  <c r="S675" i="3" s="1"/>
  <c r="S674" i="3" a="1"/>
  <c r="S674" i="3" s="1"/>
  <c r="S673" i="3" a="1"/>
  <c r="S673" i="3" s="1"/>
  <c r="S672" i="3" a="1"/>
  <c r="S672" i="3" s="1"/>
  <c r="S671" i="3" a="1"/>
  <c r="S671" i="3" s="1"/>
  <c r="S670" i="3" a="1"/>
  <c r="S670" i="3" s="1"/>
  <c r="S669" i="3" a="1"/>
  <c r="S669" i="3" s="1"/>
  <c r="S668" i="3" a="1"/>
  <c r="S668" i="3" s="1"/>
  <c r="S667" i="3" a="1"/>
  <c r="S667" i="3" s="1"/>
  <c r="S666" i="3" a="1"/>
  <c r="S666" i="3" s="1"/>
  <c r="S665" i="3" a="1"/>
  <c r="S665" i="3" s="1"/>
  <c r="S664" i="3" a="1"/>
  <c r="S664" i="3" s="1"/>
  <c r="S663" i="3" a="1"/>
  <c r="S663" i="3" s="1"/>
  <c r="S662" i="3" a="1"/>
  <c r="S662" i="3" s="1"/>
  <c r="S661" i="3" a="1"/>
  <c r="S661" i="3" s="1"/>
  <c r="S660" i="3" a="1"/>
  <c r="S660" i="3" s="1"/>
  <c r="S659" i="3" a="1"/>
  <c r="S659" i="3" s="1"/>
  <c r="S658" i="3" a="1"/>
  <c r="S658" i="3" s="1"/>
  <c r="S657" i="3" a="1"/>
  <c r="S657" i="3" s="1"/>
  <c r="S656" i="3" a="1"/>
  <c r="S656" i="3" s="1"/>
  <c r="S655" i="3" a="1"/>
  <c r="S655" i="3" s="1"/>
  <c r="S654" i="3" a="1"/>
  <c r="S654" i="3" s="1"/>
  <c r="S653" i="3" a="1"/>
  <c r="S653" i="3" s="1"/>
  <c r="S652" i="3" a="1"/>
  <c r="S652" i="3" s="1"/>
  <c r="S651" i="3" a="1"/>
  <c r="S651" i="3" s="1"/>
  <c r="S650" i="3" a="1"/>
  <c r="S650" i="3" s="1"/>
  <c r="S649" i="3" a="1"/>
  <c r="S649" i="3" s="1"/>
  <c r="S648" i="3" a="1"/>
  <c r="S648" i="3" s="1"/>
  <c r="S647" i="3" a="1"/>
  <c r="S647" i="3" s="1"/>
  <c r="S646" i="3" a="1"/>
  <c r="S646" i="3" s="1"/>
  <c r="S645" i="3" a="1"/>
  <c r="S645" i="3" s="1"/>
  <c r="S644" i="3" a="1"/>
  <c r="S644" i="3" s="1"/>
  <c r="S643" i="3" a="1"/>
  <c r="S643" i="3" s="1"/>
  <c r="S642" i="3" a="1"/>
  <c r="S642" i="3" s="1"/>
  <c r="S641" i="3" a="1"/>
  <c r="S641" i="3" s="1"/>
  <c r="S640" i="3" a="1"/>
  <c r="S640" i="3" s="1"/>
  <c r="S639" i="3" a="1"/>
  <c r="S639" i="3" s="1"/>
  <c r="S638" i="3" a="1"/>
  <c r="S638" i="3" s="1"/>
  <c r="S637" i="3" a="1"/>
  <c r="S637" i="3" s="1"/>
  <c r="S636" i="3" a="1"/>
  <c r="S636" i="3" s="1"/>
  <c r="S635" i="3" a="1"/>
  <c r="S635" i="3" s="1"/>
  <c r="S634" i="3" a="1"/>
  <c r="S634" i="3" s="1"/>
  <c r="S633" i="3" a="1"/>
  <c r="S633" i="3" s="1"/>
  <c r="S632" i="3" a="1"/>
  <c r="S632" i="3" s="1"/>
  <c r="S631" i="3" a="1"/>
  <c r="S631" i="3" s="1"/>
  <c r="S630" i="3" a="1"/>
  <c r="S630" i="3" s="1"/>
  <c r="S629" i="3" a="1"/>
  <c r="S629" i="3" s="1"/>
  <c r="S628" i="3" a="1"/>
  <c r="S628" i="3" s="1"/>
  <c r="S627" i="3" a="1"/>
  <c r="S627" i="3" s="1"/>
  <c r="S626" i="3" a="1"/>
  <c r="S626" i="3" s="1"/>
  <c r="S625" i="3" a="1"/>
  <c r="S625" i="3" s="1"/>
  <c r="S624" i="3" a="1"/>
  <c r="S624" i="3" s="1"/>
  <c r="S623" i="3" a="1"/>
  <c r="S623" i="3" s="1"/>
  <c r="S622" i="3" a="1"/>
  <c r="S622" i="3" s="1"/>
  <c r="S621" i="3" a="1"/>
  <c r="S621" i="3" s="1"/>
  <c r="S620" i="3" a="1"/>
  <c r="S620" i="3" s="1"/>
  <c r="S619" i="3" a="1"/>
  <c r="S619" i="3" s="1"/>
  <c r="S618" i="3" a="1"/>
  <c r="S618" i="3" s="1"/>
  <c r="S617" i="3" a="1"/>
  <c r="S617" i="3" s="1"/>
  <c r="S616" i="3" a="1"/>
  <c r="S616" i="3" s="1"/>
  <c r="S615" i="3" a="1"/>
  <c r="S615" i="3" s="1"/>
  <c r="S614" i="3" a="1"/>
  <c r="S614" i="3" s="1"/>
  <c r="S613" i="3" a="1"/>
  <c r="S613" i="3" s="1"/>
  <c r="S612" i="3" a="1"/>
  <c r="S612" i="3" s="1"/>
  <c r="S611" i="3" a="1"/>
  <c r="S611" i="3" s="1"/>
  <c r="S610" i="3" a="1"/>
  <c r="S610" i="3" s="1"/>
  <c r="S609" i="3" a="1"/>
  <c r="S609" i="3" s="1"/>
  <c r="S608" i="3" a="1"/>
  <c r="S608" i="3" s="1"/>
  <c r="S607" i="3" a="1"/>
  <c r="S607" i="3" s="1"/>
  <c r="S606" i="3" a="1"/>
  <c r="S606" i="3" s="1"/>
  <c r="S605" i="3" a="1"/>
  <c r="S605" i="3" s="1"/>
  <c r="S604" i="3" a="1"/>
  <c r="S604" i="3" s="1"/>
  <c r="S603" i="3" a="1"/>
  <c r="S603" i="3" s="1"/>
  <c r="S602" i="3" a="1"/>
  <c r="S602" i="3" s="1"/>
  <c r="S601" i="3" a="1"/>
  <c r="S601" i="3" s="1"/>
  <c r="S600" i="3" a="1"/>
  <c r="S600" i="3" s="1"/>
  <c r="S599" i="3" a="1"/>
  <c r="S599" i="3" s="1"/>
  <c r="S598" i="3" a="1"/>
  <c r="S598" i="3" s="1"/>
  <c r="S597" i="3" a="1"/>
  <c r="S597" i="3" s="1"/>
  <c r="S596" i="3" a="1"/>
  <c r="S596" i="3" s="1"/>
  <c r="S595" i="3" a="1"/>
  <c r="S595" i="3" s="1"/>
  <c r="S594" i="3" a="1"/>
  <c r="S594" i="3" s="1"/>
  <c r="S593" i="3" a="1"/>
  <c r="S593" i="3" s="1"/>
  <c r="S592" i="3" a="1"/>
  <c r="S592" i="3" s="1"/>
  <c r="S591" i="3" a="1"/>
  <c r="S591" i="3" s="1"/>
  <c r="S590" i="3" a="1"/>
  <c r="S590" i="3" s="1"/>
  <c r="S589" i="3" a="1"/>
  <c r="S589" i="3" s="1"/>
  <c r="S588" i="3" a="1"/>
  <c r="S588" i="3" s="1"/>
  <c r="S587" i="3" a="1"/>
  <c r="S587" i="3" s="1"/>
  <c r="S586" i="3" a="1"/>
  <c r="S586" i="3" s="1"/>
  <c r="S585" i="3" a="1"/>
  <c r="S585" i="3" s="1"/>
  <c r="S584" i="3" a="1"/>
  <c r="S584" i="3" s="1"/>
  <c r="S583" i="3" a="1"/>
  <c r="S583" i="3" s="1"/>
  <c r="S582" i="3" a="1"/>
  <c r="S582" i="3" s="1"/>
  <c r="S581" i="3" a="1"/>
  <c r="S581" i="3" s="1"/>
  <c r="S580" i="3" a="1"/>
  <c r="S580" i="3" s="1"/>
  <c r="S579" i="3" a="1"/>
  <c r="S579" i="3" s="1"/>
  <c r="S578" i="3" a="1"/>
  <c r="S578" i="3" s="1"/>
  <c r="S577" i="3" a="1"/>
  <c r="S577" i="3" s="1"/>
  <c r="S576" i="3" a="1"/>
  <c r="S576" i="3" s="1"/>
  <c r="S575" i="3" a="1"/>
  <c r="S575" i="3" s="1"/>
  <c r="S574" i="3" a="1"/>
  <c r="S574" i="3" s="1"/>
  <c r="S573" i="3" a="1"/>
  <c r="S573" i="3" s="1"/>
  <c r="S572" i="3" a="1"/>
  <c r="S572" i="3" s="1"/>
  <c r="S571" i="3" a="1"/>
  <c r="S571" i="3" s="1"/>
  <c r="S570" i="3" a="1"/>
  <c r="S570" i="3" s="1"/>
  <c r="S569" i="3" a="1"/>
  <c r="S569" i="3" s="1"/>
  <c r="S568" i="3" a="1"/>
  <c r="S568" i="3" s="1"/>
  <c r="S567" i="3" a="1"/>
  <c r="S567" i="3" s="1"/>
  <c r="S566" i="3" a="1"/>
  <c r="S566" i="3" s="1"/>
  <c r="S565" i="3" a="1"/>
  <c r="S565" i="3" s="1"/>
  <c r="S564" i="3" a="1"/>
  <c r="S564" i="3" s="1"/>
  <c r="S563" i="3" a="1"/>
  <c r="S563" i="3" s="1"/>
  <c r="S562" i="3" a="1"/>
  <c r="S562" i="3" s="1"/>
  <c r="S561" i="3" a="1"/>
  <c r="S561" i="3" s="1"/>
  <c r="S560" i="3" a="1"/>
  <c r="S560" i="3" s="1"/>
  <c r="S559" i="3" a="1"/>
  <c r="S559" i="3" s="1"/>
  <c r="S558" i="3" a="1"/>
  <c r="S558" i="3" s="1"/>
  <c r="S557" i="3" a="1"/>
  <c r="S557" i="3" s="1"/>
  <c r="S556" i="3" a="1"/>
  <c r="S556" i="3" s="1"/>
  <c r="S555" i="3" a="1"/>
  <c r="S555" i="3" s="1"/>
  <c r="S554" i="3" a="1"/>
  <c r="S554" i="3" s="1"/>
  <c r="S553" i="3" a="1"/>
  <c r="S553" i="3" s="1"/>
  <c r="S552" i="3" a="1"/>
  <c r="S552" i="3" s="1"/>
  <c r="S551" i="3" a="1"/>
  <c r="S551" i="3" s="1"/>
  <c r="S550" i="3" a="1"/>
  <c r="S550" i="3" s="1"/>
  <c r="S549" i="3" a="1"/>
  <c r="S549" i="3" s="1"/>
  <c r="S548" i="3" a="1"/>
  <c r="S548" i="3" s="1"/>
  <c r="S547" i="3" a="1"/>
  <c r="S547" i="3" s="1"/>
  <c r="S546" i="3" a="1"/>
  <c r="S546" i="3" s="1"/>
  <c r="S545" i="3" a="1"/>
  <c r="S545" i="3" s="1"/>
  <c r="S544" i="3" a="1"/>
  <c r="S544" i="3" s="1"/>
  <c r="S543" i="3" a="1"/>
  <c r="S543" i="3" s="1"/>
  <c r="S542" i="3" a="1"/>
  <c r="S542" i="3" s="1"/>
  <c r="S541" i="3" a="1"/>
  <c r="S541" i="3" s="1"/>
  <c r="S540" i="3" a="1"/>
  <c r="S540" i="3" s="1"/>
  <c r="S539" i="3" a="1"/>
  <c r="S539" i="3" s="1"/>
  <c r="S538" i="3" a="1"/>
  <c r="S538" i="3" s="1"/>
  <c r="S537" i="3" a="1"/>
  <c r="S537" i="3" s="1"/>
  <c r="S536" i="3" a="1"/>
  <c r="S536" i="3" s="1"/>
  <c r="S535" i="3" a="1"/>
  <c r="S535" i="3" s="1"/>
  <c r="S534" i="3" a="1"/>
  <c r="S534" i="3" s="1"/>
  <c r="S533" i="3" a="1"/>
  <c r="S533" i="3" s="1"/>
  <c r="S532" i="3" a="1"/>
  <c r="S532" i="3" s="1"/>
  <c r="S531" i="3" a="1"/>
  <c r="S531" i="3" s="1"/>
  <c r="S530" i="3" a="1"/>
  <c r="S530" i="3" s="1"/>
  <c r="S529" i="3" a="1"/>
  <c r="S529" i="3" s="1"/>
  <c r="S528" i="3" a="1"/>
  <c r="S528" i="3" s="1"/>
  <c r="S527" i="3" a="1"/>
  <c r="S527" i="3" s="1"/>
  <c r="S526" i="3" a="1"/>
  <c r="S526" i="3" s="1"/>
  <c r="S525" i="3" a="1"/>
  <c r="S525" i="3" s="1"/>
  <c r="S524" i="3" a="1"/>
  <c r="S524" i="3" s="1"/>
  <c r="S523" i="3" a="1"/>
  <c r="S523" i="3" s="1"/>
  <c r="S522" i="3" a="1"/>
  <c r="S522" i="3" s="1"/>
  <c r="S521" i="3" a="1"/>
  <c r="S521" i="3" s="1"/>
  <c r="S520" i="3" a="1"/>
  <c r="S520" i="3" s="1"/>
  <c r="S519" i="3" a="1"/>
  <c r="S519" i="3" s="1"/>
  <c r="S518" i="3" a="1"/>
  <c r="S518" i="3" s="1"/>
  <c r="S517" i="3" a="1"/>
  <c r="S517" i="3" s="1"/>
  <c r="S516" i="3" a="1"/>
  <c r="S516" i="3" s="1"/>
  <c r="S515" i="3" a="1"/>
  <c r="S515" i="3" s="1"/>
  <c r="S514" i="3" a="1"/>
  <c r="S514" i="3" s="1"/>
  <c r="S513" i="3" a="1"/>
  <c r="S513" i="3" s="1"/>
  <c r="S512" i="3" a="1"/>
  <c r="S512" i="3" s="1"/>
  <c r="S511" i="3" a="1"/>
  <c r="S511" i="3" s="1"/>
  <c r="S510" i="3" a="1"/>
  <c r="S510" i="3" s="1"/>
  <c r="S509" i="3" a="1"/>
  <c r="S509" i="3" s="1"/>
  <c r="S508" i="3" a="1"/>
  <c r="S508" i="3" s="1"/>
  <c r="S507" i="3" a="1"/>
  <c r="S507" i="3" s="1"/>
  <c r="S506" i="3" a="1"/>
  <c r="S506" i="3" s="1"/>
  <c r="S505" i="3" a="1"/>
  <c r="S505" i="3" s="1"/>
  <c r="S504" i="3" a="1"/>
  <c r="S504" i="3" s="1"/>
  <c r="S503" i="3" a="1"/>
  <c r="S503" i="3" s="1"/>
  <c r="O1000" i="3" a="1"/>
  <c r="O1000" i="3" s="1"/>
  <c r="O999" i="3" a="1"/>
  <c r="O999" i="3" s="1"/>
  <c r="O998" i="3" a="1"/>
  <c r="O998" i="3" s="1"/>
  <c r="O997" i="3" a="1"/>
  <c r="O997" i="3" s="1"/>
  <c r="O996" i="3" a="1"/>
  <c r="O996" i="3" s="1"/>
  <c r="O995" i="3" a="1"/>
  <c r="O995" i="3" s="1"/>
  <c r="O994" i="3" a="1"/>
  <c r="O994" i="3" s="1"/>
  <c r="O993" i="3" a="1"/>
  <c r="O993" i="3" s="1"/>
  <c r="O992" i="3" a="1"/>
  <c r="O992" i="3" s="1"/>
  <c r="O991" i="3" a="1"/>
  <c r="O991" i="3" s="1"/>
  <c r="O990" i="3" a="1"/>
  <c r="O990" i="3" s="1"/>
  <c r="O989" i="3" a="1"/>
  <c r="O989" i="3" s="1"/>
  <c r="O988" i="3" a="1"/>
  <c r="O988" i="3" s="1"/>
  <c r="O987" i="3" a="1"/>
  <c r="O987" i="3" s="1"/>
  <c r="O986" i="3" a="1"/>
  <c r="O986" i="3" s="1"/>
  <c r="O985" i="3" a="1"/>
  <c r="O985" i="3" s="1"/>
  <c r="O984" i="3" a="1"/>
  <c r="O984" i="3" s="1"/>
  <c r="O983" i="3" a="1"/>
  <c r="O983" i="3" s="1"/>
  <c r="O982" i="3" a="1"/>
  <c r="O982" i="3" s="1"/>
  <c r="O981" i="3" a="1"/>
  <c r="O981" i="3" s="1"/>
  <c r="O980" i="3" a="1"/>
  <c r="O980" i="3" s="1"/>
  <c r="O979" i="3" a="1"/>
  <c r="O979" i="3" s="1"/>
  <c r="O978" i="3" a="1"/>
  <c r="O978" i="3" s="1"/>
  <c r="O977" i="3" a="1"/>
  <c r="O977" i="3" s="1"/>
  <c r="O976" i="3" a="1"/>
  <c r="O976" i="3" s="1"/>
  <c r="O975" i="3" a="1"/>
  <c r="O975" i="3" s="1"/>
  <c r="O974" i="3" a="1"/>
  <c r="O974" i="3" s="1"/>
  <c r="O973" i="3" a="1"/>
  <c r="O973" i="3" s="1"/>
  <c r="O972" i="3" a="1"/>
  <c r="O972" i="3" s="1"/>
  <c r="O971" i="3" a="1"/>
  <c r="O971" i="3" s="1"/>
  <c r="O970" i="3" a="1"/>
  <c r="O970" i="3" s="1"/>
  <c r="O969" i="3" a="1"/>
  <c r="O969" i="3" s="1"/>
  <c r="O968" i="3" a="1"/>
  <c r="O968" i="3" s="1"/>
  <c r="O967" i="3" a="1"/>
  <c r="O967" i="3" s="1"/>
  <c r="O966" i="3" a="1"/>
  <c r="O966" i="3" s="1"/>
  <c r="O965" i="3" a="1"/>
  <c r="O965" i="3" s="1"/>
  <c r="O964" i="3" a="1"/>
  <c r="O964" i="3" s="1"/>
  <c r="O963" i="3" a="1"/>
  <c r="O963" i="3" s="1"/>
  <c r="O962" i="3" a="1"/>
  <c r="O962" i="3" s="1"/>
  <c r="O961" i="3" a="1"/>
  <c r="O961" i="3" s="1"/>
  <c r="O960" i="3" a="1"/>
  <c r="O960" i="3" s="1"/>
  <c r="O959" i="3" a="1"/>
  <c r="O959" i="3" s="1"/>
  <c r="O958" i="3" a="1"/>
  <c r="O958" i="3" s="1"/>
  <c r="O957" i="3" a="1"/>
  <c r="O957" i="3" s="1"/>
  <c r="O956" i="3" a="1"/>
  <c r="O956" i="3" s="1"/>
  <c r="O955" i="3" a="1"/>
  <c r="O955" i="3" s="1"/>
  <c r="O954" i="3" a="1"/>
  <c r="O954" i="3" s="1"/>
  <c r="O953" i="3" a="1"/>
  <c r="O953" i="3" s="1"/>
  <c r="O952" i="3" a="1"/>
  <c r="O952" i="3" s="1"/>
  <c r="O951" i="3" a="1"/>
  <c r="O951" i="3" s="1"/>
  <c r="O950" i="3" a="1"/>
  <c r="O950" i="3" s="1"/>
  <c r="O949" i="3" a="1"/>
  <c r="O949" i="3" s="1"/>
  <c r="O948" i="3" a="1"/>
  <c r="O948" i="3" s="1"/>
  <c r="O947" i="3" a="1"/>
  <c r="O947" i="3" s="1"/>
  <c r="O946" i="3" a="1"/>
  <c r="O946" i="3" s="1"/>
  <c r="O945" i="3" a="1"/>
  <c r="O945" i="3" s="1"/>
  <c r="O944" i="3" a="1"/>
  <c r="O944" i="3" s="1"/>
  <c r="O943" i="3" a="1"/>
  <c r="O943" i="3" s="1"/>
  <c r="O942" i="3" a="1"/>
  <c r="O942" i="3" s="1"/>
  <c r="O941" i="3" a="1"/>
  <c r="O941" i="3" s="1"/>
  <c r="O940" i="3" a="1"/>
  <c r="O940" i="3" s="1"/>
  <c r="O939" i="3" a="1"/>
  <c r="O939" i="3" s="1"/>
  <c r="O938" i="3" a="1"/>
  <c r="O938" i="3" s="1"/>
  <c r="O937" i="3" a="1"/>
  <c r="O937" i="3" s="1"/>
  <c r="O936" i="3" a="1"/>
  <c r="O936" i="3" s="1"/>
  <c r="O935" i="3" a="1"/>
  <c r="O935" i="3" s="1"/>
  <c r="O934" i="3" a="1"/>
  <c r="O934" i="3" s="1"/>
  <c r="O933" i="3" a="1"/>
  <c r="O933" i="3" s="1"/>
  <c r="O932" i="3" a="1"/>
  <c r="O932" i="3" s="1"/>
  <c r="O931" i="3" a="1"/>
  <c r="O931" i="3" s="1"/>
  <c r="O930" i="3" a="1"/>
  <c r="O930" i="3" s="1"/>
  <c r="O929" i="3" a="1"/>
  <c r="O929" i="3" s="1"/>
  <c r="O928" i="3" a="1"/>
  <c r="O928" i="3" s="1"/>
  <c r="O927" i="3" a="1"/>
  <c r="O927" i="3" s="1"/>
  <c r="O926" i="3" a="1"/>
  <c r="O926" i="3" s="1"/>
  <c r="O925" i="3" a="1"/>
  <c r="O925" i="3" s="1"/>
  <c r="O924" i="3" a="1"/>
  <c r="O924" i="3" s="1"/>
  <c r="O923" i="3" a="1"/>
  <c r="O923" i="3" s="1"/>
  <c r="O922" i="3" a="1"/>
  <c r="O922" i="3" s="1"/>
  <c r="O921" i="3" a="1"/>
  <c r="O921" i="3" s="1"/>
  <c r="O920" i="3" a="1"/>
  <c r="O920" i="3" s="1"/>
  <c r="O919" i="3" a="1"/>
  <c r="O919" i="3" s="1"/>
  <c r="O918" i="3" a="1"/>
  <c r="O918" i="3" s="1"/>
  <c r="O917" i="3" a="1"/>
  <c r="O917" i="3" s="1"/>
  <c r="O916" i="3" a="1"/>
  <c r="O916" i="3" s="1"/>
  <c r="O915" i="3" a="1"/>
  <c r="O915" i="3" s="1"/>
  <c r="O914" i="3" a="1"/>
  <c r="O914" i="3" s="1"/>
  <c r="O913" i="3" a="1"/>
  <c r="O913" i="3" s="1"/>
  <c r="O912" i="3" a="1"/>
  <c r="O912" i="3" s="1"/>
  <c r="O911" i="3" a="1"/>
  <c r="O911" i="3" s="1"/>
  <c r="O910" i="3" a="1"/>
  <c r="O910" i="3" s="1"/>
  <c r="O909" i="3" a="1"/>
  <c r="O909" i="3" s="1"/>
  <c r="O908" i="3" a="1"/>
  <c r="O908" i="3" s="1"/>
  <c r="O907" i="3" a="1"/>
  <c r="O907" i="3" s="1"/>
  <c r="O906" i="3" a="1"/>
  <c r="O906" i="3" s="1"/>
  <c r="O905" i="3" a="1"/>
  <c r="O905" i="3" s="1"/>
  <c r="O904" i="3" a="1"/>
  <c r="O904" i="3" s="1"/>
  <c r="O903" i="3" a="1"/>
  <c r="O903" i="3" s="1"/>
  <c r="O902" i="3" a="1"/>
  <c r="O902" i="3" s="1"/>
  <c r="O901" i="3" a="1"/>
  <c r="O901" i="3" s="1"/>
  <c r="O900" i="3" a="1"/>
  <c r="O900" i="3" s="1"/>
  <c r="O899" i="3" a="1"/>
  <c r="O899" i="3" s="1"/>
  <c r="O898" i="3" a="1"/>
  <c r="O898" i="3" s="1"/>
  <c r="O897" i="3" a="1"/>
  <c r="O897" i="3" s="1"/>
  <c r="O896" i="3" a="1"/>
  <c r="O896" i="3" s="1"/>
  <c r="O895" i="3" a="1"/>
  <c r="O895" i="3" s="1"/>
  <c r="O894" i="3" a="1"/>
  <c r="O894" i="3" s="1"/>
  <c r="O893" i="3" a="1"/>
  <c r="O893" i="3" s="1"/>
  <c r="O892" i="3" a="1"/>
  <c r="O892" i="3" s="1"/>
  <c r="O891" i="3" a="1"/>
  <c r="O891" i="3" s="1"/>
  <c r="O890" i="3" a="1"/>
  <c r="O890" i="3" s="1"/>
  <c r="O889" i="3" a="1"/>
  <c r="O889" i="3" s="1"/>
  <c r="O888" i="3" a="1"/>
  <c r="O888" i="3" s="1"/>
  <c r="O887" i="3" a="1"/>
  <c r="O887" i="3" s="1"/>
  <c r="O886" i="3" a="1"/>
  <c r="O886" i="3" s="1"/>
  <c r="O885" i="3" a="1"/>
  <c r="O885" i="3" s="1"/>
  <c r="O884" i="3" a="1"/>
  <c r="O884" i="3" s="1"/>
  <c r="O883" i="3" a="1"/>
  <c r="O883" i="3" s="1"/>
  <c r="O882" i="3" a="1"/>
  <c r="O882" i="3" s="1"/>
  <c r="O881" i="3" a="1"/>
  <c r="O881" i="3" s="1"/>
  <c r="O880" i="3" a="1"/>
  <c r="O880" i="3" s="1"/>
  <c r="O879" i="3" a="1"/>
  <c r="O879" i="3" s="1"/>
  <c r="O878" i="3" a="1"/>
  <c r="O878" i="3" s="1"/>
  <c r="O877" i="3" a="1"/>
  <c r="O877" i="3" s="1"/>
  <c r="O876" i="3" a="1"/>
  <c r="O876" i="3" s="1"/>
  <c r="O875" i="3" a="1"/>
  <c r="O875" i="3" s="1"/>
  <c r="O874" i="3" a="1"/>
  <c r="O874" i="3" s="1"/>
  <c r="O873" i="3" a="1"/>
  <c r="O873" i="3" s="1"/>
  <c r="O872" i="3" a="1"/>
  <c r="O872" i="3" s="1"/>
  <c r="O871" i="3" a="1"/>
  <c r="O871" i="3" s="1"/>
  <c r="O870" i="3" a="1"/>
  <c r="O870" i="3" s="1"/>
  <c r="O869" i="3" a="1"/>
  <c r="O869" i="3" s="1"/>
  <c r="O868" i="3" a="1"/>
  <c r="O868" i="3" s="1"/>
  <c r="O867" i="3" a="1"/>
  <c r="O867" i="3" s="1"/>
  <c r="O866" i="3" a="1"/>
  <c r="O866" i="3" s="1"/>
  <c r="O865" i="3" a="1"/>
  <c r="O865" i="3" s="1"/>
  <c r="O864" i="3" a="1"/>
  <c r="O864" i="3" s="1"/>
  <c r="O863" i="3" a="1"/>
  <c r="O863" i="3" s="1"/>
  <c r="O862" i="3" a="1"/>
  <c r="O862" i="3" s="1"/>
  <c r="O861" i="3" a="1"/>
  <c r="O861" i="3" s="1"/>
  <c r="O860" i="3" a="1"/>
  <c r="O860" i="3" s="1"/>
  <c r="O859" i="3" a="1"/>
  <c r="O859" i="3" s="1"/>
  <c r="O858" i="3" a="1"/>
  <c r="O858" i="3" s="1"/>
  <c r="O857" i="3" a="1"/>
  <c r="O857" i="3" s="1"/>
  <c r="O856" i="3" a="1"/>
  <c r="O856" i="3" s="1"/>
  <c r="O855" i="3" a="1"/>
  <c r="O855" i="3" s="1"/>
  <c r="O854" i="3" a="1"/>
  <c r="O854" i="3" s="1"/>
  <c r="O853" i="3" a="1"/>
  <c r="O853" i="3" s="1"/>
  <c r="O852" i="3" a="1"/>
  <c r="O852" i="3" s="1"/>
  <c r="O851" i="3" a="1"/>
  <c r="O851" i="3" s="1"/>
  <c r="O850" i="3" a="1"/>
  <c r="O850" i="3" s="1"/>
  <c r="O849" i="3" a="1"/>
  <c r="O849" i="3" s="1"/>
  <c r="O848" i="3" a="1"/>
  <c r="O848" i="3" s="1"/>
  <c r="O847" i="3" a="1"/>
  <c r="O847" i="3" s="1"/>
  <c r="O846" i="3" a="1"/>
  <c r="O846" i="3" s="1"/>
  <c r="O845" i="3" a="1"/>
  <c r="O845" i="3" s="1"/>
  <c r="O844" i="3" a="1"/>
  <c r="O844" i="3" s="1"/>
  <c r="O843" i="3" a="1"/>
  <c r="O843" i="3" s="1"/>
  <c r="O842" i="3" a="1"/>
  <c r="O842" i="3" s="1"/>
  <c r="O841" i="3" a="1"/>
  <c r="O841" i="3" s="1"/>
  <c r="O840" i="3" a="1"/>
  <c r="O840" i="3" s="1"/>
  <c r="O839" i="3" a="1"/>
  <c r="O839" i="3" s="1"/>
  <c r="O838" i="3" a="1"/>
  <c r="O838" i="3" s="1"/>
  <c r="O837" i="3" a="1"/>
  <c r="O837" i="3" s="1"/>
  <c r="O836" i="3" a="1"/>
  <c r="O836" i="3" s="1"/>
  <c r="O835" i="3" a="1"/>
  <c r="O835" i="3" s="1"/>
  <c r="O834" i="3" a="1"/>
  <c r="O834" i="3" s="1"/>
  <c r="O833" i="3" a="1"/>
  <c r="O833" i="3" s="1"/>
  <c r="O832" i="3" a="1"/>
  <c r="O832" i="3" s="1"/>
  <c r="O831" i="3" a="1"/>
  <c r="O831" i="3" s="1"/>
  <c r="O830" i="3" a="1"/>
  <c r="O830" i="3" s="1"/>
  <c r="O829" i="3" a="1"/>
  <c r="O829" i="3" s="1"/>
  <c r="O828" i="3" a="1"/>
  <c r="O828" i="3" s="1"/>
  <c r="O827" i="3" a="1"/>
  <c r="O827" i="3" s="1"/>
  <c r="O826" i="3" a="1"/>
  <c r="O826" i="3" s="1"/>
  <c r="O825" i="3" a="1"/>
  <c r="O825" i="3" s="1"/>
  <c r="O824" i="3" a="1"/>
  <c r="O824" i="3" s="1"/>
  <c r="O823" i="3" a="1"/>
  <c r="O823" i="3" s="1"/>
  <c r="O822" i="3" a="1"/>
  <c r="O822" i="3" s="1"/>
  <c r="O821" i="3" a="1"/>
  <c r="O821" i="3" s="1"/>
  <c r="O820" i="3" a="1"/>
  <c r="O820" i="3" s="1"/>
  <c r="O819" i="3" a="1"/>
  <c r="O819" i="3" s="1"/>
  <c r="O818" i="3" a="1"/>
  <c r="O818" i="3" s="1"/>
  <c r="O817" i="3" a="1"/>
  <c r="O817" i="3" s="1"/>
  <c r="O816" i="3" a="1"/>
  <c r="O816" i="3" s="1"/>
  <c r="O815" i="3" a="1"/>
  <c r="O815" i="3" s="1"/>
  <c r="O814" i="3" a="1"/>
  <c r="O814" i="3" s="1"/>
  <c r="O813" i="3" a="1"/>
  <c r="O813" i="3" s="1"/>
  <c r="O812" i="3" a="1"/>
  <c r="O812" i="3" s="1"/>
  <c r="O811" i="3" a="1"/>
  <c r="O811" i="3" s="1"/>
  <c r="O810" i="3" a="1"/>
  <c r="O810" i="3" s="1"/>
  <c r="O809" i="3" a="1"/>
  <c r="O809" i="3" s="1"/>
  <c r="O808" i="3" a="1"/>
  <c r="O808" i="3" s="1"/>
  <c r="O807" i="3" a="1"/>
  <c r="O807" i="3" s="1"/>
  <c r="O806" i="3" a="1"/>
  <c r="O806" i="3" s="1"/>
  <c r="O805" i="3" a="1"/>
  <c r="O805" i="3" s="1"/>
  <c r="O804" i="3" a="1"/>
  <c r="O804" i="3" s="1"/>
  <c r="O803" i="3" a="1"/>
  <c r="O803" i="3" s="1"/>
  <c r="O802" i="3" a="1"/>
  <c r="O802" i="3" s="1"/>
  <c r="O801" i="3" a="1"/>
  <c r="O801" i="3" s="1"/>
  <c r="O800" i="3" a="1"/>
  <c r="O800" i="3" s="1"/>
  <c r="O799" i="3" a="1"/>
  <c r="O799" i="3" s="1"/>
  <c r="O798" i="3" a="1"/>
  <c r="O798" i="3" s="1"/>
  <c r="O797" i="3" a="1"/>
  <c r="O797" i="3" s="1"/>
  <c r="O796" i="3" a="1"/>
  <c r="O796" i="3" s="1"/>
  <c r="O795" i="3" a="1"/>
  <c r="O795" i="3" s="1"/>
  <c r="O794" i="3" a="1"/>
  <c r="O794" i="3" s="1"/>
  <c r="O793" i="3" a="1"/>
  <c r="O793" i="3" s="1"/>
  <c r="O792" i="3" a="1"/>
  <c r="O792" i="3" s="1"/>
  <c r="O791" i="3" a="1"/>
  <c r="O791" i="3" s="1"/>
  <c r="O790" i="3" a="1"/>
  <c r="O790" i="3" s="1"/>
  <c r="O789" i="3" a="1"/>
  <c r="O789" i="3" s="1"/>
  <c r="O788" i="3" a="1"/>
  <c r="O788" i="3" s="1"/>
  <c r="O787" i="3" a="1"/>
  <c r="O787" i="3" s="1"/>
  <c r="O786" i="3" a="1"/>
  <c r="O786" i="3" s="1"/>
  <c r="O785" i="3" a="1"/>
  <c r="O785" i="3" s="1"/>
  <c r="O784" i="3" a="1"/>
  <c r="O784" i="3" s="1"/>
  <c r="O783" i="3" a="1"/>
  <c r="O783" i="3" s="1"/>
  <c r="O782" i="3" a="1"/>
  <c r="O782" i="3" s="1"/>
  <c r="O781" i="3" a="1"/>
  <c r="O781" i="3" s="1"/>
  <c r="O780" i="3" a="1"/>
  <c r="O780" i="3" s="1"/>
  <c r="O779" i="3" a="1"/>
  <c r="O779" i="3" s="1"/>
  <c r="O778" i="3" a="1"/>
  <c r="O778" i="3" s="1"/>
  <c r="O777" i="3" a="1"/>
  <c r="O777" i="3" s="1"/>
  <c r="O776" i="3" a="1"/>
  <c r="O776" i="3" s="1"/>
  <c r="O775" i="3" a="1"/>
  <c r="O775" i="3" s="1"/>
  <c r="O774" i="3" a="1"/>
  <c r="O774" i="3" s="1"/>
  <c r="O773" i="3" a="1"/>
  <c r="O773" i="3" s="1"/>
  <c r="O772" i="3" a="1"/>
  <c r="O772" i="3" s="1"/>
  <c r="O771" i="3" a="1"/>
  <c r="O771" i="3" s="1"/>
  <c r="O770" i="3" a="1"/>
  <c r="O770" i="3" s="1"/>
  <c r="O769" i="3" a="1"/>
  <c r="O769" i="3" s="1"/>
  <c r="O768" i="3" a="1"/>
  <c r="O768" i="3" s="1"/>
  <c r="O767" i="3" a="1"/>
  <c r="O767" i="3" s="1"/>
  <c r="O766" i="3" a="1"/>
  <c r="O766" i="3" s="1"/>
  <c r="O765" i="3" a="1"/>
  <c r="O765" i="3" s="1"/>
  <c r="O764" i="3" a="1"/>
  <c r="O764" i="3" s="1"/>
  <c r="O763" i="3" a="1"/>
  <c r="O763" i="3" s="1"/>
  <c r="O762" i="3" a="1"/>
  <c r="O762" i="3" s="1"/>
  <c r="O761" i="3" a="1"/>
  <c r="O761" i="3" s="1"/>
  <c r="O760" i="3" a="1"/>
  <c r="O760" i="3" s="1"/>
  <c r="O759" i="3" a="1"/>
  <c r="O759" i="3" s="1"/>
  <c r="O758" i="3" a="1"/>
  <c r="O758" i="3" s="1"/>
  <c r="O757" i="3" a="1"/>
  <c r="O757" i="3" s="1"/>
  <c r="O756" i="3" a="1"/>
  <c r="O756" i="3" s="1"/>
  <c r="O755" i="3" a="1"/>
  <c r="O755" i="3" s="1"/>
  <c r="O754" i="3" a="1"/>
  <c r="O754" i="3" s="1"/>
  <c r="O753" i="3" a="1"/>
  <c r="O753" i="3" s="1"/>
  <c r="O752" i="3" a="1"/>
  <c r="O752" i="3" s="1"/>
  <c r="O751" i="3" a="1"/>
  <c r="O751" i="3" s="1"/>
  <c r="O750" i="3" a="1"/>
  <c r="O750" i="3" s="1"/>
  <c r="O749" i="3" a="1"/>
  <c r="O749" i="3" s="1"/>
  <c r="O748" i="3" a="1"/>
  <c r="O748" i="3" s="1"/>
  <c r="O747" i="3" a="1"/>
  <c r="O747" i="3" s="1"/>
  <c r="O746" i="3" a="1"/>
  <c r="O746" i="3" s="1"/>
  <c r="O745" i="3" a="1"/>
  <c r="O745" i="3" s="1"/>
  <c r="O744" i="3" a="1"/>
  <c r="O744" i="3" s="1"/>
  <c r="O743" i="3" a="1"/>
  <c r="O743" i="3" s="1"/>
  <c r="O742" i="3" a="1"/>
  <c r="O742" i="3" s="1"/>
  <c r="O741" i="3" a="1"/>
  <c r="O741" i="3" s="1"/>
  <c r="O740" i="3" a="1"/>
  <c r="O740" i="3" s="1"/>
  <c r="O739" i="3" a="1"/>
  <c r="O739" i="3" s="1"/>
  <c r="O738" i="3" a="1"/>
  <c r="O738" i="3" s="1"/>
  <c r="O737" i="3" a="1"/>
  <c r="O737" i="3" s="1"/>
  <c r="O736" i="3" a="1"/>
  <c r="O736" i="3" s="1"/>
  <c r="O735" i="3" a="1"/>
  <c r="O735" i="3" s="1"/>
  <c r="O734" i="3" a="1"/>
  <c r="O734" i="3" s="1"/>
  <c r="O733" i="3" a="1"/>
  <c r="O733" i="3" s="1"/>
  <c r="O732" i="3" a="1"/>
  <c r="O732" i="3" s="1"/>
  <c r="O731" i="3" a="1"/>
  <c r="O731" i="3" s="1"/>
  <c r="O730" i="3" a="1"/>
  <c r="O730" i="3" s="1"/>
  <c r="O729" i="3" a="1"/>
  <c r="O729" i="3" s="1"/>
  <c r="O728" i="3" a="1"/>
  <c r="O728" i="3" s="1"/>
  <c r="O727" i="3" a="1"/>
  <c r="O727" i="3" s="1"/>
  <c r="O726" i="3" a="1"/>
  <c r="O726" i="3" s="1"/>
  <c r="O725" i="3" a="1"/>
  <c r="O725" i="3" s="1"/>
  <c r="O724" i="3" a="1"/>
  <c r="O724" i="3" s="1"/>
  <c r="O723" i="3" a="1"/>
  <c r="O723" i="3" s="1"/>
  <c r="O722" i="3" a="1"/>
  <c r="O722" i="3" s="1"/>
  <c r="O721" i="3" a="1"/>
  <c r="O721" i="3" s="1"/>
  <c r="O720" i="3" a="1"/>
  <c r="O720" i="3" s="1"/>
  <c r="O719" i="3" a="1"/>
  <c r="O719" i="3" s="1"/>
  <c r="O718" i="3" a="1"/>
  <c r="O718" i="3" s="1"/>
  <c r="O717" i="3" a="1"/>
  <c r="O717" i="3" s="1"/>
  <c r="O716" i="3" a="1"/>
  <c r="O716" i="3" s="1"/>
  <c r="O715" i="3" a="1"/>
  <c r="O715" i="3" s="1"/>
  <c r="O714" i="3" a="1"/>
  <c r="O714" i="3" s="1"/>
  <c r="O713" i="3" a="1"/>
  <c r="O713" i="3" s="1"/>
  <c r="O712" i="3" a="1"/>
  <c r="O712" i="3" s="1"/>
  <c r="O711" i="3" a="1"/>
  <c r="O711" i="3" s="1"/>
  <c r="O710" i="3" a="1"/>
  <c r="O710" i="3" s="1"/>
  <c r="O709" i="3" a="1"/>
  <c r="O709" i="3" s="1"/>
  <c r="O708" i="3" a="1"/>
  <c r="O708" i="3" s="1"/>
  <c r="O707" i="3" a="1"/>
  <c r="O707" i="3" s="1"/>
  <c r="O706" i="3" a="1"/>
  <c r="O706" i="3" s="1"/>
  <c r="O705" i="3" a="1"/>
  <c r="O705" i="3" s="1"/>
  <c r="O704" i="3" a="1"/>
  <c r="O704" i="3" s="1"/>
  <c r="O703" i="3" a="1"/>
  <c r="O703" i="3" s="1"/>
  <c r="O702" i="3" a="1"/>
  <c r="O702" i="3" s="1"/>
  <c r="O701" i="3" a="1"/>
  <c r="O701" i="3" s="1"/>
  <c r="O700" i="3" a="1"/>
  <c r="O700" i="3" s="1"/>
  <c r="O699" i="3" a="1"/>
  <c r="O699" i="3" s="1"/>
  <c r="O698" i="3" a="1"/>
  <c r="O698" i="3" s="1"/>
  <c r="O697" i="3" a="1"/>
  <c r="O697" i="3" s="1"/>
  <c r="O696" i="3" a="1"/>
  <c r="O696" i="3" s="1"/>
  <c r="O695" i="3" a="1"/>
  <c r="O695" i="3" s="1"/>
  <c r="O694" i="3" a="1"/>
  <c r="O694" i="3" s="1"/>
  <c r="O693" i="3" a="1"/>
  <c r="O693" i="3" s="1"/>
  <c r="O692" i="3" a="1"/>
  <c r="O692" i="3" s="1"/>
  <c r="O691" i="3" a="1"/>
  <c r="O691" i="3" s="1"/>
  <c r="O690" i="3" a="1"/>
  <c r="O690" i="3" s="1"/>
  <c r="O689" i="3" a="1"/>
  <c r="O689" i="3" s="1"/>
  <c r="O688" i="3" a="1"/>
  <c r="O688" i="3" s="1"/>
  <c r="O687" i="3" a="1"/>
  <c r="O687" i="3" s="1"/>
  <c r="O686" i="3" a="1"/>
  <c r="O686" i="3" s="1"/>
  <c r="O685" i="3" a="1"/>
  <c r="O685" i="3" s="1"/>
  <c r="O684" i="3" a="1"/>
  <c r="O684" i="3" s="1"/>
  <c r="O683" i="3" a="1"/>
  <c r="O683" i="3" s="1"/>
  <c r="O682" i="3" a="1"/>
  <c r="O682" i="3" s="1"/>
  <c r="O681" i="3" a="1"/>
  <c r="O681" i="3" s="1"/>
  <c r="O680" i="3" a="1"/>
  <c r="O680" i="3" s="1"/>
  <c r="O679" i="3" a="1"/>
  <c r="O679" i="3" s="1"/>
  <c r="O678" i="3" a="1"/>
  <c r="O678" i="3" s="1"/>
  <c r="O677" i="3" a="1"/>
  <c r="O677" i="3" s="1"/>
  <c r="O676" i="3" a="1"/>
  <c r="O676" i="3" s="1"/>
  <c r="O675" i="3" a="1"/>
  <c r="O675" i="3" s="1"/>
  <c r="O674" i="3" a="1"/>
  <c r="O674" i="3" s="1"/>
  <c r="O673" i="3" a="1"/>
  <c r="O673" i="3" s="1"/>
  <c r="O672" i="3" a="1"/>
  <c r="O672" i="3" s="1"/>
  <c r="O671" i="3" a="1"/>
  <c r="O671" i="3" s="1"/>
  <c r="O670" i="3" a="1"/>
  <c r="O670" i="3" s="1"/>
  <c r="O669" i="3" a="1"/>
  <c r="O669" i="3" s="1"/>
  <c r="O668" i="3" a="1"/>
  <c r="O668" i="3" s="1"/>
  <c r="O667" i="3" a="1"/>
  <c r="O667" i="3" s="1"/>
  <c r="O666" i="3" a="1"/>
  <c r="O666" i="3" s="1"/>
  <c r="O665" i="3" a="1"/>
  <c r="O665" i="3" s="1"/>
  <c r="O664" i="3" a="1"/>
  <c r="O664" i="3" s="1"/>
  <c r="O663" i="3" a="1"/>
  <c r="O663" i="3" s="1"/>
  <c r="O662" i="3" a="1"/>
  <c r="O662" i="3" s="1"/>
  <c r="O661" i="3" a="1"/>
  <c r="O661" i="3" s="1"/>
  <c r="O660" i="3" a="1"/>
  <c r="O660" i="3" s="1"/>
  <c r="O659" i="3" a="1"/>
  <c r="O659" i="3" s="1"/>
  <c r="O658" i="3" a="1"/>
  <c r="O658" i="3" s="1"/>
  <c r="O657" i="3" a="1"/>
  <c r="O657" i="3" s="1"/>
  <c r="O656" i="3" a="1"/>
  <c r="O656" i="3" s="1"/>
  <c r="O655" i="3" a="1"/>
  <c r="O655" i="3" s="1"/>
  <c r="O654" i="3" a="1"/>
  <c r="O654" i="3" s="1"/>
  <c r="O653" i="3" a="1"/>
  <c r="O653" i="3" s="1"/>
  <c r="O652" i="3" a="1"/>
  <c r="O652" i="3" s="1"/>
  <c r="O651" i="3" a="1"/>
  <c r="O651" i="3" s="1"/>
  <c r="O650" i="3" a="1"/>
  <c r="O650" i="3" s="1"/>
  <c r="O649" i="3" a="1"/>
  <c r="O649" i="3" s="1"/>
  <c r="O648" i="3" a="1"/>
  <c r="O648" i="3" s="1"/>
  <c r="O647" i="3" a="1"/>
  <c r="O647" i="3" s="1"/>
  <c r="O646" i="3" a="1"/>
  <c r="O646" i="3" s="1"/>
  <c r="O645" i="3" a="1"/>
  <c r="O645" i="3" s="1"/>
  <c r="O644" i="3" a="1"/>
  <c r="O644" i="3" s="1"/>
  <c r="O643" i="3" a="1"/>
  <c r="O643" i="3" s="1"/>
  <c r="O642" i="3" a="1"/>
  <c r="O642" i="3" s="1"/>
  <c r="O641" i="3" a="1"/>
  <c r="O641" i="3" s="1"/>
  <c r="O640" i="3" a="1"/>
  <c r="O640" i="3" s="1"/>
  <c r="O639" i="3" a="1"/>
  <c r="O639" i="3" s="1"/>
  <c r="O638" i="3" a="1"/>
  <c r="O638" i="3" s="1"/>
  <c r="O637" i="3" a="1"/>
  <c r="O637" i="3" s="1"/>
  <c r="O636" i="3" a="1"/>
  <c r="O636" i="3" s="1"/>
  <c r="O635" i="3" a="1"/>
  <c r="O635" i="3" s="1"/>
  <c r="O634" i="3" a="1"/>
  <c r="O634" i="3" s="1"/>
  <c r="O633" i="3" a="1"/>
  <c r="O633" i="3" s="1"/>
  <c r="O632" i="3" a="1"/>
  <c r="O632" i="3" s="1"/>
  <c r="O631" i="3" a="1"/>
  <c r="O631" i="3" s="1"/>
  <c r="O630" i="3" a="1"/>
  <c r="O630" i="3" s="1"/>
  <c r="O629" i="3" a="1"/>
  <c r="O629" i="3" s="1"/>
  <c r="O628" i="3" a="1"/>
  <c r="O628" i="3" s="1"/>
  <c r="O627" i="3" a="1"/>
  <c r="O627" i="3" s="1"/>
  <c r="O626" i="3" a="1"/>
  <c r="O626" i="3" s="1"/>
  <c r="O625" i="3" a="1"/>
  <c r="O625" i="3" s="1"/>
  <c r="O624" i="3" a="1"/>
  <c r="O624" i="3" s="1"/>
  <c r="O623" i="3" a="1"/>
  <c r="O623" i="3" s="1"/>
  <c r="O622" i="3" a="1"/>
  <c r="O622" i="3" s="1"/>
  <c r="O621" i="3" a="1"/>
  <c r="O621" i="3" s="1"/>
  <c r="O620" i="3" a="1"/>
  <c r="O620" i="3" s="1"/>
  <c r="O619" i="3" a="1"/>
  <c r="O619" i="3" s="1"/>
  <c r="O618" i="3" a="1"/>
  <c r="O618" i="3" s="1"/>
  <c r="O617" i="3" a="1"/>
  <c r="O617" i="3" s="1"/>
  <c r="O616" i="3" a="1"/>
  <c r="O616" i="3" s="1"/>
  <c r="O615" i="3" a="1"/>
  <c r="O615" i="3" s="1"/>
  <c r="O614" i="3" a="1"/>
  <c r="O614" i="3" s="1"/>
  <c r="O613" i="3" a="1"/>
  <c r="O613" i="3" s="1"/>
  <c r="O612" i="3" a="1"/>
  <c r="O612" i="3" s="1"/>
  <c r="O611" i="3" a="1"/>
  <c r="O611" i="3" s="1"/>
  <c r="O610" i="3" a="1"/>
  <c r="O610" i="3" s="1"/>
  <c r="O609" i="3" a="1"/>
  <c r="O609" i="3" s="1"/>
  <c r="O608" i="3" a="1"/>
  <c r="O608" i="3" s="1"/>
  <c r="O607" i="3" a="1"/>
  <c r="O607" i="3" s="1"/>
  <c r="O606" i="3" a="1"/>
  <c r="O606" i="3" s="1"/>
  <c r="O605" i="3" a="1"/>
  <c r="O605" i="3" s="1"/>
  <c r="O604" i="3" a="1"/>
  <c r="O604" i="3" s="1"/>
  <c r="O603" i="3" a="1"/>
  <c r="O603" i="3" s="1"/>
  <c r="O602" i="3" a="1"/>
  <c r="O602" i="3" s="1"/>
  <c r="O601" i="3" a="1"/>
  <c r="O601" i="3" s="1"/>
  <c r="O600" i="3" a="1"/>
  <c r="O600" i="3" s="1"/>
  <c r="O599" i="3" a="1"/>
  <c r="O599" i="3" s="1"/>
  <c r="O598" i="3" a="1"/>
  <c r="O598" i="3" s="1"/>
  <c r="O597" i="3" a="1"/>
  <c r="O597" i="3" s="1"/>
  <c r="O596" i="3" a="1"/>
  <c r="O596" i="3" s="1"/>
  <c r="O595" i="3" a="1"/>
  <c r="O595" i="3" s="1"/>
  <c r="O594" i="3" a="1"/>
  <c r="O594" i="3" s="1"/>
  <c r="O593" i="3" a="1"/>
  <c r="O593" i="3" s="1"/>
  <c r="O592" i="3" a="1"/>
  <c r="O592" i="3" s="1"/>
  <c r="O591" i="3" a="1"/>
  <c r="O591" i="3" s="1"/>
  <c r="O590" i="3" a="1"/>
  <c r="O590" i="3" s="1"/>
  <c r="O589" i="3" a="1"/>
  <c r="O589" i="3" s="1"/>
  <c r="O588" i="3" a="1"/>
  <c r="O588" i="3" s="1"/>
  <c r="O587" i="3" a="1"/>
  <c r="O587" i="3" s="1"/>
  <c r="O586" i="3" a="1"/>
  <c r="O586" i="3" s="1"/>
  <c r="O585" i="3" a="1"/>
  <c r="O585" i="3" s="1"/>
  <c r="O584" i="3" a="1"/>
  <c r="O584" i="3" s="1"/>
  <c r="O583" i="3" a="1"/>
  <c r="O583" i="3" s="1"/>
  <c r="O582" i="3" a="1"/>
  <c r="O582" i="3" s="1"/>
  <c r="O581" i="3" a="1"/>
  <c r="O581" i="3" s="1"/>
  <c r="O580" i="3" a="1"/>
  <c r="O580" i="3" s="1"/>
  <c r="O579" i="3" a="1"/>
  <c r="O579" i="3" s="1"/>
  <c r="O578" i="3" a="1"/>
  <c r="O578" i="3" s="1"/>
  <c r="O577" i="3" a="1"/>
  <c r="O577" i="3" s="1"/>
  <c r="O576" i="3" a="1"/>
  <c r="O576" i="3" s="1"/>
  <c r="O575" i="3" a="1"/>
  <c r="O575" i="3" s="1"/>
  <c r="O574" i="3" a="1"/>
  <c r="O574" i="3" s="1"/>
  <c r="O573" i="3" a="1"/>
  <c r="O573" i="3" s="1"/>
  <c r="O572" i="3" a="1"/>
  <c r="O572" i="3" s="1"/>
  <c r="O571" i="3" a="1"/>
  <c r="O571" i="3" s="1"/>
  <c r="O570" i="3" a="1"/>
  <c r="O570" i="3" s="1"/>
  <c r="O569" i="3" a="1"/>
  <c r="O569" i="3" s="1"/>
  <c r="O568" i="3" a="1"/>
  <c r="O568" i="3" s="1"/>
  <c r="O567" i="3" a="1"/>
  <c r="O567" i="3" s="1"/>
  <c r="O566" i="3" a="1"/>
  <c r="O566" i="3" s="1"/>
  <c r="O565" i="3" a="1"/>
  <c r="O565" i="3" s="1"/>
  <c r="O564" i="3" a="1"/>
  <c r="O564" i="3" s="1"/>
  <c r="O563" i="3" a="1"/>
  <c r="O563" i="3" s="1"/>
  <c r="O562" i="3" a="1"/>
  <c r="O562" i="3" s="1"/>
  <c r="O561" i="3" a="1"/>
  <c r="O561" i="3" s="1"/>
  <c r="O560" i="3" a="1"/>
  <c r="O560" i="3" s="1"/>
  <c r="O559" i="3" a="1"/>
  <c r="O559" i="3" s="1"/>
  <c r="O558" i="3" a="1"/>
  <c r="O558" i="3" s="1"/>
  <c r="O557" i="3" a="1"/>
  <c r="O557" i="3" s="1"/>
  <c r="O556" i="3" a="1"/>
  <c r="O556" i="3" s="1"/>
  <c r="O555" i="3" a="1"/>
  <c r="O555" i="3" s="1"/>
  <c r="O554" i="3" a="1"/>
  <c r="O554" i="3" s="1"/>
  <c r="O553" i="3" a="1"/>
  <c r="O553" i="3" s="1"/>
  <c r="O552" i="3" a="1"/>
  <c r="O552" i="3" s="1"/>
  <c r="O551" i="3" a="1"/>
  <c r="O551" i="3" s="1"/>
  <c r="O550" i="3" a="1"/>
  <c r="O550" i="3" s="1"/>
  <c r="O549" i="3" a="1"/>
  <c r="O549" i="3" s="1"/>
  <c r="O548" i="3" a="1"/>
  <c r="O548" i="3" s="1"/>
  <c r="O547" i="3" a="1"/>
  <c r="O547" i="3" s="1"/>
  <c r="O546" i="3" a="1"/>
  <c r="O546" i="3" s="1"/>
  <c r="O545" i="3" a="1"/>
  <c r="O545" i="3" s="1"/>
  <c r="O544" i="3" a="1"/>
  <c r="O544" i="3" s="1"/>
  <c r="O543" i="3" a="1"/>
  <c r="O543" i="3" s="1"/>
  <c r="O542" i="3" a="1"/>
  <c r="O542" i="3" s="1"/>
  <c r="O541" i="3" a="1"/>
  <c r="O541" i="3" s="1"/>
  <c r="O540" i="3" a="1"/>
  <c r="O540" i="3" s="1"/>
  <c r="O539" i="3" a="1"/>
  <c r="O539" i="3" s="1"/>
  <c r="O538" i="3" a="1"/>
  <c r="O538" i="3" s="1"/>
  <c r="O537" i="3" a="1"/>
  <c r="O537" i="3" s="1"/>
  <c r="O536" i="3" a="1"/>
  <c r="O536" i="3" s="1"/>
  <c r="O535" i="3" a="1"/>
  <c r="O535" i="3" s="1"/>
  <c r="O534" i="3" a="1"/>
  <c r="O534" i="3" s="1"/>
  <c r="O533" i="3" a="1"/>
  <c r="O533" i="3" s="1"/>
  <c r="O532" i="3" a="1"/>
  <c r="O532" i="3" s="1"/>
  <c r="O531" i="3" a="1"/>
  <c r="O531" i="3" s="1"/>
  <c r="O530" i="3" a="1"/>
  <c r="O530" i="3" s="1"/>
  <c r="O529" i="3" a="1"/>
  <c r="O529" i="3" s="1"/>
  <c r="O528" i="3" a="1"/>
  <c r="O528" i="3" s="1"/>
  <c r="O527" i="3" a="1"/>
  <c r="O527" i="3" s="1"/>
  <c r="O526" i="3" a="1"/>
  <c r="O526" i="3" s="1"/>
  <c r="O525" i="3" a="1"/>
  <c r="O525" i="3" s="1"/>
  <c r="O524" i="3" a="1"/>
  <c r="O524" i="3" s="1"/>
  <c r="O523" i="3" a="1"/>
  <c r="O523" i="3" s="1"/>
  <c r="O522" i="3" a="1"/>
  <c r="O522" i="3" s="1"/>
  <c r="O521" i="3" a="1"/>
  <c r="O521" i="3" s="1"/>
  <c r="O520" i="3" a="1"/>
  <c r="O520" i="3" s="1"/>
  <c r="O519" i="3" a="1"/>
  <c r="O519" i="3" s="1"/>
  <c r="O518" i="3" a="1"/>
  <c r="O518" i="3" s="1"/>
  <c r="O517" i="3" a="1"/>
  <c r="O517" i="3" s="1"/>
  <c r="O516" i="3" a="1"/>
  <c r="O516" i="3" s="1"/>
  <c r="O515" i="3" a="1"/>
  <c r="O515" i="3" s="1"/>
  <c r="O514" i="3" a="1"/>
  <c r="O514" i="3" s="1"/>
  <c r="O513" i="3" a="1"/>
  <c r="O513" i="3" s="1"/>
  <c r="O512" i="3" a="1"/>
  <c r="O512" i="3" s="1"/>
  <c r="O511" i="3" a="1"/>
  <c r="O511" i="3" s="1"/>
  <c r="O510" i="3" a="1"/>
  <c r="O510" i="3" s="1"/>
  <c r="O509" i="3" a="1"/>
  <c r="O509" i="3" s="1"/>
  <c r="O508" i="3" a="1"/>
  <c r="O508" i="3" s="1"/>
  <c r="O507" i="3" a="1"/>
  <c r="O507" i="3" s="1"/>
  <c r="O506" i="3" a="1"/>
  <c r="O506" i="3" s="1"/>
  <c r="O505" i="3" a="1"/>
  <c r="O505" i="3" s="1"/>
  <c r="O504" i="3" a="1"/>
  <c r="O504" i="3" s="1"/>
  <c r="O503" i="3" a="1"/>
  <c r="O503" i="3" s="1"/>
  <c r="N1000" i="3" a="1"/>
  <c r="N1000" i="3" s="1"/>
  <c r="N999" i="3" a="1"/>
  <c r="N999" i="3" s="1"/>
  <c r="N998" i="3" a="1"/>
  <c r="N998" i="3" s="1"/>
  <c r="N997" i="3" a="1"/>
  <c r="N997" i="3" s="1"/>
  <c r="N996" i="3" a="1"/>
  <c r="N996" i="3" s="1"/>
  <c r="N995" i="3" a="1"/>
  <c r="N995" i="3" s="1"/>
  <c r="N994" i="3" a="1"/>
  <c r="N994" i="3" s="1"/>
  <c r="N993" i="3" a="1"/>
  <c r="N993" i="3" s="1"/>
  <c r="N992" i="3" a="1"/>
  <c r="N992" i="3" s="1"/>
  <c r="N991" i="3" a="1"/>
  <c r="N991" i="3" s="1"/>
  <c r="N990" i="3" a="1"/>
  <c r="N990" i="3" s="1"/>
  <c r="N989" i="3" a="1"/>
  <c r="N989" i="3" s="1"/>
  <c r="N988" i="3" a="1"/>
  <c r="N988" i="3" s="1"/>
  <c r="N987" i="3" a="1"/>
  <c r="N987" i="3" s="1"/>
  <c r="N986" i="3" a="1"/>
  <c r="N986" i="3" s="1"/>
  <c r="N985" i="3" a="1"/>
  <c r="N985" i="3" s="1"/>
  <c r="N984" i="3" a="1"/>
  <c r="N984" i="3" s="1"/>
  <c r="N983" i="3" a="1"/>
  <c r="N983" i="3" s="1"/>
  <c r="N982" i="3" a="1"/>
  <c r="N982" i="3" s="1"/>
  <c r="N981" i="3" a="1"/>
  <c r="N981" i="3" s="1"/>
  <c r="N980" i="3" a="1"/>
  <c r="N980" i="3" s="1"/>
  <c r="N979" i="3" a="1"/>
  <c r="N979" i="3" s="1"/>
  <c r="N978" i="3" a="1"/>
  <c r="N978" i="3" s="1"/>
  <c r="N977" i="3" a="1"/>
  <c r="N977" i="3" s="1"/>
  <c r="N976" i="3" a="1"/>
  <c r="N976" i="3" s="1"/>
  <c r="N975" i="3" a="1"/>
  <c r="N975" i="3" s="1"/>
  <c r="N974" i="3" a="1"/>
  <c r="N974" i="3" s="1"/>
  <c r="N973" i="3" a="1"/>
  <c r="N973" i="3" s="1"/>
  <c r="N972" i="3" a="1"/>
  <c r="N972" i="3" s="1"/>
  <c r="N971" i="3" a="1"/>
  <c r="N971" i="3" s="1"/>
  <c r="N970" i="3" a="1"/>
  <c r="N970" i="3" s="1"/>
  <c r="N969" i="3" a="1"/>
  <c r="N969" i="3" s="1"/>
  <c r="N968" i="3" a="1"/>
  <c r="N968" i="3" s="1"/>
  <c r="N967" i="3" a="1"/>
  <c r="N967" i="3" s="1"/>
  <c r="N966" i="3" a="1"/>
  <c r="N966" i="3" s="1"/>
  <c r="N965" i="3" a="1"/>
  <c r="N965" i="3" s="1"/>
  <c r="N964" i="3" a="1"/>
  <c r="N964" i="3" s="1"/>
  <c r="N963" i="3" a="1"/>
  <c r="N963" i="3" s="1"/>
  <c r="N962" i="3" a="1"/>
  <c r="N962" i="3" s="1"/>
  <c r="N961" i="3" a="1"/>
  <c r="N961" i="3" s="1"/>
  <c r="N960" i="3" a="1"/>
  <c r="N960" i="3" s="1"/>
  <c r="N959" i="3" a="1"/>
  <c r="N959" i="3" s="1"/>
  <c r="N958" i="3" a="1"/>
  <c r="N958" i="3" s="1"/>
  <c r="N957" i="3" a="1"/>
  <c r="N957" i="3" s="1"/>
  <c r="N956" i="3" a="1"/>
  <c r="N956" i="3" s="1"/>
  <c r="N955" i="3" a="1"/>
  <c r="N955" i="3" s="1"/>
  <c r="N954" i="3" a="1"/>
  <c r="N954" i="3" s="1"/>
  <c r="N953" i="3" a="1"/>
  <c r="N953" i="3" s="1"/>
  <c r="N952" i="3" a="1"/>
  <c r="N952" i="3" s="1"/>
  <c r="N951" i="3" a="1"/>
  <c r="N951" i="3" s="1"/>
  <c r="N950" i="3" a="1"/>
  <c r="N950" i="3" s="1"/>
  <c r="N949" i="3" a="1"/>
  <c r="N949" i="3" s="1"/>
  <c r="N948" i="3" a="1"/>
  <c r="N948" i="3" s="1"/>
  <c r="N947" i="3" a="1"/>
  <c r="N947" i="3" s="1"/>
  <c r="N946" i="3" a="1"/>
  <c r="N946" i="3" s="1"/>
  <c r="N945" i="3" a="1"/>
  <c r="N945" i="3" s="1"/>
  <c r="N944" i="3" a="1"/>
  <c r="N944" i="3" s="1"/>
  <c r="N943" i="3" a="1"/>
  <c r="N943" i="3" s="1"/>
  <c r="N942" i="3" a="1"/>
  <c r="N942" i="3" s="1"/>
  <c r="N941" i="3" a="1"/>
  <c r="N941" i="3" s="1"/>
  <c r="N940" i="3" a="1"/>
  <c r="N940" i="3" s="1"/>
  <c r="N939" i="3" a="1"/>
  <c r="N939" i="3" s="1"/>
  <c r="N938" i="3" a="1"/>
  <c r="N938" i="3" s="1"/>
  <c r="N937" i="3" a="1"/>
  <c r="N937" i="3" s="1"/>
  <c r="N936" i="3" a="1"/>
  <c r="N936" i="3" s="1"/>
  <c r="N935" i="3" a="1"/>
  <c r="N935" i="3" s="1"/>
  <c r="N934" i="3" a="1"/>
  <c r="N934" i="3" s="1"/>
  <c r="N933" i="3" a="1"/>
  <c r="N933" i="3" s="1"/>
  <c r="N932" i="3" a="1"/>
  <c r="N932" i="3" s="1"/>
  <c r="N931" i="3" a="1"/>
  <c r="N931" i="3" s="1"/>
  <c r="N930" i="3" a="1"/>
  <c r="N930" i="3" s="1"/>
  <c r="N929" i="3" a="1"/>
  <c r="N929" i="3" s="1"/>
  <c r="N928" i="3" a="1"/>
  <c r="N928" i="3" s="1"/>
  <c r="N927" i="3" a="1"/>
  <c r="N927" i="3" s="1"/>
  <c r="N926" i="3" a="1"/>
  <c r="N926" i="3" s="1"/>
  <c r="N925" i="3" a="1"/>
  <c r="N925" i="3" s="1"/>
  <c r="N924" i="3" a="1"/>
  <c r="N924" i="3" s="1"/>
  <c r="N923" i="3" a="1"/>
  <c r="N923" i="3" s="1"/>
  <c r="N922" i="3" a="1"/>
  <c r="N922" i="3" s="1"/>
  <c r="N921" i="3" a="1"/>
  <c r="N921" i="3" s="1"/>
  <c r="N920" i="3" a="1"/>
  <c r="N920" i="3" s="1"/>
  <c r="N919" i="3" a="1"/>
  <c r="N919" i="3" s="1"/>
  <c r="N918" i="3" a="1"/>
  <c r="N918" i="3" s="1"/>
  <c r="N917" i="3" a="1"/>
  <c r="N917" i="3" s="1"/>
  <c r="N916" i="3" a="1"/>
  <c r="N916" i="3" s="1"/>
  <c r="N915" i="3" a="1"/>
  <c r="N915" i="3" s="1"/>
  <c r="N914" i="3" a="1"/>
  <c r="N914" i="3" s="1"/>
  <c r="N913" i="3" a="1"/>
  <c r="N913" i="3" s="1"/>
  <c r="N912" i="3" a="1"/>
  <c r="N912" i="3" s="1"/>
  <c r="N911" i="3" a="1"/>
  <c r="N911" i="3" s="1"/>
  <c r="N910" i="3" a="1"/>
  <c r="N910" i="3" s="1"/>
  <c r="N909" i="3" a="1"/>
  <c r="N909" i="3" s="1"/>
  <c r="N908" i="3" a="1"/>
  <c r="N908" i="3" s="1"/>
  <c r="N907" i="3" a="1"/>
  <c r="N907" i="3" s="1"/>
  <c r="N906" i="3" a="1"/>
  <c r="N906" i="3" s="1"/>
  <c r="N905" i="3" a="1"/>
  <c r="N905" i="3" s="1"/>
  <c r="N904" i="3" a="1"/>
  <c r="N904" i="3" s="1"/>
  <c r="N903" i="3" a="1"/>
  <c r="N903" i="3" s="1"/>
  <c r="N902" i="3" a="1"/>
  <c r="N902" i="3" s="1"/>
  <c r="N901" i="3" a="1"/>
  <c r="N901" i="3" s="1"/>
  <c r="N900" i="3" a="1"/>
  <c r="N900" i="3" s="1"/>
  <c r="N899" i="3" a="1"/>
  <c r="N899" i="3" s="1"/>
  <c r="N898" i="3" a="1"/>
  <c r="N898" i="3" s="1"/>
  <c r="N897" i="3" a="1"/>
  <c r="N897" i="3" s="1"/>
  <c r="N896" i="3" a="1"/>
  <c r="N896" i="3" s="1"/>
  <c r="N895" i="3" a="1"/>
  <c r="N895" i="3" s="1"/>
  <c r="N894" i="3" a="1"/>
  <c r="N894" i="3" s="1"/>
  <c r="N893" i="3" a="1"/>
  <c r="N893" i="3" s="1"/>
  <c r="N892" i="3" a="1"/>
  <c r="N892" i="3" s="1"/>
  <c r="N891" i="3" a="1"/>
  <c r="N891" i="3" s="1"/>
  <c r="N890" i="3" a="1"/>
  <c r="N890" i="3" s="1"/>
  <c r="N889" i="3" a="1"/>
  <c r="N889" i="3" s="1"/>
  <c r="N888" i="3" a="1"/>
  <c r="N888" i="3" s="1"/>
  <c r="N887" i="3" a="1"/>
  <c r="N887" i="3" s="1"/>
  <c r="N886" i="3" a="1"/>
  <c r="N886" i="3" s="1"/>
  <c r="N885" i="3" a="1"/>
  <c r="N885" i="3" s="1"/>
  <c r="N884" i="3" a="1"/>
  <c r="N884" i="3" s="1"/>
  <c r="N883" i="3" a="1"/>
  <c r="N883" i="3" s="1"/>
  <c r="N882" i="3" a="1"/>
  <c r="N882" i="3" s="1"/>
  <c r="N881" i="3" a="1"/>
  <c r="N881" i="3" s="1"/>
  <c r="N880" i="3" a="1"/>
  <c r="N880" i="3" s="1"/>
  <c r="N879" i="3" a="1"/>
  <c r="N879" i="3" s="1"/>
  <c r="N878" i="3" a="1"/>
  <c r="N878" i="3" s="1"/>
  <c r="N877" i="3" a="1"/>
  <c r="N877" i="3" s="1"/>
  <c r="N876" i="3" a="1"/>
  <c r="N876" i="3" s="1"/>
  <c r="N875" i="3" a="1"/>
  <c r="N875" i="3" s="1"/>
  <c r="N874" i="3" a="1"/>
  <c r="N874" i="3" s="1"/>
  <c r="N873" i="3" a="1"/>
  <c r="N873" i="3" s="1"/>
  <c r="N872" i="3" a="1"/>
  <c r="N872" i="3" s="1"/>
  <c r="N871" i="3" a="1"/>
  <c r="N871" i="3" s="1"/>
  <c r="N870" i="3" a="1"/>
  <c r="N870" i="3" s="1"/>
  <c r="N869" i="3" a="1"/>
  <c r="N869" i="3" s="1"/>
  <c r="N868" i="3" a="1"/>
  <c r="N868" i="3" s="1"/>
  <c r="N867" i="3" a="1"/>
  <c r="N867" i="3" s="1"/>
  <c r="N866" i="3" a="1"/>
  <c r="N866" i="3" s="1"/>
  <c r="N865" i="3" a="1"/>
  <c r="N865" i="3" s="1"/>
  <c r="N864" i="3" a="1"/>
  <c r="N864" i="3" s="1"/>
  <c r="N863" i="3" a="1"/>
  <c r="N863" i="3" s="1"/>
  <c r="N862" i="3" a="1"/>
  <c r="N862" i="3" s="1"/>
  <c r="N861" i="3" a="1"/>
  <c r="N861" i="3" s="1"/>
  <c r="N860" i="3" a="1"/>
  <c r="N860" i="3" s="1"/>
  <c r="N859" i="3" a="1"/>
  <c r="N859" i="3" s="1"/>
  <c r="N858" i="3" a="1"/>
  <c r="N858" i="3" s="1"/>
  <c r="N857" i="3" a="1"/>
  <c r="N857" i="3" s="1"/>
  <c r="N856" i="3" a="1"/>
  <c r="N856" i="3" s="1"/>
  <c r="N855" i="3" a="1"/>
  <c r="N855" i="3" s="1"/>
  <c r="N854" i="3" a="1"/>
  <c r="N854" i="3" s="1"/>
  <c r="N853" i="3" a="1"/>
  <c r="N853" i="3" s="1"/>
  <c r="N852" i="3" a="1"/>
  <c r="N852" i="3" s="1"/>
  <c r="N851" i="3" a="1"/>
  <c r="N851" i="3" s="1"/>
  <c r="N850" i="3" a="1"/>
  <c r="N850" i="3" s="1"/>
  <c r="N849" i="3" a="1"/>
  <c r="N849" i="3" s="1"/>
  <c r="N848" i="3" a="1"/>
  <c r="N848" i="3" s="1"/>
  <c r="N847" i="3" a="1"/>
  <c r="N847" i="3" s="1"/>
  <c r="N846" i="3" a="1"/>
  <c r="N846" i="3" s="1"/>
  <c r="N845" i="3" a="1"/>
  <c r="N845" i="3" s="1"/>
  <c r="N844" i="3" a="1"/>
  <c r="N844" i="3" s="1"/>
  <c r="N843" i="3" a="1"/>
  <c r="N843" i="3" s="1"/>
  <c r="N842" i="3" a="1"/>
  <c r="N842" i="3" s="1"/>
  <c r="N841" i="3" a="1"/>
  <c r="N841" i="3" s="1"/>
  <c r="N840" i="3" a="1"/>
  <c r="N840" i="3" s="1"/>
  <c r="N839" i="3" a="1"/>
  <c r="N839" i="3" s="1"/>
  <c r="N838" i="3" a="1"/>
  <c r="N838" i="3" s="1"/>
  <c r="N837" i="3" a="1"/>
  <c r="N837" i="3" s="1"/>
  <c r="N836" i="3" a="1"/>
  <c r="N836" i="3" s="1"/>
  <c r="N835" i="3" a="1"/>
  <c r="N835" i="3" s="1"/>
  <c r="N834" i="3" a="1"/>
  <c r="N834" i="3" s="1"/>
  <c r="N833" i="3" a="1"/>
  <c r="N833" i="3" s="1"/>
  <c r="N832" i="3" a="1"/>
  <c r="N832" i="3" s="1"/>
  <c r="N831" i="3" a="1"/>
  <c r="N831" i="3" s="1"/>
  <c r="N830" i="3" a="1"/>
  <c r="N830" i="3" s="1"/>
  <c r="N829" i="3" a="1"/>
  <c r="N829" i="3" s="1"/>
  <c r="N828" i="3" a="1"/>
  <c r="N828" i="3" s="1"/>
  <c r="N827" i="3" a="1"/>
  <c r="N827" i="3" s="1"/>
  <c r="N826" i="3" a="1"/>
  <c r="N826" i="3" s="1"/>
  <c r="N825" i="3" a="1"/>
  <c r="N825" i="3" s="1"/>
  <c r="N824" i="3" a="1"/>
  <c r="N824" i="3" s="1"/>
  <c r="N823" i="3" a="1"/>
  <c r="N823" i="3" s="1"/>
  <c r="N822" i="3" a="1"/>
  <c r="N822" i="3" s="1"/>
  <c r="N821" i="3" a="1"/>
  <c r="N821" i="3" s="1"/>
  <c r="N820" i="3" a="1"/>
  <c r="N820" i="3" s="1"/>
  <c r="N819" i="3" a="1"/>
  <c r="N819" i="3" s="1"/>
  <c r="N818" i="3" a="1"/>
  <c r="N818" i="3" s="1"/>
  <c r="N817" i="3" a="1"/>
  <c r="N817" i="3" s="1"/>
  <c r="N816" i="3" a="1"/>
  <c r="N816" i="3" s="1"/>
  <c r="N815" i="3" a="1"/>
  <c r="N815" i="3" s="1"/>
  <c r="N814" i="3" a="1"/>
  <c r="N814" i="3" s="1"/>
  <c r="N813" i="3" a="1"/>
  <c r="N813" i="3" s="1"/>
  <c r="N812" i="3" a="1"/>
  <c r="N812" i="3" s="1"/>
  <c r="N811" i="3" a="1"/>
  <c r="N811" i="3" s="1"/>
  <c r="N810" i="3" a="1"/>
  <c r="N810" i="3" s="1"/>
  <c r="N809" i="3" a="1"/>
  <c r="N809" i="3" s="1"/>
  <c r="N808" i="3" a="1"/>
  <c r="N808" i="3" s="1"/>
  <c r="N807" i="3" a="1"/>
  <c r="N807" i="3" s="1"/>
  <c r="N806" i="3" a="1"/>
  <c r="N806" i="3" s="1"/>
  <c r="N805" i="3" a="1"/>
  <c r="N805" i="3" s="1"/>
  <c r="N804" i="3" a="1"/>
  <c r="N804" i="3" s="1"/>
  <c r="N803" i="3" a="1"/>
  <c r="N803" i="3" s="1"/>
  <c r="N802" i="3" a="1"/>
  <c r="N802" i="3" s="1"/>
  <c r="N801" i="3" a="1"/>
  <c r="N801" i="3" s="1"/>
  <c r="N800" i="3" a="1"/>
  <c r="N800" i="3" s="1"/>
  <c r="N799" i="3" a="1"/>
  <c r="N799" i="3" s="1"/>
  <c r="N798" i="3" a="1"/>
  <c r="N798" i="3" s="1"/>
  <c r="N797" i="3" a="1"/>
  <c r="N797" i="3" s="1"/>
  <c r="N796" i="3" a="1"/>
  <c r="N796" i="3" s="1"/>
  <c r="N795" i="3" a="1"/>
  <c r="N795" i="3" s="1"/>
  <c r="N794" i="3" a="1"/>
  <c r="N794" i="3" s="1"/>
  <c r="N793" i="3" a="1"/>
  <c r="N793" i="3" s="1"/>
  <c r="N792" i="3" a="1"/>
  <c r="N792" i="3" s="1"/>
  <c r="N791" i="3" a="1"/>
  <c r="N791" i="3" s="1"/>
  <c r="N790" i="3" a="1"/>
  <c r="N790" i="3" s="1"/>
  <c r="N789" i="3" a="1"/>
  <c r="N789" i="3" s="1"/>
  <c r="N788" i="3" a="1"/>
  <c r="N788" i="3" s="1"/>
  <c r="N787" i="3" a="1"/>
  <c r="N787" i="3" s="1"/>
  <c r="N786" i="3" a="1"/>
  <c r="N786" i="3" s="1"/>
  <c r="N785" i="3" a="1"/>
  <c r="N785" i="3" s="1"/>
  <c r="N784" i="3" a="1"/>
  <c r="N784" i="3" s="1"/>
  <c r="N783" i="3" a="1"/>
  <c r="N783" i="3" s="1"/>
  <c r="N782" i="3" a="1"/>
  <c r="N782" i="3" s="1"/>
  <c r="N781" i="3" a="1"/>
  <c r="N781" i="3" s="1"/>
  <c r="N780" i="3" a="1"/>
  <c r="N780" i="3" s="1"/>
  <c r="N779" i="3" a="1"/>
  <c r="N779" i="3" s="1"/>
  <c r="N778" i="3" a="1"/>
  <c r="N778" i="3" s="1"/>
  <c r="N777" i="3" a="1"/>
  <c r="N777" i="3" s="1"/>
  <c r="N776" i="3" a="1"/>
  <c r="N776" i="3" s="1"/>
  <c r="N775" i="3" a="1"/>
  <c r="N775" i="3" s="1"/>
  <c r="N774" i="3" a="1"/>
  <c r="N774" i="3" s="1"/>
  <c r="N773" i="3" a="1"/>
  <c r="N773" i="3" s="1"/>
  <c r="N772" i="3" a="1"/>
  <c r="N772" i="3" s="1"/>
  <c r="N771" i="3" a="1"/>
  <c r="N771" i="3" s="1"/>
  <c r="N770" i="3" a="1"/>
  <c r="N770" i="3" s="1"/>
  <c r="N769" i="3" a="1"/>
  <c r="N769" i="3" s="1"/>
  <c r="N768" i="3" a="1"/>
  <c r="N768" i="3" s="1"/>
  <c r="N767" i="3" a="1"/>
  <c r="N767" i="3" s="1"/>
  <c r="N766" i="3" a="1"/>
  <c r="N766" i="3" s="1"/>
  <c r="N765" i="3" a="1"/>
  <c r="N765" i="3" s="1"/>
  <c r="N764" i="3" a="1"/>
  <c r="N764" i="3" s="1"/>
  <c r="N763" i="3" a="1"/>
  <c r="N763" i="3" s="1"/>
  <c r="N762" i="3" a="1"/>
  <c r="N762" i="3" s="1"/>
  <c r="N761" i="3" a="1"/>
  <c r="N761" i="3" s="1"/>
  <c r="N760" i="3" a="1"/>
  <c r="N760" i="3" s="1"/>
  <c r="N759" i="3" a="1"/>
  <c r="N759" i="3" s="1"/>
  <c r="N758" i="3" a="1"/>
  <c r="N758" i="3" s="1"/>
  <c r="N757" i="3" a="1"/>
  <c r="N757" i="3" s="1"/>
  <c r="N756" i="3" a="1"/>
  <c r="N756" i="3" s="1"/>
  <c r="N755" i="3" a="1"/>
  <c r="N755" i="3" s="1"/>
  <c r="N754" i="3" a="1"/>
  <c r="N754" i="3" s="1"/>
  <c r="N753" i="3" a="1"/>
  <c r="N753" i="3" s="1"/>
  <c r="N752" i="3" a="1"/>
  <c r="N752" i="3" s="1"/>
  <c r="N751" i="3" a="1"/>
  <c r="N751" i="3" s="1"/>
  <c r="N750" i="3" a="1"/>
  <c r="N750" i="3" s="1"/>
  <c r="N749" i="3" a="1"/>
  <c r="N749" i="3" s="1"/>
  <c r="N748" i="3" a="1"/>
  <c r="N748" i="3" s="1"/>
  <c r="N747" i="3" a="1"/>
  <c r="N747" i="3" s="1"/>
  <c r="N746" i="3" a="1"/>
  <c r="N746" i="3" s="1"/>
  <c r="N745" i="3" a="1"/>
  <c r="N745" i="3" s="1"/>
  <c r="N744" i="3" a="1"/>
  <c r="N744" i="3" s="1"/>
  <c r="N743" i="3" a="1"/>
  <c r="N743" i="3" s="1"/>
  <c r="N742" i="3" a="1"/>
  <c r="N742" i="3" s="1"/>
  <c r="N741" i="3" a="1"/>
  <c r="N741" i="3" s="1"/>
  <c r="N740" i="3" a="1"/>
  <c r="N740" i="3" s="1"/>
  <c r="N739" i="3" a="1"/>
  <c r="N739" i="3" s="1"/>
  <c r="N738" i="3" a="1"/>
  <c r="N738" i="3" s="1"/>
  <c r="N737" i="3" a="1"/>
  <c r="N737" i="3" s="1"/>
  <c r="N736" i="3" a="1"/>
  <c r="N736" i="3" s="1"/>
  <c r="N735" i="3" a="1"/>
  <c r="N735" i="3" s="1"/>
  <c r="N734" i="3" a="1"/>
  <c r="N734" i="3" s="1"/>
  <c r="N733" i="3" a="1"/>
  <c r="N733" i="3" s="1"/>
  <c r="N732" i="3" a="1"/>
  <c r="N732" i="3" s="1"/>
  <c r="N731" i="3" a="1"/>
  <c r="N731" i="3" s="1"/>
  <c r="N730" i="3" a="1"/>
  <c r="N730" i="3" s="1"/>
  <c r="N729" i="3" a="1"/>
  <c r="N729" i="3" s="1"/>
  <c r="N728" i="3" a="1"/>
  <c r="N728" i="3" s="1"/>
  <c r="N727" i="3" a="1"/>
  <c r="N727" i="3" s="1"/>
  <c r="N726" i="3" a="1"/>
  <c r="N726" i="3" s="1"/>
  <c r="N725" i="3" a="1"/>
  <c r="N725" i="3" s="1"/>
  <c r="N724" i="3" a="1"/>
  <c r="N724" i="3" s="1"/>
  <c r="N723" i="3" a="1"/>
  <c r="N723" i="3" s="1"/>
  <c r="N722" i="3" a="1"/>
  <c r="N722" i="3" s="1"/>
  <c r="N721" i="3" a="1"/>
  <c r="N721" i="3" s="1"/>
  <c r="N720" i="3" a="1"/>
  <c r="N720" i="3" s="1"/>
  <c r="N719" i="3" a="1"/>
  <c r="N719" i="3" s="1"/>
  <c r="N718" i="3" a="1"/>
  <c r="N718" i="3" s="1"/>
  <c r="N717" i="3" a="1"/>
  <c r="N717" i="3" s="1"/>
  <c r="N716" i="3" a="1"/>
  <c r="N716" i="3" s="1"/>
  <c r="N715" i="3" a="1"/>
  <c r="N715" i="3" s="1"/>
  <c r="N714" i="3" a="1"/>
  <c r="N714" i="3" s="1"/>
  <c r="N713" i="3" a="1"/>
  <c r="N713" i="3" s="1"/>
  <c r="N712" i="3" a="1"/>
  <c r="N712" i="3" s="1"/>
  <c r="N711" i="3" a="1"/>
  <c r="N711" i="3" s="1"/>
  <c r="N710" i="3" a="1"/>
  <c r="N710" i="3" s="1"/>
  <c r="N709" i="3" a="1"/>
  <c r="N709" i="3" s="1"/>
  <c r="N708" i="3" a="1"/>
  <c r="N708" i="3" s="1"/>
  <c r="N707" i="3" a="1"/>
  <c r="N707" i="3" s="1"/>
  <c r="N706" i="3" a="1"/>
  <c r="N706" i="3" s="1"/>
  <c r="N705" i="3" a="1"/>
  <c r="N705" i="3" s="1"/>
  <c r="N704" i="3" a="1"/>
  <c r="N704" i="3" s="1"/>
  <c r="N703" i="3" a="1"/>
  <c r="N703" i="3" s="1"/>
  <c r="N702" i="3" a="1"/>
  <c r="N702" i="3" s="1"/>
  <c r="N701" i="3" a="1"/>
  <c r="N701" i="3" s="1"/>
  <c r="N700" i="3" a="1"/>
  <c r="N700" i="3" s="1"/>
  <c r="N699" i="3" a="1"/>
  <c r="N699" i="3" s="1"/>
  <c r="N698" i="3" a="1"/>
  <c r="N698" i="3" s="1"/>
  <c r="N697" i="3" a="1"/>
  <c r="N697" i="3" s="1"/>
  <c r="N696" i="3" a="1"/>
  <c r="N696" i="3" s="1"/>
  <c r="N695" i="3" a="1"/>
  <c r="N695" i="3" s="1"/>
  <c r="N694" i="3" a="1"/>
  <c r="N694" i="3" s="1"/>
  <c r="N693" i="3" a="1"/>
  <c r="N693" i="3" s="1"/>
  <c r="N692" i="3" a="1"/>
  <c r="N692" i="3" s="1"/>
  <c r="N691" i="3" a="1"/>
  <c r="N691" i="3" s="1"/>
  <c r="N690" i="3" a="1"/>
  <c r="N690" i="3" s="1"/>
  <c r="N689" i="3" a="1"/>
  <c r="N689" i="3" s="1"/>
  <c r="N688" i="3" a="1"/>
  <c r="N688" i="3" s="1"/>
  <c r="N687" i="3" a="1"/>
  <c r="N687" i="3" s="1"/>
  <c r="N686" i="3" a="1"/>
  <c r="N686" i="3" s="1"/>
  <c r="N685" i="3" a="1"/>
  <c r="N685" i="3" s="1"/>
  <c r="N684" i="3" a="1"/>
  <c r="N684" i="3" s="1"/>
  <c r="N683" i="3" a="1"/>
  <c r="N683" i="3" s="1"/>
  <c r="N682" i="3" a="1"/>
  <c r="N682" i="3" s="1"/>
  <c r="N681" i="3" a="1"/>
  <c r="N681" i="3" s="1"/>
  <c r="N680" i="3" a="1"/>
  <c r="N680" i="3" s="1"/>
  <c r="N679" i="3" a="1"/>
  <c r="N679" i="3" s="1"/>
  <c r="N678" i="3" a="1"/>
  <c r="N678" i="3" s="1"/>
  <c r="N677" i="3" a="1"/>
  <c r="N677" i="3" s="1"/>
  <c r="N676" i="3" a="1"/>
  <c r="N676" i="3" s="1"/>
  <c r="N675" i="3" a="1"/>
  <c r="N675" i="3" s="1"/>
  <c r="N674" i="3" a="1"/>
  <c r="N674" i="3" s="1"/>
  <c r="N673" i="3" a="1"/>
  <c r="N673" i="3" s="1"/>
  <c r="N672" i="3" a="1"/>
  <c r="N672" i="3" s="1"/>
  <c r="N671" i="3" a="1"/>
  <c r="N671" i="3" s="1"/>
  <c r="N670" i="3" a="1"/>
  <c r="N670" i="3" s="1"/>
  <c r="N669" i="3" a="1"/>
  <c r="N669" i="3" s="1"/>
  <c r="N668" i="3" a="1"/>
  <c r="N668" i="3" s="1"/>
  <c r="N667" i="3" a="1"/>
  <c r="N667" i="3" s="1"/>
  <c r="N666" i="3" a="1"/>
  <c r="N666" i="3" s="1"/>
  <c r="N665" i="3" a="1"/>
  <c r="N665" i="3" s="1"/>
  <c r="N664" i="3" a="1"/>
  <c r="N664" i="3" s="1"/>
  <c r="N663" i="3" a="1"/>
  <c r="N663" i="3" s="1"/>
  <c r="N662" i="3" a="1"/>
  <c r="N662" i="3" s="1"/>
  <c r="N661" i="3" a="1"/>
  <c r="N661" i="3" s="1"/>
  <c r="N660" i="3" a="1"/>
  <c r="N660" i="3" s="1"/>
  <c r="N659" i="3" a="1"/>
  <c r="N659" i="3" s="1"/>
  <c r="N658" i="3" a="1"/>
  <c r="N658" i="3" s="1"/>
  <c r="N657" i="3" a="1"/>
  <c r="N657" i="3" s="1"/>
  <c r="N656" i="3" a="1"/>
  <c r="N656" i="3" s="1"/>
  <c r="N655" i="3" a="1"/>
  <c r="N655" i="3" s="1"/>
  <c r="N654" i="3" a="1"/>
  <c r="N654" i="3" s="1"/>
  <c r="N653" i="3" a="1"/>
  <c r="N653" i="3" s="1"/>
  <c r="N652" i="3" a="1"/>
  <c r="N652" i="3" s="1"/>
  <c r="N651" i="3" a="1"/>
  <c r="N651" i="3" s="1"/>
  <c r="N650" i="3" a="1"/>
  <c r="N650" i="3" s="1"/>
  <c r="N649" i="3" a="1"/>
  <c r="N649" i="3" s="1"/>
  <c r="N648" i="3" a="1"/>
  <c r="N648" i="3" s="1"/>
  <c r="N647" i="3" a="1"/>
  <c r="N647" i="3" s="1"/>
  <c r="N646" i="3" a="1"/>
  <c r="N646" i="3" s="1"/>
  <c r="N645" i="3" a="1"/>
  <c r="N645" i="3" s="1"/>
  <c r="N644" i="3" a="1"/>
  <c r="N644" i="3" s="1"/>
  <c r="N643" i="3" a="1"/>
  <c r="N643" i="3" s="1"/>
  <c r="N642" i="3" a="1"/>
  <c r="N642" i="3" s="1"/>
  <c r="N641" i="3" a="1"/>
  <c r="N641" i="3" s="1"/>
  <c r="N640" i="3" a="1"/>
  <c r="N640" i="3" s="1"/>
  <c r="N639" i="3" a="1"/>
  <c r="N639" i="3" s="1"/>
  <c r="N638" i="3" a="1"/>
  <c r="N638" i="3" s="1"/>
  <c r="N637" i="3" a="1"/>
  <c r="N637" i="3" s="1"/>
  <c r="N636" i="3" a="1"/>
  <c r="N636" i="3" s="1"/>
  <c r="N635" i="3" a="1"/>
  <c r="N635" i="3" s="1"/>
  <c r="N634" i="3" a="1"/>
  <c r="N634" i="3" s="1"/>
  <c r="N633" i="3" a="1"/>
  <c r="N633" i="3" s="1"/>
  <c r="N632" i="3" a="1"/>
  <c r="N632" i="3" s="1"/>
  <c r="N631" i="3" a="1"/>
  <c r="N631" i="3" s="1"/>
  <c r="N630" i="3" a="1"/>
  <c r="N630" i="3" s="1"/>
  <c r="N629" i="3" a="1"/>
  <c r="N629" i="3" s="1"/>
  <c r="N628" i="3" a="1"/>
  <c r="N628" i="3" s="1"/>
  <c r="N627" i="3" a="1"/>
  <c r="N627" i="3" s="1"/>
  <c r="N626" i="3" a="1"/>
  <c r="N626" i="3" s="1"/>
  <c r="N625" i="3" a="1"/>
  <c r="N625" i="3" s="1"/>
  <c r="N624" i="3" a="1"/>
  <c r="N624" i="3" s="1"/>
  <c r="N623" i="3" a="1"/>
  <c r="N623" i="3" s="1"/>
  <c r="N622" i="3" a="1"/>
  <c r="N622" i="3" s="1"/>
  <c r="N621" i="3" a="1"/>
  <c r="N621" i="3" s="1"/>
  <c r="N620" i="3" a="1"/>
  <c r="N620" i="3" s="1"/>
  <c r="N619" i="3" a="1"/>
  <c r="N619" i="3" s="1"/>
  <c r="N618" i="3" a="1"/>
  <c r="N618" i="3" s="1"/>
  <c r="N617" i="3" a="1"/>
  <c r="N617" i="3" s="1"/>
  <c r="N616" i="3" a="1"/>
  <c r="N616" i="3" s="1"/>
  <c r="N615" i="3" a="1"/>
  <c r="N615" i="3" s="1"/>
  <c r="N614" i="3" a="1"/>
  <c r="N614" i="3" s="1"/>
  <c r="N613" i="3" a="1"/>
  <c r="N613" i="3" s="1"/>
  <c r="N612" i="3" a="1"/>
  <c r="N612" i="3" s="1"/>
  <c r="N611" i="3" a="1"/>
  <c r="N611" i="3" s="1"/>
  <c r="N610" i="3" a="1"/>
  <c r="N610" i="3" s="1"/>
  <c r="N609" i="3" a="1"/>
  <c r="N609" i="3" s="1"/>
  <c r="N608" i="3" a="1"/>
  <c r="N608" i="3" s="1"/>
  <c r="N607" i="3" a="1"/>
  <c r="N607" i="3" s="1"/>
  <c r="N606" i="3" a="1"/>
  <c r="N606" i="3" s="1"/>
  <c r="N605" i="3" a="1"/>
  <c r="N605" i="3" s="1"/>
  <c r="N604" i="3" a="1"/>
  <c r="N604" i="3" s="1"/>
  <c r="N603" i="3" a="1"/>
  <c r="N603" i="3" s="1"/>
  <c r="N602" i="3" a="1"/>
  <c r="N602" i="3" s="1"/>
  <c r="N601" i="3" a="1"/>
  <c r="N601" i="3" s="1"/>
  <c r="N600" i="3" a="1"/>
  <c r="N600" i="3" s="1"/>
  <c r="N599" i="3" a="1"/>
  <c r="N599" i="3" s="1"/>
  <c r="N598" i="3" a="1"/>
  <c r="N598" i="3" s="1"/>
  <c r="N597" i="3" a="1"/>
  <c r="N597" i="3" s="1"/>
  <c r="N596" i="3" a="1"/>
  <c r="N596" i="3" s="1"/>
  <c r="N595" i="3" a="1"/>
  <c r="N595" i="3" s="1"/>
  <c r="N594" i="3" a="1"/>
  <c r="N594" i="3" s="1"/>
  <c r="N593" i="3" a="1"/>
  <c r="N593" i="3" s="1"/>
  <c r="N592" i="3" a="1"/>
  <c r="N592" i="3" s="1"/>
  <c r="N591" i="3" a="1"/>
  <c r="N591" i="3" s="1"/>
  <c r="N590" i="3" a="1"/>
  <c r="N590" i="3" s="1"/>
  <c r="N589" i="3" a="1"/>
  <c r="N589" i="3" s="1"/>
  <c r="N588" i="3" a="1"/>
  <c r="N588" i="3" s="1"/>
  <c r="N587" i="3" a="1"/>
  <c r="N587" i="3" s="1"/>
  <c r="N586" i="3" a="1"/>
  <c r="N586" i="3" s="1"/>
  <c r="N585" i="3" a="1"/>
  <c r="N585" i="3" s="1"/>
  <c r="N584" i="3" a="1"/>
  <c r="N584" i="3" s="1"/>
  <c r="N583" i="3" a="1"/>
  <c r="N583" i="3" s="1"/>
  <c r="N582" i="3" a="1"/>
  <c r="N582" i="3" s="1"/>
  <c r="N581" i="3" a="1"/>
  <c r="N581" i="3" s="1"/>
  <c r="N580" i="3" a="1"/>
  <c r="N580" i="3" s="1"/>
  <c r="N579" i="3" a="1"/>
  <c r="N579" i="3" s="1"/>
  <c r="N578" i="3" a="1"/>
  <c r="N578" i="3" s="1"/>
  <c r="N577" i="3" a="1"/>
  <c r="N577" i="3" s="1"/>
  <c r="N576" i="3" a="1"/>
  <c r="N576" i="3" s="1"/>
  <c r="N575" i="3" a="1"/>
  <c r="N575" i="3" s="1"/>
  <c r="N574" i="3" a="1"/>
  <c r="N574" i="3" s="1"/>
  <c r="N573" i="3" a="1"/>
  <c r="N573" i="3" s="1"/>
  <c r="N572" i="3" a="1"/>
  <c r="N572" i="3" s="1"/>
  <c r="N571" i="3" a="1"/>
  <c r="N571" i="3" s="1"/>
  <c r="N570" i="3" a="1"/>
  <c r="N570" i="3" s="1"/>
  <c r="N569" i="3" a="1"/>
  <c r="N569" i="3" s="1"/>
  <c r="N568" i="3" a="1"/>
  <c r="N568" i="3" s="1"/>
  <c r="N567" i="3" a="1"/>
  <c r="N567" i="3" s="1"/>
  <c r="N566" i="3" a="1"/>
  <c r="N566" i="3" s="1"/>
  <c r="N565" i="3" a="1"/>
  <c r="N565" i="3" s="1"/>
  <c r="N564" i="3" a="1"/>
  <c r="N564" i="3" s="1"/>
  <c r="N563" i="3" a="1"/>
  <c r="N563" i="3" s="1"/>
  <c r="N562" i="3" a="1"/>
  <c r="N562" i="3" s="1"/>
  <c r="N561" i="3" a="1"/>
  <c r="N561" i="3" s="1"/>
  <c r="N560" i="3" a="1"/>
  <c r="N560" i="3" s="1"/>
  <c r="N559" i="3" a="1"/>
  <c r="N559" i="3" s="1"/>
  <c r="N558" i="3" a="1"/>
  <c r="N558" i="3" s="1"/>
  <c r="N557" i="3" a="1"/>
  <c r="N557" i="3" s="1"/>
  <c r="N556" i="3" a="1"/>
  <c r="N556" i="3" s="1"/>
  <c r="N555" i="3" a="1"/>
  <c r="N555" i="3" s="1"/>
  <c r="N554" i="3" a="1"/>
  <c r="N554" i="3" s="1"/>
  <c r="N553" i="3" a="1"/>
  <c r="N553" i="3" s="1"/>
  <c r="N552" i="3" a="1"/>
  <c r="N552" i="3" s="1"/>
  <c r="N551" i="3" a="1"/>
  <c r="N551" i="3" s="1"/>
  <c r="N550" i="3" a="1"/>
  <c r="N550" i="3" s="1"/>
  <c r="N549" i="3" a="1"/>
  <c r="N549" i="3" s="1"/>
  <c r="N548" i="3" a="1"/>
  <c r="N548" i="3" s="1"/>
  <c r="N547" i="3" a="1"/>
  <c r="N547" i="3" s="1"/>
  <c r="N546" i="3" a="1"/>
  <c r="N546" i="3" s="1"/>
  <c r="N545" i="3" a="1"/>
  <c r="N545" i="3" s="1"/>
  <c r="N544" i="3" a="1"/>
  <c r="N544" i="3" s="1"/>
  <c r="N543" i="3" a="1"/>
  <c r="N543" i="3" s="1"/>
  <c r="N542" i="3" a="1"/>
  <c r="N542" i="3" s="1"/>
  <c r="N541" i="3" a="1"/>
  <c r="N541" i="3" s="1"/>
  <c r="N540" i="3" a="1"/>
  <c r="N540" i="3" s="1"/>
  <c r="N539" i="3" a="1"/>
  <c r="N539" i="3" s="1"/>
  <c r="N538" i="3" a="1"/>
  <c r="N538" i="3" s="1"/>
  <c r="N537" i="3" a="1"/>
  <c r="N537" i="3" s="1"/>
  <c r="N536" i="3" a="1"/>
  <c r="N536" i="3" s="1"/>
  <c r="N535" i="3" a="1"/>
  <c r="N535" i="3" s="1"/>
  <c r="N534" i="3" a="1"/>
  <c r="N534" i="3" s="1"/>
  <c r="N533" i="3" a="1"/>
  <c r="N533" i="3" s="1"/>
  <c r="N532" i="3" a="1"/>
  <c r="N532" i="3" s="1"/>
  <c r="N531" i="3" a="1"/>
  <c r="N531" i="3" s="1"/>
  <c r="N530" i="3" a="1"/>
  <c r="N530" i="3" s="1"/>
  <c r="N529" i="3" a="1"/>
  <c r="N529" i="3" s="1"/>
  <c r="N528" i="3" a="1"/>
  <c r="N528" i="3" s="1"/>
  <c r="N527" i="3" a="1"/>
  <c r="N527" i="3" s="1"/>
  <c r="N526" i="3" a="1"/>
  <c r="N526" i="3" s="1"/>
  <c r="N525" i="3" a="1"/>
  <c r="N525" i="3" s="1"/>
  <c r="N524" i="3" a="1"/>
  <c r="N524" i="3" s="1"/>
  <c r="N523" i="3" a="1"/>
  <c r="N523" i="3" s="1"/>
  <c r="N522" i="3" a="1"/>
  <c r="N522" i="3" s="1"/>
  <c r="N521" i="3" a="1"/>
  <c r="N521" i="3" s="1"/>
  <c r="N520" i="3" a="1"/>
  <c r="N520" i="3" s="1"/>
  <c r="N519" i="3" a="1"/>
  <c r="N519" i="3" s="1"/>
  <c r="N518" i="3" a="1"/>
  <c r="N518" i="3" s="1"/>
  <c r="N517" i="3" a="1"/>
  <c r="N517" i="3" s="1"/>
  <c r="N516" i="3" a="1"/>
  <c r="N516" i="3" s="1"/>
  <c r="N515" i="3" a="1"/>
  <c r="N515" i="3" s="1"/>
  <c r="N514" i="3" a="1"/>
  <c r="N514" i="3" s="1"/>
  <c r="N513" i="3" a="1"/>
  <c r="N513" i="3" s="1"/>
  <c r="N512" i="3" a="1"/>
  <c r="N512" i="3" s="1"/>
  <c r="N511" i="3" a="1"/>
  <c r="N511" i="3" s="1"/>
  <c r="N510" i="3" a="1"/>
  <c r="N510" i="3" s="1"/>
  <c r="N509" i="3" a="1"/>
  <c r="N509" i="3" s="1"/>
  <c r="N508" i="3" a="1"/>
  <c r="N508" i="3" s="1"/>
  <c r="N507" i="3" a="1"/>
  <c r="N507" i="3" s="1"/>
  <c r="N506" i="3" a="1"/>
  <c r="N506" i="3" s="1"/>
  <c r="N505" i="3" a="1"/>
  <c r="N505" i="3" s="1"/>
  <c r="N504" i="3" a="1"/>
  <c r="N504" i="3" s="1"/>
  <c r="N503" i="3" a="1"/>
  <c r="N503" i="3" s="1"/>
  <c r="M1000" i="3" a="1"/>
  <c r="M1000" i="3" s="1"/>
  <c r="M999" i="3" a="1"/>
  <c r="M999" i="3" s="1"/>
  <c r="M998" i="3" a="1"/>
  <c r="M998" i="3" s="1"/>
  <c r="M997" i="3" a="1"/>
  <c r="M997" i="3" s="1"/>
  <c r="M996" i="3" a="1"/>
  <c r="M996" i="3" s="1"/>
  <c r="M995" i="3" a="1"/>
  <c r="M995" i="3" s="1"/>
  <c r="M994" i="3" a="1"/>
  <c r="M994" i="3" s="1"/>
  <c r="M993" i="3" a="1"/>
  <c r="M993" i="3" s="1"/>
  <c r="M992" i="3" a="1"/>
  <c r="M992" i="3" s="1"/>
  <c r="M991" i="3" a="1"/>
  <c r="M991" i="3" s="1"/>
  <c r="M990" i="3" a="1"/>
  <c r="M990" i="3" s="1"/>
  <c r="M989" i="3" a="1"/>
  <c r="M989" i="3" s="1"/>
  <c r="M988" i="3" a="1"/>
  <c r="M988" i="3" s="1"/>
  <c r="M987" i="3" a="1"/>
  <c r="M987" i="3" s="1"/>
  <c r="M986" i="3" a="1"/>
  <c r="M986" i="3" s="1"/>
  <c r="M985" i="3" a="1"/>
  <c r="M985" i="3" s="1"/>
  <c r="M984" i="3" a="1"/>
  <c r="M984" i="3" s="1"/>
  <c r="M983" i="3" a="1"/>
  <c r="M983" i="3" s="1"/>
  <c r="M982" i="3" a="1"/>
  <c r="M982" i="3" s="1"/>
  <c r="M981" i="3" a="1"/>
  <c r="M981" i="3" s="1"/>
  <c r="M980" i="3" a="1"/>
  <c r="M980" i="3" s="1"/>
  <c r="M979" i="3" a="1"/>
  <c r="M979" i="3" s="1"/>
  <c r="M978" i="3" a="1"/>
  <c r="M978" i="3" s="1"/>
  <c r="M977" i="3" a="1"/>
  <c r="M977" i="3" s="1"/>
  <c r="M976" i="3" a="1"/>
  <c r="M976" i="3" s="1"/>
  <c r="M975" i="3" a="1"/>
  <c r="M975" i="3" s="1"/>
  <c r="M974" i="3" a="1"/>
  <c r="M974" i="3" s="1"/>
  <c r="M973" i="3" a="1"/>
  <c r="M973" i="3" s="1"/>
  <c r="M972" i="3" a="1"/>
  <c r="M972" i="3" s="1"/>
  <c r="M971" i="3" a="1"/>
  <c r="M971" i="3" s="1"/>
  <c r="M970" i="3" a="1"/>
  <c r="M970" i="3" s="1"/>
  <c r="M969" i="3" a="1"/>
  <c r="M969" i="3" s="1"/>
  <c r="M968" i="3" a="1"/>
  <c r="M968" i="3" s="1"/>
  <c r="M967" i="3" a="1"/>
  <c r="M967" i="3" s="1"/>
  <c r="M966" i="3" a="1"/>
  <c r="M966" i="3" s="1"/>
  <c r="M965" i="3" a="1"/>
  <c r="M965" i="3" s="1"/>
  <c r="M964" i="3" a="1"/>
  <c r="M964" i="3" s="1"/>
  <c r="M963" i="3" a="1"/>
  <c r="M963" i="3" s="1"/>
  <c r="M962" i="3" a="1"/>
  <c r="M962" i="3" s="1"/>
  <c r="M961" i="3" a="1"/>
  <c r="M961" i="3" s="1"/>
  <c r="M960" i="3" a="1"/>
  <c r="M960" i="3" s="1"/>
  <c r="M959" i="3" a="1"/>
  <c r="M959" i="3" s="1"/>
  <c r="M958" i="3" a="1"/>
  <c r="M958" i="3" s="1"/>
  <c r="M957" i="3" a="1"/>
  <c r="M957" i="3" s="1"/>
  <c r="M956" i="3" a="1"/>
  <c r="M956" i="3" s="1"/>
  <c r="M955" i="3" a="1"/>
  <c r="M955" i="3" s="1"/>
  <c r="M954" i="3" a="1"/>
  <c r="M954" i="3" s="1"/>
  <c r="M953" i="3" a="1"/>
  <c r="M953" i="3" s="1"/>
  <c r="M952" i="3" a="1"/>
  <c r="M952" i="3" s="1"/>
  <c r="M951" i="3" a="1"/>
  <c r="M951" i="3" s="1"/>
  <c r="M950" i="3" a="1"/>
  <c r="M950" i="3" s="1"/>
  <c r="M949" i="3" a="1"/>
  <c r="M949" i="3" s="1"/>
  <c r="M948" i="3" a="1"/>
  <c r="M948" i="3" s="1"/>
  <c r="M947" i="3" a="1"/>
  <c r="M947" i="3" s="1"/>
  <c r="M946" i="3" a="1"/>
  <c r="M946" i="3" s="1"/>
  <c r="M945" i="3" a="1"/>
  <c r="M945" i="3" s="1"/>
  <c r="M944" i="3" a="1"/>
  <c r="M944" i="3" s="1"/>
  <c r="M943" i="3" a="1"/>
  <c r="M943" i="3" s="1"/>
  <c r="M942" i="3" a="1"/>
  <c r="M942" i="3" s="1"/>
  <c r="M941" i="3" a="1"/>
  <c r="M941" i="3" s="1"/>
  <c r="M940" i="3" a="1"/>
  <c r="M940" i="3" s="1"/>
  <c r="M939" i="3" a="1"/>
  <c r="M939" i="3" s="1"/>
  <c r="M938" i="3" a="1"/>
  <c r="M938" i="3" s="1"/>
  <c r="M937" i="3" a="1"/>
  <c r="M937" i="3" s="1"/>
  <c r="M936" i="3" a="1"/>
  <c r="M936" i="3" s="1"/>
  <c r="M935" i="3" a="1"/>
  <c r="M935" i="3" s="1"/>
  <c r="M934" i="3" a="1"/>
  <c r="M934" i="3" s="1"/>
  <c r="M933" i="3" a="1"/>
  <c r="M933" i="3" s="1"/>
  <c r="M932" i="3" a="1"/>
  <c r="M932" i="3" s="1"/>
  <c r="M931" i="3" a="1"/>
  <c r="M931" i="3" s="1"/>
  <c r="M930" i="3" a="1"/>
  <c r="M930" i="3" s="1"/>
  <c r="M929" i="3" a="1"/>
  <c r="M929" i="3" s="1"/>
  <c r="M928" i="3" a="1"/>
  <c r="M928" i="3" s="1"/>
  <c r="M927" i="3" a="1"/>
  <c r="M927" i="3" s="1"/>
  <c r="M926" i="3" a="1"/>
  <c r="M926" i="3" s="1"/>
  <c r="M925" i="3" a="1"/>
  <c r="M925" i="3" s="1"/>
  <c r="M924" i="3" a="1"/>
  <c r="M924" i="3" s="1"/>
  <c r="M923" i="3" a="1"/>
  <c r="M923" i="3" s="1"/>
  <c r="M922" i="3" a="1"/>
  <c r="M922" i="3" s="1"/>
  <c r="M921" i="3" a="1"/>
  <c r="M921" i="3" s="1"/>
  <c r="M920" i="3" a="1"/>
  <c r="M920" i="3" s="1"/>
  <c r="M919" i="3" a="1"/>
  <c r="M919" i="3" s="1"/>
  <c r="M918" i="3" a="1"/>
  <c r="M918" i="3" s="1"/>
  <c r="M917" i="3" a="1"/>
  <c r="M917" i="3" s="1"/>
  <c r="M916" i="3" a="1"/>
  <c r="M916" i="3" s="1"/>
  <c r="M915" i="3" a="1"/>
  <c r="M915" i="3" s="1"/>
  <c r="M914" i="3" a="1"/>
  <c r="M914" i="3" s="1"/>
  <c r="M913" i="3" a="1"/>
  <c r="M913" i="3" s="1"/>
  <c r="M912" i="3" a="1"/>
  <c r="M912" i="3" s="1"/>
  <c r="M911" i="3" a="1"/>
  <c r="M911" i="3" s="1"/>
  <c r="M910" i="3" a="1"/>
  <c r="M910" i="3" s="1"/>
  <c r="M909" i="3" a="1"/>
  <c r="M909" i="3" s="1"/>
  <c r="M908" i="3" a="1"/>
  <c r="M908" i="3" s="1"/>
  <c r="M907" i="3" a="1"/>
  <c r="M907" i="3" s="1"/>
  <c r="M906" i="3" a="1"/>
  <c r="M906" i="3" s="1"/>
  <c r="M905" i="3" a="1"/>
  <c r="M905" i="3" s="1"/>
  <c r="M904" i="3" a="1"/>
  <c r="M904" i="3" s="1"/>
  <c r="M903" i="3" a="1"/>
  <c r="M903" i="3" s="1"/>
  <c r="M902" i="3" a="1"/>
  <c r="M902" i="3" s="1"/>
  <c r="M901" i="3" a="1"/>
  <c r="M901" i="3" s="1"/>
  <c r="M900" i="3" a="1"/>
  <c r="M900" i="3" s="1"/>
  <c r="M899" i="3" a="1"/>
  <c r="M899" i="3" s="1"/>
  <c r="M898" i="3" a="1"/>
  <c r="M898" i="3" s="1"/>
  <c r="M897" i="3" a="1"/>
  <c r="M897" i="3" s="1"/>
  <c r="M896" i="3" a="1"/>
  <c r="M896" i="3" s="1"/>
  <c r="M895" i="3" a="1"/>
  <c r="M895" i="3" s="1"/>
  <c r="M894" i="3" a="1"/>
  <c r="M894" i="3" s="1"/>
  <c r="M893" i="3" a="1"/>
  <c r="M893" i="3" s="1"/>
  <c r="M892" i="3" a="1"/>
  <c r="M892" i="3" s="1"/>
  <c r="M891" i="3" a="1"/>
  <c r="M891" i="3" s="1"/>
  <c r="M890" i="3" a="1"/>
  <c r="M890" i="3" s="1"/>
  <c r="M889" i="3" a="1"/>
  <c r="M889" i="3" s="1"/>
  <c r="M888" i="3" a="1"/>
  <c r="M888" i="3" s="1"/>
  <c r="M887" i="3" a="1"/>
  <c r="M887" i="3" s="1"/>
  <c r="M886" i="3" a="1"/>
  <c r="M886" i="3" s="1"/>
  <c r="M885" i="3" a="1"/>
  <c r="M885" i="3" s="1"/>
  <c r="M884" i="3" a="1"/>
  <c r="M884" i="3" s="1"/>
  <c r="M883" i="3" a="1"/>
  <c r="M883" i="3" s="1"/>
  <c r="M882" i="3" a="1"/>
  <c r="M882" i="3" s="1"/>
  <c r="M881" i="3" a="1"/>
  <c r="M881" i="3" s="1"/>
  <c r="M880" i="3" a="1"/>
  <c r="M880" i="3" s="1"/>
  <c r="M879" i="3" a="1"/>
  <c r="M879" i="3" s="1"/>
  <c r="M878" i="3" a="1"/>
  <c r="M878" i="3" s="1"/>
  <c r="M877" i="3" a="1"/>
  <c r="M877" i="3" s="1"/>
  <c r="M876" i="3" a="1"/>
  <c r="M876" i="3" s="1"/>
  <c r="M875" i="3" a="1"/>
  <c r="M875" i="3" s="1"/>
  <c r="M874" i="3" a="1"/>
  <c r="M874" i="3" s="1"/>
  <c r="M873" i="3" a="1"/>
  <c r="M873" i="3" s="1"/>
  <c r="M872" i="3" a="1"/>
  <c r="M872" i="3" s="1"/>
  <c r="M871" i="3" a="1"/>
  <c r="M871" i="3" s="1"/>
  <c r="M870" i="3" a="1"/>
  <c r="M870" i="3" s="1"/>
  <c r="M869" i="3" a="1"/>
  <c r="M869" i="3" s="1"/>
  <c r="M868" i="3" a="1"/>
  <c r="M868" i="3" s="1"/>
  <c r="M867" i="3" a="1"/>
  <c r="M867" i="3" s="1"/>
  <c r="M866" i="3" a="1"/>
  <c r="M866" i="3" s="1"/>
  <c r="M865" i="3" a="1"/>
  <c r="M865" i="3" s="1"/>
  <c r="M864" i="3" a="1"/>
  <c r="M864" i="3" s="1"/>
  <c r="M863" i="3" a="1"/>
  <c r="M863" i="3" s="1"/>
  <c r="M862" i="3" a="1"/>
  <c r="M862" i="3" s="1"/>
  <c r="M861" i="3" a="1"/>
  <c r="M861" i="3" s="1"/>
  <c r="M860" i="3" a="1"/>
  <c r="M860" i="3" s="1"/>
  <c r="M859" i="3" a="1"/>
  <c r="M859" i="3" s="1"/>
  <c r="M858" i="3" a="1"/>
  <c r="M858" i="3" s="1"/>
  <c r="M857" i="3" a="1"/>
  <c r="M857" i="3" s="1"/>
  <c r="M856" i="3" a="1"/>
  <c r="M856" i="3" s="1"/>
  <c r="M855" i="3" a="1"/>
  <c r="M855" i="3" s="1"/>
  <c r="M854" i="3" a="1"/>
  <c r="M854" i="3" s="1"/>
  <c r="M853" i="3" a="1"/>
  <c r="M853" i="3" s="1"/>
  <c r="M852" i="3" a="1"/>
  <c r="M852" i="3" s="1"/>
  <c r="M851" i="3" a="1"/>
  <c r="M851" i="3" s="1"/>
  <c r="M850" i="3" a="1"/>
  <c r="M850" i="3" s="1"/>
  <c r="M849" i="3" a="1"/>
  <c r="M849" i="3" s="1"/>
  <c r="M848" i="3" a="1"/>
  <c r="M848" i="3" s="1"/>
  <c r="M847" i="3" a="1"/>
  <c r="M847" i="3" s="1"/>
  <c r="M846" i="3" a="1"/>
  <c r="M846" i="3" s="1"/>
  <c r="M845" i="3" a="1"/>
  <c r="M845" i="3" s="1"/>
  <c r="M844" i="3" a="1"/>
  <c r="M844" i="3" s="1"/>
  <c r="M843" i="3" a="1"/>
  <c r="M843" i="3" s="1"/>
  <c r="M842" i="3" a="1"/>
  <c r="M842" i="3" s="1"/>
  <c r="M841" i="3" a="1"/>
  <c r="M841" i="3" s="1"/>
  <c r="M840" i="3" a="1"/>
  <c r="M840" i="3" s="1"/>
  <c r="M839" i="3" a="1"/>
  <c r="M839" i="3" s="1"/>
  <c r="M838" i="3" a="1"/>
  <c r="M838" i="3" s="1"/>
  <c r="M837" i="3" a="1"/>
  <c r="M837" i="3" s="1"/>
  <c r="M836" i="3" a="1"/>
  <c r="M836" i="3" s="1"/>
  <c r="M835" i="3" a="1"/>
  <c r="M835" i="3" s="1"/>
  <c r="M834" i="3" a="1"/>
  <c r="M834" i="3" s="1"/>
  <c r="M833" i="3" a="1"/>
  <c r="M833" i="3" s="1"/>
  <c r="M832" i="3" a="1"/>
  <c r="M832" i="3" s="1"/>
  <c r="M831" i="3" a="1"/>
  <c r="M831" i="3" s="1"/>
  <c r="M830" i="3" a="1"/>
  <c r="M830" i="3" s="1"/>
  <c r="M829" i="3" a="1"/>
  <c r="M829" i="3" s="1"/>
  <c r="M828" i="3" a="1"/>
  <c r="M828" i="3" s="1"/>
  <c r="M827" i="3" a="1"/>
  <c r="M827" i="3" s="1"/>
  <c r="M826" i="3" a="1"/>
  <c r="M826" i="3" s="1"/>
  <c r="M825" i="3" a="1"/>
  <c r="M825" i="3" s="1"/>
  <c r="M824" i="3" a="1"/>
  <c r="M824" i="3" s="1"/>
  <c r="M823" i="3" a="1"/>
  <c r="M823" i="3" s="1"/>
  <c r="M822" i="3" a="1"/>
  <c r="M822" i="3" s="1"/>
  <c r="M821" i="3" a="1"/>
  <c r="M821" i="3" s="1"/>
  <c r="M820" i="3" a="1"/>
  <c r="M820" i="3" s="1"/>
  <c r="M819" i="3" a="1"/>
  <c r="M819" i="3" s="1"/>
  <c r="M818" i="3" a="1"/>
  <c r="M818" i="3" s="1"/>
  <c r="M817" i="3" a="1"/>
  <c r="M817" i="3" s="1"/>
  <c r="M816" i="3" a="1"/>
  <c r="M816" i="3" s="1"/>
  <c r="M815" i="3" a="1"/>
  <c r="M815" i="3" s="1"/>
  <c r="M814" i="3" a="1"/>
  <c r="M814" i="3" s="1"/>
  <c r="M813" i="3" a="1"/>
  <c r="M813" i="3" s="1"/>
  <c r="M812" i="3" a="1"/>
  <c r="M812" i="3" s="1"/>
  <c r="M811" i="3" a="1"/>
  <c r="M811" i="3" s="1"/>
  <c r="M810" i="3" a="1"/>
  <c r="M810" i="3" s="1"/>
  <c r="M809" i="3" a="1"/>
  <c r="M809" i="3" s="1"/>
  <c r="M808" i="3" a="1"/>
  <c r="M808" i="3" s="1"/>
  <c r="M807" i="3" a="1"/>
  <c r="M807" i="3" s="1"/>
  <c r="M806" i="3" a="1"/>
  <c r="M806" i="3" s="1"/>
  <c r="M805" i="3" a="1"/>
  <c r="M805" i="3" s="1"/>
  <c r="M804" i="3" a="1"/>
  <c r="M804" i="3" s="1"/>
  <c r="M803" i="3" a="1"/>
  <c r="M803" i="3" s="1"/>
  <c r="M802" i="3" a="1"/>
  <c r="M802" i="3" s="1"/>
  <c r="M801" i="3" a="1"/>
  <c r="M801" i="3" s="1"/>
  <c r="M800" i="3" a="1"/>
  <c r="M800" i="3" s="1"/>
  <c r="M799" i="3" a="1"/>
  <c r="M799" i="3" s="1"/>
  <c r="M798" i="3" a="1"/>
  <c r="M798" i="3" s="1"/>
  <c r="M797" i="3" a="1"/>
  <c r="M797" i="3" s="1"/>
  <c r="M796" i="3" a="1"/>
  <c r="M796" i="3" s="1"/>
  <c r="M795" i="3" a="1"/>
  <c r="M795" i="3" s="1"/>
  <c r="M794" i="3" a="1"/>
  <c r="M794" i="3" s="1"/>
  <c r="M793" i="3" a="1"/>
  <c r="M793" i="3" s="1"/>
  <c r="M792" i="3" a="1"/>
  <c r="M792" i="3" s="1"/>
  <c r="M791" i="3" a="1"/>
  <c r="M791" i="3" s="1"/>
  <c r="M790" i="3" a="1"/>
  <c r="M790" i="3" s="1"/>
  <c r="M789" i="3" a="1"/>
  <c r="M789" i="3" s="1"/>
  <c r="M788" i="3" a="1"/>
  <c r="M788" i="3" s="1"/>
  <c r="M787" i="3" a="1"/>
  <c r="M787" i="3" s="1"/>
  <c r="M786" i="3" a="1"/>
  <c r="M786" i="3" s="1"/>
  <c r="M785" i="3" a="1"/>
  <c r="M785" i="3" s="1"/>
  <c r="M784" i="3" a="1"/>
  <c r="M784" i="3" s="1"/>
  <c r="M783" i="3" a="1"/>
  <c r="M783" i="3" s="1"/>
  <c r="M782" i="3" a="1"/>
  <c r="M782" i="3" s="1"/>
  <c r="M781" i="3" a="1"/>
  <c r="M781" i="3" s="1"/>
  <c r="M780" i="3" a="1"/>
  <c r="M780" i="3" s="1"/>
  <c r="M779" i="3" a="1"/>
  <c r="M779" i="3" s="1"/>
  <c r="M778" i="3" a="1"/>
  <c r="M778" i="3" s="1"/>
  <c r="M777" i="3" a="1"/>
  <c r="M777" i="3" s="1"/>
  <c r="M776" i="3" a="1"/>
  <c r="M776" i="3" s="1"/>
  <c r="M775" i="3" a="1"/>
  <c r="M775" i="3" s="1"/>
  <c r="M774" i="3" a="1"/>
  <c r="M774" i="3" s="1"/>
  <c r="M773" i="3" a="1"/>
  <c r="M773" i="3" s="1"/>
  <c r="M772" i="3" a="1"/>
  <c r="M772" i="3" s="1"/>
  <c r="M771" i="3" a="1"/>
  <c r="M771" i="3" s="1"/>
  <c r="M770" i="3" a="1"/>
  <c r="M770" i="3" s="1"/>
  <c r="M769" i="3" a="1"/>
  <c r="M769" i="3" s="1"/>
  <c r="M768" i="3" a="1"/>
  <c r="M768" i="3" s="1"/>
  <c r="M767" i="3" a="1"/>
  <c r="M767" i="3" s="1"/>
  <c r="M766" i="3" a="1"/>
  <c r="M766" i="3" s="1"/>
  <c r="M765" i="3" a="1"/>
  <c r="M765" i="3" s="1"/>
  <c r="M764" i="3" a="1"/>
  <c r="M764" i="3" s="1"/>
  <c r="M763" i="3" a="1"/>
  <c r="M763" i="3" s="1"/>
  <c r="M762" i="3" a="1"/>
  <c r="M762" i="3" s="1"/>
  <c r="M761" i="3" a="1"/>
  <c r="M761" i="3" s="1"/>
  <c r="M760" i="3" a="1"/>
  <c r="M760" i="3" s="1"/>
  <c r="M759" i="3" a="1"/>
  <c r="M759" i="3" s="1"/>
  <c r="M758" i="3" a="1"/>
  <c r="M758" i="3" s="1"/>
  <c r="M757" i="3" a="1"/>
  <c r="M757" i="3" s="1"/>
  <c r="M756" i="3" a="1"/>
  <c r="M756" i="3" s="1"/>
  <c r="M755" i="3" a="1"/>
  <c r="M755" i="3" s="1"/>
  <c r="M754" i="3" a="1"/>
  <c r="M754" i="3" s="1"/>
  <c r="M753" i="3" a="1"/>
  <c r="M753" i="3" s="1"/>
  <c r="M752" i="3" a="1"/>
  <c r="M752" i="3" s="1"/>
  <c r="M751" i="3" a="1"/>
  <c r="M751" i="3" s="1"/>
  <c r="M750" i="3" a="1"/>
  <c r="M750" i="3" s="1"/>
  <c r="M749" i="3" a="1"/>
  <c r="M749" i="3" s="1"/>
  <c r="M748" i="3" a="1"/>
  <c r="M748" i="3" s="1"/>
  <c r="M747" i="3" a="1"/>
  <c r="M747" i="3" s="1"/>
  <c r="M746" i="3" a="1"/>
  <c r="M746" i="3" s="1"/>
  <c r="M745" i="3" a="1"/>
  <c r="M745" i="3" s="1"/>
  <c r="M744" i="3" a="1"/>
  <c r="M744" i="3" s="1"/>
  <c r="M743" i="3" a="1"/>
  <c r="M743" i="3" s="1"/>
  <c r="M742" i="3" a="1"/>
  <c r="M742" i="3" s="1"/>
  <c r="M741" i="3" a="1"/>
  <c r="M741" i="3" s="1"/>
  <c r="M740" i="3" a="1"/>
  <c r="M740" i="3" s="1"/>
  <c r="M739" i="3" a="1"/>
  <c r="M739" i="3" s="1"/>
  <c r="M738" i="3" a="1"/>
  <c r="M738" i="3" s="1"/>
  <c r="M737" i="3" a="1"/>
  <c r="M737" i="3" s="1"/>
  <c r="M736" i="3" a="1"/>
  <c r="M736" i="3" s="1"/>
  <c r="M735" i="3" a="1"/>
  <c r="M735" i="3" s="1"/>
  <c r="M734" i="3" a="1"/>
  <c r="M734" i="3" s="1"/>
  <c r="M733" i="3" a="1"/>
  <c r="M733" i="3" s="1"/>
  <c r="M732" i="3" a="1"/>
  <c r="M732" i="3" s="1"/>
  <c r="M731" i="3" a="1"/>
  <c r="M731" i="3" s="1"/>
  <c r="M730" i="3" a="1"/>
  <c r="M730" i="3" s="1"/>
  <c r="M729" i="3" a="1"/>
  <c r="M729" i="3" s="1"/>
  <c r="M728" i="3" a="1"/>
  <c r="M728" i="3" s="1"/>
  <c r="M727" i="3" a="1"/>
  <c r="M727" i="3" s="1"/>
  <c r="M726" i="3" a="1"/>
  <c r="M726" i="3" s="1"/>
  <c r="M725" i="3" a="1"/>
  <c r="M725" i="3" s="1"/>
  <c r="M724" i="3" a="1"/>
  <c r="M724" i="3" s="1"/>
  <c r="M723" i="3" a="1"/>
  <c r="M723" i="3" s="1"/>
  <c r="M722" i="3" a="1"/>
  <c r="M722" i="3" s="1"/>
  <c r="M721" i="3" a="1"/>
  <c r="M721" i="3" s="1"/>
  <c r="M720" i="3" a="1"/>
  <c r="M720" i="3" s="1"/>
  <c r="M719" i="3" a="1"/>
  <c r="M719" i="3" s="1"/>
  <c r="M718" i="3" a="1"/>
  <c r="M718" i="3" s="1"/>
  <c r="M717" i="3" a="1"/>
  <c r="M717" i="3" s="1"/>
  <c r="M716" i="3" a="1"/>
  <c r="M716" i="3" s="1"/>
  <c r="M715" i="3" a="1"/>
  <c r="M715" i="3" s="1"/>
  <c r="M714" i="3" a="1"/>
  <c r="M714" i="3" s="1"/>
  <c r="M713" i="3" a="1"/>
  <c r="M713" i="3" s="1"/>
  <c r="M712" i="3" a="1"/>
  <c r="M712" i="3" s="1"/>
  <c r="M711" i="3" a="1"/>
  <c r="M711" i="3" s="1"/>
  <c r="M710" i="3" a="1"/>
  <c r="M710" i="3" s="1"/>
  <c r="M709" i="3" a="1"/>
  <c r="M709" i="3" s="1"/>
  <c r="M708" i="3" a="1"/>
  <c r="M708" i="3" s="1"/>
  <c r="M707" i="3" a="1"/>
  <c r="M707" i="3" s="1"/>
  <c r="M706" i="3" a="1"/>
  <c r="M706" i="3" s="1"/>
  <c r="M705" i="3" a="1"/>
  <c r="M705" i="3" s="1"/>
  <c r="M704" i="3" a="1"/>
  <c r="M704" i="3" s="1"/>
  <c r="M703" i="3" a="1"/>
  <c r="M703" i="3" s="1"/>
  <c r="M702" i="3" a="1"/>
  <c r="M702" i="3" s="1"/>
  <c r="M701" i="3" a="1"/>
  <c r="M701" i="3" s="1"/>
  <c r="M700" i="3" a="1"/>
  <c r="M700" i="3" s="1"/>
  <c r="M699" i="3" a="1"/>
  <c r="M699" i="3" s="1"/>
  <c r="M698" i="3" a="1"/>
  <c r="M698" i="3" s="1"/>
  <c r="M697" i="3" a="1"/>
  <c r="M697" i="3" s="1"/>
  <c r="M696" i="3" a="1"/>
  <c r="M696" i="3" s="1"/>
  <c r="M695" i="3" a="1"/>
  <c r="M695" i="3" s="1"/>
  <c r="M694" i="3" a="1"/>
  <c r="M694" i="3" s="1"/>
  <c r="M693" i="3" a="1"/>
  <c r="M693" i="3" s="1"/>
  <c r="M692" i="3" a="1"/>
  <c r="M692" i="3" s="1"/>
  <c r="M691" i="3" a="1"/>
  <c r="M691" i="3" s="1"/>
  <c r="M690" i="3" a="1"/>
  <c r="M690" i="3" s="1"/>
  <c r="M689" i="3" a="1"/>
  <c r="M689" i="3" s="1"/>
  <c r="M688" i="3" a="1"/>
  <c r="M688" i="3" s="1"/>
  <c r="M687" i="3" a="1"/>
  <c r="M687" i="3" s="1"/>
  <c r="M686" i="3" a="1"/>
  <c r="M686" i="3" s="1"/>
  <c r="M685" i="3" a="1"/>
  <c r="M685" i="3" s="1"/>
  <c r="M684" i="3" a="1"/>
  <c r="M684" i="3" s="1"/>
  <c r="M683" i="3" a="1"/>
  <c r="M683" i="3" s="1"/>
  <c r="M682" i="3" a="1"/>
  <c r="M682" i="3" s="1"/>
  <c r="M681" i="3" a="1"/>
  <c r="M681" i="3" s="1"/>
  <c r="M680" i="3" a="1"/>
  <c r="M680" i="3" s="1"/>
  <c r="M679" i="3" a="1"/>
  <c r="M679" i="3" s="1"/>
  <c r="M678" i="3" a="1"/>
  <c r="M678" i="3" s="1"/>
  <c r="M677" i="3" a="1"/>
  <c r="M677" i="3" s="1"/>
  <c r="M676" i="3" a="1"/>
  <c r="M676" i="3" s="1"/>
  <c r="M675" i="3" a="1"/>
  <c r="M675" i="3" s="1"/>
  <c r="M674" i="3" a="1"/>
  <c r="M674" i="3" s="1"/>
  <c r="M673" i="3" a="1"/>
  <c r="M673" i="3" s="1"/>
  <c r="M672" i="3" a="1"/>
  <c r="M672" i="3" s="1"/>
  <c r="M671" i="3" a="1"/>
  <c r="M671" i="3" s="1"/>
  <c r="M670" i="3" a="1"/>
  <c r="M670" i="3" s="1"/>
  <c r="M669" i="3" a="1"/>
  <c r="M669" i="3" s="1"/>
  <c r="M668" i="3" a="1"/>
  <c r="M668" i="3" s="1"/>
  <c r="M667" i="3" a="1"/>
  <c r="M667" i="3" s="1"/>
  <c r="M666" i="3" a="1"/>
  <c r="M666" i="3" s="1"/>
  <c r="M665" i="3" a="1"/>
  <c r="M665" i="3" s="1"/>
  <c r="M664" i="3" a="1"/>
  <c r="M664" i="3" s="1"/>
  <c r="M663" i="3" a="1"/>
  <c r="M663" i="3" s="1"/>
  <c r="M662" i="3" a="1"/>
  <c r="M662" i="3" s="1"/>
  <c r="M661" i="3" a="1"/>
  <c r="M661" i="3" s="1"/>
  <c r="M660" i="3" a="1"/>
  <c r="M660" i="3" s="1"/>
  <c r="M659" i="3" a="1"/>
  <c r="M659" i="3" s="1"/>
  <c r="M658" i="3" a="1"/>
  <c r="M658" i="3" s="1"/>
  <c r="M657" i="3" a="1"/>
  <c r="M657" i="3" s="1"/>
  <c r="M656" i="3" a="1"/>
  <c r="M656" i="3" s="1"/>
  <c r="M655" i="3" a="1"/>
  <c r="M655" i="3" s="1"/>
  <c r="M654" i="3" a="1"/>
  <c r="M654" i="3" s="1"/>
  <c r="M653" i="3" a="1"/>
  <c r="M653" i="3" s="1"/>
  <c r="M652" i="3" a="1"/>
  <c r="M652" i="3" s="1"/>
  <c r="M651" i="3" a="1"/>
  <c r="M651" i="3" s="1"/>
  <c r="M650" i="3" a="1"/>
  <c r="M650" i="3" s="1"/>
  <c r="M649" i="3" a="1"/>
  <c r="M649" i="3" s="1"/>
  <c r="M648" i="3" a="1"/>
  <c r="M648" i="3" s="1"/>
  <c r="M647" i="3" a="1"/>
  <c r="M647" i="3" s="1"/>
  <c r="M646" i="3" a="1"/>
  <c r="M646" i="3" s="1"/>
  <c r="M645" i="3" a="1"/>
  <c r="M645" i="3" s="1"/>
  <c r="M644" i="3" a="1"/>
  <c r="M644" i="3" s="1"/>
  <c r="M643" i="3" a="1"/>
  <c r="M643" i="3" s="1"/>
  <c r="M642" i="3" a="1"/>
  <c r="M642" i="3" s="1"/>
  <c r="M641" i="3" a="1"/>
  <c r="M641" i="3" s="1"/>
  <c r="M640" i="3" a="1"/>
  <c r="M640" i="3" s="1"/>
  <c r="M639" i="3" a="1"/>
  <c r="M639" i="3" s="1"/>
  <c r="M638" i="3" a="1"/>
  <c r="M638" i="3" s="1"/>
  <c r="M637" i="3" a="1"/>
  <c r="M637" i="3" s="1"/>
  <c r="M636" i="3" a="1"/>
  <c r="M636" i="3" s="1"/>
  <c r="M635" i="3" a="1"/>
  <c r="M635" i="3" s="1"/>
  <c r="M634" i="3" a="1"/>
  <c r="M634" i="3" s="1"/>
  <c r="M633" i="3" a="1"/>
  <c r="M633" i="3" s="1"/>
  <c r="M632" i="3" a="1"/>
  <c r="M632" i="3" s="1"/>
  <c r="M631" i="3" a="1"/>
  <c r="M631" i="3" s="1"/>
  <c r="M630" i="3" a="1"/>
  <c r="M630" i="3" s="1"/>
  <c r="M629" i="3" a="1"/>
  <c r="M629" i="3" s="1"/>
  <c r="M628" i="3" a="1"/>
  <c r="M628" i="3" s="1"/>
  <c r="M627" i="3" a="1"/>
  <c r="M627" i="3" s="1"/>
  <c r="M626" i="3" a="1"/>
  <c r="M626" i="3" s="1"/>
  <c r="M625" i="3" a="1"/>
  <c r="M625" i="3" s="1"/>
  <c r="M624" i="3" a="1"/>
  <c r="M624" i="3" s="1"/>
  <c r="M623" i="3" a="1"/>
  <c r="M623" i="3" s="1"/>
  <c r="M622" i="3" a="1"/>
  <c r="M622" i="3" s="1"/>
  <c r="M621" i="3" a="1"/>
  <c r="M621" i="3" s="1"/>
  <c r="M620" i="3" a="1"/>
  <c r="M620" i="3" s="1"/>
  <c r="M619" i="3" a="1"/>
  <c r="M619" i="3" s="1"/>
  <c r="M618" i="3" a="1"/>
  <c r="M618" i="3" s="1"/>
  <c r="M617" i="3" a="1"/>
  <c r="M617" i="3" s="1"/>
  <c r="M616" i="3" a="1"/>
  <c r="M616" i="3" s="1"/>
  <c r="M615" i="3" a="1"/>
  <c r="M615" i="3" s="1"/>
  <c r="M614" i="3" a="1"/>
  <c r="M614" i="3" s="1"/>
  <c r="M613" i="3" a="1"/>
  <c r="M613" i="3" s="1"/>
  <c r="M612" i="3" a="1"/>
  <c r="M612" i="3" s="1"/>
  <c r="M611" i="3" a="1"/>
  <c r="M611" i="3" s="1"/>
  <c r="M610" i="3" a="1"/>
  <c r="M610" i="3" s="1"/>
  <c r="M609" i="3" a="1"/>
  <c r="M609" i="3" s="1"/>
  <c r="M608" i="3" a="1"/>
  <c r="M608" i="3" s="1"/>
  <c r="M607" i="3" a="1"/>
  <c r="M607" i="3" s="1"/>
  <c r="M606" i="3" a="1"/>
  <c r="M606" i="3" s="1"/>
  <c r="M605" i="3" a="1"/>
  <c r="M605" i="3" s="1"/>
  <c r="M604" i="3" a="1"/>
  <c r="M604" i="3" s="1"/>
  <c r="M603" i="3" a="1"/>
  <c r="M603" i="3" s="1"/>
  <c r="M602" i="3" a="1"/>
  <c r="M602" i="3" s="1"/>
  <c r="M601" i="3" a="1"/>
  <c r="M601" i="3" s="1"/>
  <c r="M600" i="3" a="1"/>
  <c r="M600" i="3" s="1"/>
  <c r="M599" i="3" a="1"/>
  <c r="M599" i="3" s="1"/>
  <c r="M598" i="3" a="1"/>
  <c r="M598" i="3" s="1"/>
  <c r="M597" i="3" a="1"/>
  <c r="M597" i="3" s="1"/>
  <c r="M596" i="3" a="1"/>
  <c r="M596" i="3" s="1"/>
  <c r="M595" i="3" a="1"/>
  <c r="M595" i="3" s="1"/>
  <c r="M594" i="3" a="1"/>
  <c r="M594" i="3" s="1"/>
  <c r="M593" i="3" a="1"/>
  <c r="M593" i="3" s="1"/>
  <c r="M592" i="3" a="1"/>
  <c r="M592" i="3" s="1"/>
  <c r="M591" i="3" a="1"/>
  <c r="M591" i="3" s="1"/>
  <c r="M590" i="3" a="1"/>
  <c r="M590" i="3" s="1"/>
  <c r="M589" i="3" a="1"/>
  <c r="M589" i="3" s="1"/>
  <c r="M588" i="3" a="1"/>
  <c r="M588" i="3" s="1"/>
  <c r="M587" i="3" a="1"/>
  <c r="M587" i="3" s="1"/>
  <c r="M586" i="3" a="1"/>
  <c r="M586" i="3" s="1"/>
  <c r="M585" i="3" a="1"/>
  <c r="M585" i="3" s="1"/>
  <c r="M584" i="3" a="1"/>
  <c r="M584" i="3" s="1"/>
  <c r="M583" i="3" a="1"/>
  <c r="M583" i="3" s="1"/>
  <c r="M582" i="3" a="1"/>
  <c r="M582" i="3" s="1"/>
  <c r="M581" i="3" a="1"/>
  <c r="M581" i="3" s="1"/>
  <c r="M580" i="3" a="1"/>
  <c r="M580" i="3" s="1"/>
  <c r="M579" i="3" a="1"/>
  <c r="M579" i="3" s="1"/>
  <c r="M578" i="3" a="1"/>
  <c r="M578" i="3" s="1"/>
  <c r="M577" i="3" a="1"/>
  <c r="M577" i="3" s="1"/>
  <c r="M576" i="3" a="1"/>
  <c r="M576" i="3" s="1"/>
  <c r="M575" i="3" a="1"/>
  <c r="M575" i="3" s="1"/>
  <c r="M574" i="3" a="1"/>
  <c r="M574" i="3" s="1"/>
  <c r="M573" i="3" a="1"/>
  <c r="M573" i="3" s="1"/>
  <c r="M572" i="3" a="1"/>
  <c r="M572" i="3" s="1"/>
  <c r="M571" i="3" a="1"/>
  <c r="M571" i="3" s="1"/>
  <c r="M570" i="3" a="1"/>
  <c r="M570" i="3" s="1"/>
  <c r="M569" i="3" a="1"/>
  <c r="M569" i="3" s="1"/>
  <c r="M568" i="3" a="1"/>
  <c r="M568" i="3" s="1"/>
  <c r="M567" i="3" a="1"/>
  <c r="M567" i="3" s="1"/>
  <c r="M566" i="3" a="1"/>
  <c r="M566" i="3" s="1"/>
  <c r="M565" i="3" a="1"/>
  <c r="M565" i="3" s="1"/>
  <c r="M564" i="3" a="1"/>
  <c r="M564" i="3" s="1"/>
  <c r="M563" i="3" a="1"/>
  <c r="M563" i="3" s="1"/>
  <c r="M562" i="3" a="1"/>
  <c r="M562" i="3" s="1"/>
  <c r="M561" i="3" a="1"/>
  <c r="M561" i="3" s="1"/>
  <c r="M560" i="3" a="1"/>
  <c r="M560" i="3" s="1"/>
  <c r="M559" i="3" a="1"/>
  <c r="M559" i="3" s="1"/>
  <c r="M558" i="3" a="1"/>
  <c r="M558" i="3" s="1"/>
  <c r="M557" i="3" a="1"/>
  <c r="M557" i="3" s="1"/>
  <c r="M556" i="3" a="1"/>
  <c r="M556" i="3" s="1"/>
  <c r="M555" i="3" a="1"/>
  <c r="M555" i="3" s="1"/>
  <c r="M554" i="3" a="1"/>
  <c r="M554" i="3" s="1"/>
  <c r="M553" i="3" a="1"/>
  <c r="M553" i="3" s="1"/>
  <c r="M552" i="3" a="1"/>
  <c r="M552" i="3" s="1"/>
  <c r="M551" i="3" a="1"/>
  <c r="M551" i="3" s="1"/>
  <c r="M550" i="3" a="1"/>
  <c r="M550" i="3" s="1"/>
  <c r="M549" i="3" a="1"/>
  <c r="M549" i="3" s="1"/>
  <c r="M548" i="3" a="1"/>
  <c r="M548" i="3" s="1"/>
  <c r="M547" i="3" a="1"/>
  <c r="M547" i="3" s="1"/>
  <c r="M546" i="3" a="1"/>
  <c r="M546" i="3" s="1"/>
  <c r="M545" i="3" a="1"/>
  <c r="M545" i="3" s="1"/>
  <c r="M544" i="3" a="1"/>
  <c r="M544" i="3" s="1"/>
  <c r="M543" i="3" a="1"/>
  <c r="M543" i="3" s="1"/>
  <c r="M542" i="3" a="1"/>
  <c r="M542" i="3" s="1"/>
  <c r="M541" i="3" a="1"/>
  <c r="M541" i="3" s="1"/>
  <c r="M540" i="3" a="1"/>
  <c r="M540" i="3" s="1"/>
  <c r="M539" i="3" a="1"/>
  <c r="M539" i="3" s="1"/>
  <c r="M538" i="3" a="1"/>
  <c r="M538" i="3" s="1"/>
  <c r="M537" i="3" a="1"/>
  <c r="M537" i="3" s="1"/>
  <c r="M536" i="3" a="1"/>
  <c r="M536" i="3" s="1"/>
  <c r="M535" i="3" a="1"/>
  <c r="M535" i="3" s="1"/>
  <c r="M534" i="3" a="1"/>
  <c r="M534" i="3" s="1"/>
  <c r="M533" i="3" a="1"/>
  <c r="M533" i="3" s="1"/>
  <c r="M532" i="3" a="1"/>
  <c r="M532" i="3" s="1"/>
  <c r="M531" i="3" a="1"/>
  <c r="M531" i="3" s="1"/>
  <c r="M530" i="3" a="1"/>
  <c r="M530" i="3" s="1"/>
  <c r="M529" i="3" a="1"/>
  <c r="M529" i="3" s="1"/>
  <c r="M528" i="3" a="1"/>
  <c r="M528" i="3" s="1"/>
  <c r="M527" i="3" a="1"/>
  <c r="M527" i="3" s="1"/>
  <c r="M526" i="3" a="1"/>
  <c r="M526" i="3" s="1"/>
  <c r="M525" i="3" a="1"/>
  <c r="M525" i="3" s="1"/>
  <c r="M524" i="3" a="1"/>
  <c r="M524" i="3" s="1"/>
  <c r="M523" i="3" a="1"/>
  <c r="M523" i="3" s="1"/>
  <c r="M522" i="3" a="1"/>
  <c r="M522" i="3" s="1"/>
  <c r="M521" i="3" a="1"/>
  <c r="M521" i="3" s="1"/>
  <c r="M520" i="3" a="1"/>
  <c r="M520" i="3" s="1"/>
  <c r="M519" i="3" a="1"/>
  <c r="M519" i="3" s="1"/>
  <c r="M518" i="3" a="1"/>
  <c r="M518" i="3" s="1"/>
  <c r="M517" i="3" a="1"/>
  <c r="M517" i="3" s="1"/>
  <c r="M516" i="3" a="1"/>
  <c r="M516" i="3" s="1"/>
  <c r="M515" i="3" a="1"/>
  <c r="M515" i="3" s="1"/>
  <c r="M514" i="3" a="1"/>
  <c r="M514" i="3" s="1"/>
  <c r="M513" i="3" a="1"/>
  <c r="M513" i="3" s="1"/>
  <c r="M512" i="3" a="1"/>
  <c r="M512" i="3" s="1"/>
  <c r="M511" i="3" a="1"/>
  <c r="M511" i="3" s="1"/>
  <c r="M510" i="3" a="1"/>
  <c r="M510" i="3" s="1"/>
  <c r="M509" i="3" a="1"/>
  <c r="M509" i="3" s="1"/>
  <c r="M508" i="3" a="1"/>
  <c r="M508" i="3" s="1"/>
  <c r="M507" i="3" a="1"/>
  <c r="M507" i="3" s="1"/>
  <c r="M506" i="3" a="1"/>
  <c r="M506" i="3" s="1"/>
  <c r="M505" i="3" a="1"/>
  <c r="M505" i="3" s="1"/>
  <c r="M504" i="3" a="1"/>
  <c r="M504" i="3" s="1"/>
  <c r="M503" i="3" a="1"/>
  <c r="M503" i="3" s="1"/>
  <c r="L1000" i="3" a="1"/>
  <c r="L1000" i="3" s="1"/>
  <c r="L999" i="3" a="1"/>
  <c r="L999" i="3" s="1"/>
  <c r="L998" i="3" a="1"/>
  <c r="L998" i="3" s="1"/>
  <c r="L997" i="3" a="1"/>
  <c r="L997" i="3" s="1"/>
  <c r="L996" i="3" a="1"/>
  <c r="L996" i="3" s="1"/>
  <c r="L995" i="3" a="1"/>
  <c r="L995" i="3" s="1"/>
  <c r="L994" i="3" a="1"/>
  <c r="L994" i="3" s="1"/>
  <c r="L993" i="3" a="1"/>
  <c r="L993" i="3" s="1"/>
  <c r="L992" i="3" a="1"/>
  <c r="L992" i="3" s="1"/>
  <c r="L991" i="3" a="1"/>
  <c r="L991" i="3" s="1"/>
  <c r="L990" i="3" a="1"/>
  <c r="L990" i="3" s="1"/>
  <c r="L989" i="3" a="1"/>
  <c r="L989" i="3" s="1"/>
  <c r="L988" i="3" a="1"/>
  <c r="L988" i="3" s="1"/>
  <c r="L987" i="3" a="1"/>
  <c r="L987" i="3" s="1"/>
  <c r="L986" i="3" a="1"/>
  <c r="L986" i="3" s="1"/>
  <c r="L985" i="3" a="1"/>
  <c r="L985" i="3" s="1"/>
  <c r="L984" i="3" a="1"/>
  <c r="L984" i="3" s="1"/>
  <c r="L983" i="3" a="1"/>
  <c r="L983" i="3" s="1"/>
  <c r="L982" i="3" a="1"/>
  <c r="L982" i="3" s="1"/>
  <c r="L981" i="3" a="1"/>
  <c r="L981" i="3" s="1"/>
  <c r="L980" i="3" a="1"/>
  <c r="L980" i="3" s="1"/>
  <c r="L979" i="3" a="1"/>
  <c r="L979" i="3" s="1"/>
  <c r="L978" i="3" a="1"/>
  <c r="L978" i="3" s="1"/>
  <c r="L977" i="3" a="1"/>
  <c r="L977" i="3" s="1"/>
  <c r="L976" i="3" a="1"/>
  <c r="L976" i="3" s="1"/>
  <c r="L975" i="3" a="1"/>
  <c r="L975" i="3" s="1"/>
  <c r="L974" i="3" a="1"/>
  <c r="L974" i="3" s="1"/>
  <c r="L973" i="3" a="1"/>
  <c r="L973" i="3" s="1"/>
  <c r="L972" i="3" a="1"/>
  <c r="L972" i="3" s="1"/>
  <c r="L971" i="3" a="1"/>
  <c r="L971" i="3" s="1"/>
  <c r="L970" i="3" a="1"/>
  <c r="L970" i="3" s="1"/>
  <c r="L969" i="3" a="1"/>
  <c r="L969" i="3" s="1"/>
  <c r="L968" i="3" a="1"/>
  <c r="L968" i="3" s="1"/>
  <c r="L967" i="3" a="1"/>
  <c r="L967" i="3" s="1"/>
  <c r="L966" i="3" a="1"/>
  <c r="L966" i="3" s="1"/>
  <c r="L965" i="3" a="1"/>
  <c r="L965" i="3" s="1"/>
  <c r="L964" i="3" a="1"/>
  <c r="L964" i="3" s="1"/>
  <c r="L963" i="3" a="1"/>
  <c r="L963" i="3" s="1"/>
  <c r="L962" i="3" a="1"/>
  <c r="L962" i="3" s="1"/>
  <c r="L961" i="3" a="1"/>
  <c r="L961" i="3" s="1"/>
  <c r="L960" i="3" a="1"/>
  <c r="L960" i="3" s="1"/>
  <c r="L959" i="3" a="1"/>
  <c r="L959" i="3" s="1"/>
  <c r="L958" i="3" a="1"/>
  <c r="L958" i="3" s="1"/>
  <c r="L957" i="3" a="1"/>
  <c r="L957" i="3" s="1"/>
  <c r="L956" i="3" a="1"/>
  <c r="L956" i="3" s="1"/>
  <c r="L955" i="3" a="1"/>
  <c r="L955" i="3" s="1"/>
  <c r="L954" i="3" a="1"/>
  <c r="L954" i="3" s="1"/>
  <c r="L953" i="3" a="1"/>
  <c r="L953" i="3" s="1"/>
  <c r="L952" i="3" a="1"/>
  <c r="L952" i="3" s="1"/>
  <c r="L951" i="3" a="1"/>
  <c r="L951" i="3" s="1"/>
  <c r="L950" i="3" a="1"/>
  <c r="L950" i="3" s="1"/>
  <c r="L949" i="3" a="1"/>
  <c r="L949" i="3" s="1"/>
  <c r="L948" i="3" a="1"/>
  <c r="L948" i="3" s="1"/>
  <c r="L947" i="3" a="1"/>
  <c r="L947" i="3" s="1"/>
  <c r="L946" i="3" a="1"/>
  <c r="L946" i="3" s="1"/>
  <c r="L945" i="3" a="1"/>
  <c r="L945" i="3" s="1"/>
  <c r="L944" i="3" a="1"/>
  <c r="L944" i="3" s="1"/>
  <c r="L943" i="3" a="1"/>
  <c r="L943" i="3" s="1"/>
  <c r="L942" i="3" a="1"/>
  <c r="L942" i="3" s="1"/>
  <c r="L941" i="3" a="1"/>
  <c r="L941" i="3" s="1"/>
  <c r="L940" i="3" a="1"/>
  <c r="L940" i="3" s="1"/>
  <c r="L939" i="3" a="1"/>
  <c r="L939" i="3" s="1"/>
  <c r="L938" i="3" a="1"/>
  <c r="L938" i="3" s="1"/>
  <c r="L937" i="3" a="1"/>
  <c r="L937" i="3" s="1"/>
  <c r="L936" i="3" a="1"/>
  <c r="L936" i="3" s="1"/>
  <c r="L935" i="3" a="1"/>
  <c r="L935" i="3" s="1"/>
  <c r="L934" i="3" a="1"/>
  <c r="L934" i="3" s="1"/>
  <c r="L933" i="3" a="1"/>
  <c r="L933" i="3" s="1"/>
  <c r="L932" i="3" a="1"/>
  <c r="L932" i="3" s="1"/>
  <c r="L931" i="3" a="1"/>
  <c r="L931" i="3" s="1"/>
  <c r="L930" i="3" a="1"/>
  <c r="L930" i="3" s="1"/>
  <c r="L929" i="3" a="1"/>
  <c r="L929" i="3" s="1"/>
  <c r="L928" i="3" a="1"/>
  <c r="L928" i="3" s="1"/>
  <c r="L927" i="3" a="1"/>
  <c r="L927" i="3" s="1"/>
  <c r="L926" i="3" a="1"/>
  <c r="L926" i="3" s="1"/>
  <c r="L925" i="3" a="1"/>
  <c r="L925" i="3" s="1"/>
  <c r="L924" i="3" a="1"/>
  <c r="L924" i="3" s="1"/>
  <c r="L923" i="3" a="1"/>
  <c r="L923" i="3" s="1"/>
  <c r="L922" i="3" a="1"/>
  <c r="L922" i="3" s="1"/>
  <c r="L921" i="3" a="1"/>
  <c r="L921" i="3" s="1"/>
  <c r="L920" i="3" a="1"/>
  <c r="L920" i="3" s="1"/>
  <c r="L919" i="3" a="1"/>
  <c r="L919" i="3" s="1"/>
  <c r="L918" i="3" a="1"/>
  <c r="L918" i="3" s="1"/>
  <c r="L917" i="3" a="1"/>
  <c r="L917" i="3" s="1"/>
  <c r="L916" i="3" a="1"/>
  <c r="L916" i="3" s="1"/>
  <c r="L915" i="3" a="1"/>
  <c r="L915" i="3" s="1"/>
  <c r="L914" i="3" a="1"/>
  <c r="L914" i="3" s="1"/>
  <c r="L913" i="3" a="1"/>
  <c r="L913" i="3" s="1"/>
  <c r="L912" i="3" a="1"/>
  <c r="L912" i="3" s="1"/>
  <c r="L911" i="3" a="1"/>
  <c r="L911" i="3" s="1"/>
  <c r="L910" i="3" a="1"/>
  <c r="L910" i="3" s="1"/>
  <c r="L909" i="3" a="1"/>
  <c r="L909" i="3" s="1"/>
  <c r="L908" i="3" a="1"/>
  <c r="L908" i="3" s="1"/>
  <c r="L907" i="3" a="1"/>
  <c r="L907" i="3" s="1"/>
  <c r="L906" i="3" a="1"/>
  <c r="L906" i="3" s="1"/>
  <c r="L905" i="3" a="1"/>
  <c r="L905" i="3" s="1"/>
  <c r="L904" i="3" a="1"/>
  <c r="L904" i="3" s="1"/>
  <c r="L903" i="3" a="1"/>
  <c r="L903" i="3" s="1"/>
  <c r="L902" i="3" a="1"/>
  <c r="L902" i="3" s="1"/>
  <c r="L901" i="3" a="1"/>
  <c r="L901" i="3" s="1"/>
  <c r="L900" i="3" a="1"/>
  <c r="L900" i="3" s="1"/>
  <c r="L899" i="3" a="1"/>
  <c r="L899" i="3" s="1"/>
  <c r="L898" i="3" a="1"/>
  <c r="L898" i="3" s="1"/>
  <c r="L897" i="3" a="1"/>
  <c r="L897" i="3" s="1"/>
  <c r="L896" i="3" a="1"/>
  <c r="L896" i="3" s="1"/>
  <c r="L895" i="3" a="1"/>
  <c r="L895" i="3" s="1"/>
  <c r="L894" i="3" a="1"/>
  <c r="L894" i="3" s="1"/>
  <c r="L893" i="3" a="1"/>
  <c r="L893" i="3" s="1"/>
  <c r="L892" i="3" a="1"/>
  <c r="L892" i="3" s="1"/>
  <c r="L891" i="3" a="1"/>
  <c r="L891" i="3" s="1"/>
  <c r="L890" i="3" a="1"/>
  <c r="L890" i="3" s="1"/>
  <c r="L889" i="3" a="1"/>
  <c r="L889" i="3" s="1"/>
  <c r="L888" i="3" a="1"/>
  <c r="L888" i="3" s="1"/>
  <c r="L887" i="3" a="1"/>
  <c r="L887" i="3" s="1"/>
  <c r="L886" i="3" a="1"/>
  <c r="L886" i="3" s="1"/>
  <c r="L885" i="3" a="1"/>
  <c r="L885" i="3" s="1"/>
  <c r="L884" i="3" a="1"/>
  <c r="L884" i="3" s="1"/>
  <c r="L883" i="3" a="1"/>
  <c r="L883" i="3" s="1"/>
  <c r="L882" i="3" a="1"/>
  <c r="L882" i="3" s="1"/>
  <c r="L881" i="3" a="1"/>
  <c r="L881" i="3" s="1"/>
  <c r="L880" i="3" a="1"/>
  <c r="L880" i="3" s="1"/>
  <c r="L879" i="3" a="1"/>
  <c r="L879" i="3" s="1"/>
  <c r="L878" i="3" a="1"/>
  <c r="L878" i="3" s="1"/>
  <c r="L877" i="3" a="1"/>
  <c r="L877" i="3" s="1"/>
  <c r="L876" i="3" a="1"/>
  <c r="L876" i="3" s="1"/>
  <c r="L875" i="3" a="1"/>
  <c r="L875" i="3" s="1"/>
  <c r="L874" i="3" a="1"/>
  <c r="L874" i="3" s="1"/>
  <c r="L873" i="3" a="1"/>
  <c r="L873" i="3" s="1"/>
  <c r="L872" i="3" a="1"/>
  <c r="L872" i="3" s="1"/>
  <c r="L871" i="3" a="1"/>
  <c r="L871" i="3" s="1"/>
  <c r="L870" i="3" a="1"/>
  <c r="L870" i="3" s="1"/>
  <c r="L869" i="3" a="1"/>
  <c r="L869" i="3" s="1"/>
  <c r="L868" i="3" a="1"/>
  <c r="L868" i="3" s="1"/>
  <c r="L867" i="3" a="1"/>
  <c r="L867" i="3" s="1"/>
  <c r="L866" i="3" a="1"/>
  <c r="L866" i="3" s="1"/>
  <c r="L865" i="3" a="1"/>
  <c r="L865" i="3" s="1"/>
  <c r="L864" i="3" a="1"/>
  <c r="L864" i="3" s="1"/>
  <c r="L863" i="3" a="1"/>
  <c r="L863" i="3" s="1"/>
  <c r="L862" i="3" a="1"/>
  <c r="L862" i="3" s="1"/>
  <c r="L861" i="3" a="1"/>
  <c r="L861" i="3" s="1"/>
  <c r="L860" i="3" a="1"/>
  <c r="L860" i="3" s="1"/>
  <c r="L859" i="3" a="1"/>
  <c r="L859" i="3" s="1"/>
  <c r="L858" i="3" a="1"/>
  <c r="L858" i="3" s="1"/>
  <c r="L857" i="3" a="1"/>
  <c r="L857" i="3" s="1"/>
  <c r="L856" i="3" a="1"/>
  <c r="L856" i="3" s="1"/>
  <c r="L855" i="3" a="1"/>
  <c r="L855" i="3" s="1"/>
  <c r="L854" i="3" a="1"/>
  <c r="L854" i="3" s="1"/>
  <c r="L853" i="3" a="1"/>
  <c r="L853" i="3" s="1"/>
  <c r="L852" i="3" a="1"/>
  <c r="L852" i="3" s="1"/>
  <c r="L851" i="3" a="1"/>
  <c r="L851" i="3" s="1"/>
  <c r="L850" i="3" a="1"/>
  <c r="L850" i="3" s="1"/>
  <c r="L849" i="3" a="1"/>
  <c r="L849" i="3" s="1"/>
  <c r="L848" i="3" a="1"/>
  <c r="L848" i="3" s="1"/>
  <c r="L847" i="3" a="1"/>
  <c r="L847" i="3" s="1"/>
  <c r="L846" i="3" a="1"/>
  <c r="L846" i="3" s="1"/>
  <c r="L845" i="3" a="1"/>
  <c r="L845" i="3" s="1"/>
  <c r="L844" i="3" a="1"/>
  <c r="L844" i="3" s="1"/>
  <c r="L843" i="3" a="1"/>
  <c r="L843" i="3" s="1"/>
  <c r="L842" i="3" a="1"/>
  <c r="L842" i="3" s="1"/>
  <c r="L841" i="3" a="1"/>
  <c r="L841" i="3" s="1"/>
  <c r="L840" i="3" a="1"/>
  <c r="L840" i="3" s="1"/>
  <c r="L839" i="3" a="1"/>
  <c r="L839" i="3" s="1"/>
  <c r="L838" i="3" a="1"/>
  <c r="L838" i="3" s="1"/>
  <c r="L837" i="3" a="1"/>
  <c r="L837" i="3" s="1"/>
  <c r="L836" i="3" a="1"/>
  <c r="L836" i="3" s="1"/>
  <c r="L835" i="3" a="1"/>
  <c r="L835" i="3" s="1"/>
  <c r="L834" i="3" a="1"/>
  <c r="L834" i="3" s="1"/>
  <c r="L833" i="3" a="1"/>
  <c r="L833" i="3" s="1"/>
  <c r="L832" i="3" a="1"/>
  <c r="L832" i="3" s="1"/>
  <c r="L831" i="3" a="1"/>
  <c r="L831" i="3" s="1"/>
  <c r="L830" i="3" a="1"/>
  <c r="L830" i="3" s="1"/>
  <c r="L829" i="3" a="1"/>
  <c r="L829" i="3" s="1"/>
  <c r="L828" i="3" a="1"/>
  <c r="L828" i="3" s="1"/>
  <c r="L827" i="3" a="1"/>
  <c r="L827" i="3" s="1"/>
  <c r="L826" i="3" a="1"/>
  <c r="L826" i="3" s="1"/>
  <c r="L825" i="3" a="1"/>
  <c r="L825" i="3" s="1"/>
  <c r="L824" i="3" a="1"/>
  <c r="L824" i="3" s="1"/>
  <c r="L823" i="3" a="1"/>
  <c r="L823" i="3" s="1"/>
  <c r="L822" i="3" a="1"/>
  <c r="L822" i="3" s="1"/>
  <c r="L821" i="3" a="1"/>
  <c r="L821" i="3" s="1"/>
  <c r="L820" i="3" a="1"/>
  <c r="L820" i="3" s="1"/>
  <c r="L819" i="3" a="1"/>
  <c r="L819" i="3" s="1"/>
  <c r="L818" i="3" a="1"/>
  <c r="L818" i="3" s="1"/>
  <c r="L817" i="3" a="1"/>
  <c r="L817" i="3" s="1"/>
  <c r="L816" i="3" a="1"/>
  <c r="L816" i="3" s="1"/>
  <c r="L815" i="3" a="1"/>
  <c r="L815" i="3" s="1"/>
  <c r="L814" i="3" a="1"/>
  <c r="L814" i="3" s="1"/>
  <c r="L813" i="3" a="1"/>
  <c r="L813" i="3" s="1"/>
  <c r="L812" i="3" a="1"/>
  <c r="L812" i="3" s="1"/>
  <c r="L811" i="3" a="1"/>
  <c r="L811" i="3" s="1"/>
  <c r="L810" i="3" a="1"/>
  <c r="L810" i="3" s="1"/>
  <c r="L809" i="3" a="1"/>
  <c r="L809" i="3" s="1"/>
  <c r="L808" i="3" a="1"/>
  <c r="L808" i="3" s="1"/>
  <c r="L807" i="3" a="1"/>
  <c r="L807" i="3" s="1"/>
  <c r="L806" i="3" a="1"/>
  <c r="L806" i="3" s="1"/>
  <c r="L805" i="3" a="1"/>
  <c r="L805" i="3" s="1"/>
  <c r="L804" i="3" a="1"/>
  <c r="L804" i="3" s="1"/>
  <c r="L803" i="3" a="1"/>
  <c r="L803" i="3" s="1"/>
  <c r="L802" i="3" a="1"/>
  <c r="L802" i="3" s="1"/>
  <c r="L801" i="3" a="1"/>
  <c r="L801" i="3" s="1"/>
  <c r="L800" i="3" a="1"/>
  <c r="L800" i="3" s="1"/>
  <c r="L799" i="3" a="1"/>
  <c r="L799" i="3" s="1"/>
  <c r="L798" i="3" a="1"/>
  <c r="L798" i="3" s="1"/>
  <c r="L797" i="3" a="1"/>
  <c r="L797" i="3" s="1"/>
  <c r="L796" i="3" a="1"/>
  <c r="L796" i="3" s="1"/>
  <c r="L795" i="3" a="1"/>
  <c r="L795" i="3" s="1"/>
  <c r="L794" i="3" a="1"/>
  <c r="L794" i="3" s="1"/>
  <c r="L793" i="3" a="1"/>
  <c r="L793" i="3" s="1"/>
  <c r="L792" i="3" a="1"/>
  <c r="L792" i="3" s="1"/>
  <c r="L791" i="3" a="1"/>
  <c r="L791" i="3" s="1"/>
  <c r="L790" i="3" a="1"/>
  <c r="L790" i="3" s="1"/>
  <c r="L789" i="3" a="1"/>
  <c r="L789" i="3" s="1"/>
  <c r="L788" i="3" a="1"/>
  <c r="L788" i="3" s="1"/>
  <c r="L787" i="3" a="1"/>
  <c r="L787" i="3" s="1"/>
  <c r="L786" i="3" a="1"/>
  <c r="L786" i="3" s="1"/>
  <c r="L785" i="3" a="1"/>
  <c r="L785" i="3" s="1"/>
  <c r="L784" i="3" a="1"/>
  <c r="L784" i="3" s="1"/>
  <c r="L783" i="3" a="1"/>
  <c r="L783" i="3" s="1"/>
  <c r="L782" i="3" a="1"/>
  <c r="L782" i="3" s="1"/>
  <c r="L781" i="3" a="1"/>
  <c r="L781" i="3" s="1"/>
  <c r="L780" i="3" a="1"/>
  <c r="L780" i="3" s="1"/>
  <c r="L779" i="3" a="1"/>
  <c r="L779" i="3" s="1"/>
  <c r="L778" i="3" a="1"/>
  <c r="L778" i="3" s="1"/>
  <c r="L777" i="3" a="1"/>
  <c r="L777" i="3" s="1"/>
  <c r="L776" i="3" a="1"/>
  <c r="L776" i="3" s="1"/>
  <c r="L775" i="3" a="1"/>
  <c r="L775" i="3" s="1"/>
  <c r="L774" i="3" a="1"/>
  <c r="L774" i="3" s="1"/>
  <c r="L773" i="3" a="1"/>
  <c r="L773" i="3" s="1"/>
  <c r="L772" i="3" a="1"/>
  <c r="L772" i="3" s="1"/>
  <c r="L771" i="3" a="1"/>
  <c r="L771" i="3" s="1"/>
  <c r="L770" i="3" a="1"/>
  <c r="L770" i="3" s="1"/>
  <c r="L769" i="3" a="1"/>
  <c r="L769" i="3" s="1"/>
  <c r="L768" i="3" a="1"/>
  <c r="L768" i="3" s="1"/>
  <c r="L767" i="3" a="1"/>
  <c r="L767" i="3" s="1"/>
  <c r="L766" i="3" a="1"/>
  <c r="L766" i="3" s="1"/>
  <c r="L765" i="3" a="1"/>
  <c r="L765" i="3" s="1"/>
  <c r="L764" i="3" a="1"/>
  <c r="L764" i="3" s="1"/>
  <c r="L763" i="3" a="1"/>
  <c r="L763" i="3" s="1"/>
  <c r="L762" i="3" a="1"/>
  <c r="L762" i="3" s="1"/>
  <c r="L761" i="3" a="1"/>
  <c r="L761" i="3" s="1"/>
  <c r="L760" i="3" a="1"/>
  <c r="L760" i="3" s="1"/>
  <c r="L759" i="3" a="1"/>
  <c r="L759" i="3" s="1"/>
  <c r="L758" i="3" a="1"/>
  <c r="L758" i="3" s="1"/>
  <c r="L757" i="3" a="1"/>
  <c r="L757" i="3" s="1"/>
  <c r="L756" i="3" a="1"/>
  <c r="L756" i="3" s="1"/>
  <c r="L755" i="3" a="1"/>
  <c r="L755" i="3" s="1"/>
  <c r="L754" i="3" a="1"/>
  <c r="L754" i="3" s="1"/>
  <c r="L753" i="3" a="1"/>
  <c r="L753" i="3" s="1"/>
  <c r="L752" i="3" a="1"/>
  <c r="L752" i="3" s="1"/>
  <c r="L751" i="3" a="1"/>
  <c r="L751" i="3" s="1"/>
  <c r="L750" i="3" a="1"/>
  <c r="L750" i="3" s="1"/>
  <c r="L749" i="3" a="1"/>
  <c r="L749" i="3" s="1"/>
  <c r="L748" i="3" a="1"/>
  <c r="L748" i="3" s="1"/>
  <c r="L747" i="3" a="1"/>
  <c r="L747" i="3" s="1"/>
  <c r="L746" i="3" a="1"/>
  <c r="L746" i="3" s="1"/>
  <c r="L745" i="3" a="1"/>
  <c r="L745" i="3" s="1"/>
  <c r="L744" i="3" a="1"/>
  <c r="L744" i="3" s="1"/>
  <c r="L743" i="3" a="1"/>
  <c r="L743" i="3" s="1"/>
  <c r="L742" i="3" a="1"/>
  <c r="L742" i="3" s="1"/>
  <c r="L741" i="3" a="1"/>
  <c r="L741" i="3" s="1"/>
  <c r="L740" i="3" a="1"/>
  <c r="L740" i="3" s="1"/>
  <c r="L739" i="3" a="1"/>
  <c r="L739" i="3" s="1"/>
  <c r="L738" i="3" a="1"/>
  <c r="L738" i="3" s="1"/>
  <c r="L737" i="3" a="1"/>
  <c r="L737" i="3" s="1"/>
  <c r="L736" i="3" a="1"/>
  <c r="L736" i="3" s="1"/>
  <c r="L735" i="3" a="1"/>
  <c r="L735" i="3" s="1"/>
  <c r="L734" i="3" a="1"/>
  <c r="L734" i="3" s="1"/>
  <c r="L733" i="3" a="1"/>
  <c r="L733" i="3" s="1"/>
  <c r="L732" i="3" a="1"/>
  <c r="L732" i="3" s="1"/>
  <c r="L731" i="3" a="1"/>
  <c r="L731" i="3" s="1"/>
  <c r="L730" i="3" a="1"/>
  <c r="L730" i="3" s="1"/>
  <c r="L729" i="3" a="1"/>
  <c r="L729" i="3" s="1"/>
  <c r="L728" i="3" a="1"/>
  <c r="L728" i="3" s="1"/>
  <c r="L727" i="3" a="1"/>
  <c r="L727" i="3" s="1"/>
  <c r="L726" i="3" a="1"/>
  <c r="L726" i="3" s="1"/>
  <c r="L725" i="3" a="1"/>
  <c r="L725" i="3" s="1"/>
  <c r="L724" i="3" a="1"/>
  <c r="L724" i="3" s="1"/>
  <c r="L723" i="3" a="1"/>
  <c r="L723" i="3" s="1"/>
  <c r="L722" i="3" a="1"/>
  <c r="L722" i="3" s="1"/>
  <c r="L721" i="3" a="1"/>
  <c r="L721" i="3" s="1"/>
  <c r="L720" i="3" a="1"/>
  <c r="L720" i="3" s="1"/>
  <c r="L719" i="3" a="1"/>
  <c r="L719" i="3" s="1"/>
  <c r="L718" i="3" a="1"/>
  <c r="L718" i="3" s="1"/>
  <c r="L717" i="3" a="1"/>
  <c r="L717" i="3" s="1"/>
  <c r="L716" i="3" a="1"/>
  <c r="L716" i="3" s="1"/>
  <c r="L715" i="3" a="1"/>
  <c r="L715" i="3" s="1"/>
  <c r="L714" i="3" a="1"/>
  <c r="L714" i="3" s="1"/>
  <c r="L713" i="3" a="1"/>
  <c r="L713" i="3" s="1"/>
  <c r="L712" i="3" a="1"/>
  <c r="L712" i="3" s="1"/>
  <c r="L711" i="3" a="1"/>
  <c r="L711" i="3" s="1"/>
  <c r="L710" i="3" a="1"/>
  <c r="L710" i="3" s="1"/>
  <c r="L709" i="3" a="1"/>
  <c r="L709" i="3" s="1"/>
  <c r="L708" i="3" a="1"/>
  <c r="L708" i="3" s="1"/>
  <c r="L707" i="3" a="1"/>
  <c r="L707" i="3" s="1"/>
  <c r="L706" i="3" a="1"/>
  <c r="L706" i="3" s="1"/>
  <c r="L705" i="3" a="1"/>
  <c r="L705" i="3" s="1"/>
  <c r="L704" i="3" a="1"/>
  <c r="L704" i="3" s="1"/>
  <c r="L703" i="3" a="1"/>
  <c r="L703" i="3" s="1"/>
  <c r="L702" i="3" a="1"/>
  <c r="L702" i="3" s="1"/>
  <c r="L701" i="3" a="1"/>
  <c r="L701" i="3" s="1"/>
  <c r="L700" i="3" a="1"/>
  <c r="L700" i="3" s="1"/>
  <c r="L699" i="3" a="1"/>
  <c r="L699" i="3" s="1"/>
  <c r="L698" i="3" a="1"/>
  <c r="L698" i="3" s="1"/>
  <c r="L697" i="3" a="1"/>
  <c r="L697" i="3" s="1"/>
  <c r="L696" i="3" a="1"/>
  <c r="L696" i="3" s="1"/>
  <c r="L695" i="3" a="1"/>
  <c r="L695" i="3" s="1"/>
  <c r="L694" i="3" a="1"/>
  <c r="L694" i="3" s="1"/>
  <c r="L693" i="3" a="1"/>
  <c r="L693" i="3" s="1"/>
  <c r="L692" i="3" a="1"/>
  <c r="L692" i="3" s="1"/>
  <c r="L691" i="3" a="1"/>
  <c r="L691" i="3" s="1"/>
  <c r="L690" i="3" a="1"/>
  <c r="L690" i="3" s="1"/>
  <c r="L689" i="3" a="1"/>
  <c r="L689" i="3" s="1"/>
  <c r="L688" i="3" a="1"/>
  <c r="L688" i="3" s="1"/>
  <c r="L687" i="3" a="1"/>
  <c r="L687" i="3" s="1"/>
  <c r="L686" i="3" a="1"/>
  <c r="L686" i="3" s="1"/>
  <c r="L685" i="3" a="1"/>
  <c r="L685" i="3" s="1"/>
  <c r="L684" i="3" a="1"/>
  <c r="L684" i="3" s="1"/>
  <c r="L683" i="3" a="1"/>
  <c r="L683" i="3" s="1"/>
  <c r="L682" i="3" a="1"/>
  <c r="L682" i="3" s="1"/>
  <c r="L681" i="3" a="1"/>
  <c r="L681" i="3" s="1"/>
  <c r="L680" i="3" a="1"/>
  <c r="L680" i="3" s="1"/>
  <c r="L679" i="3" a="1"/>
  <c r="L679" i="3" s="1"/>
  <c r="L678" i="3" a="1"/>
  <c r="L678" i="3" s="1"/>
  <c r="L677" i="3" a="1"/>
  <c r="L677" i="3" s="1"/>
  <c r="L676" i="3" a="1"/>
  <c r="L676" i="3" s="1"/>
  <c r="L675" i="3" a="1"/>
  <c r="L675" i="3" s="1"/>
  <c r="L674" i="3" a="1"/>
  <c r="L674" i="3" s="1"/>
  <c r="L673" i="3" a="1"/>
  <c r="L673" i="3" s="1"/>
  <c r="L672" i="3" a="1"/>
  <c r="L672" i="3" s="1"/>
  <c r="L671" i="3" a="1"/>
  <c r="L671" i="3" s="1"/>
  <c r="L670" i="3" a="1"/>
  <c r="L670" i="3" s="1"/>
  <c r="L669" i="3" a="1"/>
  <c r="L669" i="3" s="1"/>
  <c r="L668" i="3" a="1"/>
  <c r="L668" i="3" s="1"/>
  <c r="L667" i="3" a="1"/>
  <c r="L667" i="3" s="1"/>
  <c r="L666" i="3" a="1"/>
  <c r="L666" i="3" s="1"/>
  <c r="L665" i="3" a="1"/>
  <c r="L665" i="3" s="1"/>
  <c r="L664" i="3" a="1"/>
  <c r="L664" i="3" s="1"/>
  <c r="L663" i="3" a="1"/>
  <c r="L663" i="3" s="1"/>
  <c r="L662" i="3" a="1"/>
  <c r="L662" i="3" s="1"/>
  <c r="L661" i="3" a="1"/>
  <c r="L661" i="3" s="1"/>
  <c r="L660" i="3" a="1"/>
  <c r="L660" i="3" s="1"/>
  <c r="L659" i="3" a="1"/>
  <c r="L659" i="3" s="1"/>
  <c r="L658" i="3" a="1"/>
  <c r="L658" i="3" s="1"/>
  <c r="L657" i="3" a="1"/>
  <c r="L657" i="3" s="1"/>
  <c r="L656" i="3" a="1"/>
  <c r="L656" i="3" s="1"/>
  <c r="L655" i="3" a="1"/>
  <c r="L655" i="3" s="1"/>
  <c r="L654" i="3" a="1"/>
  <c r="L654" i="3" s="1"/>
  <c r="L653" i="3" a="1"/>
  <c r="L653" i="3" s="1"/>
  <c r="L652" i="3" a="1"/>
  <c r="L652" i="3" s="1"/>
  <c r="L651" i="3" a="1"/>
  <c r="L651" i="3" s="1"/>
  <c r="L650" i="3" a="1"/>
  <c r="L650" i="3" s="1"/>
  <c r="L649" i="3" a="1"/>
  <c r="L649" i="3" s="1"/>
  <c r="L648" i="3" a="1"/>
  <c r="L648" i="3" s="1"/>
  <c r="L647" i="3" a="1"/>
  <c r="L647" i="3" s="1"/>
  <c r="L646" i="3" a="1"/>
  <c r="L646" i="3" s="1"/>
  <c r="L645" i="3" a="1"/>
  <c r="L645" i="3" s="1"/>
  <c r="L644" i="3" a="1"/>
  <c r="L644" i="3" s="1"/>
  <c r="L643" i="3" a="1"/>
  <c r="L643" i="3" s="1"/>
  <c r="L642" i="3" a="1"/>
  <c r="L642" i="3" s="1"/>
  <c r="L641" i="3" a="1"/>
  <c r="L641" i="3" s="1"/>
  <c r="L640" i="3" a="1"/>
  <c r="L640" i="3" s="1"/>
  <c r="L639" i="3" a="1"/>
  <c r="L639" i="3" s="1"/>
  <c r="L638" i="3" a="1"/>
  <c r="L638" i="3" s="1"/>
  <c r="L637" i="3" a="1"/>
  <c r="L637" i="3" s="1"/>
  <c r="L636" i="3" a="1"/>
  <c r="L636" i="3" s="1"/>
  <c r="L635" i="3" a="1"/>
  <c r="L635" i="3" s="1"/>
  <c r="L634" i="3" a="1"/>
  <c r="L634" i="3" s="1"/>
  <c r="L633" i="3" a="1"/>
  <c r="L633" i="3" s="1"/>
  <c r="L632" i="3" a="1"/>
  <c r="L632" i="3" s="1"/>
  <c r="L631" i="3" a="1"/>
  <c r="L631" i="3" s="1"/>
  <c r="L630" i="3" a="1"/>
  <c r="L630" i="3" s="1"/>
  <c r="L629" i="3" a="1"/>
  <c r="L629" i="3" s="1"/>
  <c r="L628" i="3" a="1"/>
  <c r="L628" i="3" s="1"/>
  <c r="L627" i="3" a="1"/>
  <c r="L627" i="3" s="1"/>
  <c r="L626" i="3" a="1"/>
  <c r="L626" i="3" s="1"/>
  <c r="L625" i="3" a="1"/>
  <c r="L625" i="3" s="1"/>
  <c r="L624" i="3" a="1"/>
  <c r="L624" i="3" s="1"/>
  <c r="L623" i="3" a="1"/>
  <c r="L623" i="3" s="1"/>
  <c r="L622" i="3" a="1"/>
  <c r="L622" i="3" s="1"/>
  <c r="L621" i="3" a="1"/>
  <c r="L621" i="3" s="1"/>
  <c r="L620" i="3" a="1"/>
  <c r="L620" i="3" s="1"/>
  <c r="L619" i="3" a="1"/>
  <c r="L619" i="3" s="1"/>
  <c r="L618" i="3" a="1"/>
  <c r="L618" i="3" s="1"/>
  <c r="L617" i="3" a="1"/>
  <c r="L617" i="3" s="1"/>
  <c r="L616" i="3" a="1"/>
  <c r="L616" i="3" s="1"/>
  <c r="L615" i="3" a="1"/>
  <c r="L615" i="3" s="1"/>
  <c r="L614" i="3" a="1"/>
  <c r="L614" i="3" s="1"/>
  <c r="L613" i="3" a="1"/>
  <c r="L613" i="3" s="1"/>
  <c r="L612" i="3" a="1"/>
  <c r="L612" i="3" s="1"/>
  <c r="L611" i="3" a="1"/>
  <c r="L611" i="3" s="1"/>
  <c r="L610" i="3" a="1"/>
  <c r="L610" i="3" s="1"/>
  <c r="L609" i="3" a="1"/>
  <c r="L609" i="3" s="1"/>
  <c r="L608" i="3" a="1"/>
  <c r="L608" i="3" s="1"/>
  <c r="L607" i="3" a="1"/>
  <c r="L607" i="3" s="1"/>
  <c r="L606" i="3" a="1"/>
  <c r="L606" i="3" s="1"/>
  <c r="L605" i="3" a="1"/>
  <c r="L605" i="3" s="1"/>
  <c r="L604" i="3" a="1"/>
  <c r="L604" i="3" s="1"/>
  <c r="L603" i="3" a="1"/>
  <c r="L603" i="3" s="1"/>
  <c r="L602" i="3" a="1"/>
  <c r="L602" i="3" s="1"/>
  <c r="L601" i="3" a="1"/>
  <c r="L601" i="3" s="1"/>
  <c r="L600" i="3" a="1"/>
  <c r="L600" i="3" s="1"/>
  <c r="L599" i="3" a="1"/>
  <c r="L599" i="3" s="1"/>
  <c r="L598" i="3" a="1"/>
  <c r="L598" i="3" s="1"/>
  <c r="L597" i="3" a="1"/>
  <c r="L597" i="3" s="1"/>
  <c r="L596" i="3" a="1"/>
  <c r="L596" i="3" s="1"/>
  <c r="L595" i="3" a="1"/>
  <c r="L595" i="3" s="1"/>
  <c r="L594" i="3" a="1"/>
  <c r="L594" i="3" s="1"/>
  <c r="L593" i="3" a="1"/>
  <c r="L593" i="3" s="1"/>
  <c r="L592" i="3" a="1"/>
  <c r="L592" i="3" s="1"/>
  <c r="L591" i="3" a="1"/>
  <c r="L591" i="3" s="1"/>
  <c r="L590" i="3" a="1"/>
  <c r="L590" i="3" s="1"/>
  <c r="L589" i="3" a="1"/>
  <c r="L589" i="3" s="1"/>
  <c r="L588" i="3" a="1"/>
  <c r="L588" i="3" s="1"/>
  <c r="L587" i="3" a="1"/>
  <c r="L587" i="3" s="1"/>
  <c r="L586" i="3" a="1"/>
  <c r="L586" i="3" s="1"/>
  <c r="L585" i="3" a="1"/>
  <c r="L585" i="3" s="1"/>
  <c r="L584" i="3" a="1"/>
  <c r="L584" i="3" s="1"/>
  <c r="L583" i="3" a="1"/>
  <c r="L583" i="3" s="1"/>
  <c r="L582" i="3" a="1"/>
  <c r="L582" i="3" s="1"/>
  <c r="L581" i="3" a="1"/>
  <c r="L581" i="3" s="1"/>
  <c r="L580" i="3" a="1"/>
  <c r="L580" i="3" s="1"/>
  <c r="L579" i="3" a="1"/>
  <c r="L579" i="3" s="1"/>
  <c r="L578" i="3" a="1"/>
  <c r="L578" i="3" s="1"/>
  <c r="L577" i="3" a="1"/>
  <c r="L577" i="3" s="1"/>
  <c r="L576" i="3" a="1"/>
  <c r="L576" i="3" s="1"/>
  <c r="L575" i="3" a="1"/>
  <c r="L575" i="3" s="1"/>
  <c r="L574" i="3" a="1"/>
  <c r="L574" i="3" s="1"/>
  <c r="L573" i="3" a="1"/>
  <c r="L573" i="3" s="1"/>
  <c r="L572" i="3" a="1"/>
  <c r="L572" i="3" s="1"/>
  <c r="L571" i="3" a="1"/>
  <c r="L571" i="3" s="1"/>
  <c r="L570" i="3" a="1"/>
  <c r="L570" i="3" s="1"/>
  <c r="L569" i="3" a="1"/>
  <c r="L569" i="3" s="1"/>
  <c r="L568" i="3" a="1"/>
  <c r="L568" i="3" s="1"/>
  <c r="L567" i="3" a="1"/>
  <c r="L567" i="3" s="1"/>
  <c r="L566" i="3" a="1"/>
  <c r="L566" i="3" s="1"/>
  <c r="L565" i="3" a="1"/>
  <c r="L565" i="3" s="1"/>
  <c r="L564" i="3" a="1"/>
  <c r="L564" i="3" s="1"/>
  <c r="L563" i="3" a="1"/>
  <c r="L563" i="3" s="1"/>
  <c r="L562" i="3" a="1"/>
  <c r="L562" i="3" s="1"/>
  <c r="L561" i="3" a="1"/>
  <c r="L561" i="3" s="1"/>
  <c r="L560" i="3" a="1"/>
  <c r="L560" i="3" s="1"/>
  <c r="L559" i="3" a="1"/>
  <c r="L559" i="3" s="1"/>
  <c r="L558" i="3" a="1"/>
  <c r="L558" i="3" s="1"/>
  <c r="L557" i="3" a="1"/>
  <c r="L557" i="3" s="1"/>
  <c r="L556" i="3" a="1"/>
  <c r="L556" i="3" s="1"/>
  <c r="L555" i="3" a="1"/>
  <c r="L555" i="3" s="1"/>
  <c r="L554" i="3" a="1"/>
  <c r="L554" i="3" s="1"/>
  <c r="L553" i="3" a="1"/>
  <c r="L553" i="3" s="1"/>
  <c r="L552" i="3" a="1"/>
  <c r="L552" i="3" s="1"/>
  <c r="L551" i="3" a="1"/>
  <c r="L551" i="3" s="1"/>
  <c r="L550" i="3" a="1"/>
  <c r="L550" i="3" s="1"/>
  <c r="L549" i="3" a="1"/>
  <c r="L549" i="3" s="1"/>
  <c r="L548" i="3" a="1"/>
  <c r="L548" i="3" s="1"/>
  <c r="L547" i="3" a="1"/>
  <c r="L547" i="3" s="1"/>
  <c r="L546" i="3" a="1"/>
  <c r="L546" i="3" s="1"/>
  <c r="L545" i="3" a="1"/>
  <c r="L545" i="3" s="1"/>
  <c r="L544" i="3" a="1"/>
  <c r="L544" i="3" s="1"/>
  <c r="L543" i="3" a="1"/>
  <c r="L543" i="3" s="1"/>
  <c r="L542" i="3" a="1"/>
  <c r="L542" i="3" s="1"/>
  <c r="L541" i="3" a="1"/>
  <c r="L541" i="3" s="1"/>
  <c r="L540" i="3" a="1"/>
  <c r="L540" i="3" s="1"/>
  <c r="L539" i="3" a="1"/>
  <c r="L539" i="3" s="1"/>
  <c r="L538" i="3" a="1"/>
  <c r="L538" i="3" s="1"/>
  <c r="L537" i="3" a="1"/>
  <c r="L537" i="3" s="1"/>
  <c r="L536" i="3" a="1"/>
  <c r="L536" i="3" s="1"/>
  <c r="L535" i="3" a="1"/>
  <c r="L535" i="3" s="1"/>
  <c r="L534" i="3" a="1"/>
  <c r="L534" i="3" s="1"/>
  <c r="L533" i="3" a="1"/>
  <c r="L533" i="3" s="1"/>
  <c r="L532" i="3" a="1"/>
  <c r="L532" i="3" s="1"/>
  <c r="L531" i="3" a="1"/>
  <c r="L531" i="3" s="1"/>
  <c r="L530" i="3" a="1"/>
  <c r="L530" i="3" s="1"/>
  <c r="L529" i="3" a="1"/>
  <c r="L529" i="3" s="1"/>
  <c r="L528" i="3" a="1"/>
  <c r="L528" i="3" s="1"/>
  <c r="L527" i="3" a="1"/>
  <c r="L527" i="3" s="1"/>
  <c r="L526" i="3" a="1"/>
  <c r="L526" i="3" s="1"/>
  <c r="L525" i="3" a="1"/>
  <c r="L525" i="3" s="1"/>
  <c r="L524" i="3" a="1"/>
  <c r="L524" i="3" s="1"/>
  <c r="L523" i="3" a="1"/>
  <c r="L523" i="3" s="1"/>
  <c r="L522" i="3" a="1"/>
  <c r="L522" i="3" s="1"/>
  <c r="L521" i="3" a="1"/>
  <c r="L521" i="3" s="1"/>
  <c r="L520" i="3" a="1"/>
  <c r="L520" i="3" s="1"/>
  <c r="L519" i="3" a="1"/>
  <c r="L519" i="3" s="1"/>
  <c r="L518" i="3" a="1"/>
  <c r="L518" i="3" s="1"/>
  <c r="L517" i="3" a="1"/>
  <c r="L517" i="3" s="1"/>
  <c r="L516" i="3" a="1"/>
  <c r="L516" i="3" s="1"/>
  <c r="L515" i="3" a="1"/>
  <c r="L515" i="3" s="1"/>
  <c r="L514" i="3" a="1"/>
  <c r="L514" i="3" s="1"/>
  <c r="L513" i="3" a="1"/>
  <c r="L513" i="3" s="1"/>
  <c r="L512" i="3" a="1"/>
  <c r="L512" i="3" s="1"/>
  <c r="L511" i="3" a="1"/>
  <c r="L511" i="3" s="1"/>
  <c r="L510" i="3" a="1"/>
  <c r="L510" i="3" s="1"/>
  <c r="L509" i="3" a="1"/>
  <c r="L509" i="3" s="1"/>
  <c r="L508" i="3" a="1"/>
  <c r="L508" i="3" s="1"/>
  <c r="L507" i="3" a="1"/>
  <c r="L507" i="3" s="1"/>
  <c r="L506" i="3" a="1"/>
  <c r="L506" i="3" s="1"/>
  <c r="L505" i="3" a="1"/>
  <c r="L505" i="3" s="1"/>
  <c r="L504" i="3" a="1"/>
  <c r="L504" i="3" s="1"/>
  <c r="L503" i="3" a="1"/>
  <c r="L503" i="3" s="1"/>
  <c r="K1000" i="3" a="1"/>
  <c r="K1000" i="3" s="1"/>
  <c r="K999" i="3" a="1"/>
  <c r="K999" i="3" s="1"/>
  <c r="K998" i="3" a="1"/>
  <c r="K998" i="3" s="1"/>
  <c r="K997" i="3" a="1"/>
  <c r="K997" i="3" s="1"/>
  <c r="K996" i="3" a="1"/>
  <c r="K996" i="3" s="1"/>
  <c r="K995" i="3" a="1"/>
  <c r="K995" i="3" s="1"/>
  <c r="K994" i="3" a="1"/>
  <c r="K994" i="3" s="1"/>
  <c r="K993" i="3" a="1"/>
  <c r="K993" i="3" s="1"/>
  <c r="K992" i="3" a="1"/>
  <c r="K992" i="3" s="1"/>
  <c r="K991" i="3" a="1"/>
  <c r="K991" i="3" s="1"/>
  <c r="K990" i="3" a="1"/>
  <c r="K990" i="3" s="1"/>
  <c r="K989" i="3" a="1"/>
  <c r="K989" i="3" s="1"/>
  <c r="K988" i="3" a="1"/>
  <c r="K988" i="3" s="1"/>
  <c r="K987" i="3" a="1"/>
  <c r="K987" i="3" s="1"/>
  <c r="K986" i="3" a="1"/>
  <c r="K986" i="3" s="1"/>
  <c r="K985" i="3" a="1"/>
  <c r="K985" i="3" s="1"/>
  <c r="K984" i="3" a="1"/>
  <c r="K984" i="3" s="1"/>
  <c r="K983" i="3" a="1"/>
  <c r="K983" i="3" s="1"/>
  <c r="K982" i="3" a="1"/>
  <c r="K982" i="3" s="1"/>
  <c r="K981" i="3" a="1"/>
  <c r="K981" i="3" s="1"/>
  <c r="K980" i="3" a="1"/>
  <c r="K980" i="3" s="1"/>
  <c r="K979" i="3" a="1"/>
  <c r="K979" i="3" s="1"/>
  <c r="K978" i="3" a="1"/>
  <c r="K978" i="3" s="1"/>
  <c r="K977" i="3" a="1"/>
  <c r="K977" i="3" s="1"/>
  <c r="K976" i="3" a="1"/>
  <c r="K976" i="3" s="1"/>
  <c r="K975" i="3" a="1"/>
  <c r="K975" i="3" s="1"/>
  <c r="K974" i="3" a="1"/>
  <c r="K974" i="3" s="1"/>
  <c r="K973" i="3" a="1"/>
  <c r="K973" i="3" s="1"/>
  <c r="K972" i="3" a="1"/>
  <c r="K972" i="3" s="1"/>
  <c r="K971" i="3" a="1"/>
  <c r="K971" i="3" s="1"/>
  <c r="K970" i="3" a="1"/>
  <c r="K970" i="3" s="1"/>
  <c r="K969" i="3" a="1"/>
  <c r="K969" i="3" s="1"/>
  <c r="K968" i="3" a="1"/>
  <c r="K968" i="3" s="1"/>
  <c r="K967" i="3" a="1"/>
  <c r="K967" i="3" s="1"/>
  <c r="K966" i="3" a="1"/>
  <c r="K966" i="3" s="1"/>
  <c r="K965" i="3" a="1"/>
  <c r="K965" i="3" s="1"/>
  <c r="K964" i="3" a="1"/>
  <c r="K964" i="3" s="1"/>
  <c r="K963" i="3" a="1"/>
  <c r="K963" i="3" s="1"/>
  <c r="K962" i="3" a="1"/>
  <c r="K962" i="3" s="1"/>
  <c r="K961" i="3" a="1"/>
  <c r="K961" i="3" s="1"/>
  <c r="K960" i="3" a="1"/>
  <c r="K960" i="3" s="1"/>
  <c r="K959" i="3" a="1"/>
  <c r="K959" i="3" s="1"/>
  <c r="K958" i="3" a="1"/>
  <c r="K958" i="3" s="1"/>
  <c r="K957" i="3" a="1"/>
  <c r="K957" i="3" s="1"/>
  <c r="K956" i="3" a="1"/>
  <c r="K956" i="3" s="1"/>
  <c r="K955" i="3" a="1"/>
  <c r="K955" i="3" s="1"/>
  <c r="K954" i="3" a="1"/>
  <c r="K954" i="3" s="1"/>
  <c r="K953" i="3" a="1"/>
  <c r="K953" i="3" s="1"/>
  <c r="K952" i="3" a="1"/>
  <c r="K952" i="3" s="1"/>
  <c r="K951" i="3" a="1"/>
  <c r="K951" i="3" s="1"/>
  <c r="K950" i="3" a="1"/>
  <c r="K950" i="3" s="1"/>
  <c r="K949" i="3" a="1"/>
  <c r="K949" i="3" s="1"/>
  <c r="K948" i="3" a="1"/>
  <c r="K948" i="3" s="1"/>
  <c r="K947" i="3" a="1"/>
  <c r="K947" i="3" s="1"/>
  <c r="K946" i="3" a="1"/>
  <c r="K946" i="3" s="1"/>
  <c r="K945" i="3" a="1"/>
  <c r="K945" i="3" s="1"/>
  <c r="K944" i="3" a="1"/>
  <c r="K944" i="3" s="1"/>
  <c r="K943" i="3" a="1"/>
  <c r="K943" i="3" s="1"/>
  <c r="K942" i="3" a="1"/>
  <c r="K942" i="3" s="1"/>
  <c r="K941" i="3" a="1"/>
  <c r="K941" i="3" s="1"/>
  <c r="K940" i="3" a="1"/>
  <c r="K940" i="3" s="1"/>
  <c r="K939" i="3" a="1"/>
  <c r="K939" i="3" s="1"/>
  <c r="K938" i="3" a="1"/>
  <c r="K938" i="3" s="1"/>
  <c r="K937" i="3" a="1"/>
  <c r="K937" i="3" s="1"/>
  <c r="K936" i="3" a="1"/>
  <c r="K936" i="3" s="1"/>
  <c r="K935" i="3" a="1"/>
  <c r="K935" i="3" s="1"/>
  <c r="K934" i="3" a="1"/>
  <c r="K934" i="3" s="1"/>
  <c r="K933" i="3" a="1"/>
  <c r="K933" i="3" s="1"/>
  <c r="K932" i="3" a="1"/>
  <c r="K932" i="3" s="1"/>
  <c r="K931" i="3" a="1"/>
  <c r="K931" i="3" s="1"/>
  <c r="K930" i="3" a="1"/>
  <c r="K930" i="3" s="1"/>
  <c r="K929" i="3" a="1"/>
  <c r="K929" i="3" s="1"/>
  <c r="K928" i="3" a="1"/>
  <c r="K928" i="3" s="1"/>
  <c r="K927" i="3" a="1"/>
  <c r="K927" i="3" s="1"/>
  <c r="K926" i="3" a="1"/>
  <c r="K926" i="3" s="1"/>
  <c r="K925" i="3" a="1"/>
  <c r="K925" i="3" s="1"/>
  <c r="K924" i="3" a="1"/>
  <c r="K924" i="3" s="1"/>
  <c r="K923" i="3" a="1"/>
  <c r="K923" i="3" s="1"/>
  <c r="K922" i="3" a="1"/>
  <c r="K922" i="3" s="1"/>
  <c r="K921" i="3" a="1"/>
  <c r="K921" i="3" s="1"/>
  <c r="K920" i="3" a="1"/>
  <c r="K920" i="3" s="1"/>
  <c r="K919" i="3" a="1"/>
  <c r="K919" i="3" s="1"/>
  <c r="K918" i="3" a="1"/>
  <c r="K918" i="3" s="1"/>
  <c r="K917" i="3" a="1"/>
  <c r="K917" i="3" s="1"/>
  <c r="K916" i="3" a="1"/>
  <c r="K916" i="3" s="1"/>
  <c r="K915" i="3" a="1"/>
  <c r="K915" i="3" s="1"/>
  <c r="K914" i="3" a="1"/>
  <c r="K914" i="3" s="1"/>
  <c r="K913" i="3" a="1"/>
  <c r="K913" i="3" s="1"/>
  <c r="K912" i="3" a="1"/>
  <c r="K912" i="3" s="1"/>
  <c r="K911" i="3" a="1"/>
  <c r="K911" i="3" s="1"/>
  <c r="K910" i="3" a="1"/>
  <c r="K910" i="3" s="1"/>
  <c r="K909" i="3" a="1"/>
  <c r="K909" i="3" s="1"/>
  <c r="K908" i="3" a="1"/>
  <c r="K908" i="3" s="1"/>
  <c r="K907" i="3" a="1"/>
  <c r="K907" i="3" s="1"/>
  <c r="K906" i="3" a="1"/>
  <c r="K906" i="3" s="1"/>
  <c r="K905" i="3" a="1"/>
  <c r="K905" i="3" s="1"/>
  <c r="K904" i="3" a="1"/>
  <c r="K904" i="3" s="1"/>
  <c r="K903" i="3" a="1"/>
  <c r="K903" i="3" s="1"/>
  <c r="K902" i="3" a="1"/>
  <c r="K902" i="3" s="1"/>
  <c r="K901" i="3" a="1"/>
  <c r="K901" i="3" s="1"/>
  <c r="K900" i="3" a="1"/>
  <c r="K900" i="3" s="1"/>
  <c r="K899" i="3" a="1"/>
  <c r="K899" i="3" s="1"/>
  <c r="K898" i="3" a="1"/>
  <c r="K898" i="3" s="1"/>
  <c r="K897" i="3" a="1"/>
  <c r="K897" i="3" s="1"/>
  <c r="K896" i="3" a="1"/>
  <c r="K896" i="3" s="1"/>
  <c r="K895" i="3" a="1"/>
  <c r="K895" i="3" s="1"/>
  <c r="K894" i="3" a="1"/>
  <c r="K894" i="3" s="1"/>
  <c r="K893" i="3" a="1"/>
  <c r="K893" i="3" s="1"/>
  <c r="K892" i="3" a="1"/>
  <c r="K892" i="3" s="1"/>
  <c r="K891" i="3" a="1"/>
  <c r="K891" i="3" s="1"/>
  <c r="K890" i="3" a="1"/>
  <c r="K890" i="3" s="1"/>
  <c r="K889" i="3" a="1"/>
  <c r="K889" i="3" s="1"/>
  <c r="K888" i="3" a="1"/>
  <c r="K888" i="3" s="1"/>
  <c r="K887" i="3" a="1"/>
  <c r="K887" i="3" s="1"/>
  <c r="K886" i="3" a="1"/>
  <c r="K886" i="3" s="1"/>
  <c r="K885" i="3" a="1"/>
  <c r="K885" i="3" s="1"/>
  <c r="K884" i="3" a="1"/>
  <c r="K884" i="3" s="1"/>
  <c r="K883" i="3" a="1"/>
  <c r="K883" i="3" s="1"/>
  <c r="K882" i="3" a="1"/>
  <c r="K882" i="3" s="1"/>
  <c r="K881" i="3" a="1"/>
  <c r="K881" i="3" s="1"/>
  <c r="K880" i="3" a="1"/>
  <c r="K880" i="3" s="1"/>
  <c r="K879" i="3" a="1"/>
  <c r="K879" i="3" s="1"/>
  <c r="K878" i="3" a="1"/>
  <c r="K878" i="3" s="1"/>
  <c r="K877" i="3" a="1"/>
  <c r="K877" i="3" s="1"/>
  <c r="K876" i="3" a="1"/>
  <c r="K876" i="3" s="1"/>
  <c r="K875" i="3" a="1"/>
  <c r="K875" i="3" s="1"/>
  <c r="K874" i="3" a="1"/>
  <c r="K874" i="3" s="1"/>
  <c r="K873" i="3" a="1"/>
  <c r="K873" i="3" s="1"/>
  <c r="K872" i="3" a="1"/>
  <c r="K872" i="3" s="1"/>
  <c r="K871" i="3" a="1"/>
  <c r="K871" i="3" s="1"/>
  <c r="K870" i="3" a="1"/>
  <c r="K870" i="3" s="1"/>
  <c r="K869" i="3" a="1"/>
  <c r="K869" i="3" s="1"/>
  <c r="K868" i="3" a="1"/>
  <c r="K868" i="3" s="1"/>
  <c r="K867" i="3" a="1"/>
  <c r="K867" i="3" s="1"/>
  <c r="K866" i="3" a="1"/>
  <c r="K866" i="3" s="1"/>
  <c r="K865" i="3" a="1"/>
  <c r="K865" i="3" s="1"/>
  <c r="K864" i="3" a="1"/>
  <c r="K864" i="3" s="1"/>
  <c r="K863" i="3" a="1"/>
  <c r="K863" i="3" s="1"/>
  <c r="K862" i="3" a="1"/>
  <c r="K862" i="3" s="1"/>
  <c r="K861" i="3" a="1"/>
  <c r="K861" i="3" s="1"/>
  <c r="K860" i="3" a="1"/>
  <c r="K860" i="3" s="1"/>
  <c r="K859" i="3" a="1"/>
  <c r="K859" i="3" s="1"/>
  <c r="K858" i="3" a="1"/>
  <c r="K858" i="3" s="1"/>
  <c r="K857" i="3" a="1"/>
  <c r="K857" i="3" s="1"/>
  <c r="K856" i="3" a="1"/>
  <c r="K856" i="3" s="1"/>
  <c r="K855" i="3" a="1"/>
  <c r="K855" i="3" s="1"/>
  <c r="K854" i="3" a="1"/>
  <c r="K854" i="3" s="1"/>
  <c r="K853" i="3" a="1"/>
  <c r="K853" i="3" s="1"/>
  <c r="K852" i="3" a="1"/>
  <c r="K852" i="3" s="1"/>
  <c r="K851" i="3" a="1"/>
  <c r="K851" i="3" s="1"/>
  <c r="K850" i="3" a="1"/>
  <c r="K850" i="3" s="1"/>
  <c r="K849" i="3" a="1"/>
  <c r="K849" i="3" s="1"/>
  <c r="K848" i="3" a="1"/>
  <c r="K848" i="3" s="1"/>
  <c r="K847" i="3" a="1"/>
  <c r="K847" i="3" s="1"/>
  <c r="K846" i="3" a="1"/>
  <c r="K846" i="3" s="1"/>
  <c r="K845" i="3" a="1"/>
  <c r="K845" i="3" s="1"/>
  <c r="K844" i="3" a="1"/>
  <c r="K844" i="3" s="1"/>
  <c r="K843" i="3" a="1"/>
  <c r="K843" i="3" s="1"/>
  <c r="K842" i="3" a="1"/>
  <c r="K842" i="3" s="1"/>
  <c r="K841" i="3" a="1"/>
  <c r="K841" i="3" s="1"/>
  <c r="K840" i="3" a="1"/>
  <c r="K840" i="3" s="1"/>
  <c r="K839" i="3" a="1"/>
  <c r="K839" i="3" s="1"/>
  <c r="K838" i="3" a="1"/>
  <c r="K838" i="3" s="1"/>
  <c r="K837" i="3" a="1"/>
  <c r="K837" i="3" s="1"/>
  <c r="K836" i="3" a="1"/>
  <c r="K836" i="3" s="1"/>
  <c r="K835" i="3" a="1"/>
  <c r="K835" i="3" s="1"/>
  <c r="K834" i="3" a="1"/>
  <c r="K834" i="3" s="1"/>
  <c r="K833" i="3" a="1"/>
  <c r="K833" i="3" s="1"/>
  <c r="K832" i="3" a="1"/>
  <c r="K832" i="3" s="1"/>
  <c r="K831" i="3" a="1"/>
  <c r="K831" i="3" s="1"/>
  <c r="K830" i="3" a="1"/>
  <c r="K830" i="3" s="1"/>
  <c r="K829" i="3" a="1"/>
  <c r="K829" i="3" s="1"/>
  <c r="K828" i="3" a="1"/>
  <c r="K828" i="3" s="1"/>
  <c r="K827" i="3" a="1"/>
  <c r="K827" i="3" s="1"/>
  <c r="K826" i="3" a="1"/>
  <c r="K826" i="3" s="1"/>
  <c r="K825" i="3" a="1"/>
  <c r="K825" i="3" s="1"/>
  <c r="K824" i="3" a="1"/>
  <c r="K824" i="3" s="1"/>
  <c r="K823" i="3" a="1"/>
  <c r="K823" i="3" s="1"/>
  <c r="K822" i="3" a="1"/>
  <c r="K822" i="3" s="1"/>
  <c r="K821" i="3" a="1"/>
  <c r="K821" i="3" s="1"/>
  <c r="K820" i="3" a="1"/>
  <c r="K820" i="3" s="1"/>
  <c r="K819" i="3" a="1"/>
  <c r="K819" i="3" s="1"/>
  <c r="K818" i="3" a="1"/>
  <c r="K818" i="3" s="1"/>
  <c r="K817" i="3" a="1"/>
  <c r="K817" i="3" s="1"/>
  <c r="K816" i="3" a="1"/>
  <c r="K816" i="3" s="1"/>
  <c r="K815" i="3" a="1"/>
  <c r="K815" i="3" s="1"/>
  <c r="K814" i="3" a="1"/>
  <c r="K814" i="3" s="1"/>
  <c r="K813" i="3" a="1"/>
  <c r="K813" i="3" s="1"/>
  <c r="K812" i="3" a="1"/>
  <c r="K812" i="3" s="1"/>
  <c r="K811" i="3" a="1"/>
  <c r="K811" i="3" s="1"/>
  <c r="K810" i="3" a="1"/>
  <c r="K810" i="3" s="1"/>
  <c r="K809" i="3" a="1"/>
  <c r="K809" i="3" s="1"/>
  <c r="K808" i="3" a="1"/>
  <c r="K808" i="3" s="1"/>
  <c r="K807" i="3" a="1"/>
  <c r="K807" i="3" s="1"/>
  <c r="K806" i="3" a="1"/>
  <c r="K806" i="3" s="1"/>
  <c r="K805" i="3" a="1"/>
  <c r="K805" i="3" s="1"/>
  <c r="K804" i="3" a="1"/>
  <c r="K804" i="3" s="1"/>
  <c r="K803" i="3" a="1"/>
  <c r="K803" i="3" s="1"/>
  <c r="K802" i="3" a="1"/>
  <c r="K802" i="3" s="1"/>
  <c r="K801" i="3" a="1"/>
  <c r="K801" i="3" s="1"/>
  <c r="K800" i="3" a="1"/>
  <c r="K800" i="3" s="1"/>
  <c r="K799" i="3" a="1"/>
  <c r="K799" i="3" s="1"/>
  <c r="K798" i="3" a="1"/>
  <c r="K798" i="3" s="1"/>
  <c r="K797" i="3" a="1"/>
  <c r="K797" i="3" s="1"/>
  <c r="K796" i="3" a="1"/>
  <c r="K796" i="3" s="1"/>
  <c r="K795" i="3" a="1"/>
  <c r="K795" i="3" s="1"/>
  <c r="K794" i="3" a="1"/>
  <c r="K794" i="3" s="1"/>
  <c r="K793" i="3" a="1"/>
  <c r="K793" i="3" s="1"/>
  <c r="K792" i="3" a="1"/>
  <c r="K792" i="3" s="1"/>
  <c r="K791" i="3" a="1"/>
  <c r="K791" i="3" s="1"/>
  <c r="K790" i="3" a="1"/>
  <c r="K790" i="3" s="1"/>
  <c r="K789" i="3" a="1"/>
  <c r="K789" i="3" s="1"/>
  <c r="K788" i="3" a="1"/>
  <c r="K788" i="3" s="1"/>
  <c r="K787" i="3" a="1"/>
  <c r="K787" i="3" s="1"/>
  <c r="K786" i="3" a="1"/>
  <c r="K786" i="3" s="1"/>
  <c r="K785" i="3" a="1"/>
  <c r="K785" i="3" s="1"/>
  <c r="K784" i="3" a="1"/>
  <c r="K784" i="3" s="1"/>
  <c r="K783" i="3" a="1"/>
  <c r="K783" i="3" s="1"/>
  <c r="K782" i="3" a="1"/>
  <c r="K782" i="3" s="1"/>
  <c r="K781" i="3" a="1"/>
  <c r="K781" i="3" s="1"/>
  <c r="K780" i="3" a="1"/>
  <c r="K780" i="3" s="1"/>
  <c r="K779" i="3" a="1"/>
  <c r="K779" i="3" s="1"/>
  <c r="K778" i="3" a="1"/>
  <c r="K778" i="3" s="1"/>
  <c r="K777" i="3" a="1"/>
  <c r="K777" i="3" s="1"/>
  <c r="K776" i="3" a="1"/>
  <c r="K776" i="3" s="1"/>
  <c r="K775" i="3" a="1"/>
  <c r="K775" i="3" s="1"/>
  <c r="K774" i="3" a="1"/>
  <c r="K774" i="3" s="1"/>
  <c r="K773" i="3" a="1"/>
  <c r="K773" i="3" s="1"/>
  <c r="K772" i="3" a="1"/>
  <c r="K772" i="3" s="1"/>
  <c r="K771" i="3" a="1"/>
  <c r="K771" i="3" s="1"/>
  <c r="K770" i="3" a="1"/>
  <c r="K770" i="3" s="1"/>
  <c r="K769" i="3" a="1"/>
  <c r="K769" i="3" s="1"/>
  <c r="K768" i="3" a="1"/>
  <c r="K768" i="3" s="1"/>
  <c r="K767" i="3" a="1"/>
  <c r="K767" i="3" s="1"/>
  <c r="K766" i="3" a="1"/>
  <c r="K766" i="3" s="1"/>
  <c r="K765" i="3" a="1"/>
  <c r="K765" i="3" s="1"/>
  <c r="K764" i="3" a="1"/>
  <c r="K764" i="3" s="1"/>
  <c r="K763" i="3" a="1"/>
  <c r="K763" i="3" s="1"/>
  <c r="K762" i="3" a="1"/>
  <c r="K762" i="3" s="1"/>
  <c r="K761" i="3" a="1"/>
  <c r="K761" i="3" s="1"/>
  <c r="K760" i="3" a="1"/>
  <c r="K760" i="3" s="1"/>
  <c r="K759" i="3" a="1"/>
  <c r="K759" i="3" s="1"/>
  <c r="K758" i="3" a="1"/>
  <c r="K758" i="3" s="1"/>
  <c r="K757" i="3" a="1"/>
  <c r="K757" i="3" s="1"/>
  <c r="K756" i="3" a="1"/>
  <c r="K756" i="3" s="1"/>
  <c r="K755" i="3" a="1"/>
  <c r="K755" i="3" s="1"/>
  <c r="K754" i="3" a="1"/>
  <c r="K754" i="3" s="1"/>
  <c r="K753" i="3" a="1"/>
  <c r="K753" i="3" s="1"/>
  <c r="K752" i="3" a="1"/>
  <c r="K752" i="3" s="1"/>
  <c r="K751" i="3" a="1"/>
  <c r="K751" i="3" s="1"/>
  <c r="K750" i="3" a="1"/>
  <c r="K750" i="3" s="1"/>
  <c r="K749" i="3" a="1"/>
  <c r="K749" i="3" s="1"/>
  <c r="K748" i="3" a="1"/>
  <c r="K748" i="3" s="1"/>
  <c r="K747" i="3" a="1"/>
  <c r="K747" i="3" s="1"/>
  <c r="K746" i="3" a="1"/>
  <c r="K746" i="3" s="1"/>
  <c r="K745" i="3" a="1"/>
  <c r="K745" i="3" s="1"/>
  <c r="K744" i="3" a="1"/>
  <c r="K744" i="3" s="1"/>
  <c r="K743" i="3" a="1"/>
  <c r="K743" i="3" s="1"/>
  <c r="K742" i="3" a="1"/>
  <c r="K742" i="3" s="1"/>
  <c r="K741" i="3" a="1"/>
  <c r="K741" i="3" s="1"/>
  <c r="K740" i="3" a="1"/>
  <c r="K740" i="3" s="1"/>
  <c r="K739" i="3" a="1"/>
  <c r="K739" i="3" s="1"/>
  <c r="K738" i="3" a="1"/>
  <c r="K738" i="3" s="1"/>
  <c r="K737" i="3" a="1"/>
  <c r="K737" i="3" s="1"/>
  <c r="K736" i="3" a="1"/>
  <c r="K736" i="3" s="1"/>
  <c r="K735" i="3" a="1"/>
  <c r="K735" i="3" s="1"/>
  <c r="K734" i="3" a="1"/>
  <c r="K734" i="3" s="1"/>
  <c r="K733" i="3" a="1"/>
  <c r="K733" i="3" s="1"/>
  <c r="K732" i="3" a="1"/>
  <c r="K732" i="3" s="1"/>
  <c r="K731" i="3" a="1"/>
  <c r="K731" i="3" s="1"/>
  <c r="K730" i="3" a="1"/>
  <c r="K730" i="3" s="1"/>
  <c r="K729" i="3" a="1"/>
  <c r="K729" i="3" s="1"/>
  <c r="K728" i="3" a="1"/>
  <c r="K728" i="3" s="1"/>
  <c r="K727" i="3" a="1"/>
  <c r="K727" i="3" s="1"/>
  <c r="K726" i="3" a="1"/>
  <c r="K726" i="3" s="1"/>
  <c r="K725" i="3" a="1"/>
  <c r="K725" i="3" s="1"/>
  <c r="K724" i="3" a="1"/>
  <c r="K724" i="3" s="1"/>
  <c r="K723" i="3" a="1"/>
  <c r="K723" i="3" s="1"/>
  <c r="K722" i="3" a="1"/>
  <c r="K722" i="3" s="1"/>
  <c r="K721" i="3" a="1"/>
  <c r="K721" i="3" s="1"/>
  <c r="K720" i="3" a="1"/>
  <c r="K720" i="3" s="1"/>
  <c r="K719" i="3" a="1"/>
  <c r="K719" i="3" s="1"/>
  <c r="K718" i="3" a="1"/>
  <c r="K718" i="3" s="1"/>
  <c r="K717" i="3" a="1"/>
  <c r="K717" i="3" s="1"/>
  <c r="K716" i="3" a="1"/>
  <c r="K716" i="3" s="1"/>
  <c r="K715" i="3" a="1"/>
  <c r="K715" i="3" s="1"/>
  <c r="K714" i="3" a="1"/>
  <c r="K714" i="3" s="1"/>
  <c r="K713" i="3" a="1"/>
  <c r="K713" i="3" s="1"/>
  <c r="K712" i="3" a="1"/>
  <c r="K712" i="3" s="1"/>
  <c r="K711" i="3" a="1"/>
  <c r="K711" i="3" s="1"/>
  <c r="K710" i="3" a="1"/>
  <c r="K710" i="3" s="1"/>
  <c r="K709" i="3" a="1"/>
  <c r="K709" i="3" s="1"/>
  <c r="K708" i="3" a="1"/>
  <c r="K708" i="3" s="1"/>
  <c r="K707" i="3" a="1"/>
  <c r="K707" i="3" s="1"/>
  <c r="K706" i="3" a="1"/>
  <c r="K706" i="3" s="1"/>
  <c r="K705" i="3" a="1"/>
  <c r="K705" i="3" s="1"/>
  <c r="K704" i="3" a="1"/>
  <c r="K704" i="3" s="1"/>
  <c r="K703" i="3" a="1"/>
  <c r="K703" i="3" s="1"/>
  <c r="K702" i="3" a="1"/>
  <c r="K702" i="3" s="1"/>
  <c r="K701" i="3" a="1"/>
  <c r="K701" i="3" s="1"/>
  <c r="K700" i="3" a="1"/>
  <c r="K700" i="3" s="1"/>
  <c r="K699" i="3" a="1"/>
  <c r="K699" i="3" s="1"/>
  <c r="K698" i="3" a="1"/>
  <c r="K698" i="3" s="1"/>
  <c r="K697" i="3" a="1"/>
  <c r="K697" i="3" s="1"/>
  <c r="K696" i="3" a="1"/>
  <c r="K696" i="3" s="1"/>
  <c r="K695" i="3" a="1"/>
  <c r="K695" i="3" s="1"/>
  <c r="K694" i="3" a="1"/>
  <c r="K694" i="3" s="1"/>
  <c r="K693" i="3" a="1"/>
  <c r="K693" i="3" s="1"/>
  <c r="K692" i="3" a="1"/>
  <c r="K692" i="3" s="1"/>
  <c r="K691" i="3" a="1"/>
  <c r="K691" i="3" s="1"/>
  <c r="K690" i="3" a="1"/>
  <c r="K690" i="3" s="1"/>
  <c r="K689" i="3" a="1"/>
  <c r="K689" i="3" s="1"/>
  <c r="K688" i="3" a="1"/>
  <c r="K688" i="3" s="1"/>
  <c r="K687" i="3" a="1"/>
  <c r="K687" i="3" s="1"/>
  <c r="K686" i="3" a="1"/>
  <c r="K686" i="3" s="1"/>
  <c r="K685" i="3" a="1"/>
  <c r="K685" i="3" s="1"/>
  <c r="K684" i="3" a="1"/>
  <c r="K684" i="3" s="1"/>
  <c r="K683" i="3" a="1"/>
  <c r="K683" i="3" s="1"/>
  <c r="K682" i="3" a="1"/>
  <c r="K682" i="3" s="1"/>
  <c r="K681" i="3" a="1"/>
  <c r="K681" i="3" s="1"/>
  <c r="K680" i="3" a="1"/>
  <c r="K680" i="3" s="1"/>
  <c r="K679" i="3" a="1"/>
  <c r="K679" i="3" s="1"/>
  <c r="K678" i="3" a="1"/>
  <c r="K678" i="3" s="1"/>
  <c r="K677" i="3" a="1"/>
  <c r="K677" i="3" s="1"/>
  <c r="K676" i="3" a="1"/>
  <c r="K676" i="3" s="1"/>
  <c r="K675" i="3" a="1"/>
  <c r="K675" i="3" s="1"/>
  <c r="K674" i="3" a="1"/>
  <c r="K674" i="3" s="1"/>
  <c r="K673" i="3" a="1"/>
  <c r="K673" i="3" s="1"/>
  <c r="K672" i="3" a="1"/>
  <c r="K672" i="3" s="1"/>
  <c r="K671" i="3" a="1"/>
  <c r="K671" i="3" s="1"/>
  <c r="K670" i="3" a="1"/>
  <c r="K670" i="3" s="1"/>
  <c r="K669" i="3" a="1"/>
  <c r="K669" i="3" s="1"/>
  <c r="K668" i="3" a="1"/>
  <c r="K668" i="3" s="1"/>
  <c r="K667" i="3" a="1"/>
  <c r="K667" i="3" s="1"/>
  <c r="K666" i="3" a="1"/>
  <c r="K666" i="3" s="1"/>
  <c r="K665" i="3" a="1"/>
  <c r="K665" i="3" s="1"/>
  <c r="K664" i="3" a="1"/>
  <c r="K664" i="3" s="1"/>
  <c r="K663" i="3" a="1"/>
  <c r="K663" i="3" s="1"/>
  <c r="K662" i="3" a="1"/>
  <c r="K662" i="3" s="1"/>
  <c r="K661" i="3" a="1"/>
  <c r="K661" i="3" s="1"/>
  <c r="K660" i="3" a="1"/>
  <c r="K660" i="3" s="1"/>
  <c r="K659" i="3" a="1"/>
  <c r="K659" i="3" s="1"/>
  <c r="K658" i="3" a="1"/>
  <c r="K658" i="3" s="1"/>
  <c r="K657" i="3" a="1"/>
  <c r="K657" i="3" s="1"/>
  <c r="K656" i="3" a="1"/>
  <c r="K656" i="3" s="1"/>
  <c r="K655" i="3" a="1"/>
  <c r="K655" i="3" s="1"/>
  <c r="K654" i="3" a="1"/>
  <c r="K654" i="3" s="1"/>
  <c r="K653" i="3" a="1"/>
  <c r="K653" i="3" s="1"/>
  <c r="K652" i="3" a="1"/>
  <c r="K652" i="3" s="1"/>
  <c r="K651" i="3" a="1"/>
  <c r="K651" i="3" s="1"/>
  <c r="K650" i="3" a="1"/>
  <c r="K650" i="3" s="1"/>
  <c r="K649" i="3" a="1"/>
  <c r="K649" i="3" s="1"/>
  <c r="K648" i="3" a="1"/>
  <c r="K648" i="3" s="1"/>
  <c r="K647" i="3" a="1"/>
  <c r="K647" i="3" s="1"/>
  <c r="K646" i="3" a="1"/>
  <c r="K646" i="3" s="1"/>
  <c r="K645" i="3" a="1"/>
  <c r="K645" i="3" s="1"/>
  <c r="K644" i="3" a="1"/>
  <c r="K644" i="3" s="1"/>
  <c r="K643" i="3" a="1"/>
  <c r="K643" i="3" s="1"/>
  <c r="K642" i="3" a="1"/>
  <c r="K642" i="3" s="1"/>
  <c r="K641" i="3" a="1"/>
  <c r="K641" i="3" s="1"/>
  <c r="K640" i="3" a="1"/>
  <c r="K640" i="3" s="1"/>
  <c r="K639" i="3" a="1"/>
  <c r="K639" i="3" s="1"/>
  <c r="K638" i="3" a="1"/>
  <c r="K638" i="3" s="1"/>
  <c r="K637" i="3" a="1"/>
  <c r="K637" i="3" s="1"/>
  <c r="K636" i="3" a="1"/>
  <c r="K636" i="3" s="1"/>
  <c r="K635" i="3" a="1"/>
  <c r="K635" i="3" s="1"/>
  <c r="K634" i="3" a="1"/>
  <c r="K634" i="3" s="1"/>
  <c r="K633" i="3" a="1"/>
  <c r="K633" i="3" s="1"/>
  <c r="K632" i="3" a="1"/>
  <c r="K632" i="3" s="1"/>
  <c r="K631" i="3" a="1"/>
  <c r="K631" i="3" s="1"/>
  <c r="K630" i="3" a="1"/>
  <c r="K630" i="3" s="1"/>
  <c r="K629" i="3" a="1"/>
  <c r="K629" i="3" s="1"/>
  <c r="K628" i="3" a="1"/>
  <c r="K628" i="3" s="1"/>
  <c r="K627" i="3" a="1"/>
  <c r="K627" i="3" s="1"/>
  <c r="K626" i="3" a="1"/>
  <c r="K626" i="3" s="1"/>
  <c r="K625" i="3" a="1"/>
  <c r="K625" i="3" s="1"/>
  <c r="K624" i="3" a="1"/>
  <c r="K624" i="3" s="1"/>
  <c r="K623" i="3" a="1"/>
  <c r="K623" i="3" s="1"/>
  <c r="K622" i="3" a="1"/>
  <c r="K622" i="3" s="1"/>
  <c r="K621" i="3" a="1"/>
  <c r="K621" i="3" s="1"/>
  <c r="K620" i="3" a="1"/>
  <c r="K620" i="3" s="1"/>
  <c r="K619" i="3" a="1"/>
  <c r="K619" i="3" s="1"/>
  <c r="K618" i="3" a="1"/>
  <c r="K618" i="3" s="1"/>
  <c r="K617" i="3" a="1"/>
  <c r="K617" i="3" s="1"/>
  <c r="K616" i="3" a="1"/>
  <c r="K616" i="3" s="1"/>
  <c r="K615" i="3" a="1"/>
  <c r="K615" i="3" s="1"/>
  <c r="K614" i="3" a="1"/>
  <c r="K614" i="3" s="1"/>
  <c r="K613" i="3" a="1"/>
  <c r="K613" i="3" s="1"/>
  <c r="K612" i="3" a="1"/>
  <c r="K612" i="3" s="1"/>
  <c r="K611" i="3" a="1"/>
  <c r="K611" i="3" s="1"/>
  <c r="K610" i="3" a="1"/>
  <c r="K610" i="3" s="1"/>
  <c r="K609" i="3" a="1"/>
  <c r="K609" i="3" s="1"/>
  <c r="K608" i="3" a="1"/>
  <c r="K608" i="3" s="1"/>
  <c r="K607" i="3" a="1"/>
  <c r="K607" i="3" s="1"/>
  <c r="K606" i="3" a="1"/>
  <c r="K606" i="3" s="1"/>
  <c r="K605" i="3" a="1"/>
  <c r="K605" i="3" s="1"/>
  <c r="K604" i="3" a="1"/>
  <c r="K604" i="3" s="1"/>
  <c r="K603" i="3" a="1"/>
  <c r="K603" i="3" s="1"/>
  <c r="K602" i="3" a="1"/>
  <c r="K602" i="3" s="1"/>
  <c r="K601" i="3" a="1"/>
  <c r="K601" i="3" s="1"/>
  <c r="K600" i="3" a="1"/>
  <c r="K600" i="3" s="1"/>
  <c r="K599" i="3" a="1"/>
  <c r="K599" i="3" s="1"/>
  <c r="K598" i="3" a="1"/>
  <c r="K598" i="3" s="1"/>
  <c r="K597" i="3" a="1"/>
  <c r="K597" i="3" s="1"/>
  <c r="K596" i="3" a="1"/>
  <c r="K596" i="3" s="1"/>
  <c r="K595" i="3" a="1"/>
  <c r="K595" i="3" s="1"/>
  <c r="K594" i="3" a="1"/>
  <c r="K594" i="3" s="1"/>
  <c r="K593" i="3" a="1"/>
  <c r="K593" i="3" s="1"/>
  <c r="K592" i="3" a="1"/>
  <c r="K592" i="3" s="1"/>
  <c r="K591" i="3" a="1"/>
  <c r="K591" i="3" s="1"/>
  <c r="K590" i="3" a="1"/>
  <c r="K590" i="3" s="1"/>
  <c r="K589" i="3" a="1"/>
  <c r="K589" i="3" s="1"/>
  <c r="K588" i="3" a="1"/>
  <c r="K588" i="3" s="1"/>
  <c r="K587" i="3" a="1"/>
  <c r="K587" i="3" s="1"/>
  <c r="K586" i="3" a="1"/>
  <c r="K586" i="3" s="1"/>
  <c r="K585" i="3" a="1"/>
  <c r="K585" i="3" s="1"/>
  <c r="K584" i="3" a="1"/>
  <c r="K584" i="3" s="1"/>
  <c r="K583" i="3" a="1"/>
  <c r="K583" i="3" s="1"/>
  <c r="K582" i="3" a="1"/>
  <c r="K582" i="3" s="1"/>
  <c r="K581" i="3" a="1"/>
  <c r="K581" i="3" s="1"/>
  <c r="K580" i="3" a="1"/>
  <c r="K580" i="3" s="1"/>
  <c r="K579" i="3" a="1"/>
  <c r="K579" i="3" s="1"/>
  <c r="K578" i="3" a="1"/>
  <c r="K578" i="3" s="1"/>
  <c r="K577" i="3" a="1"/>
  <c r="K577" i="3" s="1"/>
  <c r="K576" i="3" a="1"/>
  <c r="K576" i="3" s="1"/>
  <c r="K575" i="3" a="1"/>
  <c r="K575" i="3" s="1"/>
  <c r="K574" i="3" a="1"/>
  <c r="K574" i="3" s="1"/>
  <c r="K573" i="3" a="1"/>
  <c r="K573" i="3" s="1"/>
  <c r="K572" i="3" a="1"/>
  <c r="K572" i="3" s="1"/>
  <c r="K571" i="3" a="1"/>
  <c r="K571" i="3" s="1"/>
  <c r="K570" i="3" a="1"/>
  <c r="K570" i="3" s="1"/>
  <c r="K569" i="3" a="1"/>
  <c r="K569" i="3" s="1"/>
  <c r="K568" i="3" a="1"/>
  <c r="K568" i="3" s="1"/>
  <c r="K567" i="3" a="1"/>
  <c r="K567" i="3" s="1"/>
  <c r="K566" i="3" a="1"/>
  <c r="K566" i="3" s="1"/>
  <c r="K565" i="3" a="1"/>
  <c r="K565" i="3" s="1"/>
  <c r="K564" i="3" a="1"/>
  <c r="K564" i="3" s="1"/>
  <c r="K563" i="3" a="1"/>
  <c r="K563" i="3" s="1"/>
  <c r="K562" i="3" a="1"/>
  <c r="K562" i="3" s="1"/>
  <c r="K561" i="3" a="1"/>
  <c r="K561" i="3" s="1"/>
  <c r="K560" i="3" a="1"/>
  <c r="K560" i="3" s="1"/>
  <c r="K559" i="3" a="1"/>
  <c r="K559" i="3" s="1"/>
  <c r="K558" i="3" a="1"/>
  <c r="K558" i="3" s="1"/>
  <c r="K557" i="3" a="1"/>
  <c r="K557" i="3" s="1"/>
  <c r="K556" i="3" a="1"/>
  <c r="K556" i="3" s="1"/>
  <c r="K555" i="3" a="1"/>
  <c r="K555" i="3" s="1"/>
  <c r="K554" i="3" a="1"/>
  <c r="K554" i="3" s="1"/>
  <c r="K553" i="3" a="1"/>
  <c r="K553" i="3" s="1"/>
  <c r="K552" i="3" a="1"/>
  <c r="K552" i="3" s="1"/>
  <c r="K551" i="3" a="1"/>
  <c r="K551" i="3" s="1"/>
  <c r="K550" i="3" a="1"/>
  <c r="K550" i="3" s="1"/>
  <c r="K549" i="3" a="1"/>
  <c r="K549" i="3" s="1"/>
  <c r="K548" i="3" a="1"/>
  <c r="K548" i="3" s="1"/>
  <c r="K547" i="3" a="1"/>
  <c r="K547" i="3" s="1"/>
  <c r="K546" i="3" a="1"/>
  <c r="K546" i="3" s="1"/>
  <c r="K545" i="3" a="1"/>
  <c r="K545" i="3" s="1"/>
  <c r="K544" i="3" a="1"/>
  <c r="K544" i="3" s="1"/>
  <c r="K543" i="3" a="1"/>
  <c r="K543" i="3" s="1"/>
  <c r="K542" i="3" a="1"/>
  <c r="K542" i="3" s="1"/>
  <c r="K541" i="3" a="1"/>
  <c r="K541" i="3" s="1"/>
  <c r="K540" i="3" a="1"/>
  <c r="K540" i="3" s="1"/>
  <c r="K539" i="3" a="1"/>
  <c r="K539" i="3" s="1"/>
  <c r="K538" i="3" a="1"/>
  <c r="K538" i="3" s="1"/>
  <c r="K537" i="3" a="1"/>
  <c r="K537" i="3" s="1"/>
  <c r="K536" i="3" a="1"/>
  <c r="K536" i="3" s="1"/>
  <c r="K535" i="3" a="1"/>
  <c r="K535" i="3" s="1"/>
  <c r="K534" i="3" a="1"/>
  <c r="K534" i="3" s="1"/>
  <c r="K533" i="3" a="1"/>
  <c r="K533" i="3" s="1"/>
  <c r="K532" i="3" a="1"/>
  <c r="K532" i="3" s="1"/>
  <c r="K531" i="3" a="1"/>
  <c r="K531" i="3" s="1"/>
  <c r="K530" i="3" a="1"/>
  <c r="K530" i="3" s="1"/>
  <c r="K529" i="3" a="1"/>
  <c r="K529" i="3" s="1"/>
  <c r="K528" i="3" a="1"/>
  <c r="K528" i="3" s="1"/>
  <c r="K527" i="3" a="1"/>
  <c r="K527" i="3" s="1"/>
  <c r="K526" i="3" a="1"/>
  <c r="K526" i="3" s="1"/>
  <c r="K525" i="3" a="1"/>
  <c r="K525" i="3" s="1"/>
  <c r="K524" i="3" a="1"/>
  <c r="K524" i="3" s="1"/>
  <c r="K523" i="3" a="1"/>
  <c r="K523" i="3" s="1"/>
  <c r="K522" i="3" a="1"/>
  <c r="K522" i="3" s="1"/>
  <c r="K521" i="3" a="1"/>
  <c r="K521" i="3" s="1"/>
  <c r="K520" i="3" a="1"/>
  <c r="K520" i="3" s="1"/>
  <c r="K519" i="3" a="1"/>
  <c r="K519" i="3" s="1"/>
  <c r="K518" i="3" a="1"/>
  <c r="K518" i="3" s="1"/>
  <c r="K517" i="3" a="1"/>
  <c r="K517" i="3" s="1"/>
  <c r="K516" i="3" a="1"/>
  <c r="K516" i="3" s="1"/>
  <c r="K515" i="3" a="1"/>
  <c r="K515" i="3" s="1"/>
  <c r="K514" i="3" a="1"/>
  <c r="K514" i="3" s="1"/>
  <c r="K513" i="3" a="1"/>
  <c r="K513" i="3" s="1"/>
  <c r="K512" i="3" a="1"/>
  <c r="K512" i="3" s="1"/>
  <c r="K511" i="3" a="1"/>
  <c r="K511" i="3" s="1"/>
  <c r="K510" i="3" a="1"/>
  <c r="K510" i="3" s="1"/>
  <c r="K509" i="3" a="1"/>
  <c r="K509" i="3" s="1"/>
  <c r="K508" i="3" a="1"/>
  <c r="K508" i="3" s="1"/>
  <c r="K507" i="3" a="1"/>
  <c r="K507" i="3" s="1"/>
  <c r="K506" i="3" a="1"/>
  <c r="K506" i="3" s="1"/>
  <c r="K505" i="3" a="1"/>
  <c r="K505" i="3" s="1"/>
  <c r="K504" i="3" a="1"/>
  <c r="K504" i="3" s="1"/>
  <c r="K503" i="3" a="1"/>
  <c r="K503" i="3" s="1"/>
  <c r="J1000" i="3" a="1"/>
  <c r="J1000" i="3" s="1"/>
  <c r="J999" i="3" a="1"/>
  <c r="J999" i="3" s="1"/>
  <c r="J998" i="3" a="1"/>
  <c r="J998" i="3" s="1"/>
  <c r="J997" i="3" a="1"/>
  <c r="J997" i="3" s="1"/>
  <c r="J996" i="3" a="1"/>
  <c r="J996" i="3" s="1"/>
  <c r="J995" i="3" a="1"/>
  <c r="J995" i="3" s="1"/>
  <c r="J994" i="3" a="1"/>
  <c r="J994" i="3" s="1"/>
  <c r="J993" i="3" a="1"/>
  <c r="J993" i="3" s="1"/>
  <c r="J992" i="3" a="1"/>
  <c r="J992" i="3" s="1"/>
  <c r="J991" i="3" a="1"/>
  <c r="J991" i="3" s="1"/>
  <c r="J990" i="3" a="1"/>
  <c r="J990" i="3" s="1"/>
  <c r="J989" i="3" a="1"/>
  <c r="J989" i="3" s="1"/>
  <c r="J988" i="3" a="1"/>
  <c r="J988" i="3" s="1"/>
  <c r="J987" i="3" a="1"/>
  <c r="J987" i="3" s="1"/>
  <c r="J986" i="3" a="1"/>
  <c r="J986" i="3" s="1"/>
  <c r="J985" i="3" a="1"/>
  <c r="J985" i="3" s="1"/>
  <c r="J984" i="3" a="1"/>
  <c r="J984" i="3" s="1"/>
  <c r="J983" i="3" a="1"/>
  <c r="J983" i="3" s="1"/>
  <c r="J982" i="3" a="1"/>
  <c r="J982" i="3" s="1"/>
  <c r="J981" i="3" a="1"/>
  <c r="J981" i="3" s="1"/>
  <c r="J980" i="3" a="1"/>
  <c r="J980" i="3" s="1"/>
  <c r="J979" i="3" a="1"/>
  <c r="J979" i="3" s="1"/>
  <c r="J978" i="3" a="1"/>
  <c r="J978" i="3" s="1"/>
  <c r="J977" i="3" a="1"/>
  <c r="J977" i="3" s="1"/>
  <c r="J976" i="3" a="1"/>
  <c r="J976" i="3" s="1"/>
  <c r="J975" i="3" a="1"/>
  <c r="J975" i="3" s="1"/>
  <c r="J974" i="3" a="1"/>
  <c r="J974" i="3" s="1"/>
  <c r="J973" i="3" a="1"/>
  <c r="J973" i="3" s="1"/>
  <c r="J972" i="3" a="1"/>
  <c r="J972" i="3" s="1"/>
  <c r="J971" i="3" a="1"/>
  <c r="J971" i="3" s="1"/>
  <c r="J970" i="3" a="1"/>
  <c r="J970" i="3" s="1"/>
  <c r="J969" i="3" a="1"/>
  <c r="J969" i="3" s="1"/>
  <c r="J968" i="3" a="1"/>
  <c r="J968" i="3" s="1"/>
  <c r="J967" i="3" a="1"/>
  <c r="J967" i="3" s="1"/>
  <c r="J966" i="3" a="1"/>
  <c r="J966" i="3" s="1"/>
  <c r="J965" i="3" a="1"/>
  <c r="J965" i="3" s="1"/>
  <c r="J964" i="3" a="1"/>
  <c r="J964" i="3" s="1"/>
  <c r="J963" i="3" a="1"/>
  <c r="J963" i="3" s="1"/>
  <c r="J962" i="3" a="1"/>
  <c r="J962" i="3" s="1"/>
  <c r="J961" i="3" a="1"/>
  <c r="J961" i="3" s="1"/>
  <c r="J960" i="3" a="1"/>
  <c r="J960" i="3" s="1"/>
  <c r="J959" i="3" a="1"/>
  <c r="J959" i="3" s="1"/>
  <c r="J958" i="3" a="1"/>
  <c r="J958" i="3" s="1"/>
  <c r="J957" i="3" a="1"/>
  <c r="J957" i="3" s="1"/>
  <c r="J956" i="3" a="1"/>
  <c r="J956" i="3" s="1"/>
  <c r="J955" i="3" a="1"/>
  <c r="J955" i="3" s="1"/>
  <c r="J954" i="3" a="1"/>
  <c r="J954" i="3" s="1"/>
  <c r="J953" i="3" a="1"/>
  <c r="J953" i="3" s="1"/>
  <c r="J952" i="3" a="1"/>
  <c r="J952" i="3" s="1"/>
  <c r="J951" i="3" a="1"/>
  <c r="J951" i="3" s="1"/>
  <c r="J950" i="3" a="1"/>
  <c r="J950" i="3" s="1"/>
  <c r="J949" i="3" a="1"/>
  <c r="J949" i="3" s="1"/>
  <c r="J948" i="3" a="1"/>
  <c r="J948" i="3" s="1"/>
  <c r="J947" i="3" a="1"/>
  <c r="J947" i="3" s="1"/>
  <c r="J946" i="3" a="1"/>
  <c r="J946" i="3" s="1"/>
  <c r="J945" i="3" a="1"/>
  <c r="J945" i="3" s="1"/>
  <c r="J944" i="3" a="1"/>
  <c r="J944" i="3" s="1"/>
  <c r="J943" i="3" a="1"/>
  <c r="J943" i="3" s="1"/>
  <c r="J942" i="3" a="1"/>
  <c r="J942" i="3" s="1"/>
  <c r="J941" i="3" a="1"/>
  <c r="J941" i="3" s="1"/>
  <c r="J940" i="3" a="1"/>
  <c r="J940" i="3" s="1"/>
  <c r="J939" i="3" a="1"/>
  <c r="J939" i="3" s="1"/>
  <c r="J938" i="3" a="1"/>
  <c r="J938" i="3" s="1"/>
  <c r="J937" i="3" a="1"/>
  <c r="J937" i="3" s="1"/>
  <c r="J936" i="3" a="1"/>
  <c r="J936" i="3" s="1"/>
  <c r="J935" i="3" a="1"/>
  <c r="J935" i="3" s="1"/>
  <c r="J934" i="3" a="1"/>
  <c r="J934" i="3" s="1"/>
  <c r="J933" i="3" a="1"/>
  <c r="J933" i="3" s="1"/>
  <c r="J932" i="3" a="1"/>
  <c r="J932" i="3" s="1"/>
  <c r="J931" i="3" a="1"/>
  <c r="J931" i="3" s="1"/>
  <c r="J930" i="3" a="1"/>
  <c r="J930" i="3" s="1"/>
  <c r="J929" i="3" a="1"/>
  <c r="J929" i="3" s="1"/>
  <c r="J928" i="3" a="1"/>
  <c r="J928" i="3" s="1"/>
  <c r="J927" i="3" a="1"/>
  <c r="J927" i="3" s="1"/>
  <c r="J926" i="3" a="1"/>
  <c r="J926" i="3" s="1"/>
  <c r="J925" i="3" a="1"/>
  <c r="J925" i="3" s="1"/>
  <c r="J924" i="3" a="1"/>
  <c r="J924" i="3" s="1"/>
  <c r="J923" i="3" a="1"/>
  <c r="J923" i="3" s="1"/>
  <c r="J922" i="3" a="1"/>
  <c r="J922" i="3" s="1"/>
  <c r="J921" i="3" a="1"/>
  <c r="J921" i="3" s="1"/>
  <c r="J920" i="3" a="1"/>
  <c r="J920" i="3" s="1"/>
  <c r="J919" i="3" a="1"/>
  <c r="J919" i="3" s="1"/>
  <c r="J918" i="3" a="1"/>
  <c r="J918" i="3" s="1"/>
  <c r="J917" i="3" a="1"/>
  <c r="J917" i="3" s="1"/>
  <c r="J916" i="3" a="1"/>
  <c r="J916" i="3" s="1"/>
  <c r="J915" i="3" a="1"/>
  <c r="J915" i="3" s="1"/>
  <c r="J914" i="3" a="1"/>
  <c r="J914" i="3" s="1"/>
  <c r="J913" i="3" a="1"/>
  <c r="J913" i="3" s="1"/>
  <c r="J912" i="3" a="1"/>
  <c r="J912" i="3" s="1"/>
  <c r="J911" i="3" a="1"/>
  <c r="J911" i="3" s="1"/>
  <c r="J910" i="3" a="1"/>
  <c r="J910" i="3" s="1"/>
  <c r="J909" i="3" a="1"/>
  <c r="J909" i="3" s="1"/>
  <c r="J908" i="3" a="1"/>
  <c r="J908" i="3" s="1"/>
  <c r="J907" i="3" a="1"/>
  <c r="J907" i="3" s="1"/>
  <c r="J906" i="3" a="1"/>
  <c r="J906" i="3" s="1"/>
  <c r="J905" i="3" a="1"/>
  <c r="J905" i="3" s="1"/>
  <c r="J904" i="3" a="1"/>
  <c r="J904" i="3" s="1"/>
  <c r="J903" i="3" a="1"/>
  <c r="J903" i="3" s="1"/>
  <c r="J902" i="3" a="1"/>
  <c r="J902" i="3" s="1"/>
  <c r="J901" i="3" a="1"/>
  <c r="J901" i="3" s="1"/>
  <c r="J900" i="3" a="1"/>
  <c r="J900" i="3" s="1"/>
  <c r="J899" i="3" a="1"/>
  <c r="J899" i="3" s="1"/>
  <c r="J898" i="3" a="1"/>
  <c r="J898" i="3" s="1"/>
  <c r="J897" i="3" a="1"/>
  <c r="J897" i="3" s="1"/>
  <c r="J896" i="3" a="1"/>
  <c r="J896" i="3" s="1"/>
  <c r="J895" i="3" a="1"/>
  <c r="J895" i="3" s="1"/>
  <c r="J894" i="3" a="1"/>
  <c r="J894" i="3" s="1"/>
  <c r="J893" i="3" a="1"/>
  <c r="J893" i="3" s="1"/>
  <c r="J892" i="3" a="1"/>
  <c r="J892" i="3" s="1"/>
  <c r="J891" i="3" a="1"/>
  <c r="J891" i="3" s="1"/>
  <c r="J890" i="3" a="1"/>
  <c r="J890" i="3" s="1"/>
  <c r="J889" i="3" a="1"/>
  <c r="J889" i="3" s="1"/>
  <c r="J888" i="3" a="1"/>
  <c r="J888" i="3" s="1"/>
  <c r="J887" i="3" a="1"/>
  <c r="J887" i="3" s="1"/>
  <c r="J886" i="3" a="1"/>
  <c r="J886" i="3" s="1"/>
  <c r="J885" i="3" a="1"/>
  <c r="J885" i="3" s="1"/>
  <c r="J884" i="3" a="1"/>
  <c r="J884" i="3" s="1"/>
  <c r="J883" i="3" a="1"/>
  <c r="J883" i="3" s="1"/>
  <c r="J882" i="3" a="1"/>
  <c r="J882" i="3" s="1"/>
  <c r="J881" i="3" a="1"/>
  <c r="J881" i="3" s="1"/>
  <c r="J880" i="3" a="1"/>
  <c r="J880" i="3" s="1"/>
  <c r="J879" i="3" a="1"/>
  <c r="J879" i="3" s="1"/>
  <c r="J878" i="3" a="1"/>
  <c r="J878" i="3" s="1"/>
  <c r="J877" i="3" a="1"/>
  <c r="J877" i="3" s="1"/>
  <c r="J876" i="3" a="1"/>
  <c r="J876" i="3" s="1"/>
  <c r="J875" i="3" a="1"/>
  <c r="J875" i="3" s="1"/>
  <c r="J874" i="3" a="1"/>
  <c r="J874" i="3" s="1"/>
  <c r="J873" i="3" a="1"/>
  <c r="J873" i="3" s="1"/>
  <c r="J872" i="3" a="1"/>
  <c r="J872" i="3" s="1"/>
  <c r="J871" i="3" a="1"/>
  <c r="J871" i="3" s="1"/>
  <c r="J870" i="3" a="1"/>
  <c r="J870" i="3" s="1"/>
  <c r="J869" i="3" a="1"/>
  <c r="J869" i="3" s="1"/>
  <c r="J868" i="3" a="1"/>
  <c r="J868" i="3" s="1"/>
  <c r="J867" i="3" a="1"/>
  <c r="J867" i="3" s="1"/>
  <c r="J866" i="3" a="1"/>
  <c r="J866" i="3" s="1"/>
  <c r="J865" i="3" a="1"/>
  <c r="J865" i="3" s="1"/>
  <c r="J864" i="3" a="1"/>
  <c r="J864" i="3" s="1"/>
  <c r="J863" i="3" a="1"/>
  <c r="J863" i="3" s="1"/>
  <c r="J862" i="3" a="1"/>
  <c r="J862" i="3" s="1"/>
  <c r="J861" i="3" a="1"/>
  <c r="J861" i="3" s="1"/>
  <c r="J860" i="3" a="1"/>
  <c r="J860" i="3" s="1"/>
  <c r="J859" i="3" a="1"/>
  <c r="J859" i="3" s="1"/>
  <c r="J858" i="3" a="1"/>
  <c r="J858" i="3" s="1"/>
  <c r="J857" i="3" a="1"/>
  <c r="J857" i="3" s="1"/>
  <c r="J856" i="3" a="1"/>
  <c r="J856" i="3" s="1"/>
  <c r="J855" i="3" a="1"/>
  <c r="J855" i="3" s="1"/>
  <c r="J854" i="3" a="1"/>
  <c r="J854" i="3" s="1"/>
  <c r="J853" i="3" a="1"/>
  <c r="J853" i="3" s="1"/>
  <c r="J852" i="3" a="1"/>
  <c r="J852" i="3" s="1"/>
  <c r="J851" i="3" a="1"/>
  <c r="J851" i="3" s="1"/>
  <c r="J850" i="3" a="1"/>
  <c r="J850" i="3" s="1"/>
  <c r="J849" i="3" a="1"/>
  <c r="J849" i="3" s="1"/>
  <c r="J848" i="3" a="1"/>
  <c r="J848" i="3" s="1"/>
  <c r="J847" i="3" a="1"/>
  <c r="J847" i="3" s="1"/>
  <c r="J846" i="3" a="1"/>
  <c r="J846" i="3" s="1"/>
  <c r="J845" i="3" a="1"/>
  <c r="J845" i="3" s="1"/>
  <c r="J844" i="3" a="1"/>
  <c r="J844" i="3" s="1"/>
  <c r="J843" i="3" a="1"/>
  <c r="J843" i="3" s="1"/>
  <c r="J842" i="3" a="1"/>
  <c r="J842" i="3" s="1"/>
  <c r="J841" i="3" a="1"/>
  <c r="J841" i="3" s="1"/>
  <c r="J840" i="3" a="1"/>
  <c r="J840" i="3" s="1"/>
  <c r="J839" i="3" a="1"/>
  <c r="J839" i="3" s="1"/>
  <c r="J838" i="3" a="1"/>
  <c r="J838" i="3" s="1"/>
  <c r="J837" i="3" a="1"/>
  <c r="J837" i="3" s="1"/>
  <c r="J836" i="3" a="1"/>
  <c r="J836" i="3" s="1"/>
  <c r="J835" i="3" a="1"/>
  <c r="J835" i="3" s="1"/>
  <c r="J834" i="3" a="1"/>
  <c r="J834" i="3" s="1"/>
  <c r="J833" i="3" a="1"/>
  <c r="J833" i="3" s="1"/>
  <c r="J832" i="3" a="1"/>
  <c r="J832" i="3" s="1"/>
  <c r="J831" i="3" a="1"/>
  <c r="J831" i="3" s="1"/>
  <c r="J830" i="3" a="1"/>
  <c r="J830" i="3" s="1"/>
  <c r="J829" i="3" a="1"/>
  <c r="J829" i="3" s="1"/>
  <c r="J828" i="3" a="1"/>
  <c r="J828" i="3" s="1"/>
  <c r="J827" i="3" a="1"/>
  <c r="J827" i="3" s="1"/>
  <c r="J826" i="3" a="1"/>
  <c r="J826" i="3" s="1"/>
  <c r="J825" i="3" a="1"/>
  <c r="J825" i="3" s="1"/>
  <c r="J824" i="3" a="1"/>
  <c r="J824" i="3" s="1"/>
  <c r="J823" i="3" a="1"/>
  <c r="J823" i="3" s="1"/>
  <c r="J822" i="3" a="1"/>
  <c r="J822" i="3" s="1"/>
  <c r="J821" i="3" a="1"/>
  <c r="J821" i="3" s="1"/>
  <c r="J820" i="3" a="1"/>
  <c r="J820" i="3" s="1"/>
  <c r="J819" i="3" a="1"/>
  <c r="J819" i="3" s="1"/>
  <c r="J818" i="3" a="1"/>
  <c r="J818" i="3" s="1"/>
  <c r="J817" i="3" a="1"/>
  <c r="J817" i="3" s="1"/>
  <c r="J816" i="3" a="1"/>
  <c r="J816" i="3" s="1"/>
  <c r="J815" i="3" a="1"/>
  <c r="J815" i="3" s="1"/>
  <c r="J814" i="3" a="1"/>
  <c r="J814" i="3" s="1"/>
  <c r="J813" i="3" a="1"/>
  <c r="J813" i="3" s="1"/>
  <c r="J812" i="3" a="1"/>
  <c r="J812" i="3" s="1"/>
  <c r="J811" i="3" a="1"/>
  <c r="J811" i="3" s="1"/>
  <c r="J810" i="3" a="1"/>
  <c r="J810" i="3" s="1"/>
  <c r="J809" i="3" a="1"/>
  <c r="J809" i="3" s="1"/>
  <c r="J808" i="3" a="1"/>
  <c r="J808" i="3" s="1"/>
  <c r="J807" i="3" a="1"/>
  <c r="J807" i="3" s="1"/>
  <c r="J806" i="3" a="1"/>
  <c r="J806" i="3" s="1"/>
  <c r="J805" i="3" a="1"/>
  <c r="J805" i="3" s="1"/>
  <c r="J804" i="3" a="1"/>
  <c r="J804" i="3" s="1"/>
  <c r="J803" i="3" a="1"/>
  <c r="J803" i="3" s="1"/>
  <c r="J802" i="3" a="1"/>
  <c r="J802" i="3" s="1"/>
  <c r="J801" i="3" a="1"/>
  <c r="J801" i="3" s="1"/>
  <c r="J800" i="3" a="1"/>
  <c r="J800" i="3" s="1"/>
  <c r="J799" i="3" a="1"/>
  <c r="J799" i="3" s="1"/>
  <c r="J798" i="3" a="1"/>
  <c r="J798" i="3" s="1"/>
  <c r="J797" i="3" a="1"/>
  <c r="J797" i="3" s="1"/>
  <c r="J796" i="3" a="1"/>
  <c r="J796" i="3" s="1"/>
  <c r="J795" i="3" a="1"/>
  <c r="J795" i="3" s="1"/>
  <c r="J794" i="3" a="1"/>
  <c r="J794" i="3" s="1"/>
  <c r="J793" i="3" a="1"/>
  <c r="J793" i="3" s="1"/>
  <c r="J792" i="3" a="1"/>
  <c r="J792" i="3" s="1"/>
  <c r="J791" i="3" a="1"/>
  <c r="J791" i="3" s="1"/>
  <c r="J790" i="3" a="1"/>
  <c r="J790" i="3" s="1"/>
  <c r="J789" i="3" a="1"/>
  <c r="J789" i="3" s="1"/>
  <c r="J788" i="3" a="1"/>
  <c r="J788" i="3" s="1"/>
  <c r="J787" i="3" a="1"/>
  <c r="J787" i="3" s="1"/>
  <c r="J786" i="3" a="1"/>
  <c r="J786" i="3" s="1"/>
  <c r="J785" i="3" a="1"/>
  <c r="J785" i="3" s="1"/>
  <c r="J784" i="3" a="1"/>
  <c r="J784" i="3" s="1"/>
  <c r="J783" i="3" a="1"/>
  <c r="J783" i="3" s="1"/>
  <c r="J782" i="3" a="1"/>
  <c r="J782" i="3" s="1"/>
  <c r="J781" i="3" a="1"/>
  <c r="J781" i="3" s="1"/>
  <c r="J780" i="3" a="1"/>
  <c r="J780" i="3" s="1"/>
  <c r="J779" i="3" a="1"/>
  <c r="J779" i="3" s="1"/>
  <c r="J778" i="3" a="1"/>
  <c r="J778" i="3" s="1"/>
  <c r="J777" i="3" a="1"/>
  <c r="J777" i="3" s="1"/>
  <c r="J776" i="3" a="1"/>
  <c r="J776" i="3" s="1"/>
  <c r="J775" i="3" a="1"/>
  <c r="J775" i="3" s="1"/>
  <c r="J774" i="3" a="1"/>
  <c r="J774" i="3" s="1"/>
  <c r="J773" i="3" a="1"/>
  <c r="J773" i="3" s="1"/>
  <c r="J772" i="3" a="1"/>
  <c r="J772" i="3" s="1"/>
  <c r="J771" i="3" a="1"/>
  <c r="J771" i="3" s="1"/>
  <c r="J770" i="3" a="1"/>
  <c r="J770" i="3" s="1"/>
  <c r="J769" i="3" a="1"/>
  <c r="J769" i="3" s="1"/>
  <c r="J768" i="3" a="1"/>
  <c r="J768" i="3" s="1"/>
  <c r="J767" i="3" a="1"/>
  <c r="J767" i="3" s="1"/>
  <c r="J766" i="3" a="1"/>
  <c r="J766" i="3" s="1"/>
  <c r="J765" i="3" a="1"/>
  <c r="J765" i="3" s="1"/>
  <c r="J764" i="3" a="1"/>
  <c r="J764" i="3" s="1"/>
  <c r="J763" i="3" a="1"/>
  <c r="J763" i="3" s="1"/>
  <c r="J762" i="3" a="1"/>
  <c r="J762" i="3" s="1"/>
  <c r="J761" i="3" a="1"/>
  <c r="J761" i="3" s="1"/>
  <c r="J760" i="3" a="1"/>
  <c r="J760" i="3" s="1"/>
  <c r="J759" i="3" a="1"/>
  <c r="J759" i="3" s="1"/>
  <c r="J758" i="3" a="1"/>
  <c r="J758" i="3" s="1"/>
  <c r="J757" i="3" a="1"/>
  <c r="J757" i="3" s="1"/>
  <c r="J756" i="3" a="1"/>
  <c r="J756" i="3" s="1"/>
  <c r="J755" i="3" a="1"/>
  <c r="J755" i="3" s="1"/>
  <c r="J754" i="3" a="1"/>
  <c r="J754" i="3" s="1"/>
  <c r="J753" i="3" a="1"/>
  <c r="J753" i="3" s="1"/>
  <c r="J752" i="3" a="1"/>
  <c r="J752" i="3" s="1"/>
  <c r="J751" i="3" a="1"/>
  <c r="J751" i="3" s="1"/>
  <c r="J750" i="3" a="1"/>
  <c r="J750" i="3" s="1"/>
  <c r="J749" i="3" a="1"/>
  <c r="J749" i="3" s="1"/>
  <c r="J748" i="3" a="1"/>
  <c r="J748" i="3" s="1"/>
  <c r="J747" i="3" a="1"/>
  <c r="J747" i="3" s="1"/>
  <c r="J746" i="3" a="1"/>
  <c r="J746" i="3" s="1"/>
  <c r="J745" i="3" a="1"/>
  <c r="J745" i="3" s="1"/>
  <c r="J744" i="3" a="1"/>
  <c r="J744" i="3" s="1"/>
  <c r="J743" i="3" a="1"/>
  <c r="J743" i="3" s="1"/>
  <c r="J742" i="3" a="1"/>
  <c r="J742" i="3" s="1"/>
  <c r="J741" i="3" a="1"/>
  <c r="J741" i="3" s="1"/>
  <c r="J740" i="3" a="1"/>
  <c r="J740" i="3" s="1"/>
  <c r="J739" i="3" a="1"/>
  <c r="J739" i="3" s="1"/>
  <c r="J738" i="3" a="1"/>
  <c r="J738" i="3" s="1"/>
  <c r="J737" i="3" a="1"/>
  <c r="J737" i="3" s="1"/>
  <c r="J736" i="3" a="1"/>
  <c r="J736" i="3" s="1"/>
  <c r="J735" i="3" a="1"/>
  <c r="J735" i="3" s="1"/>
  <c r="J734" i="3" a="1"/>
  <c r="J734" i="3" s="1"/>
  <c r="J733" i="3" a="1"/>
  <c r="J733" i="3" s="1"/>
  <c r="J732" i="3" a="1"/>
  <c r="J732" i="3" s="1"/>
  <c r="J731" i="3" a="1"/>
  <c r="J731" i="3" s="1"/>
  <c r="J730" i="3" a="1"/>
  <c r="J730" i="3" s="1"/>
  <c r="J729" i="3" a="1"/>
  <c r="J729" i="3" s="1"/>
  <c r="J728" i="3" a="1"/>
  <c r="J728" i="3" s="1"/>
  <c r="J727" i="3" a="1"/>
  <c r="J727" i="3" s="1"/>
  <c r="J726" i="3" a="1"/>
  <c r="J726" i="3" s="1"/>
  <c r="J725" i="3" a="1"/>
  <c r="J725" i="3" s="1"/>
  <c r="J724" i="3" a="1"/>
  <c r="J724" i="3" s="1"/>
  <c r="J723" i="3" a="1"/>
  <c r="J723" i="3" s="1"/>
  <c r="J722" i="3" a="1"/>
  <c r="J722" i="3" s="1"/>
  <c r="J721" i="3" a="1"/>
  <c r="J721" i="3" s="1"/>
  <c r="J720" i="3" a="1"/>
  <c r="J720" i="3" s="1"/>
  <c r="J719" i="3" a="1"/>
  <c r="J719" i="3" s="1"/>
  <c r="J718" i="3" a="1"/>
  <c r="J718" i="3" s="1"/>
  <c r="J717" i="3" a="1"/>
  <c r="J717" i="3" s="1"/>
  <c r="J716" i="3" a="1"/>
  <c r="J716" i="3" s="1"/>
  <c r="J715" i="3" a="1"/>
  <c r="J715" i="3" s="1"/>
  <c r="J714" i="3" a="1"/>
  <c r="J714" i="3" s="1"/>
  <c r="J713" i="3" a="1"/>
  <c r="J713" i="3" s="1"/>
  <c r="J712" i="3" a="1"/>
  <c r="J712" i="3" s="1"/>
  <c r="J711" i="3" a="1"/>
  <c r="J711" i="3" s="1"/>
  <c r="J710" i="3" a="1"/>
  <c r="J710" i="3" s="1"/>
  <c r="J709" i="3" a="1"/>
  <c r="J709" i="3" s="1"/>
  <c r="J708" i="3" a="1"/>
  <c r="J708" i="3" s="1"/>
  <c r="J707" i="3" a="1"/>
  <c r="J707" i="3" s="1"/>
  <c r="J706" i="3" a="1"/>
  <c r="J706" i="3" s="1"/>
  <c r="J705" i="3" a="1"/>
  <c r="J705" i="3" s="1"/>
  <c r="J704" i="3" a="1"/>
  <c r="J704" i="3" s="1"/>
  <c r="J703" i="3" a="1"/>
  <c r="J703" i="3" s="1"/>
  <c r="J702" i="3" a="1"/>
  <c r="J702" i="3" s="1"/>
  <c r="J701" i="3" a="1"/>
  <c r="J701" i="3" s="1"/>
  <c r="J700" i="3" a="1"/>
  <c r="J700" i="3" s="1"/>
  <c r="J699" i="3" a="1"/>
  <c r="J699" i="3" s="1"/>
  <c r="J698" i="3" a="1"/>
  <c r="J698" i="3" s="1"/>
  <c r="J697" i="3" a="1"/>
  <c r="J697" i="3" s="1"/>
  <c r="J696" i="3" a="1"/>
  <c r="J696" i="3" s="1"/>
  <c r="J695" i="3" a="1"/>
  <c r="J695" i="3" s="1"/>
  <c r="J694" i="3" a="1"/>
  <c r="J694" i="3" s="1"/>
  <c r="J693" i="3" a="1"/>
  <c r="J693" i="3" s="1"/>
  <c r="J692" i="3" a="1"/>
  <c r="J692" i="3" s="1"/>
  <c r="J691" i="3" a="1"/>
  <c r="J691" i="3" s="1"/>
  <c r="J690" i="3" a="1"/>
  <c r="J690" i="3" s="1"/>
  <c r="J689" i="3" a="1"/>
  <c r="J689" i="3" s="1"/>
  <c r="J688" i="3" a="1"/>
  <c r="J688" i="3" s="1"/>
  <c r="J687" i="3" a="1"/>
  <c r="J687" i="3" s="1"/>
  <c r="J686" i="3" a="1"/>
  <c r="J686" i="3" s="1"/>
  <c r="J685" i="3" a="1"/>
  <c r="J685" i="3" s="1"/>
  <c r="J684" i="3" a="1"/>
  <c r="J684" i="3" s="1"/>
  <c r="J683" i="3" a="1"/>
  <c r="J683" i="3" s="1"/>
  <c r="J682" i="3" a="1"/>
  <c r="J682" i="3" s="1"/>
  <c r="J681" i="3" a="1"/>
  <c r="J681" i="3" s="1"/>
  <c r="J680" i="3" a="1"/>
  <c r="J680" i="3" s="1"/>
  <c r="J679" i="3" a="1"/>
  <c r="J679" i="3" s="1"/>
  <c r="J678" i="3" a="1"/>
  <c r="J678" i="3" s="1"/>
  <c r="J677" i="3" a="1"/>
  <c r="J677" i="3" s="1"/>
  <c r="J676" i="3" a="1"/>
  <c r="J676" i="3" s="1"/>
  <c r="J675" i="3" a="1"/>
  <c r="J675" i="3" s="1"/>
  <c r="J674" i="3" a="1"/>
  <c r="J674" i="3" s="1"/>
  <c r="J673" i="3" a="1"/>
  <c r="J673" i="3" s="1"/>
  <c r="J672" i="3" a="1"/>
  <c r="J672" i="3" s="1"/>
  <c r="J671" i="3" a="1"/>
  <c r="J671" i="3" s="1"/>
  <c r="J670" i="3" a="1"/>
  <c r="J670" i="3" s="1"/>
  <c r="J669" i="3" a="1"/>
  <c r="J669" i="3" s="1"/>
  <c r="J668" i="3" a="1"/>
  <c r="J668" i="3" s="1"/>
  <c r="J667" i="3" a="1"/>
  <c r="J667" i="3" s="1"/>
  <c r="J666" i="3" a="1"/>
  <c r="J666" i="3" s="1"/>
  <c r="J665" i="3" a="1"/>
  <c r="J665" i="3" s="1"/>
  <c r="J664" i="3" a="1"/>
  <c r="J664" i="3" s="1"/>
  <c r="J663" i="3" a="1"/>
  <c r="J663" i="3" s="1"/>
  <c r="J662" i="3" a="1"/>
  <c r="J662" i="3" s="1"/>
  <c r="J661" i="3" a="1"/>
  <c r="J661" i="3" s="1"/>
  <c r="J660" i="3" a="1"/>
  <c r="J660" i="3" s="1"/>
  <c r="J659" i="3" a="1"/>
  <c r="J659" i="3" s="1"/>
  <c r="J658" i="3" a="1"/>
  <c r="J658" i="3" s="1"/>
  <c r="J657" i="3" a="1"/>
  <c r="J657" i="3" s="1"/>
  <c r="J656" i="3" a="1"/>
  <c r="J656" i="3" s="1"/>
  <c r="J655" i="3" a="1"/>
  <c r="J655" i="3" s="1"/>
  <c r="J654" i="3" a="1"/>
  <c r="J654" i="3" s="1"/>
  <c r="J653" i="3" a="1"/>
  <c r="J653" i="3" s="1"/>
  <c r="J652" i="3" a="1"/>
  <c r="J652" i="3" s="1"/>
  <c r="J651" i="3" a="1"/>
  <c r="J651" i="3" s="1"/>
  <c r="J650" i="3" a="1"/>
  <c r="J650" i="3" s="1"/>
  <c r="J649" i="3" a="1"/>
  <c r="J649" i="3" s="1"/>
  <c r="J648" i="3" a="1"/>
  <c r="J648" i="3" s="1"/>
  <c r="J647" i="3" a="1"/>
  <c r="J647" i="3" s="1"/>
  <c r="J646" i="3" a="1"/>
  <c r="J646" i="3" s="1"/>
  <c r="J645" i="3" a="1"/>
  <c r="J645" i="3" s="1"/>
  <c r="J644" i="3" a="1"/>
  <c r="J644" i="3" s="1"/>
  <c r="J643" i="3" a="1"/>
  <c r="J643" i="3" s="1"/>
  <c r="J642" i="3" a="1"/>
  <c r="J642" i="3" s="1"/>
  <c r="J641" i="3" a="1"/>
  <c r="J641" i="3" s="1"/>
  <c r="J640" i="3" a="1"/>
  <c r="J640" i="3" s="1"/>
  <c r="J639" i="3" a="1"/>
  <c r="J639" i="3" s="1"/>
  <c r="J638" i="3" a="1"/>
  <c r="J638" i="3" s="1"/>
  <c r="J637" i="3" a="1"/>
  <c r="J637" i="3" s="1"/>
  <c r="J636" i="3" a="1"/>
  <c r="J636" i="3" s="1"/>
  <c r="J635" i="3" a="1"/>
  <c r="J635" i="3" s="1"/>
  <c r="J634" i="3" a="1"/>
  <c r="J634" i="3" s="1"/>
  <c r="J633" i="3" a="1"/>
  <c r="J633" i="3" s="1"/>
  <c r="J632" i="3" a="1"/>
  <c r="J632" i="3" s="1"/>
  <c r="J631" i="3" a="1"/>
  <c r="J631" i="3" s="1"/>
  <c r="J630" i="3" a="1"/>
  <c r="J630" i="3" s="1"/>
  <c r="J629" i="3" a="1"/>
  <c r="J629" i="3" s="1"/>
  <c r="J628" i="3" a="1"/>
  <c r="J628" i="3" s="1"/>
  <c r="J627" i="3" a="1"/>
  <c r="J627" i="3" s="1"/>
  <c r="J626" i="3" a="1"/>
  <c r="J626" i="3" s="1"/>
  <c r="J625" i="3" a="1"/>
  <c r="J625" i="3" s="1"/>
  <c r="J624" i="3" a="1"/>
  <c r="J624" i="3" s="1"/>
  <c r="J623" i="3" a="1"/>
  <c r="J623" i="3" s="1"/>
  <c r="J622" i="3" a="1"/>
  <c r="J622" i="3" s="1"/>
  <c r="J621" i="3" a="1"/>
  <c r="J621" i="3" s="1"/>
  <c r="J620" i="3" a="1"/>
  <c r="J620" i="3" s="1"/>
  <c r="J619" i="3" a="1"/>
  <c r="J619" i="3" s="1"/>
  <c r="J618" i="3" a="1"/>
  <c r="J618" i="3" s="1"/>
  <c r="J617" i="3" a="1"/>
  <c r="J617" i="3" s="1"/>
  <c r="J616" i="3" a="1"/>
  <c r="J616" i="3" s="1"/>
  <c r="J615" i="3" a="1"/>
  <c r="J615" i="3" s="1"/>
  <c r="J614" i="3" a="1"/>
  <c r="J614" i="3" s="1"/>
  <c r="J613" i="3" a="1"/>
  <c r="J613" i="3" s="1"/>
  <c r="J612" i="3" a="1"/>
  <c r="J612" i="3" s="1"/>
  <c r="J611" i="3" a="1"/>
  <c r="J611" i="3" s="1"/>
  <c r="J610" i="3" a="1"/>
  <c r="J610" i="3" s="1"/>
  <c r="J609" i="3" a="1"/>
  <c r="J609" i="3" s="1"/>
  <c r="J608" i="3" a="1"/>
  <c r="J608" i="3" s="1"/>
  <c r="J607" i="3" a="1"/>
  <c r="J607" i="3" s="1"/>
  <c r="J606" i="3" a="1"/>
  <c r="J606" i="3" s="1"/>
  <c r="J605" i="3" a="1"/>
  <c r="J605" i="3" s="1"/>
  <c r="J604" i="3" a="1"/>
  <c r="J604" i="3" s="1"/>
  <c r="J603" i="3" a="1"/>
  <c r="J603" i="3" s="1"/>
  <c r="J602" i="3" a="1"/>
  <c r="J602" i="3" s="1"/>
  <c r="J601" i="3" a="1"/>
  <c r="J601" i="3" s="1"/>
  <c r="J600" i="3" a="1"/>
  <c r="J600" i="3" s="1"/>
  <c r="J599" i="3" a="1"/>
  <c r="J599" i="3" s="1"/>
  <c r="J598" i="3" a="1"/>
  <c r="J598" i="3" s="1"/>
  <c r="J597" i="3" a="1"/>
  <c r="J597" i="3" s="1"/>
  <c r="J596" i="3" a="1"/>
  <c r="J596" i="3" s="1"/>
  <c r="J595" i="3" a="1"/>
  <c r="J595" i="3" s="1"/>
  <c r="J594" i="3" a="1"/>
  <c r="J594" i="3" s="1"/>
  <c r="J593" i="3" a="1"/>
  <c r="J593" i="3" s="1"/>
  <c r="J592" i="3" a="1"/>
  <c r="J592" i="3" s="1"/>
  <c r="J591" i="3" a="1"/>
  <c r="J591" i="3" s="1"/>
  <c r="J590" i="3" a="1"/>
  <c r="J590" i="3" s="1"/>
  <c r="J589" i="3" a="1"/>
  <c r="J589" i="3" s="1"/>
  <c r="J588" i="3" a="1"/>
  <c r="J588" i="3" s="1"/>
  <c r="J587" i="3" a="1"/>
  <c r="J587" i="3" s="1"/>
  <c r="J586" i="3" a="1"/>
  <c r="J586" i="3" s="1"/>
  <c r="J585" i="3" a="1"/>
  <c r="J585" i="3" s="1"/>
  <c r="J584" i="3" a="1"/>
  <c r="J584" i="3" s="1"/>
  <c r="J583" i="3" a="1"/>
  <c r="J583" i="3" s="1"/>
  <c r="J582" i="3" a="1"/>
  <c r="J582" i="3" s="1"/>
  <c r="J581" i="3" a="1"/>
  <c r="J581" i="3" s="1"/>
  <c r="J580" i="3" a="1"/>
  <c r="J580" i="3" s="1"/>
  <c r="J579" i="3" a="1"/>
  <c r="J579" i="3" s="1"/>
  <c r="J578" i="3" a="1"/>
  <c r="J578" i="3" s="1"/>
  <c r="J577" i="3" a="1"/>
  <c r="J577" i="3" s="1"/>
  <c r="J576" i="3" a="1"/>
  <c r="J576" i="3" s="1"/>
  <c r="J575" i="3" a="1"/>
  <c r="J575" i="3" s="1"/>
  <c r="J574" i="3" a="1"/>
  <c r="J574" i="3" s="1"/>
  <c r="J573" i="3" a="1"/>
  <c r="J573" i="3" s="1"/>
  <c r="J572" i="3" a="1"/>
  <c r="J572" i="3" s="1"/>
  <c r="J571" i="3" a="1"/>
  <c r="J571" i="3" s="1"/>
  <c r="J570" i="3" a="1"/>
  <c r="J570" i="3" s="1"/>
  <c r="J569" i="3" a="1"/>
  <c r="J569" i="3" s="1"/>
  <c r="J568" i="3" a="1"/>
  <c r="J568" i="3" s="1"/>
  <c r="J567" i="3" a="1"/>
  <c r="J567" i="3" s="1"/>
  <c r="J566" i="3" a="1"/>
  <c r="J566" i="3" s="1"/>
  <c r="J565" i="3" a="1"/>
  <c r="J565" i="3" s="1"/>
  <c r="J564" i="3" a="1"/>
  <c r="J564" i="3" s="1"/>
  <c r="J563" i="3" a="1"/>
  <c r="J563" i="3" s="1"/>
  <c r="J562" i="3" a="1"/>
  <c r="J562" i="3" s="1"/>
  <c r="J561" i="3" a="1"/>
  <c r="J561" i="3" s="1"/>
  <c r="J560" i="3" a="1"/>
  <c r="J560" i="3" s="1"/>
  <c r="J559" i="3" a="1"/>
  <c r="J559" i="3" s="1"/>
  <c r="J558" i="3" a="1"/>
  <c r="J558" i="3" s="1"/>
  <c r="J557" i="3" a="1"/>
  <c r="J557" i="3" s="1"/>
  <c r="J556" i="3" a="1"/>
  <c r="J556" i="3" s="1"/>
  <c r="J555" i="3" a="1"/>
  <c r="J555" i="3" s="1"/>
  <c r="J554" i="3" a="1"/>
  <c r="J554" i="3" s="1"/>
  <c r="J553" i="3" a="1"/>
  <c r="J553" i="3" s="1"/>
  <c r="J552" i="3" a="1"/>
  <c r="J552" i="3" s="1"/>
  <c r="J551" i="3" a="1"/>
  <c r="J551" i="3" s="1"/>
  <c r="J550" i="3" a="1"/>
  <c r="J550" i="3" s="1"/>
  <c r="J549" i="3" a="1"/>
  <c r="J549" i="3" s="1"/>
  <c r="J548" i="3" a="1"/>
  <c r="J548" i="3" s="1"/>
  <c r="J547" i="3" a="1"/>
  <c r="J547" i="3" s="1"/>
  <c r="J546" i="3" a="1"/>
  <c r="J546" i="3" s="1"/>
  <c r="J545" i="3" a="1"/>
  <c r="J545" i="3" s="1"/>
  <c r="J544" i="3" a="1"/>
  <c r="J544" i="3" s="1"/>
  <c r="J543" i="3" a="1"/>
  <c r="J543" i="3" s="1"/>
  <c r="J542" i="3" a="1"/>
  <c r="J542" i="3" s="1"/>
  <c r="J541" i="3" a="1"/>
  <c r="J541" i="3" s="1"/>
  <c r="J540" i="3" a="1"/>
  <c r="J540" i="3" s="1"/>
  <c r="J539" i="3" a="1"/>
  <c r="J539" i="3" s="1"/>
  <c r="J538" i="3" a="1"/>
  <c r="J538" i="3" s="1"/>
  <c r="J537" i="3" a="1"/>
  <c r="J537" i="3" s="1"/>
  <c r="J536" i="3" a="1"/>
  <c r="J536" i="3" s="1"/>
  <c r="J535" i="3" a="1"/>
  <c r="J535" i="3" s="1"/>
  <c r="J534" i="3" a="1"/>
  <c r="J534" i="3" s="1"/>
  <c r="J533" i="3" a="1"/>
  <c r="J533" i="3" s="1"/>
  <c r="J532" i="3" a="1"/>
  <c r="J532" i="3" s="1"/>
  <c r="J531" i="3" a="1"/>
  <c r="J531" i="3" s="1"/>
  <c r="J530" i="3" a="1"/>
  <c r="J530" i="3" s="1"/>
  <c r="J529" i="3" a="1"/>
  <c r="J529" i="3" s="1"/>
  <c r="J528" i="3" a="1"/>
  <c r="J528" i="3" s="1"/>
  <c r="J527" i="3" a="1"/>
  <c r="J527" i="3" s="1"/>
  <c r="J526" i="3" a="1"/>
  <c r="J526" i="3" s="1"/>
  <c r="J525" i="3" a="1"/>
  <c r="J525" i="3" s="1"/>
  <c r="J524" i="3" a="1"/>
  <c r="J524" i="3" s="1"/>
  <c r="J523" i="3" a="1"/>
  <c r="J523" i="3" s="1"/>
  <c r="J522" i="3" a="1"/>
  <c r="J522" i="3" s="1"/>
  <c r="J521" i="3" a="1"/>
  <c r="J521" i="3" s="1"/>
  <c r="J520" i="3" a="1"/>
  <c r="J520" i="3" s="1"/>
  <c r="J519" i="3" a="1"/>
  <c r="J519" i="3" s="1"/>
  <c r="J518" i="3" a="1"/>
  <c r="J518" i="3" s="1"/>
  <c r="J517" i="3" a="1"/>
  <c r="J517" i="3" s="1"/>
  <c r="J516" i="3" a="1"/>
  <c r="J516" i="3" s="1"/>
  <c r="J515" i="3" a="1"/>
  <c r="J515" i="3" s="1"/>
  <c r="J514" i="3" a="1"/>
  <c r="J514" i="3" s="1"/>
  <c r="J513" i="3" a="1"/>
  <c r="J513" i="3" s="1"/>
  <c r="J512" i="3" a="1"/>
  <c r="J512" i="3" s="1"/>
  <c r="J511" i="3" a="1"/>
  <c r="J511" i="3" s="1"/>
  <c r="J510" i="3" a="1"/>
  <c r="J510" i="3" s="1"/>
  <c r="J509" i="3" a="1"/>
  <c r="J509" i="3" s="1"/>
  <c r="J508" i="3" a="1"/>
  <c r="J508" i="3" s="1"/>
  <c r="J507" i="3" a="1"/>
  <c r="J507" i="3" s="1"/>
  <c r="J506" i="3" a="1"/>
  <c r="J506" i="3" s="1"/>
  <c r="J505" i="3" a="1"/>
  <c r="J505" i="3" s="1"/>
  <c r="J504" i="3" a="1"/>
  <c r="J504" i="3" s="1"/>
  <c r="J503" i="3" a="1"/>
  <c r="J503" i="3" s="1"/>
  <c r="G1000" i="3" a="1"/>
  <c r="G1000" i="3" s="1"/>
  <c r="G999" i="3" a="1"/>
  <c r="G999" i="3" s="1"/>
  <c r="G998" i="3" a="1"/>
  <c r="G998" i="3" s="1"/>
  <c r="G997" i="3" a="1"/>
  <c r="G997" i="3" s="1"/>
  <c r="G996" i="3" a="1"/>
  <c r="G996" i="3" s="1"/>
  <c r="G995" i="3" a="1"/>
  <c r="G995" i="3" s="1"/>
  <c r="G994" i="3" a="1"/>
  <c r="G994" i="3" s="1"/>
  <c r="G993" i="3" a="1"/>
  <c r="G993" i="3" s="1"/>
  <c r="G992" i="3" a="1"/>
  <c r="G992" i="3" s="1"/>
  <c r="G991" i="3" a="1"/>
  <c r="G991" i="3" s="1"/>
  <c r="G990" i="3" a="1"/>
  <c r="G990" i="3" s="1"/>
  <c r="G989" i="3" a="1"/>
  <c r="G989" i="3" s="1"/>
  <c r="G988" i="3" a="1"/>
  <c r="G988" i="3" s="1"/>
  <c r="G987" i="3" a="1"/>
  <c r="G987" i="3" s="1"/>
  <c r="G986" i="3" a="1"/>
  <c r="G986" i="3" s="1"/>
  <c r="G985" i="3" a="1"/>
  <c r="G985" i="3" s="1"/>
  <c r="G984" i="3" a="1"/>
  <c r="G984" i="3" s="1"/>
  <c r="G983" i="3" a="1"/>
  <c r="G983" i="3" s="1"/>
  <c r="G982" i="3" a="1"/>
  <c r="G982" i="3" s="1"/>
  <c r="G981" i="3" a="1"/>
  <c r="G981" i="3" s="1"/>
  <c r="G980" i="3" a="1"/>
  <c r="G980" i="3" s="1"/>
  <c r="G979" i="3" a="1"/>
  <c r="G979" i="3" s="1"/>
  <c r="G978" i="3" a="1"/>
  <c r="G978" i="3" s="1"/>
  <c r="G977" i="3" a="1"/>
  <c r="G977" i="3" s="1"/>
  <c r="G976" i="3" a="1"/>
  <c r="G976" i="3" s="1"/>
  <c r="G975" i="3" a="1"/>
  <c r="G975" i="3" s="1"/>
  <c r="G974" i="3" a="1"/>
  <c r="G974" i="3" s="1"/>
  <c r="G973" i="3" a="1"/>
  <c r="G973" i="3" s="1"/>
  <c r="G972" i="3" a="1"/>
  <c r="G972" i="3" s="1"/>
  <c r="G971" i="3" a="1"/>
  <c r="G971" i="3" s="1"/>
  <c r="G970" i="3" a="1"/>
  <c r="G970" i="3" s="1"/>
  <c r="G969" i="3" a="1"/>
  <c r="G969" i="3" s="1"/>
  <c r="G968" i="3" a="1"/>
  <c r="G968" i="3" s="1"/>
  <c r="G967" i="3" a="1"/>
  <c r="G967" i="3" s="1"/>
  <c r="G966" i="3" a="1"/>
  <c r="G966" i="3" s="1"/>
  <c r="G965" i="3" a="1"/>
  <c r="G965" i="3" s="1"/>
  <c r="G964" i="3" a="1"/>
  <c r="G964" i="3" s="1"/>
  <c r="G963" i="3" a="1"/>
  <c r="G963" i="3" s="1"/>
  <c r="G962" i="3" a="1"/>
  <c r="G962" i="3" s="1"/>
  <c r="G961" i="3" a="1"/>
  <c r="G961" i="3" s="1"/>
  <c r="G960" i="3" a="1"/>
  <c r="G960" i="3" s="1"/>
  <c r="G959" i="3" a="1"/>
  <c r="G959" i="3" s="1"/>
  <c r="G958" i="3" a="1"/>
  <c r="G958" i="3" s="1"/>
  <c r="G957" i="3" a="1"/>
  <c r="G957" i="3" s="1"/>
  <c r="G956" i="3" a="1"/>
  <c r="G956" i="3" s="1"/>
  <c r="G955" i="3" a="1"/>
  <c r="G955" i="3" s="1"/>
  <c r="G954" i="3" a="1"/>
  <c r="G954" i="3" s="1"/>
  <c r="G953" i="3" a="1"/>
  <c r="G953" i="3" s="1"/>
  <c r="G952" i="3" a="1"/>
  <c r="G952" i="3" s="1"/>
  <c r="G951" i="3" a="1"/>
  <c r="G951" i="3" s="1"/>
  <c r="G950" i="3" a="1"/>
  <c r="G950" i="3" s="1"/>
  <c r="G949" i="3" a="1"/>
  <c r="G949" i="3" s="1"/>
  <c r="G948" i="3" a="1"/>
  <c r="G948" i="3" s="1"/>
  <c r="G947" i="3" a="1"/>
  <c r="G947" i="3" s="1"/>
  <c r="G946" i="3" a="1"/>
  <c r="G946" i="3" s="1"/>
  <c r="G945" i="3" a="1"/>
  <c r="G945" i="3" s="1"/>
  <c r="G944" i="3" a="1"/>
  <c r="G944" i="3" s="1"/>
  <c r="G943" i="3" a="1"/>
  <c r="G943" i="3" s="1"/>
  <c r="G942" i="3" a="1"/>
  <c r="G942" i="3" s="1"/>
  <c r="G941" i="3" a="1"/>
  <c r="G941" i="3" s="1"/>
  <c r="G940" i="3" a="1"/>
  <c r="G940" i="3" s="1"/>
  <c r="G939" i="3" a="1"/>
  <c r="G939" i="3" s="1"/>
  <c r="G938" i="3" a="1"/>
  <c r="G938" i="3" s="1"/>
  <c r="G937" i="3" a="1"/>
  <c r="G937" i="3" s="1"/>
  <c r="G936" i="3" a="1"/>
  <c r="G936" i="3" s="1"/>
  <c r="G935" i="3" a="1"/>
  <c r="G935" i="3" s="1"/>
  <c r="G934" i="3" a="1"/>
  <c r="G934" i="3" s="1"/>
  <c r="G933" i="3" a="1"/>
  <c r="G933" i="3" s="1"/>
  <c r="G932" i="3" a="1"/>
  <c r="G932" i="3" s="1"/>
  <c r="G931" i="3" a="1"/>
  <c r="G931" i="3" s="1"/>
  <c r="G930" i="3" a="1"/>
  <c r="G930" i="3" s="1"/>
  <c r="G929" i="3" a="1"/>
  <c r="G929" i="3" s="1"/>
  <c r="G928" i="3" a="1"/>
  <c r="G928" i="3" s="1"/>
  <c r="G927" i="3" a="1"/>
  <c r="G927" i="3" s="1"/>
  <c r="G926" i="3" a="1"/>
  <c r="G926" i="3" s="1"/>
  <c r="G925" i="3" a="1"/>
  <c r="G925" i="3" s="1"/>
  <c r="G924" i="3" a="1"/>
  <c r="G924" i="3" s="1"/>
  <c r="G923" i="3" a="1"/>
  <c r="G923" i="3" s="1"/>
  <c r="G922" i="3" a="1"/>
  <c r="G922" i="3" s="1"/>
  <c r="G921" i="3" a="1"/>
  <c r="G921" i="3" s="1"/>
  <c r="G920" i="3" a="1"/>
  <c r="G920" i="3" s="1"/>
  <c r="G919" i="3" a="1"/>
  <c r="G919" i="3" s="1"/>
  <c r="G918" i="3" a="1"/>
  <c r="G918" i="3" s="1"/>
  <c r="G917" i="3" a="1"/>
  <c r="G917" i="3" s="1"/>
  <c r="G916" i="3" a="1"/>
  <c r="G916" i="3" s="1"/>
  <c r="G915" i="3" a="1"/>
  <c r="G915" i="3" s="1"/>
  <c r="G914" i="3" a="1"/>
  <c r="G914" i="3" s="1"/>
  <c r="G913" i="3" a="1"/>
  <c r="G913" i="3" s="1"/>
  <c r="G912" i="3" a="1"/>
  <c r="G912" i="3" s="1"/>
  <c r="G911" i="3" a="1"/>
  <c r="G911" i="3" s="1"/>
  <c r="G910" i="3" a="1"/>
  <c r="G910" i="3" s="1"/>
  <c r="G909" i="3" a="1"/>
  <c r="G909" i="3" s="1"/>
  <c r="G908" i="3" a="1"/>
  <c r="G908" i="3" s="1"/>
  <c r="G907" i="3" a="1"/>
  <c r="G907" i="3" s="1"/>
  <c r="G906" i="3" a="1"/>
  <c r="G906" i="3" s="1"/>
  <c r="G905" i="3" a="1"/>
  <c r="G905" i="3" s="1"/>
  <c r="G904" i="3" a="1"/>
  <c r="G904" i="3" s="1"/>
  <c r="G903" i="3" a="1"/>
  <c r="G903" i="3" s="1"/>
  <c r="G902" i="3" a="1"/>
  <c r="G902" i="3" s="1"/>
  <c r="G901" i="3" a="1"/>
  <c r="G901" i="3" s="1"/>
  <c r="G900" i="3" a="1"/>
  <c r="G900" i="3" s="1"/>
  <c r="G899" i="3" a="1"/>
  <c r="G899" i="3" s="1"/>
  <c r="G898" i="3" a="1"/>
  <c r="G898" i="3" s="1"/>
  <c r="G897" i="3" a="1"/>
  <c r="G897" i="3" s="1"/>
  <c r="G896" i="3" a="1"/>
  <c r="G896" i="3" s="1"/>
  <c r="G895" i="3" a="1"/>
  <c r="G895" i="3" s="1"/>
  <c r="G894" i="3" a="1"/>
  <c r="G894" i="3" s="1"/>
  <c r="G893" i="3" a="1"/>
  <c r="G893" i="3" s="1"/>
  <c r="G892" i="3" a="1"/>
  <c r="G892" i="3" s="1"/>
  <c r="G891" i="3" a="1"/>
  <c r="G891" i="3" s="1"/>
  <c r="G890" i="3" a="1"/>
  <c r="G890" i="3" s="1"/>
  <c r="G889" i="3" a="1"/>
  <c r="G889" i="3" s="1"/>
  <c r="G888" i="3" a="1"/>
  <c r="G888" i="3" s="1"/>
  <c r="G887" i="3" a="1"/>
  <c r="G887" i="3" s="1"/>
  <c r="G886" i="3" a="1"/>
  <c r="G886" i="3" s="1"/>
  <c r="G885" i="3" a="1"/>
  <c r="G885" i="3" s="1"/>
  <c r="G884" i="3" a="1"/>
  <c r="G884" i="3" s="1"/>
  <c r="G883" i="3" a="1"/>
  <c r="G883" i="3" s="1"/>
  <c r="G882" i="3" a="1"/>
  <c r="G882" i="3" s="1"/>
  <c r="G881" i="3" a="1"/>
  <c r="G881" i="3" s="1"/>
  <c r="G880" i="3" a="1"/>
  <c r="G880" i="3" s="1"/>
  <c r="G879" i="3" a="1"/>
  <c r="G879" i="3" s="1"/>
  <c r="G878" i="3" a="1"/>
  <c r="G878" i="3" s="1"/>
  <c r="G877" i="3" a="1"/>
  <c r="G877" i="3" s="1"/>
  <c r="G876" i="3" a="1"/>
  <c r="G876" i="3" s="1"/>
  <c r="G875" i="3" a="1"/>
  <c r="G875" i="3" s="1"/>
  <c r="G874" i="3" a="1"/>
  <c r="G874" i="3" s="1"/>
  <c r="G873" i="3" a="1"/>
  <c r="G873" i="3" s="1"/>
  <c r="G872" i="3" a="1"/>
  <c r="G872" i="3" s="1"/>
  <c r="G871" i="3" a="1"/>
  <c r="G871" i="3" s="1"/>
  <c r="G870" i="3" a="1"/>
  <c r="G870" i="3" s="1"/>
  <c r="G869" i="3" a="1"/>
  <c r="G869" i="3" s="1"/>
  <c r="G868" i="3" a="1"/>
  <c r="G868" i="3" s="1"/>
  <c r="G867" i="3" a="1"/>
  <c r="G867" i="3" s="1"/>
  <c r="G866" i="3" a="1"/>
  <c r="G866" i="3" s="1"/>
  <c r="G865" i="3" a="1"/>
  <c r="G865" i="3" s="1"/>
  <c r="G864" i="3" a="1"/>
  <c r="G864" i="3" s="1"/>
  <c r="G863" i="3" a="1"/>
  <c r="G863" i="3" s="1"/>
  <c r="G862" i="3" a="1"/>
  <c r="G862" i="3" s="1"/>
  <c r="G861" i="3" a="1"/>
  <c r="G861" i="3" s="1"/>
  <c r="G860" i="3" a="1"/>
  <c r="G860" i="3" s="1"/>
  <c r="G859" i="3" a="1"/>
  <c r="G859" i="3" s="1"/>
  <c r="G858" i="3" a="1"/>
  <c r="G858" i="3" s="1"/>
  <c r="G857" i="3" a="1"/>
  <c r="G857" i="3" s="1"/>
  <c r="G856" i="3" a="1"/>
  <c r="G856" i="3" s="1"/>
  <c r="G855" i="3" a="1"/>
  <c r="G855" i="3" s="1"/>
  <c r="G854" i="3" a="1"/>
  <c r="G854" i="3" s="1"/>
  <c r="G853" i="3" a="1"/>
  <c r="G853" i="3" s="1"/>
  <c r="G852" i="3" a="1"/>
  <c r="G852" i="3" s="1"/>
  <c r="G851" i="3" a="1"/>
  <c r="G851" i="3" s="1"/>
  <c r="G850" i="3" a="1"/>
  <c r="G850" i="3" s="1"/>
  <c r="G849" i="3" a="1"/>
  <c r="G849" i="3" s="1"/>
  <c r="G848" i="3" a="1"/>
  <c r="G848" i="3" s="1"/>
  <c r="G847" i="3" a="1"/>
  <c r="G847" i="3" s="1"/>
  <c r="G846" i="3" a="1"/>
  <c r="G846" i="3" s="1"/>
  <c r="G845" i="3" a="1"/>
  <c r="G845" i="3" s="1"/>
  <c r="G844" i="3" a="1"/>
  <c r="G844" i="3" s="1"/>
  <c r="G843" i="3" a="1"/>
  <c r="G843" i="3" s="1"/>
  <c r="G842" i="3" a="1"/>
  <c r="G842" i="3" s="1"/>
  <c r="G841" i="3" a="1"/>
  <c r="G841" i="3" s="1"/>
  <c r="G840" i="3" a="1"/>
  <c r="G840" i="3" s="1"/>
  <c r="G839" i="3" a="1"/>
  <c r="G839" i="3" s="1"/>
  <c r="G838" i="3" a="1"/>
  <c r="G838" i="3" s="1"/>
  <c r="G837" i="3" a="1"/>
  <c r="G837" i="3" s="1"/>
  <c r="G836" i="3" a="1"/>
  <c r="G836" i="3" s="1"/>
  <c r="G835" i="3" a="1"/>
  <c r="G835" i="3" s="1"/>
  <c r="G834" i="3" a="1"/>
  <c r="G834" i="3" s="1"/>
  <c r="G833" i="3" a="1"/>
  <c r="G833" i="3" s="1"/>
  <c r="G832" i="3" a="1"/>
  <c r="G832" i="3" s="1"/>
  <c r="G831" i="3" a="1"/>
  <c r="G831" i="3" s="1"/>
  <c r="G830" i="3" a="1"/>
  <c r="G830" i="3" s="1"/>
  <c r="G829" i="3" a="1"/>
  <c r="G829" i="3" s="1"/>
  <c r="G828" i="3" a="1"/>
  <c r="G828" i="3" s="1"/>
  <c r="G827" i="3" a="1"/>
  <c r="G827" i="3" s="1"/>
  <c r="G826" i="3" a="1"/>
  <c r="G826" i="3" s="1"/>
  <c r="G825" i="3" a="1"/>
  <c r="G825" i="3" s="1"/>
  <c r="G824" i="3" a="1"/>
  <c r="G824" i="3" s="1"/>
  <c r="G823" i="3" a="1"/>
  <c r="G823" i="3" s="1"/>
  <c r="G822" i="3" a="1"/>
  <c r="G822" i="3" s="1"/>
  <c r="G821" i="3" a="1"/>
  <c r="G821" i="3" s="1"/>
  <c r="G820" i="3" a="1"/>
  <c r="G820" i="3" s="1"/>
  <c r="G819" i="3" a="1"/>
  <c r="G819" i="3" s="1"/>
  <c r="G818" i="3" a="1"/>
  <c r="G818" i="3" s="1"/>
  <c r="G817" i="3" a="1"/>
  <c r="G817" i="3" s="1"/>
  <c r="G816" i="3" a="1"/>
  <c r="G816" i="3" s="1"/>
  <c r="G815" i="3" a="1"/>
  <c r="G815" i="3" s="1"/>
  <c r="G814" i="3" a="1"/>
  <c r="G814" i="3" s="1"/>
  <c r="G813" i="3" a="1"/>
  <c r="G813" i="3" s="1"/>
  <c r="G812" i="3" a="1"/>
  <c r="G812" i="3" s="1"/>
  <c r="G811" i="3" a="1"/>
  <c r="G811" i="3" s="1"/>
  <c r="G810" i="3" a="1"/>
  <c r="G810" i="3" s="1"/>
  <c r="G809" i="3" a="1"/>
  <c r="G809" i="3" s="1"/>
  <c r="G808" i="3" a="1"/>
  <c r="G808" i="3" s="1"/>
  <c r="G807" i="3" a="1"/>
  <c r="G807" i="3" s="1"/>
  <c r="G806" i="3" a="1"/>
  <c r="G806" i="3" s="1"/>
  <c r="G805" i="3" a="1"/>
  <c r="G805" i="3" s="1"/>
  <c r="G804" i="3" a="1"/>
  <c r="G804" i="3" s="1"/>
  <c r="G803" i="3" a="1"/>
  <c r="G803" i="3" s="1"/>
  <c r="G802" i="3" a="1"/>
  <c r="G802" i="3" s="1"/>
  <c r="G801" i="3" a="1"/>
  <c r="G801" i="3" s="1"/>
  <c r="G800" i="3" a="1"/>
  <c r="G800" i="3" s="1"/>
  <c r="G799" i="3" a="1"/>
  <c r="G799" i="3" s="1"/>
  <c r="G798" i="3" a="1"/>
  <c r="G798" i="3" s="1"/>
  <c r="G797" i="3" a="1"/>
  <c r="G797" i="3" s="1"/>
  <c r="G796" i="3" a="1"/>
  <c r="G796" i="3" s="1"/>
  <c r="G795" i="3" a="1"/>
  <c r="G795" i="3" s="1"/>
  <c r="G794" i="3" a="1"/>
  <c r="G794" i="3" s="1"/>
  <c r="G793" i="3" a="1"/>
  <c r="G793" i="3" s="1"/>
  <c r="G792" i="3" a="1"/>
  <c r="G792" i="3" s="1"/>
  <c r="G791" i="3" a="1"/>
  <c r="G791" i="3" s="1"/>
  <c r="G790" i="3" a="1"/>
  <c r="G790" i="3" s="1"/>
  <c r="G789" i="3" a="1"/>
  <c r="G789" i="3" s="1"/>
  <c r="G788" i="3" a="1"/>
  <c r="G788" i="3" s="1"/>
  <c r="G787" i="3" a="1"/>
  <c r="G787" i="3" s="1"/>
  <c r="G786" i="3" a="1"/>
  <c r="G786" i="3" s="1"/>
  <c r="G785" i="3" a="1"/>
  <c r="G785" i="3" s="1"/>
  <c r="G784" i="3" a="1"/>
  <c r="G784" i="3" s="1"/>
  <c r="G783" i="3" a="1"/>
  <c r="G783" i="3" s="1"/>
  <c r="G782" i="3" a="1"/>
  <c r="G782" i="3" s="1"/>
  <c r="G781" i="3" a="1"/>
  <c r="G781" i="3" s="1"/>
  <c r="G780" i="3" a="1"/>
  <c r="G780" i="3" s="1"/>
  <c r="G779" i="3" a="1"/>
  <c r="G779" i="3" s="1"/>
  <c r="G778" i="3" a="1"/>
  <c r="G778" i="3" s="1"/>
  <c r="G777" i="3" a="1"/>
  <c r="G777" i="3" s="1"/>
  <c r="G776" i="3" a="1"/>
  <c r="G776" i="3" s="1"/>
  <c r="G775" i="3" a="1"/>
  <c r="G775" i="3" s="1"/>
  <c r="G774" i="3" a="1"/>
  <c r="G774" i="3" s="1"/>
  <c r="G773" i="3" a="1"/>
  <c r="G773" i="3" s="1"/>
  <c r="G772" i="3" a="1"/>
  <c r="G772" i="3" s="1"/>
  <c r="G771" i="3" a="1"/>
  <c r="G771" i="3" s="1"/>
  <c r="G770" i="3" a="1"/>
  <c r="G770" i="3" s="1"/>
  <c r="G769" i="3" a="1"/>
  <c r="G769" i="3" s="1"/>
  <c r="G768" i="3" a="1"/>
  <c r="G768" i="3" s="1"/>
  <c r="G767" i="3" a="1"/>
  <c r="G767" i="3" s="1"/>
  <c r="G766" i="3" a="1"/>
  <c r="G766" i="3" s="1"/>
  <c r="G765" i="3" a="1"/>
  <c r="G765" i="3" s="1"/>
  <c r="G764" i="3" a="1"/>
  <c r="G764" i="3" s="1"/>
  <c r="G763" i="3" a="1"/>
  <c r="G763" i="3" s="1"/>
  <c r="G762" i="3" a="1"/>
  <c r="G762" i="3" s="1"/>
  <c r="G761" i="3" a="1"/>
  <c r="G761" i="3" s="1"/>
  <c r="G760" i="3" a="1"/>
  <c r="G760" i="3" s="1"/>
  <c r="G759" i="3" a="1"/>
  <c r="G759" i="3" s="1"/>
  <c r="G758" i="3" a="1"/>
  <c r="G758" i="3" s="1"/>
  <c r="G757" i="3" a="1"/>
  <c r="G757" i="3" s="1"/>
  <c r="G756" i="3" a="1"/>
  <c r="G756" i="3" s="1"/>
  <c r="G755" i="3" a="1"/>
  <c r="G755" i="3" s="1"/>
  <c r="G754" i="3" a="1"/>
  <c r="G754" i="3" s="1"/>
  <c r="G753" i="3" a="1"/>
  <c r="G753" i="3" s="1"/>
  <c r="G752" i="3" a="1"/>
  <c r="G752" i="3" s="1"/>
  <c r="G751" i="3" a="1"/>
  <c r="G751" i="3" s="1"/>
  <c r="G750" i="3" a="1"/>
  <c r="G750" i="3" s="1"/>
  <c r="G749" i="3" a="1"/>
  <c r="G749" i="3" s="1"/>
  <c r="G748" i="3" a="1"/>
  <c r="G748" i="3" s="1"/>
  <c r="G747" i="3" a="1"/>
  <c r="G747" i="3" s="1"/>
  <c r="G746" i="3" a="1"/>
  <c r="G746" i="3" s="1"/>
  <c r="G745" i="3" a="1"/>
  <c r="G745" i="3" s="1"/>
  <c r="G744" i="3" a="1"/>
  <c r="G744" i="3" s="1"/>
  <c r="G743" i="3" a="1"/>
  <c r="G743" i="3" s="1"/>
  <c r="G742" i="3" a="1"/>
  <c r="G742" i="3" s="1"/>
  <c r="G741" i="3" a="1"/>
  <c r="G741" i="3" s="1"/>
  <c r="G740" i="3" a="1"/>
  <c r="G740" i="3" s="1"/>
  <c r="G739" i="3" a="1"/>
  <c r="G739" i="3" s="1"/>
  <c r="G738" i="3" a="1"/>
  <c r="G738" i="3" s="1"/>
  <c r="G737" i="3" a="1"/>
  <c r="G737" i="3" s="1"/>
  <c r="G736" i="3" a="1"/>
  <c r="G736" i="3" s="1"/>
  <c r="G735" i="3" a="1"/>
  <c r="G735" i="3" s="1"/>
  <c r="G734" i="3" a="1"/>
  <c r="G734" i="3" s="1"/>
  <c r="G733" i="3" a="1"/>
  <c r="G733" i="3" s="1"/>
  <c r="G732" i="3" a="1"/>
  <c r="G732" i="3" s="1"/>
  <c r="G731" i="3" a="1"/>
  <c r="G731" i="3" s="1"/>
  <c r="G730" i="3" a="1"/>
  <c r="G730" i="3" s="1"/>
  <c r="G729" i="3" a="1"/>
  <c r="G729" i="3" s="1"/>
  <c r="G728" i="3" a="1"/>
  <c r="G728" i="3" s="1"/>
  <c r="G727" i="3" a="1"/>
  <c r="G727" i="3" s="1"/>
  <c r="G726" i="3" a="1"/>
  <c r="G726" i="3" s="1"/>
  <c r="G725" i="3" a="1"/>
  <c r="G725" i="3" s="1"/>
  <c r="G724" i="3" a="1"/>
  <c r="G724" i="3" s="1"/>
  <c r="G723" i="3" a="1"/>
  <c r="G723" i="3" s="1"/>
  <c r="G722" i="3" a="1"/>
  <c r="G722" i="3" s="1"/>
  <c r="G721" i="3" a="1"/>
  <c r="G721" i="3" s="1"/>
  <c r="G720" i="3" a="1"/>
  <c r="G720" i="3" s="1"/>
  <c r="G719" i="3" a="1"/>
  <c r="G719" i="3" s="1"/>
  <c r="G718" i="3" a="1"/>
  <c r="G718" i="3" s="1"/>
  <c r="G717" i="3" a="1"/>
  <c r="G717" i="3" s="1"/>
  <c r="G716" i="3" a="1"/>
  <c r="G716" i="3" s="1"/>
  <c r="G715" i="3" a="1"/>
  <c r="G715" i="3" s="1"/>
  <c r="G714" i="3" a="1"/>
  <c r="G714" i="3" s="1"/>
  <c r="G713" i="3" a="1"/>
  <c r="G713" i="3" s="1"/>
  <c r="G712" i="3" a="1"/>
  <c r="G712" i="3" s="1"/>
  <c r="G711" i="3" a="1"/>
  <c r="G711" i="3" s="1"/>
  <c r="G710" i="3" a="1"/>
  <c r="G710" i="3" s="1"/>
  <c r="G709" i="3" a="1"/>
  <c r="G709" i="3" s="1"/>
  <c r="G708" i="3" a="1"/>
  <c r="G708" i="3" s="1"/>
  <c r="G707" i="3" a="1"/>
  <c r="G707" i="3" s="1"/>
  <c r="G706" i="3" a="1"/>
  <c r="G706" i="3" s="1"/>
  <c r="G705" i="3" a="1"/>
  <c r="G705" i="3" s="1"/>
  <c r="G704" i="3" a="1"/>
  <c r="G704" i="3" s="1"/>
  <c r="G703" i="3" a="1"/>
  <c r="G703" i="3" s="1"/>
  <c r="G702" i="3" a="1"/>
  <c r="G702" i="3" s="1"/>
  <c r="G701" i="3" a="1"/>
  <c r="G701" i="3" s="1"/>
  <c r="G700" i="3" a="1"/>
  <c r="G700" i="3" s="1"/>
  <c r="G699" i="3" a="1"/>
  <c r="G699" i="3" s="1"/>
  <c r="G698" i="3" a="1"/>
  <c r="G698" i="3" s="1"/>
  <c r="G697" i="3" a="1"/>
  <c r="G697" i="3" s="1"/>
  <c r="G696" i="3" a="1"/>
  <c r="G696" i="3" s="1"/>
  <c r="G695" i="3" a="1"/>
  <c r="G695" i="3" s="1"/>
  <c r="G694" i="3" a="1"/>
  <c r="G694" i="3" s="1"/>
  <c r="G693" i="3" a="1"/>
  <c r="G693" i="3" s="1"/>
  <c r="G692" i="3" a="1"/>
  <c r="G692" i="3" s="1"/>
  <c r="G691" i="3" a="1"/>
  <c r="G691" i="3" s="1"/>
  <c r="G690" i="3" a="1"/>
  <c r="G690" i="3" s="1"/>
  <c r="G689" i="3" a="1"/>
  <c r="G689" i="3" s="1"/>
  <c r="G688" i="3" a="1"/>
  <c r="G688" i="3" s="1"/>
  <c r="G687" i="3" a="1"/>
  <c r="G687" i="3" s="1"/>
  <c r="G686" i="3" a="1"/>
  <c r="G686" i="3" s="1"/>
  <c r="G685" i="3" a="1"/>
  <c r="G685" i="3" s="1"/>
  <c r="G684" i="3" a="1"/>
  <c r="G684" i="3" s="1"/>
  <c r="G683" i="3" a="1"/>
  <c r="G683" i="3" s="1"/>
  <c r="G682" i="3" a="1"/>
  <c r="G682" i="3" s="1"/>
  <c r="G681" i="3" a="1"/>
  <c r="G681" i="3" s="1"/>
  <c r="G680" i="3" a="1"/>
  <c r="G680" i="3" s="1"/>
  <c r="G679" i="3" a="1"/>
  <c r="G679" i="3" s="1"/>
  <c r="G678" i="3" a="1"/>
  <c r="G678" i="3" s="1"/>
  <c r="G677" i="3" a="1"/>
  <c r="G677" i="3" s="1"/>
  <c r="G676" i="3" a="1"/>
  <c r="G676" i="3" s="1"/>
  <c r="G675" i="3" a="1"/>
  <c r="G675" i="3" s="1"/>
  <c r="G674" i="3" a="1"/>
  <c r="G674" i="3" s="1"/>
  <c r="G673" i="3" a="1"/>
  <c r="G673" i="3" s="1"/>
  <c r="G672" i="3" a="1"/>
  <c r="G672" i="3" s="1"/>
  <c r="G671" i="3" a="1"/>
  <c r="G671" i="3" s="1"/>
  <c r="G670" i="3" a="1"/>
  <c r="G670" i="3" s="1"/>
  <c r="G669" i="3" a="1"/>
  <c r="G669" i="3" s="1"/>
  <c r="G668" i="3" a="1"/>
  <c r="G668" i="3" s="1"/>
  <c r="G667" i="3" a="1"/>
  <c r="G667" i="3" s="1"/>
  <c r="G666" i="3" a="1"/>
  <c r="G666" i="3" s="1"/>
  <c r="G665" i="3" a="1"/>
  <c r="G665" i="3" s="1"/>
  <c r="G664" i="3" a="1"/>
  <c r="G664" i="3" s="1"/>
  <c r="G663" i="3" a="1"/>
  <c r="G663" i="3" s="1"/>
  <c r="G662" i="3" a="1"/>
  <c r="G662" i="3" s="1"/>
  <c r="G661" i="3" a="1"/>
  <c r="G661" i="3" s="1"/>
  <c r="G660" i="3" a="1"/>
  <c r="G660" i="3" s="1"/>
  <c r="G659" i="3" a="1"/>
  <c r="G659" i="3" s="1"/>
  <c r="G658" i="3" a="1"/>
  <c r="G658" i="3" s="1"/>
  <c r="G657" i="3" a="1"/>
  <c r="G657" i="3" s="1"/>
  <c r="G656" i="3" a="1"/>
  <c r="G656" i="3" s="1"/>
  <c r="G655" i="3" a="1"/>
  <c r="G655" i="3" s="1"/>
  <c r="G654" i="3" a="1"/>
  <c r="G654" i="3" s="1"/>
  <c r="G653" i="3" a="1"/>
  <c r="G653" i="3" s="1"/>
  <c r="G652" i="3" a="1"/>
  <c r="G652" i="3" s="1"/>
  <c r="G651" i="3" a="1"/>
  <c r="G651" i="3" s="1"/>
  <c r="G650" i="3" a="1"/>
  <c r="G650" i="3" s="1"/>
  <c r="G649" i="3" a="1"/>
  <c r="G649" i="3" s="1"/>
  <c r="G648" i="3" a="1"/>
  <c r="G648" i="3" s="1"/>
  <c r="G647" i="3" a="1"/>
  <c r="G647" i="3" s="1"/>
  <c r="G646" i="3" a="1"/>
  <c r="G646" i="3" s="1"/>
  <c r="G645" i="3" a="1"/>
  <c r="G645" i="3" s="1"/>
  <c r="G644" i="3" a="1"/>
  <c r="G644" i="3" s="1"/>
  <c r="G643" i="3" a="1"/>
  <c r="G643" i="3" s="1"/>
  <c r="G642" i="3" a="1"/>
  <c r="G642" i="3" s="1"/>
  <c r="G641" i="3" a="1"/>
  <c r="G641" i="3" s="1"/>
  <c r="G640" i="3" a="1"/>
  <c r="G640" i="3" s="1"/>
  <c r="G639" i="3" a="1"/>
  <c r="G639" i="3" s="1"/>
  <c r="G638" i="3" a="1"/>
  <c r="G638" i="3" s="1"/>
  <c r="G637" i="3" a="1"/>
  <c r="G637" i="3" s="1"/>
  <c r="G636" i="3" a="1"/>
  <c r="G636" i="3" s="1"/>
  <c r="G635" i="3" a="1"/>
  <c r="G635" i="3" s="1"/>
  <c r="G634" i="3" a="1"/>
  <c r="G634" i="3" s="1"/>
  <c r="G633" i="3" a="1"/>
  <c r="G633" i="3" s="1"/>
  <c r="G632" i="3" a="1"/>
  <c r="G632" i="3" s="1"/>
  <c r="G631" i="3" a="1"/>
  <c r="G631" i="3" s="1"/>
  <c r="G630" i="3" a="1"/>
  <c r="G630" i="3" s="1"/>
  <c r="G629" i="3" a="1"/>
  <c r="G629" i="3" s="1"/>
  <c r="G628" i="3" a="1"/>
  <c r="G628" i="3" s="1"/>
  <c r="G627" i="3" a="1"/>
  <c r="G627" i="3" s="1"/>
  <c r="G626" i="3" a="1"/>
  <c r="G626" i="3" s="1"/>
  <c r="G625" i="3" a="1"/>
  <c r="G625" i="3" s="1"/>
  <c r="G624" i="3" a="1"/>
  <c r="G624" i="3" s="1"/>
  <c r="G623" i="3" a="1"/>
  <c r="G623" i="3" s="1"/>
  <c r="G622" i="3" a="1"/>
  <c r="G622" i="3" s="1"/>
  <c r="G621" i="3" a="1"/>
  <c r="G621" i="3" s="1"/>
  <c r="G620" i="3" a="1"/>
  <c r="G620" i="3" s="1"/>
  <c r="G619" i="3" a="1"/>
  <c r="G619" i="3" s="1"/>
  <c r="G618" i="3" a="1"/>
  <c r="G618" i="3" s="1"/>
  <c r="G617" i="3" a="1"/>
  <c r="G617" i="3" s="1"/>
  <c r="G616" i="3" a="1"/>
  <c r="G616" i="3" s="1"/>
  <c r="G615" i="3" a="1"/>
  <c r="G615" i="3" s="1"/>
  <c r="G614" i="3" a="1"/>
  <c r="G614" i="3" s="1"/>
  <c r="G613" i="3" a="1"/>
  <c r="G613" i="3" s="1"/>
  <c r="G612" i="3" a="1"/>
  <c r="G612" i="3" s="1"/>
  <c r="G611" i="3" a="1"/>
  <c r="G611" i="3" s="1"/>
  <c r="G610" i="3" a="1"/>
  <c r="G610" i="3" s="1"/>
  <c r="G609" i="3" a="1"/>
  <c r="G609" i="3" s="1"/>
  <c r="G608" i="3" a="1"/>
  <c r="G608" i="3" s="1"/>
  <c r="G607" i="3" a="1"/>
  <c r="G607" i="3" s="1"/>
  <c r="G606" i="3" a="1"/>
  <c r="G606" i="3" s="1"/>
  <c r="G605" i="3" a="1"/>
  <c r="G605" i="3" s="1"/>
  <c r="G604" i="3" a="1"/>
  <c r="G604" i="3" s="1"/>
  <c r="G603" i="3" a="1"/>
  <c r="G603" i="3" s="1"/>
  <c r="G602" i="3" a="1"/>
  <c r="G602" i="3" s="1"/>
  <c r="G601" i="3" a="1"/>
  <c r="G601" i="3" s="1"/>
  <c r="G600" i="3" a="1"/>
  <c r="G600" i="3" s="1"/>
  <c r="G599" i="3" a="1"/>
  <c r="G599" i="3" s="1"/>
  <c r="G598" i="3" a="1"/>
  <c r="G598" i="3" s="1"/>
  <c r="G597" i="3" a="1"/>
  <c r="G597" i="3" s="1"/>
  <c r="G596" i="3" a="1"/>
  <c r="G596" i="3" s="1"/>
  <c r="G595" i="3" a="1"/>
  <c r="G595" i="3" s="1"/>
  <c r="G594" i="3" a="1"/>
  <c r="G594" i="3" s="1"/>
  <c r="G593" i="3" a="1"/>
  <c r="G593" i="3" s="1"/>
  <c r="G592" i="3" a="1"/>
  <c r="G592" i="3" s="1"/>
  <c r="G591" i="3" a="1"/>
  <c r="G591" i="3" s="1"/>
  <c r="G590" i="3" a="1"/>
  <c r="G590" i="3" s="1"/>
  <c r="G589" i="3" a="1"/>
  <c r="G589" i="3" s="1"/>
  <c r="G588" i="3" a="1"/>
  <c r="G588" i="3" s="1"/>
  <c r="G587" i="3" a="1"/>
  <c r="G587" i="3" s="1"/>
  <c r="G586" i="3" a="1"/>
  <c r="G586" i="3" s="1"/>
  <c r="G585" i="3" a="1"/>
  <c r="G585" i="3" s="1"/>
  <c r="G584" i="3" a="1"/>
  <c r="G584" i="3" s="1"/>
  <c r="G583" i="3" a="1"/>
  <c r="G583" i="3" s="1"/>
  <c r="G582" i="3" a="1"/>
  <c r="G582" i="3" s="1"/>
  <c r="G581" i="3" a="1"/>
  <c r="G581" i="3" s="1"/>
  <c r="G580" i="3" a="1"/>
  <c r="G580" i="3" s="1"/>
  <c r="G579" i="3" a="1"/>
  <c r="G579" i="3" s="1"/>
  <c r="G578" i="3" a="1"/>
  <c r="G578" i="3" s="1"/>
  <c r="G577" i="3" a="1"/>
  <c r="G577" i="3" s="1"/>
  <c r="G576" i="3" a="1"/>
  <c r="G576" i="3" s="1"/>
  <c r="G575" i="3" a="1"/>
  <c r="G575" i="3" s="1"/>
  <c r="G574" i="3" a="1"/>
  <c r="G574" i="3" s="1"/>
  <c r="G573" i="3" a="1"/>
  <c r="G573" i="3" s="1"/>
  <c r="G572" i="3" a="1"/>
  <c r="G572" i="3" s="1"/>
  <c r="G571" i="3" a="1"/>
  <c r="G571" i="3" s="1"/>
  <c r="G570" i="3" a="1"/>
  <c r="G570" i="3" s="1"/>
  <c r="G569" i="3" a="1"/>
  <c r="G569" i="3" s="1"/>
  <c r="G568" i="3" a="1"/>
  <c r="G568" i="3" s="1"/>
  <c r="G567" i="3" a="1"/>
  <c r="G567" i="3" s="1"/>
  <c r="G566" i="3" a="1"/>
  <c r="G566" i="3" s="1"/>
  <c r="G565" i="3" a="1"/>
  <c r="G565" i="3" s="1"/>
  <c r="G564" i="3" a="1"/>
  <c r="G564" i="3" s="1"/>
  <c r="G563" i="3" a="1"/>
  <c r="G563" i="3" s="1"/>
  <c r="G562" i="3" a="1"/>
  <c r="G562" i="3" s="1"/>
  <c r="G561" i="3" a="1"/>
  <c r="G561" i="3" s="1"/>
  <c r="G560" i="3" a="1"/>
  <c r="G560" i="3" s="1"/>
  <c r="G559" i="3" a="1"/>
  <c r="G559" i="3" s="1"/>
  <c r="G558" i="3" a="1"/>
  <c r="G558" i="3" s="1"/>
  <c r="G557" i="3" a="1"/>
  <c r="G557" i="3" s="1"/>
  <c r="G556" i="3" a="1"/>
  <c r="G556" i="3" s="1"/>
  <c r="G555" i="3" a="1"/>
  <c r="G555" i="3" s="1"/>
  <c r="G554" i="3" a="1"/>
  <c r="G554" i="3" s="1"/>
  <c r="G553" i="3" a="1"/>
  <c r="G553" i="3" s="1"/>
  <c r="G552" i="3" a="1"/>
  <c r="G552" i="3" s="1"/>
  <c r="G551" i="3" a="1"/>
  <c r="G551" i="3" s="1"/>
  <c r="G550" i="3" a="1"/>
  <c r="G550" i="3" s="1"/>
  <c r="G549" i="3" a="1"/>
  <c r="G549" i="3" s="1"/>
  <c r="G548" i="3" a="1"/>
  <c r="G548" i="3" s="1"/>
  <c r="G547" i="3" a="1"/>
  <c r="G547" i="3" s="1"/>
  <c r="G546" i="3" a="1"/>
  <c r="G546" i="3" s="1"/>
  <c r="G545" i="3" a="1"/>
  <c r="G545" i="3" s="1"/>
  <c r="G544" i="3" a="1"/>
  <c r="G544" i="3" s="1"/>
  <c r="G543" i="3" a="1"/>
  <c r="G543" i="3" s="1"/>
  <c r="G542" i="3" a="1"/>
  <c r="G542" i="3" s="1"/>
  <c r="G541" i="3" a="1"/>
  <c r="G541" i="3" s="1"/>
  <c r="G540" i="3" a="1"/>
  <c r="G540" i="3" s="1"/>
  <c r="G539" i="3" a="1"/>
  <c r="G539" i="3" s="1"/>
  <c r="G538" i="3" a="1"/>
  <c r="G538" i="3" s="1"/>
  <c r="G537" i="3" a="1"/>
  <c r="G537" i="3" s="1"/>
  <c r="G536" i="3" a="1"/>
  <c r="G536" i="3" s="1"/>
  <c r="G535" i="3" a="1"/>
  <c r="G535" i="3" s="1"/>
  <c r="G534" i="3" a="1"/>
  <c r="G534" i="3" s="1"/>
  <c r="G533" i="3" a="1"/>
  <c r="G533" i="3" s="1"/>
  <c r="G532" i="3" a="1"/>
  <c r="G532" i="3" s="1"/>
  <c r="G531" i="3" a="1"/>
  <c r="G531" i="3" s="1"/>
  <c r="G530" i="3" a="1"/>
  <c r="G530" i="3" s="1"/>
  <c r="G529" i="3" a="1"/>
  <c r="G529" i="3" s="1"/>
  <c r="G528" i="3" a="1"/>
  <c r="G528" i="3" s="1"/>
  <c r="G527" i="3" a="1"/>
  <c r="G527" i="3" s="1"/>
  <c r="G526" i="3" a="1"/>
  <c r="G526" i="3" s="1"/>
  <c r="G525" i="3" a="1"/>
  <c r="G525" i="3" s="1"/>
  <c r="G524" i="3" a="1"/>
  <c r="G524" i="3" s="1"/>
  <c r="G523" i="3" a="1"/>
  <c r="G523" i="3" s="1"/>
  <c r="G522" i="3" a="1"/>
  <c r="G522" i="3" s="1"/>
  <c r="G521" i="3" a="1"/>
  <c r="G521" i="3" s="1"/>
  <c r="G520" i="3" a="1"/>
  <c r="G520" i="3" s="1"/>
  <c r="G519" i="3" a="1"/>
  <c r="G519" i="3" s="1"/>
  <c r="G518" i="3" a="1"/>
  <c r="G518" i="3" s="1"/>
  <c r="G517" i="3" a="1"/>
  <c r="G517" i="3" s="1"/>
  <c r="G516" i="3" a="1"/>
  <c r="G516" i="3" s="1"/>
  <c r="G515" i="3" a="1"/>
  <c r="G515" i="3" s="1"/>
  <c r="G514" i="3" a="1"/>
  <c r="G514" i="3" s="1"/>
  <c r="G513" i="3" a="1"/>
  <c r="G513" i="3" s="1"/>
  <c r="G512" i="3" a="1"/>
  <c r="G512" i="3" s="1"/>
  <c r="G511" i="3" a="1"/>
  <c r="G511" i="3" s="1"/>
  <c r="G510" i="3" a="1"/>
  <c r="G510" i="3" s="1"/>
  <c r="G509" i="3" a="1"/>
  <c r="G509" i="3" s="1"/>
  <c r="G508" i="3" a="1"/>
  <c r="G508" i="3" s="1"/>
  <c r="G507" i="3" a="1"/>
  <c r="G507" i="3" s="1"/>
  <c r="G506" i="3" a="1"/>
  <c r="G506" i="3" s="1"/>
  <c r="G505" i="3" a="1"/>
  <c r="G505" i="3" s="1"/>
  <c r="G504" i="3" a="1"/>
  <c r="G504" i="3" s="1"/>
  <c r="G503" i="3" a="1"/>
  <c r="G503" i="3" s="1"/>
  <c r="X3" i="4" l="1"/>
  <c r="X2" i="4"/>
  <c r="C383" i="7"/>
  <c r="C373" i="7"/>
  <c r="H7" i="16"/>
  <c r="I8" i="16"/>
  <c r="J9" i="16"/>
  <c r="K10" i="16" a="1"/>
  <c r="K10" i="16" s="1"/>
  <c r="J8" i="16"/>
  <c r="K9" i="16" a="1"/>
  <c r="K9" i="16" s="1"/>
  <c r="H10" i="16"/>
  <c r="H9" i="16"/>
  <c r="I10" i="16"/>
  <c r="T574" i="2"/>
  <c r="T598" i="2"/>
  <c r="T638" i="2"/>
  <c r="T646" i="2"/>
  <c r="T776" i="2"/>
  <c r="T791" i="2"/>
  <c r="T878" i="2"/>
  <c r="T886" i="2"/>
  <c r="T999" i="2"/>
  <c r="T1036" i="2"/>
  <c r="T1065" i="2"/>
  <c r="T1095" i="2"/>
  <c r="T1109" i="2"/>
  <c r="T1114" i="2"/>
  <c r="T1120" i="2"/>
  <c r="T1134" i="2"/>
  <c r="T1156" i="2"/>
  <c r="T1174" i="2"/>
  <c r="T1190" i="2"/>
  <c r="T567" i="2"/>
  <c r="T623" i="2"/>
  <c r="T725" i="2"/>
  <c r="T863" i="2"/>
  <c r="T871" i="2"/>
  <c r="T895" i="2"/>
  <c r="T911" i="2"/>
  <c r="T927" i="2"/>
  <c r="T1007" i="2"/>
  <c r="T1138" i="2"/>
  <c r="T1175" i="2"/>
  <c r="T1185" i="2"/>
  <c r="T1191" i="2"/>
  <c r="T545" i="2"/>
  <c r="T592" i="2"/>
  <c r="T632" i="2"/>
  <c r="T704" i="2"/>
  <c r="T786" i="2"/>
  <c r="T793" i="2"/>
  <c r="T832" i="2"/>
  <c r="T912" i="2"/>
  <c r="T994" i="2"/>
  <c r="T1000" i="2"/>
  <c r="T1019" i="2"/>
  <c r="T1101" i="2"/>
  <c r="T1147" i="2"/>
  <c r="T1171" i="2"/>
  <c r="T1177" i="2"/>
  <c r="T1192" i="2"/>
  <c r="T553" i="2"/>
  <c r="T563" i="2"/>
  <c r="T569" i="2"/>
  <c r="T601" i="2"/>
  <c r="T735" i="2"/>
  <c r="T743" i="2"/>
  <c r="T771" i="2"/>
  <c r="T802" i="2"/>
  <c r="T809" i="2"/>
  <c r="T817" i="2"/>
  <c r="T1002" i="2"/>
  <c r="T1051" i="2"/>
  <c r="T1123" i="2"/>
  <c r="T1193" i="2"/>
  <c r="T586" i="2"/>
  <c r="T594" i="2"/>
  <c r="T752" i="2"/>
  <c r="T766" i="2"/>
  <c r="T842" i="2"/>
  <c r="T906" i="2"/>
  <c r="T914" i="2"/>
  <c r="T938" i="2"/>
  <c r="T1076" i="2"/>
  <c r="T1167" i="2"/>
  <c r="T1182" i="2"/>
  <c r="T1196" i="2"/>
  <c r="T1203" i="2"/>
  <c r="T579" i="2"/>
  <c r="T603" i="2"/>
  <c r="T714" i="2"/>
  <c r="T781" i="2"/>
  <c r="T796" i="2"/>
  <c r="T811" i="2"/>
  <c r="T891" i="2"/>
  <c r="T915" i="2"/>
  <c r="T997" i="2"/>
  <c r="T1004" i="2"/>
  <c r="T1117" i="2"/>
  <c r="T1143" i="2"/>
  <c r="T550" i="2"/>
  <c r="T558" i="2"/>
  <c r="T564" i="2"/>
  <c r="T580" i="2"/>
  <c r="T588" i="2"/>
  <c r="T652" i="2"/>
  <c r="T660" i="2"/>
  <c r="T671" i="2"/>
  <c r="T682" i="2"/>
  <c r="T760" i="2"/>
  <c r="T789" i="2"/>
  <c r="T820" i="2"/>
  <c r="T980" i="2"/>
  <c r="T991" i="2"/>
  <c r="T1029" i="2"/>
  <c r="T1053" i="2"/>
  <c r="T1124" i="2"/>
  <c r="T1132" i="2"/>
  <c r="T1148" i="2"/>
  <c r="T1173" i="2"/>
  <c r="T1206" i="2"/>
  <c r="T613" i="2"/>
  <c r="T645" i="2"/>
  <c r="T798" i="2"/>
  <c r="T805" i="2"/>
  <c r="T813" i="2"/>
  <c r="T821" i="2"/>
  <c r="T853" i="2"/>
  <c r="T901" i="2"/>
  <c r="T949" i="2"/>
  <c r="T957" i="2"/>
  <c r="T965" i="2"/>
  <c r="T973" i="2"/>
  <c r="T987" i="2"/>
  <c r="T1006" i="2"/>
  <c r="T1044" i="2"/>
  <c r="T1048" i="2"/>
  <c r="T1085" i="2"/>
  <c r="T1131" i="2"/>
  <c r="T1133" i="2"/>
  <c r="T1149" i="2"/>
  <c r="T1161" i="2"/>
  <c r="T1201" i="2"/>
  <c r="T1346" i="2"/>
  <c r="D88" i="6"/>
  <c r="D87" i="6"/>
  <c r="C34" i="1"/>
  <c r="E34" i="1" s="1"/>
  <c r="C27" i="1"/>
  <c r="E27" i="1" s="1"/>
  <c r="T1745" i="2"/>
  <c r="T1746" i="2"/>
  <c r="T1747" i="2"/>
  <c r="T1748" i="2"/>
  <c r="T1749" i="2"/>
  <c r="T1750" i="2"/>
  <c r="T1743" i="2"/>
  <c r="T1751" i="2"/>
  <c r="T1744" i="2"/>
  <c r="T1752" i="2"/>
  <c r="T1735" i="2"/>
  <c r="T1736" i="2"/>
  <c r="T1737" i="2"/>
  <c r="T1738" i="2"/>
  <c r="T1739" i="2"/>
  <c r="T1740" i="2"/>
  <c r="T1741" i="2"/>
  <c r="T1734" i="2"/>
  <c r="T1742" i="2"/>
  <c r="T1726" i="2"/>
  <c r="T1727" i="2"/>
  <c r="T1728" i="2"/>
  <c r="T1729" i="2"/>
  <c r="T1730" i="2"/>
  <c r="T1723" i="2"/>
  <c r="T1731" i="2"/>
  <c r="T1724" i="2"/>
  <c r="T1732" i="2"/>
  <c r="T1725" i="2"/>
  <c r="T1733" i="2"/>
  <c r="T1715" i="2"/>
  <c r="T1716" i="2"/>
  <c r="T1717" i="2"/>
  <c r="T1718" i="2"/>
  <c r="T1719" i="2"/>
  <c r="T1712" i="2"/>
  <c r="T1720" i="2"/>
  <c r="T1713" i="2"/>
  <c r="T1721" i="2"/>
  <c r="T1714" i="2"/>
  <c r="T1722" i="2"/>
  <c r="T1704" i="2"/>
  <c r="T1705" i="2"/>
  <c r="T1706" i="2"/>
  <c r="T1707" i="2"/>
  <c r="T1708" i="2"/>
  <c r="T1701" i="2"/>
  <c r="T1709" i="2"/>
  <c r="T1702" i="2"/>
  <c r="T1710" i="2"/>
  <c r="T1703" i="2"/>
  <c r="T1711" i="2"/>
  <c r="T2718" i="2"/>
  <c r="T2725" i="2"/>
  <c r="T2733" i="2"/>
  <c r="T2740" i="2"/>
  <c r="T2747" i="2"/>
  <c r="T2719" i="2"/>
  <c r="T2726" i="2"/>
  <c r="T2734" i="2"/>
  <c r="T2741" i="2"/>
  <c r="T2748" i="2"/>
  <c r="T2720" i="2"/>
  <c r="T2727" i="2"/>
  <c r="T2735" i="2"/>
  <c r="T2742" i="2"/>
  <c r="T2749" i="2"/>
  <c r="T2721" i="2"/>
  <c r="T2728" i="2"/>
  <c r="T2743" i="2"/>
  <c r="T2750" i="2"/>
  <c r="T2714" i="2"/>
  <c r="T2722" i="2"/>
  <c r="T2729" i="2"/>
  <c r="T2736" i="2"/>
  <c r="T2744" i="2"/>
  <c r="T2751" i="2"/>
  <c r="T2715" i="2"/>
  <c r="T2723" i="2"/>
  <c r="T2730" i="2"/>
  <c r="T2737" i="2"/>
  <c r="T2752" i="2"/>
  <c r="T2716" i="2"/>
  <c r="T2724" i="2"/>
  <c r="T2731" i="2"/>
  <c r="T2738" i="2"/>
  <c r="T2745" i="2"/>
  <c r="T2753" i="2"/>
  <c r="T2717" i="2"/>
  <c r="T2732" i="2"/>
  <c r="T2739" i="2"/>
  <c r="T2746" i="2"/>
  <c r="T2754" i="2"/>
  <c r="T1700" i="2"/>
  <c r="T1697" i="2"/>
  <c r="T1698" i="2"/>
  <c r="T1699" i="2"/>
  <c r="T1694" i="2"/>
  <c r="T1695" i="2"/>
  <c r="T1696" i="2"/>
  <c r="T1690" i="2"/>
  <c r="T1691" i="2"/>
  <c r="T1692" i="2"/>
  <c r="T1693" i="2"/>
  <c r="T1686" i="2"/>
  <c r="T1687" i="2"/>
  <c r="T1688" i="2"/>
  <c r="T1689" i="2"/>
  <c r="T1679" i="2"/>
  <c r="T1680" i="2"/>
  <c r="T1681" i="2"/>
  <c r="T1682" i="2"/>
  <c r="T1683" i="2"/>
  <c r="T1684" i="2"/>
  <c r="T1685" i="2"/>
  <c r="T1673" i="2"/>
  <c r="T1674" i="2"/>
  <c r="T1675" i="2"/>
  <c r="T1676" i="2"/>
  <c r="T1677" i="2"/>
  <c r="T1678" i="2"/>
  <c r="T1666" i="2"/>
  <c r="T1667" i="2"/>
  <c r="T1668" i="2"/>
  <c r="T1669" i="2"/>
  <c r="T1670" i="2"/>
  <c r="T1671" i="2"/>
  <c r="T1672" i="2"/>
  <c r="T1658" i="2"/>
  <c r="T1659" i="2"/>
  <c r="T1660" i="2"/>
  <c r="T1661" i="2"/>
  <c r="T1662" i="2"/>
  <c r="T1663" i="2"/>
  <c r="T1656" i="2"/>
  <c r="T1664" i="2"/>
  <c r="T1657" i="2"/>
  <c r="T1665" i="2"/>
  <c r="T1648" i="2"/>
  <c r="T1649" i="2"/>
  <c r="T1650" i="2"/>
  <c r="T1651" i="2"/>
  <c r="T1652" i="2"/>
  <c r="T1645" i="2"/>
  <c r="T1653" i="2"/>
  <c r="T1646" i="2"/>
  <c r="T1654" i="2"/>
  <c r="T1647" i="2"/>
  <c r="T1655" i="2"/>
  <c r="T1637" i="2"/>
  <c r="T1638" i="2"/>
  <c r="T1639" i="2"/>
  <c r="T1640" i="2"/>
  <c r="T1633" i="2"/>
  <c r="T1641" i="2"/>
  <c r="T1634" i="2"/>
  <c r="T1642" i="2"/>
  <c r="T1635" i="2"/>
  <c r="T1643" i="2"/>
  <c r="T1636" i="2"/>
  <c r="T1644" i="2"/>
  <c r="T1631" i="2"/>
  <c r="T1632" i="2"/>
  <c r="T1630" i="2"/>
  <c r="T1629" i="2"/>
  <c r="T1628" i="2"/>
  <c r="T1627" i="2"/>
  <c r="T1626" i="2"/>
  <c r="T1620" i="2"/>
  <c r="T1621" i="2"/>
  <c r="T1622" i="2"/>
  <c r="T1623" i="2"/>
  <c r="T1624" i="2"/>
  <c r="T1625" i="2"/>
  <c r="T1619" i="2"/>
  <c r="T1618" i="2"/>
  <c r="T1616" i="2"/>
  <c r="T1615" i="2"/>
  <c r="T1617" i="2"/>
  <c r="T1608" i="2"/>
  <c r="T1609" i="2"/>
  <c r="T1610" i="2"/>
  <c r="T1611" i="2"/>
  <c r="T1612" i="2"/>
  <c r="T1613" i="2"/>
  <c r="T1614" i="2"/>
  <c r="T1601" i="2"/>
  <c r="T1602" i="2"/>
  <c r="T1603" i="2"/>
  <c r="T1604" i="2"/>
  <c r="T1605" i="2"/>
  <c r="T1606" i="2"/>
  <c r="T1607" i="2"/>
  <c r="T1594" i="2"/>
  <c r="T1595" i="2"/>
  <c r="T1596" i="2"/>
  <c r="T1593" i="2"/>
  <c r="T1597" i="2"/>
  <c r="T1598" i="2"/>
  <c r="T1599" i="2"/>
  <c r="T1592" i="2"/>
  <c r="T1600" i="2"/>
  <c r="T1584" i="2"/>
  <c r="T1585" i="2"/>
  <c r="T1586" i="2"/>
  <c r="T1587" i="2"/>
  <c r="T1588" i="2"/>
  <c r="T1589" i="2"/>
  <c r="T1590" i="2"/>
  <c r="T1583" i="2"/>
  <c r="T1591" i="2"/>
  <c r="C388" i="7"/>
  <c r="C389" i="7" s="1"/>
  <c r="C390" i="7" s="1"/>
  <c r="C391" i="7" s="1"/>
  <c r="E386" i="7"/>
  <c r="T1582" i="2"/>
  <c r="T1581" i="2"/>
  <c r="T1580" i="2"/>
  <c r="M29" i="6"/>
  <c r="T1578" i="2"/>
  <c r="T1579" i="2"/>
  <c r="K26" i="6"/>
  <c r="T1576" i="2"/>
  <c r="T1577" i="2"/>
  <c r="K33" i="6"/>
  <c r="K25" i="6"/>
  <c r="M28" i="6"/>
  <c r="K32" i="6"/>
  <c r="K24" i="6"/>
  <c r="M27" i="6"/>
  <c r="M19" i="6"/>
  <c r="M11" i="6"/>
  <c r="M3" i="6"/>
  <c r="K31" i="6"/>
  <c r="K23" i="6"/>
  <c r="K30" i="6"/>
  <c r="T1572" i="2"/>
  <c r="T1573" i="2"/>
  <c r="T1574" i="2"/>
  <c r="T1575" i="2"/>
  <c r="T1569" i="2"/>
  <c r="T1570" i="2"/>
  <c r="T1571" i="2"/>
  <c r="T1565" i="2"/>
  <c r="T1567" i="2"/>
  <c r="T1568" i="2"/>
  <c r="T1564" i="2"/>
  <c r="T1566" i="2"/>
  <c r="T1557" i="2"/>
  <c r="T1558" i="2"/>
  <c r="T1559" i="2"/>
  <c r="T1560" i="2"/>
  <c r="T1561" i="2"/>
  <c r="T1562" i="2"/>
  <c r="T1563" i="2"/>
  <c r="T1556" i="2"/>
  <c r="T1554" i="2"/>
  <c r="T1551" i="2"/>
  <c r="T1552" i="2"/>
  <c r="T1553" i="2"/>
  <c r="T1555" i="2"/>
  <c r="T1544" i="2"/>
  <c r="T1545" i="2"/>
  <c r="T1546" i="2"/>
  <c r="T1547" i="2"/>
  <c r="T1548" i="2"/>
  <c r="T1549" i="2"/>
  <c r="T1550" i="2"/>
  <c r="T1541" i="2"/>
  <c r="T1543" i="2"/>
  <c r="T1537" i="2"/>
  <c r="T1539" i="2"/>
  <c r="T1529" i="2"/>
  <c r="T1542" i="2"/>
  <c r="T1531" i="2"/>
  <c r="T1538" i="2"/>
  <c r="T1533" i="2"/>
  <c r="T1540" i="2"/>
  <c r="T1535" i="2"/>
  <c r="T1530" i="2"/>
  <c r="T1536" i="2"/>
  <c r="T1532" i="2"/>
  <c r="T1534" i="2"/>
  <c r="T1516" i="2"/>
  <c r="T1524" i="2"/>
  <c r="T1525" i="2"/>
  <c r="T1526" i="2"/>
  <c r="T1527" i="2"/>
  <c r="T1520" i="2"/>
  <c r="T1528" i="2"/>
  <c r="T1521" i="2"/>
  <c r="T1522" i="2"/>
  <c r="T1523" i="2"/>
  <c r="T1509" i="2"/>
  <c r="T1517" i="2"/>
  <c r="T1510" i="2"/>
  <c r="T1518" i="2"/>
  <c r="T1511" i="2"/>
  <c r="T1519" i="2"/>
  <c r="T1512" i="2"/>
  <c r="T1513" i="2"/>
  <c r="T1514" i="2"/>
  <c r="T1515" i="2"/>
  <c r="T1498" i="2"/>
  <c r="T1506" i="2"/>
  <c r="T1499" i="2"/>
  <c r="T1507" i="2"/>
  <c r="T1500" i="2"/>
  <c r="T1508" i="2"/>
  <c r="T1501" i="2"/>
  <c r="T1502" i="2"/>
  <c r="T1503" i="2"/>
  <c r="T1504" i="2"/>
  <c r="T1497" i="2"/>
  <c r="T1505" i="2"/>
  <c r="T1492" i="2"/>
  <c r="T1493" i="2"/>
  <c r="T1486" i="2"/>
  <c r="T1494" i="2"/>
  <c r="T1487" i="2"/>
  <c r="T1495" i="2"/>
  <c r="T1488" i="2"/>
  <c r="T1496" i="2"/>
  <c r="T1489" i="2"/>
  <c r="T1490" i="2"/>
  <c r="T1491" i="2"/>
  <c r="T1316" i="2"/>
  <c r="T1309" i="2"/>
  <c r="T1318" i="2"/>
  <c r="T1307" i="2"/>
  <c r="T1324" i="2"/>
  <c r="T1311" i="2"/>
  <c r="T1313" i="2"/>
  <c r="T1315" i="2"/>
  <c r="T1325" i="2"/>
  <c r="T1333" i="2"/>
  <c r="T1341" i="2"/>
  <c r="T1349" i="2"/>
  <c r="T1357" i="2"/>
  <c r="T1365" i="2"/>
  <c r="T1373" i="2"/>
  <c r="T1381" i="2"/>
  <c r="T1389" i="2"/>
  <c r="T1397" i="2"/>
  <c r="T1405" i="2"/>
  <c r="T1413" i="2"/>
  <c r="T1421" i="2"/>
  <c r="T1429" i="2"/>
  <c r="T1437" i="2"/>
  <c r="T1445" i="2"/>
  <c r="T1453" i="2"/>
  <c r="T1461" i="2"/>
  <c r="T1469" i="2"/>
  <c r="T1477" i="2"/>
  <c r="T1320" i="2"/>
  <c r="T1328" i="2"/>
  <c r="T1336" i="2"/>
  <c r="T1344" i="2"/>
  <c r="T1352" i="2"/>
  <c r="T1360" i="2"/>
  <c r="T1368" i="2"/>
  <c r="T1376" i="2"/>
  <c r="T1384" i="2"/>
  <c r="T1392" i="2"/>
  <c r="T1400" i="2"/>
  <c r="T1408" i="2"/>
  <c r="T1416" i="2"/>
  <c r="T1424" i="2"/>
  <c r="T1432" i="2"/>
  <c r="T1440" i="2"/>
  <c r="T1448" i="2"/>
  <c r="T1456" i="2"/>
  <c r="T1464" i="2"/>
  <c r="T1472" i="2"/>
  <c r="T1481" i="2"/>
  <c r="T1323" i="2"/>
  <c r="T1331" i="2"/>
  <c r="T1339" i="2"/>
  <c r="T1347" i="2"/>
  <c r="T1355" i="2"/>
  <c r="T1363" i="2"/>
  <c r="T1371" i="2"/>
  <c r="T1379" i="2"/>
  <c r="T1387" i="2"/>
  <c r="T1395" i="2"/>
  <c r="T1403" i="2"/>
  <c r="T1411" i="2"/>
  <c r="T1419" i="2"/>
  <c r="T1427" i="2"/>
  <c r="T1435" i="2"/>
  <c r="T1443" i="2"/>
  <c r="T1451" i="2"/>
  <c r="T1459" i="2"/>
  <c r="T1467" i="2"/>
  <c r="T1475" i="2"/>
  <c r="T1482" i="2"/>
  <c r="T1326" i="2"/>
  <c r="T1334" i="2"/>
  <c r="T1342" i="2"/>
  <c r="T1350" i="2"/>
  <c r="T1358" i="2"/>
  <c r="T1366" i="2"/>
  <c r="T1374" i="2"/>
  <c r="T1382" i="2"/>
  <c r="T1390" i="2"/>
  <c r="T1398" i="2"/>
  <c r="T1406" i="2"/>
  <c r="T1414" i="2"/>
  <c r="T1422" i="2"/>
  <c r="T1430" i="2"/>
  <c r="T1438" i="2"/>
  <c r="T1446" i="2"/>
  <c r="T1454" i="2"/>
  <c r="T1462" i="2"/>
  <c r="T1470" i="2"/>
  <c r="T1478" i="2"/>
  <c r="T1308" i="2"/>
  <c r="T1310" i="2"/>
  <c r="T1312" i="2"/>
  <c r="T1314" i="2"/>
  <c r="T1321" i="2"/>
  <c r="T1329" i="2"/>
  <c r="T1337" i="2"/>
  <c r="T1345" i="2"/>
  <c r="T1353" i="2"/>
  <c r="T1361" i="2"/>
  <c r="T1369" i="2"/>
  <c r="T1377" i="2"/>
  <c r="T1385" i="2"/>
  <c r="T1393" i="2"/>
  <c r="T1401" i="2"/>
  <c r="T1409" i="2"/>
  <c r="T1417" i="2"/>
  <c r="T1425" i="2"/>
  <c r="T1433" i="2"/>
  <c r="T1441" i="2"/>
  <c r="T1449" i="2"/>
  <c r="T1457" i="2"/>
  <c r="T1465" i="2"/>
  <c r="T1473" i="2"/>
  <c r="T1483" i="2"/>
  <c r="T1332" i="2"/>
  <c r="T1340" i="2"/>
  <c r="T1348" i="2"/>
  <c r="T1356" i="2"/>
  <c r="T1364" i="2"/>
  <c r="T1372" i="2"/>
  <c r="T1380" i="2"/>
  <c r="T1388" i="2"/>
  <c r="T1396" i="2"/>
  <c r="T1404" i="2"/>
  <c r="T1412" i="2"/>
  <c r="T1420" i="2"/>
  <c r="T1428" i="2"/>
  <c r="T1436" i="2"/>
  <c r="T1444" i="2"/>
  <c r="T1452" i="2"/>
  <c r="T1460" i="2"/>
  <c r="T1468" i="2"/>
  <c r="T1476" i="2"/>
  <c r="T1479" i="2"/>
  <c r="T1484" i="2"/>
  <c r="T1306" i="2"/>
  <c r="T1319" i="2"/>
  <c r="T1327" i="2"/>
  <c r="T1335" i="2"/>
  <c r="T1343" i="2"/>
  <c r="T1351" i="2"/>
  <c r="T1359" i="2"/>
  <c r="T1367" i="2"/>
  <c r="T1375" i="2"/>
  <c r="T1383" i="2"/>
  <c r="T1391" i="2"/>
  <c r="T1399" i="2"/>
  <c r="T1407" i="2"/>
  <c r="T1415" i="2"/>
  <c r="T1423" i="2"/>
  <c r="T1431" i="2"/>
  <c r="T1439" i="2"/>
  <c r="T1447" i="2"/>
  <c r="T1455" i="2"/>
  <c r="T1463" i="2"/>
  <c r="T1471" i="2"/>
  <c r="T1317" i="2"/>
  <c r="T1322" i="2"/>
  <c r="T1330" i="2"/>
  <c r="T1338" i="2"/>
  <c r="T1354" i="2"/>
  <c r="T1362" i="2"/>
  <c r="T1370" i="2"/>
  <c r="T1378" i="2"/>
  <c r="T1386" i="2"/>
  <c r="T1394" i="2"/>
  <c r="T1402" i="2"/>
  <c r="T1410" i="2"/>
  <c r="T1418" i="2"/>
  <c r="T1426" i="2"/>
  <c r="T1434" i="2"/>
  <c r="T1442" i="2"/>
  <c r="T1450" i="2"/>
  <c r="T1458" i="2"/>
  <c r="T1466" i="2"/>
  <c r="T1474" i="2"/>
  <c r="T1480" i="2"/>
  <c r="T1485" i="2"/>
  <c r="T36" i="2"/>
  <c r="T51" i="2"/>
  <c r="T52" i="2"/>
  <c r="T54" i="2"/>
  <c r="T2" i="2"/>
  <c r="T1205" i="2"/>
  <c r="T1204" i="2"/>
  <c r="T1202" i="2"/>
  <c r="T1198" i="2"/>
  <c r="T1200" i="2"/>
  <c r="T1197" i="2"/>
  <c r="T1199" i="2"/>
  <c r="T1195" i="2"/>
  <c r="T1194" i="2"/>
  <c r="T1188" i="2"/>
  <c r="T1189" i="2"/>
  <c r="T1187" i="2"/>
  <c r="T1184" i="2"/>
  <c r="T1186" i="2"/>
  <c r="T1183" i="2"/>
  <c r="T1179" i="2"/>
  <c r="T1181" i="2"/>
  <c r="T1178" i="2"/>
  <c r="T1180" i="2"/>
  <c r="T1176" i="2"/>
  <c r="T1169" i="2"/>
  <c r="T1172" i="2"/>
  <c r="T1170" i="2"/>
  <c r="T1163" i="2"/>
  <c r="T1168" i="2"/>
  <c r="T1165" i="2"/>
  <c r="T1162" i="2"/>
  <c r="T1166" i="2"/>
  <c r="T1164" i="2"/>
  <c r="T1152" i="2"/>
  <c r="T1159" i="2"/>
  <c r="T1151" i="2"/>
  <c r="T1160" i="2"/>
  <c r="T1155" i="2"/>
  <c r="T1157" i="2"/>
  <c r="T1158" i="2"/>
  <c r="T1150" i="2"/>
  <c r="T1153" i="2"/>
  <c r="T1154" i="2"/>
  <c r="T1145" i="2"/>
  <c r="T1144" i="2"/>
  <c r="T1146" i="2"/>
  <c r="T1139" i="2"/>
  <c r="T1142" i="2"/>
  <c r="T1140" i="2"/>
  <c r="T1137" i="2"/>
  <c r="T1141" i="2"/>
  <c r="T1135" i="2"/>
  <c r="T1136" i="2"/>
  <c r="T1129" i="2"/>
  <c r="T1128" i="2"/>
  <c r="T1125" i="2"/>
  <c r="T1130" i="2"/>
  <c r="T1127" i="2"/>
  <c r="T1122" i="2"/>
  <c r="T1126" i="2"/>
  <c r="T1118" i="2"/>
  <c r="T1121" i="2"/>
  <c r="T1119" i="2"/>
  <c r="T1116" i="2"/>
  <c r="T1111" i="2"/>
  <c r="T1115" i="2"/>
  <c r="T1107" i="2"/>
  <c r="T1110" i="2"/>
  <c r="T1112" i="2"/>
  <c r="T1103" i="2"/>
  <c r="T1113" i="2"/>
  <c r="T1106" i="2"/>
  <c r="T1104" i="2"/>
  <c r="T1108" i="2"/>
  <c r="T1105" i="2"/>
  <c r="T1097" i="2"/>
  <c r="T1102" i="2"/>
  <c r="T1099" i="2"/>
  <c r="T1096" i="2"/>
  <c r="T1092" i="2"/>
  <c r="T1100" i="2"/>
  <c r="T1098" i="2"/>
  <c r="T1091" i="2"/>
  <c r="T1089" i="2"/>
  <c r="T1093" i="2"/>
  <c r="T1077" i="2"/>
  <c r="T1088" i="2"/>
  <c r="T1086" i="2"/>
  <c r="T1090" i="2"/>
  <c r="T1094" i="2"/>
  <c r="T1081" i="2"/>
  <c r="T1087" i="2"/>
  <c r="T1071" i="2"/>
  <c r="T1079" i="2"/>
  <c r="T1083" i="2"/>
  <c r="T1075" i="2"/>
  <c r="T1072" i="2"/>
  <c r="T1067" i="2"/>
  <c r="T1080" i="2"/>
  <c r="T1078" i="2"/>
  <c r="T1084" i="2"/>
  <c r="T1082" i="2"/>
  <c r="T1064" i="2"/>
  <c r="T1069" i="2"/>
  <c r="T1068" i="2"/>
  <c r="T1074" i="2"/>
  <c r="T1063" i="2"/>
  <c r="T1055" i="2"/>
  <c r="T1070" i="2"/>
  <c r="T1066" i="2"/>
  <c r="T1059" i="2"/>
  <c r="T1073" i="2"/>
  <c r="T1060" i="2"/>
  <c r="T1058" i="2"/>
  <c r="T1056" i="2"/>
  <c r="T1054" i="2"/>
  <c r="T1062" i="2"/>
  <c r="T1061" i="2"/>
  <c r="T1057" i="2"/>
  <c r="T1050" i="2"/>
  <c r="T1052" i="2"/>
  <c r="T1049" i="2"/>
  <c r="T1046" i="2"/>
  <c r="T1042" i="2"/>
  <c r="T1045" i="2"/>
  <c r="T1047" i="2"/>
  <c r="T1038" i="2"/>
  <c r="T1040" i="2"/>
  <c r="T1037" i="2"/>
  <c r="T1041" i="2"/>
  <c r="T1039" i="2"/>
  <c r="T1043" i="2"/>
  <c r="T1033" i="2"/>
  <c r="T1034" i="2"/>
  <c r="T1030" i="2"/>
  <c r="T1017" i="2"/>
  <c r="T1035" i="2"/>
  <c r="T1031" i="2"/>
  <c r="T1009" i="2"/>
  <c r="T1021" i="2"/>
  <c r="T1032" i="2"/>
  <c r="T1012" i="2"/>
  <c r="T1010" i="2"/>
  <c r="T1025" i="2"/>
  <c r="T1023" i="2"/>
  <c r="T1016" i="2"/>
  <c r="T1014" i="2"/>
  <c r="T1027" i="2"/>
  <c r="T1018" i="2"/>
  <c r="T1020" i="2"/>
  <c r="T1013" i="2"/>
  <c r="T1011" i="2"/>
  <c r="T1024" i="2"/>
  <c r="T1022" i="2"/>
  <c r="T1015" i="2"/>
  <c r="T1028" i="2"/>
  <c r="T1026" i="2"/>
  <c r="T1008" i="2"/>
  <c r="T1005" i="2"/>
  <c r="T1003" i="2"/>
  <c r="T1001" i="2"/>
  <c r="T998" i="2"/>
  <c r="T996" i="2"/>
  <c r="T995" i="2"/>
  <c r="T993" i="2"/>
  <c r="T989" i="2"/>
  <c r="T992" i="2"/>
  <c r="T988" i="2"/>
  <c r="T990" i="2"/>
  <c r="T986" i="2"/>
  <c r="T984" i="2"/>
  <c r="T981" i="2"/>
  <c r="T985" i="2"/>
  <c r="T983" i="2"/>
  <c r="T982" i="2"/>
  <c r="T975" i="2"/>
  <c r="T978" i="2"/>
  <c r="T976" i="2"/>
  <c r="T979" i="2"/>
  <c r="T974" i="2"/>
  <c r="T977" i="2"/>
  <c r="T968" i="2"/>
  <c r="T971" i="2"/>
  <c r="T966" i="2"/>
  <c r="T969" i="2"/>
  <c r="T972" i="2"/>
  <c r="T967" i="2"/>
  <c r="T970" i="2"/>
  <c r="T961" i="2"/>
  <c r="T959" i="2"/>
  <c r="T963" i="2"/>
  <c r="T958" i="2"/>
  <c r="T960" i="2"/>
  <c r="T962" i="2"/>
  <c r="T964" i="2"/>
  <c r="T950" i="2"/>
  <c r="T953" i="2"/>
  <c r="T956" i="2"/>
  <c r="T951" i="2"/>
  <c r="T954" i="2"/>
  <c r="T952" i="2"/>
  <c r="T955" i="2"/>
  <c r="T939" i="2"/>
  <c r="T947" i="2"/>
  <c r="T942" i="2"/>
  <c r="T945" i="2"/>
  <c r="T940" i="2"/>
  <c r="T948" i="2"/>
  <c r="T943" i="2"/>
  <c r="T946" i="2"/>
  <c r="T941" i="2"/>
  <c r="T944" i="2"/>
  <c r="T931" i="2"/>
  <c r="T934" i="2"/>
  <c r="T929" i="2"/>
  <c r="T937" i="2"/>
  <c r="T932" i="2"/>
  <c r="T935" i="2"/>
  <c r="T930" i="2"/>
  <c r="T933" i="2"/>
  <c r="T928" i="2"/>
  <c r="T936" i="2"/>
  <c r="T920" i="2"/>
  <c r="T923" i="2"/>
  <c r="T918" i="2"/>
  <c r="T926" i="2"/>
  <c r="T921" i="2"/>
  <c r="T916" i="2"/>
  <c r="T924" i="2"/>
  <c r="T919" i="2"/>
  <c r="T922" i="2"/>
  <c r="T917" i="2"/>
  <c r="T925" i="2"/>
  <c r="T913" i="2"/>
  <c r="T908" i="2"/>
  <c r="T910" i="2"/>
  <c r="T907" i="2"/>
  <c r="T909" i="2"/>
  <c r="T904" i="2"/>
  <c r="T902" i="2"/>
  <c r="T905" i="2"/>
  <c r="T903" i="2"/>
  <c r="T898" i="2"/>
  <c r="T896" i="2"/>
  <c r="T897" i="2"/>
  <c r="T900" i="2"/>
  <c r="T899" i="2"/>
  <c r="T894" i="2"/>
  <c r="T892" i="2"/>
  <c r="T893" i="2"/>
  <c r="T887" i="2"/>
  <c r="T889" i="2"/>
  <c r="T888" i="2"/>
  <c r="T890" i="2"/>
  <c r="T885" i="2"/>
  <c r="T880" i="2"/>
  <c r="T883" i="2"/>
  <c r="T881" i="2"/>
  <c r="T884" i="2"/>
  <c r="T879" i="2"/>
  <c r="T882" i="2"/>
  <c r="T874" i="2"/>
  <c r="T877" i="2"/>
  <c r="T872" i="2"/>
  <c r="T875" i="2"/>
  <c r="T873" i="2"/>
  <c r="T876" i="2"/>
  <c r="T866" i="2"/>
  <c r="T869" i="2"/>
  <c r="T864" i="2"/>
  <c r="T868" i="2"/>
  <c r="T867" i="2"/>
  <c r="T870" i="2"/>
  <c r="T865" i="2"/>
  <c r="T859" i="2"/>
  <c r="T857" i="2"/>
  <c r="T855" i="2"/>
  <c r="T861" i="2"/>
  <c r="T846" i="2"/>
  <c r="T849" i="2"/>
  <c r="T854" i="2"/>
  <c r="T856" i="2"/>
  <c r="T858" i="2"/>
  <c r="T860" i="2"/>
  <c r="T862" i="2"/>
  <c r="T844" i="2"/>
  <c r="T852" i="2"/>
  <c r="T847" i="2"/>
  <c r="T850" i="2"/>
  <c r="T845" i="2"/>
  <c r="T848" i="2"/>
  <c r="T843" i="2"/>
  <c r="T851" i="2"/>
  <c r="T835" i="2"/>
  <c r="T838" i="2"/>
  <c r="T833" i="2"/>
  <c r="T841" i="2"/>
  <c r="T836" i="2"/>
  <c r="T839" i="2"/>
  <c r="T834" i="2"/>
  <c r="T837" i="2"/>
  <c r="T840" i="2"/>
  <c r="T825" i="2"/>
  <c r="T828" i="2"/>
  <c r="T823" i="2"/>
  <c r="T831" i="2"/>
  <c r="T826" i="2"/>
  <c r="T829" i="2"/>
  <c r="T824" i="2"/>
  <c r="T827" i="2"/>
  <c r="T822" i="2"/>
  <c r="T830" i="2"/>
  <c r="T819" i="2"/>
  <c r="T818" i="2"/>
  <c r="T816" i="2"/>
  <c r="T814" i="2"/>
  <c r="T815" i="2"/>
  <c r="T812" i="2"/>
  <c r="T807" i="2"/>
  <c r="T810" i="2"/>
  <c r="T806" i="2"/>
  <c r="T808" i="2"/>
  <c r="T804" i="2"/>
  <c r="T31" i="2"/>
  <c r="T803" i="2"/>
  <c r="T799" i="2"/>
  <c r="T801" i="2"/>
  <c r="T797" i="2"/>
  <c r="T800" i="2"/>
  <c r="T795" i="2"/>
  <c r="T794" i="2"/>
  <c r="T792" i="2"/>
  <c r="T790" i="2"/>
  <c r="T788" i="2"/>
  <c r="T13" i="2"/>
  <c r="T787" i="2"/>
  <c r="T778" i="2"/>
  <c r="T783" i="2"/>
  <c r="T785" i="2"/>
  <c r="T782" i="2"/>
  <c r="T784" i="2"/>
  <c r="T780" i="2"/>
  <c r="T772" i="2"/>
  <c r="T777" i="2"/>
  <c r="T779" i="2"/>
  <c r="T775" i="2"/>
  <c r="T773" i="2"/>
  <c r="T774" i="2"/>
  <c r="T770" i="2"/>
  <c r="T768" i="2"/>
  <c r="T680" i="2"/>
  <c r="T664" i="2"/>
  <c r="T767" i="2"/>
  <c r="T769" i="2"/>
  <c r="T12" i="2"/>
  <c r="T753" i="2"/>
  <c r="T761" i="2"/>
  <c r="T763" i="2"/>
  <c r="T765" i="2"/>
  <c r="T759" i="2"/>
  <c r="T757" i="2"/>
  <c r="T762" i="2"/>
  <c r="T764" i="2"/>
  <c r="T755" i="2"/>
  <c r="T675" i="2"/>
  <c r="T754" i="2"/>
  <c r="T756" i="2"/>
  <c r="T758" i="2"/>
  <c r="T740" i="2"/>
  <c r="T745" i="2"/>
  <c r="T747" i="2"/>
  <c r="T749" i="2"/>
  <c r="T751" i="2"/>
  <c r="T738" i="2"/>
  <c r="T736" i="2"/>
  <c r="T744" i="2"/>
  <c r="T746" i="2"/>
  <c r="T748" i="2"/>
  <c r="T750" i="2"/>
  <c r="T742" i="2"/>
  <c r="T730" i="2"/>
  <c r="T733" i="2"/>
  <c r="T728" i="2"/>
  <c r="T731" i="2"/>
  <c r="T726" i="2"/>
  <c r="T734" i="2"/>
  <c r="T729" i="2"/>
  <c r="T732" i="2"/>
  <c r="T727" i="2"/>
  <c r="T737" i="2"/>
  <c r="T739" i="2"/>
  <c r="T741" i="2"/>
  <c r="T718" i="2"/>
  <c r="T716" i="2"/>
  <c r="T724" i="2"/>
  <c r="T17" i="2"/>
  <c r="T722" i="2"/>
  <c r="T720" i="2"/>
  <c r="T715" i="2"/>
  <c r="T717" i="2"/>
  <c r="T719" i="2"/>
  <c r="T721" i="2"/>
  <c r="T723" i="2"/>
  <c r="T701" i="2"/>
  <c r="T696" i="2"/>
  <c r="T705" i="2"/>
  <c r="T707" i="2"/>
  <c r="T709" i="2"/>
  <c r="T711" i="2"/>
  <c r="T713" i="2"/>
  <c r="T699" i="2"/>
  <c r="T702" i="2"/>
  <c r="T697" i="2"/>
  <c r="T700" i="2"/>
  <c r="T681" i="2"/>
  <c r="T706" i="2"/>
  <c r="T708" i="2"/>
  <c r="T710" i="2"/>
  <c r="T712" i="2"/>
  <c r="T695" i="2"/>
  <c r="T703" i="2"/>
  <c r="T698" i="2"/>
  <c r="T687" i="2"/>
  <c r="T690" i="2"/>
  <c r="T685" i="2"/>
  <c r="T693" i="2"/>
  <c r="T688" i="2"/>
  <c r="T683" i="2"/>
  <c r="T691" i="2"/>
  <c r="T686" i="2"/>
  <c r="T694" i="2"/>
  <c r="T689" i="2"/>
  <c r="T684" i="2"/>
  <c r="T692" i="2"/>
  <c r="T673" i="2"/>
  <c r="T676" i="2"/>
  <c r="T679" i="2"/>
  <c r="T674" i="2"/>
  <c r="T677" i="2"/>
  <c r="T672" i="2"/>
  <c r="T678" i="2"/>
  <c r="T667" i="2"/>
  <c r="T662" i="2"/>
  <c r="T670" i="2"/>
  <c r="T665" i="2"/>
  <c r="T668" i="2"/>
  <c r="T663" i="2"/>
  <c r="T666" i="2"/>
  <c r="T661" i="2"/>
  <c r="T669" i="2"/>
  <c r="T653" i="2"/>
  <c r="T656" i="2"/>
  <c r="T659" i="2"/>
  <c r="T654" i="2"/>
  <c r="T657" i="2"/>
  <c r="T655" i="2"/>
  <c r="T658" i="2"/>
  <c r="T650" i="2"/>
  <c r="T648" i="2"/>
  <c r="T651" i="2"/>
  <c r="T649" i="2"/>
  <c r="T647" i="2"/>
  <c r="T640" i="2"/>
  <c r="T643" i="2"/>
  <c r="T641" i="2"/>
  <c r="T644" i="2"/>
  <c r="T639" i="2"/>
  <c r="T642" i="2"/>
  <c r="T634" i="2"/>
  <c r="T637" i="2"/>
  <c r="T635" i="2"/>
  <c r="T633" i="2"/>
  <c r="T636" i="2"/>
  <c r="T625" i="2"/>
  <c r="T628" i="2"/>
  <c r="T631" i="2"/>
  <c r="T626" i="2"/>
  <c r="T629" i="2"/>
  <c r="T624" i="2"/>
  <c r="T627" i="2"/>
  <c r="T630" i="2"/>
  <c r="T614" i="2"/>
  <c r="T616" i="2"/>
  <c r="T618" i="2"/>
  <c r="T620" i="2"/>
  <c r="T622" i="2"/>
  <c r="T615" i="2"/>
  <c r="T617" i="2"/>
  <c r="T619" i="2"/>
  <c r="T621" i="2"/>
  <c r="T609" i="2"/>
  <c r="T607" i="2"/>
  <c r="T605" i="2"/>
  <c r="T612" i="2"/>
  <c r="T611" i="2"/>
  <c r="T604" i="2"/>
  <c r="T606" i="2"/>
  <c r="T608" i="2"/>
  <c r="T610" i="2"/>
  <c r="T602" i="2"/>
  <c r="T599" i="2"/>
  <c r="T600" i="2"/>
  <c r="T595" i="2"/>
  <c r="T597" i="2"/>
  <c r="T596" i="2"/>
  <c r="T593" i="2"/>
  <c r="T589" i="2"/>
  <c r="T590" i="2"/>
  <c r="T591" i="2"/>
  <c r="T587" i="2"/>
  <c r="T582" i="2"/>
  <c r="T585" i="2"/>
  <c r="T583" i="2"/>
  <c r="T581" i="2"/>
  <c r="T584" i="2"/>
  <c r="T575" i="2"/>
  <c r="T578" i="2"/>
  <c r="T576" i="2"/>
  <c r="T577" i="2"/>
  <c r="T570" i="2"/>
  <c r="T573" i="2"/>
  <c r="T571" i="2"/>
  <c r="T572" i="2"/>
  <c r="T568" i="2"/>
  <c r="T565" i="2"/>
  <c r="T566" i="2"/>
  <c r="T559" i="2"/>
  <c r="T562" i="2"/>
  <c r="T561" i="2"/>
  <c r="T560" i="2"/>
  <c r="T556" i="2"/>
  <c r="T555" i="2"/>
  <c r="T554" i="2"/>
  <c r="T557" i="2"/>
  <c r="T551" i="2"/>
  <c r="T552" i="2"/>
  <c r="T546" i="2"/>
  <c r="T547" i="2"/>
  <c r="T549" i="2"/>
  <c r="T548" i="2"/>
  <c r="T5" i="2"/>
  <c r="T6" i="2"/>
  <c r="T19" i="2"/>
  <c r="T27" i="2"/>
  <c r="T35" i="2"/>
  <c r="T43" i="2"/>
  <c r="T57" i="2"/>
  <c r="T65" i="2"/>
  <c r="T73" i="2"/>
  <c r="T81" i="2"/>
  <c r="T89" i="2"/>
  <c r="T97" i="2"/>
  <c r="T105" i="2"/>
  <c r="T113" i="2"/>
  <c r="T121" i="2"/>
  <c r="T128" i="2"/>
  <c r="T136" i="2"/>
  <c r="T144" i="2"/>
  <c r="T152" i="2"/>
  <c r="T160" i="2"/>
  <c r="T168" i="2"/>
  <c r="T176" i="2"/>
  <c r="T184" i="2"/>
  <c r="T192" i="2"/>
  <c r="T200" i="2"/>
  <c r="T215" i="2"/>
  <c r="T223" i="2"/>
  <c r="T235" i="2"/>
  <c r="T251" i="2"/>
  <c r="T243" i="2"/>
  <c r="T270" i="2"/>
  <c r="T263" i="2"/>
  <c r="T255" i="2"/>
  <c r="T285" i="2"/>
  <c r="T277" i="2"/>
  <c r="T299" i="2"/>
  <c r="T314" i="2"/>
  <c r="T306" i="2"/>
  <c r="T327" i="2"/>
  <c r="T319" i="2"/>
  <c r="T333" i="2"/>
  <c r="T347" i="2"/>
  <c r="T360" i="2"/>
  <c r="T394" i="2"/>
  <c r="T386" i="2"/>
  <c r="T408" i="2"/>
  <c r="T400" i="2"/>
  <c r="T420" i="2"/>
  <c r="T412" i="2"/>
  <c r="T433" i="2"/>
  <c r="T425" i="2"/>
  <c r="T440" i="2"/>
  <c r="T454" i="2"/>
  <c r="T448" i="2"/>
  <c r="T470" i="2"/>
  <c r="T480" i="2"/>
  <c r="T488" i="2"/>
  <c r="T500" i="2"/>
  <c r="T508" i="2"/>
  <c r="T510" i="2"/>
  <c r="T540" i="2"/>
  <c r="T20" i="2"/>
  <c r="T28" i="2"/>
  <c r="T44" i="2"/>
  <c r="T50" i="2"/>
  <c r="T58" i="2"/>
  <c r="T66" i="2"/>
  <c r="T74" i="2"/>
  <c r="T82" i="2"/>
  <c r="T90" i="2"/>
  <c r="T98" i="2"/>
  <c r="T106" i="2"/>
  <c r="T114" i="2"/>
  <c r="T122" i="2"/>
  <c r="T129" i="2"/>
  <c r="T137" i="2"/>
  <c r="T145" i="2"/>
  <c r="T153" i="2"/>
  <c r="T161" i="2"/>
  <c r="T169" i="2"/>
  <c r="T177" i="2"/>
  <c r="T185" i="2"/>
  <c r="T193" i="2"/>
  <c r="T201" i="2"/>
  <c r="T208" i="2"/>
  <c r="T216" i="2"/>
  <c r="T224" i="2"/>
  <c r="T242" i="2"/>
  <c r="T234" i="2"/>
  <c r="T250" i="2"/>
  <c r="T275" i="2"/>
  <c r="T260" i="2"/>
  <c r="T290" i="2"/>
  <c r="T282" i="2"/>
  <c r="T293" i="2"/>
  <c r="T302" i="2"/>
  <c r="T313" i="2"/>
  <c r="T326" i="2"/>
  <c r="T346" i="2"/>
  <c r="T367" i="2"/>
  <c r="T359" i="2"/>
  <c r="T376" i="2"/>
  <c r="T369" i="2"/>
  <c r="T393" i="2"/>
  <c r="T385" i="2"/>
  <c r="T419" i="2"/>
  <c r="T411" i="2"/>
  <c r="T432" i="2"/>
  <c r="T439" i="2"/>
  <c r="T453" i="2"/>
  <c r="T447" i="2"/>
  <c r="T465" i="2"/>
  <c r="T479" i="2"/>
  <c r="T487" i="2"/>
  <c r="T499" i="2"/>
  <c r="T507" i="2"/>
  <c r="T519" i="2"/>
  <c r="T533" i="2"/>
  <c r="T539" i="2"/>
  <c r="T7" i="2"/>
  <c r="T14" i="2"/>
  <c r="T21" i="2"/>
  <c r="T29" i="2"/>
  <c r="T37" i="2"/>
  <c r="T45" i="2"/>
  <c r="T59" i="2"/>
  <c r="T67" i="2"/>
  <c r="T75" i="2"/>
  <c r="T83" i="2"/>
  <c r="T91" i="2"/>
  <c r="T99" i="2"/>
  <c r="T107" i="2"/>
  <c r="T115" i="2"/>
  <c r="T123" i="2"/>
  <c r="T130" i="2"/>
  <c r="T138" i="2"/>
  <c r="T146" i="2"/>
  <c r="T154" i="2"/>
  <c r="T162" i="2"/>
  <c r="T170" i="2"/>
  <c r="T178" i="2"/>
  <c r="T186" i="2"/>
  <c r="T194" i="2"/>
  <c r="T202" i="2"/>
  <c r="T209" i="2"/>
  <c r="T217" i="2"/>
  <c r="T225" i="2"/>
  <c r="T241" i="2"/>
  <c r="T233" i="2"/>
  <c r="T249" i="2"/>
  <c r="T272" i="2"/>
  <c r="T265" i="2"/>
  <c r="T257" i="2"/>
  <c r="T287" i="2"/>
  <c r="T279" i="2"/>
  <c r="T303" i="2"/>
  <c r="T304" i="2"/>
  <c r="T305" i="2"/>
  <c r="T312" i="2"/>
  <c r="T325" i="2"/>
  <c r="T350" i="2"/>
  <c r="T366" i="2"/>
  <c r="T358" i="2"/>
  <c r="T418" i="2"/>
  <c r="T431" i="2"/>
  <c r="T438" i="2"/>
  <c r="T446" i="2"/>
  <c r="T464" i="2"/>
  <c r="T478" i="2"/>
  <c r="T486" i="2"/>
  <c r="T518" i="2"/>
  <c r="T527" i="2"/>
  <c r="T529" i="2"/>
  <c r="T538" i="2"/>
  <c r="T8" i="2"/>
  <c r="T22" i="2"/>
  <c r="T30" i="2"/>
  <c r="T38" i="2"/>
  <c r="T46" i="2"/>
  <c r="T60" i="2"/>
  <c r="T68" i="2"/>
  <c r="T76" i="2"/>
  <c r="T84" i="2"/>
  <c r="T92" i="2"/>
  <c r="T100" i="2"/>
  <c r="T108" i="2"/>
  <c r="T116" i="2"/>
  <c r="T124" i="2"/>
  <c r="T131" i="2"/>
  <c r="T139" i="2"/>
  <c r="T147" i="2"/>
  <c r="T155" i="2"/>
  <c r="T163" i="2"/>
  <c r="T171" i="2"/>
  <c r="T179" i="2"/>
  <c r="T187" i="2"/>
  <c r="T195" i="2"/>
  <c r="T203" i="2"/>
  <c r="T210" i="2"/>
  <c r="T218" i="2"/>
  <c r="T226" i="2"/>
  <c r="T240" i="2"/>
  <c r="T232" i="2"/>
  <c r="T248" i="2"/>
  <c r="T269" i="2"/>
  <c r="T262" i="2"/>
  <c r="T254" i="2"/>
  <c r="T284" i="2"/>
  <c r="T292" i="2"/>
  <c r="T311" i="2"/>
  <c r="T324" i="2"/>
  <c r="T337" i="2"/>
  <c r="T344" i="2"/>
  <c r="T356" i="2"/>
  <c r="T349" i="2"/>
  <c r="T365" i="2"/>
  <c r="T375" i="2"/>
  <c r="T391" i="2"/>
  <c r="T383" i="2"/>
  <c r="T405" i="2"/>
  <c r="T397" i="2"/>
  <c r="T424" i="2"/>
  <c r="T417" i="2"/>
  <c r="T430" i="2"/>
  <c r="T445" i="2"/>
  <c r="T437" i="2"/>
  <c r="T452" i="2"/>
  <c r="T460" i="2"/>
  <c r="T463" i="2"/>
  <c r="T477" i="2"/>
  <c r="T493" i="2"/>
  <c r="T485" i="2"/>
  <c r="T497" i="2"/>
  <c r="T505" i="2"/>
  <c r="T515" i="2"/>
  <c r="T517" i="2"/>
  <c r="T526" i="2"/>
  <c r="T528" i="2"/>
  <c r="T532" i="2"/>
  <c r="T537" i="2"/>
  <c r="T544" i="2"/>
  <c r="T9" i="2"/>
  <c r="T15" i="2"/>
  <c r="T23" i="2"/>
  <c r="T39" i="2"/>
  <c r="T47" i="2"/>
  <c r="T53" i="2"/>
  <c r="T61" i="2"/>
  <c r="T69" i="2"/>
  <c r="T77" i="2"/>
  <c r="T85" i="2"/>
  <c r="T93" i="2"/>
  <c r="T101" i="2"/>
  <c r="T109" i="2"/>
  <c r="T117" i="2"/>
  <c r="T132" i="2"/>
  <c r="T140" i="2"/>
  <c r="T148" i="2"/>
  <c r="T156" i="2"/>
  <c r="T164" i="2"/>
  <c r="T172" i="2"/>
  <c r="T180" i="2"/>
  <c r="T188" i="2"/>
  <c r="T196" i="2"/>
  <c r="T204" i="2"/>
  <c r="T211" i="2"/>
  <c r="T219" i="2"/>
  <c r="T227" i="2"/>
  <c r="T239" i="2"/>
  <c r="T231" i="2"/>
  <c r="T247" i="2"/>
  <c r="T274" i="2"/>
  <c r="T267" i="2"/>
  <c r="T259" i="2"/>
  <c r="T289" i="2"/>
  <c r="T281" i="2"/>
  <c r="T318" i="2"/>
  <c r="T310" i="2"/>
  <c r="T331" i="2"/>
  <c r="T323" i="2"/>
  <c r="T336" i="2"/>
  <c r="T355" i="2"/>
  <c r="T364" i="2"/>
  <c r="T374" i="2"/>
  <c r="T390" i="2"/>
  <c r="T382" i="2"/>
  <c r="T404" i="2"/>
  <c r="T396" i="2"/>
  <c r="T416" i="2"/>
  <c r="T436" i="2"/>
  <c r="T429" i="2"/>
  <c r="T444" i="2"/>
  <c r="T451" i="2"/>
  <c r="T459" i="2"/>
  <c r="T462" i="2"/>
  <c r="T473" i="2"/>
  <c r="T476" i="2"/>
  <c r="T492" i="2"/>
  <c r="T484" i="2"/>
  <c r="T496" i="2"/>
  <c r="T504" i="2"/>
  <c r="T514" i="2"/>
  <c r="T536" i="2"/>
  <c r="T10" i="2"/>
  <c r="T16" i="2"/>
  <c r="T24" i="2"/>
  <c r="T32" i="2"/>
  <c r="T40" i="2"/>
  <c r="T48" i="2"/>
  <c r="T62" i="2"/>
  <c r="T70" i="2"/>
  <c r="T78" i="2"/>
  <c r="T86" i="2"/>
  <c r="T94" i="2"/>
  <c r="T102" i="2"/>
  <c r="T110" i="2"/>
  <c r="T118" i="2"/>
  <c r="T125" i="2"/>
  <c r="T133" i="2"/>
  <c r="T141" i="2"/>
  <c r="T149" i="2"/>
  <c r="T157" i="2"/>
  <c r="T165" i="2"/>
  <c r="T173" i="2"/>
  <c r="T181" i="2"/>
  <c r="T189" i="2"/>
  <c r="T197" i="2"/>
  <c r="T205" i="2"/>
  <c r="T212" i="2"/>
  <c r="T220" i="2"/>
  <c r="T238" i="2"/>
  <c r="T230" i="2"/>
  <c r="T246" i="2"/>
  <c r="T271" i="2"/>
  <c r="T264" i="2"/>
  <c r="T256" i="2"/>
  <c r="T286" i="2"/>
  <c r="T278" i="2"/>
  <c r="T317" i="2"/>
  <c r="T309" i="2"/>
  <c r="T330" i="2"/>
  <c r="T322" i="2"/>
  <c r="T335" i="2"/>
  <c r="T343" i="2"/>
  <c r="T354" i="2"/>
  <c r="T363" i="2"/>
  <c r="T378" i="2"/>
  <c r="T373" i="2"/>
  <c r="T389" i="2"/>
  <c r="T381" i="2"/>
  <c r="T403" i="2"/>
  <c r="T428" i="2"/>
  <c r="T443" i="2"/>
  <c r="T450" i="2"/>
  <c r="T461" i="2"/>
  <c r="T483" i="2"/>
  <c r="T475" i="2"/>
  <c r="T491" i="2"/>
  <c r="T495" i="2"/>
  <c r="T503" i="2"/>
  <c r="T516" i="2"/>
  <c r="T525" i="2"/>
  <c r="T543" i="2"/>
  <c r="T3" i="2"/>
  <c r="T25" i="2"/>
  <c r="T33" i="2"/>
  <c r="T41" i="2"/>
  <c r="T55" i="2"/>
  <c r="T63" i="2"/>
  <c r="T71" i="2"/>
  <c r="T79" i="2"/>
  <c r="T87" i="2"/>
  <c r="T95" i="2"/>
  <c r="T103" i="2"/>
  <c r="T111" i="2"/>
  <c r="T119" i="2"/>
  <c r="T126" i="2"/>
  <c r="T134" i="2"/>
  <c r="T142" i="2"/>
  <c r="T150" i="2"/>
  <c r="T158" i="2"/>
  <c r="T166" i="2"/>
  <c r="T174" i="2"/>
  <c r="T182" i="2"/>
  <c r="T190" i="2"/>
  <c r="T198" i="2"/>
  <c r="T206" i="2"/>
  <c r="T213" i="2"/>
  <c r="T221" i="2"/>
  <c r="T237" i="2"/>
  <c r="T229" i="2"/>
  <c r="T253" i="2"/>
  <c r="T245" i="2"/>
  <c r="T276" i="2"/>
  <c r="T268" i="2"/>
  <c r="T261" i="2"/>
  <c r="T291" i="2"/>
  <c r="T283" i="2"/>
  <c r="T294" i="2"/>
  <c r="T296" i="2"/>
  <c r="T297" i="2"/>
  <c r="T329" i="2"/>
  <c r="T321" i="2"/>
  <c r="T334" i="2"/>
  <c r="T342" i="2"/>
  <c r="T368" i="2"/>
  <c r="T362" i="2"/>
  <c r="T372" i="2"/>
  <c r="T395" i="2"/>
  <c r="T388" i="2"/>
  <c r="T380" i="2"/>
  <c r="T410" i="2"/>
  <c r="T402" i="2"/>
  <c r="T435" i="2"/>
  <c r="T427" i="2"/>
  <c r="T442" i="2"/>
  <c r="T456" i="2"/>
  <c r="T457" i="2"/>
  <c r="T469" i="2"/>
  <c r="T472" i="2"/>
  <c r="T494" i="2"/>
  <c r="T502" i="2"/>
  <c r="T512" i="2"/>
  <c r="T522" i="2"/>
  <c r="T535" i="2"/>
  <c r="T542" i="2"/>
  <c r="T4" i="2"/>
  <c r="T11" i="2"/>
  <c r="T18" i="2"/>
  <c r="T26" i="2"/>
  <c r="T34" i="2"/>
  <c r="T42" i="2"/>
  <c r="T49" i="2"/>
  <c r="T56" i="2"/>
  <c r="T64" i="2"/>
  <c r="T72" i="2"/>
  <c r="T80" i="2"/>
  <c r="T88" i="2"/>
  <c r="T96" i="2"/>
  <c r="T104" i="2"/>
  <c r="T112" i="2"/>
  <c r="T120" i="2"/>
  <c r="T127" i="2"/>
  <c r="T135" i="2"/>
  <c r="T143" i="2"/>
  <c r="T151" i="2"/>
  <c r="T159" i="2"/>
  <c r="T167" i="2"/>
  <c r="T175" i="2"/>
  <c r="T183" i="2"/>
  <c r="T191" i="2"/>
  <c r="T199" i="2"/>
  <c r="T207" i="2"/>
  <c r="T214" i="2"/>
  <c r="T222" i="2"/>
  <c r="T236" i="2"/>
  <c r="T228" i="2"/>
  <c r="T252" i="2"/>
  <c r="T244" i="2"/>
  <c r="T273" i="2"/>
  <c r="T266" i="2"/>
  <c r="T258" i="2"/>
  <c r="T288" i="2"/>
  <c r="T280" i="2"/>
  <c r="T295" i="2"/>
  <c r="T298" i="2"/>
  <c r="T328" i="2"/>
  <c r="T320" i="2"/>
  <c r="T340" i="2"/>
  <c r="T348" i="2"/>
  <c r="T341" i="2"/>
  <c r="T353" i="2"/>
  <c r="T361" i="2"/>
  <c r="T387" i="2"/>
  <c r="T379" i="2"/>
  <c r="T409" i="2"/>
  <c r="T401" i="2"/>
  <c r="T421" i="2"/>
  <c r="T413" i="2"/>
  <c r="T434" i="2"/>
  <c r="T426" i="2"/>
  <c r="T441" i="2"/>
  <c r="T455" i="2"/>
  <c r="T449" i="2"/>
  <c r="T468" i="2"/>
  <c r="T471" i="2"/>
  <c r="T501" i="2"/>
  <c r="T509" i="2"/>
  <c r="T511" i="2"/>
  <c r="T534" i="2"/>
  <c r="T300" i="2"/>
  <c r="T307" i="2"/>
  <c r="T315" i="2"/>
  <c r="T338" i="2"/>
  <c r="T351" i="2"/>
  <c r="T370" i="2"/>
  <c r="T377" i="2"/>
  <c r="T398" i="2"/>
  <c r="T406" i="2"/>
  <c r="T414" i="2"/>
  <c r="T422" i="2"/>
  <c r="T458" i="2"/>
  <c r="T466" i="2"/>
  <c r="T481" i="2"/>
  <c r="T489" i="2"/>
  <c r="T513" i="2"/>
  <c r="T520" i="2"/>
  <c r="T523" i="2"/>
  <c r="T530" i="2"/>
  <c r="T301" i="2"/>
  <c r="T308" i="2"/>
  <c r="T316" i="2"/>
  <c r="T332" i="2"/>
  <c r="T339" i="2"/>
  <c r="T345" i="2"/>
  <c r="T352" i="2"/>
  <c r="T357" i="2"/>
  <c r="T371" i="2"/>
  <c r="T384" i="2"/>
  <c r="T392" i="2"/>
  <c r="T399" i="2"/>
  <c r="T407" i="2"/>
  <c r="T415" i="2"/>
  <c r="T423" i="2"/>
  <c r="T467" i="2"/>
  <c r="T474" i="2"/>
  <c r="T482" i="2"/>
  <c r="T490" i="2"/>
  <c r="T498" i="2"/>
  <c r="T506" i="2"/>
  <c r="T521" i="2"/>
  <c r="T524" i="2"/>
  <c r="T531" i="2"/>
  <c r="T541" i="2"/>
  <c r="S19" i="6"/>
  <c r="R10" i="6"/>
  <c r="O8" i="6"/>
  <c r="R19" i="6"/>
  <c r="F18" i="6"/>
  <c r="S10" i="6"/>
  <c r="W22" i="6"/>
  <c r="P17" i="6"/>
  <c r="U21" i="6"/>
  <c r="O14" i="6"/>
  <c r="T21" i="6"/>
  <c r="N14" i="6"/>
  <c r="N21" i="6"/>
  <c r="V13" i="6"/>
  <c r="X17" i="6"/>
  <c r="U6" i="6"/>
  <c r="I12" i="6"/>
  <c r="Q10" i="6"/>
  <c r="V22" i="6"/>
  <c r="U20" i="6"/>
  <c r="F19" i="6"/>
  <c r="W16" i="6"/>
  <c r="U13" i="6"/>
  <c r="T11" i="6"/>
  <c r="I10" i="6"/>
  <c r="S4" i="6"/>
  <c r="U22" i="6"/>
  <c r="T20" i="6"/>
  <c r="S18" i="6"/>
  <c r="O16" i="6"/>
  <c r="T13" i="6"/>
  <c r="S11" i="6"/>
  <c r="F10" i="6"/>
  <c r="I4" i="6"/>
  <c r="O22" i="6"/>
  <c r="S20" i="6"/>
  <c r="R18" i="6"/>
  <c r="W14" i="6"/>
  <c r="N13" i="6"/>
  <c r="R11" i="6"/>
  <c r="X9" i="6"/>
  <c r="R3" i="6"/>
  <c r="N22" i="6"/>
  <c r="I20" i="6"/>
  <c r="Q18" i="6"/>
  <c r="V14" i="6"/>
  <c r="U12" i="6"/>
  <c r="P9" i="6"/>
  <c r="F3" i="6"/>
  <c r="S12" i="6"/>
  <c r="V21" i="6"/>
  <c r="T19" i="6"/>
  <c r="I18" i="6"/>
  <c r="U14" i="6"/>
  <c r="T12" i="6"/>
  <c r="F11" i="6"/>
  <c r="W8" i="6"/>
  <c r="T22" i="6"/>
  <c r="S21" i="6"/>
  <c r="I21" i="6"/>
  <c r="R20" i="6"/>
  <c r="F20" i="6"/>
  <c r="Q19" i="6"/>
  <c r="X18" i="6"/>
  <c r="P18" i="6"/>
  <c r="W17" i="6"/>
  <c r="O17" i="6"/>
  <c r="V16" i="6"/>
  <c r="N16" i="6"/>
  <c r="U15" i="6"/>
  <c r="T14" i="6"/>
  <c r="S13" i="6"/>
  <c r="I13" i="6"/>
  <c r="R12" i="6"/>
  <c r="F12" i="6"/>
  <c r="Q11" i="6"/>
  <c r="X10" i="6"/>
  <c r="P10" i="6"/>
  <c r="W9" i="6"/>
  <c r="O9" i="6"/>
  <c r="V8" i="6"/>
  <c r="N8" i="6"/>
  <c r="U7" i="6"/>
  <c r="T6" i="6"/>
  <c r="S5" i="6"/>
  <c r="I5" i="6"/>
  <c r="R4" i="6"/>
  <c r="F4" i="6"/>
  <c r="Q3" i="6"/>
  <c r="N7" i="6"/>
  <c r="S22" i="6"/>
  <c r="I22" i="6"/>
  <c r="R21" i="6"/>
  <c r="F21" i="6"/>
  <c r="Q20" i="6"/>
  <c r="X19" i="6"/>
  <c r="P19" i="6"/>
  <c r="W18" i="6"/>
  <c r="O18" i="6"/>
  <c r="V17" i="6"/>
  <c r="N17" i="6"/>
  <c r="U16" i="6"/>
  <c r="T15" i="6"/>
  <c r="S14" i="6"/>
  <c r="I14" i="6"/>
  <c r="R13" i="6"/>
  <c r="F13" i="6"/>
  <c r="Q12" i="6"/>
  <c r="X11" i="6"/>
  <c r="P11" i="6"/>
  <c r="W10" i="6"/>
  <c r="O10" i="6"/>
  <c r="V9" i="6"/>
  <c r="N9" i="6"/>
  <c r="U8" i="6"/>
  <c r="T7" i="6"/>
  <c r="S6" i="6"/>
  <c r="I6" i="6"/>
  <c r="R5" i="6"/>
  <c r="F5" i="6"/>
  <c r="Q4" i="6"/>
  <c r="X3" i="6"/>
  <c r="P3" i="6"/>
  <c r="N15" i="6"/>
  <c r="R22" i="6"/>
  <c r="F22" i="6"/>
  <c r="Q21" i="6"/>
  <c r="X20" i="6"/>
  <c r="P20" i="6"/>
  <c r="W19" i="6"/>
  <c r="O19" i="6"/>
  <c r="V18" i="6"/>
  <c r="N18" i="6"/>
  <c r="U17" i="6"/>
  <c r="T16" i="6"/>
  <c r="S15" i="6"/>
  <c r="I15" i="6"/>
  <c r="R14" i="6"/>
  <c r="F14" i="6"/>
  <c r="Q13" i="6"/>
  <c r="X12" i="6"/>
  <c r="P12" i="6"/>
  <c r="W11" i="6"/>
  <c r="O11" i="6"/>
  <c r="V10" i="6"/>
  <c r="N10" i="6"/>
  <c r="U9" i="6"/>
  <c r="T8" i="6"/>
  <c r="S7" i="6"/>
  <c r="I7" i="6"/>
  <c r="R6" i="6"/>
  <c r="F6" i="6"/>
  <c r="Q5" i="6"/>
  <c r="X4" i="6"/>
  <c r="P4" i="6"/>
  <c r="W3" i="6"/>
  <c r="O3" i="6"/>
  <c r="Q22" i="6"/>
  <c r="X21" i="6"/>
  <c r="P21" i="6"/>
  <c r="W20" i="6"/>
  <c r="O20" i="6"/>
  <c r="V19" i="6"/>
  <c r="N19" i="6"/>
  <c r="U18" i="6"/>
  <c r="T17" i="6"/>
  <c r="S16" i="6"/>
  <c r="I16" i="6"/>
  <c r="R15" i="6"/>
  <c r="F15" i="6"/>
  <c r="Q14" i="6"/>
  <c r="X13" i="6"/>
  <c r="P13" i="6"/>
  <c r="W12" i="6"/>
  <c r="O12" i="6"/>
  <c r="V11" i="6"/>
  <c r="N11" i="6"/>
  <c r="U10" i="6"/>
  <c r="T9" i="6"/>
  <c r="S8" i="6"/>
  <c r="I8" i="6"/>
  <c r="R7" i="6"/>
  <c r="F7" i="6"/>
  <c r="Q6" i="6"/>
  <c r="X5" i="6"/>
  <c r="P5" i="6"/>
  <c r="W4" i="6"/>
  <c r="O4" i="6"/>
  <c r="V3" i="6"/>
  <c r="N3" i="6"/>
  <c r="X22" i="6"/>
  <c r="W21" i="6"/>
  <c r="V20" i="6"/>
  <c r="U19" i="6"/>
  <c r="S17" i="6"/>
  <c r="I17" i="6"/>
  <c r="R16" i="6"/>
  <c r="F16" i="6"/>
  <c r="Q15" i="6"/>
  <c r="X14" i="6"/>
  <c r="W13" i="6"/>
  <c r="V12" i="6"/>
  <c r="U11" i="6"/>
  <c r="S9" i="6"/>
  <c r="I9" i="6"/>
  <c r="R8" i="6"/>
  <c r="F8" i="6"/>
  <c r="Q7" i="6"/>
  <c r="X6" i="6"/>
  <c r="P6" i="6"/>
  <c r="W5" i="6"/>
  <c r="O5" i="6"/>
  <c r="V4" i="6"/>
  <c r="N4" i="6"/>
  <c r="U3" i="6"/>
  <c r="V7" i="6"/>
  <c r="R17" i="6"/>
  <c r="F17" i="6"/>
  <c r="Q16" i="6"/>
  <c r="X15" i="6"/>
  <c r="P15" i="6"/>
  <c r="R9" i="6"/>
  <c r="F9" i="6"/>
  <c r="Q8" i="6"/>
  <c r="X7" i="6"/>
  <c r="P7" i="6"/>
  <c r="W6" i="6"/>
  <c r="O6" i="6"/>
  <c r="V5" i="6"/>
  <c r="N5" i="6"/>
  <c r="U4" i="6"/>
  <c r="T3" i="6"/>
  <c r="V15" i="6"/>
  <c r="X16" i="6"/>
  <c r="W15" i="6"/>
  <c r="X8" i="6"/>
  <c r="W7" i="6"/>
  <c r="V6" i="6"/>
  <c r="U5" i="6"/>
  <c r="S3" i="6"/>
  <c r="D48" i="13" l="1"/>
  <c r="G48" i="13"/>
  <c r="D42" i="13"/>
  <c r="G42" i="13"/>
  <c r="G29" i="13"/>
  <c r="D29" i="13"/>
  <c r="G25" i="13"/>
  <c r="D25" i="13"/>
  <c r="D36" i="13"/>
  <c r="G36" i="13"/>
  <c r="D51" i="13"/>
  <c r="G51" i="13"/>
  <c r="D23" i="13"/>
  <c r="G23" i="13"/>
  <c r="D18" i="13"/>
  <c r="G18" i="13"/>
  <c r="G30" i="13"/>
  <c r="D30" i="13"/>
  <c r="D27" i="13"/>
  <c r="G27" i="13"/>
  <c r="D31" i="13"/>
  <c r="G31" i="13"/>
  <c r="D50" i="13"/>
  <c r="G50" i="13"/>
  <c r="D38" i="13"/>
  <c r="G38" i="13"/>
  <c r="G21" i="13"/>
  <c r="D21" i="13"/>
  <c r="G16" i="13"/>
  <c r="D16" i="13"/>
  <c r="G28" i="13"/>
  <c r="D28" i="13"/>
  <c r="D35" i="13"/>
  <c r="G35" i="13"/>
  <c r="E52" i="13" a="1"/>
  <c r="E52" i="13" s="1"/>
  <c r="E51" i="13" a="1"/>
  <c r="E51" i="13" s="1"/>
  <c r="E50" i="13" a="1"/>
  <c r="E50" i="13" s="1"/>
  <c r="E49" i="13" a="1"/>
  <c r="E49" i="13" s="1"/>
  <c r="E48" i="13" a="1"/>
  <c r="E48" i="13" s="1"/>
  <c r="E47" i="13" a="1"/>
  <c r="E47" i="13" s="1"/>
  <c r="E46" i="13" a="1"/>
  <c r="E46" i="13" s="1"/>
  <c r="E45" i="13" a="1"/>
  <c r="E45" i="13" s="1"/>
  <c r="E44" i="13" a="1"/>
  <c r="E44" i="13" s="1"/>
  <c r="E43" i="13" a="1"/>
  <c r="E43" i="13" s="1"/>
  <c r="E41" i="13" a="1"/>
  <c r="E41" i="13" s="1"/>
  <c r="E40" i="13" a="1"/>
  <c r="E40" i="13" s="1"/>
  <c r="E37" i="13" a="1"/>
  <c r="E37" i="13" s="1"/>
  <c r="E35" i="13" a="1"/>
  <c r="E35" i="13" s="1"/>
  <c r="E34" i="13" a="1"/>
  <c r="E34" i="13" s="1"/>
  <c r="F23" i="13" a="1"/>
  <c r="F23" i="13" s="1"/>
  <c r="H23" i="13" s="1"/>
  <c r="J23" i="13" s="1"/>
  <c r="F15" i="13" a="1"/>
  <c r="F15" i="13" s="1"/>
  <c r="H15" i="13" s="1"/>
  <c r="E27" i="13" a="1"/>
  <c r="E27" i="13" s="1"/>
  <c r="E23" i="13" a="1"/>
  <c r="E23" i="13" s="1"/>
  <c r="E19" i="13" a="1"/>
  <c r="E19" i="13" s="1"/>
  <c r="E15" i="13" a="1"/>
  <c r="E15" i="13" s="1"/>
  <c r="D33" i="13"/>
  <c r="F28" i="13" a="1"/>
  <c r="F28" i="13" s="1"/>
  <c r="H28" i="13" s="1"/>
  <c r="J28" i="13" s="1"/>
  <c r="F24" i="13" a="1"/>
  <c r="F24" i="13" s="1"/>
  <c r="H24" i="13" s="1"/>
  <c r="J24" i="13" s="1"/>
  <c r="F20" i="13" a="1"/>
  <c r="F20" i="13" s="1"/>
  <c r="H20" i="13" s="1"/>
  <c r="J20" i="13" s="1"/>
  <c r="F16" i="13" a="1"/>
  <c r="F16" i="13" s="1"/>
  <c r="H16" i="13" s="1"/>
  <c r="J16" i="13" s="1"/>
  <c r="E28" i="13" a="1"/>
  <c r="E28" i="13" s="1"/>
  <c r="E24" i="13" a="1"/>
  <c r="E24" i="13" s="1"/>
  <c r="E20" i="13" a="1"/>
  <c r="E20" i="13" s="1"/>
  <c r="E16" i="13" a="1"/>
  <c r="E16" i="13" s="1"/>
  <c r="F38" i="13" a="1"/>
  <c r="F38" i="13" s="1"/>
  <c r="H38" i="13" s="1"/>
  <c r="J38" i="13" s="1"/>
  <c r="F36" i="13" a="1"/>
  <c r="F36" i="13" s="1"/>
  <c r="H36" i="13" s="1"/>
  <c r="J36" i="13" s="1"/>
  <c r="F35" i="13" a="1"/>
  <c r="F35" i="13" s="1"/>
  <c r="H35" i="13" s="1"/>
  <c r="J35" i="13" s="1"/>
  <c r="F33" i="13" a="1"/>
  <c r="F33" i="13" s="1"/>
  <c r="H33" i="13" s="1"/>
  <c r="J33" i="13" s="1"/>
  <c r="F30" i="13" a="1"/>
  <c r="F30" i="13" s="1"/>
  <c r="H30" i="13" s="1"/>
  <c r="J30" i="13" s="1"/>
  <c r="F18" i="13" a="1"/>
  <c r="F18" i="13" s="1"/>
  <c r="H18" i="13" s="1"/>
  <c r="J18" i="13" s="1"/>
  <c r="F29" i="13" a="1"/>
  <c r="F29" i="13" s="1"/>
  <c r="H29" i="13" s="1"/>
  <c r="J29" i="13" s="1"/>
  <c r="F25" i="13" a="1"/>
  <c r="F25" i="13" s="1"/>
  <c r="H25" i="13" s="1"/>
  <c r="J25" i="13" s="1"/>
  <c r="F21" i="13" a="1"/>
  <c r="F21" i="13" s="1"/>
  <c r="H21" i="13" s="1"/>
  <c r="J21" i="13" s="1"/>
  <c r="F17" i="13" a="1"/>
  <c r="F17" i="13" s="1"/>
  <c r="H17" i="13" s="1"/>
  <c r="J17" i="13" s="1"/>
  <c r="F39" i="13" a="1"/>
  <c r="F39" i="13" s="1"/>
  <c r="H39" i="13" s="1"/>
  <c r="J39" i="13" s="1"/>
  <c r="G33" i="13"/>
  <c r="E29" i="13" a="1"/>
  <c r="E29" i="13" s="1"/>
  <c r="E25" i="13" a="1"/>
  <c r="E25" i="13" s="1"/>
  <c r="E21" i="13" a="1"/>
  <c r="E21" i="13" s="1"/>
  <c r="E17" i="13" a="1"/>
  <c r="E17" i="13" s="1"/>
  <c r="F40" i="13" a="1"/>
  <c r="F40" i="13" s="1"/>
  <c r="H40" i="13" s="1"/>
  <c r="J40" i="13" s="1"/>
  <c r="F37" i="13" a="1"/>
  <c r="F37" i="13" s="1"/>
  <c r="H37" i="13" s="1"/>
  <c r="J37" i="13" s="1"/>
  <c r="F34" i="13" a="1"/>
  <c r="F34" i="13" s="1"/>
  <c r="H34" i="13" s="1"/>
  <c r="J34" i="13" s="1"/>
  <c r="F32" i="13" a="1"/>
  <c r="F32" i="13" s="1"/>
  <c r="H32" i="13" s="1"/>
  <c r="J32" i="13" s="1"/>
  <c r="F22" i="13" a="1"/>
  <c r="F22" i="13" s="1"/>
  <c r="H22" i="13" s="1"/>
  <c r="J22" i="13" s="1"/>
  <c r="F52" i="13" a="1"/>
  <c r="F52" i="13" s="1"/>
  <c r="H52" i="13" s="1"/>
  <c r="J52" i="13" s="1"/>
  <c r="F51" i="13" a="1"/>
  <c r="F51" i="13" s="1"/>
  <c r="H51" i="13" s="1"/>
  <c r="J51" i="13" s="1"/>
  <c r="F50" i="13" a="1"/>
  <c r="F50" i="13" s="1"/>
  <c r="H50" i="13" s="1"/>
  <c r="J50" i="13" s="1"/>
  <c r="F49" i="13" a="1"/>
  <c r="F49" i="13" s="1"/>
  <c r="H49" i="13" s="1"/>
  <c r="J49" i="13" s="1"/>
  <c r="F48" i="13" a="1"/>
  <c r="F48" i="13" s="1"/>
  <c r="H48" i="13" s="1"/>
  <c r="J48" i="13" s="1"/>
  <c r="F47" i="13" a="1"/>
  <c r="F47" i="13" s="1"/>
  <c r="H47" i="13" s="1"/>
  <c r="J47" i="13" s="1"/>
  <c r="F46" i="13" a="1"/>
  <c r="F46" i="13" s="1"/>
  <c r="H46" i="13" s="1"/>
  <c r="J46" i="13" s="1"/>
  <c r="F45" i="13" a="1"/>
  <c r="F45" i="13" s="1"/>
  <c r="H45" i="13" s="1"/>
  <c r="J45" i="13" s="1"/>
  <c r="F44" i="13" a="1"/>
  <c r="F44" i="13" s="1"/>
  <c r="H44" i="13" s="1"/>
  <c r="J44" i="13" s="1"/>
  <c r="F43" i="13" a="1"/>
  <c r="F43" i="13" s="1"/>
  <c r="H43" i="13" s="1"/>
  <c r="J43" i="13" s="1"/>
  <c r="F42" i="13" a="1"/>
  <c r="F42" i="13" s="1"/>
  <c r="H42" i="13" s="1"/>
  <c r="J42" i="13" s="1"/>
  <c r="F41" i="13" a="1"/>
  <c r="F41" i="13" s="1"/>
  <c r="H41" i="13" s="1"/>
  <c r="J41" i="13" s="1"/>
  <c r="F31" i="13" a="1"/>
  <c r="F31" i="13" s="1"/>
  <c r="H31" i="13" s="1"/>
  <c r="J31" i="13" s="1"/>
  <c r="F26" i="13" a="1"/>
  <c r="F26" i="13" s="1"/>
  <c r="H26" i="13" s="1"/>
  <c r="J26" i="13" s="1"/>
  <c r="E30" i="13" a="1"/>
  <c r="E30" i="13" s="1"/>
  <c r="E26" i="13" a="1"/>
  <c r="E26" i="13" s="1"/>
  <c r="E22" i="13" a="1"/>
  <c r="E22" i="13" s="1"/>
  <c r="E18" i="13" a="1"/>
  <c r="E18" i="13" s="1"/>
  <c r="E42" i="13" a="1"/>
  <c r="E42" i="13" s="1"/>
  <c r="E39" i="13" a="1"/>
  <c r="E39" i="13" s="1"/>
  <c r="E38" i="13" a="1"/>
  <c r="E38" i="13" s="1"/>
  <c r="E36" i="13" a="1"/>
  <c r="E36" i="13" s="1"/>
  <c r="E33" i="13" a="1"/>
  <c r="E33" i="13" s="1"/>
  <c r="E32" i="13" a="1"/>
  <c r="E32" i="13" s="1"/>
  <c r="E31" i="13" a="1"/>
  <c r="E31" i="13" s="1"/>
  <c r="F27" i="13" a="1"/>
  <c r="F27" i="13" s="1"/>
  <c r="H27" i="13" s="1"/>
  <c r="J27" i="13" s="1"/>
  <c r="F19" i="13" a="1"/>
  <c r="F19" i="13" s="1"/>
  <c r="H19" i="13" s="1"/>
  <c r="J19" i="13" s="1"/>
  <c r="D19" i="13"/>
  <c r="G19" i="13"/>
  <c r="D26" i="13"/>
  <c r="G26" i="13"/>
  <c r="D44" i="13"/>
  <c r="G44" i="13"/>
  <c r="D41" i="13"/>
  <c r="G41" i="13"/>
  <c r="D37" i="13"/>
  <c r="G37" i="13"/>
  <c r="G17" i="13"/>
  <c r="D17" i="13"/>
  <c r="G24" i="13"/>
  <c r="D24" i="13"/>
  <c r="G22" i="13"/>
  <c r="D22" i="13"/>
  <c r="D45" i="13"/>
  <c r="G45" i="13"/>
  <c r="D52" i="13"/>
  <c r="G52" i="13"/>
  <c r="D49" i="13"/>
  <c r="G49" i="13"/>
  <c r="D32" i="13"/>
  <c r="G32" i="13"/>
  <c r="D43" i="13"/>
  <c r="G43" i="13"/>
  <c r="D34" i="13"/>
  <c r="G34" i="13"/>
  <c r="D46" i="13"/>
  <c r="G46" i="13"/>
  <c r="D39" i="13"/>
  <c r="G39" i="13"/>
  <c r="D15" i="13"/>
  <c r="G15" i="13"/>
  <c r="G20" i="13"/>
  <c r="D20" i="13"/>
  <c r="C10" i="11"/>
  <c r="C17" i="11" s="1"/>
  <c r="K78" i="6"/>
  <c r="B83" i="6"/>
  <c r="F78" i="6"/>
  <c r="B84" i="6"/>
  <c r="B85" i="6"/>
  <c r="B86" i="6"/>
  <c r="B10" i="11"/>
  <c r="B17" i="11" s="1"/>
  <c r="C15" i="11" a="1"/>
  <c r="C15" i="11" s="1"/>
  <c r="C16" i="11" a="1"/>
  <c r="C16" i="11" s="1"/>
  <c r="B18" i="11" a="1"/>
  <c r="B18" i="11" s="1"/>
  <c r="C18" i="11" a="1"/>
  <c r="C18" i="11" s="1"/>
  <c r="C7" i="1"/>
  <c r="E7" i="1" s="1"/>
  <c r="C392" i="7"/>
  <c r="C394" i="7" s="1"/>
  <c r="C393" i="7"/>
  <c r="C395" i="7" s="1"/>
  <c r="K4" i="6"/>
  <c r="M4" i="6"/>
  <c r="M15" i="6"/>
  <c r="K15" i="6"/>
  <c r="M14" i="6"/>
  <c r="K14" i="6"/>
  <c r="K13" i="6"/>
  <c r="M13" i="6"/>
  <c r="M10" i="6"/>
  <c r="K10" i="6"/>
  <c r="K12" i="6"/>
  <c r="M12" i="6"/>
  <c r="M16" i="6"/>
  <c r="K16" i="6"/>
  <c r="M7" i="6"/>
  <c r="K7" i="6"/>
  <c r="M6" i="6"/>
  <c r="K6" i="6"/>
  <c r="K5" i="6"/>
  <c r="M5" i="6"/>
  <c r="M9" i="6"/>
  <c r="K9" i="6"/>
  <c r="M8" i="6"/>
  <c r="K8" i="6"/>
  <c r="M18" i="6"/>
  <c r="K18" i="6"/>
  <c r="M17" i="6"/>
  <c r="K17" i="6"/>
  <c r="M22" i="6"/>
  <c r="K22" i="6"/>
  <c r="K21" i="6"/>
  <c r="M21" i="6"/>
  <c r="K20" i="6"/>
  <c r="M20" i="6"/>
  <c r="C31" i="1"/>
  <c r="E31" i="1" s="1"/>
  <c r="C30" i="1"/>
  <c r="E30" i="1" s="1"/>
  <c r="C32" i="1"/>
  <c r="E32" i="1" s="1"/>
  <c r="C37" i="1"/>
  <c r="E37" i="1" s="1"/>
  <c r="C23" i="1"/>
  <c r="E23" i="1" s="1"/>
  <c r="C5" i="1"/>
  <c r="E5" i="1" s="1"/>
  <c r="C38" i="1"/>
  <c r="E38" i="1" s="1"/>
  <c r="C9" i="1"/>
  <c r="E9" i="1" s="1"/>
  <c r="C3" i="1"/>
  <c r="E3" i="1" s="1"/>
  <c r="C15" i="1"/>
  <c r="E15" i="1" s="1"/>
  <c r="C2" i="1"/>
  <c r="C11" i="1"/>
  <c r="E11" i="1" s="1"/>
  <c r="C26" i="1"/>
  <c r="E26" i="1" s="1"/>
  <c r="C36" i="1"/>
  <c r="E36" i="1" s="1"/>
  <c r="C39" i="1"/>
  <c r="E39" i="1" s="1"/>
  <c r="C6" i="1"/>
  <c r="E6" i="1" s="1"/>
  <c r="C24" i="1"/>
  <c r="E24" i="1" s="1"/>
  <c r="C17" i="1"/>
  <c r="E17" i="1" s="1"/>
  <c r="C18" i="1"/>
  <c r="E18" i="1" s="1"/>
  <c r="C28" i="1"/>
  <c r="E28" i="1" s="1"/>
  <c r="C25" i="1"/>
  <c r="E25" i="1" s="1"/>
  <c r="C21" i="1"/>
  <c r="E21" i="1" s="1"/>
  <c r="C22" i="1"/>
  <c r="E22" i="1" s="1"/>
  <c r="C29" i="1"/>
  <c r="E29" i="1" s="1"/>
  <c r="C35" i="1"/>
  <c r="E35" i="1" s="1"/>
  <c r="C10" i="1"/>
  <c r="E10" i="1" s="1"/>
  <c r="C13" i="1"/>
  <c r="E13" i="1" s="1"/>
  <c r="C16" i="1"/>
  <c r="E16" i="1" s="1"/>
  <c r="C8" i="1"/>
  <c r="E8" i="1" s="1"/>
  <c r="C14" i="1"/>
  <c r="E14" i="1" s="1"/>
  <c r="C12" i="1"/>
  <c r="E12" i="1" s="1"/>
  <c r="C4" i="1"/>
  <c r="E4" i="1" s="1"/>
  <c r="C33" i="1"/>
  <c r="E33" i="1" s="1"/>
  <c r="C19" i="1"/>
  <c r="E19" i="1" s="1"/>
  <c r="C20" i="1"/>
  <c r="E20" i="1" s="1"/>
  <c r="B37" i="5" a="1"/>
  <c r="B37" i="5" s="1"/>
  <c r="J36" i="5" a="1"/>
  <c r="J36" i="5" s="1"/>
  <c r="A2" i="3" a="1"/>
  <c r="B15" i="11" l="1" a="1"/>
  <c r="B15" i="11" s="1"/>
  <c r="E2" i="1"/>
  <c r="B16" i="11" a="1"/>
  <c r="B16" i="11" s="1"/>
  <c r="J15" i="13"/>
  <c r="E9" i="13"/>
  <c r="A9" i="13"/>
  <c r="C13" i="11"/>
  <c r="C11" i="11"/>
  <c r="U78" i="6" a="1"/>
  <c r="U78" i="6" s="1"/>
  <c r="B89" i="6" a="1"/>
  <c r="B89" i="6" s="1"/>
  <c r="E89" i="6" s="1"/>
  <c r="C12" i="11"/>
  <c r="C14" i="11"/>
  <c r="G13" i="11" s="1"/>
  <c r="H13" i="11"/>
  <c r="E86" i="6"/>
  <c r="D86" i="6"/>
  <c r="D85" i="6"/>
  <c r="E85" i="6"/>
  <c r="A93" i="6" a="1"/>
  <c r="A93" i="6" s="1"/>
  <c r="D84" i="6"/>
  <c r="E84" i="6"/>
  <c r="B90" i="6" a="1"/>
  <c r="B90" i="6" s="1"/>
  <c r="D83" i="6"/>
  <c r="E83" i="6"/>
  <c r="B13" i="11"/>
  <c r="I501" i="3" a="1"/>
  <c r="I501" i="3" s="1"/>
  <c r="I493" i="3" a="1"/>
  <c r="I493" i="3" s="1"/>
  <c r="F498" i="3" a="1"/>
  <c r="F498" i="3" s="1"/>
  <c r="AD498" i="3" s="1"/>
  <c r="F490" i="3" a="1"/>
  <c r="F490" i="3" s="1"/>
  <c r="E500" i="3" a="1"/>
  <c r="E500" i="3" s="1"/>
  <c r="E492" i="3" a="1"/>
  <c r="E492" i="3" s="1"/>
  <c r="B502" i="3" a="1"/>
  <c r="B502" i="3" s="1"/>
  <c r="B494" i="3" a="1"/>
  <c r="B494" i="3" s="1"/>
  <c r="X496" i="3" a="1"/>
  <c r="X496" i="3" s="1"/>
  <c r="X488" i="3" a="1"/>
  <c r="X488" i="3" s="1"/>
  <c r="W498" i="3" a="1"/>
  <c r="W498" i="3" s="1"/>
  <c r="W490" i="3" a="1"/>
  <c r="W490" i="3" s="1"/>
  <c r="T500" i="3" a="1"/>
  <c r="T500" i="3" s="1"/>
  <c r="T492" i="3" a="1"/>
  <c r="T492" i="3" s="1"/>
  <c r="S502" i="3" a="1"/>
  <c r="S502" i="3" s="1"/>
  <c r="S494" i="3" a="1"/>
  <c r="S494" i="3" s="1"/>
  <c r="G496" i="3" a="1"/>
  <c r="G496" i="3" s="1"/>
  <c r="O496" i="3" s="1" a="1"/>
  <c r="O496" i="3" s="1"/>
  <c r="G488" i="3" a="1"/>
  <c r="G488" i="3" s="1"/>
  <c r="O488" i="3" s="1" a="1"/>
  <c r="O488" i="3" s="1"/>
  <c r="I494" i="3" a="1"/>
  <c r="I494" i="3" s="1"/>
  <c r="F491" i="3" a="1"/>
  <c r="F491" i="3" s="1"/>
  <c r="E493" i="3" a="1"/>
  <c r="E493" i="3" s="1"/>
  <c r="AB493" i="3" s="1"/>
  <c r="B487" i="3" a="1"/>
  <c r="B487" i="3" s="1"/>
  <c r="X489" i="3" a="1"/>
  <c r="X489" i="3" s="1"/>
  <c r="T501" i="3" a="1"/>
  <c r="T501" i="3" s="1"/>
  <c r="G497" i="3" a="1"/>
  <c r="G497" i="3" s="1"/>
  <c r="O497" i="3" s="1" a="1"/>
  <c r="O497" i="3" s="1"/>
  <c r="I500" i="3" a="1"/>
  <c r="I500" i="3" s="1"/>
  <c r="I492" i="3" a="1"/>
  <c r="I492" i="3" s="1"/>
  <c r="F497" i="3" a="1"/>
  <c r="F497" i="3" s="1"/>
  <c r="AD497" i="3" s="1"/>
  <c r="F489" i="3" a="1"/>
  <c r="F489" i="3" s="1"/>
  <c r="E499" i="3" a="1"/>
  <c r="E499" i="3" s="1"/>
  <c r="AB499" i="3" s="1"/>
  <c r="E491" i="3" a="1"/>
  <c r="E491" i="3" s="1"/>
  <c r="B501" i="3" a="1"/>
  <c r="B501" i="3" s="1"/>
  <c r="B493" i="3" a="1"/>
  <c r="B493" i="3" s="1"/>
  <c r="X495" i="3" a="1"/>
  <c r="X495" i="3" s="1"/>
  <c r="X487" i="3" a="1"/>
  <c r="X487" i="3" s="1"/>
  <c r="W497" i="3" a="1"/>
  <c r="W497" i="3" s="1"/>
  <c r="W489" i="3" a="1"/>
  <c r="W489" i="3" s="1"/>
  <c r="T499" i="3" a="1"/>
  <c r="T499" i="3" s="1"/>
  <c r="T491" i="3" a="1"/>
  <c r="T491" i="3" s="1"/>
  <c r="S501" i="3" a="1"/>
  <c r="S501" i="3" s="1"/>
  <c r="U501" i="3" s="1"/>
  <c r="S493" i="3" a="1"/>
  <c r="S493" i="3" s="1"/>
  <c r="G495" i="3" a="1"/>
  <c r="G495" i="3" s="1"/>
  <c r="G487" i="3" a="1"/>
  <c r="G487" i="3" s="1"/>
  <c r="N487" i="3" s="1" a="1"/>
  <c r="N487" i="3" s="1"/>
  <c r="G502" i="3" a="1"/>
  <c r="G502" i="3" s="1"/>
  <c r="O502" i="3" s="1" a="1"/>
  <c r="O502" i="3" s="1"/>
  <c r="I499" i="3" a="1"/>
  <c r="I499" i="3" s="1"/>
  <c r="I491" i="3" a="1"/>
  <c r="I491" i="3" s="1"/>
  <c r="F496" i="3" a="1"/>
  <c r="F496" i="3" s="1"/>
  <c r="AD496" i="3" s="1"/>
  <c r="F488" i="3" a="1"/>
  <c r="F488" i="3" s="1"/>
  <c r="AD488" i="3" s="1"/>
  <c r="E498" i="3" a="1"/>
  <c r="E498" i="3" s="1"/>
  <c r="AB498" i="3" s="1"/>
  <c r="E490" i="3" a="1"/>
  <c r="E490" i="3" s="1"/>
  <c r="AB490" i="3" s="1"/>
  <c r="B500" i="3" a="1"/>
  <c r="B500" i="3" s="1"/>
  <c r="B492" i="3" a="1"/>
  <c r="B492" i="3" s="1"/>
  <c r="X502" i="3" a="1"/>
  <c r="X502" i="3" s="1"/>
  <c r="X494" i="3" a="1"/>
  <c r="X494" i="3" s="1"/>
  <c r="W496" i="3" a="1"/>
  <c r="W496" i="3" s="1"/>
  <c r="W488" i="3" a="1"/>
  <c r="W488" i="3" s="1"/>
  <c r="T498" i="3" a="1"/>
  <c r="T498" i="3" s="1"/>
  <c r="T490" i="3" a="1"/>
  <c r="T490" i="3" s="1"/>
  <c r="S500" i="3" a="1"/>
  <c r="S500" i="3" s="1"/>
  <c r="S492" i="3" a="1"/>
  <c r="S492" i="3" s="1"/>
  <c r="G494" i="3" a="1"/>
  <c r="G494" i="3" s="1"/>
  <c r="L494" i="3" s="1" a="1"/>
  <c r="L494" i="3" s="1"/>
  <c r="G500" i="3" a="1"/>
  <c r="G500" i="3" s="1"/>
  <c r="M500" i="3" s="1" a="1"/>
  <c r="M500" i="3" s="1"/>
  <c r="S487" i="3" a="1"/>
  <c r="S487" i="3" s="1"/>
  <c r="I498" i="3" a="1"/>
  <c r="I498" i="3" s="1"/>
  <c r="I490" i="3" a="1"/>
  <c r="I490" i="3" s="1"/>
  <c r="F495" i="3" a="1"/>
  <c r="F495" i="3" s="1"/>
  <c r="F487" i="3" a="1"/>
  <c r="F487" i="3" s="1"/>
  <c r="D487" i="3" s="1"/>
  <c r="E497" i="3" a="1"/>
  <c r="E497" i="3" s="1"/>
  <c r="AB497" i="3" s="1"/>
  <c r="E489" i="3" a="1"/>
  <c r="E489" i="3" s="1"/>
  <c r="B499" i="3" a="1"/>
  <c r="B499" i="3" s="1"/>
  <c r="B491" i="3" a="1"/>
  <c r="B491" i="3" s="1"/>
  <c r="X501" i="3" a="1"/>
  <c r="X501" i="3" s="1"/>
  <c r="X493" i="3" a="1"/>
  <c r="X493" i="3" s="1"/>
  <c r="W495" i="3" a="1"/>
  <c r="W495" i="3" s="1"/>
  <c r="Y495" i="3" s="1"/>
  <c r="Z495" i="3" s="1"/>
  <c r="W487" i="3" a="1"/>
  <c r="W487" i="3" s="1"/>
  <c r="Y487" i="3" s="1"/>
  <c r="T497" i="3" a="1"/>
  <c r="T497" i="3" s="1"/>
  <c r="T489" i="3" a="1"/>
  <c r="T489" i="3" s="1"/>
  <c r="AC489" i="3" s="1"/>
  <c r="S499" i="3" a="1"/>
  <c r="S499" i="3" s="1"/>
  <c r="U499" i="3" s="1"/>
  <c r="S491" i="3" a="1"/>
  <c r="S491" i="3" s="1"/>
  <c r="U491" i="3" s="1"/>
  <c r="G501" i="3" a="1"/>
  <c r="G501" i="3" s="1"/>
  <c r="M501" i="3" s="1" a="1"/>
  <c r="M501" i="3" s="1"/>
  <c r="G493" i="3" a="1"/>
  <c r="G493" i="3" s="1"/>
  <c r="M493" i="3" s="1" a="1"/>
  <c r="M493" i="3" s="1"/>
  <c r="G492" i="3" a="1"/>
  <c r="G492" i="3" s="1"/>
  <c r="M492" i="3" s="1" a="1"/>
  <c r="M492" i="3" s="1"/>
  <c r="I502" i="3" a="1"/>
  <c r="I502" i="3" s="1"/>
  <c r="B495" i="3" a="1"/>
  <c r="B495" i="3" s="1"/>
  <c r="X497" i="3" a="1"/>
  <c r="X497" i="3" s="1"/>
  <c r="W491" i="3" a="1"/>
  <c r="W491" i="3" s="1"/>
  <c r="J488" i="3" a="1"/>
  <c r="J488" i="3" s="1"/>
  <c r="I497" i="3" a="1"/>
  <c r="I497" i="3" s="1"/>
  <c r="I489" i="3" a="1"/>
  <c r="I489" i="3" s="1"/>
  <c r="F502" i="3" a="1"/>
  <c r="F502" i="3" s="1"/>
  <c r="D502" i="3" s="1"/>
  <c r="F494" i="3" a="1"/>
  <c r="F494" i="3" s="1"/>
  <c r="D494" i="3" s="1"/>
  <c r="E496" i="3" a="1"/>
  <c r="E496" i="3" s="1"/>
  <c r="C496" i="3" s="1"/>
  <c r="E488" i="3" a="1"/>
  <c r="E488" i="3" s="1"/>
  <c r="AB488" i="3" s="1"/>
  <c r="B498" i="3" a="1"/>
  <c r="B498" i="3" s="1"/>
  <c r="B490" i="3" a="1"/>
  <c r="B490" i="3" s="1"/>
  <c r="X500" i="3" a="1"/>
  <c r="X500" i="3" s="1"/>
  <c r="X492" i="3" a="1"/>
  <c r="X492" i="3" s="1"/>
  <c r="W502" i="3" a="1"/>
  <c r="W502" i="3" s="1"/>
  <c r="W494" i="3" a="1"/>
  <c r="W494" i="3" s="1"/>
  <c r="T496" i="3" a="1"/>
  <c r="T496" i="3" s="1"/>
  <c r="AC496" i="3" s="1"/>
  <c r="D496" i="3" s="1"/>
  <c r="T488" i="3" a="1"/>
  <c r="T488" i="3" s="1"/>
  <c r="S498" i="3" a="1"/>
  <c r="S498" i="3" s="1"/>
  <c r="S490" i="3" a="1"/>
  <c r="S490" i="3" s="1"/>
  <c r="U490" i="3" s="1"/>
  <c r="Y488" i="3"/>
  <c r="G489" i="3" a="1"/>
  <c r="G489" i="3" s="1"/>
  <c r="O489" i="3" s="1" a="1"/>
  <c r="O489" i="3" s="1"/>
  <c r="I496" i="3" a="1"/>
  <c r="I496" i="3" s="1"/>
  <c r="I488" i="3" a="1"/>
  <c r="I488" i="3" s="1"/>
  <c r="F501" i="3" a="1"/>
  <c r="F501" i="3" s="1"/>
  <c r="D501" i="3" s="1"/>
  <c r="F493" i="3" a="1"/>
  <c r="F493" i="3" s="1"/>
  <c r="E495" i="3" a="1"/>
  <c r="E495" i="3" s="1"/>
  <c r="C495" i="3" s="1"/>
  <c r="E487" i="3" a="1"/>
  <c r="E487" i="3" s="1"/>
  <c r="B497" i="3" a="1"/>
  <c r="B497" i="3" s="1"/>
  <c r="B489" i="3" a="1"/>
  <c r="B489" i="3" s="1"/>
  <c r="Y496" i="3"/>
  <c r="Z496" i="3" s="1"/>
  <c r="X499" i="3" a="1"/>
  <c r="X499" i="3" s="1"/>
  <c r="X491" i="3" a="1"/>
  <c r="X491" i="3" s="1"/>
  <c r="W501" i="3" a="1"/>
  <c r="W501" i="3" s="1"/>
  <c r="Y501" i="3" s="1"/>
  <c r="Z501" i="3" s="1"/>
  <c r="W493" i="3" a="1"/>
  <c r="W493" i="3" s="1"/>
  <c r="T495" i="3" a="1"/>
  <c r="T495" i="3" s="1"/>
  <c r="AC495" i="3" s="1"/>
  <c r="T487" i="3" a="1"/>
  <c r="T487" i="3" s="1"/>
  <c r="S497" i="3" a="1"/>
  <c r="S497" i="3" s="1"/>
  <c r="S489" i="3" a="1"/>
  <c r="S489" i="3" s="1"/>
  <c r="J496" i="3" a="1"/>
  <c r="J496" i="3" s="1"/>
  <c r="G499" i="3" a="1"/>
  <c r="G499" i="3" s="1"/>
  <c r="V499" i="3" s="1"/>
  <c r="G491" i="3" a="1"/>
  <c r="G491" i="3" s="1"/>
  <c r="L491" i="3" s="1" a="1"/>
  <c r="L491" i="3" s="1"/>
  <c r="F499" i="3" a="1"/>
  <c r="F499" i="3" s="1"/>
  <c r="W499" i="3" a="1"/>
  <c r="W499" i="3" s="1"/>
  <c r="T493" i="3" a="1"/>
  <c r="T493" i="3" s="1"/>
  <c r="I495" i="3" a="1"/>
  <c r="I495" i="3" s="1"/>
  <c r="I487" i="3" a="1"/>
  <c r="I487" i="3" s="1"/>
  <c r="AC487" i="3"/>
  <c r="F500" i="3" a="1"/>
  <c r="F500" i="3" s="1"/>
  <c r="AD500" i="3" s="1"/>
  <c r="F492" i="3" a="1"/>
  <c r="F492" i="3" s="1"/>
  <c r="E502" i="3" a="1"/>
  <c r="E502" i="3" s="1"/>
  <c r="E494" i="3" a="1"/>
  <c r="E494" i="3" s="1"/>
  <c r="AB494" i="3" s="1"/>
  <c r="B496" i="3" a="1"/>
  <c r="B496" i="3" s="1"/>
  <c r="B488" i="3" a="1"/>
  <c r="B488" i="3" s="1"/>
  <c r="X498" i="3" a="1"/>
  <c r="X498" i="3" s="1"/>
  <c r="X490" i="3" a="1"/>
  <c r="X490" i="3" s="1"/>
  <c r="W500" i="3" a="1"/>
  <c r="W500" i="3" s="1"/>
  <c r="W492" i="3" a="1"/>
  <c r="W492" i="3" s="1"/>
  <c r="T502" i="3" a="1"/>
  <c r="T502" i="3" s="1"/>
  <c r="T494" i="3" a="1"/>
  <c r="T494" i="3" s="1"/>
  <c r="U494" i="3" s="1"/>
  <c r="S496" i="3" a="1"/>
  <c r="S496" i="3" s="1"/>
  <c r="S488" i="3" a="1"/>
  <c r="S488" i="3" s="1"/>
  <c r="G498" i="3" a="1"/>
  <c r="G498" i="3" s="1"/>
  <c r="J498" i="3" s="1" a="1"/>
  <c r="J498" i="3" s="1"/>
  <c r="G490" i="3" a="1"/>
  <c r="G490" i="3" s="1"/>
  <c r="M490" i="3" s="1" a="1"/>
  <c r="M490" i="3" s="1"/>
  <c r="E501" i="3" a="1"/>
  <c r="E501" i="3" s="1"/>
  <c r="AA501" i="3" s="1"/>
  <c r="S495" i="3" a="1"/>
  <c r="S495" i="3" s="1"/>
  <c r="L496" i="3" a="1"/>
  <c r="L496" i="3" s="1"/>
  <c r="AA498" i="3"/>
  <c r="L501" i="3" a="1"/>
  <c r="L501" i="3" s="1"/>
  <c r="AA495" i="3"/>
  <c r="L487" i="3" a="1"/>
  <c r="L487" i="3" s="1"/>
  <c r="H501" i="3"/>
  <c r="R501" i="3" s="1"/>
  <c r="L497" i="3" a="1"/>
  <c r="L497" i="3" s="1"/>
  <c r="AA499" i="3"/>
  <c r="N502" i="3" a="1"/>
  <c r="N502" i="3" s="1"/>
  <c r="AC498" i="3"/>
  <c r="K488" i="3" a="1"/>
  <c r="K488" i="3" s="1"/>
  <c r="L495" i="3" a="1"/>
  <c r="L495" i="3" s="1"/>
  <c r="V501" i="3"/>
  <c r="M487" i="3" a="1"/>
  <c r="M487" i="3" s="1"/>
  <c r="L500" i="3" a="1"/>
  <c r="L500" i="3" s="1"/>
  <c r="K496" i="3" a="1"/>
  <c r="K496" i="3" s="1"/>
  <c r="N492" i="3" a="1"/>
  <c r="N492" i="3" s="1"/>
  <c r="M495" i="3" a="1"/>
  <c r="M495" i="3" s="1"/>
  <c r="K500" i="3" a="1"/>
  <c r="K500" i="3" s="1"/>
  <c r="O500" i="3" a="1"/>
  <c r="O500" i="3" s="1"/>
  <c r="D498" i="3"/>
  <c r="M497" i="3" a="1"/>
  <c r="M497" i="3" s="1"/>
  <c r="AC499" i="3"/>
  <c r="AC494" i="3"/>
  <c r="J500" i="3" a="1"/>
  <c r="J500" i="3" s="1"/>
  <c r="N500" i="3" a="1"/>
  <c r="N500" i="3" s="1"/>
  <c r="AB502" i="3"/>
  <c r="J493" i="3" a="1"/>
  <c r="J493" i="3" s="1"/>
  <c r="N493" i="3" a="1"/>
  <c r="N493" i="3" s="1"/>
  <c r="AD494" i="3"/>
  <c r="J487" i="3" a="1"/>
  <c r="J487" i="3" s="1"/>
  <c r="M498" i="3" a="1"/>
  <c r="M498" i="3" s="1"/>
  <c r="N497" i="3" a="1"/>
  <c r="N497" i="3" s="1"/>
  <c r="P501" i="3" a="1"/>
  <c r="P501" i="3" s="1"/>
  <c r="Q501" i="3" s="1"/>
  <c r="O490" i="3" a="1"/>
  <c r="O490" i="3" s="1"/>
  <c r="J501" i="3" a="1"/>
  <c r="J501" i="3" s="1"/>
  <c r="N501" i="3" a="1"/>
  <c r="N501" i="3" s="1"/>
  <c r="AB495" i="3"/>
  <c r="C499" i="3"/>
  <c r="L498" i="3" a="1"/>
  <c r="L498" i="3" s="1"/>
  <c r="U502" i="3"/>
  <c r="AD502" i="3"/>
  <c r="J495" i="3" a="1"/>
  <c r="J495" i="3" s="1"/>
  <c r="N495" i="3" a="1"/>
  <c r="N495" i="3" s="1"/>
  <c r="N488" i="3" a="1"/>
  <c r="N488" i="3" s="1"/>
  <c r="K487" i="3" a="1"/>
  <c r="K487" i="3" s="1"/>
  <c r="K498" i="3" a="1"/>
  <c r="K498" i="3" s="1"/>
  <c r="O498" i="3" a="1"/>
  <c r="O498" i="3" s="1"/>
  <c r="M488" i="3" a="1"/>
  <c r="M488" i="3" s="1"/>
  <c r="K493" i="3" a="1"/>
  <c r="K493" i="3" s="1"/>
  <c r="O493" i="3" a="1"/>
  <c r="O493" i="3" s="1"/>
  <c r="AD487" i="3"/>
  <c r="N496" i="3" a="1"/>
  <c r="N496" i="3" s="1"/>
  <c r="K495" i="3" a="1"/>
  <c r="K495" i="3" s="1"/>
  <c r="O495" i="3" a="1"/>
  <c r="O495" i="3" s="1"/>
  <c r="N498" i="3" a="1"/>
  <c r="N498" i="3" s="1"/>
  <c r="K489" i="3" a="1"/>
  <c r="K489" i="3" s="1"/>
  <c r="H490" i="3"/>
  <c r="R490" i="3" s="1"/>
  <c r="L488" i="3" a="1"/>
  <c r="L488" i="3" s="1"/>
  <c r="D497" i="3"/>
  <c r="M496" i="3" a="1"/>
  <c r="M496" i="3" s="1"/>
  <c r="K501" i="3" a="1"/>
  <c r="K501" i="3" s="1"/>
  <c r="O501" i="3" a="1"/>
  <c r="O501" i="3" s="1"/>
  <c r="AD495" i="3"/>
  <c r="D495" i="3" s="1"/>
  <c r="L493" i="3" a="1"/>
  <c r="L493" i="3" s="1"/>
  <c r="AA487" i="3"/>
  <c r="K497" i="3" a="1"/>
  <c r="K497" i="3" s="1"/>
  <c r="B11" i="11"/>
  <c r="D11" i="11" s="1"/>
  <c r="B12" i="11"/>
  <c r="H12" i="11"/>
  <c r="D16" i="11"/>
  <c r="B14" i="11"/>
  <c r="G12" i="11" s="1"/>
  <c r="D10" i="11"/>
  <c r="D18" i="11"/>
  <c r="D15" i="11"/>
  <c r="D17" i="11"/>
  <c r="I480" i="3" a="1"/>
  <c r="I480" i="3" s="1"/>
  <c r="F486" i="3" a="1"/>
  <c r="F486" i="3" s="1"/>
  <c r="F478" i="3" a="1"/>
  <c r="F478" i="3" s="1"/>
  <c r="E486" i="3" a="1"/>
  <c r="E486" i="3" s="1"/>
  <c r="AA486" i="3" s="1"/>
  <c r="E478" i="3" a="1"/>
  <c r="E478" i="3" s="1"/>
  <c r="B486" i="3" a="1"/>
  <c r="B486" i="3" s="1"/>
  <c r="B478" i="3" a="1"/>
  <c r="B478" i="3" s="1"/>
  <c r="X482" i="3" a="1"/>
  <c r="X482" i="3" s="1"/>
  <c r="X474" i="3" a="1"/>
  <c r="X474" i="3" s="1"/>
  <c r="W482" i="3" a="1"/>
  <c r="W482" i="3" s="1"/>
  <c r="W474" i="3" a="1"/>
  <c r="W474" i="3" s="1"/>
  <c r="T486" i="3" a="1"/>
  <c r="T486" i="3" s="1"/>
  <c r="T478" i="3" a="1"/>
  <c r="T478" i="3" s="1"/>
  <c r="S486" i="3" a="1"/>
  <c r="S486" i="3" s="1"/>
  <c r="S478" i="3" a="1"/>
  <c r="S478" i="3" s="1"/>
  <c r="G485" i="3" a="1"/>
  <c r="G485" i="3" s="1"/>
  <c r="K485" i="3" s="1" a="1"/>
  <c r="K485" i="3" s="1"/>
  <c r="G477" i="3" a="1"/>
  <c r="G477" i="3" s="1"/>
  <c r="L477" i="3" s="1" a="1"/>
  <c r="L477" i="3" s="1"/>
  <c r="I479" i="3" a="1"/>
  <c r="I479" i="3" s="1"/>
  <c r="F485" i="3" a="1"/>
  <c r="F485" i="3" s="1"/>
  <c r="F477" i="3" a="1"/>
  <c r="F477" i="3" s="1"/>
  <c r="AC477" i="3" s="1"/>
  <c r="E485" i="3" a="1"/>
  <c r="E485" i="3" s="1"/>
  <c r="AA485" i="3" s="1"/>
  <c r="E477" i="3" a="1"/>
  <c r="E477" i="3" s="1"/>
  <c r="B485" i="3" a="1"/>
  <c r="B485" i="3" s="1"/>
  <c r="B477" i="3" a="1"/>
  <c r="B477" i="3" s="1"/>
  <c r="X481" i="3" a="1"/>
  <c r="X481" i="3" s="1"/>
  <c r="X473" i="3" a="1"/>
  <c r="X473" i="3" s="1"/>
  <c r="W481" i="3" a="1"/>
  <c r="W481" i="3" s="1"/>
  <c r="W473" i="3" a="1"/>
  <c r="W473" i="3" s="1"/>
  <c r="T485" i="3" a="1"/>
  <c r="T485" i="3" s="1"/>
  <c r="T477" i="3" a="1"/>
  <c r="T477" i="3" s="1"/>
  <c r="S485" i="3" a="1"/>
  <c r="S485" i="3" s="1"/>
  <c r="S477" i="3" a="1"/>
  <c r="S477" i="3" s="1"/>
  <c r="I486" i="3" a="1"/>
  <c r="I486" i="3" s="1"/>
  <c r="I478" i="3" a="1"/>
  <c r="I478" i="3" s="1"/>
  <c r="F484" i="3" a="1"/>
  <c r="F484" i="3" s="1"/>
  <c r="F476" i="3" a="1"/>
  <c r="F476" i="3" s="1"/>
  <c r="E484" i="3" a="1"/>
  <c r="E484" i="3" s="1"/>
  <c r="E476" i="3" a="1"/>
  <c r="E476" i="3" s="1"/>
  <c r="B484" i="3" a="1"/>
  <c r="B484" i="3" s="1"/>
  <c r="B476" i="3" a="1"/>
  <c r="B476" i="3" s="1"/>
  <c r="X480" i="3" a="1"/>
  <c r="X480" i="3" s="1"/>
  <c r="W480" i="3" a="1"/>
  <c r="W480" i="3" s="1"/>
  <c r="T484" i="3" a="1"/>
  <c r="T484" i="3" s="1"/>
  <c r="T476" i="3" a="1"/>
  <c r="T476" i="3" s="1"/>
  <c r="S484" i="3" a="1"/>
  <c r="S484" i="3" s="1"/>
  <c r="S476" i="3" a="1"/>
  <c r="S476" i="3" s="1"/>
  <c r="G483" i="3" a="1"/>
  <c r="G483" i="3" s="1"/>
  <c r="L483" i="3" s="1" a="1"/>
  <c r="L483" i="3" s="1"/>
  <c r="G475" i="3" a="1"/>
  <c r="G475" i="3" s="1"/>
  <c r="L475" i="3" s="1" a="1"/>
  <c r="L475" i="3" s="1"/>
  <c r="G482" i="3" a="1"/>
  <c r="G482" i="3" s="1"/>
  <c r="J482" i="3" s="1" a="1"/>
  <c r="J482" i="3" s="1"/>
  <c r="G474" i="3" a="1"/>
  <c r="G474" i="3" s="1"/>
  <c r="J474" i="3" s="1" a="1"/>
  <c r="J474" i="3" s="1"/>
  <c r="I485" i="3" a="1"/>
  <c r="I485" i="3" s="1"/>
  <c r="I477" i="3" a="1"/>
  <c r="I477" i="3" s="1"/>
  <c r="F483" i="3" a="1"/>
  <c r="F483" i="3" s="1"/>
  <c r="F475" i="3" a="1"/>
  <c r="F475" i="3" s="1"/>
  <c r="AC475" i="3" s="1"/>
  <c r="E483" i="3" a="1"/>
  <c r="E483" i="3" s="1"/>
  <c r="E475" i="3" a="1"/>
  <c r="E475" i="3" s="1"/>
  <c r="B483" i="3" a="1"/>
  <c r="B483" i="3" s="1"/>
  <c r="B475" i="3" a="1"/>
  <c r="B475" i="3" s="1"/>
  <c r="X479" i="3" a="1"/>
  <c r="X479" i="3" s="1"/>
  <c r="W479" i="3" a="1"/>
  <c r="W479" i="3" s="1"/>
  <c r="T483" i="3" a="1"/>
  <c r="T483" i="3" s="1"/>
  <c r="T475" i="3" a="1"/>
  <c r="T475" i="3" s="1"/>
  <c r="S483" i="3" a="1"/>
  <c r="S483" i="3" s="1"/>
  <c r="S475" i="3" a="1"/>
  <c r="S475" i="3" s="1"/>
  <c r="G480" i="3" a="1"/>
  <c r="G480" i="3" s="1"/>
  <c r="J480" i="3" s="1" a="1"/>
  <c r="J480" i="3" s="1"/>
  <c r="G478" i="3" a="1"/>
  <c r="G478" i="3" s="1"/>
  <c r="M478" i="3" s="1" a="1"/>
  <c r="M478" i="3" s="1"/>
  <c r="I484" i="3" a="1"/>
  <c r="I484" i="3" s="1"/>
  <c r="I476" i="3" a="1"/>
  <c r="I476" i="3" s="1"/>
  <c r="F482" i="3" a="1"/>
  <c r="F482" i="3" s="1"/>
  <c r="F474" i="3" a="1"/>
  <c r="F474" i="3" s="1"/>
  <c r="E482" i="3" a="1"/>
  <c r="E482" i="3" s="1"/>
  <c r="E474" i="3" a="1"/>
  <c r="E474" i="3" s="1"/>
  <c r="C474" i="3" s="1"/>
  <c r="B482" i="3" a="1"/>
  <c r="B482" i="3" s="1"/>
  <c r="B474" i="3" a="1"/>
  <c r="B474" i="3" s="1"/>
  <c r="X486" i="3" a="1"/>
  <c r="X486" i="3" s="1"/>
  <c r="X478" i="3" a="1"/>
  <c r="X478" i="3" s="1"/>
  <c r="W486" i="3" a="1"/>
  <c r="W486" i="3" s="1"/>
  <c r="W478" i="3" a="1"/>
  <c r="W478" i="3" s="1"/>
  <c r="T482" i="3" a="1"/>
  <c r="T482" i="3" s="1"/>
  <c r="T474" i="3" a="1"/>
  <c r="T474" i="3" s="1"/>
  <c r="S482" i="3" a="1"/>
  <c r="S482" i="3" s="1"/>
  <c r="S474" i="3" a="1"/>
  <c r="S474" i="3" s="1"/>
  <c r="G481" i="3" a="1"/>
  <c r="G481" i="3" s="1"/>
  <c r="J481" i="3" s="1" a="1"/>
  <c r="J481" i="3" s="1"/>
  <c r="G473" i="3" a="1"/>
  <c r="G473" i="3" s="1"/>
  <c r="N473" i="3" s="1" a="1"/>
  <c r="N473" i="3" s="1"/>
  <c r="G486" i="3" a="1"/>
  <c r="G486" i="3" s="1"/>
  <c r="J486" i="3" s="1" a="1"/>
  <c r="J486" i="3" s="1"/>
  <c r="I483" i="3" a="1"/>
  <c r="I483" i="3" s="1"/>
  <c r="I475" i="3" a="1"/>
  <c r="I475" i="3" s="1"/>
  <c r="F481" i="3" a="1"/>
  <c r="F481" i="3" s="1"/>
  <c r="F473" i="3" a="1"/>
  <c r="F473" i="3" s="1"/>
  <c r="E481" i="3" a="1"/>
  <c r="E481" i="3" s="1"/>
  <c r="AA481" i="3" s="1"/>
  <c r="E473" i="3" a="1"/>
  <c r="E473" i="3" s="1"/>
  <c r="B481" i="3" a="1"/>
  <c r="B481" i="3" s="1"/>
  <c r="B473" i="3" a="1"/>
  <c r="B473" i="3" s="1"/>
  <c r="X485" i="3" a="1"/>
  <c r="X485" i="3" s="1"/>
  <c r="X477" i="3" a="1"/>
  <c r="X477" i="3" s="1"/>
  <c r="W485" i="3" a="1"/>
  <c r="W485" i="3" s="1"/>
  <c r="W477" i="3" a="1"/>
  <c r="W477" i="3" s="1"/>
  <c r="T481" i="3" a="1"/>
  <c r="T481" i="3" s="1"/>
  <c r="T473" i="3" a="1"/>
  <c r="T473" i="3" s="1"/>
  <c r="S481" i="3" a="1"/>
  <c r="S481" i="3" s="1"/>
  <c r="S473" i="3" a="1"/>
  <c r="S473" i="3" s="1"/>
  <c r="G484" i="3" a="1"/>
  <c r="G484" i="3" s="1"/>
  <c r="J484" i="3" s="1" a="1"/>
  <c r="J484" i="3" s="1"/>
  <c r="I482" i="3" a="1"/>
  <c r="I482" i="3" s="1"/>
  <c r="I474" i="3" a="1"/>
  <c r="I474" i="3" s="1"/>
  <c r="F480" i="3" a="1"/>
  <c r="F480" i="3" s="1"/>
  <c r="AD480" i="3" s="1"/>
  <c r="E480" i="3" a="1"/>
  <c r="E480" i="3" s="1"/>
  <c r="B480" i="3" a="1"/>
  <c r="B480" i="3" s="1"/>
  <c r="X484" i="3" a="1"/>
  <c r="X484" i="3" s="1"/>
  <c r="X476" i="3" a="1"/>
  <c r="X476" i="3" s="1"/>
  <c r="W484" i="3" a="1"/>
  <c r="W484" i="3" s="1"/>
  <c r="W476" i="3" a="1"/>
  <c r="W476" i="3" s="1"/>
  <c r="T480" i="3" a="1"/>
  <c r="T480" i="3" s="1"/>
  <c r="S480" i="3" a="1"/>
  <c r="S480" i="3" s="1"/>
  <c r="G479" i="3" a="1"/>
  <c r="G479" i="3" s="1"/>
  <c r="J479" i="3" s="1" a="1"/>
  <c r="J479" i="3" s="1"/>
  <c r="I481" i="3" a="1"/>
  <c r="I481" i="3" s="1"/>
  <c r="I473" i="3" a="1"/>
  <c r="I473" i="3" s="1"/>
  <c r="F479" i="3" a="1"/>
  <c r="F479" i="3" s="1"/>
  <c r="E479" i="3" a="1"/>
  <c r="E479" i="3" s="1"/>
  <c r="B479" i="3" a="1"/>
  <c r="B479" i="3" s="1"/>
  <c r="X483" i="3" a="1"/>
  <c r="X483" i="3" s="1"/>
  <c r="X475" i="3" a="1"/>
  <c r="X475" i="3" s="1"/>
  <c r="W483" i="3" a="1"/>
  <c r="W483" i="3" s="1"/>
  <c r="W475" i="3" a="1"/>
  <c r="W475" i="3" s="1"/>
  <c r="T479" i="3" a="1"/>
  <c r="T479" i="3" s="1"/>
  <c r="S479" i="3" a="1"/>
  <c r="S479" i="3" s="1"/>
  <c r="G476" i="3" a="1"/>
  <c r="G476" i="3" s="1"/>
  <c r="M476" i="3" s="1" a="1"/>
  <c r="M476" i="3" s="1"/>
  <c r="AB486" i="3"/>
  <c r="AC484" i="3"/>
  <c r="AC486" i="3"/>
  <c r="M477" i="3" a="1"/>
  <c r="M477" i="3" s="1"/>
  <c r="I472" i="3" a="1"/>
  <c r="I472" i="3" s="1"/>
  <c r="E472" i="3" a="1"/>
  <c r="E472" i="3" s="1"/>
  <c r="T472" i="3" a="1"/>
  <c r="T472" i="3" s="1"/>
  <c r="I471" i="3" a="1"/>
  <c r="I471" i="3" s="1"/>
  <c r="E471" i="3" a="1"/>
  <c r="E471" i="3" s="1"/>
  <c r="T471" i="3" a="1"/>
  <c r="T471" i="3" s="1"/>
  <c r="B472" i="3" a="1"/>
  <c r="B472" i="3" s="1"/>
  <c r="S472" i="3" a="1"/>
  <c r="S472" i="3" s="1"/>
  <c r="B471" i="3" a="1"/>
  <c r="B471" i="3" s="1"/>
  <c r="S471" i="3" a="1"/>
  <c r="S471" i="3" s="1"/>
  <c r="X472" i="3" a="1"/>
  <c r="X472" i="3" s="1"/>
  <c r="G472" i="3" a="1"/>
  <c r="G472" i="3" s="1"/>
  <c r="O472" i="3" s="1" a="1"/>
  <c r="O472" i="3" s="1"/>
  <c r="X471" i="3" a="1"/>
  <c r="X471" i="3" s="1"/>
  <c r="F472" i="3" a="1"/>
  <c r="F472" i="3" s="1"/>
  <c r="D472" i="3" s="1"/>
  <c r="W472" i="3" a="1"/>
  <c r="W472" i="3" s="1"/>
  <c r="F471" i="3" a="1"/>
  <c r="F471" i="3" s="1"/>
  <c r="W471" i="3" a="1"/>
  <c r="W471" i="3" s="1"/>
  <c r="G471" i="3" a="1"/>
  <c r="G471" i="3" s="1"/>
  <c r="M471" i="3" s="1" a="1"/>
  <c r="M471" i="3" s="1"/>
  <c r="I470" i="3" a="1"/>
  <c r="I470" i="3" s="1"/>
  <c r="I462" i="3" a="1"/>
  <c r="I462" i="3" s="1"/>
  <c r="F464" i="3" a="1"/>
  <c r="F464" i="3" s="1"/>
  <c r="F456" i="3" a="1"/>
  <c r="F456" i="3" s="1"/>
  <c r="E465" i="3" a="1"/>
  <c r="E465" i="3" s="1"/>
  <c r="E457" i="3" a="1"/>
  <c r="E457" i="3" s="1"/>
  <c r="B466" i="3" a="1"/>
  <c r="B466" i="3" s="1"/>
  <c r="B458" i="3" a="1"/>
  <c r="B458" i="3" s="1"/>
  <c r="X463" i="3" a="1"/>
  <c r="X463" i="3" s="1"/>
  <c r="W464" i="3" a="1"/>
  <c r="W464" i="3" s="1"/>
  <c r="W456" i="3" a="1"/>
  <c r="W456" i="3" s="1"/>
  <c r="T469" i="3" a="1"/>
  <c r="T469" i="3" s="1"/>
  <c r="T461" i="3" a="1"/>
  <c r="T461" i="3" s="1"/>
  <c r="S470" i="3" a="1"/>
  <c r="S470" i="3" s="1"/>
  <c r="S462" i="3" a="1"/>
  <c r="S462" i="3" s="1"/>
  <c r="G467" i="3" a="1"/>
  <c r="G467" i="3" s="1"/>
  <c r="L467" i="3" s="1" a="1"/>
  <c r="L467" i="3" s="1"/>
  <c r="G459" i="3" a="1"/>
  <c r="G459" i="3" s="1"/>
  <c r="L459" i="3" s="1" a="1"/>
  <c r="L459" i="3" s="1"/>
  <c r="G462" i="3" a="1"/>
  <c r="G462" i="3" s="1"/>
  <c r="L462" i="3" s="1" a="1"/>
  <c r="L462" i="3" s="1"/>
  <c r="I469" i="3" a="1"/>
  <c r="I469" i="3" s="1"/>
  <c r="I461" i="3" a="1"/>
  <c r="I461" i="3" s="1"/>
  <c r="F463" i="3" a="1"/>
  <c r="F463" i="3" s="1"/>
  <c r="E464" i="3" a="1"/>
  <c r="E464" i="3" s="1"/>
  <c r="E456" i="3" a="1"/>
  <c r="E456" i="3" s="1"/>
  <c r="B465" i="3" a="1"/>
  <c r="B465" i="3" s="1"/>
  <c r="B457" i="3" a="1"/>
  <c r="B457" i="3" s="1"/>
  <c r="X470" i="3" a="1"/>
  <c r="X470" i="3" s="1"/>
  <c r="X462" i="3" a="1"/>
  <c r="X462" i="3" s="1"/>
  <c r="W463" i="3" a="1"/>
  <c r="W463" i="3" s="1"/>
  <c r="T468" i="3" a="1"/>
  <c r="T468" i="3" s="1"/>
  <c r="T460" i="3" a="1"/>
  <c r="T460" i="3" s="1"/>
  <c r="S469" i="3" a="1"/>
  <c r="S469" i="3" s="1"/>
  <c r="S461" i="3" a="1"/>
  <c r="S461" i="3" s="1"/>
  <c r="G466" i="3" a="1"/>
  <c r="G466" i="3" s="1"/>
  <c r="M466" i="3" s="1" a="1"/>
  <c r="M466" i="3" s="1"/>
  <c r="G458" i="3" a="1"/>
  <c r="G458" i="3" s="1"/>
  <c r="M458" i="3" s="1" a="1"/>
  <c r="M458" i="3" s="1"/>
  <c r="I468" i="3" a="1"/>
  <c r="I468" i="3" s="1"/>
  <c r="I460" i="3" a="1"/>
  <c r="I460" i="3" s="1"/>
  <c r="F470" i="3" a="1"/>
  <c r="F470" i="3" s="1"/>
  <c r="F462" i="3" a="1"/>
  <c r="F462" i="3" s="1"/>
  <c r="E463" i="3" a="1"/>
  <c r="E463" i="3" s="1"/>
  <c r="B464" i="3" a="1"/>
  <c r="B464" i="3" s="1"/>
  <c r="B456" i="3" a="1"/>
  <c r="B456" i="3" s="1"/>
  <c r="X469" i="3" a="1"/>
  <c r="X469" i="3" s="1"/>
  <c r="X461" i="3" a="1"/>
  <c r="X461" i="3" s="1"/>
  <c r="W470" i="3" a="1"/>
  <c r="W470" i="3" s="1"/>
  <c r="W462" i="3" a="1"/>
  <c r="W462" i="3" s="1"/>
  <c r="T467" i="3" a="1"/>
  <c r="T467" i="3" s="1"/>
  <c r="T459" i="3" a="1"/>
  <c r="T459" i="3" s="1"/>
  <c r="S468" i="3" a="1"/>
  <c r="S468" i="3" s="1"/>
  <c r="S460" i="3" a="1"/>
  <c r="S460" i="3" s="1"/>
  <c r="G465" i="3" a="1"/>
  <c r="G465" i="3" s="1"/>
  <c r="N465" i="3" s="1" a="1"/>
  <c r="N465" i="3" s="1"/>
  <c r="G457" i="3" a="1"/>
  <c r="G457" i="3" s="1"/>
  <c r="N457" i="3" s="1" a="1"/>
  <c r="N457" i="3" s="1"/>
  <c r="G456" i="3" a="1"/>
  <c r="G456" i="3" s="1"/>
  <c r="O456" i="3" s="1" a="1"/>
  <c r="O456" i="3" s="1"/>
  <c r="G470" i="3" a="1"/>
  <c r="G470" i="3" s="1"/>
  <c r="L470" i="3" s="1" a="1"/>
  <c r="L470" i="3" s="1"/>
  <c r="I467" i="3" a="1"/>
  <c r="I467" i="3" s="1"/>
  <c r="I459" i="3" a="1"/>
  <c r="I459" i="3" s="1"/>
  <c r="F469" i="3" a="1"/>
  <c r="F469" i="3" s="1"/>
  <c r="F461" i="3" a="1"/>
  <c r="F461" i="3" s="1"/>
  <c r="E470" i="3" a="1"/>
  <c r="E470" i="3" s="1"/>
  <c r="AB470" i="3" s="1"/>
  <c r="E462" i="3" a="1"/>
  <c r="E462" i="3" s="1"/>
  <c r="B463" i="3" a="1"/>
  <c r="B463" i="3" s="1"/>
  <c r="X468" i="3" a="1"/>
  <c r="X468" i="3" s="1"/>
  <c r="X460" i="3" a="1"/>
  <c r="X460" i="3" s="1"/>
  <c r="W469" i="3" a="1"/>
  <c r="W469" i="3" s="1"/>
  <c r="W461" i="3" a="1"/>
  <c r="W461" i="3" s="1"/>
  <c r="T466" i="3" a="1"/>
  <c r="T466" i="3" s="1"/>
  <c r="T458" i="3" a="1"/>
  <c r="T458" i="3" s="1"/>
  <c r="S467" i="3" a="1"/>
  <c r="S467" i="3" s="1"/>
  <c r="S459" i="3" a="1"/>
  <c r="S459" i="3" s="1"/>
  <c r="G464" i="3" a="1"/>
  <c r="G464" i="3" s="1"/>
  <c r="O464" i="3" s="1" a="1"/>
  <c r="O464" i="3" s="1"/>
  <c r="I466" i="3" a="1"/>
  <c r="I466" i="3" s="1"/>
  <c r="I458" i="3" a="1"/>
  <c r="I458" i="3" s="1"/>
  <c r="F468" i="3" a="1"/>
  <c r="F468" i="3" s="1"/>
  <c r="F460" i="3" a="1"/>
  <c r="F460" i="3" s="1"/>
  <c r="E469" i="3" a="1"/>
  <c r="E469" i="3" s="1"/>
  <c r="E461" i="3" a="1"/>
  <c r="E461" i="3" s="1"/>
  <c r="B470" i="3" a="1"/>
  <c r="B470" i="3" s="1"/>
  <c r="B462" i="3" a="1"/>
  <c r="B462" i="3" s="1"/>
  <c r="X467" i="3" a="1"/>
  <c r="X467" i="3" s="1"/>
  <c r="X459" i="3" a="1"/>
  <c r="X459" i="3" s="1"/>
  <c r="W468" i="3" a="1"/>
  <c r="W468" i="3" s="1"/>
  <c r="W460" i="3" a="1"/>
  <c r="W460" i="3" s="1"/>
  <c r="T465" i="3" a="1"/>
  <c r="T465" i="3" s="1"/>
  <c r="T457" i="3" a="1"/>
  <c r="T457" i="3" s="1"/>
  <c r="S466" i="3" a="1"/>
  <c r="S466" i="3" s="1"/>
  <c r="S458" i="3" a="1"/>
  <c r="S458" i="3" s="1"/>
  <c r="G463" i="3" a="1"/>
  <c r="G463" i="3" s="1"/>
  <c r="K463" i="3" s="1" a="1"/>
  <c r="K463" i="3" s="1"/>
  <c r="I465" i="3" a="1"/>
  <c r="I465" i="3" s="1"/>
  <c r="I457" i="3" a="1"/>
  <c r="I457" i="3" s="1"/>
  <c r="F467" i="3" a="1"/>
  <c r="F467" i="3" s="1"/>
  <c r="F459" i="3" a="1"/>
  <c r="F459" i="3" s="1"/>
  <c r="E468" i="3" a="1"/>
  <c r="E468" i="3" s="1"/>
  <c r="E460" i="3" a="1"/>
  <c r="E460" i="3" s="1"/>
  <c r="B469" i="3" a="1"/>
  <c r="B469" i="3" s="1"/>
  <c r="B461" i="3" a="1"/>
  <c r="B461" i="3" s="1"/>
  <c r="X466" i="3" a="1"/>
  <c r="X466" i="3" s="1"/>
  <c r="X458" i="3" a="1"/>
  <c r="X458" i="3" s="1"/>
  <c r="W467" i="3" a="1"/>
  <c r="W467" i="3" s="1"/>
  <c r="W459" i="3" a="1"/>
  <c r="W459" i="3" s="1"/>
  <c r="T464" i="3" a="1"/>
  <c r="T464" i="3" s="1"/>
  <c r="AC464" i="3" s="1"/>
  <c r="T456" i="3" a="1"/>
  <c r="T456" i="3" s="1"/>
  <c r="S465" i="3" a="1"/>
  <c r="S465" i="3" s="1"/>
  <c r="S457" i="3" a="1"/>
  <c r="S457" i="3" s="1"/>
  <c r="I464" i="3" a="1"/>
  <c r="I464" i="3" s="1"/>
  <c r="I456" i="3" a="1"/>
  <c r="I456" i="3" s="1"/>
  <c r="F466" i="3" a="1"/>
  <c r="F466" i="3" s="1"/>
  <c r="F458" i="3" a="1"/>
  <c r="F458" i="3" s="1"/>
  <c r="E467" i="3" a="1"/>
  <c r="E467" i="3" s="1"/>
  <c r="E459" i="3" a="1"/>
  <c r="E459" i="3" s="1"/>
  <c r="B468" i="3" a="1"/>
  <c r="B468" i="3" s="1"/>
  <c r="B460" i="3" a="1"/>
  <c r="B460" i="3" s="1"/>
  <c r="X465" i="3" a="1"/>
  <c r="X465" i="3" s="1"/>
  <c r="X457" i="3" a="1"/>
  <c r="X457" i="3" s="1"/>
  <c r="W466" i="3" a="1"/>
  <c r="W466" i="3" s="1"/>
  <c r="W458" i="3" a="1"/>
  <c r="W458" i="3" s="1"/>
  <c r="T463" i="3" a="1"/>
  <c r="T463" i="3" s="1"/>
  <c r="S464" i="3" a="1"/>
  <c r="S464" i="3" s="1"/>
  <c r="S456" i="3" a="1"/>
  <c r="S456" i="3" s="1"/>
  <c r="G469" i="3" a="1"/>
  <c r="G469" i="3" s="1"/>
  <c r="M469" i="3" s="1" a="1"/>
  <c r="M469" i="3" s="1"/>
  <c r="G461" i="3" a="1"/>
  <c r="G461" i="3" s="1"/>
  <c r="N461" i="3" s="1" a="1"/>
  <c r="N461" i="3" s="1"/>
  <c r="G468" i="3" a="1"/>
  <c r="G468" i="3" s="1"/>
  <c r="K468" i="3" s="1" a="1"/>
  <c r="K468" i="3" s="1"/>
  <c r="I463" i="3" a="1"/>
  <c r="I463" i="3" s="1"/>
  <c r="F465" i="3" a="1"/>
  <c r="F465" i="3" s="1"/>
  <c r="AC465" i="3" s="1"/>
  <c r="F457" i="3" a="1"/>
  <c r="F457" i="3" s="1"/>
  <c r="E466" i="3" a="1"/>
  <c r="E466" i="3" s="1"/>
  <c r="AA466" i="3" s="1"/>
  <c r="E458" i="3" a="1"/>
  <c r="E458" i="3" s="1"/>
  <c r="AA458" i="3" s="1"/>
  <c r="B467" i="3" a="1"/>
  <c r="B467" i="3" s="1"/>
  <c r="B459" i="3" a="1"/>
  <c r="B459" i="3" s="1"/>
  <c r="X464" i="3" a="1"/>
  <c r="X464" i="3" s="1"/>
  <c r="X456" i="3" a="1"/>
  <c r="X456" i="3" s="1"/>
  <c r="W465" i="3" a="1"/>
  <c r="W465" i="3" s="1"/>
  <c r="W457" i="3" a="1"/>
  <c r="W457" i="3" s="1"/>
  <c r="T470" i="3" a="1"/>
  <c r="T470" i="3" s="1"/>
  <c r="T462" i="3" a="1"/>
  <c r="T462" i="3" s="1"/>
  <c r="S463" i="3" a="1"/>
  <c r="S463" i="3" s="1"/>
  <c r="G460" i="3" a="1"/>
  <c r="G460" i="3" s="1"/>
  <c r="K460" i="3" s="1" a="1"/>
  <c r="K460" i="3" s="1"/>
  <c r="I449" i="3" a="1"/>
  <c r="I449" i="3" s="1"/>
  <c r="F451" i="3" a="1"/>
  <c r="F451" i="3" s="1"/>
  <c r="E446" i="3" a="1"/>
  <c r="E446" i="3" s="1"/>
  <c r="X448" i="3" a="1"/>
  <c r="X448" i="3" s="1"/>
  <c r="T449" i="3" a="1"/>
  <c r="T449" i="3" s="1"/>
  <c r="G448" i="3" a="1"/>
  <c r="G448" i="3" s="1"/>
  <c r="N448" i="3" s="1" a="1"/>
  <c r="N448" i="3" s="1"/>
  <c r="G446" i="3" a="1"/>
  <c r="G446" i="3" s="1"/>
  <c r="L446" i="3" s="1" a="1"/>
  <c r="L446" i="3" s="1"/>
  <c r="F453" i="3" a="1"/>
  <c r="F453" i="3" s="1"/>
  <c r="X450" i="3" a="1"/>
  <c r="X450" i="3" s="1"/>
  <c r="I448" i="3" a="1"/>
  <c r="I448" i="3" s="1"/>
  <c r="F450" i="3" a="1"/>
  <c r="F450" i="3" s="1"/>
  <c r="E453" i="3" a="1"/>
  <c r="E453" i="3" s="1"/>
  <c r="B448" i="3" a="1"/>
  <c r="B448" i="3" s="1"/>
  <c r="X455" i="3" a="1"/>
  <c r="X455" i="3" s="1"/>
  <c r="X447" i="3" a="1"/>
  <c r="X447" i="3" s="1"/>
  <c r="W450" i="3" a="1"/>
  <c r="W450" i="3" s="1"/>
  <c r="T448" i="3" a="1"/>
  <c r="T448" i="3" s="1"/>
  <c r="S451" i="3" a="1"/>
  <c r="S451" i="3" s="1"/>
  <c r="G455" i="3" a="1"/>
  <c r="G455" i="3" s="1"/>
  <c r="N455" i="3" s="1" a="1"/>
  <c r="N455" i="3" s="1"/>
  <c r="G447" i="3" a="1"/>
  <c r="G447" i="3" s="1"/>
  <c r="N447" i="3" s="1" a="1"/>
  <c r="N447" i="3" s="1"/>
  <c r="E452" i="3" a="1"/>
  <c r="E452" i="3" s="1"/>
  <c r="B455" i="3" a="1"/>
  <c r="B455" i="3" s="1"/>
  <c r="S450" i="3" a="1"/>
  <c r="S450" i="3" s="1"/>
  <c r="W453" i="3" a="1"/>
  <c r="W453" i="3" s="1"/>
  <c r="I455" i="3" a="1"/>
  <c r="I455" i="3" s="1"/>
  <c r="I447" i="3" a="1"/>
  <c r="I447" i="3" s="1"/>
  <c r="F449" i="3" a="1"/>
  <c r="F449" i="3" s="1"/>
  <c r="B447" i="3" a="1"/>
  <c r="B447" i="3" s="1"/>
  <c r="X454" i="3" a="1"/>
  <c r="X454" i="3" s="1"/>
  <c r="X446" i="3" a="1"/>
  <c r="X446" i="3" s="1"/>
  <c r="W449" i="3" a="1"/>
  <c r="W449" i="3" s="1"/>
  <c r="T455" i="3" a="1"/>
  <c r="T455" i="3" s="1"/>
  <c r="T447" i="3" a="1"/>
  <c r="T447" i="3" s="1"/>
  <c r="T451" i="3" a="1"/>
  <c r="T451" i="3" s="1"/>
  <c r="I454" i="3" a="1"/>
  <c r="I454" i="3" s="1"/>
  <c r="I446" i="3" a="1"/>
  <c r="I446" i="3" s="1"/>
  <c r="F448" i="3" a="1"/>
  <c r="F448" i="3" s="1"/>
  <c r="E451" i="3" a="1"/>
  <c r="E451" i="3" s="1"/>
  <c r="B454" i="3" a="1"/>
  <c r="B454" i="3" s="1"/>
  <c r="B446" i="3" a="1"/>
  <c r="B446" i="3" s="1"/>
  <c r="X453" i="3" a="1"/>
  <c r="X453" i="3" s="1"/>
  <c r="W448" i="3" a="1"/>
  <c r="W448" i="3" s="1"/>
  <c r="T454" i="3" a="1"/>
  <c r="T454" i="3" s="1"/>
  <c r="T446" i="3" a="1"/>
  <c r="T446" i="3" s="1"/>
  <c r="S449" i="3" a="1"/>
  <c r="S449" i="3" s="1"/>
  <c r="U449" i="3" s="1"/>
  <c r="G453" i="3" a="1"/>
  <c r="G453" i="3" s="1"/>
  <c r="O453" i="3" s="1" a="1"/>
  <c r="O453" i="3" s="1"/>
  <c r="S447" i="3" a="1"/>
  <c r="S447" i="3" s="1"/>
  <c r="I453" i="3" a="1"/>
  <c r="I453" i="3" s="1"/>
  <c r="F455" i="3" a="1"/>
  <c r="F455" i="3" s="1"/>
  <c r="F447" i="3" a="1"/>
  <c r="F447" i="3" s="1"/>
  <c r="E450" i="3" a="1"/>
  <c r="E450" i="3" s="1"/>
  <c r="B453" i="3" a="1"/>
  <c r="B453" i="3" s="1"/>
  <c r="X452" i="3" a="1"/>
  <c r="X452" i="3" s="1"/>
  <c r="W455" i="3" a="1"/>
  <c r="W455" i="3" s="1"/>
  <c r="W447" i="3" a="1"/>
  <c r="W447" i="3" s="1"/>
  <c r="T453" i="3" a="1"/>
  <c r="T453" i="3" s="1"/>
  <c r="AC453" i="3" s="1"/>
  <c r="S448" i="3" a="1"/>
  <c r="S448" i="3" s="1"/>
  <c r="U448" i="3" s="1"/>
  <c r="G452" i="3" a="1"/>
  <c r="G452" i="3" s="1"/>
  <c r="K452" i="3" s="1" a="1"/>
  <c r="K452" i="3" s="1"/>
  <c r="X451" i="3" a="1"/>
  <c r="X451" i="3" s="1"/>
  <c r="W446" i="3" a="1"/>
  <c r="W446" i="3" s="1"/>
  <c r="T452" i="3" a="1"/>
  <c r="T452" i="3" s="1"/>
  <c r="S455" i="3" a="1"/>
  <c r="S455" i="3" s="1"/>
  <c r="G451" i="3" a="1"/>
  <c r="G451" i="3" s="1"/>
  <c r="M451" i="3" s="1" a="1"/>
  <c r="M451" i="3" s="1"/>
  <c r="B451" i="3" a="1"/>
  <c r="B451" i="3" s="1"/>
  <c r="S446" i="3" a="1"/>
  <c r="S446" i="3" s="1"/>
  <c r="I452" i="3" a="1"/>
  <c r="I452" i="3" s="1"/>
  <c r="F454" i="3" a="1"/>
  <c r="F454" i="3" s="1"/>
  <c r="F446" i="3" a="1"/>
  <c r="F446" i="3" s="1"/>
  <c r="E449" i="3" a="1"/>
  <c r="E449" i="3" s="1"/>
  <c r="B452" i="3" a="1"/>
  <c r="B452" i="3" s="1"/>
  <c r="W454" i="3" a="1"/>
  <c r="W454" i="3" s="1"/>
  <c r="E448" i="3" a="1"/>
  <c r="E448" i="3" s="1"/>
  <c r="S454" i="3" a="1"/>
  <c r="S454" i="3" s="1"/>
  <c r="I451" i="3" a="1"/>
  <c r="I451" i="3" s="1"/>
  <c r="I450" i="3" a="1"/>
  <c r="I450" i="3" s="1"/>
  <c r="F452" i="3" a="1"/>
  <c r="F452" i="3" s="1"/>
  <c r="E455" i="3" a="1"/>
  <c r="E455" i="3" s="1"/>
  <c r="E447" i="3" a="1"/>
  <c r="E447" i="3" s="1"/>
  <c r="B450" i="3" a="1"/>
  <c r="B450" i="3" s="1"/>
  <c r="X449" i="3" a="1"/>
  <c r="X449" i="3" s="1"/>
  <c r="W452" i="3" a="1"/>
  <c r="W452" i="3" s="1"/>
  <c r="T450" i="3" a="1"/>
  <c r="T450" i="3" s="1"/>
  <c r="S453" i="3" a="1"/>
  <c r="S453" i="3" s="1"/>
  <c r="G449" i="3" a="1"/>
  <c r="G449" i="3" s="1"/>
  <c r="K449" i="3" s="1" a="1"/>
  <c r="K449" i="3" s="1"/>
  <c r="E454" i="3" a="1"/>
  <c r="E454" i="3" s="1"/>
  <c r="B449" i="3" a="1"/>
  <c r="B449" i="3" s="1"/>
  <c r="W451" i="3" a="1"/>
  <c r="W451" i="3" s="1"/>
  <c r="S452" i="3" a="1"/>
  <c r="S452" i="3" s="1"/>
  <c r="G454" i="3" a="1"/>
  <c r="G454" i="3" s="1"/>
  <c r="L454" i="3" s="1" a="1"/>
  <c r="L454" i="3" s="1"/>
  <c r="G450" i="3" a="1"/>
  <c r="G450" i="3" s="1"/>
  <c r="O450" i="3" s="1" a="1"/>
  <c r="O450" i="3" s="1"/>
  <c r="I440" i="3" a="1"/>
  <c r="I440" i="3" s="1"/>
  <c r="I432" i="3" a="1"/>
  <c r="I432" i="3" s="1"/>
  <c r="F445" i="3" a="1"/>
  <c r="F445" i="3" s="1"/>
  <c r="F437" i="3" a="1"/>
  <c r="F437" i="3" s="1"/>
  <c r="E438" i="3" a="1"/>
  <c r="E438" i="3" s="1"/>
  <c r="B439" i="3" a="1"/>
  <c r="B439" i="3" s="1"/>
  <c r="X438" i="3" a="1"/>
  <c r="X438" i="3" s="1"/>
  <c r="W439" i="3" a="1"/>
  <c r="W439" i="3" s="1"/>
  <c r="T438" i="3" a="1"/>
  <c r="T438" i="3" s="1"/>
  <c r="S439" i="3" a="1"/>
  <c r="S439" i="3" s="1"/>
  <c r="G442" i="3" a="1"/>
  <c r="G442" i="3" s="1"/>
  <c r="N442" i="3" s="1" a="1"/>
  <c r="N442" i="3" s="1"/>
  <c r="G434" i="3" a="1"/>
  <c r="G434" i="3" s="1"/>
  <c r="N434" i="3" s="1" a="1"/>
  <c r="N434" i="3" s="1"/>
  <c r="I439" i="3" a="1"/>
  <c r="I439" i="3" s="1"/>
  <c r="F444" i="3" a="1"/>
  <c r="F444" i="3" s="1"/>
  <c r="F436" i="3" a="1"/>
  <c r="F436" i="3" s="1"/>
  <c r="E445" i="3" a="1"/>
  <c r="E445" i="3" s="1"/>
  <c r="E437" i="3" a="1"/>
  <c r="E437" i="3" s="1"/>
  <c r="B438" i="3" a="1"/>
  <c r="B438" i="3" s="1"/>
  <c r="X445" i="3" a="1"/>
  <c r="X445" i="3" s="1"/>
  <c r="X437" i="3" a="1"/>
  <c r="X437" i="3" s="1"/>
  <c r="W438" i="3" a="1"/>
  <c r="W438" i="3" s="1"/>
  <c r="T445" i="3" a="1"/>
  <c r="T445" i="3" s="1"/>
  <c r="T437" i="3" a="1"/>
  <c r="T437" i="3" s="1"/>
  <c r="S438" i="3" a="1"/>
  <c r="S438" i="3" s="1"/>
  <c r="I438" i="3" a="1"/>
  <c r="I438" i="3" s="1"/>
  <c r="F443" i="3" a="1"/>
  <c r="F443" i="3" s="1"/>
  <c r="F435" i="3" a="1"/>
  <c r="F435" i="3" s="1"/>
  <c r="E444" i="3" a="1"/>
  <c r="E444" i="3" s="1"/>
  <c r="E436" i="3" a="1"/>
  <c r="E436" i="3" s="1"/>
  <c r="B445" i="3" a="1"/>
  <c r="B445" i="3" s="1"/>
  <c r="B437" i="3" a="1"/>
  <c r="B437" i="3" s="1"/>
  <c r="X444" i="3" a="1"/>
  <c r="X444" i="3" s="1"/>
  <c r="X436" i="3" a="1"/>
  <c r="X436" i="3" s="1"/>
  <c r="W445" i="3" a="1"/>
  <c r="W445" i="3" s="1"/>
  <c r="W437" i="3" a="1"/>
  <c r="W437" i="3" s="1"/>
  <c r="T444" i="3" a="1"/>
  <c r="T444" i="3" s="1"/>
  <c r="T436" i="3" a="1"/>
  <c r="T436" i="3" s="1"/>
  <c r="S445" i="3" a="1"/>
  <c r="S445" i="3" s="1"/>
  <c r="U445" i="3" s="1"/>
  <c r="S437" i="3" a="1"/>
  <c r="S437" i="3" s="1"/>
  <c r="U437" i="3" s="1"/>
  <c r="G440" i="3" a="1"/>
  <c r="G440" i="3" s="1"/>
  <c r="K440" i="3" s="1" a="1"/>
  <c r="K440" i="3" s="1"/>
  <c r="G432" i="3" a="1"/>
  <c r="G432" i="3" s="1"/>
  <c r="M432" i="3" s="1" a="1"/>
  <c r="M432" i="3" s="1"/>
  <c r="I445" i="3" a="1"/>
  <c r="I445" i="3" s="1"/>
  <c r="I437" i="3" a="1"/>
  <c r="I437" i="3" s="1"/>
  <c r="F442" i="3" a="1"/>
  <c r="F442" i="3" s="1"/>
  <c r="F434" i="3" a="1"/>
  <c r="F434" i="3" s="1"/>
  <c r="E443" i="3" a="1"/>
  <c r="E443" i="3" s="1"/>
  <c r="E435" i="3" a="1"/>
  <c r="E435" i="3" s="1"/>
  <c r="B444" i="3" a="1"/>
  <c r="B444" i="3" s="1"/>
  <c r="B436" i="3" a="1"/>
  <c r="B436" i="3" s="1"/>
  <c r="X443" i="3" a="1"/>
  <c r="X443" i="3" s="1"/>
  <c r="X435" i="3" a="1"/>
  <c r="X435" i="3" s="1"/>
  <c r="W444" i="3" a="1"/>
  <c r="W444" i="3" s="1"/>
  <c r="W436" i="3" a="1"/>
  <c r="W436" i="3" s="1"/>
  <c r="T443" i="3" a="1"/>
  <c r="T443" i="3" s="1"/>
  <c r="T435" i="3" a="1"/>
  <c r="T435" i="3" s="1"/>
  <c r="S444" i="3" a="1"/>
  <c r="S444" i="3" s="1"/>
  <c r="S436" i="3" a="1"/>
  <c r="S436" i="3" s="1"/>
  <c r="G439" i="3" a="1"/>
  <c r="G439" i="3" s="1"/>
  <c r="N439" i="3" s="1" a="1"/>
  <c r="N439" i="3" s="1"/>
  <c r="G443" i="3" a="1"/>
  <c r="G443" i="3" s="1"/>
  <c r="M443" i="3" s="1" a="1"/>
  <c r="M443" i="3" s="1"/>
  <c r="G433" i="3" a="1"/>
  <c r="G433" i="3" s="1"/>
  <c r="O433" i="3" s="1" a="1"/>
  <c r="O433" i="3" s="1"/>
  <c r="I444" i="3" a="1"/>
  <c r="I444" i="3" s="1"/>
  <c r="I436" i="3" a="1"/>
  <c r="I436" i="3" s="1"/>
  <c r="F441" i="3" a="1"/>
  <c r="F441" i="3" s="1"/>
  <c r="F433" i="3" a="1"/>
  <c r="F433" i="3" s="1"/>
  <c r="E442" i="3" a="1"/>
  <c r="E442" i="3" s="1"/>
  <c r="E434" i="3" a="1"/>
  <c r="E434" i="3" s="1"/>
  <c r="B443" i="3" a="1"/>
  <c r="B443" i="3" s="1"/>
  <c r="B435" i="3" a="1"/>
  <c r="B435" i="3" s="1"/>
  <c r="X442" i="3" a="1"/>
  <c r="X442" i="3" s="1"/>
  <c r="X434" i="3" a="1"/>
  <c r="X434" i="3" s="1"/>
  <c r="W443" i="3" a="1"/>
  <c r="W443" i="3" s="1"/>
  <c r="W435" i="3" a="1"/>
  <c r="W435" i="3" s="1"/>
  <c r="T442" i="3" a="1"/>
  <c r="T442" i="3" s="1"/>
  <c r="T434" i="3" a="1"/>
  <c r="T434" i="3" s="1"/>
  <c r="S443" i="3" a="1"/>
  <c r="S443" i="3" s="1"/>
  <c r="S435" i="3" a="1"/>
  <c r="S435" i="3" s="1"/>
  <c r="G438" i="3" a="1"/>
  <c r="G438" i="3" s="1"/>
  <c r="J438" i="3" s="1" a="1"/>
  <c r="J438" i="3" s="1"/>
  <c r="I443" i="3" a="1"/>
  <c r="I443" i="3" s="1"/>
  <c r="I435" i="3" a="1"/>
  <c r="I435" i="3" s="1"/>
  <c r="F440" i="3" a="1"/>
  <c r="F440" i="3" s="1"/>
  <c r="F432" i="3" a="1"/>
  <c r="F432" i="3" s="1"/>
  <c r="E441" i="3" a="1"/>
  <c r="E441" i="3" s="1"/>
  <c r="E433" i="3" a="1"/>
  <c r="E433" i="3" s="1"/>
  <c r="B442" i="3" a="1"/>
  <c r="B442" i="3" s="1"/>
  <c r="B434" i="3" a="1"/>
  <c r="B434" i="3" s="1"/>
  <c r="X441" i="3" a="1"/>
  <c r="X441" i="3" s="1"/>
  <c r="X433" i="3" a="1"/>
  <c r="X433" i="3" s="1"/>
  <c r="W442" i="3" a="1"/>
  <c r="W442" i="3" s="1"/>
  <c r="W434" i="3" a="1"/>
  <c r="W434" i="3" s="1"/>
  <c r="T441" i="3" a="1"/>
  <c r="T441" i="3" s="1"/>
  <c r="T433" i="3" a="1"/>
  <c r="T433" i="3" s="1"/>
  <c r="S442" i="3" a="1"/>
  <c r="S442" i="3" s="1"/>
  <c r="S434" i="3" a="1"/>
  <c r="S434" i="3" s="1"/>
  <c r="G445" i="3" a="1"/>
  <c r="G445" i="3" s="1"/>
  <c r="K445" i="3" s="1" a="1"/>
  <c r="K445" i="3" s="1"/>
  <c r="G437" i="3" a="1"/>
  <c r="G437" i="3" s="1"/>
  <c r="K437" i="3" s="1" a="1"/>
  <c r="K437" i="3" s="1"/>
  <c r="I442" i="3" a="1"/>
  <c r="I442" i="3" s="1"/>
  <c r="I434" i="3" a="1"/>
  <c r="I434" i="3" s="1"/>
  <c r="F439" i="3" a="1"/>
  <c r="F439" i="3" s="1"/>
  <c r="E440" i="3" a="1"/>
  <c r="E440" i="3" s="1"/>
  <c r="E432" i="3" a="1"/>
  <c r="E432" i="3" s="1"/>
  <c r="B441" i="3" a="1"/>
  <c r="B441" i="3" s="1"/>
  <c r="B433" i="3" a="1"/>
  <c r="B433" i="3" s="1"/>
  <c r="X440" i="3" a="1"/>
  <c r="X440" i="3" s="1"/>
  <c r="X432" i="3" a="1"/>
  <c r="X432" i="3" s="1"/>
  <c r="W441" i="3" a="1"/>
  <c r="W441" i="3" s="1"/>
  <c r="W433" i="3" a="1"/>
  <c r="W433" i="3" s="1"/>
  <c r="T440" i="3" a="1"/>
  <c r="T440" i="3" s="1"/>
  <c r="T432" i="3" a="1"/>
  <c r="T432" i="3" s="1"/>
  <c r="S441" i="3" a="1"/>
  <c r="S441" i="3" s="1"/>
  <c r="S433" i="3" a="1"/>
  <c r="S433" i="3" s="1"/>
  <c r="G444" i="3" a="1"/>
  <c r="G444" i="3" s="1"/>
  <c r="L444" i="3" s="1" a="1"/>
  <c r="L444" i="3" s="1"/>
  <c r="G436" i="3" a="1"/>
  <c r="G436" i="3" s="1"/>
  <c r="L436" i="3" s="1" a="1"/>
  <c r="L436" i="3" s="1"/>
  <c r="I441" i="3" a="1"/>
  <c r="I441" i="3" s="1"/>
  <c r="I433" i="3" a="1"/>
  <c r="I433" i="3" s="1"/>
  <c r="F438" i="3" a="1"/>
  <c r="F438" i="3" s="1"/>
  <c r="E439" i="3" a="1"/>
  <c r="E439" i="3" s="1"/>
  <c r="B440" i="3" a="1"/>
  <c r="B440" i="3" s="1"/>
  <c r="B432" i="3" a="1"/>
  <c r="B432" i="3" s="1"/>
  <c r="X439" i="3" a="1"/>
  <c r="X439" i="3" s="1"/>
  <c r="W440" i="3" a="1"/>
  <c r="W440" i="3" s="1"/>
  <c r="W432" i="3" a="1"/>
  <c r="W432" i="3" s="1"/>
  <c r="T439" i="3" a="1"/>
  <c r="T439" i="3" s="1"/>
  <c r="S440" i="3" a="1"/>
  <c r="S440" i="3" s="1"/>
  <c r="S432" i="3" a="1"/>
  <c r="S432" i="3" s="1"/>
  <c r="G435" i="3" a="1"/>
  <c r="G435" i="3" s="1"/>
  <c r="M435" i="3" s="1" a="1"/>
  <c r="M435" i="3" s="1"/>
  <c r="G441" i="3" a="1"/>
  <c r="G441" i="3" s="1"/>
  <c r="O441" i="3" s="1" a="1"/>
  <c r="O441" i="3" s="1"/>
  <c r="I429" i="3" a="1"/>
  <c r="I429" i="3" s="1"/>
  <c r="I421" i="3" a="1"/>
  <c r="I421" i="3" s="1"/>
  <c r="F428" i="3" a="1"/>
  <c r="F428" i="3" s="1"/>
  <c r="F420" i="3" a="1"/>
  <c r="F420" i="3" s="1"/>
  <c r="E425" i="3" a="1"/>
  <c r="E425" i="3" s="1"/>
  <c r="B430" i="3" a="1"/>
  <c r="B430" i="3" s="1"/>
  <c r="B422" i="3" a="1"/>
  <c r="B422" i="3" s="1"/>
  <c r="X429" i="3" a="1"/>
  <c r="X429" i="3" s="1"/>
  <c r="X421" i="3" a="1"/>
  <c r="X421" i="3" s="1"/>
  <c r="W426" i="3" a="1"/>
  <c r="W426" i="3" s="1"/>
  <c r="T426" i="3" a="1"/>
  <c r="T426" i="3" s="1"/>
  <c r="S431" i="3" a="1"/>
  <c r="S431" i="3" s="1"/>
  <c r="S423" i="3" a="1"/>
  <c r="S423" i="3" s="1"/>
  <c r="G429" i="3" a="1"/>
  <c r="G429" i="3" s="1"/>
  <c r="L429" i="3" s="1" a="1"/>
  <c r="L429" i="3" s="1"/>
  <c r="G421" i="3" a="1"/>
  <c r="G421" i="3" s="1"/>
  <c r="L421" i="3" s="1" a="1"/>
  <c r="L421" i="3" s="1"/>
  <c r="G420" i="3" a="1"/>
  <c r="G420" i="3" s="1"/>
  <c r="L420" i="3" s="1" a="1"/>
  <c r="L420" i="3" s="1"/>
  <c r="G422" i="3" a="1"/>
  <c r="G422" i="3" s="1"/>
  <c r="O422" i="3" s="1" a="1"/>
  <c r="O422" i="3" s="1"/>
  <c r="I428" i="3" a="1"/>
  <c r="I428" i="3" s="1"/>
  <c r="I420" i="3" a="1"/>
  <c r="I420" i="3" s="1"/>
  <c r="F427" i="3" a="1"/>
  <c r="F427" i="3" s="1"/>
  <c r="E424" i="3" a="1"/>
  <c r="E424" i="3" s="1"/>
  <c r="B429" i="3" a="1"/>
  <c r="B429" i="3" s="1"/>
  <c r="B421" i="3" a="1"/>
  <c r="B421" i="3" s="1"/>
  <c r="X428" i="3" a="1"/>
  <c r="X428" i="3" s="1"/>
  <c r="X420" i="3" a="1"/>
  <c r="X420" i="3" s="1"/>
  <c r="W425" i="3" a="1"/>
  <c r="W425" i="3" s="1"/>
  <c r="T425" i="3" a="1"/>
  <c r="T425" i="3" s="1"/>
  <c r="S430" i="3" a="1"/>
  <c r="S430" i="3" s="1"/>
  <c r="S422" i="3" a="1"/>
  <c r="S422" i="3" s="1"/>
  <c r="G428" i="3" a="1"/>
  <c r="G428" i="3" s="1"/>
  <c r="L428" i="3" s="1" a="1"/>
  <c r="L428" i="3" s="1"/>
  <c r="G427" i="3" a="1"/>
  <c r="G427" i="3" s="1"/>
  <c r="N427" i="3" s="1" a="1"/>
  <c r="N427" i="3" s="1"/>
  <c r="I427" i="3" a="1"/>
  <c r="I427" i="3" s="1"/>
  <c r="F426" i="3" a="1"/>
  <c r="F426" i="3" s="1"/>
  <c r="E431" i="3" a="1"/>
  <c r="E431" i="3" s="1"/>
  <c r="E423" i="3" a="1"/>
  <c r="E423" i="3" s="1"/>
  <c r="B428" i="3" a="1"/>
  <c r="B428" i="3" s="1"/>
  <c r="B420" i="3" a="1"/>
  <c r="B420" i="3" s="1"/>
  <c r="X427" i="3" a="1"/>
  <c r="X427" i="3" s="1"/>
  <c r="W424" i="3" a="1"/>
  <c r="W424" i="3" s="1"/>
  <c r="T424" i="3" a="1"/>
  <c r="T424" i="3" s="1"/>
  <c r="S429" i="3" a="1"/>
  <c r="S429" i="3" s="1"/>
  <c r="S421" i="3" a="1"/>
  <c r="S421" i="3" s="1"/>
  <c r="G426" i="3" a="1"/>
  <c r="G426" i="3" s="1"/>
  <c r="K426" i="3" s="1" a="1"/>
  <c r="K426" i="3" s="1"/>
  <c r="I426" i="3" a="1"/>
  <c r="I426" i="3" s="1"/>
  <c r="F425" i="3" a="1"/>
  <c r="F425" i="3" s="1"/>
  <c r="E430" i="3" a="1"/>
  <c r="E430" i="3" s="1"/>
  <c r="E422" i="3" a="1"/>
  <c r="E422" i="3" s="1"/>
  <c r="B427" i="3" a="1"/>
  <c r="B427" i="3" s="1"/>
  <c r="X426" i="3" a="1"/>
  <c r="X426" i="3" s="1"/>
  <c r="AD426" i="3" s="1"/>
  <c r="W431" i="3" a="1"/>
  <c r="W431" i="3" s="1"/>
  <c r="AB431" i="3" s="1"/>
  <c r="W423" i="3" a="1"/>
  <c r="W423" i="3" s="1"/>
  <c r="T431" i="3" a="1"/>
  <c r="T431" i="3" s="1"/>
  <c r="T423" i="3" a="1"/>
  <c r="T423" i="3" s="1"/>
  <c r="S428" i="3" a="1"/>
  <c r="S428" i="3" s="1"/>
  <c r="S420" i="3" a="1"/>
  <c r="S420" i="3" s="1"/>
  <c r="I425" i="3" a="1"/>
  <c r="I425" i="3" s="1"/>
  <c r="F424" i="3" a="1"/>
  <c r="F424" i="3" s="1"/>
  <c r="E429" i="3" a="1"/>
  <c r="E429" i="3" s="1"/>
  <c r="E421" i="3" a="1"/>
  <c r="E421" i="3" s="1"/>
  <c r="B426" i="3" a="1"/>
  <c r="B426" i="3" s="1"/>
  <c r="X425" i="3" a="1"/>
  <c r="X425" i="3" s="1"/>
  <c r="W430" i="3" a="1"/>
  <c r="W430" i="3" s="1"/>
  <c r="AB430" i="3" s="1"/>
  <c r="W422" i="3" a="1"/>
  <c r="W422" i="3" s="1"/>
  <c r="T430" i="3" a="1"/>
  <c r="T430" i="3" s="1"/>
  <c r="T422" i="3" a="1"/>
  <c r="T422" i="3" s="1"/>
  <c r="S427" i="3" a="1"/>
  <c r="S427" i="3" s="1"/>
  <c r="G425" i="3" a="1"/>
  <c r="G425" i="3" s="1"/>
  <c r="L425" i="3" s="1" a="1"/>
  <c r="L425" i="3" s="1"/>
  <c r="I424" i="3" a="1"/>
  <c r="I424" i="3" s="1"/>
  <c r="F431" i="3" a="1"/>
  <c r="F431" i="3" s="1"/>
  <c r="F423" i="3" a="1"/>
  <c r="F423" i="3" s="1"/>
  <c r="E428" i="3" a="1"/>
  <c r="E428" i="3" s="1"/>
  <c r="E420" i="3" a="1"/>
  <c r="E420" i="3" s="1"/>
  <c r="B425" i="3" a="1"/>
  <c r="B425" i="3" s="1"/>
  <c r="X424" i="3" a="1"/>
  <c r="X424" i="3" s="1"/>
  <c r="W429" i="3" a="1"/>
  <c r="W429" i="3" s="1"/>
  <c r="W421" i="3" a="1"/>
  <c r="W421" i="3" s="1"/>
  <c r="T429" i="3" a="1"/>
  <c r="T429" i="3" s="1"/>
  <c r="T421" i="3" a="1"/>
  <c r="T421" i="3" s="1"/>
  <c r="S426" i="3" a="1"/>
  <c r="S426" i="3" s="1"/>
  <c r="G424" i="3" a="1"/>
  <c r="G424" i="3" s="1"/>
  <c r="M424" i="3" s="1" a="1"/>
  <c r="M424" i="3" s="1"/>
  <c r="G431" i="3" a="1"/>
  <c r="G431" i="3" s="1"/>
  <c r="J431" i="3" s="1" a="1"/>
  <c r="J431" i="3" s="1"/>
  <c r="G423" i="3" a="1"/>
  <c r="G423" i="3" s="1"/>
  <c r="O423" i="3" s="1" a="1"/>
  <c r="O423" i="3" s="1"/>
  <c r="I431" i="3" a="1"/>
  <c r="I431" i="3" s="1"/>
  <c r="I423" i="3" a="1"/>
  <c r="I423" i="3" s="1"/>
  <c r="F430" i="3" a="1"/>
  <c r="F430" i="3" s="1"/>
  <c r="F422" i="3" a="1"/>
  <c r="F422" i="3" s="1"/>
  <c r="E427" i="3" a="1"/>
  <c r="E427" i="3" s="1"/>
  <c r="B424" i="3" a="1"/>
  <c r="B424" i="3" s="1"/>
  <c r="X431" i="3" a="1"/>
  <c r="X431" i="3" s="1"/>
  <c r="X423" i="3" a="1"/>
  <c r="X423" i="3" s="1"/>
  <c r="W428" i="3" a="1"/>
  <c r="W428" i="3" s="1"/>
  <c r="W420" i="3" a="1"/>
  <c r="W420" i="3" s="1"/>
  <c r="T428" i="3" a="1"/>
  <c r="T428" i="3" s="1"/>
  <c r="T420" i="3" a="1"/>
  <c r="T420" i="3" s="1"/>
  <c r="S425" i="3" a="1"/>
  <c r="S425" i="3" s="1"/>
  <c r="G430" i="3" a="1"/>
  <c r="G430" i="3" s="1"/>
  <c r="O430" i="3" s="1" a="1"/>
  <c r="O430" i="3" s="1"/>
  <c r="I430" i="3" a="1"/>
  <c r="I430" i="3" s="1"/>
  <c r="I422" i="3" a="1"/>
  <c r="I422" i="3" s="1"/>
  <c r="F429" i="3" a="1"/>
  <c r="F429" i="3" s="1"/>
  <c r="F421" i="3" a="1"/>
  <c r="F421" i="3" s="1"/>
  <c r="E426" i="3" a="1"/>
  <c r="E426" i="3" s="1"/>
  <c r="B431" i="3" a="1"/>
  <c r="B431" i="3" s="1"/>
  <c r="B423" i="3" a="1"/>
  <c r="B423" i="3" s="1"/>
  <c r="X430" i="3" a="1"/>
  <c r="X430" i="3" s="1"/>
  <c r="X422" i="3" a="1"/>
  <c r="X422" i="3" s="1"/>
  <c r="W427" i="3" a="1"/>
  <c r="W427" i="3" s="1"/>
  <c r="T427" i="3" a="1"/>
  <c r="T427" i="3" s="1"/>
  <c r="S424" i="3" a="1"/>
  <c r="S424" i="3" s="1"/>
  <c r="I419" i="3" a="1"/>
  <c r="I419" i="3" s="1"/>
  <c r="F415" i="3" a="1"/>
  <c r="F415" i="3" s="1"/>
  <c r="E418" i="3" a="1"/>
  <c r="E418" i="3" s="1"/>
  <c r="X419" i="3" a="1"/>
  <c r="X419" i="3" s="1"/>
  <c r="W414" i="3" a="1"/>
  <c r="W414" i="3" s="1"/>
  <c r="T419" i="3" a="1"/>
  <c r="T419" i="3" s="1"/>
  <c r="S414" i="3" a="1"/>
  <c r="S414" i="3" s="1"/>
  <c r="G419" i="3" a="1"/>
  <c r="G419" i="3" s="1"/>
  <c r="L419" i="3" s="1" a="1"/>
  <c r="L419" i="3" s="1"/>
  <c r="F416" i="3" a="1"/>
  <c r="F416" i="3" s="1"/>
  <c r="W415" i="3" a="1"/>
  <c r="W415" i="3" s="1"/>
  <c r="I418" i="3" a="1"/>
  <c r="I418" i="3" s="1"/>
  <c r="F414" i="3" a="1"/>
  <c r="F414" i="3" s="1"/>
  <c r="E417" i="3" a="1"/>
  <c r="E417" i="3" s="1"/>
  <c r="X418" i="3" a="1"/>
  <c r="X418" i="3" s="1"/>
  <c r="T418" i="3" a="1"/>
  <c r="T418" i="3" s="1"/>
  <c r="G418" i="3" a="1"/>
  <c r="G418" i="3" s="1"/>
  <c r="O418" i="3" s="1" a="1"/>
  <c r="O418" i="3" s="1"/>
  <c r="G416" i="3" a="1"/>
  <c r="G416" i="3" s="1"/>
  <c r="M416" i="3" s="1" a="1"/>
  <c r="M416" i="3" s="1"/>
  <c r="S415" i="3" a="1"/>
  <c r="S415" i="3" s="1"/>
  <c r="I417" i="3" a="1"/>
  <c r="I417" i="3" s="1"/>
  <c r="E416" i="3" a="1"/>
  <c r="E416" i="3" s="1"/>
  <c r="B419" i="3" a="1"/>
  <c r="B419" i="3" s="1"/>
  <c r="X417" i="3" a="1"/>
  <c r="X417" i="3" s="1"/>
  <c r="T417" i="3" a="1"/>
  <c r="T417" i="3" s="1"/>
  <c r="G417" i="3" a="1"/>
  <c r="G417" i="3" s="1"/>
  <c r="O417" i="3" s="1" a="1"/>
  <c r="O417" i="3" s="1"/>
  <c r="I416" i="3" a="1"/>
  <c r="I416" i="3" s="1"/>
  <c r="E415" i="3" a="1"/>
  <c r="E415" i="3" s="1"/>
  <c r="B418" i="3" a="1"/>
  <c r="B418" i="3" s="1"/>
  <c r="X416" i="3" a="1"/>
  <c r="X416" i="3" s="1"/>
  <c r="W419" i="3" a="1"/>
  <c r="W419" i="3" s="1"/>
  <c r="T416" i="3" a="1"/>
  <c r="T416" i="3" s="1"/>
  <c r="S419" i="3" a="1"/>
  <c r="S419" i="3" s="1"/>
  <c r="G414" i="3" a="1"/>
  <c r="G414" i="3" s="1"/>
  <c r="K414" i="3" s="1" a="1"/>
  <c r="K414" i="3" s="1"/>
  <c r="E419" i="3" a="1"/>
  <c r="E419" i="3" s="1"/>
  <c r="I415" i="3" a="1"/>
  <c r="I415" i="3" s="1"/>
  <c r="F419" i="3" a="1"/>
  <c r="F419" i="3" s="1"/>
  <c r="E414" i="3" a="1"/>
  <c r="E414" i="3" s="1"/>
  <c r="B417" i="3" a="1"/>
  <c r="B417" i="3" s="1"/>
  <c r="X415" i="3" a="1"/>
  <c r="X415" i="3" s="1"/>
  <c r="W418" i="3" a="1"/>
  <c r="W418" i="3" s="1"/>
  <c r="T415" i="3" a="1"/>
  <c r="T415" i="3" s="1"/>
  <c r="S418" i="3" a="1"/>
  <c r="S418" i="3" s="1"/>
  <c r="G415" i="3" a="1"/>
  <c r="G415" i="3" s="1"/>
  <c r="L415" i="3" s="1" a="1"/>
  <c r="L415" i="3" s="1"/>
  <c r="I414" i="3" a="1"/>
  <c r="I414" i="3" s="1"/>
  <c r="F418" i="3" a="1"/>
  <c r="F418" i="3" s="1"/>
  <c r="B416" i="3" a="1"/>
  <c r="B416" i="3" s="1"/>
  <c r="X414" i="3" a="1"/>
  <c r="X414" i="3" s="1"/>
  <c r="W417" i="3" a="1"/>
  <c r="W417" i="3" s="1"/>
  <c r="T414" i="3" a="1"/>
  <c r="T414" i="3" s="1"/>
  <c r="S417" i="3" a="1"/>
  <c r="S417" i="3" s="1"/>
  <c r="F417" i="3" a="1"/>
  <c r="F417" i="3" s="1"/>
  <c r="B415" i="3" a="1"/>
  <c r="B415" i="3" s="1"/>
  <c r="W416" i="3" a="1"/>
  <c r="W416" i="3" s="1"/>
  <c r="Y416" i="3" s="1"/>
  <c r="S416" i="3" a="1"/>
  <c r="S416" i="3" s="1"/>
  <c r="B414" i="3" a="1"/>
  <c r="B414" i="3" s="1"/>
  <c r="I409" i="3" a="1"/>
  <c r="I409" i="3" s="1"/>
  <c r="F411" i="3" a="1"/>
  <c r="F411" i="3" s="1"/>
  <c r="F403" i="3" a="1"/>
  <c r="F403" i="3" s="1"/>
  <c r="E409" i="3" a="1"/>
  <c r="E409" i="3" s="1"/>
  <c r="B407" i="3" a="1"/>
  <c r="B407" i="3" s="1"/>
  <c r="X406" i="3" a="1"/>
  <c r="X406" i="3" s="1"/>
  <c r="W412" i="3" a="1"/>
  <c r="W412" i="3" s="1"/>
  <c r="W404" i="3" a="1"/>
  <c r="W404" i="3" s="1"/>
  <c r="T411" i="3" a="1"/>
  <c r="T411" i="3" s="1"/>
  <c r="T403" i="3" a="1"/>
  <c r="T403" i="3" s="1"/>
  <c r="S409" i="3" a="1"/>
  <c r="S409" i="3" s="1"/>
  <c r="I408" i="3" a="1"/>
  <c r="I408" i="3" s="1"/>
  <c r="F410" i="3" a="1"/>
  <c r="F410" i="3" s="1"/>
  <c r="E408" i="3" a="1"/>
  <c r="E408" i="3" s="1"/>
  <c r="B406" i="3" a="1"/>
  <c r="B406" i="3" s="1"/>
  <c r="X413" i="3" a="1"/>
  <c r="X413" i="3" s="1"/>
  <c r="X405" i="3" a="1"/>
  <c r="X405" i="3" s="1"/>
  <c r="W411" i="3" a="1"/>
  <c r="W411" i="3" s="1"/>
  <c r="W403" i="3" a="1"/>
  <c r="W403" i="3" s="1"/>
  <c r="T410" i="3" a="1"/>
  <c r="T410" i="3" s="1"/>
  <c r="S408" i="3" a="1"/>
  <c r="S408" i="3" s="1"/>
  <c r="G410" i="3" a="1"/>
  <c r="G410" i="3" s="1"/>
  <c r="K410" i="3" s="1" a="1"/>
  <c r="K410" i="3" s="1"/>
  <c r="G409" i="3" a="1"/>
  <c r="G409" i="3" s="1"/>
  <c r="M409" i="3" s="1" a="1"/>
  <c r="M409" i="3" s="1"/>
  <c r="I407" i="3" a="1"/>
  <c r="I407" i="3" s="1"/>
  <c r="F409" i="3" a="1"/>
  <c r="F409" i="3" s="1"/>
  <c r="E407" i="3" a="1"/>
  <c r="E407" i="3" s="1"/>
  <c r="B413" i="3" a="1"/>
  <c r="B413" i="3" s="1"/>
  <c r="B405" i="3" a="1"/>
  <c r="B405" i="3" s="1"/>
  <c r="X412" i="3" a="1"/>
  <c r="X412" i="3" s="1"/>
  <c r="X404" i="3" a="1"/>
  <c r="X404" i="3" s="1"/>
  <c r="W410" i="3" a="1"/>
  <c r="W410" i="3" s="1"/>
  <c r="T409" i="3" a="1"/>
  <c r="T409" i="3" s="1"/>
  <c r="S407" i="3" a="1"/>
  <c r="S407" i="3" s="1"/>
  <c r="I406" i="3" a="1"/>
  <c r="I406" i="3" s="1"/>
  <c r="F408" i="3" a="1"/>
  <c r="F408" i="3" s="1"/>
  <c r="E406" i="3" a="1"/>
  <c r="E406" i="3" s="1"/>
  <c r="B412" i="3" a="1"/>
  <c r="B412" i="3" s="1"/>
  <c r="B404" i="3" a="1"/>
  <c r="B404" i="3" s="1"/>
  <c r="X411" i="3" a="1"/>
  <c r="X411" i="3" s="1"/>
  <c r="X403" i="3" a="1"/>
  <c r="X403" i="3" s="1"/>
  <c r="W409" i="3" a="1"/>
  <c r="W409" i="3" s="1"/>
  <c r="T408" i="3" a="1"/>
  <c r="T408" i="3" s="1"/>
  <c r="S406" i="3" a="1"/>
  <c r="S406" i="3" s="1"/>
  <c r="G408" i="3" a="1"/>
  <c r="G408" i="3" s="1"/>
  <c r="M408" i="3" s="1" a="1"/>
  <c r="M408" i="3" s="1"/>
  <c r="I413" i="3" a="1"/>
  <c r="I413" i="3" s="1"/>
  <c r="I405" i="3" a="1"/>
  <c r="I405" i="3" s="1"/>
  <c r="F407" i="3" a="1"/>
  <c r="F407" i="3" s="1"/>
  <c r="E413" i="3" a="1"/>
  <c r="E413" i="3" s="1"/>
  <c r="E405" i="3" a="1"/>
  <c r="E405" i="3" s="1"/>
  <c r="B411" i="3" a="1"/>
  <c r="B411" i="3" s="1"/>
  <c r="B403" i="3" a="1"/>
  <c r="B403" i="3" s="1"/>
  <c r="X410" i="3" a="1"/>
  <c r="X410" i="3" s="1"/>
  <c r="W408" i="3" a="1"/>
  <c r="W408" i="3" s="1"/>
  <c r="T407" i="3" a="1"/>
  <c r="T407" i="3" s="1"/>
  <c r="S413" i="3" a="1"/>
  <c r="S413" i="3" s="1"/>
  <c r="S405" i="3" a="1"/>
  <c r="S405" i="3" s="1"/>
  <c r="G407" i="3" a="1"/>
  <c r="G407" i="3" s="1"/>
  <c r="M407" i="3" s="1" a="1"/>
  <c r="M407" i="3" s="1"/>
  <c r="G405" i="3" a="1"/>
  <c r="G405" i="3" s="1"/>
  <c r="O405" i="3" s="1" a="1"/>
  <c r="O405" i="3" s="1"/>
  <c r="G411" i="3" a="1"/>
  <c r="G411" i="3" s="1"/>
  <c r="L411" i="3" s="1" a="1"/>
  <c r="L411" i="3" s="1"/>
  <c r="I412" i="3" a="1"/>
  <c r="I412" i="3" s="1"/>
  <c r="I404" i="3" a="1"/>
  <c r="I404" i="3" s="1"/>
  <c r="F406" i="3" a="1"/>
  <c r="F406" i="3" s="1"/>
  <c r="E412" i="3" a="1"/>
  <c r="E412" i="3" s="1"/>
  <c r="AB412" i="3" s="1"/>
  <c r="E404" i="3" a="1"/>
  <c r="E404" i="3" s="1"/>
  <c r="B410" i="3" a="1"/>
  <c r="B410" i="3" s="1"/>
  <c r="X409" i="3" a="1"/>
  <c r="X409" i="3" s="1"/>
  <c r="W407" i="3" a="1"/>
  <c r="W407" i="3" s="1"/>
  <c r="T406" i="3" a="1"/>
  <c r="T406" i="3" s="1"/>
  <c r="S412" i="3" a="1"/>
  <c r="S412" i="3" s="1"/>
  <c r="S404" i="3" a="1"/>
  <c r="S404" i="3" s="1"/>
  <c r="G406" i="3" a="1"/>
  <c r="G406" i="3" s="1"/>
  <c r="J406" i="3" s="1" a="1"/>
  <c r="J406" i="3" s="1"/>
  <c r="I411" i="3" a="1"/>
  <c r="I411" i="3" s="1"/>
  <c r="I403" i="3" a="1"/>
  <c r="I403" i="3" s="1"/>
  <c r="F413" i="3" a="1"/>
  <c r="F413" i="3" s="1"/>
  <c r="F405" i="3" a="1"/>
  <c r="F405" i="3" s="1"/>
  <c r="E411" i="3" a="1"/>
  <c r="E411" i="3" s="1"/>
  <c r="E403" i="3" a="1"/>
  <c r="E403" i="3" s="1"/>
  <c r="B409" i="3" a="1"/>
  <c r="B409" i="3" s="1"/>
  <c r="X408" i="3" a="1"/>
  <c r="X408" i="3" s="1"/>
  <c r="W406" i="3" a="1"/>
  <c r="W406" i="3" s="1"/>
  <c r="T413" i="3" a="1"/>
  <c r="T413" i="3" s="1"/>
  <c r="T405" i="3" a="1"/>
  <c r="T405" i="3" s="1"/>
  <c r="S411" i="3" a="1"/>
  <c r="S411" i="3" s="1"/>
  <c r="S403" i="3" a="1"/>
  <c r="S403" i="3" s="1"/>
  <c r="G413" i="3" a="1"/>
  <c r="G413" i="3" s="1"/>
  <c r="O413" i="3" s="1" a="1"/>
  <c r="O413" i="3" s="1"/>
  <c r="G403" i="3" a="1"/>
  <c r="G403" i="3" s="1"/>
  <c r="L403" i="3" s="1" a="1"/>
  <c r="L403" i="3" s="1"/>
  <c r="I410" i="3" a="1"/>
  <c r="I410" i="3" s="1"/>
  <c r="F412" i="3" a="1"/>
  <c r="F412" i="3" s="1"/>
  <c r="F404" i="3" a="1"/>
  <c r="F404" i="3" s="1"/>
  <c r="E410" i="3" a="1"/>
  <c r="E410" i="3" s="1"/>
  <c r="B408" i="3" a="1"/>
  <c r="B408" i="3" s="1"/>
  <c r="X407" i="3" a="1"/>
  <c r="X407" i="3" s="1"/>
  <c r="W413" i="3" a="1"/>
  <c r="W413" i="3" s="1"/>
  <c r="W405" i="3" a="1"/>
  <c r="W405" i="3" s="1"/>
  <c r="T412" i="3" a="1"/>
  <c r="T412" i="3" s="1"/>
  <c r="T404" i="3" a="1"/>
  <c r="T404" i="3" s="1"/>
  <c r="S410" i="3" a="1"/>
  <c r="S410" i="3" s="1"/>
  <c r="G412" i="3" a="1"/>
  <c r="G412" i="3" s="1"/>
  <c r="O412" i="3" s="1" a="1"/>
  <c r="O412" i="3" s="1"/>
  <c r="G404" i="3" a="1"/>
  <c r="G404" i="3" s="1"/>
  <c r="O404" i="3" s="1" a="1"/>
  <c r="O404" i="3" s="1"/>
  <c r="I395" i="3" a="1"/>
  <c r="I395" i="3" s="1"/>
  <c r="F400" i="3" a="1"/>
  <c r="F400" i="3" s="1"/>
  <c r="F392" i="3" a="1"/>
  <c r="F392" i="3" s="1"/>
  <c r="E395" i="3" a="1"/>
  <c r="E395" i="3" s="1"/>
  <c r="B398" i="3" a="1"/>
  <c r="B398" i="3" s="1"/>
  <c r="B390" i="3" a="1"/>
  <c r="B390" i="3" s="1"/>
  <c r="X397" i="3" a="1"/>
  <c r="X397" i="3" s="1"/>
  <c r="W400" i="3" a="1"/>
  <c r="W400" i="3" s="1"/>
  <c r="W392" i="3" a="1"/>
  <c r="W392" i="3" s="1"/>
  <c r="T400" i="3" a="1"/>
  <c r="T400" i="3" s="1"/>
  <c r="T392" i="3" a="1"/>
  <c r="T392" i="3" s="1"/>
  <c r="S395" i="3" a="1"/>
  <c r="S395" i="3" s="1"/>
  <c r="I402" i="3" a="1"/>
  <c r="I402" i="3" s="1"/>
  <c r="I394" i="3" a="1"/>
  <c r="I394" i="3" s="1"/>
  <c r="F399" i="3" a="1"/>
  <c r="F399" i="3" s="1"/>
  <c r="F391" i="3" a="1"/>
  <c r="F391" i="3" s="1"/>
  <c r="E402" i="3" a="1"/>
  <c r="E402" i="3" s="1"/>
  <c r="E394" i="3" a="1"/>
  <c r="E394" i="3" s="1"/>
  <c r="B397" i="3" a="1"/>
  <c r="B397" i="3" s="1"/>
  <c r="X396" i="3" a="1"/>
  <c r="X396" i="3" s="1"/>
  <c r="W399" i="3" a="1"/>
  <c r="W399" i="3" s="1"/>
  <c r="W391" i="3" a="1"/>
  <c r="W391" i="3" s="1"/>
  <c r="T399" i="3" a="1"/>
  <c r="T399" i="3" s="1"/>
  <c r="T391" i="3" a="1"/>
  <c r="T391" i="3" s="1"/>
  <c r="S402" i="3" a="1"/>
  <c r="S402" i="3" s="1"/>
  <c r="S394" i="3" a="1"/>
  <c r="S394" i="3" s="1"/>
  <c r="G395" i="3" a="1"/>
  <c r="G395" i="3" s="1"/>
  <c r="M395" i="3" s="1" a="1"/>
  <c r="M395" i="3" s="1"/>
  <c r="G393" i="3" a="1"/>
  <c r="G393" i="3" s="1"/>
  <c r="K393" i="3" s="1" a="1"/>
  <c r="K393" i="3" s="1"/>
  <c r="I401" i="3" a="1"/>
  <c r="I401" i="3" s="1"/>
  <c r="I393" i="3" a="1"/>
  <c r="I393" i="3" s="1"/>
  <c r="F398" i="3" a="1"/>
  <c r="F398" i="3" s="1"/>
  <c r="F390" i="3" a="1"/>
  <c r="F390" i="3" s="1"/>
  <c r="E401" i="3" a="1"/>
  <c r="E401" i="3" s="1"/>
  <c r="E393" i="3" a="1"/>
  <c r="E393" i="3" s="1"/>
  <c r="B396" i="3" a="1"/>
  <c r="B396" i="3" s="1"/>
  <c r="X395" i="3" a="1"/>
  <c r="X395" i="3" s="1"/>
  <c r="W398" i="3" a="1"/>
  <c r="W398" i="3" s="1"/>
  <c r="W390" i="3" a="1"/>
  <c r="W390" i="3" s="1"/>
  <c r="T398" i="3" a="1"/>
  <c r="T398" i="3" s="1"/>
  <c r="T390" i="3" a="1"/>
  <c r="T390" i="3" s="1"/>
  <c r="S401" i="3" a="1"/>
  <c r="S401" i="3" s="1"/>
  <c r="S393" i="3" a="1"/>
  <c r="S393" i="3" s="1"/>
  <c r="G401" i="3" a="1"/>
  <c r="G401" i="3" s="1"/>
  <c r="K401" i="3" s="1" a="1"/>
  <c r="K401" i="3" s="1"/>
  <c r="G390" i="3" a="1"/>
  <c r="G390" i="3" s="1"/>
  <c r="L390" i="3" s="1" a="1"/>
  <c r="L390" i="3" s="1"/>
  <c r="I400" i="3" a="1"/>
  <c r="I400" i="3" s="1"/>
  <c r="I392" i="3" a="1"/>
  <c r="I392" i="3" s="1"/>
  <c r="F397" i="3" a="1"/>
  <c r="F397" i="3" s="1"/>
  <c r="AD397" i="3" s="1"/>
  <c r="E400" i="3" a="1"/>
  <c r="E400" i="3" s="1"/>
  <c r="E392" i="3" a="1"/>
  <c r="E392" i="3" s="1"/>
  <c r="B395" i="3" a="1"/>
  <c r="B395" i="3" s="1"/>
  <c r="X402" i="3" a="1"/>
  <c r="X402" i="3" s="1"/>
  <c r="X394" i="3" a="1"/>
  <c r="X394" i="3" s="1"/>
  <c r="W397" i="3" a="1"/>
  <c r="W397" i="3" s="1"/>
  <c r="T397" i="3" a="1"/>
  <c r="T397" i="3" s="1"/>
  <c r="S400" i="3" a="1"/>
  <c r="S400" i="3" s="1"/>
  <c r="S392" i="3" a="1"/>
  <c r="S392" i="3" s="1"/>
  <c r="I399" i="3" a="1"/>
  <c r="I399" i="3" s="1"/>
  <c r="I391" i="3" a="1"/>
  <c r="I391" i="3" s="1"/>
  <c r="F396" i="3" a="1"/>
  <c r="F396" i="3" s="1"/>
  <c r="E399" i="3" a="1"/>
  <c r="E399" i="3" s="1"/>
  <c r="E391" i="3" a="1"/>
  <c r="E391" i="3" s="1"/>
  <c r="B402" i="3" a="1"/>
  <c r="B402" i="3" s="1"/>
  <c r="B394" i="3" a="1"/>
  <c r="B394" i="3" s="1"/>
  <c r="X401" i="3" a="1"/>
  <c r="X401" i="3" s="1"/>
  <c r="X393" i="3" a="1"/>
  <c r="X393" i="3" s="1"/>
  <c r="W396" i="3" a="1"/>
  <c r="W396" i="3" s="1"/>
  <c r="T396" i="3" a="1"/>
  <c r="T396" i="3" s="1"/>
  <c r="S399" i="3" a="1"/>
  <c r="S399" i="3" s="1"/>
  <c r="S391" i="3" a="1"/>
  <c r="S391" i="3" s="1"/>
  <c r="G400" i="3" a="1"/>
  <c r="G400" i="3" s="1"/>
  <c r="N400" i="3" s="1" a="1"/>
  <c r="N400" i="3" s="1"/>
  <c r="G392" i="3" a="1"/>
  <c r="G392" i="3" s="1"/>
  <c r="N392" i="3" s="1" a="1"/>
  <c r="N392" i="3" s="1"/>
  <c r="I398" i="3" a="1"/>
  <c r="I398" i="3" s="1"/>
  <c r="I390" i="3" a="1"/>
  <c r="I390" i="3" s="1"/>
  <c r="F395" i="3" a="1"/>
  <c r="F395" i="3" s="1"/>
  <c r="E398" i="3" a="1"/>
  <c r="E398" i="3" s="1"/>
  <c r="E390" i="3" a="1"/>
  <c r="E390" i="3" s="1"/>
  <c r="B401" i="3" a="1"/>
  <c r="B401" i="3" s="1"/>
  <c r="B393" i="3" a="1"/>
  <c r="B393" i="3" s="1"/>
  <c r="X400" i="3" a="1"/>
  <c r="X400" i="3" s="1"/>
  <c r="X392" i="3" a="1"/>
  <c r="X392" i="3" s="1"/>
  <c r="W395" i="3" a="1"/>
  <c r="W395" i="3" s="1"/>
  <c r="T395" i="3" a="1"/>
  <c r="T395" i="3" s="1"/>
  <c r="S398" i="3" a="1"/>
  <c r="S398" i="3" s="1"/>
  <c r="S390" i="3" a="1"/>
  <c r="S390" i="3" s="1"/>
  <c r="G399" i="3" a="1"/>
  <c r="G399" i="3" s="1"/>
  <c r="N399" i="3" s="1" a="1"/>
  <c r="N399" i="3" s="1"/>
  <c r="G391" i="3" a="1"/>
  <c r="G391" i="3" s="1"/>
  <c r="N391" i="3" s="1" a="1"/>
  <c r="N391" i="3" s="1"/>
  <c r="I397" i="3" a="1"/>
  <c r="I397" i="3" s="1"/>
  <c r="F402" i="3" a="1"/>
  <c r="F402" i="3" s="1"/>
  <c r="F394" i="3" a="1"/>
  <c r="F394" i="3" s="1"/>
  <c r="E397" i="3" a="1"/>
  <c r="E397" i="3" s="1"/>
  <c r="B400" i="3" a="1"/>
  <c r="B400" i="3" s="1"/>
  <c r="B392" i="3" a="1"/>
  <c r="B392" i="3" s="1"/>
  <c r="X399" i="3" a="1"/>
  <c r="X399" i="3" s="1"/>
  <c r="Y399" i="3" s="1"/>
  <c r="Z399" i="3" s="1"/>
  <c r="X391" i="3" a="1"/>
  <c r="X391" i="3" s="1"/>
  <c r="W402" i="3" a="1"/>
  <c r="W402" i="3" s="1"/>
  <c r="W394" i="3" a="1"/>
  <c r="W394" i="3" s="1"/>
  <c r="T402" i="3" a="1"/>
  <c r="T402" i="3" s="1"/>
  <c r="T394" i="3" a="1"/>
  <c r="T394" i="3" s="1"/>
  <c r="S397" i="3" a="1"/>
  <c r="S397" i="3" s="1"/>
  <c r="G398" i="3" a="1"/>
  <c r="G398" i="3" s="1"/>
  <c r="L398" i="3" s="1" a="1"/>
  <c r="L398" i="3" s="1"/>
  <c r="I396" i="3" a="1"/>
  <c r="I396" i="3" s="1"/>
  <c r="F401" i="3" a="1"/>
  <c r="F401" i="3" s="1"/>
  <c r="F393" i="3" a="1"/>
  <c r="F393" i="3" s="1"/>
  <c r="E396" i="3" a="1"/>
  <c r="E396" i="3" s="1"/>
  <c r="B399" i="3" a="1"/>
  <c r="B399" i="3" s="1"/>
  <c r="B391" i="3" a="1"/>
  <c r="B391" i="3" s="1"/>
  <c r="X398" i="3" a="1"/>
  <c r="X398" i="3" s="1"/>
  <c r="X390" i="3" a="1"/>
  <c r="X390" i="3" s="1"/>
  <c r="W401" i="3" a="1"/>
  <c r="W401" i="3" s="1"/>
  <c r="W393" i="3" a="1"/>
  <c r="W393" i="3" s="1"/>
  <c r="T401" i="3" a="1"/>
  <c r="T401" i="3" s="1"/>
  <c r="T393" i="3" a="1"/>
  <c r="T393" i="3" s="1"/>
  <c r="S396" i="3" a="1"/>
  <c r="S396" i="3" s="1"/>
  <c r="G397" i="3" a="1"/>
  <c r="G397" i="3" s="1"/>
  <c r="O397" i="3" s="1" a="1"/>
  <c r="O397" i="3" s="1"/>
  <c r="G396" i="3" a="1"/>
  <c r="G396" i="3" s="1"/>
  <c r="J396" i="3" s="1" a="1"/>
  <c r="J396" i="3" s="1"/>
  <c r="G402" i="3" a="1"/>
  <c r="G402" i="3" s="1"/>
  <c r="M402" i="3" s="1" a="1"/>
  <c r="M402" i="3" s="1"/>
  <c r="G394" i="3" a="1"/>
  <c r="G394" i="3" s="1"/>
  <c r="L394" i="3" s="1" a="1"/>
  <c r="L394" i="3" s="1"/>
  <c r="E389" i="3" a="1"/>
  <c r="E389" i="3" s="1"/>
  <c r="S389" i="3" a="1"/>
  <c r="S389" i="3" s="1"/>
  <c r="W389" i="3" a="1"/>
  <c r="W389" i="3" s="1"/>
  <c r="X389" i="3" a="1"/>
  <c r="X389" i="3" s="1"/>
  <c r="F389" i="3" a="1"/>
  <c r="F389" i="3" s="1"/>
  <c r="B389" i="3" a="1"/>
  <c r="B389" i="3" s="1"/>
  <c r="T389" i="3" a="1"/>
  <c r="T389" i="3" s="1"/>
  <c r="G389" i="3" a="1"/>
  <c r="G389" i="3" s="1"/>
  <c r="J389" i="3" s="1" a="1"/>
  <c r="J389" i="3" s="1"/>
  <c r="I389" i="3" a="1"/>
  <c r="I389" i="3" s="1"/>
  <c r="E387" i="3" a="1"/>
  <c r="E387" i="3" s="1"/>
  <c r="T388" i="3" a="1"/>
  <c r="T388" i="3" s="1"/>
  <c r="F388" i="3" a="1"/>
  <c r="F388" i="3" s="1"/>
  <c r="T387" i="3" a="1"/>
  <c r="T387" i="3" s="1"/>
  <c r="G387" i="3" a="1"/>
  <c r="G387" i="3" s="1"/>
  <c r="J387" i="3" s="1" a="1"/>
  <c r="J387" i="3" s="1"/>
  <c r="F387" i="3" a="1"/>
  <c r="F387" i="3" s="1"/>
  <c r="W388" i="3" a="1"/>
  <c r="W388" i="3" s="1"/>
  <c r="X387" i="3" a="1"/>
  <c r="X387" i="3" s="1"/>
  <c r="W387" i="3" a="1"/>
  <c r="W387" i="3" s="1"/>
  <c r="X388" i="3" a="1"/>
  <c r="X388" i="3" s="1"/>
  <c r="B388" i="3" a="1"/>
  <c r="B388" i="3" s="1"/>
  <c r="I388" i="3" a="1"/>
  <c r="I388" i="3" s="1"/>
  <c r="I387" i="3" a="1"/>
  <c r="I387" i="3" s="1"/>
  <c r="B387" i="3" a="1"/>
  <c r="B387" i="3" s="1"/>
  <c r="S388" i="3" a="1"/>
  <c r="S388" i="3" s="1"/>
  <c r="S387" i="3" a="1"/>
  <c r="S387" i="3" s="1"/>
  <c r="G388" i="3" a="1"/>
  <c r="G388" i="3" s="1"/>
  <c r="J388" i="3" s="1" a="1"/>
  <c r="J388" i="3" s="1"/>
  <c r="E388" i="3" a="1"/>
  <c r="E388" i="3" s="1"/>
  <c r="I382" i="3" a="1"/>
  <c r="I382" i="3" s="1"/>
  <c r="F379" i="3" a="1"/>
  <c r="F379" i="3" s="1"/>
  <c r="E386" i="3" a="1"/>
  <c r="E386" i="3" s="1"/>
  <c r="E378" i="3" a="1"/>
  <c r="E378" i="3" s="1"/>
  <c r="B385" i="3" a="1"/>
  <c r="B385" i="3" s="1"/>
  <c r="X381" i="3" a="1"/>
  <c r="X381" i="3" s="1"/>
  <c r="W380" i="3" a="1"/>
  <c r="W380" i="3" s="1"/>
  <c r="T384" i="3" a="1"/>
  <c r="T384" i="3" s="1"/>
  <c r="S383" i="3" a="1"/>
  <c r="S383" i="3" s="1"/>
  <c r="G380" i="3" a="1"/>
  <c r="G380" i="3" s="1"/>
  <c r="J380" i="3" s="1" a="1"/>
  <c r="J380" i="3" s="1"/>
  <c r="W378" i="3" a="1"/>
  <c r="W378" i="3" s="1"/>
  <c r="G386" i="3" a="1"/>
  <c r="G386" i="3" s="1"/>
  <c r="L386" i="3" s="1" a="1"/>
  <c r="L386" i="3" s="1"/>
  <c r="I381" i="3" a="1"/>
  <c r="I381" i="3" s="1"/>
  <c r="F386" i="3" a="1"/>
  <c r="F386" i="3" s="1"/>
  <c r="F378" i="3" a="1"/>
  <c r="F378" i="3" s="1"/>
  <c r="E385" i="3" a="1"/>
  <c r="E385" i="3" s="1"/>
  <c r="B384" i="3" a="1"/>
  <c r="B384" i="3" s="1"/>
  <c r="X380" i="3" a="1"/>
  <c r="X380" i="3" s="1"/>
  <c r="W379" i="3" a="1"/>
  <c r="W379" i="3" s="1"/>
  <c r="T383" i="3" a="1"/>
  <c r="T383" i="3" s="1"/>
  <c r="S382" i="3" a="1"/>
  <c r="S382" i="3" s="1"/>
  <c r="G379" i="3" a="1"/>
  <c r="G379" i="3" s="1"/>
  <c r="N379" i="3" s="1" a="1"/>
  <c r="N379" i="3" s="1"/>
  <c r="F385" i="3" a="1"/>
  <c r="F385" i="3" s="1"/>
  <c r="E384" i="3" a="1"/>
  <c r="E384" i="3" s="1"/>
  <c r="B383" i="3" a="1"/>
  <c r="B383" i="3" s="1"/>
  <c r="X379" i="3" a="1"/>
  <c r="X379" i="3" s="1"/>
  <c r="W386" i="3" a="1"/>
  <c r="W386" i="3" s="1"/>
  <c r="I380" i="3" a="1"/>
  <c r="I380" i="3" s="1"/>
  <c r="I379" i="3" a="1"/>
  <c r="I379" i="3" s="1"/>
  <c r="F384" i="3" a="1"/>
  <c r="F384" i="3" s="1"/>
  <c r="E383" i="3" a="1"/>
  <c r="E383" i="3" s="1"/>
  <c r="B382" i="3" a="1"/>
  <c r="B382" i="3" s="1"/>
  <c r="X386" i="3" a="1"/>
  <c r="X386" i="3" s="1"/>
  <c r="X378" i="3" a="1"/>
  <c r="X378" i="3" s="1"/>
  <c r="W385" i="3" a="1"/>
  <c r="W385" i="3" s="1"/>
  <c r="T381" i="3" a="1"/>
  <c r="T381" i="3" s="1"/>
  <c r="S380" i="3" a="1"/>
  <c r="S380" i="3" s="1"/>
  <c r="G385" i="3" a="1"/>
  <c r="G385" i="3" s="1"/>
  <c r="O385" i="3" s="1" a="1"/>
  <c r="O385" i="3" s="1"/>
  <c r="S379" i="3" a="1"/>
  <c r="S379" i="3" s="1"/>
  <c r="G378" i="3" a="1"/>
  <c r="G378" i="3" s="1"/>
  <c r="J378" i="3" s="1" a="1"/>
  <c r="J378" i="3" s="1"/>
  <c r="I386" i="3" a="1"/>
  <c r="I386" i="3" s="1"/>
  <c r="I378" i="3" a="1"/>
  <c r="I378" i="3" s="1"/>
  <c r="F383" i="3" a="1"/>
  <c r="F383" i="3" s="1"/>
  <c r="E382" i="3" a="1"/>
  <c r="E382" i="3" s="1"/>
  <c r="B381" i="3" a="1"/>
  <c r="B381" i="3" s="1"/>
  <c r="X385" i="3" a="1"/>
  <c r="X385" i="3" s="1"/>
  <c r="W384" i="3" a="1"/>
  <c r="W384" i="3" s="1"/>
  <c r="T380" i="3" a="1"/>
  <c r="T380" i="3" s="1"/>
  <c r="G384" i="3" a="1"/>
  <c r="G384" i="3" s="1"/>
  <c r="N384" i="3" s="1" a="1"/>
  <c r="N384" i="3" s="1"/>
  <c r="T378" i="3" a="1"/>
  <c r="T378" i="3" s="1"/>
  <c r="G382" i="3" a="1"/>
  <c r="G382" i="3" s="1"/>
  <c r="L382" i="3" s="1" a="1"/>
  <c r="L382" i="3" s="1"/>
  <c r="G381" i="3" a="1"/>
  <c r="G381" i="3" s="1"/>
  <c r="L381" i="3" s="1" a="1"/>
  <c r="L381" i="3" s="1"/>
  <c r="T382" i="3" a="1"/>
  <c r="T382" i="3" s="1"/>
  <c r="I385" i="3" a="1"/>
  <c r="I385" i="3" s="1"/>
  <c r="F382" i="3" a="1"/>
  <c r="F382" i="3" s="1"/>
  <c r="E381" i="3" a="1"/>
  <c r="E381" i="3" s="1"/>
  <c r="B380" i="3" a="1"/>
  <c r="B380" i="3" s="1"/>
  <c r="X384" i="3" a="1"/>
  <c r="X384" i="3" s="1"/>
  <c r="W383" i="3" a="1"/>
  <c r="W383" i="3" s="1"/>
  <c r="T379" i="3" a="1"/>
  <c r="T379" i="3" s="1"/>
  <c r="S386" i="3" a="1"/>
  <c r="S386" i="3" s="1"/>
  <c r="S378" i="3" a="1"/>
  <c r="S378" i="3" s="1"/>
  <c r="G383" i="3" a="1"/>
  <c r="G383" i="3" s="1"/>
  <c r="M383" i="3" s="1" a="1"/>
  <c r="M383" i="3" s="1"/>
  <c r="F381" i="3" a="1"/>
  <c r="F381" i="3" s="1"/>
  <c r="E380" i="3" a="1"/>
  <c r="E380" i="3" s="1"/>
  <c r="B379" i="3" a="1"/>
  <c r="B379" i="3" s="1"/>
  <c r="W382" i="3" a="1"/>
  <c r="W382" i="3" s="1"/>
  <c r="I384" i="3" a="1"/>
  <c r="I384" i="3" s="1"/>
  <c r="X383" i="3" a="1"/>
  <c r="X383" i="3" s="1"/>
  <c r="T386" i="3" a="1"/>
  <c r="T386" i="3" s="1"/>
  <c r="AC386" i="3" s="1"/>
  <c r="S385" i="3" a="1"/>
  <c r="S385" i="3" s="1"/>
  <c r="I383" i="3" a="1"/>
  <c r="I383" i="3" s="1"/>
  <c r="F380" i="3" a="1"/>
  <c r="F380" i="3" s="1"/>
  <c r="E379" i="3" a="1"/>
  <c r="E379" i="3" s="1"/>
  <c r="B386" i="3" a="1"/>
  <c r="B386" i="3" s="1"/>
  <c r="B378" i="3" a="1"/>
  <c r="B378" i="3" s="1"/>
  <c r="X382" i="3" a="1"/>
  <c r="X382" i="3" s="1"/>
  <c r="W381" i="3" a="1"/>
  <c r="W381" i="3" s="1"/>
  <c r="Y381" i="3" s="1"/>
  <c r="T385" i="3" a="1"/>
  <c r="T385" i="3" s="1"/>
  <c r="S384" i="3" a="1"/>
  <c r="S384" i="3" s="1"/>
  <c r="U384" i="3" s="1"/>
  <c r="S381" i="3" a="1"/>
  <c r="S381" i="3" s="1"/>
  <c r="AD379" i="3"/>
  <c r="E356" i="3" a="1"/>
  <c r="E356" i="3" s="1"/>
  <c r="I370" i="3" a="1"/>
  <c r="I370" i="3" s="1"/>
  <c r="I362" i="3" a="1"/>
  <c r="I362" i="3" s="1"/>
  <c r="F377" i="3" a="1"/>
  <c r="F377" i="3" s="1"/>
  <c r="F369" i="3" a="1"/>
  <c r="F369" i="3" s="1"/>
  <c r="F361" i="3" a="1"/>
  <c r="F361" i="3" s="1"/>
  <c r="E372" i="3" a="1"/>
  <c r="E372" i="3" s="1"/>
  <c r="E364" i="3" a="1"/>
  <c r="E364" i="3" s="1"/>
  <c r="B375" i="3" a="1"/>
  <c r="B375" i="3" s="1"/>
  <c r="B367" i="3" a="1"/>
  <c r="B367" i="3" s="1"/>
  <c r="B359" i="3" a="1"/>
  <c r="B359" i="3" s="1"/>
  <c r="X377" i="3" a="1"/>
  <c r="X377" i="3" s="1"/>
  <c r="X369" i="3" a="1"/>
  <c r="X369" i="3" s="1"/>
  <c r="X361" i="3" a="1"/>
  <c r="X361" i="3" s="1"/>
  <c r="W372" i="3" a="1"/>
  <c r="W372" i="3" s="1"/>
  <c r="W364" i="3" a="1"/>
  <c r="W364" i="3" s="1"/>
  <c r="T376" i="3" a="1"/>
  <c r="T376" i="3" s="1"/>
  <c r="T368" i="3" a="1"/>
  <c r="T368" i="3" s="1"/>
  <c r="T360" i="3" a="1"/>
  <c r="T360" i="3" s="1"/>
  <c r="S371" i="3" a="1"/>
  <c r="S371" i="3" s="1"/>
  <c r="S363" i="3" a="1"/>
  <c r="S363" i="3" s="1"/>
  <c r="G372" i="3" a="1"/>
  <c r="G372" i="3" s="1"/>
  <c r="L372" i="3" s="1" a="1"/>
  <c r="L372" i="3" s="1"/>
  <c r="G364" i="3" a="1"/>
  <c r="G364" i="3" s="1"/>
  <c r="L364" i="3" s="1" a="1"/>
  <c r="L364" i="3" s="1"/>
  <c r="S375" i="3" a="1"/>
  <c r="S375" i="3" s="1"/>
  <c r="G376" i="3" a="1"/>
  <c r="G376" i="3" s="1"/>
  <c r="N376" i="3" s="1" a="1"/>
  <c r="N376" i="3" s="1"/>
  <c r="G366" i="3" a="1"/>
  <c r="G366" i="3" s="1"/>
  <c r="L366" i="3" s="1" a="1"/>
  <c r="L366" i="3" s="1"/>
  <c r="G365" i="3" a="1"/>
  <c r="G365" i="3" s="1"/>
  <c r="O365" i="3" s="1" a="1"/>
  <c r="O365" i="3" s="1"/>
  <c r="I377" i="3" a="1"/>
  <c r="I377" i="3" s="1"/>
  <c r="I369" i="3" a="1"/>
  <c r="I369" i="3" s="1"/>
  <c r="I361" i="3" a="1"/>
  <c r="I361" i="3" s="1"/>
  <c r="F376" i="3" a="1"/>
  <c r="F376" i="3" s="1"/>
  <c r="F368" i="3" a="1"/>
  <c r="F368" i="3" s="1"/>
  <c r="F360" i="3" a="1"/>
  <c r="F360" i="3" s="1"/>
  <c r="E371" i="3" a="1"/>
  <c r="E371" i="3" s="1"/>
  <c r="E363" i="3" a="1"/>
  <c r="E363" i="3" s="1"/>
  <c r="B374" i="3" a="1"/>
  <c r="B374" i="3" s="1"/>
  <c r="B366" i="3" a="1"/>
  <c r="B366" i="3" s="1"/>
  <c r="B358" i="3" a="1"/>
  <c r="B358" i="3" s="1"/>
  <c r="X376" i="3" a="1"/>
  <c r="X376" i="3" s="1"/>
  <c r="X368" i="3" a="1"/>
  <c r="X368" i="3" s="1"/>
  <c r="X360" i="3" a="1"/>
  <c r="X360" i="3" s="1"/>
  <c r="W371" i="3" a="1"/>
  <c r="W371" i="3" s="1"/>
  <c r="W363" i="3" a="1"/>
  <c r="W363" i="3" s="1"/>
  <c r="T375" i="3" a="1"/>
  <c r="T375" i="3" s="1"/>
  <c r="T367" i="3" a="1"/>
  <c r="T367" i="3" s="1"/>
  <c r="T359" i="3" a="1"/>
  <c r="T359" i="3" s="1"/>
  <c r="S370" i="3" a="1"/>
  <c r="S370" i="3" s="1"/>
  <c r="S362" i="3" a="1"/>
  <c r="S362" i="3" s="1"/>
  <c r="G371" i="3" a="1"/>
  <c r="G371" i="3" s="1"/>
  <c r="M371" i="3" s="1" a="1"/>
  <c r="M371" i="3" s="1"/>
  <c r="G363" i="3" a="1"/>
  <c r="G363" i="3" s="1"/>
  <c r="M363" i="3" s="1" a="1"/>
  <c r="M363" i="3" s="1"/>
  <c r="G368" i="3" a="1"/>
  <c r="G368" i="3" s="1"/>
  <c r="N368" i="3" s="1" a="1"/>
  <c r="N368" i="3" s="1"/>
  <c r="B377" i="3" a="1"/>
  <c r="B377" i="3" s="1"/>
  <c r="I376" i="3" a="1"/>
  <c r="I376" i="3" s="1"/>
  <c r="I368" i="3" a="1"/>
  <c r="I368" i="3" s="1"/>
  <c r="I360" i="3" a="1"/>
  <c r="I360" i="3" s="1"/>
  <c r="F375" i="3" a="1"/>
  <c r="F375" i="3" s="1"/>
  <c r="F367" i="3" a="1"/>
  <c r="F367" i="3" s="1"/>
  <c r="F359" i="3" a="1"/>
  <c r="F359" i="3" s="1"/>
  <c r="E370" i="3" a="1"/>
  <c r="E370" i="3" s="1"/>
  <c r="E362" i="3" a="1"/>
  <c r="E362" i="3" s="1"/>
  <c r="B373" i="3" a="1"/>
  <c r="B373" i="3" s="1"/>
  <c r="B365" i="3" a="1"/>
  <c r="B365" i="3" s="1"/>
  <c r="X375" i="3" a="1"/>
  <c r="X375" i="3" s="1"/>
  <c r="X367" i="3" a="1"/>
  <c r="X367" i="3" s="1"/>
  <c r="X359" i="3" a="1"/>
  <c r="X359" i="3" s="1"/>
  <c r="W370" i="3" a="1"/>
  <c r="W370" i="3" s="1"/>
  <c r="W362" i="3" a="1"/>
  <c r="W362" i="3" s="1"/>
  <c r="T374" i="3" a="1"/>
  <c r="T374" i="3" s="1"/>
  <c r="T366" i="3" a="1"/>
  <c r="T366" i="3" s="1"/>
  <c r="T358" i="3" a="1"/>
  <c r="T358" i="3" s="1"/>
  <c r="S377" i="3" a="1"/>
  <c r="S377" i="3" s="1"/>
  <c r="S369" i="3" a="1"/>
  <c r="S369" i="3" s="1"/>
  <c r="S361" i="3" a="1"/>
  <c r="S361" i="3" s="1"/>
  <c r="G370" i="3" a="1"/>
  <c r="G370" i="3" s="1"/>
  <c r="L370" i="3" s="1" a="1"/>
  <c r="L370" i="3" s="1"/>
  <c r="G362" i="3" a="1"/>
  <c r="G362" i="3" s="1"/>
  <c r="K362" i="3" s="1" a="1"/>
  <c r="K362" i="3" s="1"/>
  <c r="S360" i="3" a="1"/>
  <c r="S360" i="3" s="1"/>
  <c r="G377" i="3" a="1"/>
  <c r="G377" i="3" s="1"/>
  <c r="K377" i="3" s="1" a="1"/>
  <c r="K377" i="3" s="1"/>
  <c r="S359" i="3" a="1"/>
  <c r="S359" i="3" s="1"/>
  <c r="U359" i="3" s="1"/>
  <c r="G360" i="3" a="1"/>
  <c r="G360" i="3" s="1"/>
  <c r="N360" i="3" s="1" a="1"/>
  <c r="N360" i="3" s="1"/>
  <c r="F363" i="3" a="1"/>
  <c r="F363" i="3" s="1"/>
  <c r="E358" i="3" a="1"/>
  <c r="E358" i="3" s="1"/>
  <c r="G374" i="3" a="1"/>
  <c r="G374" i="3" s="1"/>
  <c r="L374" i="3" s="1" a="1"/>
  <c r="L374" i="3" s="1"/>
  <c r="I375" i="3" a="1"/>
  <c r="I375" i="3" s="1"/>
  <c r="I367" i="3" a="1"/>
  <c r="I367" i="3" s="1"/>
  <c r="I359" i="3" a="1"/>
  <c r="I359" i="3" s="1"/>
  <c r="F374" i="3" a="1"/>
  <c r="F374" i="3" s="1"/>
  <c r="F366" i="3" a="1"/>
  <c r="F366" i="3" s="1"/>
  <c r="F358" i="3" a="1"/>
  <c r="F358" i="3" s="1"/>
  <c r="E377" i="3" a="1"/>
  <c r="E377" i="3" s="1"/>
  <c r="E369" i="3" a="1"/>
  <c r="E369" i="3" s="1"/>
  <c r="E361" i="3" a="1"/>
  <c r="E361" i="3" s="1"/>
  <c r="B372" i="3" a="1"/>
  <c r="B372" i="3" s="1"/>
  <c r="B364" i="3" a="1"/>
  <c r="B364" i="3" s="1"/>
  <c r="X374" i="3" a="1"/>
  <c r="X374" i="3" s="1"/>
  <c r="X366" i="3" a="1"/>
  <c r="X366" i="3" s="1"/>
  <c r="X358" i="3" a="1"/>
  <c r="X358" i="3" s="1"/>
  <c r="W377" i="3" a="1"/>
  <c r="W377" i="3" s="1"/>
  <c r="W369" i="3" a="1"/>
  <c r="W369" i="3" s="1"/>
  <c r="W361" i="3" a="1"/>
  <c r="W361" i="3" s="1"/>
  <c r="T373" i="3" a="1"/>
  <c r="T373" i="3" s="1"/>
  <c r="T365" i="3" a="1"/>
  <c r="T365" i="3" s="1"/>
  <c r="S376" i="3" a="1"/>
  <c r="S376" i="3" s="1"/>
  <c r="S368" i="3" a="1"/>
  <c r="S368" i="3" s="1"/>
  <c r="G369" i="3" a="1"/>
  <c r="G369" i="3" s="1"/>
  <c r="K369" i="3" s="1" a="1"/>
  <c r="K369" i="3" s="1"/>
  <c r="G361" i="3" a="1"/>
  <c r="G361" i="3" s="1"/>
  <c r="K361" i="3" s="1" a="1"/>
  <c r="K361" i="3" s="1"/>
  <c r="T364" i="3" a="1"/>
  <c r="T364" i="3" s="1"/>
  <c r="S367" i="3" a="1"/>
  <c r="S367" i="3" s="1"/>
  <c r="F371" i="3" a="1"/>
  <c r="F371" i="3" s="1"/>
  <c r="E366" i="3" a="1"/>
  <c r="E366" i="3" s="1"/>
  <c r="B361" i="3" a="1"/>
  <c r="B361" i="3" s="1"/>
  <c r="X363" i="3" a="1"/>
  <c r="X363" i="3" s="1"/>
  <c r="W374" i="3" a="1"/>
  <c r="W374" i="3" s="1"/>
  <c r="G373" i="3" a="1"/>
  <c r="G373" i="3" s="1"/>
  <c r="O373" i="3" s="1" a="1"/>
  <c r="O373" i="3" s="1"/>
  <c r="I374" i="3" a="1"/>
  <c r="I374" i="3" s="1"/>
  <c r="I366" i="3" a="1"/>
  <c r="I366" i="3" s="1"/>
  <c r="I358" i="3" a="1"/>
  <c r="I358" i="3" s="1"/>
  <c r="F373" i="3" a="1"/>
  <c r="F373" i="3" s="1"/>
  <c r="F365" i="3" a="1"/>
  <c r="F365" i="3" s="1"/>
  <c r="E376" i="3" a="1"/>
  <c r="E376" i="3" s="1"/>
  <c r="E368" i="3" a="1"/>
  <c r="E368" i="3" s="1"/>
  <c r="E360" i="3" a="1"/>
  <c r="E360" i="3" s="1"/>
  <c r="B371" i="3" a="1"/>
  <c r="B371" i="3" s="1"/>
  <c r="B363" i="3" a="1"/>
  <c r="B363" i="3" s="1"/>
  <c r="X373" i="3" a="1"/>
  <c r="X373" i="3" s="1"/>
  <c r="X365" i="3" a="1"/>
  <c r="X365" i="3" s="1"/>
  <c r="W376" i="3" a="1"/>
  <c r="W376" i="3" s="1"/>
  <c r="W368" i="3" a="1"/>
  <c r="W368" i="3" s="1"/>
  <c r="W360" i="3" a="1"/>
  <c r="W360" i="3" s="1"/>
  <c r="T372" i="3" a="1"/>
  <c r="T372" i="3" s="1"/>
  <c r="B369" i="3" a="1"/>
  <c r="B369" i="3" s="1"/>
  <c r="W358" i="3" a="1"/>
  <c r="W358" i="3" s="1"/>
  <c r="T362" i="3" a="1"/>
  <c r="T362" i="3" s="1"/>
  <c r="S373" i="3" a="1"/>
  <c r="S373" i="3" s="1"/>
  <c r="I373" i="3" a="1"/>
  <c r="I373" i="3" s="1"/>
  <c r="I365" i="3" a="1"/>
  <c r="I365" i="3" s="1"/>
  <c r="F372" i="3" a="1"/>
  <c r="F372" i="3" s="1"/>
  <c r="F364" i="3" a="1"/>
  <c r="F364" i="3" s="1"/>
  <c r="E375" i="3" a="1"/>
  <c r="E375" i="3" s="1"/>
  <c r="E367" i="3" a="1"/>
  <c r="E367" i="3" s="1"/>
  <c r="E359" i="3" a="1"/>
  <c r="E359" i="3" s="1"/>
  <c r="B370" i="3" a="1"/>
  <c r="B370" i="3" s="1"/>
  <c r="B362" i="3" a="1"/>
  <c r="B362" i="3" s="1"/>
  <c r="X372" i="3" a="1"/>
  <c r="X372" i="3" s="1"/>
  <c r="X364" i="3" a="1"/>
  <c r="X364" i="3" s="1"/>
  <c r="W375" i="3" a="1"/>
  <c r="W375" i="3" s="1"/>
  <c r="W367" i="3" a="1"/>
  <c r="W367" i="3" s="1"/>
  <c r="W359" i="3" a="1"/>
  <c r="W359" i="3" s="1"/>
  <c r="T371" i="3" a="1"/>
  <c r="T371" i="3" s="1"/>
  <c r="T363" i="3" a="1"/>
  <c r="T363" i="3" s="1"/>
  <c r="S374" i="3" a="1"/>
  <c r="S374" i="3" s="1"/>
  <c r="S366" i="3" a="1"/>
  <c r="S366" i="3" s="1"/>
  <c r="S358" i="3" a="1"/>
  <c r="S358" i="3" s="1"/>
  <c r="G375" i="3" a="1"/>
  <c r="G375" i="3" s="1"/>
  <c r="N375" i="3" s="1" a="1"/>
  <c r="N375" i="3" s="1"/>
  <c r="G367" i="3" a="1"/>
  <c r="G367" i="3" s="1"/>
  <c r="N367" i="3" s="1" a="1"/>
  <c r="N367" i="3" s="1"/>
  <c r="G359" i="3" a="1"/>
  <c r="G359" i="3" s="1"/>
  <c r="N359" i="3" s="1" a="1"/>
  <c r="N359" i="3" s="1"/>
  <c r="E374" i="3" a="1"/>
  <c r="E374" i="3" s="1"/>
  <c r="X371" i="3" a="1"/>
  <c r="X371" i="3" s="1"/>
  <c r="W366" i="3" a="1"/>
  <c r="W366" i="3" s="1"/>
  <c r="T370" i="3" a="1"/>
  <c r="T370" i="3" s="1"/>
  <c r="S365" i="3" a="1"/>
  <c r="S365" i="3" s="1"/>
  <c r="G358" i="3" a="1"/>
  <c r="G358" i="3" s="1"/>
  <c r="L358" i="3" s="1" a="1"/>
  <c r="L358" i="3" s="1"/>
  <c r="I372" i="3" a="1"/>
  <c r="I372" i="3" s="1"/>
  <c r="I364" i="3" a="1"/>
  <c r="I364" i="3" s="1"/>
  <c r="I371" i="3" a="1"/>
  <c r="I371" i="3" s="1"/>
  <c r="I363" i="3" a="1"/>
  <c r="I363" i="3" s="1"/>
  <c r="F370" i="3" a="1"/>
  <c r="F370" i="3" s="1"/>
  <c r="F362" i="3" a="1"/>
  <c r="F362" i="3" s="1"/>
  <c r="E373" i="3" a="1"/>
  <c r="E373" i="3" s="1"/>
  <c r="E365" i="3" a="1"/>
  <c r="E365" i="3" s="1"/>
  <c r="B376" i="3" a="1"/>
  <c r="B376" i="3" s="1"/>
  <c r="B368" i="3" a="1"/>
  <c r="B368" i="3" s="1"/>
  <c r="B360" i="3" a="1"/>
  <c r="B360" i="3" s="1"/>
  <c r="X370" i="3" a="1"/>
  <c r="X370" i="3" s="1"/>
  <c r="X362" i="3" a="1"/>
  <c r="X362" i="3" s="1"/>
  <c r="W373" i="3" a="1"/>
  <c r="W373" i="3" s="1"/>
  <c r="W365" i="3" a="1"/>
  <c r="W365" i="3" s="1"/>
  <c r="T377" i="3" a="1"/>
  <c r="T377" i="3" s="1"/>
  <c r="T369" i="3" a="1"/>
  <c r="T369" i="3" s="1"/>
  <c r="T361" i="3" a="1"/>
  <c r="T361" i="3" s="1"/>
  <c r="S372" i="3" a="1"/>
  <c r="S372" i="3" s="1"/>
  <c r="S364" i="3" a="1"/>
  <c r="S364" i="3" s="1"/>
  <c r="AD361" i="3"/>
  <c r="W356" i="3" a="1"/>
  <c r="W356" i="3" s="1"/>
  <c r="T355" i="3" a="1"/>
  <c r="T355" i="3" s="1"/>
  <c r="S356" i="3" a="1"/>
  <c r="S356" i="3" s="1"/>
  <c r="G357" i="3" a="1"/>
  <c r="G357" i="3" s="1"/>
  <c r="K357" i="3" s="1" a="1"/>
  <c r="K357" i="3" s="1"/>
  <c r="X357" i="3" a="1"/>
  <c r="X357" i="3" s="1"/>
  <c r="E354" i="3" a="1"/>
  <c r="E354" i="3" s="1"/>
  <c r="T357" i="3" a="1"/>
  <c r="T357" i="3" s="1"/>
  <c r="W354" i="3" a="1"/>
  <c r="W354" i="3" s="1"/>
  <c r="G355" i="3" a="1"/>
  <c r="G355" i="3" s="1"/>
  <c r="J355" i="3" s="1" a="1"/>
  <c r="J355" i="3" s="1"/>
  <c r="F355" i="3" a="1"/>
  <c r="F355" i="3" s="1"/>
  <c r="AC355" i="3" s="1"/>
  <c r="B357" i="3" a="1"/>
  <c r="B357" i="3" s="1"/>
  <c r="B356" i="3" a="1"/>
  <c r="B356" i="3" s="1"/>
  <c r="B355" i="3" a="1"/>
  <c r="B355" i="3" s="1"/>
  <c r="B354" i="3" a="1"/>
  <c r="B354" i="3" s="1"/>
  <c r="I354" i="3" a="1"/>
  <c r="I354" i="3" s="1"/>
  <c r="I355" i="3" a="1"/>
  <c r="I355" i="3" s="1"/>
  <c r="I357" i="3" a="1"/>
  <c r="I357" i="3" s="1"/>
  <c r="I356" i="3" a="1"/>
  <c r="I356" i="3" s="1"/>
  <c r="X355" i="3" a="1"/>
  <c r="X355" i="3" s="1"/>
  <c r="T354" i="3" a="1"/>
  <c r="T354" i="3" s="1"/>
  <c r="F357" i="3" a="1"/>
  <c r="F357" i="3" s="1"/>
  <c r="W357" i="3" a="1"/>
  <c r="W357" i="3" s="1"/>
  <c r="S355" i="3" a="1"/>
  <c r="S355" i="3" s="1"/>
  <c r="G356" i="3" a="1"/>
  <c r="G356" i="3" s="1"/>
  <c r="J356" i="3" s="1" a="1"/>
  <c r="J356" i="3" s="1"/>
  <c r="W355" i="3" a="1"/>
  <c r="W355" i="3" s="1"/>
  <c r="F354" i="3" a="1"/>
  <c r="F354" i="3" s="1"/>
  <c r="T356" i="3" a="1"/>
  <c r="T356" i="3" s="1"/>
  <c r="S357" i="3" a="1"/>
  <c r="S357" i="3" s="1"/>
  <c r="X356" i="3" a="1"/>
  <c r="X356" i="3" s="1"/>
  <c r="G354" i="3" a="1"/>
  <c r="G354" i="3" s="1"/>
  <c r="N354" i="3" s="1" a="1"/>
  <c r="N354" i="3" s="1"/>
  <c r="E355" i="3" a="1"/>
  <c r="E355" i="3" s="1"/>
  <c r="X354" i="3" a="1"/>
  <c r="X354" i="3" s="1"/>
  <c r="S354" i="3" a="1"/>
  <c r="S354" i="3" s="1"/>
  <c r="F356" i="3" a="1"/>
  <c r="F356" i="3" s="1"/>
  <c r="E357" i="3" a="1"/>
  <c r="E357" i="3" s="1"/>
  <c r="X353" i="3" a="1"/>
  <c r="X353" i="3" s="1"/>
  <c r="W353" i="3" a="1"/>
  <c r="W353" i="3" s="1"/>
  <c r="I353" i="3" a="1"/>
  <c r="I353" i="3" s="1"/>
  <c r="F353" i="3" a="1"/>
  <c r="F353" i="3" s="1"/>
  <c r="E353" i="3" a="1"/>
  <c r="E353" i="3" s="1"/>
  <c r="B353" i="3" a="1"/>
  <c r="B353" i="3" s="1"/>
  <c r="T353" i="3" a="1"/>
  <c r="T353" i="3" s="1"/>
  <c r="S353" i="3" a="1"/>
  <c r="S353" i="3" s="1"/>
  <c r="G353" i="3" a="1"/>
  <c r="G353" i="3" s="1"/>
  <c r="L353" i="3" s="1" a="1"/>
  <c r="L353" i="3" s="1"/>
  <c r="I351" i="3" a="1"/>
  <c r="I351" i="3" s="1"/>
  <c r="F351" i="3" a="1"/>
  <c r="F351" i="3" s="1"/>
  <c r="W351" i="3" a="1"/>
  <c r="W351" i="3" s="1"/>
  <c r="G351" i="3" a="1"/>
  <c r="G351" i="3" s="1"/>
  <c r="J351" i="3" s="1" a="1"/>
  <c r="J351" i="3" s="1"/>
  <c r="E352" i="3" a="1"/>
  <c r="E352" i="3" s="1"/>
  <c r="T352" i="3" a="1"/>
  <c r="T352" i="3" s="1"/>
  <c r="E351" i="3" a="1"/>
  <c r="E351" i="3" s="1"/>
  <c r="T351" i="3" a="1"/>
  <c r="T351" i="3" s="1"/>
  <c r="F352" i="3" a="1"/>
  <c r="F352" i="3" s="1"/>
  <c r="B352" i="3" a="1"/>
  <c r="B352" i="3" s="1"/>
  <c r="S352" i="3" a="1"/>
  <c r="S352" i="3" s="1"/>
  <c r="B351" i="3" a="1"/>
  <c r="B351" i="3" s="1"/>
  <c r="S351" i="3" a="1"/>
  <c r="S351" i="3" s="1"/>
  <c r="G352" i="3" a="1"/>
  <c r="G352" i="3" s="1"/>
  <c r="M352" i="3" s="1" a="1"/>
  <c r="M352" i="3" s="1"/>
  <c r="X352" i="3" a="1"/>
  <c r="X352" i="3" s="1"/>
  <c r="X351" i="3" a="1"/>
  <c r="X351" i="3" s="1"/>
  <c r="W352" i="3" a="1"/>
  <c r="W352" i="3" s="1"/>
  <c r="I352" i="3" a="1"/>
  <c r="I352" i="3" s="1"/>
  <c r="I344" i="3" a="1"/>
  <c r="I344" i="3" s="1"/>
  <c r="F343" i="3" a="1"/>
  <c r="F343" i="3" s="1"/>
  <c r="E346" i="3" a="1"/>
  <c r="E346" i="3" s="1"/>
  <c r="B349" i="3" a="1"/>
  <c r="B349" i="3" s="1"/>
  <c r="X350" i="3" a="1"/>
  <c r="X350" i="3" s="1"/>
  <c r="X342" i="3" a="1"/>
  <c r="X342" i="3" s="1"/>
  <c r="W345" i="3" a="1"/>
  <c r="W345" i="3" s="1"/>
  <c r="T345" i="3" a="1"/>
  <c r="T345" i="3" s="1"/>
  <c r="S348" i="3" a="1"/>
  <c r="S348" i="3" s="1"/>
  <c r="I343" i="3" a="1"/>
  <c r="I343" i="3" s="1"/>
  <c r="F350" i="3" a="1"/>
  <c r="F350" i="3" s="1"/>
  <c r="F342" i="3" a="1"/>
  <c r="F342" i="3" s="1"/>
  <c r="E345" i="3" a="1"/>
  <c r="E345" i="3" s="1"/>
  <c r="B348" i="3" a="1"/>
  <c r="B348" i="3" s="1"/>
  <c r="X349" i="3" a="1"/>
  <c r="X349" i="3" s="1"/>
  <c r="W344" i="3" a="1"/>
  <c r="W344" i="3" s="1"/>
  <c r="T344" i="3" a="1"/>
  <c r="T344" i="3" s="1"/>
  <c r="S347" i="3" a="1"/>
  <c r="S347" i="3" s="1"/>
  <c r="G345" i="3" a="1"/>
  <c r="G345" i="3" s="1"/>
  <c r="O345" i="3" s="1" a="1"/>
  <c r="O345" i="3" s="1"/>
  <c r="I350" i="3" a="1"/>
  <c r="I350" i="3" s="1"/>
  <c r="I342" i="3" a="1"/>
  <c r="I342" i="3" s="1"/>
  <c r="F349" i="3" a="1"/>
  <c r="F349" i="3" s="1"/>
  <c r="E344" i="3" a="1"/>
  <c r="E344" i="3" s="1"/>
  <c r="B347" i="3" a="1"/>
  <c r="B347" i="3" s="1"/>
  <c r="X348" i="3" a="1"/>
  <c r="X348" i="3" s="1"/>
  <c r="W343" i="3" a="1"/>
  <c r="W343" i="3" s="1"/>
  <c r="T343" i="3" a="1"/>
  <c r="T343" i="3" s="1"/>
  <c r="S346" i="3" a="1"/>
  <c r="S346" i="3" s="1"/>
  <c r="G348" i="3" a="1"/>
  <c r="G348" i="3" s="1"/>
  <c r="N348" i="3" s="1" a="1"/>
  <c r="N348" i="3" s="1"/>
  <c r="T348" i="3" a="1"/>
  <c r="T348" i="3" s="1"/>
  <c r="I349" i="3" a="1"/>
  <c r="I349" i="3" s="1"/>
  <c r="F348" i="3" a="1"/>
  <c r="F348" i="3" s="1"/>
  <c r="E343" i="3" a="1"/>
  <c r="E343" i="3" s="1"/>
  <c r="B346" i="3" a="1"/>
  <c r="B346" i="3" s="1"/>
  <c r="X347" i="3" a="1"/>
  <c r="X347" i="3" s="1"/>
  <c r="W350" i="3" a="1"/>
  <c r="W350" i="3" s="1"/>
  <c r="W342" i="3" a="1"/>
  <c r="W342" i="3" s="1"/>
  <c r="T350" i="3" a="1"/>
  <c r="T350" i="3" s="1"/>
  <c r="T342" i="3" a="1"/>
  <c r="T342" i="3" s="1"/>
  <c r="S345" i="3" a="1"/>
  <c r="S345" i="3" s="1"/>
  <c r="U345" i="3" s="1"/>
  <c r="G347" i="3" a="1"/>
  <c r="G347" i="3" s="1"/>
  <c r="N347" i="3" s="1" a="1"/>
  <c r="N347" i="3" s="1"/>
  <c r="G346" i="3" a="1"/>
  <c r="G346" i="3" s="1"/>
  <c r="L346" i="3" s="1" a="1"/>
  <c r="L346" i="3" s="1"/>
  <c r="X345" i="3" a="1"/>
  <c r="X345" i="3" s="1"/>
  <c r="I348" i="3" a="1"/>
  <c r="I348" i="3" s="1"/>
  <c r="F347" i="3" a="1"/>
  <c r="F347" i="3" s="1"/>
  <c r="E350" i="3" a="1"/>
  <c r="E350" i="3" s="1"/>
  <c r="E342" i="3" a="1"/>
  <c r="E342" i="3" s="1"/>
  <c r="B345" i="3" a="1"/>
  <c r="B345" i="3" s="1"/>
  <c r="X346" i="3" a="1"/>
  <c r="X346" i="3" s="1"/>
  <c r="W349" i="3" a="1"/>
  <c r="W349" i="3" s="1"/>
  <c r="T349" i="3" a="1"/>
  <c r="T349" i="3" s="1"/>
  <c r="S344" i="3" a="1"/>
  <c r="S344" i="3" s="1"/>
  <c r="F346" i="3" a="1"/>
  <c r="F346" i="3" s="1"/>
  <c r="B344" i="3" a="1"/>
  <c r="B344" i="3" s="1"/>
  <c r="I347" i="3" a="1"/>
  <c r="I347" i="3" s="1"/>
  <c r="I346" i="3" a="1"/>
  <c r="I346" i="3" s="1"/>
  <c r="F345" i="3" a="1"/>
  <c r="F345" i="3" s="1"/>
  <c r="E348" i="3" a="1"/>
  <c r="E348" i="3" s="1"/>
  <c r="B343" i="3" a="1"/>
  <c r="B343" i="3" s="1"/>
  <c r="X344" i="3" a="1"/>
  <c r="X344" i="3" s="1"/>
  <c r="W347" i="3" a="1"/>
  <c r="W347" i="3" s="1"/>
  <c r="T347" i="3" a="1"/>
  <c r="T347" i="3" s="1"/>
  <c r="S350" i="3" a="1"/>
  <c r="S350" i="3" s="1"/>
  <c r="S342" i="3" a="1"/>
  <c r="S342" i="3" s="1"/>
  <c r="G344" i="3" a="1"/>
  <c r="G344" i="3" s="1"/>
  <c r="M344" i="3" s="1" a="1"/>
  <c r="M344" i="3" s="1"/>
  <c r="G342" i="3" a="1"/>
  <c r="G342" i="3" s="1"/>
  <c r="N342" i="3" s="1" a="1"/>
  <c r="N342" i="3" s="1"/>
  <c r="G349" i="3" a="1"/>
  <c r="G349" i="3" s="1"/>
  <c r="K349" i="3" s="1" a="1"/>
  <c r="K349" i="3" s="1"/>
  <c r="E349" i="3" a="1"/>
  <c r="E349" i="3" s="1"/>
  <c r="I345" i="3" a="1"/>
  <c r="I345" i="3" s="1"/>
  <c r="F344" i="3" a="1"/>
  <c r="F344" i="3" s="1"/>
  <c r="E347" i="3" a="1"/>
  <c r="E347" i="3" s="1"/>
  <c r="B350" i="3" a="1"/>
  <c r="B350" i="3" s="1"/>
  <c r="B342" i="3" a="1"/>
  <c r="B342" i="3" s="1"/>
  <c r="X343" i="3" a="1"/>
  <c r="X343" i="3" s="1"/>
  <c r="AD343" i="3" s="1"/>
  <c r="W346" i="3" a="1"/>
  <c r="W346" i="3" s="1"/>
  <c r="T346" i="3" a="1"/>
  <c r="T346" i="3" s="1"/>
  <c r="S349" i="3" a="1"/>
  <c r="S349" i="3" s="1"/>
  <c r="G343" i="3" a="1"/>
  <c r="G343" i="3" s="1"/>
  <c r="M343" i="3" s="1" a="1"/>
  <c r="M343" i="3" s="1"/>
  <c r="G350" i="3" a="1"/>
  <c r="G350" i="3" s="1"/>
  <c r="K350" i="3" s="1" a="1"/>
  <c r="K350" i="3" s="1"/>
  <c r="W348" i="3" a="1"/>
  <c r="W348" i="3" s="1"/>
  <c r="S343" i="3" a="1"/>
  <c r="S343" i="3" s="1"/>
  <c r="N346" i="3" a="1"/>
  <c r="N346" i="3" s="1"/>
  <c r="W341" i="3" a="1"/>
  <c r="W341" i="3" s="1"/>
  <c r="G341" i="3" a="1"/>
  <c r="G341" i="3" s="1"/>
  <c r="O341" i="3" s="1" a="1"/>
  <c r="O341" i="3" s="1"/>
  <c r="F341" i="3" a="1"/>
  <c r="F341" i="3" s="1"/>
  <c r="B341" i="3" a="1"/>
  <c r="B341" i="3" s="1"/>
  <c r="T341" i="3" a="1"/>
  <c r="T341" i="3" s="1"/>
  <c r="X341" i="3" a="1"/>
  <c r="X341" i="3" s="1"/>
  <c r="I341" i="3" a="1"/>
  <c r="I341" i="3" s="1"/>
  <c r="E341" i="3" a="1"/>
  <c r="E341" i="3" s="1"/>
  <c r="S341" i="3" a="1"/>
  <c r="S341" i="3" s="1"/>
  <c r="W340" i="3" a="1"/>
  <c r="W340" i="3" s="1"/>
  <c r="E340" i="3" a="1"/>
  <c r="E340" i="3" s="1"/>
  <c r="G340" i="3" a="1"/>
  <c r="G340" i="3" s="1"/>
  <c r="N340" i="3" s="1" a="1"/>
  <c r="N340" i="3" s="1"/>
  <c r="I340" i="3" a="1"/>
  <c r="I340" i="3" s="1"/>
  <c r="S340" i="3" a="1"/>
  <c r="S340" i="3" s="1"/>
  <c r="X340" i="3" a="1"/>
  <c r="X340" i="3" s="1"/>
  <c r="B340" i="3" a="1"/>
  <c r="B340" i="3" s="1"/>
  <c r="F340" i="3" a="1"/>
  <c r="F340" i="3" s="1"/>
  <c r="T340" i="3" a="1"/>
  <c r="T340" i="3" s="1"/>
  <c r="F339" i="3" a="1"/>
  <c r="F339" i="3" s="1"/>
  <c r="I339" i="3" a="1"/>
  <c r="I339" i="3" s="1"/>
  <c r="B339" i="3" a="1"/>
  <c r="B339" i="3" s="1"/>
  <c r="W339" i="3" a="1"/>
  <c r="W339" i="3" s="1"/>
  <c r="S339" i="3" a="1"/>
  <c r="S339" i="3" s="1"/>
  <c r="G339" i="3" a="1"/>
  <c r="G339" i="3" s="1"/>
  <c r="L339" i="3" s="1" a="1"/>
  <c r="L339" i="3" s="1"/>
  <c r="E339" i="3" a="1"/>
  <c r="E339" i="3" s="1"/>
  <c r="X339" i="3" a="1"/>
  <c r="X339" i="3" s="1"/>
  <c r="T339" i="3" a="1"/>
  <c r="T339" i="3" s="1"/>
  <c r="T338" i="3" a="1"/>
  <c r="T338" i="3" s="1"/>
  <c r="G338" i="3" a="1"/>
  <c r="G338" i="3" s="1"/>
  <c r="O338" i="3" s="1" a="1"/>
  <c r="O338" i="3" s="1"/>
  <c r="X338" i="3" a="1"/>
  <c r="X338" i="3" s="1"/>
  <c r="B338" i="3" a="1"/>
  <c r="B338" i="3" s="1"/>
  <c r="E338" i="3" a="1"/>
  <c r="E338" i="3" s="1"/>
  <c r="W338" i="3" a="1"/>
  <c r="W338" i="3" s="1"/>
  <c r="F338" i="3" a="1"/>
  <c r="F338" i="3" s="1"/>
  <c r="S338" i="3" a="1"/>
  <c r="S338" i="3" s="1"/>
  <c r="I338" i="3" a="1"/>
  <c r="I338" i="3" s="1"/>
  <c r="N338" i="3" a="1"/>
  <c r="N338" i="3" s="1"/>
  <c r="I337" i="3" a="1"/>
  <c r="I337" i="3" s="1"/>
  <c r="I336" i="3" a="1"/>
  <c r="I336" i="3" s="1"/>
  <c r="G337" i="3" a="1"/>
  <c r="G337" i="3" s="1"/>
  <c r="K337" i="3" s="1" a="1"/>
  <c r="K337" i="3" s="1"/>
  <c r="F337" i="3" a="1"/>
  <c r="F337" i="3" s="1"/>
  <c r="F336" i="3" a="1"/>
  <c r="F336" i="3" s="1"/>
  <c r="E337" i="3" a="1"/>
  <c r="E337" i="3" s="1"/>
  <c r="X337" i="3" a="1"/>
  <c r="X337" i="3" s="1"/>
  <c r="T337" i="3" a="1"/>
  <c r="T337" i="3" s="1"/>
  <c r="G336" i="3" a="1"/>
  <c r="G336" i="3" s="1"/>
  <c r="O336" i="3" s="1" a="1"/>
  <c r="O336" i="3" s="1"/>
  <c r="E336" i="3" a="1"/>
  <c r="E336" i="3" s="1"/>
  <c r="B337" i="3" a="1"/>
  <c r="B337" i="3" s="1"/>
  <c r="X336" i="3" a="1"/>
  <c r="X336" i="3" s="1"/>
  <c r="W337" i="3" a="1"/>
  <c r="W337" i="3" s="1"/>
  <c r="T336" i="3" a="1"/>
  <c r="T336" i="3" s="1"/>
  <c r="S337" i="3" a="1"/>
  <c r="S337" i="3" s="1"/>
  <c r="S336" i="3" a="1"/>
  <c r="S336" i="3" s="1"/>
  <c r="B336" i="3" a="1"/>
  <c r="B336" i="3" s="1"/>
  <c r="W336" i="3" a="1"/>
  <c r="W336" i="3" s="1"/>
  <c r="G335" i="3" a="1"/>
  <c r="G335" i="3" s="1"/>
  <c r="K335" i="3" s="1" a="1"/>
  <c r="K335" i="3" s="1"/>
  <c r="B335" i="3" a="1"/>
  <c r="B335" i="3" s="1"/>
  <c r="X335" i="3" a="1"/>
  <c r="X335" i="3" s="1"/>
  <c r="E335" i="3" a="1"/>
  <c r="E335" i="3" s="1"/>
  <c r="T335" i="3" a="1"/>
  <c r="T335" i="3" s="1"/>
  <c r="F335" i="3" a="1"/>
  <c r="F335" i="3" s="1"/>
  <c r="S335" i="3" a="1"/>
  <c r="S335" i="3" s="1"/>
  <c r="W335" i="3" a="1"/>
  <c r="W335" i="3" s="1"/>
  <c r="I335" i="3" a="1"/>
  <c r="I335" i="3" s="1"/>
  <c r="E333" i="3" a="1"/>
  <c r="E333" i="3" s="1"/>
  <c r="X333" i="3" a="1"/>
  <c r="X333" i="3" s="1"/>
  <c r="T333" i="3" a="1"/>
  <c r="T333" i="3" s="1"/>
  <c r="F334" i="3" a="1"/>
  <c r="F334" i="3" s="1"/>
  <c r="B334" i="3" a="1"/>
  <c r="B334" i="3" s="1"/>
  <c r="W334" i="3" a="1"/>
  <c r="W334" i="3" s="1"/>
  <c r="S334" i="3" a="1"/>
  <c r="S334" i="3" s="1"/>
  <c r="I334" i="3" a="1"/>
  <c r="I334" i="3" s="1"/>
  <c r="F333" i="3" a="1"/>
  <c r="F333" i="3" s="1"/>
  <c r="B333" i="3" a="1"/>
  <c r="B333" i="3" s="1"/>
  <c r="W333" i="3" a="1"/>
  <c r="W333" i="3" s="1"/>
  <c r="S333" i="3" a="1"/>
  <c r="S333" i="3" s="1"/>
  <c r="I333" i="3" a="1"/>
  <c r="I333" i="3" s="1"/>
  <c r="G333" i="3" a="1"/>
  <c r="G333" i="3" s="1"/>
  <c r="L333" i="3" s="1" a="1"/>
  <c r="L333" i="3" s="1"/>
  <c r="E334" i="3" a="1"/>
  <c r="E334" i="3" s="1"/>
  <c r="AA334" i="3" s="1"/>
  <c r="X334" i="3" a="1"/>
  <c r="X334" i="3" s="1"/>
  <c r="T334" i="3" a="1"/>
  <c r="T334" i="3" s="1"/>
  <c r="G334" i="3" a="1"/>
  <c r="G334" i="3" s="1"/>
  <c r="N334" i="3" s="1" a="1"/>
  <c r="N334" i="3" s="1"/>
  <c r="F331" i="3" a="1"/>
  <c r="F331" i="3" s="1"/>
  <c r="E330" i="3" a="1"/>
  <c r="E330" i="3" s="1"/>
  <c r="E331" i="3" a="1"/>
  <c r="E331" i="3" s="1"/>
  <c r="B330" i="3" a="1"/>
  <c r="B330" i="3" s="1"/>
  <c r="X330" i="3" a="1"/>
  <c r="X330" i="3" s="1"/>
  <c r="F330" i="3" a="1"/>
  <c r="F330" i="3" s="1"/>
  <c r="S332" i="3" a="1"/>
  <c r="S332" i="3" s="1"/>
  <c r="G331" i="3" a="1"/>
  <c r="G331" i="3" s="1"/>
  <c r="M331" i="3" s="1" a="1"/>
  <c r="M331" i="3" s="1"/>
  <c r="I332" i="3" a="1"/>
  <c r="I332" i="3" s="1"/>
  <c r="W332" i="3" a="1"/>
  <c r="W332" i="3" s="1"/>
  <c r="T332" i="3" a="1"/>
  <c r="T332" i="3" s="1"/>
  <c r="S331" i="3" a="1"/>
  <c r="S331" i="3" s="1"/>
  <c r="G332" i="3" a="1"/>
  <c r="G332" i="3" s="1"/>
  <c r="N332" i="3" s="1" a="1"/>
  <c r="N332" i="3" s="1"/>
  <c r="I331" i="3" a="1"/>
  <c r="I331" i="3" s="1"/>
  <c r="B332" i="3" a="1"/>
  <c r="B332" i="3" s="1"/>
  <c r="X332" i="3" a="1"/>
  <c r="X332" i="3" s="1"/>
  <c r="W331" i="3" a="1"/>
  <c r="W331" i="3" s="1"/>
  <c r="T331" i="3" a="1"/>
  <c r="T331" i="3" s="1"/>
  <c r="S330" i="3" a="1"/>
  <c r="S330" i="3" s="1"/>
  <c r="F332" i="3" a="1"/>
  <c r="F332" i="3" s="1"/>
  <c r="I330" i="3" a="1"/>
  <c r="I330" i="3" s="1"/>
  <c r="E332" i="3" a="1"/>
  <c r="E332" i="3" s="1"/>
  <c r="B331" i="3" a="1"/>
  <c r="B331" i="3" s="1"/>
  <c r="X331" i="3" a="1"/>
  <c r="X331" i="3" s="1"/>
  <c r="W330" i="3" a="1"/>
  <c r="W330" i="3" s="1"/>
  <c r="T330" i="3" a="1"/>
  <c r="T330" i="3" s="1"/>
  <c r="G330" i="3" a="1"/>
  <c r="G330" i="3" s="1"/>
  <c r="L330" i="3" s="1" a="1"/>
  <c r="L330" i="3" s="1"/>
  <c r="F329" i="3" a="1"/>
  <c r="F329" i="3" s="1"/>
  <c r="G328" i="3" a="1"/>
  <c r="G328" i="3" s="1"/>
  <c r="M328" i="3" s="1" a="1"/>
  <c r="M328" i="3" s="1"/>
  <c r="F328" i="3" a="1"/>
  <c r="F328" i="3" s="1"/>
  <c r="E329" i="3" a="1"/>
  <c r="E329" i="3" s="1"/>
  <c r="E328" i="3" a="1"/>
  <c r="E328" i="3" s="1"/>
  <c r="B329" i="3" a="1"/>
  <c r="B329" i="3" s="1"/>
  <c r="X329" i="3" a="1"/>
  <c r="X329" i="3" s="1"/>
  <c r="T329" i="3" a="1"/>
  <c r="T329" i="3" s="1"/>
  <c r="G329" i="3" a="1"/>
  <c r="G329" i="3" s="1"/>
  <c r="K329" i="3" s="1" a="1"/>
  <c r="K329" i="3" s="1"/>
  <c r="B328" i="3" a="1"/>
  <c r="B328" i="3" s="1"/>
  <c r="X328" i="3" a="1"/>
  <c r="X328" i="3" s="1"/>
  <c r="W329" i="3" a="1"/>
  <c r="W329" i="3" s="1"/>
  <c r="T328" i="3" a="1"/>
  <c r="T328" i="3" s="1"/>
  <c r="S329" i="3" a="1"/>
  <c r="S329" i="3" s="1"/>
  <c r="I329" i="3" a="1"/>
  <c r="I329" i="3" s="1"/>
  <c r="W328" i="3" a="1"/>
  <c r="W328" i="3" s="1"/>
  <c r="S328" i="3" a="1"/>
  <c r="S328" i="3" s="1"/>
  <c r="I328" i="3" a="1"/>
  <c r="I328" i="3" s="1"/>
  <c r="I326" i="3" a="1"/>
  <c r="I326" i="3" s="1"/>
  <c r="F327" i="3" a="1"/>
  <c r="F327" i="3" s="1"/>
  <c r="F319" i="3" a="1"/>
  <c r="F319" i="3" s="1"/>
  <c r="E321" i="3" a="1"/>
  <c r="E321" i="3" s="1"/>
  <c r="B323" i="3" a="1"/>
  <c r="B323" i="3" s="1"/>
  <c r="X320" i="3" a="1"/>
  <c r="X320" i="3" s="1"/>
  <c r="W322" i="3" a="1"/>
  <c r="W322" i="3" s="1"/>
  <c r="T327" i="3" a="1"/>
  <c r="T327" i="3" s="1"/>
  <c r="T319" i="3" a="1"/>
  <c r="T319" i="3" s="1"/>
  <c r="S321" i="3" a="1"/>
  <c r="S321" i="3" s="1"/>
  <c r="G323" i="3" a="1"/>
  <c r="G323" i="3" s="1"/>
  <c r="O323" i="3" s="1" a="1"/>
  <c r="O323" i="3" s="1"/>
  <c r="X319" i="3" a="1"/>
  <c r="X319" i="3" s="1"/>
  <c r="I325" i="3" a="1"/>
  <c r="I325" i="3" s="1"/>
  <c r="I324" i="3" a="1"/>
  <c r="I324" i="3" s="1"/>
  <c r="F325" i="3" a="1"/>
  <c r="F325" i="3" s="1"/>
  <c r="E327" i="3" a="1"/>
  <c r="E327" i="3" s="1"/>
  <c r="E319" i="3" a="1"/>
  <c r="E319" i="3" s="1"/>
  <c r="B321" i="3" a="1"/>
  <c r="B321" i="3" s="1"/>
  <c r="X326" i="3" a="1"/>
  <c r="X326" i="3" s="1"/>
  <c r="W320" i="3" a="1"/>
  <c r="W320" i="3" s="1"/>
  <c r="T325" i="3" a="1"/>
  <c r="T325" i="3" s="1"/>
  <c r="S327" i="3" a="1"/>
  <c r="S327" i="3" s="1"/>
  <c r="S319" i="3" a="1"/>
  <c r="S319" i="3" s="1"/>
  <c r="G321" i="3" a="1"/>
  <c r="G321" i="3" s="1"/>
  <c r="K321" i="3" s="1" a="1"/>
  <c r="K321" i="3" s="1"/>
  <c r="G320" i="3" a="1"/>
  <c r="G320" i="3" s="1"/>
  <c r="M320" i="3" s="1" a="1"/>
  <c r="M320" i="3" s="1"/>
  <c r="G327" i="3" a="1"/>
  <c r="G327" i="3" s="1"/>
  <c r="M327" i="3" s="1" a="1"/>
  <c r="M327" i="3" s="1"/>
  <c r="G326" i="3" a="1"/>
  <c r="G326" i="3" s="1"/>
  <c r="M326" i="3" s="1" a="1"/>
  <c r="M326" i="3" s="1"/>
  <c r="T326" i="3" a="1"/>
  <c r="T326" i="3" s="1"/>
  <c r="I323" i="3" a="1"/>
  <c r="I323" i="3" s="1"/>
  <c r="F324" i="3" a="1"/>
  <c r="F324" i="3" s="1"/>
  <c r="E326" i="3" a="1"/>
  <c r="E326" i="3" s="1"/>
  <c r="B320" i="3" a="1"/>
  <c r="B320" i="3" s="1"/>
  <c r="X325" i="3" a="1"/>
  <c r="X325" i="3" s="1"/>
  <c r="W327" i="3" a="1"/>
  <c r="W327" i="3" s="1"/>
  <c r="W319" i="3" a="1"/>
  <c r="W319" i="3" s="1"/>
  <c r="T324" i="3" a="1"/>
  <c r="T324" i="3" s="1"/>
  <c r="S326" i="3" a="1"/>
  <c r="S326" i="3" s="1"/>
  <c r="X327" i="3" a="1"/>
  <c r="X327" i="3" s="1"/>
  <c r="W321" i="3" a="1"/>
  <c r="W321" i="3" s="1"/>
  <c r="S320" i="3" a="1"/>
  <c r="S320" i="3" s="1"/>
  <c r="I322" i="3" a="1"/>
  <c r="I322" i="3" s="1"/>
  <c r="F323" i="3" a="1"/>
  <c r="F323" i="3" s="1"/>
  <c r="E325" i="3" a="1"/>
  <c r="E325" i="3" s="1"/>
  <c r="B327" i="3" a="1"/>
  <c r="B327" i="3" s="1"/>
  <c r="B319" i="3" a="1"/>
  <c r="B319" i="3" s="1"/>
  <c r="X324" i="3" a="1"/>
  <c r="X324" i="3" s="1"/>
  <c r="W326" i="3" a="1"/>
  <c r="W326" i="3" s="1"/>
  <c r="T323" i="3" a="1"/>
  <c r="T323" i="3" s="1"/>
  <c r="S325" i="3" a="1"/>
  <c r="S325" i="3" s="1"/>
  <c r="G319" i="3" a="1"/>
  <c r="G319" i="3" s="1"/>
  <c r="M319" i="3" s="1" a="1"/>
  <c r="M319" i="3" s="1"/>
  <c r="E320" i="3" a="1"/>
  <c r="E320" i="3" s="1"/>
  <c r="G322" i="3" a="1"/>
  <c r="G322" i="3" s="1"/>
  <c r="J322" i="3" s="1" a="1"/>
  <c r="J322" i="3" s="1"/>
  <c r="I321" i="3" a="1"/>
  <c r="I321" i="3" s="1"/>
  <c r="F322" i="3" a="1"/>
  <c r="F322" i="3" s="1"/>
  <c r="E324" i="3" a="1"/>
  <c r="E324" i="3" s="1"/>
  <c r="B326" i="3" a="1"/>
  <c r="B326" i="3" s="1"/>
  <c r="X323" i="3" a="1"/>
  <c r="X323" i="3" s="1"/>
  <c r="W325" i="3" a="1"/>
  <c r="W325" i="3" s="1"/>
  <c r="T322" i="3" a="1"/>
  <c r="T322" i="3" s="1"/>
  <c r="S324" i="3" a="1"/>
  <c r="S324" i="3" s="1"/>
  <c r="F326" i="3" a="1"/>
  <c r="F326" i="3" s="1"/>
  <c r="B322" i="3" a="1"/>
  <c r="B322" i="3" s="1"/>
  <c r="I320" i="3" a="1"/>
  <c r="I320" i="3" s="1"/>
  <c r="F321" i="3" a="1"/>
  <c r="F321" i="3" s="1"/>
  <c r="E323" i="3" a="1"/>
  <c r="E323" i="3" s="1"/>
  <c r="B325" i="3" a="1"/>
  <c r="B325" i="3" s="1"/>
  <c r="X322" i="3" a="1"/>
  <c r="X322" i="3" s="1"/>
  <c r="W324" i="3" a="1"/>
  <c r="W324" i="3" s="1"/>
  <c r="T321" i="3" a="1"/>
  <c r="T321" i="3" s="1"/>
  <c r="S323" i="3" a="1"/>
  <c r="S323" i="3" s="1"/>
  <c r="G325" i="3" a="1"/>
  <c r="G325" i="3" s="1"/>
  <c r="J325" i="3" s="1" a="1"/>
  <c r="J325" i="3" s="1"/>
  <c r="I327" i="3" a="1"/>
  <c r="I327" i="3" s="1"/>
  <c r="I319" i="3" a="1"/>
  <c r="I319" i="3" s="1"/>
  <c r="F320" i="3" a="1"/>
  <c r="F320" i="3" s="1"/>
  <c r="E322" i="3" a="1"/>
  <c r="E322" i="3" s="1"/>
  <c r="B324" i="3" a="1"/>
  <c r="B324" i="3" s="1"/>
  <c r="X321" i="3" a="1"/>
  <c r="X321" i="3" s="1"/>
  <c r="W323" i="3" a="1"/>
  <c r="W323" i="3" s="1"/>
  <c r="T320" i="3" a="1"/>
  <c r="T320" i="3" s="1"/>
  <c r="S322" i="3" a="1"/>
  <c r="S322" i="3" s="1"/>
  <c r="G324" i="3" a="1"/>
  <c r="G324" i="3" s="1"/>
  <c r="O324" i="3" s="1" a="1"/>
  <c r="O324" i="3" s="1"/>
  <c r="S318" i="3" a="1"/>
  <c r="S318" i="3" s="1"/>
  <c r="E318" i="3" a="1"/>
  <c r="E318" i="3" s="1"/>
  <c r="X318" i="3" a="1"/>
  <c r="X318" i="3" s="1"/>
  <c r="B318" i="3" a="1"/>
  <c r="B318" i="3" s="1"/>
  <c r="T318" i="3" a="1"/>
  <c r="T318" i="3" s="1"/>
  <c r="I318" i="3" a="1"/>
  <c r="I318" i="3" s="1"/>
  <c r="F318" i="3" a="1"/>
  <c r="F318" i="3" s="1"/>
  <c r="W318" i="3" a="1"/>
  <c r="W318" i="3" s="1"/>
  <c r="G318" i="3" a="1"/>
  <c r="G318" i="3" s="1"/>
  <c r="J318" i="3" s="1" a="1"/>
  <c r="J318" i="3" s="1"/>
  <c r="X316" i="3" a="1"/>
  <c r="X316" i="3" s="1"/>
  <c r="T316" i="3" a="1"/>
  <c r="T316" i="3" s="1"/>
  <c r="F317" i="3" a="1"/>
  <c r="F317" i="3" s="1"/>
  <c r="F316" i="3" a="1"/>
  <c r="F316" i="3" s="1"/>
  <c r="B317" i="3" a="1"/>
  <c r="B317" i="3" s="1"/>
  <c r="B316" i="3" a="1"/>
  <c r="B316" i="3" s="1"/>
  <c r="W317" i="3" a="1"/>
  <c r="W317" i="3" s="1"/>
  <c r="S317" i="3" a="1"/>
  <c r="S317" i="3" s="1"/>
  <c r="W316" i="3" a="1"/>
  <c r="W316" i="3" s="1"/>
  <c r="S316" i="3" a="1"/>
  <c r="S316" i="3" s="1"/>
  <c r="G317" i="3" a="1"/>
  <c r="G317" i="3" s="1"/>
  <c r="L317" i="3" s="1" a="1"/>
  <c r="L317" i="3" s="1"/>
  <c r="G316" i="3" a="1"/>
  <c r="G316" i="3" s="1"/>
  <c r="L316" i="3" s="1" a="1"/>
  <c r="L316" i="3" s="1"/>
  <c r="E317" i="3" a="1"/>
  <c r="E317" i="3" s="1"/>
  <c r="E316" i="3" a="1"/>
  <c r="E316" i="3" s="1"/>
  <c r="X317" i="3" a="1"/>
  <c r="X317" i="3" s="1"/>
  <c r="T317" i="3" a="1"/>
  <c r="T317" i="3" s="1"/>
  <c r="I317" i="3" a="1"/>
  <c r="I317" i="3" s="1"/>
  <c r="I316" i="3" a="1"/>
  <c r="I316" i="3" s="1"/>
  <c r="I314" i="3" a="1"/>
  <c r="I314" i="3" s="1"/>
  <c r="I306" i="3" a="1"/>
  <c r="I306" i="3" s="1"/>
  <c r="F312" i="3" a="1"/>
  <c r="F312" i="3" s="1"/>
  <c r="E314" i="3" a="1"/>
  <c r="E314" i="3" s="1"/>
  <c r="X313" i="3" a="1"/>
  <c r="X313" i="3" s="1"/>
  <c r="W315" i="3" a="1"/>
  <c r="W315" i="3" s="1"/>
  <c r="T312" i="3" a="1"/>
  <c r="T312" i="3" s="1"/>
  <c r="S314" i="3" a="1"/>
  <c r="S314" i="3" s="1"/>
  <c r="I313" i="3" a="1"/>
  <c r="I313" i="3" s="1"/>
  <c r="I305" i="3" a="1"/>
  <c r="I305" i="3" s="1"/>
  <c r="F311" i="3" a="1"/>
  <c r="F311" i="3" s="1"/>
  <c r="E313" i="3" a="1"/>
  <c r="E313" i="3" s="1"/>
  <c r="B315" i="3" a="1"/>
  <c r="B315" i="3" s="1"/>
  <c r="X312" i="3" a="1"/>
  <c r="X312" i="3" s="1"/>
  <c r="W314" i="3" a="1"/>
  <c r="W314" i="3" s="1"/>
  <c r="T311" i="3" a="1"/>
  <c r="T311" i="3" s="1"/>
  <c r="S313" i="3" a="1"/>
  <c r="S313" i="3" s="1"/>
  <c r="G315" i="3" a="1"/>
  <c r="G315" i="3" s="1"/>
  <c r="J315" i="3" s="1" a="1"/>
  <c r="J315" i="3" s="1"/>
  <c r="I312" i="3" a="1"/>
  <c r="I312" i="3" s="1"/>
  <c r="E312" i="3" a="1"/>
  <c r="E312" i="3" s="1"/>
  <c r="B314" i="3" a="1"/>
  <c r="B314" i="3" s="1"/>
  <c r="X311" i="3" a="1"/>
  <c r="X311" i="3" s="1"/>
  <c r="W313" i="3" a="1"/>
  <c r="W313" i="3" s="1"/>
  <c r="S312" i="3" a="1"/>
  <c r="S312" i="3" s="1"/>
  <c r="G314" i="3" a="1"/>
  <c r="G314" i="3" s="1"/>
  <c r="O314" i="3" s="1" a="1"/>
  <c r="O314" i="3" s="1"/>
  <c r="I311" i="3" a="1"/>
  <c r="I311" i="3" s="1"/>
  <c r="E311" i="3" a="1"/>
  <c r="E311" i="3" s="1"/>
  <c r="B313" i="3" a="1"/>
  <c r="B313" i="3" s="1"/>
  <c r="W312" i="3" a="1"/>
  <c r="W312" i="3" s="1"/>
  <c r="S311" i="3" a="1"/>
  <c r="S311" i="3" s="1"/>
  <c r="G313" i="3" a="1"/>
  <c r="G313" i="3" s="1"/>
  <c r="K313" i="3" s="1" a="1"/>
  <c r="K313" i="3" s="1"/>
  <c r="I310" i="3" a="1"/>
  <c r="I310" i="3" s="1"/>
  <c r="B312" i="3" a="1"/>
  <c r="B312" i="3" s="1"/>
  <c r="W311" i="3" a="1"/>
  <c r="W311" i="3" s="1"/>
  <c r="I309" i="3" a="1"/>
  <c r="I309" i="3" s="1"/>
  <c r="F315" i="3" a="1"/>
  <c r="F315" i="3" s="1"/>
  <c r="B311" i="3" a="1"/>
  <c r="B311" i="3" s="1"/>
  <c r="T315" i="3" a="1"/>
  <c r="T315" i="3" s="1"/>
  <c r="G312" i="3" a="1"/>
  <c r="G312" i="3" s="1"/>
  <c r="M312" i="3" s="1" a="1"/>
  <c r="M312" i="3" s="1"/>
  <c r="I308" i="3" a="1"/>
  <c r="I308" i="3" s="1"/>
  <c r="F314" i="3" a="1"/>
  <c r="F314" i="3" s="1"/>
  <c r="X315" i="3" a="1"/>
  <c r="X315" i="3" s="1"/>
  <c r="T314" i="3" a="1"/>
  <c r="T314" i="3" s="1"/>
  <c r="G311" i="3" a="1"/>
  <c r="G311" i="3" s="1"/>
  <c r="L311" i="3" s="1" a="1"/>
  <c r="L311" i="3" s="1"/>
  <c r="I315" i="3" a="1"/>
  <c r="I315" i="3" s="1"/>
  <c r="I307" i="3" a="1"/>
  <c r="I307" i="3" s="1"/>
  <c r="F313" i="3" a="1"/>
  <c r="F313" i="3" s="1"/>
  <c r="E315" i="3" a="1"/>
  <c r="E315" i="3" s="1"/>
  <c r="X314" i="3" a="1"/>
  <c r="X314" i="3" s="1"/>
  <c r="T313" i="3" a="1"/>
  <c r="T313" i="3" s="1"/>
  <c r="S315" i="3" a="1"/>
  <c r="S315" i="3" s="1"/>
  <c r="I301" i="3" a="1"/>
  <c r="I301" i="3" s="1"/>
  <c r="I293" i="3" a="1"/>
  <c r="I293" i="3" s="1"/>
  <c r="I285" i="3" a="1"/>
  <c r="I285" i="3" s="1"/>
  <c r="I277" i="3" a="1"/>
  <c r="I277" i="3" s="1"/>
  <c r="I269" i="3" a="1"/>
  <c r="I269" i="3" s="1"/>
  <c r="I261" i="3" a="1"/>
  <c r="I261" i="3" s="1"/>
  <c r="I253" i="3" a="1"/>
  <c r="I253" i="3" s="1"/>
  <c r="I245" i="3" a="1"/>
  <c r="I245" i="3" s="1"/>
  <c r="I237" i="3" a="1"/>
  <c r="I237" i="3" s="1"/>
  <c r="I229" i="3" a="1"/>
  <c r="I229" i="3" s="1"/>
  <c r="I221" i="3" a="1"/>
  <c r="I221" i="3" s="1"/>
  <c r="I213" i="3" a="1"/>
  <c r="I213" i="3" s="1"/>
  <c r="I205" i="3" a="1"/>
  <c r="I205" i="3" s="1"/>
  <c r="I197" i="3" a="1"/>
  <c r="I197" i="3" s="1"/>
  <c r="I189" i="3" a="1"/>
  <c r="I189" i="3" s="1"/>
  <c r="I181" i="3" a="1"/>
  <c r="I181" i="3" s="1"/>
  <c r="I173" i="3" a="1"/>
  <c r="I173" i="3" s="1"/>
  <c r="I165" i="3" a="1"/>
  <c r="I165" i="3" s="1"/>
  <c r="I157" i="3" a="1"/>
  <c r="I157" i="3" s="1"/>
  <c r="I149" i="3" a="1"/>
  <c r="I149" i="3" s="1"/>
  <c r="I141" i="3" a="1"/>
  <c r="I141" i="3" s="1"/>
  <c r="I133" i="3" a="1"/>
  <c r="I133" i="3" s="1"/>
  <c r="I125" i="3" a="1"/>
  <c r="I125" i="3" s="1"/>
  <c r="I117" i="3" a="1"/>
  <c r="I117" i="3" s="1"/>
  <c r="I109" i="3" a="1"/>
  <c r="I109" i="3" s="1"/>
  <c r="I101" i="3" a="1"/>
  <c r="I101" i="3" s="1"/>
  <c r="I93" i="3" a="1"/>
  <c r="I93" i="3" s="1"/>
  <c r="I85" i="3" a="1"/>
  <c r="I85" i="3" s="1"/>
  <c r="I77" i="3" a="1"/>
  <c r="I77" i="3" s="1"/>
  <c r="I69" i="3" a="1"/>
  <c r="I69" i="3" s="1"/>
  <c r="I61" i="3" a="1"/>
  <c r="I61" i="3" s="1"/>
  <c r="I53" i="3" a="1"/>
  <c r="I53" i="3" s="1"/>
  <c r="I45" i="3" a="1"/>
  <c r="I45" i="3" s="1"/>
  <c r="I37" i="3" a="1"/>
  <c r="I37" i="3" s="1"/>
  <c r="I29" i="3" a="1"/>
  <c r="I29" i="3" s="1"/>
  <c r="I21" i="3" a="1"/>
  <c r="I21" i="3" s="1"/>
  <c r="I13" i="3" a="1"/>
  <c r="I13" i="3" s="1"/>
  <c r="I5" i="3" a="1"/>
  <c r="I5" i="3" s="1"/>
  <c r="I300" i="3" a="1"/>
  <c r="I300" i="3" s="1"/>
  <c r="I292" i="3" a="1"/>
  <c r="I292" i="3" s="1"/>
  <c r="I284" i="3" a="1"/>
  <c r="I284" i="3" s="1"/>
  <c r="I276" i="3" a="1"/>
  <c r="I276" i="3" s="1"/>
  <c r="I268" i="3" a="1"/>
  <c r="I268" i="3" s="1"/>
  <c r="I260" i="3" a="1"/>
  <c r="I260" i="3" s="1"/>
  <c r="I252" i="3" a="1"/>
  <c r="I252" i="3" s="1"/>
  <c r="I244" i="3" a="1"/>
  <c r="I244" i="3" s="1"/>
  <c r="I236" i="3" a="1"/>
  <c r="I236" i="3" s="1"/>
  <c r="I228" i="3" a="1"/>
  <c r="I228" i="3" s="1"/>
  <c r="I220" i="3" a="1"/>
  <c r="I220" i="3" s="1"/>
  <c r="I212" i="3" a="1"/>
  <c r="I212" i="3" s="1"/>
  <c r="I204" i="3" a="1"/>
  <c r="I204" i="3" s="1"/>
  <c r="I196" i="3" a="1"/>
  <c r="I196" i="3" s="1"/>
  <c r="I188" i="3" a="1"/>
  <c r="I188" i="3" s="1"/>
  <c r="I180" i="3" a="1"/>
  <c r="I180" i="3" s="1"/>
  <c r="I172" i="3" a="1"/>
  <c r="I172" i="3" s="1"/>
  <c r="I164" i="3" a="1"/>
  <c r="I164" i="3" s="1"/>
  <c r="I156" i="3" a="1"/>
  <c r="I156" i="3" s="1"/>
  <c r="I148" i="3" a="1"/>
  <c r="I148" i="3" s="1"/>
  <c r="I140" i="3" a="1"/>
  <c r="I140" i="3" s="1"/>
  <c r="I132" i="3" a="1"/>
  <c r="I132" i="3" s="1"/>
  <c r="I124" i="3" a="1"/>
  <c r="I124" i="3" s="1"/>
  <c r="I116" i="3" a="1"/>
  <c r="I116" i="3" s="1"/>
  <c r="I108" i="3" a="1"/>
  <c r="I108" i="3" s="1"/>
  <c r="I100" i="3" a="1"/>
  <c r="I100" i="3" s="1"/>
  <c r="I92" i="3" a="1"/>
  <c r="I92" i="3" s="1"/>
  <c r="I84" i="3" a="1"/>
  <c r="I84" i="3" s="1"/>
  <c r="I76" i="3" a="1"/>
  <c r="I76" i="3" s="1"/>
  <c r="I68" i="3" a="1"/>
  <c r="I68" i="3" s="1"/>
  <c r="I299" i="3" a="1"/>
  <c r="I299" i="3" s="1"/>
  <c r="I291" i="3" a="1"/>
  <c r="I291" i="3" s="1"/>
  <c r="I283" i="3" a="1"/>
  <c r="I283" i="3" s="1"/>
  <c r="I275" i="3" a="1"/>
  <c r="I275" i="3" s="1"/>
  <c r="I267" i="3" a="1"/>
  <c r="I267" i="3" s="1"/>
  <c r="I259" i="3" a="1"/>
  <c r="I259" i="3" s="1"/>
  <c r="I251" i="3" a="1"/>
  <c r="I251" i="3" s="1"/>
  <c r="I243" i="3" a="1"/>
  <c r="I243" i="3" s="1"/>
  <c r="I235" i="3" a="1"/>
  <c r="I235" i="3" s="1"/>
  <c r="I227" i="3" a="1"/>
  <c r="I227" i="3" s="1"/>
  <c r="I219" i="3" a="1"/>
  <c r="I219" i="3" s="1"/>
  <c r="I211" i="3" a="1"/>
  <c r="I211" i="3" s="1"/>
  <c r="I203" i="3" a="1"/>
  <c r="I203" i="3" s="1"/>
  <c r="I195" i="3" a="1"/>
  <c r="I195" i="3" s="1"/>
  <c r="I187" i="3" a="1"/>
  <c r="I187" i="3" s="1"/>
  <c r="I179" i="3" a="1"/>
  <c r="I179" i="3" s="1"/>
  <c r="I171" i="3" a="1"/>
  <c r="I171" i="3" s="1"/>
  <c r="I163" i="3" a="1"/>
  <c r="I163" i="3" s="1"/>
  <c r="I155" i="3" a="1"/>
  <c r="I155" i="3" s="1"/>
  <c r="I147" i="3" a="1"/>
  <c r="I147" i="3" s="1"/>
  <c r="I139" i="3" a="1"/>
  <c r="I139" i="3" s="1"/>
  <c r="I131" i="3" a="1"/>
  <c r="I131" i="3" s="1"/>
  <c r="I123" i="3" a="1"/>
  <c r="I123" i="3" s="1"/>
  <c r="I115" i="3" a="1"/>
  <c r="I115" i="3" s="1"/>
  <c r="I107" i="3" a="1"/>
  <c r="I107" i="3" s="1"/>
  <c r="I99" i="3" a="1"/>
  <c r="I99" i="3" s="1"/>
  <c r="I91" i="3" a="1"/>
  <c r="I91" i="3" s="1"/>
  <c r="I83" i="3" a="1"/>
  <c r="I83" i="3" s="1"/>
  <c r="I75" i="3" a="1"/>
  <c r="I75" i="3" s="1"/>
  <c r="I67" i="3" a="1"/>
  <c r="I67" i="3" s="1"/>
  <c r="I59" i="3" a="1"/>
  <c r="I59" i="3" s="1"/>
  <c r="I51" i="3" a="1"/>
  <c r="I51" i="3" s="1"/>
  <c r="I43" i="3" a="1"/>
  <c r="I43" i="3" s="1"/>
  <c r="I35" i="3" a="1"/>
  <c r="I35" i="3" s="1"/>
  <c r="I27" i="3" a="1"/>
  <c r="I27" i="3" s="1"/>
  <c r="I19" i="3" a="1"/>
  <c r="I19" i="3" s="1"/>
  <c r="I11" i="3" a="1"/>
  <c r="I11" i="3" s="1"/>
  <c r="I3" i="3" a="1"/>
  <c r="I3" i="3" s="1"/>
  <c r="I298" i="3" a="1"/>
  <c r="I298" i="3" s="1"/>
  <c r="I290" i="3" a="1"/>
  <c r="I290" i="3" s="1"/>
  <c r="I282" i="3" a="1"/>
  <c r="I282" i="3" s="1"/>
  <c r="I274" i="3" a="1"/>
  <c r="I274" i="3" s="1"/>
  <c r="I266" i="3" a="1"/>
  <c r="I266" i="3" s="1"/>
  <c r="I258" i="3" a="1"/>
  <c r="I258" i="3" s="1"/>
  <c r="I250" i="3" a="1"/>
  <c r="I250" i="3" s="1"/>
  <c r="I242" i="3" a="1"/>
  <c r="I242" i="3" s="1"/>
  <c r="I234" i="3" a="1"/>
  <c r="I234" i="3" s="1"/>
  <c r="I226" i="3" a="1"/>
  <c r="I226" i="3" s="1"/>
  <c r="I218" i="3" a="1"/>
  <c r="I218" i="3" s="1"/>
  <c r="I210" i="3" a="1"/>
  <c r="I210" i="3" s="1"/>
  <c r="I202" i="3" a="1"/>
  <c r="I202" i="3" s="1"/>
  <c r="I194" i="3" a="1"/>
  <c r="I194" i="3" s="1"/>
  <c r="I186" i="3" a="1"/>
  <c r="I186" i="3" s="1"/>
  <c r="I178" i="3" a="1"/>
  <c r="I178" i="3" s="1"/>
  <c r="I170" i="3" a="1"/>
  <c r="I170" i="3" s="1"/>
  <c r="I162" i="3" a="1"/>
  <c r="I162" i="3" s="1"/>
  <c r="I154" i="3" a="1"/>
  <c r="I154" i="3" s="1"/>
  <c r="I146" i="3" a="1"/>
  <c r="I146" i="3" s="1"/>
  <c r="I138" i="3" a="1"/>
  <c r="I138" i="3" s="1"/>
  <c r="I130" i="3" a="1"/>
  <c r="I130" i="3" s="1"/>
  <c r="I122" i="3" a="1"/>
  <c r="I122" i="3" s="1"/>
  <c r="I114" i="3" a="1"/>
  <c r="I114" i="3" s="1"/>
  <c r="I106" i="3" a="1"/>
  <c r="I106" i="3" s="1"/>
  <c r="I98" i="3" a="1"/>
  <c r="I98" i="3" s="1"/>
  <c r="I90" i="3" a="1"/>
  <c r="I90" i="3" s="1"/>
  <c r="I82" i="3" a="1"/>
  <c r="I82" i="3" s="1"/>
  <c r="I74" i="3" a="1"/>
  <c r="I74" i="3" s="1"/>
  <c r="I66" i="3" a="1"/>
  <c r="I66" i="3" s="1"/>
  <c r="I58" i="3" a="1"/>
  <c r="I58" i="3" s="1"/>
  <c r="I297" i="3" a="1"/>
  <c r="I297" i="3" s="1"/>
  <c r="I289" i="3" a="1"/>
  <c r="I289" i="3" s="1"/>
  <c r="I281" i="3" a="1"/>
  <c r="I281" i="3" s="1"/>
  <c r="I273" i="3" a="1"/>
  <c r="I273" i="3" s="1"/>
  <c r="I265" i="3" a="1"/>
  <c r="I265" i="3" s="1"/>
  <c r="I257" i="3" a="1"/>
  <c r="I257" i="3" s="1"/>
  <c r="I249" i="3" a="1"/>
  <c r="I249" i="3" s="1"/>
  <c r="I241" i="3" a="1"/>
  <c r="I241" i="3" s="1"/>
  <c r="I233" i="3" a="1"/>
  <c r="I233" i="3" s="1"/>
  <c r="I225" i="3" a="1"/>
  <c r="I225" i="3" s="1"/>
  <c r="I217" i="3" a="1"/>
  <c r="I217" i="3" s="1"/>
  <c r="I209" i="3" a="1"/>
  <c r="I209" i="3" s="1"/>
  <c r="I201" i="3" a="1"/>
  <c r="I201" i="3" s="1"/>
  <c r="I193" i="3" a="1"/>
  <c r="I193" i="3" s="1"/>
  <c r="I185" i="3" a="1"/>
  <c r="I185" i="3" s="1"/>
  <c r="I177" i="3" a="1"/>
  <c r="I177" i="3" s="1"/>
  <c r="I169" i="3" a="1"/>
  <c r="I169" i="3" s="1"/>
  <c r="I161" i="3" a="1"/>
  <c r="I161" i="3" s="1"/>
  <c r="I153" i="3" a="1"/>
  <c r="I153" i="3" s="1"/>
  <c r="I145" i="3" a="1"/>
  <c r="I145" i="3" s="1"/>
  <c r="I137" i="3" a="1"/>
  <c r="I137" i="3" s="1"/>
  <c r="I129" i="3" a="1"/>
  <c r="I129" i="3" s="1"/>
  <c r="I121" i="3" a="1"/>
  <c r="I121" i="3" s="1"/>
  <c r="I113" i="3" a="1"/>
  <c r="I113" i="3" s="1"/>
  <c r="I105" i="3" a="1"/>
  <c r="I105" i="3" s="1"/>
  <c r="I97" i="3" a="1"/>
  <c r="I97" i="3" s="1"/>
  <c r="I89" i="3" a="1"/>
  <c r="I89" i="3" s="1"/>
  <c r="I81" i="3" a="1"/>
  <c r="I81" i="3" s="1"/>
  <c r="I73" i="3" a="1"/>
  <c r="I73" i="3" s="1"/>
  <c r="I65" i="3" a="1"/>
  <c r="I65" i="3" s="1"/>
  <c r="I57" i="3" a="1"/>
  <c r="I57" i="3" s="1"/>
  <c r="I49" i="3" a="1"/>
  <c r="I49" i="3" s="1"/>
  <c r="I41" i="3" a="1"/>
  <c r="I41" i="3" s="1"/>
  <c r="I33" i="3" a="1"/>
  <c r="I33" i="3" s="1"/>
  <c r="I25" i="3" a="1"/>
  <c r="I25" i="3" s="1"/>
  <c r="I17" i="3" a="1"/>
  <c r="I17" i="3" s="1"/>
  <c r="I9" i="3" a="1"/>
  <c r="I9" i="3" s="1"/>
  <c r="I304" i="3" a="1"/>
  <c r="I304" i="3" s="1"/>
  <c r="I296" i="3" a="1"/>
  <c r="I296" i="3" s="1"/>
  <c r="I288" i="3" a="1"/>
  <c r="I288" i="3" s="1"/>
  <c r="I280" i="3" a="1"/>
  <c r="I280" i="3" s="1"/>
  <c r="I272" i="3" a="1"/>
  <c r="I272" i="3" s="1"/>
  <c r="I264" i="3" a="1"/>
  <c r="I264" i="3" s="1"/>
  <c r="I256" i="3" a="1"/>
  <c r="I256" i="3" s="1"/>
  <c r="I248" i="3" a="1"/>
  <c r="I248" i="3" s="1"/>
  <c r="I240" i="3" a="1"/>
  <c r="I240" i="3" s="1"/>
  <c r="I232" i="3" a="1"/>
  <c r="I232" i="3" s="1"/>
  <c r="I224" i="3" a="1"/>
  <c r="I224" i="3" s="1"/>
  <c r="I216" i="3" a="1"/>
  <c r="I216" i="3" s="1"/>
  <c r="I208" i="3" a="1"/>
  <c r="I208" i="3" s="1"/>
  <c r="I200" i="3" a="1"/>
  <c r="I200" i="3" s="1"/>
  <c r="I192" i="3" a="1"/>
  <c r="I192" i="3" s="1"/>
  <c r="I184" i="3" a="1"/>
  <c r="I184" i="3" s="1"/>
  <c r="I176" i="3" a="1"/>
  <c r="I176" i="3" s="1"/>
  <c r="I168" i="3" a="1"/>
  <c r="I168" i="3" s="1"/>
  <c r="I160" i="3" a="1"/>
  <c r="I160" i="3" s="1"/>
  <c r="I152" i="3" a="1"/>
  <c r="I152" i="3" s="1"/>
  <c r="I144" i="3" a="1"/>
  <c r="I144" i="3" s="1"/>
  <c r="I136" i="3" a="1"/>
  <c r="I136" i="3" s="1"/>
  <c r="I128" i="3" a="1"/>
  <c r="I128" i="3" s="1"/>
  <c r="I120" i="3" a="1"/>
  <c r="I120" i="3" s="1"/>
  <c r="I112" i="3" a="1"/>
  <c r="I112" i="3" s="1"/>
  <c r="I104" i="3" a="1"/>
  <c r="I104" i="3" s="1"/>
  <c r="I96" i="3" a="1"/>
  <c r="I96" i="3" s="1"/>
  <c r="I88" i="3" a="1"/>
  <c r="I88" i="3" s="1"/>
  <c r="I80" i="3" a="1"/>
  <c r="I80" i="3" s="1"/>
  <c r="I72" i="3" a="1"/>
  <c r="I72" i="3" s="1"/>
  <c r="I303" i="3" a="1"/>
  <c r="I303" i="3" s="1"/>
  <c r="I295" i="3" a="1"/>
  <c r="I295" i="3" s="1"/>
  <c r="I287" i="3" a="1"/>
  <c r="I287" i="3" s="1"/>
  <c r="I279" i="3" a="1"/>
  <c r="I279" i="3" s="1"/>
  <c r="I271" i="3" a="1"/>
  <c r="I271" i="3" s="1"/>
  <c r="I263" i="3" a="1"/>
  <c r="I263" i="3" s="1"/>
  <c r="I255" i="3" a="1"/>
  <c r="I255" i="3" s="1"/>
  <c r="I247" i="3" a="1"/>
  <c r="I247" i="3" s="1"/>
  <c r="I239" i="3" a="1"/>
  <c r="I239" i="3" s="1"/>
  <c r="I231" i="3" a="1"/>
  <c r="I231" i="3" s="1"/>
  <c r="I223" i="3" a="1"/>
  <c r="I223" i="3" s="1"/>
  <c r="I215" i="3" a="1"/>
  <c r="I215" i="3" s="1"/>
  <c r="I207" i="3" a="1"/>
  <c r="I207" i="3" s="1"/>
  <c r="I199" i="3" a="1"/>
  <c r="I199" i="3" s="1"/>
  <c r="I191" i="3" a="1"/>
  <c r="I191" i="3" s="1"/>
  <c r="I183" i="3" a="1"/>
  <c r="I183" i="3" s="1"/>
  <c r="I175" i="3" a="1"/>
  <c r="I175" i="3" s="1"/>
  <c r="I167" i="3" a="1"/>
  <c r="I167" i="3" s="1"/>
  <c r="I159" i="3" a="1"/>
  <c r="I159" i="3" s="1"/>
  <c r="I151" i="3" a="1"/>
  <c r="I151" i="3" s="1"/>
  <c r="I143" i="3" a="1"/>
  <c r="I143" i="3" s="1"/>
  <c r="I135" i="3" a="1"/>
  <c r="I135" i="3" s="1"/>
  <c r="I127" i="3" a="1"/>
  <c r="I127" i="3" s="1"/>
  <c r="I119" i="3" a="1"/>
  <c r="I119" i="3" s="1"/>
  <c r="I111" i="3" a="1"/>
  <c r="I111" i="3" s="1"/>
  <c r="I103" i="3" a="1"/>
  <c r="I103" i="3" s="1"/>
  <c r="I95" i="3" a="1"/>
  <c r="I95" i="3" s="1"/>
  <c r="I87" i="3" a="1"/>
  <c r="I87" i="3" s="1"/>
  <c r="I79" i="3" a="1"/>
  <c r="I79" i="3" s="1"/>
  <c r="I71" i="3" a="1"/>
  <c r="I71" i="3" s="1"/>
  <c r="I63" i="3" a="1"/>
  <c r="I63" i="3" s="1"/>
  <c r="I55" i="3" a="1"/>
  <c r="I55" i="3" s="1"/>
  <c r="I47" i="3" a="1"/>
  <c r="I47" i="3" s="1"/>
  <c r="I39" i="3" a="1"/>
  <c r="I39" i="3" s="1"/>
  <c r="I31" i="3" a="1"/>
  <c r="I31" i="3" s="1"/>
  <c r="I23" i="3" a="1"/>
  <c r="I23" i="3" s="1"/>
  <c r="I15" i="3" a="1"/>
  <c r="I15" i="3" s="1"/>
  <c r="I7" i="3" a="1"/>
  <c r="I7" i="3" s="1"/>
  <c r="I302" i="3" a="1"/>
  <c r="I302" i="3" s="1"/>
  <c r="I294" i="3" a="1"/>
  <c r="I294" i="3" s="1"/>
  <c r="I286" i="3" a="1"/>
  <c r="I286" i="3" s="1"/>
  <c r="I278" i="3" a="1"/>
  <c r="I278" i="3" s="1"/>
  <c r="I270" i="3" a="1"/>
  <c r="I270" i="3" s="1"/>
  <c r="I262" i="3" a="1"/>
  <c r="I262" i="3" s="1"/>
  <c r="I254" i="3" a="1"/>
  <c r="I254" i="3" s="1"/>
  <c r="I246" i="3" a="1"/>
  <c r="I246" i="3" s="1"/>
  <c r="I238" i="3" a="1"/>
  <c r="I238" i="3" s="1"/>
  <c r="I230" i="3" a="1"/>
  <c r="I230" i="3" s="1"/>
  <c r="I222" i="3" a="1"/>
  <c r="I222" i="3" s="1"/>
  <c r="I214" i="3" a="1"/>
  <c r="I214" i="3" s="1"/>
  <c r="I206" i="3" a="1"/>
  <c r="I206" i="3" s="1"/>
  <c r="I198" i="3" a="1"/>
  <c r="I198" i="3" s="1"/>
  <c r="I190" i="3" a="1"/>
  <c r="I190" i="3" s="1"/>
  <c r="I182" i="3" a="1"/>
  <c r="I182" i="3" s="1"/>
  <c r="I174" i="3" a="1"/>
  <c r="I174" i="3" s="1"/>
  <c r="I166" i="3" a="1"/>
  <c r="I166" i="3" s="1"/>
  <c r="I158" i="3" a="1"/>
  <c r="I158" i="3" s="1"/>
  <c r="I150" i="3" a="1"/>
  <c r="I150" i="3" s="1"/>
  <c r="I142" i="3" a="1"/>
  <c r="I142" i="3" s="1"/>
  <c r="I134" i="3" a="1"/>
  <c r="I134" i="3" s="1"/>
  <c r="I126" i="3" a="1"/>
  <c r="I126" i="3" s="1"/>
  <c r="I118" i="3" a="1"/>
  <c r="I118" i="3" s="1"/>
  <c r="I110" i="3" a="1"/>
  <c r="I110" i="3" s="1"/>
  <c r="I102" i="3" a="1"/>
  <c r="I102" i="3" s="1"/>
  <c r="I94" i="3" a="1"/>
  <c r="I94" i="3" s="1"/>
  <c r="I86" i="3" a="1"/>
  <c r="I86" i="3" s="1"/>
  <c r="I78" i="3" a="1"/>
  <c r="I78" i="3" s="1"/>
  <c r="I70" i="3" a="1"/>
  <c r="I70" i="3" s="1"/>
  <c r="I62" i="3" a="1"/>
  <c r="I62" i="3" s="1"/>
  <c r="I54" i="3" a="1"/>
  <c r="I54" i="3" s="1"/>
  <c r="I46" i="3" a="1"/>
  <c r="I46" i="3" s="1"/>
  <c r="I64" i="3" a="1"/>
  <c r="I64" i="3" s="1"/>
  <c r="I40" i="3" a="1"/>
  <c r="I40" i="3" s="1"/>
  <c r="I24" i="3" a="1"/>
  <c r="I24" i="3" s="1"/>
  <c r="I8" i="3" a="1"/>
  <c r="I8" i="3" s="1"/>
  <c r="I60" i="3" a="1"/>
  <c r="I60" i="3" s="1"/>
  <c r="I38" i="3" a="1"/>
  <c r="I38" i="3" s="1"/>
  <c r="I22" i="3" a="1"/>
  <c r="I22" i="3" s="1"/>
  <c r="I6" i="3" a="1"/>
  <c r="I6" i="3" s="1"/>
  <c r="I56" i="3" a="1"/>
  <c r="I56" i="3" s="1"/>
  <c r="I36" i="3" a="1"/>
  <c r="I36" i="3" s="1"/>
  <c r="I20" i="3" a="1"/>
  <c r="I20" i="3" s="1"/>
  <c r="I4" i="3" a="1"/>
  <c r="I4" i="3" s="1"/>
  <c r="I52" i="3" a="1"/>
  <c r="I52" i="3" s="1"/>
  <c r="I34" i="3" a="1"/>
  <c r="I34" i="3" s="1"/>
  <c r="I18" i="3" a="1"/>
  <c r="I18" i="3" s="1"/>
  <c r="I50" i="3" a="1"/>
  <c r="I50" i="3" s="1"/>
  <c r="I32" i="3" a="1"/>
  <c r="I32" i="3" s="1"/>
  <c r="I16" i="3" a="1"/>
  <c r="I16" i="3" s="1"/>
  <c r="I48" i="3" a="1"/>
  <c r="I48" i="3" s="1"/>
  <c r="I30" i="3" a="1"/>
  <c r="I30" i="3" s="1"/>
  <c r="I14" i="3" a="1"/>
  <c r="I14" i="3" s="1"/>
  <c r="I44" i="3" a="1"/>
  <c r="I44" i="3" s="1"/>
  <c r="I28" i="3" a="1"/>
  <c r="I28" i="3" s="1"/>
  <c r="I12" i="3" a="1"/>
  <c r="I12" i="3" s="1"/>
  <c r="I42" i="3" a="1"/>
  <c r="I42" i="3" s="1"/>
  <c r="I26" i="3" a="1"/>
  <c r="I26" i="3" s="1"/>
  <c r="I10" i="3" a="1"/>
  <c r="I10" i="3" s="1"/>
  <c r="S277" i="3" a="1"/>
  <c r="S277" i="3" s="1"/>
  <c r="E310" i="3" a="1"/>
  <c r="E310" i="3" s="1"/>
  <c r="B310" i="3" a="1"/>
  <c r="B310" i="3" s="1"/>
  <c r="X310" i="3" a="1"/>
  <c r="X310" i="3" s="1"/>
  <c r="S310" i="3" a="1"/>
  <c r="S310" i="3" s="1"/>
  <c r="E309" i="3" a="1"/>
  <c r="E309" i="3" s="1"/>
  <c r="B309" i="3" a="1"/>
  <c r="B309" i="3" s="1"/>
  <c r="X309" i="3" a="1"/>
  <c r="X309" i="3" s="1"/>
  <c r="S309" i="3" a="1"/>
  <c r="S309" i="3" s="1"/>
  <c r="F310" i="3" a="1"/>
  <c r="F310" i="3" s="1"/>
  <c r="W310" i="3" a="1"/>
  <c r="W310" i="3" s="1"/>
  <c r="T310" i="3" a="1"/>
  <c r="T310" i="3" s="1"/>
  <c r="F309" i="3" a="1"/>
  <c r="F309" i="3" s="1"/>
  <c r="W309" i="3" a="1"/>
  <c r="W309" i="3" s="1"/>
  <c r="T309" i="3" a="1"/>
  <c r="T309" i="3" s="1"/>
  <c r="G310" i="3" a="1"/>
  <c r="G310" i="3" s="1"/>
  <c r="M310" i="3" s="1" a="1"/>
  <c r="M310" i="3" s="1"/>
  <c r="G309" i="3" a="1"/>
  <c r="G309" i="3" s="1"/>
  <c r="K309" i="3" s="1" a="1"/>
  <c r="K309" i="3" s="1"/>
  <c r="S173" i="3" a="1"/>
  <c r="S173" i="3" s="1"/>
  <c r="G54" i="3" a="1"/>
  <c r="G54" i="3" s="1"/>
  <c r="G86" i="3" a="1"/>
  <c r="G86" i="3" s="1"/>
  <c r="S65" i="3" a="1"/>
  <c r="S65" i="3" s="1"/>
  <c r="W113" i="3" a="1"/>
  <c r="W113" i="3" s="1"/>
  <c r="S150" i="3" a="1"/>
  <c r="S150" i="3" s="1"/>
  <c r="G23" i="3" a="1"/>
  <c r="G23" i="3" s="1"/>
  <c r="T28" i="3" a="1"/>
  <c r="T28" i="3" s="1"/>
  <c r="S4" i="3" a="1"/>
  <c r="S4" i="3" s="1"/>
  <c r="W48" i="3" a="1"/>
  <c r="W48" i="3" s="1"/>
  <c r="G133" i="3" a="1"/>
  <c r="G133" i="3" s="1"/>
  <c r="X172" i="3" a="1"/>
  <c r="X172" i="3" s="1"/>
  <c r="T27" i="3" a="1"/>
  <c r="T27" i="3" s="1"/>
  <c r="X56" i="3" a="1"/>
  <c r="X56" i="3" s="1"/>
  <c r="T118" i="3" a="1"/>
  <c r="T118" i="3" s="1"/>
  <c r="T73" i="3" a="1"/>
  <c r="T73" i="3" s="1"/>
  <c r="T71" i="3" a="1"/>
  <c r="T71" i="3" s="1"/>
  <c r="W146" i="3" a="1"/>
  <c r="W146" i="3" s="1"/>
  <c r="G119" i="3" a="1"/>
  <c r="G119" i="3" s="1"/>
  <c r="W37" i="3" a="1"/>
  <c r="W37" i="3" s="1"/>
  <c r="S134" i="3" a="1"/>
  <c r="S134" i="3" s="1"/>
  <c r="T93" i="3" a="1"/>
  <c r="T93" i="3" s="1"/>
  <c r="G74" i="3" a="1"/>
  <c r="G74" i="3" s="1"/>
  <c r="S106" i="3" a="1"/>
  <c r="S106" i="3" s="1"/>
  <c r="W157" i="3" a="1"/>
  <c r="W157" i="3" s="1"/>
  <c r="W168" i="3" a="1"/>
  <c r="W168" i="3" s="1"/>
  <c r="T123" i="3" a="1"/>
  <c r="T123" i="3" s="1"/>
  <c r="W101" i="3" a="1"/>
  <c r="W101" i="3" s="1"/>
  <c r="W22" i="3" a="1"/>
  <c r="W22" i="3" s="1"/>
  <c r="X108" i="3" a="1"/>
  <c r="X108" i="3" s="1"/>
  <c r="G165" i="3" a="1"/>
  <c r="G165" i="3" s="1"/>
  <c r="S30" i="3" a="1"/>
  <c r="S30" i="3" s="1"/>
  <c r="S21" i="3" a="1"/>
  <c r="S21" i="3" s="1"/>
  <c r="W173" i="3" a="1"/>
  <c r="W173" i="3" s="1"/>
  <c r="X64" i="3" a="1"/>
  <c r="X64" i="3" s="1"/>
  <c r="E57" i="3" a="1"/>
  <c r="E57" i="3" s="1"/>
  <c r="F111" i="3" a="1"/>
  <c r="F111" i="3" s="1"/>
  <c r="S185" i="3" a="1"/>
  <c r="S185" i="3" s="1"/>
  <c r="S216" i="3" a="1"/>
  <c r="S216" i="3" s="1"/>
  <c r="T231" i="3" a="1"/>
  <c r="T231" i="3" s="1"/>
  <c r="G118" i="3" a="1"/>
  <c r="G118" i="3" s="1"/>
  <c r="G78" i="3" a="1"/>
  <c r="G78" i="3" s="1"/>
  <c r="G110" i="3" a="1"/>
  <c r="G110" i="3" s="1"/>
  <c r="T95" i="3" a="1"/>
  <c r="T95" i="3" s="1"/>
  <c r="X4" i="3" a="1"/>
  <c r="X4" i="3" s="1"/>
  <c r="T96" i="3" a="1"/>
  <c r="T96" i="3" s="1"/>
  <c r="S51" i="3" a="1"/>
  <c r="S51" i="3" s="1"/>
  <c r="T50" i="3" a="1"/>
  <c r="T50" i="3" s="1"/>
  <c r="S159" i="3" a="1"/>
  <c r="S159" i="3" s="1"/>
  <c r="S69" i="3" a="1"/>
  <c r="S69" i="3" s="1"/>
  <c r="S6" i="3" a="1"/>
  <c r="S6" i="3" s="1"/>
  <c r="W56" i="3" a="1"/>
  <c r="W56" i="3" s="1"/>
  <c r="W53" i="3" a="1"/>
  <c r="W53" i="3" s="1"/>
  <c r="W61" i="3" a="1"/>
  <c r="W61" i="3" s="1"/>
  <c r="W60" i="3" a="1"/>
  <c r="W60" i="3" s="1"/>
  <c r="X51" i="3" a="1"/>
  <c r="X51" i="3" s="1"/>
  <c r="G58" i="3" a="1"/>
  <c r="G58" i="3" s="1"/>
  <c r="E8" i="3" a="1"/>
  <c r="E8" i="3" s="1"/>
  <c r="T246" i="3" a="1"/>
  <c r="T246" i="3" s="1"/>
  <c r="G70" i="3" a="1"/>
  <c r="G70" i="3" s="1"/>
  <c r="G38" i="3" a="1"/>
  <c r="G38" i="3" s="1"/>
  <c r="S127" i="3" a="1"/>
  <c r="S127" i="3" s="1"/>
  <c r="W58" i="3" a="1"/>
  <c r="W58" i="3" s="1"/>
  <c r="T117" i="3" a="1"/>
  <c r="T117" i="3" s="1"/>
  <c r="T6" i="3" a="1"/>
  <c r="T6" i="3" s="1"/>
  <c r="S143" i="3" a="1"/>
  <c r="S143" i="3" s="1"/>
  <c r="S119" i="3" a="1"/>
  <c r="S119" i="3" s="1"/>
  <c r="W65" i="3" a="1"/>
  <c r="W65" i="3" s="1"/>
  <c r="T137" i="3" a="1"/>
  <c r="T137" i="3" s="1"/>
  <c r="T143" i="3" a="1"/>
  <c r="T143" i="3" s="1"/>
  <c r="X13" i="3" a="1"/>
  <c r="X13" i="3" s="1"/>
  <c r="W121" i="3" a="1"/>
  <c r="W121" i="3" s="1"/>
  <c r="G43" i="3" a="1"/>
  <c r="G43" i="3" s="1"/>
  <c r="G99" i="3" a="1"/>
  <c r="G99" i="3" s="1"/>
  <c r="W143" i="3" a="1"/>
  <c r="W143" i="3" s="1"/>
  <c r="X57" i="3" a="1"/>
  <c r="X57" i="3" s="1"/>
  <c r="X19" i="3" a="1"/>
  <c r="X19" i="3" s="1"/>
  <c r="F38" i="3" a="1"/>
  <c r="F38" i="3" s="1"/>
  <c r="F32" i="3" a="1"/>
  <c r="F32" i="3" s="1"/>
  <c r="G194" i="3" a="1"/>
  <c r="G194" i="3" s="1"/>
  <c r="G250" i="3" a="1"/>
  <c r="G250" i="3" s="1"/>
  <c r="K250" i="3" s="1" a="1"/>
  <c r="K250" i="3" s="1"/>
  <c r="G85" i="3" a="1"/>
  <c r="G85" i="3" s="1"/>
  <c r="G134" i="3" a="1"/>
  <c r="G134" i="3" s="1"/>
  <c r="G71" i="3" a="1"/>
  <c r="G71" i="3" s="1"/>
  <c r="G53" i="3" a="1"/>
  <c r="G53" i="3" s="1"/>
  <c r="G102" i="3" a="1"/>
  <c r="G102" i="3" s="1"/>
  <c r="S32" i="3" a="1"/>
  <c r="S32" i="3" s="1"/>
  <c r="S156" i="3" a="1"/>
  <c r="S156" i="3" s="1"/>
  <c r="T154" i="3" a="1"/>
  <c r="T154" i="3" s="1"/>
  <c r="W71" i="3" a="1"/>
  <c r="W71" i="3" s="1"/>
  <c r="S17" i="3" a="1"/>
  <c r="S17" i="3" s="1"/>
  <c r="S164" i="3" a="1"/>
  <c r="S164" i="3" s="1"/>
  <c r="T131" i="3" a="1"/>
  <c r="T131" i="3" s="1"/>
  <c r="W85" i="3" a="1"/>
  <c r="W85" i="3" s="1"/>
  <c r="S121" i="3" a="1"/>
  <c r="S121" i="3" s="1"/>
  <c r="T47" i="3" a="1"/>
  <c r="T47" i="3" s="1"/>
  <c r="T36" i="3" a="1"/>
  <c r="T36" i="3" s="1"/>
  <c r="W59" i="3" a="1"/>
  <c r="W59" i="3" s="1"/>
  <c r="T5" i="3" a="1"/>
  <c r="T5" i="3" s="1"/>
  <c r="T158" i="3" a="1"/>
  <c r="T158" i="3" s="1"/>
  <c r="X86" i="3" a="1"/>
  <c r="X86" i="3" s="1"/>
  <c r="T63" i="3" a="1"/>
  <c r="T63" i="3" s="1"/>
  <c r="W128" i="3" a="1"/>
  <c r="W128" i="3" s="1"/>
  <c r="S13" i="3" a="1"/>
  <c r="S13" i="3" s="1"/>
  <c r="S162" i="3" a="1"/>
  <c r="S162" i="3" s="1"/>
  <c r="S158" i="3" a="1"/>
  <c r="S158" i="3" s="1"/>
  <c r="T82" i="3" a="1"/>
  <c r="T82" i="3" s="1"/>
  <c r="S115" i="3" a="1"/>
  <c r="S115" i="3" s="1"/>
  <c r="T148" i="3" a="1"/>
  <c r="T148" i="3" s="1"/>
  <c r="W111" i="3" a="1"/>
  <c r="W111" i="3" s="1"/>
  <c r="G106" i="3" a="1"/>
  <c r="G106" i="3" s="1"/>
  <c r="M106" i="3" s="1" a="1"/>
  <c r="M106" i="3" s="1"/>
  <c r="G35" i="3" a="1"/>
  <c r="G35" i="3" s="1"/>
  <c r="G148" i="3" a="1"/>
  <c r="G148" i="3" s="1"/>
  <c r="X98" i="3" a="1"/>
  <c r="X98" i="3" s="1"/>
  <c r="G60" i="3" a="1"/>
  <c r="G60" i="3" s="1"/>
  <c r="G50" i="3" a="1"/>
  <c r="G50" i="3" s="1"/>
  <c r="E86" i="3" a="1"/>
  <c r="E86" i="3" s="1"/>
  <c r="F31" i="3" a="1"/>
  <c r="F31" i="3" s="1"/>
  <c r="X200" i="3" a="1"/>
  <c r="X200" i="3" s="1"/>
  <c r="X250" i="3" a="1"/>
  <c r="X250" i="3" s="1"/>
  <c r="G111" i="3" a="1"/>
  <c r="G111" i="3" s="1"/>
  <c r="G79" i="3" a="1"/>
  <c r="G79" i="3" s="1"/>
  <c r="G103" i="3" a="1"/>
  <c r="G103" i="3" s="1"/>
  <c r="T88" i="3" a="1"/>
  <c r="T88" i="3" s="1"/>
  <c r="S41" i="3" a="1"/>
  <c r="S41" i="3" s="1"/>
  <c r="T65" i="3" a="1"/>
  <c r="T65" i="3" s="1"/>
  <c r="S19" i="3" a="1"/>
  <c r="S19" i="3" s="1"/>
  <c r="X66" i="3" a="1"/>
  <c r="X66" i="3" s="1"/>
  <c r="T58" i="3" a="1"/>
  <c r="T58" i="3" s="1"/>
  <c r="T86" i="3" a="1"/>
  <c r="T86" i="3" s="1"/>
  <c r="S160" i="3" a="1"/>
  <c r="S160" i="3" s="1"/>
  <c r="S90" i="3" a="1"/>
  <c r="S90" i="3" s="1"/>
  <c r="S114" i="3" a="1"/>
  <c r="S114" i="3" s="1"/>
  <c r="X43" i="3" a="1"/>
  <c r="X43" i="3" s="1"/>
  <c r="G62" i="3" a="1"/>
  <c r="G62" i="3" s="1"/>
  <c r="G135" i="3" a="1"/>
  <c r="G135" i="3" s="1"/>
  <c r="G166" i="3" a="1"/>
  <c r="G166" i="3" s="1"/>
  <c r="S95" i="3" a="1"/>
  <c r="S95" i="3" s="1"/>
  <c r="W72" i="3" a="1"/>
  <c r="W72" i="3" s="1"/>
  <c r="T62" i="3" a="1"/>
  <c r="T62" i="3" s="1"/>
  <c r="W45" i="3" a="1"/>
  <c r="W45" i="3" s="1"/>
  <c r="S14" i="3" a="1"/>
  <c r="S14" i="3" s="1"/>
  <c r="S7" i="3" a="1"/>
  <c r="S7" i="3" s="1"/>
  <c r="T44" i="3" a="1"/>
  <c r="T44" i="3" s="1"/>
  <c r="S82" i="3" a="1"/>
  <c r="S82" i="3" s="1"/>
  <c r="T128" i="3" a="1"/>
  <c r="T128" i="3" s="1"/>
  <c r="S70" i="3" a="1"/>
  <c r="S70" i="3" s="1"/>
  <c r="S147" i="3" a="1"/>
  <c r="S147" i="3" s="1"/>
  <c r="S85" i="3" a="1"/>
  <c r="S85" i="3" s="1"/>
  <c r="X60" i="3" a="1"/>
  <c r="X60" i="3" s="1"/>
  <c r="G98" i="3" a="1"/>
  <c r="G98" i="3" s="1"/>
  <c r="W98" i="3" a="1"/>
  <c r="W98" i="3" s="1"/>
  <c r="G137" i="3" a="1"/>
  <c r="G137" i="3" s="1"/>
  <c r="F201" i="3" a="1"/>
  <c r="F201" i="3" s="1"/>
  <c r="T278" i="3" a="1"/>
  <c r="T278" i="3" s="1"/>
  <c r="G13" i="3" a="1"/>
  <c r="G13" i="3" s="1"/>
  <c r="G126" i="3" a="1"/>
  <c r="G126" i="3" s="1"/>
  <c r="G127" i="3" a="1"/>
  <c r="G127" i="3" s="1"/>
  <c r="G109" i="3" a="1"/>
  <c r="G109" i="3" s="1"/>
  <c r="G94" i="3" a="1"/>
  <c r="G94" i="3" s="1"/>
  <c r="G31" i="3" a="1"/>
  <c r="G31" i="3" s="1"/>
  <c r="S9" i="3" a="1"/>
  <c r="S9" i="3" s="1"/>
  <c r="S157" i="3" a="1"/>
  <c r="S157" i="3" s="1"/>
  <c r="T98" i="3" a="1"/>
  <c r="T98" i="3" s="1"/>
  <c r="W64" i="3" a="1"/>
  <c r="W64" i="3" s="1"/>
  <c r="S10" i="3" a="1"/>
  <c r="S10" i="3" s="1"/>
  <c r="T127" i="3" a="1"/>
  <c r="T127" i="3" s="1"/>
  <c r="T134" i="3" a="1"/>
  <c r="T134" i="3" s="1"/>
  <c r="X20" i="3" a="1"/>
  <c r="X20" i="3" s="1"/>
  <c r="S86" i="3" a="1"/>
  <c r="S86" i="3" s="1"/>
  <c r="T40" i="3" a="1"/>
  <c r="T40" i="3" s="1"/>
  <c r="W9" i="3" a="1"/>
  <c r="W9" i="3" s="1"/>
  <c r="S42" i="3" a="1"/>
  <c r="S42" i="3" s="1"/>
  <c r="T162" i="3" a="1"/>
  <c r="T162" i="3" s="1"/>
  <c r="T108" i="3" a="1"/>
  <c r="T108" i="3" s="1"/>
  <c r="S36" i="3" a="1"/>
  <c r="S36" i="3" s="1"/>
  <c r="S166" i="3" a="1"/>
  <c r="S166" i="3" s="1"/>
  <c r="W133" i="3" a="1"/>
  <c r="W133" i="3" s="1"/>
  <c r="T152" i="3" a="1"/>
  <c r="T152" i="3" s="1"/>
  <c r="W26" i="3" a="1"/>
  <c r="W26" i="3" s="1"/>
  <c r="S137" i="3" a="1"/>
  <c r="S137" i="3" s="1"/>
  <c r="T4" i="3" a="1"/>
  <c r="T4" i="3" s="1"/>
  <c r="S48" i="3" a="1"/>
  <c r="S48" i="3" s="1"/>
  <c r="S62" i="3" a="1"/>
  <c r="S62" i="3" s="1"/>
  <c r="X15" i="3" a="1"/>
  <c r="X15" i="3" s="1"/>
  <c r="X23" i="3" a="1"/>
  <c r="X23" i="3" s="1"/>
  <c r="X79" i="3" a="1"/>
  <c r="X79" i="3" s="1"/>
  <c r="G8" i="3" a="1"/>
  <c r="G8" i="3" s="1"/>
  <c r="X114" i="3" a="1"/>
  <c r="X114" i="3" s="1"/>
  <c r="W174" i="3" a="1"/>
  <c r="W174" i="3" s="1"/>
  <c r="F9" i="3" a="1"/>
  <c r="F9" i="3" s="1"/>
  <c r="E47" i="3" a="1"/>
  <c r="E47" i="3" s="1"/>
  <c r="S177" i="3" a="1"/>
  <c r="S177" i="3" s="1"/>
  <c r="T211" i="3" a="1"/>
  <c r="T211" i="3" s="1"/>
  <c r="W225" i="3" a="1"/>
  <c r="W225" i="3" s="1"/>
  <c r="G29" i="3" a="1"/>
  <c r="G29" i="3" s="1"/>
  <c r="G150" i="3" a="1"/>
  <c r="G150" i="3" s="1"/>
  <c r="G87" i="3" a="1"/>
  <c r="G87" i="3" s="1"/>
  <c r="S58" i="3" a="1"/>
  <c r="S58" i="3" s="1"/>
  <c r="T20" i="3" a="1"/>
  <c r="T20" i="3" s="1"/>
  <c r="S138" i="3" a="1"/>
  <c r="S138" i="3" s="1"/>
  <c r="T159" i="3" a="1"/>
  <c r="T159" i="3" s="1"/>
  <c r="T61" i="3" a="1"/>
  <c r="T61" i="3" s="1"/>
  <c r="T147" i="3" a="1"/>
  <c r="T147" i="3" s="1"/>
  <c r="S98" i="3" a="1"/>
  <c r="S98" i="3" s="1"/>
  <c r="T157" i="3" a="1"/>
  <c r="T157" i="3" s="1"/>
  <c r="T168" i="3" a="1"/>
  <c r="T168" i="3" s="1"/>
  <c r="S103" i="3" a="1"/>
  <c r="S103" i="3" s="1"/>
  <c r="T79" i="3" a="1"/>
  <c r="T79" i="3" s="1"/>
  <c r="T110" i="3" a="1"/>
  <c r="T110" i="3" s="1"/>
  <c r="W52" i="3" a="1"/>
  <c r="W52" i="3" s="1"/>
  <c r="W51" i="3" a="1"/>
  <c r="W51" i="3" s="1"/>
  <c r="G10" i="3" a="1"/>
  <c r="G10" i="3" s="1"/>
  <c r="E105" i="3" a="1"/>
  <c r="E105" i="3" s="1"/>
  <c r="T180" i="3" a="1"/>
  <c r="T180" i="3" s="1"/>
  <c r="G7" i="3" a="1"/>
  <c r="G7" i="3" s="1"/>
  <c r="W82" i="3" a="1"/>
  <c r="W82" i="3" s="1"/>
  <c r="T105" i="3" a="1"/>
  <c r="T105" i="3" s="1"/>
  <c r="G63" i="3" a="1"/>
  <c r="G63" i="3" s="1"/>
  <c r="G30" i="3" a="1"/>
  <c r="G30" i="3" s="1"/>
  <c r="S128" i="3" a="1"/>
  <c r="S128" i="3" s="1"/>
  <c r="T121" i="3" a="1"/>
  <c r="T121" i="3" s="1"/>
  <c r="S73" i="3" a="1"/>
  <c r="S73" i="3" s="1"/>
  <c r="T106" i="3" a="1"/>
  <c r="T106" i="3" s="1"/>
  <c r="S3" i="3" a="1"/>
  <c r="S3" i="3" s="1"/>
  <c r="T100" i="3" a="1"/>
  <c r="T100" i="3" s="1"/>
  <c r="S113" i="3" a="1"/>
  <c r="S113" i="3" s="1"/>
  <c r="W129" i="3" a="1"/>
  <c r="W129" i="3" s="1"/>
  <c r="T149" i="3" a="1"/>
  <c r="T149" i="3" s="1"/>
  <c r="T107" i="3" a="1"/>
  <c r="T107" i="3" s="1"/>
  <c r="T26" i="3" a="1"/>
  <c r="T26" i="3" s="1"/>
  <c r="G42" i="3" a="1"/>
  <c r="G42" i="3" s="1"/>
  <c r="G155" i="3" a="1"/>
  <c r="G155" i="3" s="1"/>
  <c r="G130" i="3" a="1"/>
  <c r="G130" i="3" s="1"/>
  <c r="E39" i="3" a="1"/>
  <c r="E39" i="3" s="1"/>
  <c r="E109" i="3" a="1"/>
  <c r="E109" i="3" s="1"/>
  <c r="X221" i="3" a="1"/>
  <c r="X221" i="3" s="1"/>
  <c r="G141" i="3" a="1"/>
  <c r="G141" i="3" s="1"/>
  <c r="G55" i="3" a="1"/>
  <c r="G55" i="3" s="1"/>
  <c r="G37" i="3" a="1"/>
  <c r="G37" i="3" s="1"/>
  <c r="G22" i="3" a="1"/>
  <c r="G22" i="3" s="1"/>
  <c r="G158" i="3" a="1"/>
  <c r="G158" i="3" s="1"/>
  <c r="G159" i="3" a="1"/>
  <c r="G159" i="3" s="1"/>
  <c r="S97" i="3" a="1"/>
  <c r="S97" i="3" s="1"/>
  <c r="T54" i="3" a="1"/>
  <c r="T54" i="3" s="1"/>
  <c r="T167" i="3" a="1"/>
  <c r="T167" i="3" s="1"/>
  <c r="W153" i="3" a="1"/>
  <c r="W153" i="3" s="1"/>
  <c r="S77" i="3" a="1"/>
  <c r="S77" i="3" s="1"/>
  <c r="T39" i="3" a="1"/>
  <c r="T39" i="3" s="1"/>
  <c r="S136" i="3" a="1"/>
  <c r="S136" i="3" s="1"/>
  <c r="X157" i="3" a="1"/>
  <c r="X157" i="3" s="1"/>
  <c r="S39" i="3" a="1"/>
  <c r="S39" i="3" s="1"/>
  <c r="T9" i="3" a="1"/>
  <c r="T9" i="3" s="1"/>
  <c r="W97" i="3" a="1"/>
  <c r="W97" i="3" s="1"/>
  <c r="S108" i="3" a="1"/>
  <c r="S108" i="3" s="1"/>
  <c r="T119" i="3" a="1"/>
  <c r="T119" i="3" s="1"/>
  <c r="W8" i="3" a="1"/>
  <c r="W8" i="3" s="1"/>
  <c r="S146" i="3" a="1"/>
  <c r="S146" i="3" s="1"/>
  <c r="T89" i="3" a="1"/>
  <c r="T89" i="3" s="1"/>
  <c r="W118" i="3" a="1"/>
  <c r="W118" i="3" s="1"/>
  <c r="T94" i="3" a="1"/>
  <c r="T94" i="3" s="1"/>
  <c r="W40" i="3" a="1"/>
  <c r="W40" i="3" s="1"/>
  <c r="T29" i="3" a="1"/>
  <c r="T29" i="3" s="1"/>
  <c r="W142" i="3" a="1"/>
  <c r="W142" i="3" s="1"/>
  <c r="S5" i="3" a="1"/>
  <c r="S5" i="3" s="1"/>
  <c r="T169" i="3" a="1"/>
  <c r="T169" i="3" s="1"/>
  <c r="W99" i="3" a="1"/>
  <c r="W99" i="3" s="1"/>
  <c r="W43" i="3" a="1"/>
  <c r="W43" i="3" s="1"/>
  <c r="X14" i="3" a="1"/>
  <c r="X14" i="3" s="1"/>
  <c r="W140" i="3" a="1"/>
  <c r="W140" i="3" s="1"/>
  <c r="G138" i="3" a="1"/>
  <c r="G138" i="3" s="1"/>
  <c r="M138" i="3" s="1" a="1"/>
  <c r="M138" i="3" s="1"/>
  <c r="W162" i="3" a="1"/>
  <c r="W162" i="3" s="1"/>
  <c r="E51" i="3" a="1"/>
  <c r="E51" i="3" s="1"/>
  <c r="F163" i="3" a="1"/>
  <c r="F163" i="3" s="1"/>
  <c r="E185" i="3" a="1"/>
  <c r="E185" i="3" s="1"/>
  <c r="S217" i="3" a="1"/>
  <c r="S217" i="3" s="1"/>
  <c r="E228" i="3" a="1"/>
  <c r="E228" i="3" s="1"/>
  <c r="G47" i="3" a="1"/>
  <c r="G47" i="3" s="1"/>
  <c r="G157" i="3" a="1"/>
  <c r="G157" i="3" s="1"/>
  <c r="G142" i="3" a="1"/>
  <c r="G142" i="3" s="1"/>
  <c r="G15" i="3" a="1"/>
  <c r="G15" i="3" s="1"/>
  <c r="G61" i="3" a="1"/>
  <c r="G61" i="3" s="1"/>
  <c r="G174" i="3" a="1"/>
  <c r="G174" i="3" s="1"/>
  <c r="L174" i="3" s="1" a="1"/>
  <c r="L174" i="3" s="1"/>
  <c r="S22" i="3" a="1"/>
  <c r="S22" i="3" s="1"/>
  <c r="S133" i="3" a="1"/>
  <c r="S133" i="3" s="1"/>
  <c r="T151" i="3" a="1"/>
  <c r="T151" i="3" s="1"/>
  <c r="X92" i="3" a="1"/>
  <c r="X92" i="3" s="1"/>
  <c r="S100" i="3" a="1"/>
  <c r="S100" i="3" s="1"/>
  <c r="T164" i="3" a="1"/>
  <c r="T164" i="3" s="1"/>
  <c r="W81" i="3" a="1"/>
  <c r="W81" i="3" s="1"/>
  <c r="S34" i="3" a="1"/>
  <c r="S34" i="3" s="1"/>
  <c r="T126" i="3" a="1"/>
  <c r="T126" i="3" s="1"/>
  <c r="T75" i="3" a="1"/>
  <c r="T75" i="3" s="1"/>
  <c r="W55" i="3" a="1"/>
  <c r="W55" i="3" s="1"/>
  <c r="S63" i="3" a="1"/>
  <c r="S63" i="3" s="1"/>
  <c r="T17" i="3" a="1"/>
  <c r="T17" i="3" s="1"/>
  <c r="W102" i="3" a="1"/>
  <c r="W102" i="3" s="1"/>
  <c r="T13" i="3" a="1"/>
  <c r="T13" i="3" s="1"/>
  <c r="S99" i="3" a="1"/>
  <c r="S99" i="3" s="1"/>
  <c r="S35" i="3" a="1"/>
  <c r="S35" i="3" s="1"/>
  <c r="T97" i="3" a="1"/>
  <c r="T97" i="3" s="1"/>
  <c r="W90" i="3" a="1"/>
  <c r="W90" i="3" s="1"/>
  <c r="S109" i="3" a="1"/>
  <c r="S109" i="3" s="1"/>
  <c r="W150" i="3" a="1"/>
  <c r="W150" i="3" s="1"/>
  <c r="T87" i="3" a="1"/>
  <c r="T87" i="3" s="1"/>
  <c r="W25" i="3" a="1"/>
  <c r="W25" i="3" s="1"/>
  <c r="X84" i="3" a="1"/>
  <c r="X84" i="3" s="1"/>
  <c r="X103" i="3" a="1"/>
  <c r="X103" i="3" s="1"/>
  <c r="X168" i="3" a="1"/>
  <c r="X168" i="3" s="1"/>
  <c r="W88" i="3" a="1"/>
  <c r="W88" i="3" s="1"/>
  <c r="W139" i="3" a="1"/>
  <c r="W139" i="3" s="1"/>
  <c r="X69" i="3" a="1"/>
  <c r="X69" i="3" s="1"/>
  <c r="F171" i="3" a="1"/>
  <c r="F171" i="3" s="1"/>
  <c r="E44" i="3" a="1"/>
  <c r="E44" i="3" s="1"/>
  <c r="X191" i="3" a="1"/>
  <c r="X191" i="3" s="1"/>
  <c r="X256" i="3" a="1"/>
  <c r="X256" i="3" s="1"/>
  <c r="G267" i="3" a="1"/>
  <c r="G267" i="3" s="1"/>
  <c r="O267" i="3" s="1" a="1"/>
  <c r="O267" i="3" s="1"/>
  <c r="G77" i="3" a="1"/>
  <c r="G77" i="3" s="1"/>
  <c r="G149" i="3" a="1"/>
  <c r="G149" i="3" s="1"/>
  <c r="G6" i="3" a="1"/>
  <c r="G6" i="3" s="1"/>
  <c r="G14" i="3" a="1"/>
  <c r="G14" i="3" s="1"/>
  <c r="G173" i="3" a="1"/>
  <c r="G173" i="3" s="1"/>
  <c r="G117" i="3" a="1"/>
  <c r="G117" i="3" s="1"/>
  <c r="G125" i="3" a="1"/>
  <c r="G125" i="3" s="1"/>
  <c r="G46" i="3" a="1"/>
  <c r="G46" i="3" s="1"/>
  <c r="S142" i="3" a="1"/>
  <c r="S142" i="3" s="1"/>
  <c r="T109" i="3" a="1"/>
  <c r="T109" i="3" s="1"/>
  <c r="T24" i="3" a="1"/>
  <c r="T24" i="3" s="1"/>
  <c r="S68" i="3" a="1"/>
  <c r="S68" i="3" s="1"/>
  <c r="W166" i="3" a="1"/>
  <c r="W166" i="3" s="1"/>
  <c r="S154" i="3" a="1"/>
  <c r="S154" i="3" s="1"/>
  <c r="S163" i="3" a="1"/>
  <c r="S163" i="3" s="1"/>
  <c r="T32" i="3" a="1"/>
  <c r="T32" i="3" s="1"/>
  <c r="S74" i="3" a="1"/>
  <c r="S74" i="3" s="1"/>
  <c r="T141" i="3" a="1"/>
  <c r="T141" i="3" s="1"/>
  <c r="S84" i="3" a="1"/>
  <c r="S84" i="3" s="1"/>
  <c r="S169" i="3" a="1"/>
  <c r="S169" i="3" s="1"/>
  <c r="S78" i="3" a="1"/>
  <c r="S78" i="3" s="1"/>
  <c r="S87" i="3" a="1"/>
  <c r="S87" i="3" s="1"/>
  <c r="W11" i="3" a="1"/>
  <c r="W11" i="3" s="1"/>
  <c r="S61" i="3" a="1"/>
  <c r="S61" i="3" s="1"/>
  <c r="S165" i="3" a="1"/>
  <c r="S165" i="3" s="1"/>
  <c r="T55" i="3" a="1"/>
  <c r="T55" i="3" s="1"/>
  <c r="T122" i="3" a="1"/>
  <c r="T122" i="3" s="1"/>
  <c r="W117" i="3" a="1"/>
  <c r="W117" i="3" s="1"/>
  <c r="S120" i="3" a="1"/>
  <c r="S120" i="3" s="1"/>
  <c r="T146" i="3" a="1"/>
  <c r="T146" i="3" s="1"/>
  <c r="T132" i="3" a="1"/>
  <c r="T132" i="3" s="1"/>
  <c r="W30" i="3" a="1"/>
  <c r="W30" i="3" s="1"/>
  <c r="S24" i="3" a="1"/>
  <c r="S24" i="3" s="1"/>
  <c r="T30" i="3" a="1"/>
  <c r="T30" i="3" s="1"/>
  <c r="T99" i="3" a="1"/>
  <c r="T99" i="3" s="1"/>
  <c r="W134" i="3" a="1"/>
  <c r="W134" i="3" s="1"/>
  <c r="S89" i="3" a="1"/>
  <c r="S89" i="3" s="1"/>
  <c r="T72" i="3" a="1"/>
  <c r="T72" i="3" s="1"/>
  <c r="W50" i="3" a="1"/>
  <c r="W50" i="3" s="1"/>
  <c r="S54" i="3" a="1"/>
  <c r="S54" i="3" s="1"/>
  <c r="T23" i="3" a="1"/>
  <c r="T23" i="3" s="1"/>
  <c r="T12" i="3" a="1"/>
  <c r="T12" i="3" s="1"/>
  <c r="W135" i="3" a="1"/>
  <c r="W135" i="3" s="1"/>
  <c r="W35" i="3" a="1"/>
  <c r="W35" i="3" s="1"/>
  <c r="G100" i="3" a="1"/>
  <c r="G100" i="3" s="1"/>
  <c r="X87" i="3" a="1"/>
  <c r="X87" i="3" s="1"/>
  <c r="G92" i="3" a="1"/>
  <c r="G92" i="3" s="1"/>
  <c r="X85" i="3" a="1"/>
  <c r="X85" i="3" s="1"/>
  <c r="X96" i="3" a="1"/>
  <c r="X96" i="3" s="1"/>
  <c r="X75" i="3" a="1"/>
  <c r="X75" i="3" s="1"/>
  <c r="W169" i="3" a="1"/>
  <c r="W169" i="3" s="1"/>
  <c r="G132" i="3" a="1"/>
  <c r="G132" i="3" s="1"/>
  <c r="X146" i="3" a="1"/>
  <c r="X146" i="3" s="1"/>
  <c r="X153" i="3" a="1"/>
  <c r="X153" i="3" s="1"/>
  <c r="X101" i="3" a="1"/>
  <c r="X101" i="3" s="1"/>
  <c r="F143" i="3" a="1"/>
  <c r="F143" i="3" s="1"/>
  <c r="F122" i="3" a="1"/>
  <c r="F122" i="3" s="1"/>
  <c r="F157" i="3" a="1"/>
  <c r="F157" i="3" s="1"/>
  <c r="F19" i="3" a="1"/>
  <c r="F19" i="3" s="1"/>
  <c r="S179" i="3" a="1"/>
  <c r="S179" i="3" s="1"/>
  <c r="F194" i="3" a="1"/>
  <c r="F194" i="3" s="1"/>
  <c r="F212" i="3" a="1"/>
  <c r="F212" i="3" s="1"/>
  <c r="W223" i="3" a="1"/>
  <c r="W223" i="3" s="1"/>
  <c r="W247" i="3" a="1"/>
  <c r="W247" i="3" s="1"/>
  <c r="G276" i="3" a="1"/>
  <c r="G276" i="3" s="1"/>
  <c r="O276" i="3" s="1" a="1"/>
  <c r="O276" i="3" s="1"/>
  <c r="T138" i="3" a="1"/>
  <c r="T138" i="3" s="1"/>
  <c r="T142" i="3" a="1"/>
  <c r="T142" i="3" s="1"/>
  <c r="T170" i="3" a="1"/>
  <c r="T170" i="3" s="1"/>
  <c r="W69" i="3" a="1"/>
  <c r="W69" i="3" s="1"/>
  <c r="S28" i="3" a="1"/>
  <c r="S28" i="3" s="1"/>
  <c r="T69" i="3" a="1"/>
  <c r="T69" i="3" s="1"/>
  <c r="T112" i="3" a="1"/>
  <c r="T112" i="3" s="1"/>
  <c r="T129" i="3" a="1"/>
  <c r="T129" i="3" s="1"/>
  <c r="W125" i="3" a="1"/>
  <c r="W125" i="3" s="1"/>
  <c r="S12" i="3" a="1"/>
  <c r="S12" i="3" s="1"/>
  <c r="S96" i="3" a="1"/>
  <c r="S96" i="3" s="1"/>
  <c r="S155" i="3" a="1"/>
  <c r="S155" i="3" s="1"/>
  <c r="W46" i="3" a="1"/>
  <c r="W46" i="3" s="1"/>
  <c r="S148" i="3" a="1"/>
  <c r="S148" i="3" s="1"/>
  <c r="T64" i="3" a="1"/>
  <c r="T64" i="3" s="1"/>
  <c r="W126" i="3" a="1"/>
  <c r="W126" i="3" s="1"/>
  <c r="S45" i="3" a="1"/>
  <c r="S45" i="3" s="1"/>
  <c r="T38" i="3" a="1"/>
  <c r="T38" i="3" s="1"/>
  <c r="S56" i="3" a="1"/>
  <c r="S56" i="3" s="1"/>
  <c r="W78" i="3" a="1"/>
  <c r="W78" i="3" s="1"/>
  <c r="S31" i="3" a="1"/>
  <c r="S31" i="3" s="1"/>
  <c r="T113" i="3" a="1"/>
  <c r="T113" i="3" s="1"/>
  <c r="W62" i="3" a="1"/>
  <c r="W62" i="3" s="1"/>
  <c r="X129" i="3" a="1"/>
  <c r="X129" i="3" s="1"/>
  <c r="X89" i="3" a="1"/>
  <c r="X89" i="3" s="1"/>
  <c r="G65" i="3" a="1"/>
  <c r="G65" i="3" s="1"/>
  <c r="X95" i="3" a="1"/>
  <c r="X95" i="3" s="1"/>
  <c r="G57" i="3" a="1"/>
  <c r="G57" i="3" s="1"/>
  <c r="N57" i="3" s="1" a="1"/>
  <c r="N57" i="3" s="1"/>
  <c r="W115" i="3" a="1"/>
  <c r="W115" i="3" s="1"/>
  <c r="G27" i="3" a="1"/>
  <c r="G27" i="3" s="1"/>
  <c r="X115" i="3" a="1"/>
  <c r="X115" i="3" s="1"/>
  <c r="X47" i="3" a="1"/>
  <c r="X47" i="3" s="1"/>
  <c r="X36" i="3" a="1"/>
  <c r="X36" i="3" s="1"/>
  <c r="G25" i="3" a="1"/>
  <c r="G25" i="3" s="1"/>
  <c r="W33" i="3" a="1"/>
  <c r="W33" i="3" s="1"/>
  <c r="E77" i="3" a="1"/>
  <c r="E77" i="3" s="1"/>
  <c r="E167" i="3" a="1"/>
  <c r="E167" i="3" s="1"/>
  <c r="E146" i="3" a="1"/>
  <c r="E146" i="3" s="1"/>
  <c r="E72" i="3" a="1"/>
  <c r="E72" i="3" s="1"/>
  <c r="E120" i="3" a="1"/>
  <c r="E120" i="3" s="1"/>
  <c r="X180" i="3" a="1"/>
  <c r="X180" i="3" s="1"/>
  <c r="F204" i="3" a="1"/>
  <c r="F204" i="3" s="1"/>
  <c r="X234" i="3" a="1"/>
  <c r="X234" i="3" s="1"/>
  <c r="F255" i="3" a="1"/>
  <c r="F255" i="3" s="1"/>
  <c r="W42" i="3" a="1"/>
  <c r="W42" i="3" s="1"/>
  <c r="X73" i="3" a="1"/>
  <c r="X73" i="3" s="1"/>
  <c r="X147" i="3" a="1"/>
  <c r="X147" i="3" s="1"/>
  <c r="X80" i="3" a="1"/>
  <c r="X80" i="3" s="1"/>
  <c r="X154" i="3" a="1"/>
  <c r="X154" i="3" s="1"/>
  <c r="G16" i="3" a="1"/>
  <c r="G16" i="3" s="1"/>
  <c r="X8" i="3" a="1"/>
  <c r="X8" i="3" s="1"/>
  <c r="G113" i="3" a="1"/>
  <c r="G113" i="3" s="1"/>
  <c r="G146" i="3" a="1"/>
  <c r="G146" i="3" s="1"/>
  <c r="X24" i="3" a="1"/>
  <c r="X24" i="3" s="1"/>
  <c r="X38" i="3" a="1"/>
  <c r="X38" i="3" s="1"/>
  <c r="W89" i="3" a="1"/>
  <c r="W89" i="3" s="1"/>
  <c r="W165" i="3" a="1"/>
  <c r="W165" i="3" s="1"/>
  <c r="E171" i="3" a="1"/>
  <c r="E171" i="3" s="1"/>
  <c r="F7" i="3" a="1"/>
  <c r="F7" i="3" s="1"/>
  <c r="F56" i="3" a="1"/>
  <c r="F56" i="3" s="1"/>
  <c r="F148" i="3" a="1"/>
  <c r="F148" i="3" s="1"/>
  <c r="E108" i="3" a="1"/>
  <c r="E108" i="3" s="1"/>
  <c r="S193" i="3" a="1"/>
  <c r="S193" i="3" s="1"/>
  <c r="G205" i="3" a="1"/>
  <c r="G205" i="3" s="1"/>
  <c r="E237" i="3" a="1"/>
  <c r="E237" i="3" s="1"/>
  <c r="X259" i="3" a="1"/>
  <c r="X259" i="3" s="1"/>
  <c r="G21" i="3" a="1"/>
  <c r="G21" i="3" s="1"/>
  <c r="G93" i="3" a="1"/>
  <c r="G93" i="3" s="1"/>
  <c r="G101" i="3" a="1"/>
  <c r="G101" i="3" s="1"/>
  <c r="G45" i="3" a="1"/>
  <c r="G45" i="3" s="1"/>
  <c r="G143" i="3" a="1"/>
  <c r="G143" i="3" s="1"/>
  <c r="G151" i="3" a="1"/>
  <c r="G151" i="3" s="1"/>
  <c r="G69" i="3" a="1"/>
  <c r="G69" i="3" s="1"/>
  <c r="S72" i="3" a="1"/>
  <c r="S72" i="3" s="1"/>
  <c r="S44" i="3" a="1"/>
  <c r="S44" i="3" s="1"/>
  <c r="S59" i="3" a="1"/>
  <c r="S59" i="3" s="1"/>
  <c r="T59" i="3" a="1"/>
  <c r="T59" i="3" s="1"/>
  <c r="W73" i="3" a="1"/>
  <c r="W73" i="3" s="1"/>
  <c r="S91" i="3" a="1"/>
  <c r="S91" i="3" s="1"/>
  <c r="S50" i="3" a="1"/>
  <c r="S50" i="3" s="1"/>
  <c r="T103" i="3" a="1"/>
  <c r="T103" i="3" s="1"/>
  <c r="T67" i="3" a="1"/>
  <c r="T67" i="3" s="1"/>
  <c r="W3" i="3" a="1"/>
  <c r="W3" i="3" s="1"/>
  <c r="S153" i="3" a="1"/>
  <c r="S153" i="3" s="1"/>
  <c r="S57" i="3" a="1"/>
  <c r="S57" i="3" s="1"/>
  <c r="T111" i="3" a="1"/>
  <c r="T111" i="3" s="1"/>
  <c r="T114" i="3" a="1"/>
  <c r="T114" i="3" s="1"/>
  <c r="W10" i="3" a="1"/>
  <c r="W10" i="3" s="1"/>
  <c r="X22" i="3" a="1"/>
  <c r="X22" i="3" s="1"/>
  <c r="S11" i="3" a="1"/>
  <c r="S11" i="3" s="1"/>
  <c r="T78" i="3" a="1"/>
  <c r="T78" i="3" s="1"/>
  <c r="T155" i="3" a="1"/>
  <c r="T155" i="3" s="1"/>
  <c r="W17" i="3" a="1"/>
  <c r="W17" i="3" s="1"/>
  <c r="S141" i="3" a="1"/>
  <c r="S141" i="3" s="1"/>
  <c r="S125" i="3" a="1"/>
  <c r="S125" i="3" s="1"/>
  <c r="T120" i="3" a="1"/>
  <c r="T120" i="3" s="1"/>
  <c r="W29" i="3" a="1"/>
  <c r="W29" i="3" s="1"/>
  <c r="X145" i="3" a="1"/>
  <c r="X145" i="3" s="1"/>
  <c r="S130" i="3" a="1"/>
  <c r="S130" i="3" s="1"/>
  <c r="T10" i="3" a="1"/>
  <c r="T10" i="3" s="1"/>
  <c r="W149" i="3" a="1"/>
  <c r="W149" i="3" s="1"/>
  <c r="S172" i="3" a="1"/>
  <c r="S172" i="3" s="1"/>
  <c r="S46" i="3" a="1"/>
  <c r="S46" i="3" s="1"/>
  <c r="T135" i="3" a="1"/>
  <c r="T135" i="3" s="1"/>
  <c r="W154" i="3" a="1"/>
  <c r="W154" i="3" s="1"/>
  <c r="T171" i="3" a="1"/>
  <c r="T171" i="3" s="1"/>
  <c r="T156" i="3" a="1"/>
  <c r="T156" i="3" s="1"/>
  <c r="W137" i="3" a="1"/>
  <c r="W137" i="3" s="1"/>
  <c r="X117" i="3" a="1"/>
  <c r="X117" i="3" s="1"/>
  <c r="X27" i="3" a="1"/>
  <c r="X27" i="3" s="1"/>
  <c r="X6" i="3" a="1"/>
  <c r="X6" i="3" s="1"/>
  <c r="X26" i="3" a="1"/>
  <c r="X26" i="3" s="1"/>
  <c r="X12" i="3" a="1"/>
  <c r="X12" i="3" s="1"/>
  <c r="W68" i="3" a="1"/>
  <c r="W68" i="3" s="1"/>
  <c r="G49" i="3" a="1"/>
  <c r="G49" i="3" s="1"/>
  <c r="G169" i="3" a="1"/>
  <c r="G169" i="3" s="1"/>
  <c r="X139" i="3" a="1"/>
  <c r="X139" i="3" s="1"/>
  <c r="W75" i="3" a="1"/>
  <c r="W75" i="3" s="1"/>
  <c r="X123" i="3" a="1"/>
  <c r="X123" i="3" s="1"/>
  <c r="X130" i="3" a="1"/>
  <c r="X130" i="3" s="1"/>
  <c r="F131" i="3" a="1"/>
  <c r="F131" i="3" s="1"/>
  <c r="E14" i="3" a="1"/>
  <c r="E14" i="3" s="1"/>
  <c r="E11" i="3" a="1"/>
  <c r="E11" i="3" s="1"/>
  <c r="F103" i="3" a="1"/>
  <c r="F103" i="3" s="1"/>
  <c r="G178" i="3" a="1"/>
  <c r="G178" i="3" s="1"/>
  <c r="M178" i="3" s="1" a="1"/>
  <c r="M178" i="3" s="1"/>
  <c r="F193" i="3" a="1"/>
  <c r="F193" i="3" s="1"/>
  <c r="S211" i="3" a="1"/>
  <c r="S211" i="3" s="1"/>
  <c r="T238" i="3" a="1"/>
  <c r="T238" i="3" s="1"/>
  <c r="G268" i="3" a="1"/>
  <c r="G268" i="3" s="1"/>
  <c r="L268" i="3" s="1" a="1"/>
  <c r="L268" i="3" s="1"/>
  <c r="G95" i="3" a="1"/>
  <c r="G95" i="3" s="1"/>
  <c r="G39" i="3" a="1"/>
  <c r="G39" i="3" s="1"/>
  <c r="S64" i="3" a="1"/>
  <c r="S64" i="3" s="1"/>
  <c r="S94" i="3" a="1"/>
  <c r="S94" i="3" s="1"/>
  <c r="T31" i="3" a="1"/>
  <c r="T31" i="3" s="1"/>
  <c r="T57" i="3" a="1"/>
  <c r="T57" i="3" s="1"/>
  <c r="S124" i="3" a="1"/>
  <c r="S124" i="3" s="1"/>
  <c r="T133" i="3" a="1"/>
  <c r="T133" i="3" s="1"/>
  <c r="X113" i="3" a="1"/>
  <c r="X113" i="3" s="1"/>
  <c r="S110" i="3" a="1"/>
  <c r="S110" i="3" s="1"/>
  <c r="T53" i="3" a="1"/>
  <c r="T53" i="3" s="1"/>
  <c r="S8" i="3" a="1"/>
  <c r="S8" i="3" s="1"/>
  <c r="T42" i="3" a="1"/>
  <c r="T42" i="3" s="1"/>
  <c r="T92" i="3" a="1"/>
  <c r="T92" i="3" s="1"/>
  <c r="W74" i="3" a="1"/>
  <c r="W74" i="3" s="1"/>
  <c r="S104" i="3" a="1"/>
  <c r="S104" i="3" s="1"/>
  <c r="S79" i="3" a="1"/>
  <c r="S79" i="3" s="1"/>
  <c r="S107" i="3" a="1"/>
  <c r="S107" i="3" s="1"/>
  <c r="S145" i="3" a="1"/>
  <c r="S145" i="3" s="1"/>
  <c r="T11" i="3" a="1"/>
  <c r="T11" i="3" s="1"/>
  <c r="W80" i="3" a="1"/>
  <c r="W80" i="3" s="1"/>
  <c r="W86" i="3" a="1"/>
  <c r="W86" i="3" s="1"/>
  <c r="S167" i="3" a="1"/>
  <c r="S167" i="3" s="1"/>
  <c r="S111" i="3" a="1"/>
  <c r="S111" i="3" s="1"/>
  <c r="T136" i="3" a="1"/>
  <c r="T136" i="3" s="1"/>
  <c r="S83" i="3" a="1"/>
  <c r="S83" i="3" s="1"/>
  <c r="T19" i="3" a="1"/>
  <c r="T19" i="3" s="1"/>
  <c r="W112" i="3" a="1"/>
  <c r="W112" i="3" s="1"/>
  <c r="X91" i="3" a="1"/>
  <c r="X91" i="3" s="1"/>
  <c r="S20" i="3" a="1"/>
  <c r="S20" i="3" s="1"/>
  <c r="S126" i="3" a="1"/>
  <c r="S126" i="3" s="1"/>
  <c r="T25" i="3" a="1"/>
  <c r="T25" i="3" s="1"/>
  <c r="T52" i="3" a="1"/>
  <c r="T52" i="3" s="1"/>
  <c r="T165" i="3" a="1"/>
  <c r="T165" i="3" s="1"/>
  <c r="S92" i="3" a="1"/>
  <c r="S92" i="3" s="1"/>
  <c r="S18" i="3" a="1"/>
  <c r="S18" i="3" s="1"/>
  <c r="T139" i="3" a="1"/>
  <c r="T139" i="3" s="1"/>
  <c r="T35" i="3" a="1"/>
  <c r="T35" i="3" s="1"/>
  <c r="W39" i="3" a="1"/>
  <c r="W39" i="3" s="1"/>
  <c r="W87" i="3" a="1"/>
  <c r="W87" i="3" s="1"/>
  <c r="S37" i="3" a="1"/>
  <c r="S37" i="3" s="1"/>
  <c r="T160" i="3" a="1"/>
  <c r="T160" i="3" s="1"/>
  <c r="T140" i="3" a="1"/>
  <c r="T140" i="3" s="1"/>
  <c r="T68" i="3" a="1"/>
  <c r="T68" i="3" s="1"/>
  <c r="W163" i="3" a="1"/>
  <c r="W163" i="3" s="1"/>
  <c r="S52" i="3" a="1"/>
  <c r="S52" i="3" s="1"/>
  <c r="S88" i="3" a="1"/>
  <c r="S88" i="3" s="1"/>
  <c r="T163" i="3" a="1"/>
  <c r="T163" i="3" s="1"/>
  <c r="T51" i="3" a="1"/>
  <c r="T51" i="3" s="1"/>
  <c r="W172" i="3" a="1"/>
  <c r="W172" i="3" s="1"/>
  <c r="X29" i="3" a="1"/>
  <c r="X29" i="3" s="1"/>
  <c r="X137" i="3" a="1"/>
  <c r="X137" i="3" s="1"/>
  <c r="X167" i="3" a="1"/>
  <c r="X167" i="3" s="1"/>
  <c r="X155" i="3" a="1"/>
  <c r="X155" i="3" s="1"/>
  <c r="G88" i="3" a="1"/>
  <c r="G88" i="3" s="1"/>
  <c r="W107" i="3" a="1"/>
  <c r="W107" i="3" s="1"/>
  <c r="X161" i="3" a="1"/>
  <c r="X161" i="3" s="1"/>
  <c r="G34" i="3" a="1"/>
  <c r="G34" i="3" s="1"/>
  <c r="X150" i="3" a="1"/>
  <c r="X150" i="3" s="1"/>
  <c r="X70" i="3" a="1"/>
  <c r="X70" i="3" s="1"/>
  <c r="G84" i="3" a="1"/>
  <c r="G84" i="3" s="1"/>
  <c r="W123" i="3" a="1"/>
  <c r="W123" i="3" s="1"/>
  <c r="G83" i="3" a="1"/>
  <c r="G83" i="3" s="1"/>
  <c r="X97" i="3" a="1"/>
  <c r="X97" i="3" s="1"/>
  <c r="W84" i="3" a="1"/>
  <c r="W84" i="3" s="1"/>
  <c r="W151" i="3" a="1"/>
  <c r="W151" i="3" s="1"/>
  <c r="W28" i="3" a="1"/>
  <c r="W28" i="3" s="1"/>
  <c r="X44" i="3" a="1"/>
  <c r="X44" i="3" s="1"/>
  <c r="X142" i="3" a="1"/>
  <c r="X142" i="3" s="1"/>
  <c r="X48" i="3" a="1"/>
  <c r="X48" i="3" s="1"/>
  <c r="E10" i="3" a="1"/>
  <c r="E10" i="3" s="1"/>
  <c r="E4" i="3" a="1"/>
  <c r="E4" i="3" s="1"/>
  <c r="F109" i="3" a="1"/>
  <c r="F109" i="3" s="1"/>
  <c r="F165" i="3" a="1"/>
  <c r="F165" i="3" s="1"/>
  <c r="E138" i="3" a="1"/>
  <c r="E138" i="3" s="1"/>
  <c r="F34" i="3" a="1"/>
  <c r="F34" i="3" s="1"/>
  <c r="E13" i="3" a="1"/>
  <c r="E13" i="3" s="1"/>
  <c r="T177" i="3" a="1"/>
  <c r="T177" i="3" s="1"/>
  <c r="T192" i="3" a="1"/>
  <c r="T192" i="3" s="1"/>
  <c r="F197" i="3" a="1"/>
  <c r="F197" i="3" s="1"/>
  <c r="S208" i="3" a="1"/>
  <c r="S208" i="3" s="1"/>
  <c r="S226" i="3" a="1"/>
  <c r="S226" i="3" s="1"/>
  <c r="E244" i="3" a="1"/>
  <c r="E244" i="3" s="1"/>
  <c r="T255" i="3" a="1"/>
  <c r="T255" i="3" s="1"/>
  <c r="X278" i="3" a="1"/>
  <c r="X278" i="3" s="1"/>
  <c r="G5" i="3" a="1"/>
  <c r="G5" i="3" s="1"/>
  <c r="G167" i="3" a="1"/>
  <c r="G167" i="3" s="1"/>
  <c r="S66" i="3" a="1"/>
  <c r="S66" i="3" s="1"/>
  <c r="T45" i="3" a="1"/>
  <c r="T45" i="3" s="1"/>
  <c r="T174" i="3" a="1"/>
  <c r="T174" i="3" s="1"/>
  <c r="T34" i="3" a="1"/>
  <c r="T34" i="3" s="1"/>
  <c r="T84" i="3" a="1"/>
  <c r="T84" i="3" s="1"/>
  <c r="W23" i="3" a="1"/>
  <c r="W23" i="3" s="1"/>
  <c r="S140" i="3" a="1"/>
  <c r="S140" i="3" s="1"/>
  <c r="S67" i="3" a="1"/>
  <c r="S67" i="3" s="1"/>
  <c r="S101" i="3" a="1"/>
  <c r="S101" i="3" s="1"/>
  <c r="S139" i="3" a="1"/>
  <c r="S139" i="3" s="1"/>
  <c r="T3" i="3" a="1"/>
  <c r="T3" i="3" s="1"/>
  <c r="W70" i="3" a="1"/>
  <c r="W70" i="3" s="1"/>
  <c r="W47" i="3" a="1"/>
  <c r="W47" i="3" s="1"/>
  <c r="S168" i="3" a="1"/>
  <c r="S168" i="3" s="1"/>
  <c r="S152" i="3" a="1"/>
  <c r="S152" i="3" s="1"/>
  <c r="T70" i="3" a="1"/>
  <c r="T70" i="3" s="1"/>
  <c r="T104" i="3" a="1"/>
  <c r="T104" i="3" s="1"/>
  <c r="T144" i="3" a="1"/>
  <c r="T144" i="3" s="1"/>
  <c r="W96" i="3" a="1"/>
  <c r="W96" i="3" s="1"/>
  <c r="W24" i="3" a="1"/>
  <c r="W24" i="3" s="1"/>
  <c r="S116" i="3" a="1"/>
  <c r="S116" i="3" s="1"/>
  <c r="S49" i="3" a="1"/>
  <c r="S49" i="3" s="1"/>
  <c r="T14" i="3" a="1"/>
  <c r="T14" i="3" s="1"/>
  <c r="T48" i="3" a="1"/>
  <c r="T48" i="3" s="1"/>
  <c r="S93" i="3" a="1"/>
  <c r="S93" i="3" s="1"/>
  <c r="W21" i="3" a="1"/>
  <c r="W21" i="3" s="1"/>
  <c r="S71" i="3" a="1"/>
  <c r="S71" i="3" s="1"/>
  <c r="S123" i="3" a="1"/>
  <c r="S123" i="3" s="1"/>
  <c r="T172" i="3" a="1"/>
  <c r="T172" i="3" s="1"/>
  <c r="T166" i="3" a="1"/>
  <c r="T166" i="3" s="1"/>
  <c r="W16" i="3" a="1"/>
  <c r="W16" i="3" s="1"/>
  <c r="W77" i="3" a="1"/>
  <c r="W77" i="3" s="1"/>
  <c r="S132" i="3" a="1"/>
  <c r="S132" i="3" s="1"/>
  <c r="T21" i="3" a="1"/>
  <c r="T21" i="3" s="1"/>
  <c r="S171" i="3" a="1"/>
  <c r="S171" i="3" s="1"/>
  <c r="S43" i="3" a="1"/>
  <c r="S43" i="3" s="1"/>
  <c r="W145" i="3" a="1"/>
  <c r="W145" i="3" s="1"/>
  <c r="S15" i="3" a="1"/>
  <c r="S15" i="3" s="1"/>
  <c r="S38" i="3" a="1"/>
  <c r="S38" i="3" s="1"/>
  <c r="T102" i="3" a="1"/>
  <c r="T102" i="3" s="1"/>
  <c r="T18" i="3" a="1"/>
  <c r="T18" i="3" s="1"/>
  <c r="T161" i="3" a="1"/>
  <c r="T161" i="3" s="1"/>
  <c r="W5" i="3" a="1"/>
  <c r="W5" i="3" s="1"/>
  <c r="S170" i="3" a="1"/>
  <c r="S170" i="3" s="1"/>
  <c r="T37" i="3" a="1"/>
  <c r="T37" i="3" s="1"/>
  <c r="T16" i="3" a="1"/>
  <c r="T16" i="3" s="1"/>
  <c r="S118" i="3" a="1"/>
  <c r="S118" i="3" s="1"/>
  <c r="W63" i="3" a="1"/>
  <c r="W63" i="3" s="1"/>
  <c r="W15" i="3" a="1"/>
  <c r="W15" i="3" s="1"/>
  <c r="W130" i="3" a="1"/>
  <c r="W130" i="3" s="1"/>
  <c r="W116" i="3" a="1"/>
  <c r="W116" i="3" s="1"/>
  <c r="G36" i="3" a="1"/>
  <c r="G36" i="3" s="1"/>
  <c r="M36" i="3" s="1" a="1"/>
  <c r="M36" i="3" s="1"/>
  <c r="X144" i="3" a="1"/>
  <c r="X144" i="3" s="1"/>
  <c r="X63" i="3" a="1"/>
  <c r="X63" i="3" s="1"/>
  <c r="X162" i="3" a="1"/>
  <c r="X162" i="3" s="1"/>
  <c r="G80" i="3" a="1"/>
  <c r="G80" i="3" s="1"/>
  <c r="X81" i="3" a="1"/>
  <c r="X81" i="3" s="1"/>
  <c r="X33" i="3" a="1"/>
  <c r="X33" i="3" s="1"/>
  <c r="G91" i="3" a="1"/>
  <c r="G91" i="3" s="1"/>
  <c r="X133" i="3" a="1"/>
  <c r="X133" i="3" s="1"/>
  <c r="G82" i="3" a="1"/>
  <c r="G82" i="3" s="1"/>
  <c r="O82" i="3" s="1" a="1"/>
  <c r="O82" i="3" s="1"/>
  <c r="X30" i="3" a="1"/>
  <c r="X30" i="3" s="1"/>
  <c r="X50" i="3" a="1"/>
  <c r="X50" i="3" s="1"/>
  <c r="X170" i="3" a="1"/>
  <c r="X170" i="3" s="1"/>
  <c r="X3" i="3" a="1"/>
  <c r="X3" i="3" s="1"/>
  <c r="X46" i="3" a="1"/>
  <c r="X46" i="3" s="1"/>
  <c r="G168" i="3" a="1"/>
  <c r="G168" i="3" s="1"/>
  <c r="X9" i="3" a="1"/>
  <c r="X9" i="3" s="1"/>
  <c r="E106" i="3" a="1"/>
  <c r="E106" i="3" s="1"/>
  <c r="AA106" i="3" s="1"/>
  <c r="F52" i="3" a="1"/>
  <c r="F52" i="3" s="1"/>
  <c r="F44" i="3" a="1"/>
  <c r="F44" i="3" s="1"/>
  <c r="E152" i="3" a="1"/>
  <c r="E152" i="3" s="1"/>
  <c r="E80" i="3" a="1"/>
  <c r="E80" i="3" s="1"/>
  <c r="F78" i="3" a="1"/>
  <c r="F78" i="3" s="1"/>
  <c r="F68" i="3" a="1"/>
  <c r="F68" i="3" s="1"/>
  <c r="W179" i="3" a="1"/>
  <c r="W179" i="3" s="1"/>
  <c r="F192" i="3" a="1"/>
  <c r="F192" i="3" s="1"/>
  <c r="G198" i="3" a="1"/>
  <c r="G198" i="3" s="1"/>
  <c r="X212" i="3" a="1"/>
  <c r="X212" i="3" s="1"/>
  <c r="S219" i="3" a="1"/>
  <c r="S219" i="3" s="1"/>
  <c r="T230" i="3" a="1"/>
  <c r="T230" i="3" s="1"/>
  <c r="F244" i="3" a="1"/>
  <c r="F244" i="3" s="1"/>
  <c r="E262" i="3" a="1"/>
  <c r="E262" i="3" s="1"/>
  <c r="S29" i="3" a="1"/>
  <c r="S29" i="3" s="1"/>
  <c r="S131" i="3" a="1"/>
  <c r="S131" i="3" s="1"/>
  <c r="T130" i="3" a="1"/>
  <c r="T130" i="3" s="1"/>
  <c r="T60" i="3" a="1"/>
  <c r="T60" i="3" s="1"/>
  <c r="T173" i="3" a="1"/>
  <c r="T173" i="3" s="1"/>
  <c r="S33" i="3" a="1"/>
  <c r="S33" i="3" s="1"/>
  <c r="S25" i="3" a="1"/>
  <c r="S25" i="3" s="1"/>
  <c r="T153" i="3" a="1"/>
  <c r="T153" i="3" s="1"/>
  <c r="T150" i="3" a="1"/>
  <c r="T150" i="3" s="1"/>
  <c r="W49" i="3" a="1"/>
  <c r="W49" i="3" s="1"/>
  <c r="W119" i="3" a="1"/>
  <c r="W119" i="3" s="1"/>
  <c r="S47" i="3" a="1"/>
  <c r="S47" i="3" s="1"/>
  <c r="S151" i="3" a="1"/>
  <c r="S151" i="3" s="1"/>
  <c r="T49" i="3" a="1"/>
  <c r="T49" i="3" s="1"/>
  <c r="T76" i="3" a="1"/>
  <c r="T76" i="3" s="1"/>
  <c r="W13" i="3" a="1"/>
  <c r="W13" i="3" s="1"/>
  <c r="W171" i="3" a="1"/>
  <c r="W171" i="3" s="1"/>
  <c r="X74" i="3" a="1"/>
  <c r="X74" i="3" s="1"/>
  <c r="X140" i="3" a="1"/>
  <c r="X140" i="3" s="1"/>
  <c r="G170" i="3" a="1"/>
  <c r="G170" i="3" s="1"/>
  <c r="X68" i="3" a="1"/>
  <c r="X68" i="3" s="1"/>
  <c r="W124" i="3" a="1"/>
  <c r="W124" i="3" s="1"/>
  <c r="G28" i="3" a="1"/>
  <c r="G28" i="3" s="1"/>
  <c r="W141" i="3" a="1"/>
  <c r="W141" i="3" s="1"/>
  <c r="X31" i="3" a="1"/>
  <c r="X31" i="3" s="1"/>
  <c r="X34" i="3" a="1"/>
  <c r="X34" i="3" s="1"/>
  <c r="G154" i="3" a="1"/>
  <c r="G154" i="3" s="1"/>
  <c r="X107" i="3" a="1"/>
  <c r="X107" i="3" s="1"/>
  <c r="G64" i="3" a="1"/>
  <c r="G64" i="3" s="1"/>
  <c r="W160" i="3" a="1"/>
  <c r="W160" i="3" s="1"/>
  <c r="G139" i="3" a="1"/>
  <c r="G139" i="3" s="1"/>
  <c r="X158" i="3" a="1"/>
  <c r="X158" i="3" s="1"/>
  <c r="G3" i="3" a="1"/>
  <c r="G3" i="3" s="1"/>
  <c r="W83" i="3" a="1"/>
  <c r="W83" i="3" s="1"/>
  <c r="W136" i="3" a="1"/>
  <c r="W136" i="3" s="1"/>
  <c r="G115" i="3" a="1"/>
  <c r="G115" i="3" s="1"/>
  <c r="K115" i="3" s="1" a="1"/>
  <c r="K115" i="3" s="1"/>
  <c r="F10" i="3" a="1"/>
  <c r="F10" i="3" s="1"/>
  <c r="F65" i="3" a="1"/>
  <c r="F65" i="3" s="1"/>
  <c r="F128" i="3" a="1"/>
  <c r="F128" i="3" s="1"/>
  <c r="E158" i="3" a="1"/>
  <c r="E158" i="3" s="1"/>
  <c r="E19" i="3" a="1"/>
  <c r="E19" i="3" s="1"/>
  <c r="F141" i="3" a="1"/>
  <c r="F141" i="3" s="1"/>
  <c r="F23" i="3" a="1"/>
  <c r="F23" i="3" s="1"/>
  <c r="X185" i="3" a="1"/>
  <c r="X185" i="3" s="1"/>
  <c r="G190" i="3" a="1"/>
  <c r="G190" i="3" s="1"/>
  <c r="G206" i="3" a="1"/>
  <c r="G206" i="3" s="1"/>
  <c r="O206" i="3" s="1" a="1"/>
  <c r="O206" i="3" s="1"/>
  <c r="T214" i="3" a="1"/>
  <c r="T214" i="3" s="1"/>
  <c r="E221" i="3" a="1"/>
  <c r="E221" i="3" s="1"/>
  <c r="T232" i="3" a="1"/>
  <c r="T232" i="3" s="1"/>
  <c r="E241" i="3" a="1"/>
  <c r="E241" i="3" s="1"/>
  <c r="S263" i="3" a="1"/>
  <c r="S263" i="3" s="1"/>
  <c r="G140" i="3" a="1"/>
  <c r="G140" i="3" s="1"/>
  <c r="G105" i="3" a="1"/>
  <c r="G105" i="3" s="1"/>
  <c r="X163" i="3" a="1"/>
  <c r="X163" i="3" s="1"/>
  <c r="X118" i="3" a="1"/>
  <c r="X118" i="3" s="1"/>
  <c r="X59" i="3" a="1"/>
  <c r="X59" i="3" s="1"/>
  <c r="G33" i="3" a="1"/>
  <c r="G33" i="3" s="1"/>
  <c r="K33" i="3" s="1" a="1"/>
  <c r="K33" i="3" s="1"/>
  <c r="W106" i="3" a="1"/>
  <c r="W106" i="3" s="1"/>
  <c r="AB106" i="3" s="1"/>
  <c r="X120" i="3" a="1"/>
  <c r="X120" i="3" s="1"/>
  <c r="G112" i="3" a="1"/>
  <c r="G112" i="3" s="1"/>
  <c r="X62" i="3" a="1"/>
  <c r="X62" i="3" s="1"/>
  <c r="G116" i="3" a="1"/>
  <c r="G116" i="3" s="1"/>
  <c r="L116" i="3" s="1" a="1"/>
  <c r="L116" i="3" s="1"/>
  <c r="X52" i="3" a="1"/>
  <c r="X52" i="3" s="1"/>
  <c r="X10" i="3" a="1"/>
  <c r="X10" i="3" s="1"/>
  <c r="E62" i="3" a="1"/>
  <c r="E62" i="3" s="1"/>
  <c r="E112" i="3" a="1"/>
  <c r="E112" i="3" s="1"/>
  <c r="AB112" i="3" s="1"/>
  <c r="E18" i="3" a="1"/>
  <c r="E18" i="3" s="1"/>
  <c r="F110" i="3" a="1"/>
  <c r="F110" i="3" s="1"/>
  <c r="E96" i="3" a="1"/>
  <c r="E96" i="3" s="1"/>
  <c r="E147" i="3" a="1"/>
  <c r="E147" i="3" s="1"/>
  <c r="E75" i="3" a="1"/>
  <c r="E75" i="3" s="1"/>
  <c r="F41" i="3" a="1"/>
  <c r="F41" i="3" s="1"/>
  <c r="F84" i="3" a="1"/>
  <c r="F84" i="3" s="1"/>
  <c r="F13" i="3" a="1"/>
  <c r="F13" i="3" s="1"/>
  <c r="F69" i="3" a="1"/>
  <c r="F69" i="3" s="1"/>
  <c r="E178" i="3" a="1"/>
  <c r="E178" i="3" s="1"/>
  <c r="F179" i="3" a="1"/>
  <c r="F179" i="3" s="1"/>
  <c r="X192" i="3" a="1"/>
  <c r="X192" i="3" s="1"/>
  <c r="T199" i="3" a="1"/>
  <c r="T199" i="3" s="1"/>
  <c r="S201" i="3" a="1"/>
  <c r="S201" i="3" s="1"/>
  <c r="X208" i="3" a="1"/>
  <c r="X208" i="3" s="1"/>
  <c r="F215" i="3" a="1"/>
  <c r="F215" i="3" s="1"/>
  <c r="E227" i="3" a="1"/>
  <c r="E227" i="3" s="1"/>
  <c r="S235" i="3" a="1"/>
  <c r="S235" i="3" s="1"/>
  <c r="G248" i="3" a="1"/>
  <c r="G248" i="3" s="1"/>
  <c r="M248" i="3" s="1" a="1"/>
  <c r="M248" i="3" s="1"/>
  <c r="S253" i="3" a="1"/>
  <c r="S253" i="3" s="1"/>
  <c r="F265" i="3" a="1"/>
  <c r="F265" i="3" s="1"/>
  <c r="T83" i="3" a="1"/>
  <c r="T83" i="3" s="1"/>
  <c r="W94" i="3" a="1"/>
  <c r="W94" i="3" s="1"/>
  <c r="W4" i="3" a="1"/>
  <c r="W4" i="3" s="1"/>
  <c r="S16" i="3" a="1"/>
  <c r="S16" i="3" s="1"/>
  <c r="S122" i="3" a="1"/>
  <c r="S122" i="3" s="1"/>
  <c r="T77" i="3" a="1"/>
  <c r="T77" i="3" s="1"/>
  <c r="S27" i="3" a="1"/>
  <c r="S27" i="3" s="1"/>
  <c r="T66" i="3" a="1"/>
  <c r="T66" i="3" s="1"/>
  <c r="T116" i="3" a="1"/>
  <c r="T116" i="3" s="1"/>
  <c r="W31" i="3" a="1"/>
  <c r="W31" i="3" s="1"/>
  <c r="X143" i="3" a="1"/>
  <c r="X143" i="3" s="1"/>
  <c r="S55" i="3" a="1"/>
  <c r="S55" i="3" s="1"/>
  <c r="S75" i="3" a="1"/>
  <c r="S75" i="3" s="1"/>
  <c r="T7" i="3" a="1"/>
  <c r="T7" i="3" s="1"/>
  <c r="T33" i="3" a="1"/>
  <c r="T33" i="3" s="1"/>
  <c r="S105" i="3" a="1"/>
  <c r="S105" i="3" s="1"/>
  <c r="W144" i="3" a="1"/>
  <c r="W144" i="3" s="1"/>
  <c r="W104" i="3" a="1"/>
  <c r="W104" i="3" s="1"/>
  <c r="S117" i="3" a="1"/>
  <c r="S117" i="3" s="1"/>
  <c r="S174" i="3" a="1"/>
  <c r="S174" i="3" s="1"/>
  <c r="S144" i="3" a="1"/>
  <c r="S144" i="3" s="1"/>
  <c r="T8" i="3" a="1"/>
  <c r="T8" i="3" s="1"/>
  <c r="T43" i="3" a="1"/>
  <c r="T43" i="3" s="1"/>
  <c r="W38" i="3" a="1"/>
  <c r="W38" i="3" s="1"/>
  <c r="W32" i="3" a="1"/>
  <c r="W32" i="3" s="1"/>
  <c r="S23" i="3" a="1"/>
  <c r="S23" i="3" s="1"/>
  <c r="S161" i="3" a="1"/>
  <c r="S161" i="3" s="1"/>
  <c r="T101" i="3" a="1"/>
  <c r="T101" i="3" s="1"/>
  <c r="S53" i="3" a="1"/>
  <c r="S53" i="3" s="1"/>
  <c r="T90" i="3" a="1"/>
  <c r="T90" i="3" s="1"/>
  <c r="T145" i="3" a="1"/>
  <c r="T145" i="3" s="1"/>
  <c r="T125" i="3" a="1"/>
  <c r="T125" i="3" s="1"/>
  <c r="X39" i="3" a="1"/>
  <c r="X39" i="3" s="1"/>
  <c r="X5" i="3" a="1"/>
  <c r="X5" i="3" s="1"/>
  <c r="X152" i="3" a="1"/>
  <c r="X152" i="3" s="1"/>
  <c r="X17" i="3" a="1"/>
  <c r="X17" i="3" s="1"/>
  <c r="G164" i="3" a="1"/>
  <c r="G164" i="3" s="1"/>
  <c r="G129" i="3" a="1"/>
  <c r="G129" i="3" s="1"/>
  <c r="L129" i="3" s="1" a="1"/>
  <c r="L129" i="3" s="1"/>
  <c r="X124" i="3" a="1"/>
  <c r="X124" i="3" s="1"/>
  <c r="X173" i="3" a="1"/>
  <c r="X173" i="3" s="1"/>
  <c r="X35" i="3" a="1"/>
  <c r="X35" i="3" s="1"/>
  <c r="G162" i="3" a="1"/>
  <c r="G162" i="3" s="1"/>
  <c r="K162" i="3" s="1" a="1"/>
  <c r="K162" i="3" s="1"/>
  <c r="W127" i="3" a="1"/>
  <c r="W127" i="3" s="1"/>
  <c r="X131" i="3" a="1"/>
  <c r="X131" i="3" s="1"/>
  <c r="X126" i="3" a="1"/>
  <c r="X126" i="3" s="1"/>
  <c r="X109" i="3" a="1"/>
  <c r="X109" i="3" s="1"/>
  <c r="G26" i="3" a="1"/>
  <c r="G26" i="3" s="1"/>
  <c r="O26" i="3" s="1" a="1"/>
  <c r="O26" i="3" s="1"/>
  <c r="W76" i="3" a="1"/>
  <c r="W76" i="3" s="1"/>
  <c r="G12" i="3" a="1"/>
  <c r="G12" i="3" s="1"/>
  <c r="G128" i="3" a="1"/>
  <c r="G128" i="3" s="1"/>
  <c r="X37" i="3" a="1"/>
  <c r="X37" i="3" s="1"/>
  <c r="W131" i="3" a="1"/>
  <c r="W131" i="3" s="1"/>
  <c r="X122" i="3" a="1"/>
  <c r="X122" i="3" s="1"/>
  <c r="G120" i="3" a="1"/>
  <c r="G120" i="3" s="1"/>
  <c r="W167" i="3" a="1"/>
  <c r="W167" i="3" s="1"/>
  <c r="X128" i="3" a="1"/>
  <c r="X128" i="3" s="1"/>
  <c r="W6" i="3" a="1"/>
  <c r="W6" i="3" s="1"/>
  <c r="W19" i="3" a="1"/>
  <c r="W19" i="3" s="1"/>
  <c r="AB19" i="3" s="1"/>
  <c r="G122" i="3" a="1"/>
  <c r="G122" i="3" s="1"/>
  <c r="O122" i="3" s="1" a="1"/>
  <c r="O122" i="3" s="1"/>
  <c r="X67" i="3" a="1"/>
  <c r="X67" i="3" s="1"/>
  <c r="X141" i="3" a="1"/>
  <c r="X141" i="3" s="1"/>
  <c r="E49" i="3" a="1"/>
  <c r="E49" i="3" s="1"/>
  <c r="F73" i="3" a="1"/>
  <c r="F73" i="3" s="1"/>
  <c r="AC73" i="3" s="1"/>
  <c r="E163" i="3" a="1"/>
  <c r="E163" i="3" s="1"/>
  <c r="E76" i="3" a="1"/>
  <c r="E76" i="3" s="1"/>
  <c r="E95" i="3" a="1"/>
  <c r="E95" i="3" s="1"/>
  <c r="F36" i="3" a="1"/>
  <c r="F36" i="3" s="1"/>
  <c r="E141" i="3" a="1"/>
  <c r="E141" i="3" s="1"/>
  <c r="F112" i="3" a="1"/>
  <c r="F112" i="3" s="1"/>
  <c r="F162" i="3" a="1"/>
  <c r="F162" i="3" s="1"/>
  <c r="F147" i="3" a="1"/>
  <c r="F147" i="3" s="1"/>
  <c r="F132" i="3" a="1"/>
  <c r="F132" i="3" s="1"/>
  <c r="W176" i="3" a="1"/>
  <c r="W176" i="3" s="1"/>
  <c r="X184" i="3" a="1"/>
  <c r="X184" i="3" s="1"/>
  <c r="S192" i="3" a="1"/>
  <c r="S192" i="3" s="1"/>
  <c r="W195" i="3" a="1"/>
  <c r="W195" i="3" s="1"/>
  <c r="E201" i="3" a="1"/>
  <c r="E201" i="3" s="1"/>
  <c r="G207" i="3" a="1"/>
  <c r="G207" i="3" s="1"/>
  <c r="G214" i="3" a="1"/>
  <c r="G214" i="3" s="1"/>
  <c r="K214" i="3" s="1" a="1"/>
  <c r="K214" i="3" s="1"/>
  <c r="G220" i="3" a="1"/>
  <c r="G220" i="3" s="1"/>
  <c r="S227" i="3" a="1"/>
  <c r="S227" i="3" s="1"/>
  <c r="W236" i="3" a="1"/>
  <c r="W236" i="3" s="1"/>
  <c r="S242" i="3" a="1"/>
  <c r="S242" i="3" s="1"/>
  <c r="F253" i="3" a="1"/>
  <c r="F253" i="3" s="1"/>
  <c r="X265" i="3" a="1"/>
  <c r="X265" i="3" s="1"/>
  <c r="T81" i="3" a="1"/>
  <c r="T81" i="3" s="1"/>
  <c r="S149" i="3" a="1"/>
  <c r="S149" i="3" s="1"/>
  <c r="W18" i="3" a="1"/>
  <c r="W18" i="3" s="1"/>
  <c r="W34" i="3" a="1"/>
  <c r="W34" i="3" s="1"/>
  <c r="S26" i="3" a="1"/>
  <c r="S26" i="3" s="1"/>
  <c r="S60" i="3" a="1"/>
  <c r="S60" i="3" s="1"/>
  <c r="T22" i="3" a="1"/>
  <c r="T22" i="3" s="1"/>
  <c r="T56" i="3" a="1"/>
  <c r="T56" i="3" s="1"/>
  <c r="T91" i="3" a="1"/>
  <c r="T91" i="3" s="1"/>
  <c r="W110" i="3" a="1"/>
  <c r="W110" i="3" s="1"/>
  <c r="W12" i="3" a="1"/>
  <c r="W12" i="3" s="1"/>
  <c r="S80" i="3" a="1"/>
  <c r="S80" i="3" s="1"/>
  <c r="S135" i="3" a="1"/>
  <c r="S135" i="3" s="1"/>
  <c r="T85" i="3" a="1"/>
  <c r="T85" i="3" s="1"/>
  <c r="S40" i="3" a="1"/>
  <c r="S40" i="3" s="1"/>
  <c r="T74" i="3" a="1"/>
  <c r="T74" i="3" s="1"/>
  <c r="T124" i="3" a="1"/>
  <c r="T124" i="3" s="1"/>
  <c r="W41" i="3" a="1"/>
  <c r="W41" i="3" s="1"/>
  <c r="X156" i="3" a="1"/>
  <c r="X156" i="3" s="1"/>
  <c r="S76" i="3" a="1"/>
  <c r="S76" i="3" s="1"/>
  <c r="S81" i="3" a="1"/>
  <c r="S81" i="3" s="1"/>
  <c r="T15" i="3" a="1"/>
  <c r="T15" i="3" s="1"/>
  <c r="T41" i="3" a="1"/>
  <c r="T41" i="3" s="1"/>
  <c r="S112" i="3" a="1"/>
  <c r="S112" i="3" s="1"/>
  <c r="W159" i="3" a="1"/>
  <c r="W159" i="3" s="1"/>
  <c r="W120" i="3" a="1"/>
  <c r="W120" i="3" s="1"/>
  <c r="S129" i="3" a="1"/>
  <c r="S129" i="3" s="1"/>
  <c r="S102" i="3" a="1"/>
  <c r="S102" i="3" s="1"/>
  <c r="T46" i="3" a="1"/>
  <c r="T46" i="3" s="1"/>
  <c r="T80" i="3" a="1"/>
  <c r="T80" i="3" s="1"/>
  <c r="T115" i="3" a="1"/>
  <c r="T115" i="3" s="1"/>
  <c r="W170" i="3" a="1"/>
  <c r="W170" i="3" s="1"/>
  <c r="W152" i="3" a="1"/>
  <c r="W152" i="3" s="1"/>
  <c r="W109" i="3" a="1"/>
  <c r="W109" i="3" s="1"/>
  <c r="X61" i="3" a="1"/>
  <c r="X61" i="3" s="1"/>
  <c r="W161" i="3" a="1"/>
  <c r="W161" i="3" s="1"/>
  <c r="X18" i="3" a="1"/>
  <c r="X18" i="3" s="1"/>
  <c r="G107" i="3" a="1"/>
  <c r="G107" i="3" s="1"/>
  <c r="N107" i="3" s="1" a="1"/>
  <c r="N107" i="3" s="1"/>
  <c r="G24" i="3" a="1"/>
  <c r="G24" i="3" s="1"/>
  <c r="X159" i="3" a="1"/>
  <c r="X159" i="3" s="1"/>
  <c r="X25" i="3" a="1"/>
  <c r="X25" i="3" s="1"/>
  <c r="G156" i="3" a="1"/>
  <c r="G156" i="3" s="1"/>
  <c r="G121" i="3" a="1"/>
  <c r="G121" i="3" s="1"/>
  <c r="X149" i="3" a="1"/>
  <c r="X149" i="3" s="1"/>
  <c r="X166" i="3" a="1"/>
  <c r="X166" i="3" s="1"/>
  <c r="X102" i="3" a="1"/>
  <c r="X102" i="3" s="1"/>
  <c r="G20" i="3" a="1"/>
  <c r="G20" i="3" s="1"/>
  <c r="G136" i="3" a="1"/>
  <c r="G136" i="3" s="1"/>
  <c r="X174" i="3" a="1"/>
  <c r="X174" i="3" s="1"/>
  <c r="G19" i="3" a="1"/>
  <c r="G19" i="3" s="1"/>
  <c r="W66" i="3" a="1"/>
  <c r="W66" i="3" s="1"/>
  <c r="X93" i="3" a="1"/>
  <c r="X93" i="3" s="1"/>
  <c r="W20" i="3" a="1"/>
  <c r="W20" i="3" s="1"/>
  <c r="G75" i="3" a="1"/>
  <c r="G75" i="3" s="1"/>
  <c r="J75" i="3" s="1" a="1"/>
  <c r="J75" i="3" s="1"/>
  <c r="X104" i="3" a="1"/>
  <c r="X104" i="3" s="1"/>
  <c r="X88" i="3" a="1"/>
  <c r="X88" i="3" s="1"/>
  <c r="G131" i="3" a="1"/>
  <c r="G131" i="3" s="1"/>
  <c r="X110" i="3" a="1"/>
  <c r="X110" i="3" s="1"/>
  <c r="W36" i="3" a="1"/>
  <c r="W36" i="3" s="1"/>
  <c r="W54" i="3" a="1"/>
  <c r="W54" i="3" s="1"/>
  <c r="X138" i="3" a="1"/>
  <c r="X138" i="3" s="1"/>
  <c r="G51" i="3" a="1"/>
  <c r="G51" i="3" s="1"/>
  <c r="J51" i="3" s="1" a="1"/>
  <c r="J51" i="3" s="1"/>
  <c r="F60" i="3" a="1"/>
  <c r="F60" i="3" s="1"/>
  <c r="F15" i="3" a="1"/>
  <c r="F15" i="3" s="1"/>
  <c r="E168" i="3" a="1"/>
  <c r="E168" i="3" s="1"/>
  <c r="F45" i="3" a="1"/>
  <c r="F45" i="3" s="1"/>
  <c r="E148" i="3" a="1"/>
  <c r="E148" i="3" s="1"/>
  <c r="E88" i="3" a="1"/>
  <c r="E88" i="3" s="1"/>
  <c r="E139" i="3" a="1"/>
  <c r="E139" i="3" s="1"/>
  <c r="E5" i="3" a="1"/>
  <c r="E5" i="3" s="1"/>
  <c r="F39" i="3" a="1"/>
  <c r="F39" i="3" s="1"/>
  <c r="E134" i="3" a="1"/>
  <c r="E134" i="3" s="1"/>
  <c r="F81" i="3" a="1"/>
  <c r="F81" i="3" s="1"/>
  <c r="AC81" i="3" s="1"/>
  <c r="T178" i="3" a="1"/>
  <c r="T178" i="3" s="1"/>
  <c r="G179" i="3" a="1"/>
  <c r="G179" i="3" s="1"/>
  <c r="W192" i="3" a="1"/>
  <c r="W192" i="3" s="1"/>
  <c r="S194" i="3" a="1"/>
  <c r="S194" i="3" s="1"/>
  <c r="T206" i="3" a="1"/>
  <c r="T206" i="3" s="1"/>
  <c r="F209" i="3" a="1"/>
  <c r="F209" i="3" s="1"/>
  <c r="E224" i="3" a="1"/>
  <c r="E224" i="3" s="1"/>
  <c r="E232" i="3" a="1"/>
  <c r="E232" i="3" s="1"/>
  <c r="T245" i="3" a="1"/>
  <c r="T245" i="3" s="1"/>
  <c r="F242" i="3" a="1"/>
  <c r="F242" i="3" s="1"/>
  <c r="T261" i="3" a="1"/>
  <c r="T261" i="3" s="1"/>
  <c r="S276" i="3" a="1"/>
  <c r="S276" i="3" s="1"/>
  <c r="X65" i="3" a="1"/>
  <c r="X65" i="3" s="1"/>
  <c r="G66" i="3" a="1"/>
  <c r="G66" i="3" s="1"/>
  <c r="W79" i="3" a="1"/>
  <c r="W79" i="3" s="1"/>
  <c r="X105" i="3" a="1"/>
  <c r="X105" i="3" s="1"/>
  <c r="W147" i="3" a="1"/>
  <c r="W147" i="3" s="1"/>
  <c r="X135" i="3" a="1"/>
  <c r="X135" i="3" s="1"/>
  <c r="G145" i="3" a="1"/>
  <c r="G145" i="3" s="1"/>
  <c r="W14" i="3" a="1"/>
  <c r="W14" i="3" s="1"/>
  <c r="X171" i="3" a="1"/>
  <c r="X171" i="3" s="1"/>
  <c r="X160" i="3" a="1"/>
  <c r="X160" i="3" s="1"/>
  <c r="X78" i="3" a="1"/>
  <c r="X78" i="3" s="1"/>
  <c r="G160" i="3" a="1"/>
  <c r="G160" i="3" s="1"/>
  <c r="E74" i="3" a="1"/>
  <c r="E74" i="3" s="1"/>
  <c r="F67" i="3" a="1"/>
  <c r="F67" i="3" s="1"/>
  <c r="F80" i="3" a="1"/>
  <c r="F80" i="3" s="1"/>
  <c r="E68" i="3" a="1"/>
  <c r="E68" i="3" s="1"/>
  <c r="E162" i="3" a="1"/>
  <c r="E162" i="3" s="1"/>
  <c r="AA162" i="3" s="1"/>
  <c r="F136" i="3" a="1"/>
  <c r="F136" i="3" s="1"/>
  <c r="E78" i="3" a="1"/>
  <c r="E78" i="3" s="1"/>
  <c r="F51" i="3" a="1"/>
  <c r="F51" i="3" s="1"/>
  <c r="F64" i="3" a="1"/>
  <c r="F64" i="3" s="1"/>
  <c r="E37" i="3" a="1"/>
  <c r="E37" i="3" s="1"/>
  <c r="F107" i="3" a="1"/>
  <c r="F107" i="3" s="1"/>
  <c r="E94" i="3" a="1"/>
  <c r="E94" i="3" s="1"/>
  <c r="E17" i="3" a="1"/>
  <c r="E17" i="3" s="1"/>
  <c r="AB17" i="3" s="1"/>
  <c r="F35" i="3" a="1"/>
  <c r="F35" i="3" s="1"/>
  <c r="F150" i="3" a="1"/>
  <c r="F150" i="3" s="1"/>
  <c r="E117" i="3" a="1"/>
  <c r="E117" i="3" s="1"/>
  <c r="F161" i="3" a="1"/>
  <c r="F161" i="3" s="1"/>
  <c r="E63" i="3" a="1"/>
  <c r="E63" i="3" s="1"/>
  <c r="F154" i="3" a="1"/>
  <c r="F154" i="3" s="1"/>
  <c r="E52" i="3" a="1"/>
  <c r="E52" i="3" s="1"/>
  <c r="E114" i="3" a="1"/>
  <c r="E114" i="3" s="1"/>
  <c r="E43" i="3" a="1"/>
  <c r="E43" i="3" s="1"/>
  <c r="T176" i="3" a="1"/>
  <c r="T176" i="3" s="1"/>
  <c r="E183" i="3" a="1"/>
  <c r="E183" i="3" s="1"/>
  <c r="E179" i="3" a="1"/>
  <c r="E179" i="3" s="1"/>
  <c r="X186" i="3" a="1"/>
  <c r="X186" i="3" s="1"/>
  <c r="W193" i="3" a="1"/>
  <c r="W193" i="3" s="1"/>
  <c r="G191" i="3" a="1"/>
  <c r="G191" i="3" s="1"/>
  <c r="K191" i="3" s="1" a="1"/>
  <c r="K191" i="3" s="1"/>
  <c r="S200" i="3" a="1"/>
  <c r="S200" i="3" s="1"/>
  <c r="F198" i="3" a="1"/>
  <c r="F198" i="3" s="1"/>
  <c r="W202" i="3" a="1"/>
  <c r="W202" i="3" s="1"/>
  <c r="F206" i="3" a="1"/>
  <c r="F206" i="3" s="1"/>
  <c r="X210" i="3" a="1"/>
  <c r="X210" i="3" s="1"/>
  <c r="G213" i="3" a="1"/>
  <c r="G213" i="3" s="1"/>
  <c r="G216" i="3" a="1"/>
  <c r="G216" i="3" s="1"/>
  <c r="E218" i="3" a="1"/>
  <c r="E218" i="3" s="1"/>
  <c r="F222" i="3" a="1"/>
  <c r="F222" i="3" s="1"/>
  <c r="E226" i="3" a="1"/>
  <c r="E226" i="3" s="1"/>
  <c r="T229" i="3" a="1"/>
  <c r="T229" i="3" s="1"/>
  <c r="S233" i="3" a="1"/>
  <c r="S233" i="3" s="1"/>
  <c r="X238" i="3" a="1"/>
  <c r="X238" i="3" s="1"/>
  <c r="F245" i="3" a="1"/>
  <c r="F245" i="3" s="1"/>
  <c r="F240" i="3" a="1"/>
  <c r="F240" i="3" s="1"/>
  <c r="E250" i="3" a="1"/>
  <c r="E250" i="3" s="1"/>
  <c r="S257" i="3" a="1"/>
  <c r="S257" i="3" s="1"/>
  <c r="X260" i="3" a="1"/>
  <c r="X260" i="3" s="1"/>
  <c r="S267" i="3" a="1"/>
  <c r="S267" i="3" s="1"/>
  <c r="X279" i="3" a="1"/>
  <c r="X279" i="3" s="1"/>
  <c r="W148" i="3" a="1"/>
  <c r="W148" i="3" s="1"/>
  <c r="G68" i="3" a="1"/>
  <c r="G68" i="3" s="1"/>
  <c r="M68" i="3" s="1" a="1"/>
  <c r="M68" i="3" s="1"/>
  <c r="G161" i="3" a="1"/>
  <c r="G161" i="3" s="1"/>
  <c r="X45" i="3" a="1"/>
  <c r="X45" i="3" s="1"/>
  <c r="X55" i="3" a="1"/>
  <c r="X55" i="3" s="1"/>
  <c r="W92" i="3" a="1"/>
  <c r="W92" i="3" s="1"/>
  <c r="X136" i="3" a="1"/>
  <c r="X136" i="3" s="1"/>
  <c r="G153" i="3" a="1"/>
  <c r="G153" i="3" s="1"/>
  <c r="M153" i="3" s="1" a="1"/>
  <c r="M153" i="3" s="1"/>
  <c r="W95" i="3" a="1"/>
  <c r="W95" i="3" s="1"/>
  <c r="X165" i="3" a="1"/>
  <c r="X165" i="3" s="1"/>
  <c r="X40" i="3" a="1"/>
  <c r="X40" i="3" s="1"/>
  <c r="X11" i="3" a="1"/>
  <c r="X11" i="3" s="1"/>
  <c r="G81" i="3" a="1"/>
  <c r="G81" i="3" s="1"/>
  <c r="M81" i="3" s="1" a="1"/>
  <c r="M81" i="3" s="1"/>
  <c r="W105" i="3" a="1"/>
  <c r="W105" i="3" s="1"/>
  <c r="W122" i="3" a="1"/>
  <c r="W122" i="3" s="1"/>
  <c r="W44" i="3" a="1"/>
  <c r="W44" i="3" s="1"/>
  <c r="X148" i="3" a="1"/>
  <c r="X148" i="3" s="1"/>
  <c r="G96" i="3" a="1"/>
  <c r="G96" i="3" s="1"/>
  <c r="F125" i="3" a="1"/>
  <c r="F125" i="3" s="1"/>
  <c r="F3" i="3" a="1"/>
  <c r="F3" i="3" s="1"/>
  <c r="F16" i="3" a="1"/>
  <c r="F16" i="3" s="1"/>
  <c r="E23" i="3" a="1"/>
  <c r="E23" i="3" s="1"/>
  <c r="E98" i="3" a="1"/>
  <c r="E98" i="3" s="1"/>
  <c r="E110" i="3" a="1"/>
  <c r="E110" i="3" s="1"/>
  <c r="E31" i="3" a="1"/>
  <c r="E31" i="3" s="1"/>
  <c r="AA31" i="3" s="1"/>
  <c r="E161" i="3" a="1"/>
  <c r="E161" i="3" s="1"/>
  <c r="F127" i="3" a="1"/>
  <c r="F127" i="3" s="1"/>
  <c r="E9" i="3" a="1"/>
  <c r="E9" i="3" s="1"/>
  <c r="F114" i="3" a="1"/>
  <c r="F114" i="3" s="1"/>
  <c r="AD114" i="3" s="1"/>
  <c r="F119" i="3" a="1"/>
  <c r="F119" i="3" s="1"/>
  <c r="E83" i="3" a="1"/>
  <c r="E83" i="3" s="1"/>
  <c r="F169" i="3" a="1"/>
  <c r="F169" i="3" s="1"/>
  <c r="F86" i="3" a="1"/>
  <c r="F86" i="3" s="1"/>
  <c r="AD86" i="3" s="1"/>
  <c r="F21" i="3" a="1"/>
  <c r="F21" i="3" s="1"/>
  <c r="F97" i="3" a="1"/>
  <c r="F97" i="3" s="1"/>
  <c r="E82" i="3" a="1"/>
  <c r="E82" i="3" s="1"/>
  <c r="E128" i="3" a="1"/>
  <c r="E128" i="3" s="1"/>
  <c r="AB128" i="3" s="1"/>
  <c r="E29" i="3" a="1"/>
  <c r="E29" i="3" s="1"/>
  <c r="F82" i="3" a="1"/>
  <c r="F82" i="3" s="1"/>
  <c r="E91" i="3" a="1"/>
  <c r="E91" i="3" s="1"/>
  <c r="X176" i="3" a="1"/>
  <c r="X176" i="3" s="1"/>
  <c r="T182" i="3" a="1"/>
  <c r="T182" i="3" s="1"/>
  <c r="G185" i="3" a="1"/>
  <c r="G185" i="3" s="1"/>
  <c r="O185" i="3" s="1" a="1"/>
  <c r="O185" i="3" s="1"/>
  <c r="E186" i="3" a="1"/>
  <c r="E186" i="3" s="1"/>
  <c r="E189" i="3" a="1"/>
  <c r="E189" i="3" s="1"/>
  <c r="T191" i="3" a="1"/>
  <c r="T191" i="3" s="1"/>
  <c r="X197" i="3" a="1"/>
  <c r="X197" i="3" s="1"/>
  <c r="S196" i="3" a="1"/>
  <c r="S196" i="3" s="1"/>
  <c r="G202" i="3" a="1"/>
  <c r="G202" i="3" s="1"/>
  <c r="L202" i="3" s="1" a="1"/>
  <c r="L202" i="3" s="1"/>
  <c r="T203" i="3" a="1"/>
  <c r="T203" i="3" s="1"/>
  <c r="F210" i="3" a="1"/>
  <c r="F210" i="3" s="1"/>
  <c r="S213" i="3" a="1"/>
  <c r="S213" i="3" s="1"/>
  <c r="F216" i="3" a="1"/>
  <c r="F216" i="3" s="1"/>
  <c r="S218" i="3" a="1"/>
  <c r="S218" i="3" s="1"/>
  <c r="T222" i="3" a="1"/>
  <c r="T222" i="3" s="1"/>
  <c r="G226" i="3" a="1"/>
  <c r="G226" i="3" s="1"/>
  <c r="O226" i="3" s="1" a="1"/>
  <c r="O226" i="3" s="1"/>
  <c r="W230" i="3" a="1"/>
  <c r="W230" i="3" s="1"/>
  <c r="X235" i="3" a="1"/>
  <c r="X235" i="3" s="1"/>
  <c r="W239" i="3" a="1"/>
  <c r="W239" i="3" s="1"/>
  <c r="S241" i="3" a="1"/>
  <c r="S241" i="3" s="1"/>
  <c r="T243" i="3" a="1"/>
  <c r="T243" i="3" s="1"/>
  <c r="G252" i="3" a="1"/>
  <c r="G252" i="3" s="1"/>
  <c r="S258" i="3" a="1"/>
  <c r="S258" i="3" s="1"/>
  <c r="T258" i="3" a="1"/>
  <c r="T258" i="3" s="1"/>
  <c r="W269" i="3" a="1"/>
  <c r="W269" i="3" s="1"/>
  <c r="G72" i="3" a="1"/>
  <c r="G72" i="3" s="1"/>
  <c r="N72" i="3" s="1" a="1"/>
  <c r="N72" i="3" s="1"/>
  <c r="X41" i="3" a="1"/>
  <c r="X41" i="3" s="1"/>
  <c r="G76" i="3" a="1"/>
  <c r="G76" i="3" s="1"/>
  <c r="N76" i="3" s="1" a="1"/>
  <c r="N76" i="3" s="1"/>
  <c r="G18" i="3" a="1"/>
  <c r="G18" i="3" s="1"/>
  <c r="W57" i="3" a="1"/>
  <c r="W57" i="3" s="1"/>
  <c r="X164" i="3" a="1"/>
  <c r="X164" i="3" s="1"/>
  <c r="W67" i="3" a="1"/>
  <c r="W67" i="3" s="1"/>
  <c r="X49" i="3" a="1"/>
  <c r="X49" i="3" s="1"/>
  <c r="G4" i="3" a="1"/>
  <c r="G4" i="3" s="1"/>
  <c r="G97" i="3" a="1"/>
  <c r="G97" i="3" s="1"/>
  <c r="X111" i="3" a="1"/>
  <c r="X111" i="3" s="1"/>
  <c r="X125" i="3" a="1"/>
  <c r="X125" i="3" s="1"/>
  <c r="W156" i="3" a="1"/>
  <c r="W156" i="3" s="1"/>
  <c r="G124" i="3" a="1"/>
  <c r="G124" i="3" s="1"/>
  <c r="G89" i="3" a="1"/>
  <c r="G89" i="3" s="1"/>
  <c r="W158" i="3" a="1"/>
  <c r="W158" i="3" s="1"/>
  <c r="W114" i="3" a="1"/>
  <c r="W114" i="3" s="1"/>
  <c r="X94" i="3" a="1"/>
  <c r="X94" i="3" s="1"/>
  <c r="X72" i="3" a="1"/>
  <c r="X72" i="3" s="1"/>
  <c r="G17" i="3" a="1"/>
  <c r="G17" i="3" s="1"/>
  <c r="L17" i="3" s="1" a="1"/>
  <c r="L17" i="3" s="1"/>
  <c r="W103" i="3" a="1"/>
  <c r="W103" i="3" s="1"/>
  <c r="X7" i="3" a="1"/>
  <c r="X7" i="3" s="1"/>
  <c r="W108" i="3" a="1"/>
  <c r="W108" i="3" s="1"/>
  <c r="G44" i="3" a="1"/>
  <c r="G44" i="3" s="1"/>
  <c r="G32" i="3" a="1"/>
  <c r="G32" i="3" s="1"/>
  <c r="F61" i="3" a="1"/>
  <c r="F61" i="3" s="1"/>
  <c r="F74" i="3" a="1"/>
  <c r="F74" i="3" s="1"/>
  <c r="E118" i="3" a="1"/>
  <c r="E118" i="3" s="1"/>
  <c r="E45" i="3" a="1"/>
  <c r="E45" i="3" s="1"/>
  <c r="F59" i="3" a="1"/>
  <c r="F59" i="3" s="1"/>
  <c r="F71" i="3" a="1"/>
  <c r="F71" i="3" s="1"/>
  <c r="E48" i="3" a="1"/>
  <c r="E48" i="3" s="1"/>
  <c r="AA48" i="3" s="1"/>
  <c r="E97" i="3" a="1"/>
  <c r="E97" i="3" s="1"/>
  <c r="F102" i="3" a="1"/>
  <c r="F102" i="3" s="1"/>
  <c r="E73" i="3" a="1"/>
  <c r="E73" i="3" s="1"/>
  <c r="F50" i="3" a="1"/>
  <c r="F50" i="3" s="1"/>
  <c r="F158" i="3" a="1"/>
  <c r="F158" i="3" s="1"/>
  <c r="E42" i="3" a="1"/>
  <c r="E42" i="3" s="1"/>
  <c r="E144" i="3" a="1"/>
  <c r="E144" i="3" s="1"/>
  <c r="F22" i="3" a="1"/>
  <c r="F22" i="3" s="1"/>
  <c r="E131" i="3" a="1"/>
  <c r="E131" i="3" s="1"/>
  <c r="F168" i="3" a="1"/>
  <c r="F168" i="3" s="1"/>
  <c r="E21" i="3" a="1"/>
  <c r="E21" i="3" s="1"/>
  <c r="F25" i="3" a="1"/>
  <c r="F25" i="3" s="1"/>
  <c r="E7" i="3" a="1"/>
  <c r="E7" i="3" s="1"/>
  <c r="F18" i="3" a="1"/>
  <c r="F18" i="3" s="1"/>
  <c r="F174" i="3" a="1"/>
  <c r="F174" i="3" s="1"/>
  <c r="G177" i="3" a="1"/>
  <c r="G177" i="3" s="1"/>
  <c r="J177" i="3" s="1" a="1"/>
  <c r="J177" i="3" s="1"/>
  <c r="W181" i="3" a="1"/>
  <c r="W181" i="3" s="1"/>
  <c r="E180" i="3" a="1"/>
  <c r="E180" i="3" s="1"/>
  <c r="G192" i="3" a="1"/>
  <c r="G192" i="3" s="1"/>
  <c r="G188" i="3" a="1"/>
  <c r="G188" i="3" s="1"/>
  <c r="O188" i="3" s="1" a="1"/>
  <c r="O188" i="3" s="1"/>
  <c r="W189" i="3" a="1"/>
  <c r="W189" i="3" s="1"/>
  <c r="F196" i="3" a="1"/>
  <c r="F196" i="3" s="1"/>
  <c r="W200" i="3" a="1"/>
  <c r="W200" i="3" s="1"/>
  <c r="X205" i="3" a="1"/>
  <c r="X205" i="3" s="1"/>
  <c r="G204" i="3" a="1"/>
  <c r="G204" i="3" s="1"/>
  <c r="X209" i="3" a="1"/>
  <c r="X209" i="3" s="1"/>
  <c r="W214" i="3" a="1"/>
  <c r="W214" i="3" s="1"/>
  <c r="E217" i="3" a="1"/>
  <c r="E217" i="3" s="1"/>
  <c r="AA217" i="3" s="1"/>
  <c r="W218" i="3" a="1"/>
  <c r="W218" i="3" s="1"/>
  <c r="W222" i="3" a="1"/>
  <c r="W222" i="3" s="1"/>
  <c r="X227" i="3" a="1"/>
  <c r="X227" i="3" s="1"/>
  <c r="W229" i="3" a="1"/>
  <c r="W229" i="3" s="1"/>
  <c r="X236" i="3" a="1"/>
  <c r="X236" i="3" s="1"/>
  <c r="X239" i="3" a="1"/>
  <c r="X239" i="3" s="1"/>
  <c r="X244" i="3" a="1"/>
  <c r="X244" i="3" s="1"/>
  <c r="W241" i="3" a="1"/>
  <c r="W241" i="3" s="1"/>
  <c r="X252" i="3" a="1"/>
  <c r="X252" i="3" s="1"/>
  <c r="F261" i="3" a="1"/>
  <c r="F261" i="3" s="1"/>
  <c r="G265" i="3" a="1"/>
  <c r="G265" i="3" s="1"/>
  <c r="J265" i="3" s="1" a="1"/>
  <c r="J265" i="3" s="1"/>
  <c r="F275" i="3" a="1"/>
  <c r="F275" i="3" s="1"/>
  <c r="X106" i="3" a="1"/>
  <c r="X106" i="3" s="1"/>
  <c r="X83" i="3" a="1"/>
  <c r="X83" i="3" s="1"/>
  <c r="G171" i="3" a="1"/>
  <c r="G171" i="3" s="1"/>
  <c r="O171" i="3" s="1" a="1"/>
  <c r="O171" i="3" s="1"/>
  <c r="G152" i="3" a="1"/>
  <c r="G152" i="3" s="1"/>
  <c r="W138" i="3" a="1"/>
  <c r="W138" i="3" s="1"/>
  <c r="X119" i="3" a="1"/>
  <c r="X119" i="3" s="1"/>
  <c r="X90" i="3" a="1"/>
  <c r="X90" i="3" s="1"/>
  <c r="G163" i="3" a="1"/>
  <c r="G163" i="3" s="1"/>
  <c r="G144" i="3" a="1"/>
  <c r="G144" i="3" s="1"/>
  <c r="X21" i="3" a="1"/>
  <c r="X21" i="3" s="1"/>
  <c r="X100" i="3" a="1"/>
  <c r="X100" i="3" s="1"/>
  <c r="W132" i="3" a="1"/>
  <c r="W132" i="3" s="1"/>
  <c r="X169" i="3" a="1"/>
  <c r="X169" i="3" s="1"/>
  <c r="G90" i="3" a="1"/>
  <c r="G90" i="3" s="1"/>
  <c r="X16" i="3" a="1"/>
  <c r="X16" i="3" s="1"/>
  <c r="X42" i="3" a="1"/>
  <c r="X42" i="3" s="1"/>
  <c r="G147" i="3" a="1"/>
  <c r="G147" i="3" s="1"/>
  <c r="G41" i="3" a="1"/>
  <c r="G41" i="3" s="1"/>
  <c r="X28" i="3" a="1"/>
  <c r="X28" i="3" s="1"/>
  <c r="X151" i="3" a="1"/>
  <c r="X151" i="3" s="1"/>
  <c r="X82" i="3" a="1"/>
  <c r="X82" i="3" s="1"/>
  <c r="X121" i="3" a="1"/>
  <c r="X121" i="3" s="1"/>
  <c r="G11" i="3" a="1"/>
  <c r="G11" i="3" s="1"/>
  <c r="G56" i="3" a="1"/>
  <c r="G56" i="3" s="1"/>
  <c r="X99" i="3" a="1"/>
  <c r="X99" i="3" s="1"/>
  <c r="X32" i="3" a="1"/>
  <c r="X32" i="3" s="1"/>
  <c r="X58" i="3" a="1"/>
  <c r="X58" i="3" s="1"/>
  <c r="Y58" i="3" s="1"/>
  <c r="Z58" i="3" s="1"/>
  <c r="G67" i="3" a="1"/>
  <c r="G67" i="3" s="1"/>
  <c r="G48" i="3" a="1"/>
  <c r="G48" i="3" s="1"/>
  <c r="X53" i="3" a="1"/>
  <c r="X53" i="3" s="1"/>
  <c r="X132" i="3" a="1"/>
  <c r="X132" i="3" s="1"/>
  <c r="W100" i="3" a="1"/>
  <c r="W100" i="3" s="1"/>
  <c r="G52" i="3" a="1"/>
  <c r="G52" i="3" s="1"/>
  <c r="W164" i="3" a="1"/>
  <c r="W164" i="3" s="1"/>
  <c r="X116" i="3" a="1"/>
  <c r="X116" i="3" s="1"/>
  <c r="W27" i="3" a="1"/>
  <c r="W27" i="3" s="1"/>
  <c r="X77" i="3" a="1"/>
  <c r="X77" i="3" s="1"/>
  <c r="G114" i="3" a="1"/>
  <c r="G114" i="3" s="1"/>
  <c r="E15" i="3" a="1"/>
  <c r="E15" i="3" s="1"/>
  <c r="E170" i="3" a="1"/>
  <c r="E170" i="3" s="1"/>
  <c r="F137" i="3" a="1"/>
  <c r="F137" i="3" s="1"/>
  <c r="E100" i="3" a="1"/>
  <c r="E100" i="3" s="1"/>
  <c r="E84" i="3" a="1"/>
  <c r="E84" i="3" s="1"/>
  <c r="E104" i="3" a="1"/>
  <c r="E104" i="3" s="1"/>
  <c r="E156" i="3" a="1"/>
  <c r="E156" i="3" s="1"/>
  <c r="E155" i="3" a="1"/>
  <c r="E155" i="3" s="1"/>
  <c r="E159" i="3" a="1"/>
  <c r="E159" i="3" s="1"/>
  <c r="AA159" i="3" s="1"/>
  <c r="E67" i="3" a="1"/>
  <c r="E67" i="3" s="1"/>
  <c r="F100" i="3" a="1"/>
  <c r="F100" i="3" s="1"/>
  <c r="F49" i="3" a="1"/>
  <c r="F49" i="3" s="1"/>
  <c r="E28" i="3" a="1"/>
  <c r="E28" i="3" s="1"/>
  <c r="F28" i="3" a="1"/>
  <c r="F28" i="3" s="1"/>
  <c r="E143" i="3" a="1"/>
  <c r="E143" i="3" s="1"/>
  <c r="E55" i="3" a="1"/>
  <c r="E55" i="3" s="1"/>
  <c r="F155" i="3" a="1"/>
  <c r="F155" i="3" s="1"/>
  <c r="F142" i="3" a="1"/>
  <c r="F142" i="3" s="1"/>
  <c r="AC142" i="3" s="1"/>
  <c r="E122" i="3" a="1"/>
  <c r="E122" i="3" s="1"/>
  <c r="F159" i="3" a="1"/>
  <c r="F159" i="3" s="1"/>
  <c r="E115" i="3" a="1"/>
  <c r="E115" i="3" s="1"/>
  <c r="F24" i="3" a="1"/>
  <c r="F24" i="3" s="1"/>
  <c r="AD24" i="3" s="1"/>
  <c r="F176" i="3" a="1"/>
  <c r="F176" i="3" s="1"/>
  <c r="F175" i="3" a="1"/>
  <c r="F175" i="3" s="1"/>
  <c r="S182" i="3" a="1"/>
  <c r="S182" i="3" s="1"/>
  <c r="G180" i="3" a="1"/>
  <c r="G180" i="3" s="1"/>
  <c r="K180" i="3" s="1" a="1"/>
  <c r="K180" i="3" s="1"/>
  <c r="T193" i="3" a="1"/>
  <c r="T193" i="3" s="1"/>
  <c r="E191" i="3" a="1"/>
  <c r="E191" i="3" s="1"/>
  <c r="G200" i="3" a="1"/>
  <c r="G200" i="3" s="1"/>
  <c r="M200" i="3" s="1" a="1"/>
  <c r="M200" i="3" s="1"/>
  <c r="T195" i="3" a="1"/>
  <c r="T195" i="3" s="1"/>
  <c r="W201" i="3" a="1"/>
  <c r="W201" i="3" s="1"/>
  <c r="X206" i="3" a="1"/>
  <c r="X206" i="3" s="1"/>
  <c r="T209" i="3" a="1"/>
  <c r="T209" i="3" s="1"/>
  <c r="W211" i="3" a="1"/>
  <c r="W211" i="3" s="1"/>
  <c r="W215" i="3" a="1"/>
  <c r="W215" i="3" s="1"/>
  <c r="T221" i="3" a="1"/>
  <c r="T221" i="3" s="1"/>
  <c r="E223" i="3" a="1"/>
  <c r="E223" i="3" s="1"/>
  <c r="W228" i="3" a="1"/>
  <c r="W228" i="3" s="1"/>
  <c r="AB228" i="3" s="1"/>
  <c r="W231" i="3" a="1"/>
  <c r="W231" i="3" s="1"/>
  <c r="E236" i="3" a="1"/>
  <c r="E236" i="3" s="1"/>
  <c r="G246" i="3" a="1"/>
  <c r="G246" i="3" s="1"/>
  <c r="O246" i="3" s="1" a="1"/>
  <c r="O246" i="3" s="1"/>
  <c r="T242" i="3" a="1"/>
  <c r="T242" i="3" s="1"/>
  <c r="G249" i="3" a="1"/>
  <c r="G249" i="3" s="1"/>
  <c r="J249" i="3" s="1" a="1"/>
  <c r="J249" i="3" s="1"/>
  <c r="G254" i="3" a="1"/>
  <c r="G254" i="3" s="1"/>
  <c r="M254" i="3" s="1" a="1"/>
  <c r="M254" i="3" s="1"/>
  <c r="G260" i="3" a="1"/>
  <c r="G260" i="3" s="1"/>
  <c r="W266" i="3" a="1"/>
  <c r="W266" i="3" s="1"/>
  <c r="F303" i="3" a="1"/>
  <c r="F303" i="3" s="1"/>
  <c r="E308" i="3" a="1"/>
  <c r="E308" i="3" s="1"/>
  <c r="T308" i="3" a="1"/>
  <c r="T308" i="3" s="1"/>
  <c r="B308" i="3" a="1"/>
  <c r="B308" i="3" s="1"/>
  <c r="F308" i="3" a="1"/>
  <c r="F308" i="3" s="1"/>
  <c r="G308" i="3" a="1"/>
  <c r="G308" i="3" s="1"/>
  <c r="O308" i="3" s="1" a="1"/>
  <c r="O308" i="3" s="1"/>
  <c r="W308" i="3" a="1"/>
  <c r="W308" i="3" s="1"/>
  <c r="S308" i="3" a="1"/>
  <c r="S308" i="3" s="1"/>
  <c r="X308" i="3" a="1"/>
  <c r="X308" i="3" s="1"/>
  <c r="F79" i="3" a="1"/>
  <c r="F79" i="3" s="1"/>
  <c r="E6" i="3" a="1"/>
  <c r="E6" i="3" s="1"/>
  <c r="F53" i="3" a="1"/>
  <c r="F53" i="3" s="1"/>
  <c r="E169" i="3" a="1"/>
  <c r="E169" i="3" s="1"/>
  <c r="E103" i="3" a="1"/>
  <c r="E103" i="3" s="1"/>
  <c r="F46" i="3" a="1"/>
  <c r="F46" i="3" s="1"/>
  <c r="E165" i="3" a="1"/>
  <c r="E165" i="3" s="1"/>
  <c r="F108" i="3" a="1"/>
  <c r="F108" i="3" s="1"/>
  <c r="F58" i="3" a="1"/>
  <c r="F58" i="3" s="1"/>
  <c r="E102" i="3" a="1"/>
  <c r="E102" i="3" s="1"/>
  <c r="E20" i="3" a="1"/>
  <c r="E20" i="3" s="1"/>
  <c r="E34" i="3" a="1"/>
  <c r="E34" i="3" s="1"/>
  <c r="F170" i="3" a="1"/>
  <c r="F170" i="3" s="1"/>
  <c r="F113" i="3" a="1"/>
  <c r="F113" i="3" s="1"/>
  <c r="F55" i="3" a="1"/>
  <c r="F55" i="3" s="1"/>
  <c r="E30" i="3" a="1"/>
  <c r="E30" i="3" s="1"/>
  <c r="F29" i="3" a="1"/>
  <c r="F29" i="3" s="1"/>
  <c r="E145" i="3" a="1"/>
  <c r="E145" i="3" s="1"/>
  <c r="E79" i="3" a="1"/>
  <c r="E79" i="3" s="1"/>
  <c r="E132" i="3" a="1"/>
  <c r="E132" i="3" s="1"/>
  <c r="E25" i="3" a="1"/>
  <c r="E25" i="3" s="1"/>
  <c r="F20" i="3" a="1"/>
  <c r="F20" i="3" s="1"/>
  <c r="F33" i="3" a="1"/>
  <c r="F33" i="3" s="1"/>
  <c r="AD33" i="3" s="1"/>
  <c r="E133" i="3" a="1"/>
  <c r="E133" i="3" s="1"/>
  <c r="F77" i="3" a="1"/>
  <c r="F77" i="3" s="1"/>
  <c r="F26" i="3" a="1"/>
  <c r="F26" i="3" s="1"/>
  <c r="F95" i="3" a="1"/>
  <c r="F95" i="3" s="1"/>
  <c r="AC95" i="3" s="1"/>
  <c r="E24" i="3" a="1"/>
  <c r="E24" i="3" s="1"/>
  <c r="F4" i="3" a="1"/>
  <c r="F4" i="3" s="1"/>
  <c r="E119" i="3" a="1"/>
  <c r="E119" i="3" s="1"/>
  <c r="E125" i="3" a="1"/>
  <c r="E125" i="3" s="1"/>
  <c r="F178" i="3" a="1"/>
  <c r="F178" i="3" s="1"/>
  <c r="E175" i="3" a="1"/>
  <c r="E175" i="3" s="1"/>
  <c r="F185" i="3" a="1"/>
  <c r="F185" i="3" s="1"/>
  <c r="T184" i="3" a="1"/>
  <c r="T184" i="3" s="1"/>
  <c r="F182" i="3" a="1"/>
  <c r="F182" i="3" s="1"/>
  <c r="E182" i="3" a="1"/>
  <c r="E182" i="3" s="1"/>
  <c r="G193" i="3" a="1"/>
  <c r="G193" i="3" s="1"/>
  <c r="N193" i="3" s="1" a="1"/>
  <c r="N193" i="3" s="1"/>
  <c r="F190" i="3" a="1"/>
  <c r="F190" i="3" s="1"/>
  <c r="G189" i="3" a="1"/>
  <c r="G189" i="3" s="1"/>
  <c r="G199" i="3" a="1"/>
  <c r="G199" i="3" s="1"/>
  <c r="L199" i="3" s="1" a="1"/>
  <c r="L199" i="3" s="1"/>
  <c r="W196" i="3" a="1"/>
  <c r="W196" i="3" s="1"/>
  <c r="X199" i="3" a="1"/>
  <c r="X199" i="3" s="1"/>
  <c r="E198" i="3" a="1"/>
  <c r="E198" i="3" s="1"/>
  <c r="X202" i="3" a="1"/>
  <c r="X202" i="3" s="1"/>
  <c r="W204" i="3" a="1"/>
  <c r="W204" i="3" s="1"/>
  <c r="E205" i="3" a="1"/>
  <c r="E205" i="3" s="1"/>
  <c r="E209" i="3" a="1"/>
  <c r="E209" i="3" s="1"/>
  <c r="E210" i="3" a="1"/>
  <c r="E210" i="3" s="1"/>
  <c r="E212" i="3" a="1"/>
  <c r="E212" i="3" s="1"/>
  <c r="T215" i="3" a="1"/>
  <c r="T215" i="3" s="1"/>
  <c r="AC215" i="3" s="1"/>
  <c r="W216" i="3" a="1"/>
  <c r="W216" i="3" s="1"/>
  <c r="X219" i="3" a="1"/>
  <c r="X219" i="3" s="1"/>
  <c r="W221" i="3" a="1"/>
  <c r="W221" i="3" s="1"/>
  <c r="S223" i="3" a="1"/>
  <c r="S223" i="3" s="1"/>
  <c r="F225" i="3" a="1"/>
  <c r="F225" i="3" s="1"/>
  <c r="X228" i="3" a="1"/>
  <c r="X228" i="3" s="1"/>
  <c r="X229" i="3" a="1"/>
  <c r="X229" i="3" s="1"/>
  <c r="E234" i="3" a="1"/>
  <c r="E234" i="3" s="1"/>
  <c r="F236" i="3" a="1"/>
  <c r="F236" i="3" s="1"/>
  <c r="S239" i="3" a="1"/>
  <c r="S239" i="3" s="1"/>
  <c r="X242" i="3" a="1"/>
  <c r="X242" i="3" s="1"/>
  <c r="G241" i="3" a="1"/>
  <c r="G241" i="3" s="1"/>
  <c r="N241" i="3" s="1" a="1"/>
  <c r="N241" i="3" s="1"/>
  <c r="G247" i="3" a="1"/>
  <c r="G247" i="3" s="1"/>
  <c r="N247" i="3" s="1" a="1"/>
  <c r="N247" i="3" s="1"/>
  <c r="E256" i="3" a="1"/>
  <c r="E256" i="3" s="1"/>
  <c r="W251" i="3" a="1"/>
  <c r="W251" i="3" s="1"/>
  <c r="G251" i="3" a="1"/>
  <c r="G251" i="3" s="1"/>
  <c r="L251" i="3" s="1" a="1"/>
  <c r="L251" i="3" s="1"/>
  <c r="G257" i="3" a="1"/>
  <c r="G257" i="3" s="1"/>
  <c r="J257" i="3" s="1" a="1"/>
  <c r="J257" i="3" s="1"/>
  <c r="F263" i="3" a="1"/>
  <c r="F263" i="3" s="1"/>
  <c r="X261" i="3" a="1"/>
  <c r="X261" i="3" s="1"/>
  <c r="E266" i="3" a="1"/>
  <c r="E266" i="3" s="1"/>
  <c r="AB266" i="3" s="1"/>
  <c r="X269" i="3" a="1"/>
  <c r="X269" i="3" s="1"/>
  <c r="E276" i="3" a="1"/>
  <c r="E276" i="3" s="1"/>
  <c r="W279" i="3" a="1"/>
  <c r="W279" i="3" s="1"/>
  <c r="Y279" i="3" s="1"/>
  <c r="X127" i="3" a="1"/>
  <c r="X127" i="3" s="1"/>
  <c r="G123" i="3" a="1"/>
  <c r="G123" i="3" s="1"/>
  <c r="G104" i="3" a="1"/>
  <c r="G104" i="3" s="1"/>
  <c r="L104" i="3" s="1" a="1"/>
  <c r="L104" i="3" s="1"/>
  <c r="W7" i="3" a="1"/>
  <c r="W7" i="3" s="1"/>
  <c r="X54" i="3" a="1"/>
  <c r="X54" i="3" s="1"/>
  <c r="W91" i="3" a="1"/>
  <c r="W91" i="3" s="1"/>
  <c r="X76" i="3" a="1"/>
  <c r="X76" i="3" s="1"/>
  <c r="G172" i="3" a="1"/>
  <c r="G172" i="3" s="1"/>
  <c r="N172" i="3" s="1" a="1"/>
  <c r="N172" i="3" s="1"/>
  <c r="G73" i="3" a="1"/>
  <c r="G73" i="3" s="1"/>
  <c r="E81" i="3" a="1"/>
  <c r="E81" i="3" s="1"/>
  <c r="E107" i="3" a="1"/>
  <c r="E107" i="3" s="1"/>
  <c r="E113" i="3" a="1"/>
  <c r="E113" i="3" s="1"/>
  <c r="AA113" i="3" s="1"/>
  <c r="E111" i="3" a="1"/>
  <c r="E111" i="3" s="1"/>
  <c r="F54" i="3" a="1"/>
  <c r="F54" i="3" s="1"/>
  <c r="E101" i="3" a="1"/>
  <c r="E101" i="3" s="1"/>
  <c r="E99" i="3" a="1"/>
  <c r="E99" i="3" s="1"/>
  <c r="F130" i="3" a="1"/>
  <c r="F130" i="3" s="1"/>
  <c r="AD130" i="3" s="1"/>
  <c r="F72" i="3" a="1"/>
  <c r="F72" i="3" s="1"/>
  <c r="E92" i="3" a="1"/>
  <c r="E92" i="3" s="1"/>
  <c r="E69" i="3" a="1"/>
  <c r="E69" i="3" s="1"/>
  <c r="E90" i="3" a="1"/>
  <c r="E90" i="3" s="1"/>
  <c r="AA90" i="3" s="1"/>
  <c r="F121" i="3" a="1"/>
  <c r="F121" i="3" s="1"/>
  <c r="F63" i="3" a="1"/>
  <c r="F63" i="3" s="1"/>
  <c r="E22" i="3" a="1"/>
  <c r="E22" i="3" s="1"/>
  <c r="F101" i="3" a="1"/>
  <c r="F101" i="3" s="1"/>
  <c r="AD101" i="3" s="1"/>
  <c r="F43" i="3" a="1"/>
  <c r="F43" i="3" s="1"/>
  <c r="E151" i="3" a="1"/>
  <c r="E151" i="3" s="1"/>
  <c r="F30" i="3" a="1"/>
  <c r="F30" i="3" s="1"/>
  <c r="AD30" i="3" s="1"/>
  <c r="E61" i="3" a="1"/>
  <c r="E61" i="3" s="1"/>
  <c r="AB61" i="3" s="1"/>
  <c r="F156" i="3" a="1"/>
  <c r="F156" i="3" s="1"/>
  <c r="F106" i="3" a="1"/>
  <c r="F106" i="3" s="1"/>
  <c r="F48" i="3" a="1"/>
  <c r="F48" i="3" s="1"/>
  <c r="E85" i="3" a="1"/>
  <c r="E85" i="3" s="1"/>
  <c r="AB85" i="3" s="1"/>
  <c r="E50" i="3" a="1"/>
  <c r="E50" i="3" s="1"/>
  <c r="F27" i="3" a="1"/>
  <c r="F27" i="3" s="1"/>
  <c r="F40" i="3" a="1"/>
  <c r="F40" i="3" s="1"/>
  <c r="AC40" i="3" s="1"/>
  <c r="E46" i="3" a="1"/>
  <c r="E46" i="3" s="1"/>
  <c r="F140" i="3" a="1"/>
  <c r="F140" i="3" s="1"/>
  <c r="F153" i="3" a="1"/>
  <c r="F153" i="3" s="1"/>
  <c r="F70" i="3" a="1"/>
  <c r="F70" i="3" s="1"/>
  <c r="E41" i="3" a="1"/>
  <c r="E41" i="3" s="1"/>
  <c r="AB41" i="3" s="1"/>
  <c r="E121" i="3" a="1"/>
  <c r="E121" i="3" s="1"/>
  <c r="E126" i="3" a="1"/>
  <c r="E126" i="3" s="1"/>
  <c r="F172" i="3" a="1"/>
  <c r="F172" i="3" s="1"/>
  <c r="T175" i="3" a="1"/>
  <c r="T175" i="3" s="1"/>
  <c r="E176" i="3" a="1"/>
  <c r="E176" i="3" s="1"/>
  <c r="W180" i="3" a="1"/>
  <c r="W180" i="3" s="1"/>
  <c r="S183" i="3" a="1"/>
  <c r="S183" i="3" s="1"/>
  <c r="W185" i="3" a="1"/>
  <c r="W185" i="3" s="1"/>
  <c r="AB185" i="3" s="1"/>
  <c r="W186" i="3" a="1"/>
  <c r="W186" i="3" s="1"/>
  <c r="W191" i="3" a="1"/>
  <c r="W191" i="3" s="1"/>
  <c r="X188" i="3" a="1"/>
  <c r="X188" i="3" s="1"/>
  <c r="S188" i="3" a="1"/>
  <c r="S188" i="3" s="1"/>
  <c r="W194" i="3" a="1"/>
  <c r="W194" i="3" s="1"/>
  <c r="F195" i="3" a="1"/>
  <c r="F195" i="3" s="1"/>
  <c r="T196" i="3" a="1"/>
  <c r="T196" i="3" s="1"/>
  <c r="U196" i="3" s="1"/>
  <c r="T198" i="3" a="1"/>
  <c r="T198" i="3" s="1"/>
  <c r="F202" i="3" a="1"/>
  <c r="F202" i="3" s="1"/>
  <c r="F203" i="3" a="1"/>
  <c r="F203" i="3" s="1"/>
  <c r="T204" i="3" a="1"/>
  <c r="T204" i="3" s="1"/>
  <c r="F211" i="3" a="1"/>
  <c r="F211" i="3" s="1"/>
  <c r="AC211" i="3" s="1"/>
  <c r="T210" i="3" a="1"/>
  <c r="T210" i="3" s="1"/>
  <c r="X213" i="3" a="1"/>
  <c r="X213" i="3" s="1"/>
  <c r="F217" i="3" a="1"/>
  <c r="F217" i="3" s="1"/>
  <c r="X218" i="3" a="1"/>
  <c r="X218" i="3" s="1"/>
  <c r="S220" i="3" a="1"/>
  <c r="S220" i="3" s="1"/>
  <c r="S224" i="3" a="1"/>
  <c r="S224" i="3" s="1"/>
  <c r="T225" i="3" a="1"/>
  <c r="T225" i="3" s="1"/>
  <c r="F230" i="3" a="1"/>
  <c r="F230" i="3" s="1"/>
  <c r="S231" i="3" a="1"/>
  <c r="S231" i="3" s="1"/>
  <c r="T233" i="3" a="1"/>
  <c r="T233" i="3" s="1"/>
  <c r="X237" i="3" a="1"/>
  <c r="X237" i="3" s="1"/>
  <c r="G239" i="3" a="1"/>
  <c r="G239" i="3" s="1"/>
  <c r="T247" i="3" a="1"/>
  <c r="T247" i="3" s="1"/>
  <c r="W246" i="3" a="1"/>
  <c r="W246" i="3" s="1"/>
  <c r="E242" i="3" a="1"/>
  <c r="E242" i="3" s="1"/>
  <c r="T249" i="3" a="1"/>
  <c r="T249" i="3" s="1"/>
  <c r="S252" i="3" a="1"/>
  <c r="S252" i="3" s="1"/>
  <c r="T254" i="3" a="1"/>
  <c r="T254" i="3" s="1"/>
  <c r="W262" i="3" a="1"/>
  <c r="W262" i="3" s="1"/>
  <c r="T262" i="3" a="1"/>
  <c r="T262" i="3" s="1"/>
  <c r="W261" i="3" a="1"/>
  <c r="W261" i="3" s="1"/>
  <c r="E268" i="3" a="1"/>
  <c r="E268" i="3" s="1"/>
  <c r="X275" i="3" a="1"/>
  <c r="X275" i="3" s="1"/>
  <c r="T277" i="3" a="1"/>
  <c r="T277" i="3" s="1"/>
  <c r="U277" i="3" s="1"/>
  <c r="X71" i="3" a="1"/>
  <c r="X71" i="3" s="1"/>
  <c r="G59" i="3" a="1"/>
  <c r="G59" i="3" s="1"/>
  <c r="L59" i="3" s="1" a="1"/>
  <c r="L59" i="3" s="1"/>
  <c r="G40" i="3" a="1"/>
  <c r="G40" i="3" s="1"/>
  <c r="W93" i="3" a="1"/>
  <c r="W93" i="3" s="1"/>
  <c r="X112" i="3" a="1"/>
  <c r="X112" i="3" s="1"/>
  <c r="W155" i="3" a="1"/>
  <c r="W155" i="3" s="1"/>
  <c r="X134" i="3" a="1"/>
  <c r="X134" i="3" s="1"/>
  <c r="G108" i="3" a="1"/>
  <c r="G108" i="3" s="1"/>
  <c r="O108" i="3" s="1" a="1"/>
  <c r="O108" i="3" s="1"/>
  <c r="G9" i="3" a="1"/>
  <c r="G9" i="3" s="1"/>
  <c r="E32" i="3" a="1"/>
  <c r="E32" i="3" s="1"/>
  <c r="F124" i="3" a="1"/>
  <c r="F124" i="3" s="1"/>
  <c r="F138" i="3" a="1"/>
  <c r="F138" i="3" s="1"/>
  <c r="F144" i="3" a="1"/>
  <c r="F144" i="3" s="1"/>
  <c r="E164" i="3" a="1"/>
  <c r="E164" i="3" s="1"/>
  <c r="E40" i="3" a="1"/>
  <c r="E40" i="3" s="1"/>
  <c r="F116" i="3" a="1"/>
  <c r="F116" i="3" s="1"/>
  <c r="F66" i="3" a="1"/>
  <c r="F66" i="3" s="1"/>
  <c r="F8" i="3" a="1"/>
  <c r="F8" i="3" s="1"/>
  <c r="E59" i="3" a="1"/>
  <c r="E59" i="3" s="1"/>
  <c r="E26" i="3" a="1"/>
  <c r="E26" i="3" s="1"/>
  <c r="F115" i="3" a="1"/>
  <c r="F115" i="3" s="1"/>
  <c r="F57" i="3" a="1"/>
  <c r="F57" i="3" s="1"/>
  <c r="F166" i="3" a="1"/>
  <c r="F166" i="3" s="1"/>
  <c r="AD166" i="3" s="1"/>
  <c r="E93" i="3" a="1"/>
  <c r="E93" i="3" s="1"/>
  <c r="F37" i="3" a="1"/>
  <c r="F37" i="3" s="1"/>
  <c r="E153" i="3" a="1"/>
  <c r="E153" i="3" s="1"/>
  <c r="F120" i="3" a="1"/>
  <c r="F120" i="3" s="1"/>
  <c r="E140" i="3" a="1"/>
  <c r="E140" i="3" s="1"/>
  <c r="E64" i="3" a="1"/>
  <c r="E64" i="3" s="1"/>
  <c r="F92" i="3" a="1"/>
  <c r="F92" i="3" s="1"/>
  <c r="F42" i="3" a="1"/>
  <c r="F42" i="3" s="1"/>
  <c r="E150" i="3" a="1"/>
  <c r="E150" i="3" s="1"/>
  <c r="E36" i="3" a="1"/>
  <c r="E36" i="3" s="1"/>
  <c r="F85" i="3" a="1"/>
  <c r="F85" i="3" s="1"/>
  <c r="E137" i="3" a="1"/>
  <c r="E137" i="3" s="1"/>
  <c r="AA137" i="3" s="1"/>
  <c r="F167" i="3" a="1"/>
  <c r="F167" i="3" s="1"/>
  <c r="AC167" i="3" s="1"/>
  <c r="E53" i="3" a="1"/>
  <c r="E53" i="3" s="1"/>
  <c r="F12" i="3" a="1"/>
  <c r="F12" i="3" s="1"/>
  <c r="F89" i="3" a="1"/>
  <c r="F89" i="3" s="1"/>
  <c r="E116" i="3" a="1"/>
  <c r="E116" i="3" s="1"/>
  <c r="E66" i="3" a="1"/>
  <c r="E66" i="3" s="1"/>
  <c r="F146" i="3" a="1"/>
  <c r="F146" i="3" s="1"/>
  <c r="F151" i="3" a="1"/>
  <c r="F151" i="3" s="1"/>
  <c r="AC151" i="3" s="1"/>
  <c r="F173" i="3" a="1"/>
  <c r="F173" i="3" s="1"/>
  <c r="W177" i="3" a="1"/>
  <c r="W177" i="3" s="1"/>
  <c r="E177" i="3" a="1"/>
  <c r="E177" i="3" s="1"/>
  <c r="X182" i="3" a="1"/>
  <c r="X182" i="3" s="1"/>
  <c r="W183" i="3" a="1"/>
  <c r="W183" i="3" s="1"/>
  <c r="F183" i="3" a="1"/>
  <c r="F183" i="3" s="1"/>
  <c r="F186" i="3" a="1"/>
  <c r="F186" i="3" s="1"/>
  <c r="E187" i="3" a="1"/>
  <c r="E187" i="3" s="1"/>
  <c r="E190" i="3" a="1"/>
  <c r="E190" i="3" s="1"/>
  <c r="W188" i="3" a="1"/>
  <c r="W188" i="3" s="1"/>
  <c r="X195" i="3" a="1"/>
  <c r="X195" i="3" s="1"/>
  <c r="E195" i="3" a="1"/>
  <c r="E195" i="3" s="1"/>
  <c r="W199" i="3" a="1"/>
  <c r="W199" i="3" s="1"/>
  <c r="F200" i="3" a="1"/>
  <c r="F200" i="3" s="1"/>
  <c r="E202" i="3" a="1"/>
  <c r="E202" i="3" s="1"/>
  <c r="W206" i="3" a="1"/>
  <c r="W206" i="3" s="1"/>
  <c r="G208" i="3" a="1"/>
  <c r="G208" i="3" s="1"/>
  <c r="T207" i="3" a="1"/>
  <c r="T207" i="3" s="1"/>
  <c r="W210" i="3" a="1"/>
  <c r="W210" i="3" s="1"/>
  <c r="E215" i="3" a="1"/>
  <c r="E215" i="3" s="1"/>
  <c r="T216" i="3" a="1"/>
  <c r="T216" i="3" s="1"/>
  <c r="U216" i="3" s="1"/>
  <c r="G218" i="3" a="1"/>
  <c r="G218" i="3" s="1"/>
  <c r="E220" i="3" a="1"/>
  <c r="E220" i="3" s="1"/>
  <c r="W224" i="3" a="1"/>
  <c r="W224" i="3" s="1"/>
  <c r="S228" i="3" a="1"/>
  <c r="S228" i="3" s="1"/>
  <c r="AA228" i="3" s="1"/>
  <c r="E229" i="3" a="1"/>
  <c r="E229" i="3" s="1"/>
  <c r="X232" i="3" a="1"/>
  <c r="X232" i="3" s="1"/>
  <c r="E233" i="3" a="1"/>
  <c r="E233" i="3" s="1"/>
  <c r="G237" i="3" a="1"/>
  <c r="G237" i="3" s="1"/>
  <c r="M237" i="3" s="1" a="1"/>
  <c r="M237" i="3" s="1"/>
  <c r="E239" i="3" a="1"/>
  <c r="E239" i="3" s="1"/>
  <c r="W244" i="3" a="1"/>
  <c r="W244" i="3" s="1"/>
  <c r="G240" i="3" a="1"/>
  <c r="G240" i="3" s="1"/>
  <c r="J240" i="3" s="1" a="1"/>
  <c r="J240" i="3" s="1"/>
  <c r="T244" i="3" a="1"/>
  <c r="T244" i="3" s="1"/>
  <c r="AC244" i="3" s="1"/>
  <c r="F249" i="3" a="1"/>
  <c r="F249" i="3" s="1"/>
  <c r="W252" i="3" a="1"/>
  <c r="W252" i="3" s="1"/>
  <c r="F254" i="3" a="1"/>
  <c r="F254" i="3" s="1"/>
  <c r="E260" i="3" a="1"/>
  <c r="E260" i="3" s="1"/>
  <c r="G263" i="3" a="1"/>
  <c r="G263" i="3" s="1"/>
  <c r="O263" i="3" s="1" a="1"/>
  <c r="O263" i="3" s="1"/>
  <c r="G266" i="3" a="1"/>
  <c r="G266" i="3" s="1"/>
  <c r="N266" i="3" s="1" a="1"/>
  <c r="N266" i="3" s="1"/>
  <c r="E269" i="3" a="1"/>
  <c r="E269" i="3" s="1"/>
  <c r="W275" i="3" a="1"/>
  <c r="W275" i="3" s="1"/>
  <c r="E278" i="3" a="1"/>
  <c r="E278" i="3" s="1"/>
  <c r="X240" i="3" a="1"/>
  <c r="X240" i="3" s="1"/>
  <c r="AD240" i="3" s="1"/>
  <c r="S250" i="3" a="1"/>
  <c r="S250" i="3" s="1"/>
  <c r="F252" i="3" a="1"/>
  <c r="F252" i="3" s="1"/>
  <c r="W255" i="3" a="1"/>
  <c r="W255" i="3" s="1"/>
  <c r="E261" i="3" a="1"/>
  <c r="E261" i="3" s="1"/>
  <c r="G261" i="3" a="1"/>
  <c r="G261" i="3" s="1"/>
  <c r="L261" i="3" s="1" a="1"/>
  <c r="L261" i="3" s="1"/>
  <c r="S265" i="3" a="1"/>
  <c r="S265" i="3" s="1"/>
  <c r="X268" i="3" a="1"/>
  <c r="X268" i="3" s="1"/>
  <c r="T275" i="3" a="1"/>
  <c r="T275" i="3" s="1"/>
  <c r="F278" i="3" a="1"/>
  <c r="F278" i="3" s="1"/>
  <c r="AC278" i="3" s="1"/>
  <c r="T300" i="3" a="1"/>
  <c r="T300" i="3" s="1"/>
  <c r="F118" i="3" a="1"/>
  <c r="F118" i="3" s="1"/>
  <c r="E70" i="3" a="1"/>
  <c r="E70" i="3" s="1"/>
  <c r="F117" i="3" a="1"/>
  <c r="F117" i="3" s="1"/>
  <c r="AD117" i="3" s="1"/>
  <c r="F123" i="3" a="1"/>
  <c r="F123" i="3" s="1"/>
  <c r="AD123" i="3" s="1"/>
  <c r="F129" i="3" a="1"/>
  <c r="F129" i="3" s="1"/>
  <c r="F135" i="3" a="1"/>
  <c r="F135" i="3" s="1"/>
  <c r="E12" i="3" a="1"/>
  <c r="E12" i="3" s="1"/>
  <c r="E65" i="3" a="1"/>
  <c r="E65" i="3" s="1"/>
  <c r="AB65" i="3" s="1"/>
  <c r="E154" i="3" a="1"/>
  <c r="E154" i="3" s="1"/>
  <c r="E160" i="3" a="1"/>
  <c r="E160" i="3" s="1"/>
  <c r="E166" i="3" a="1"/>
  <c r="E166" i="3" s="1"/>
  <c r="E3" i="3" a="1"/>
  <c r="E3" i="3" s="1"/>
  <c r="AB3" i="3" s="1"/>
  <c r="E56" i="3" a="1"/>
  <c r="E56" i="3" s="1"/>
  <c r="F164" i="3" a="1"/>
  <c r="F164" i="3" s="1"/>
  <c r="E89" i="3" a="1"/>
  <c r="E89" i="3" s="1"/>
  <c r="AB89" i="3" s="1"/>
  <c r="E87" i="3" a="1"/>
  <c r="E87" i="3" s="1"/>
  <c r="AA87" i="3" s="1"/>
  <c r="F94" i="3" a="1"/>
  <c r="F94" i="3" s="1"/>
  <c r="E157" i="3" a="1"/>
  <c r="E157" i="3" s="1"/>
  <c r="F93" i="3" a="1"/>
  <c r="F93" i="3" s="1"/>
  <c r="F99" i="3" a="1"/>
  <c r="F99" i="3" s="1"/>
  <c r="F105" i="3" a="1"/>
  <c r="F105" i="3" s="1"/>
  <c r="F47" i="3" a="1"/>
  <c r="F47" i="3" s="1"/>
  <c r="E38" i="3" a="1"/>
  <c r="E38" i="3" s="1"/>
  <c r="F149" i="3" a="1"/>
  <c r="F149" i="3" s="1"/>
  <c r="AC149" i="3" s="1"/>
  <c r="F91" i="3" a="1"/>
  <c r="F91" i="3" s="1"/>
  <c r="E135" i="3" a="1"/>
  <c r="E135" i="3" s="1"/>
  <c r="AB135" i="3" s="1"/>
  <c r="E124" i="3" a="1"/>
  <c r="E124" i="3" s="1"/>
  <c r="E58" i="3" a="1"/>
  <c r="E58" i="3" s="1"/>
  <c r="F83" i="3" a="1"/>
  <c r="F83" i="3" s="1"/>
  <c r="F160" i="3" a="1"/>
  <c r="F160" i="3" s="1"/>
  <c r="E35" i="3" a="1"/>
  <c r="E35" i="3" s="1"/>
  <c r="E149" i="3" a="1"/>
  <c r="E149" i="3" s="1"/>
  <c r="AB149" i="3" s="1"/>
  <c r="F75" i="3" a="1"/>
  <c r="F75" i="3" s="1"/>
  <c r="F88" i="3" a="1"/>
  <c r="F88" i="3" s="1"/>
  <c r="E60" i="3" a="1"/>
  <c r="E60" i="3" s="1"/>
  <c r="F177" i="3" a="1"/>
  <c r="F177" i="3" s="1"/>
  <c r="G175" i="3" a="1"/>
  <c r="G175" i="3" s="1"/>
  <c r="G181" i="3" a="1"/>
  <c r="G181" i="3" s="1"/>
  <c r="O181" i="3" s="1" a="1"/>
  <c r="O181" i="3" s="1"/>
  <c r="S181" i="3" a="1"/>
  <c r="S181" i="3" s="1"/>
  <c r="T185" i="3" a="1"/>
  <c r="T185" i="3" s="1"/>
  <c r="U185" i="3" s="1"/>
  <c r="T179" i="3" a="1"/>
  <c r="T179" i="3" s="1"/>
  <c r="G186" i="3" a="1"/>
  <c r="G186" i="3" s="1"/>
  <c r="N186" i="3" s="1" a="1"/>
  <c r="N186" i="3" s="1"/>
  <c r="F188" i="3" a="1"/>
  <c r="F188" i="3" s="1"/>
  <c r="X187" i="3" a="1"/>
  <c r="X187" i="3" s="1"/>
  <c r="T189" i="3" a="1"/>
  <c r="T189" i="3" s="1"/>
  <c r="S189" i="3" a="1"/>
  <c r="S189" i="3" s="1"/>
  <c r="E200" i="3" a="1"/>
  <c r="E200" i="3" s="1"/>
  <c r="W197" i="3" a="1"/>
  <c r="W197" i="3" s="1"/>
  <c r="G196" i="3" a="1"/>
  <c r="G196" i="3" s="1"/>
  <c r="J196" i="3" s="1" a="1"/>
  <c r="J196" i="3" s="1"/>
  <c r="F199" i="3" a="1"/>
  <c r="F199" i="3" s="1"/>
  <c r="AC199" i="3" s="1"/>
  <c r="T201" i="3" a="1"/>
  <c r="T201" i="3" s="1"/>
  <c r="S204" i="3" a="1"/>
  <c r="S204" i="3" s="1"/>
  <c r="E203" i="3" a="1"/>
  <c r="E203" i="3" s="1"/>
  <c r="E207" i="3" a="1"/>
  <c r="E207" i="3" s="1"/>
  <c r="F207" i="3" a="1"/>
  <c r="F207" i="3" s="1"/>
  <c r="X207" i="3" a="1"/>
  <c r="X207" i="3" s="1"/>
  <c r="T213" i="3" a="1"/>
  <c r="T213" i="3" s="1"/>
  <c r="E214" i="3" a="1"/>
  <c r="E214" i="3" s="1"/>
  <c r="W217" i="3" a="1"/>
  <c r="W217" i="3" s="1"/>
  <c r="T219" i="3" a="1"/>
  <c r="T219" i="3" s="1"/>
  <c r="S221" i="3" a="1"/>
  <c r="S221" i="3" s="1"/>
  <c r="G222" i="3" a="1"/>
  <c r="G222" i="3" s="1"/>
  <c r="L222" i="3" s="1" a="1"/>
  <c r="L222" i="3" s="1"/>
  <c r="T224" i="3" a="1"/>
  <c r="T224" i="3" s="1"/>
  <c r="T226" i="3" a="1"/>
  <c r="T226" i="3" s="1"/>
  <c r="U226" i="3" s="1"/>
  <c r="E230" i="3" a="1"/>
  <c r="E230" i="3" s="1"/>
  <c r="F231" i="3" a="1"/>
  <c r="F231" i="3" s="1"/>
  <c r="AC231" i="3" s="1"/>
  <c r="T234" i="3" a="1"/>
  <c r="T234" i="3" s="1"/>
  <c r="S236" i="3" a="1"/>
  <c r="S236" i="3" s="1"/>
  <c r="W238" i="3" a="1"/>
  <c r="W238" i="3" s="1"/>
  <c r="X241" i="3" a="1"/>
  <c r="X241" i="3" s="1"/>
  <c r="E246" i="3" a="1"/>
  <c r="E246" i="3" s="1"/>
  <c r="E240" i="3" a="1"/>
  <c r="E240" i="3" s="1"/>
  <c r="X247" i="3" a="1"/>
  <c r="X247" i="3" s="1"/>
  <c r="F256" i="3" a="1"/>
  <c r="F256" i="3" s="1"/>
  <c r="AD256" i="3" s="1"/>
  <c r="S251" i="3" a="1"/>
  <c r="S251" i="3" s="1"/>
  <c r="X253" i="3" a="1"/>
  <c r="X253" i="3" s="1"/>
  <c r="AD253" i="3" s="1"/>
  <c r="E255" i="3" a="1"/>
  <c r="E255" i="3" s="1"/>
  <c r="G259" i="3" a="1"/>
  <c r="G259" i="3" s="1"/>
  <c r="M259" i="3" s="1" a="1"/>
  <c r="M259" i="3" s="1"/>
  <c r="T263" i="3" a="1"/>
  <c r="T263" i="3" s="1"/>
  <c r="E259" i="3" a="1"/>
  <c r="E259" i="3" s="1"/>
  <c r="F268" i="3" a="1"/>
  <c r="F268" i="3" s="1"/>
  <c r="S269" i="3" a="1"/>
  <c r="S269" i="3" s="1"/>
  <c r="X276" i="3" a="1"/>
  <c r="X276" i="3" s="1"/>
  <c r="S279" i="3" a="1"/>
  <c r="S279" i="3" s="1"/>
  <c r="S301" i="3" a="1"/>
  <c r="S301" i="3" s="1"/>
  <c r="T302" i="3" a="1"/>
  <c r="T302" i="3" s="1"/>
  <c r="S303" i="3" a="1"/>
  <c r="S303" i="3" s="1"/>
  <c r="W282" i="3" a="1"/>
  <c r="W282" i="3" s="1"/>
  <c r="X300" i="3" a="1"/>
  <c r="X300" i="3" s="1"/>
  <c r="E301" i="3" a="1"/>
  <c r="E301" i="3" s="1"/>
  <c r="X302" i="3" a="1"/>
  <c r="X302" i="3" s="1"/>
  <c r="T303" i="3" a="1"/>
  <c r="T303" i="3" s="1"/>
  <c r="F98" i="3" a="1"/>
  <c r="F98" i="3" s="1"/>
  <c r="F104" i="3" a="1"/>
  <c r="F104" i="3" s="1"/>
  <c r="F14" i="3" a="1"/>
  <c r="F14" i="3" s="1"/>
  <c r="E16" i="3" a="1"/>
  <c r="E16" i="3" s="1"/>
  <c r="E123" i="3" a="1"/>
  <c r="E123" i="3" s="1"/>
  <c r="E129" i="3" a="1"/>
  <c r="E129" i="3" s="1"/>
  <c r="E127" i="3" a="1"/>
  <c r="E127" i="3" s="1"/>
  <c r="F134" i="3" a="1"/>
  <c r="F134" i="3" s="1"/>
  <c r="E54" i="3" a="1"/>
  <c r="E54" i="3" s="1"/>
  <c r="F133" i="3" a="1"/>
  <c r="F133" i="3" s="1"/>
  <c r="F139" i="3" a="1"/>
  <c r="F139" i="3" s="1"/>
  <c r="AD139" i="3" s="1"/>
  <c r="F145" i="3" a="1"/>
  <c r="F145" i="3" s="1"/>
  <c r="AD145" i="3" s="1"/>
  <c r="F87" i="3" a="1"/>
  <c r="F87" i="3" s="1"/>
  <c r="E174" i="3" a="1"/>
  <c r="E174" i="3" s="1"/>
  <c r="S175" i="3" a="1"/>
  <c r="S175" i="3" s="1"/>
  <c r="S178" i="3" a="1"/>
  <c r="S178" i="3" s="1"/>
  <c r="U178" i="3" s="1"/>
  <c r="V178" i="3" s="1"/>
  <c r="G176" i="3" a="1"/>
  <c r="G176" i="3" s="1"/>
  <c r="T181" i="3" a="1"/>
  <c r="T181" i="3" s="1"/>
  <c r="E184" i="3" a="1"/>
  <c r="E184" i="3" s="1"/>
  <c r="W182" i="3" a="1"/>
  <c r="W182" i="3" s="1"/>
  <c r="F181" i="3" a="1"/>
  <c r="F181" i="3" s="1"/>
  <c r="X179" i="3" a="1"/>
  <c r="X179" i="3" s="1"/>
  <c r="T186" i="3" a="1"/>
  <c r="T186" i="3" s="1"/>
  <c r="S190" i="3" a="1"/>
  <c r="S190" i="3" s="1"/>
  <c r="X193" i="3" a="1"/>
  <c r="X193" i="3" s="1"/>
  <c r="AD193" i="3" s="1"/>
  <c r="F191" i="3" a="1"/>
  <c r="F191" i="3" s="1"/>
  <c r="S187" i="3" a="1"/>
  <c r="S187" i="3" s="1"/>
  <c r="T190" i="3" a="1"/>
  <c r="T190" i="3" s="1"/>
  <c r="E193" i="3" a="1"/>
  <c r="E193" i="3" s="1"/>
  <c r="T200" i="3" a="1"/>
  <c r="T200" i="3" s="1"/>
  <c r="T194" i="3" a="1"/>
  <c r="T194" i="3" s="1"/>
  <c r="AC194" i="3" s="1"/>
  <c r="W198" i="3" a="1"/>
  <c r="W198" i="3" s="1"/>
  <c r="E197" i="3" a="1"/>
  <c r="E197" i="3" s="1"/>
  <c r="S197" i="3" a="1"/>
  <c r="S197" i="3" s="1"/>
  <c r="G201" i="3" a="1"/>
  <c r="G201" i="3" s="1"/>
  <c r="T202" i="3" a="1"/>
  <c r="T202" i="3" s="1"/>
  <c r="S205" i="3" a="1"/>
  <c r="S205" i="3" s="1"/>
  <c r="G203" i="3" a="1"/>
  <c r="G203" i="3" s="1"/>
  <c r="K203" i="3" s="1" a="1"/>
  <c r="K203" i="3" s="1"/>
  <c r="W207" i="3" a="1"/>
  <c r="W207" i="3" s="1"/>
  <c r="S210" i="3" a="1"/>
  <c r="S210" i="3" s="1"/>
  <c r="G209" i="3" a="1"/>
  <c r="G209" i="3" s="1"/>
  <c r="N209" i="3" s="1" a="1"/>
  <c r="N209" i="3" s="1"/>
  <c r="S209" i="3" a="1"/>
  <c r="S209" i="3" s="1"/>
  <c r="W212" i="3" a="1"/>
  <c r="W212" i="3" s="1"/>
  <c r="S215" i="3" a="1"/>
  <c r="S215" i="3" s="1"/>
  <c r="T217" i="3" a="1"/>
  <c r="T217" i="3" s="1"/>
  <c r="E216" i="3" a="1"/>
  <c r="E216" i="3" s="1"/>
  <c r="AA216" i="3" s="1"/>
  <c r="W219" i="3" a="1"/>
  <c r="W219" i="3" s="1"/>
  <c r="F219" i="3" a="1"/>
  <c r="F219" i="3" s="1"/>
  <c r="F221" i="3" a="1"/>
  <c r="F221" i="3" s="1"/>
  <c r="AD221" i="3" s="1"/>
  <c r="E222" i="3" a="1"/>
  <c r="E222" i="3" s="1"/>
  <c r="X224" i="3" a="1"/>
  <c r="X224" i="3" s="1"/>
  <c r="X226" i="3" a="1"/>
  <c r="X226" i="3" s="1"/>
  <c r="T227" i="3" a="1"/>
  <c r="T227" i="3" s="1"/>
  <c r="G230" i="3" a="1"/>
  <c r="G230" i="3" s="1"/>
  <c r="J230" i="3" s="1" a="1"/>
  <c r="J230" i="3" s="1"/>
  <c r="X231" i="3" a="1"/>
  <c r="X231" i="3" s="1"/>
  <c r="W234" i="3" a="1"/>
  <c r="W234" i="3" s="1"/>
  <c r="AB234" i="3" s="1"/>
  <c r="F233" i="3" a="1"/>
  <c r="F233" i="3" s="1"/>
  <c r="E235" i="3" a="1"/>
  <c r="E235" i="3" s="1"/>
  <c r="G238" i="3" a="1"/>
  <c r="G238" i="3" s="1"/>
  <c r="K238" i="3" s="1" a="1"/>
  <c r="K238" i="3" s="1"/>
  <c r="G244" i="3" a="1"/>
  <c r="G244" i="3" s="1"/>
  <c r="E245" i="3" a="1"/>
  <c r="E245" i="3" s="1"/>
  <c r="T240" i="3" a="1"/>
  <c r="T240" i="3" s="1"/>
  <c r="E248" i="3" a="1"/>
  <c r="E248" i="3" s="1"/>
  <c r="S244" i="3" a="1"/>
  <c r="S244" i="3" s="1"/>
  <c r="U244" i="3" s="1"/>
  <c r="X248" i="3" a="1"/>
  <c r="X248" i="3" s="1"/>
  <c r="X249" i="3" a="1"/>
  <c r="X249" i="3" s="1"/>
  <c r="T251" i="3" a="1"/>
  <c r="T251" i="3" s="1"/>
  <c r="G255" i="3" a="1"/>
  <c r="G255" i="3" s="1"/>
  <c r="W254" i="3" a="1"/>
  <c r="W254" i="3" s="1"/>
  <c r="W257" i="3" a="1"/>
  <c r="W257" i="3" s="1"/>
  <c r="S259" i="3" a="1"/>
  <c r="S259" i="3" s="1"/>
  <c r="X258" i="3" a="1"/>
  <c r="X258" i="3" s="1"/>
  <c r="F258" i="3" a="1"/>
  <c r="F258" i="3" s="1"/>
  <c r="T265" i="3" a="1"/>
  <c r="T265" i="3" s="1"/>
  <c r="AC265" i="3" s="1"/>
  <c r="E267" i="3" a="1"/>
  <c r="E267" i="3" s="1"/>
  <c r="W267" i="3" a="1"/>
  <c r="W267" i="3" s="1"/>
  <c r="E275" i="3" a="1"/>
  <c r="E275" i="3" s="1"/>
  <c r="G277" i="3" a="1"/>
  <c r="G277" i="3" s="1"/>
  <c r="L277" i="3" s="1" a="1"/>
  <c r="L277" i="3" s="1"/>
  <c r="T279" i="3" a="1"/>
  <c r="T279" i="3" s="1"/>
  <c r="W293" i="3" a="1"/>
  <c r="W293" i="3" s="1"/>
  <c r="F300" i="3" a="1"/>
  <c r="F300" i="3" s="1"/>
  <c r="T301" i="3" a="1"/>
  <c r="T301" i="3" s="1"/>
  <c r="S300" i="3" a="1"/>
  <c r="S300" i="3" s="1"/>
  <c r="W303" i="3" a="1"/>
  <c r="W303" i="3" s="1"/>
  <c r="G303" i="3" a="1"/>
  <c r="G303" i="3" s="1"/>
  <c r="M303" i="3" s="1" a="1"/>
  <c r="M303" i="3" s="1"/>
  <c r="E130" i="3" a="1"/>
  <c r="E130" i="3" s="1"/>
  <c r="E136" i="3" a="1"/>
  <c r="E136" i="3" s="1"/>
  <c r="E142" i="3" a="1"/>
  <c r="E142" i="3" s="1"/>
  <c r="AA142" i="3" s="1"/>
  <c r="E27" i="3" a="1"/>
  <c r="E27" i="3" s="1"/>
  <c r="E33" i="3" a="1"/>
  <c r="E33" i="3" s="1"/>
  <c r="F76" i="3" a="1"/>
  <c r="F76" i="3" s="1"/>
  <c r="F90" i="3" a="1"/>
  <c r="F90" i="3" s="1"/>
  <c r="F96" i="3" a="1"/>
  <c r="F96" i="3" s="1"/>
  <c r="F6" i="3" a="1"/>
  <c r="F6" i="3" s="1"/>
  <c r="E71" i="3" a="1"/>
  <c r="E71" i="3" s="1"/>
  <c r="F5" i="3" a="1"/>
  <c r="F5" i="3" s="1"/>
  <c r="AC5" i="3" s="1"/>
  <c r="F11" i="3" a="1"/>
  <c r="F11" i="3" s="1"/>
  <c r="F17" i="3" a="1"/>
  <c r="F17" i="3" s="1"/>
  <c r="F126" i="3" a="1"/>
  <c r="F126" i="3" s="1"/>
  <c r="E173" i="3" a="1"/>
  <c r="E173" i="3" s="1"/>
  <c r="AB173" i="3" s="1"/>
  <c r="S176" i="3" a="1"/>
  <c r="S176" i="3" s="1"/>
  <c r="W178" i="3" a="1"/>
  <c r="W178" i="3" s="1"/>
  <c r="X178" i="3" a="1"/>
  <c r="X178" i="3" s="1"/>
  <c r="X181" i="3" a="1"/>
  <c r="X181" i="3" s="1"/>
  <c r="T183" i="3" a="1"/>
  <c r="T183" i="3" s="1"/>
  <c r="F180" i="3" a="1"/>
  <c r="F180" i="3" s="1"/>
  <c r="W184" i="3" a="1"/>
  <c r="W184" i="3" s="1"/>
  <c r="Y184" i="3" s="1"/>
  <c r="G182" i="3" a="1"/>
  <c r="G182" i="3" s="1"/>
  <c r="M182" i="3" s="1" a="1"/>
  <c r="M182" i="3" s="1"/>
  <c r="S186" i="3" a="1"/>
  <c r="S186" i="3" s="1"/>
  <c r="W190" i="3" a="1"/>
  <c r="W190" i="3" s="1"/>
  <c r="F189" i="3" a="1"/>
  <c r="F189" i="3" s="1"/>
  <c r="G187" i="3" a="1"/>
  <c r="G187" i="3" s="1"/>
  <c r="W187" i="3" a="1"/>
  <c r="W187" i="3" s="1"/>
  <c r="E192" i="3" a="1"/>
  <c r="E192" i="3" s="1"/>
  <c r="AB192" i="3" s="1"/>
  <c r="S198" i="3" a="1"/>
  <c r="S198" i="3" s="1"/>
  <c r="X196" i="3" a="1"/>
  <c r="X196" i="3" s="1"/>
  <c r="X198" i="3" a="1"/>
  <c r="X198" i="3" s="1"/>
  <c r="E196" i="3" a="1"/>
  <c r="E196" i="3" s="1"/>
  <c r="G197" i="3" a="1"/>
  <c r="G197" i="3" s="1"/>
  <c r="M197" i="3" s="1" a="1"/>
  <c r="M197" i="3" s="1"/>
  <c r="X194" i="3" a="1"/>
  <c r="X194" i="3" s="1"/>
  <c r="S202" i="3" a="1"/>
  <c r="S202" i="3" s="1"/>
  <c r="T205" i="3" a="1"/>
  <c r="T205" i="3" s="1"/>
  <c r="S206" i="3" a="1"/>
  <c r="S206" i="3" s="1"/>
  <c r="X203" i="3" a="1"/>
  <c r="X203" i="3" s="1"/>
  <c r="E208" i="3" a="1"/>
  <c r="E208" i="3" s="1"/>
  <c r="G210" i="3" a="1"/>
  <c r="G210" i="3" s="1"/>
  <c r="K210" i="3" s="1" a="1"/>
  <c r="K210" i="3" s="1"/>
  <c r="W209" i="3" a="1"/>
  <c r="W209" i="3" s="1"/>
  <c r="F213" i="3" a="1"/>
  <c r="F213" i="3" s="1"/>
  <c r="T212" i="3" a="1"/>
  <c r="T212" i="3" s="1"/>
  <c r="G215" i="3" a="1"/>
  <c r="G215" i="3" s="1"/>
  <c r="O215" i="3" s="1" a="1"/>
  <c r="O215" i="3" s="1"/>
  <c r="X217" i="3" a="1"/>
  <c r="X217" i="3" s="1"/>
  <c r="G219" i="3" a="1"/>
  <c r="G219" i="3" s="1"/>
  <c r="O219" i="3" s="1" a="1"/>
  <c r="O219" i="3" s="1"/>
  <c r="X220" i="3" a="1"/>
  <c r="X220" i="3" s="1"/>
  <c r="W220" i="3" a="1"/>
  <c r="W220" i="3" s="1"/>
  <c r="AB220" i="3" s="1"/>
  <c r="F224" i="3" a="1"/>
  <c r="F224" i="3" s="1"/>
  <c r="S225" i="3" a="1"/>
  <c r="S225" i="3" s="1"/>
  <c r="W226" i="3" a="1"/>
  <c r="W226" i="3" s="1"/>
  <c r="AB226" i="3" s="1"/>
  <c r="G227" i="3" a="1"/>
  <c r="G227" i="3" s="1"/>
  <c r="K227" i="3" s="1" a="1"/>
  <c r="K227" i="3" s="1"/>
  <c r="X230" i="3" a="1"/>
  <c r="X230" i="3" s="1"/>
  <c r="S232" i="3" a="1"/>
  <c r="S232" i="3" s="1"/>
  <c r="U232" i="3" s="1"/>
  <c r="G233" i="3" a="1"/>
  <c r="G233" i="3" s="1"/>
  <c r="J233" i="3" s="1" a="1"/>
  <c r="J233" i="3" s="1"/>
  <c r="T236" i="3" a="1"/>
  <c r="T236" i="3" s="1"/>
  <c r="W237" i="3" a="1"/>
  <c r="W237" i="3" s="1"/>
  <c r="S238" i="3" a="1"/>
  <c r="S238" i="3" s="1"/>
  <c r="U238" i="3" s="1"/>
  <c r="W242" i="3" a="1"/>
  <c r="W242" i="3" s="1"/>
  <c r="E247" i="3" a="1"/>
  <c r="E247" i="3" s="1"/>
  <c r="AB247" i="3" s="1"/>
  <c r="G242" i="3" a="1"/>
  <c r="G242" i="3" s="1"/>
  <c r="K242" i="3" s="1" a="1"/>
  <c r="K242" i="3" s="1"/>
  <c r="W240" i="3" a="1"/>
  <c r="W240" i="3" s="1"/>
  <c r="S256" i="3" a="1"/>
  <c r="S256" i="3" s="1"/>
  <c r="G256" i="3" a="1"/>
  <c r="G256" i="3" s="1"/>
  <c r="L256" i="3" s="1" a="1"/>
  <c r="L256" i="3" s="1"/>
  <c r="X251" i="3" a="1"/>
  <c r="X251" i="3" s="1"/>
  <c r="Y251" i="3" s="1"/>
  <c r="T253" i="3" a="1"/>
  <c r="T253" i="3" s="1"/>
  <c r="AC253" i="3" s="1"/>
  <c r="S255" i="3" a="1"/>
  <c r="S255" i="3" s="1"/>
  <c r="E257" i="3" a="1"/>
  <c r="E257" i="3" s="1"/>
  <c r="F262" i="3" a="1"/>
  <c r="F262" i="3" s="1"/>
  <c r="S262" i="3" a="1"/>
  <c r="S262" i="3" s="1"/>
  <c r="E258" i="3" a="1"/>
  <c r="E258" i="3" s="1"/>
  <c r="W265" i="3" a="1"/>
  <c r="W265" i="3" s="1"/>
  <c r="Y265" i="3" s="1"/>
  <c r="T267" i="3" a="1"/>
  <c r="T267" i="3" s="1"/>
  <c r="S268" i="3" a="1"/>
  <c r="S268" i="3" s="1"/>
  <c r="W276" i="3" a="1"/>
  <c r="W276" i="3" s="1"/>
  <c r="E277" i="3" a="1"/>
  <c r="E277" i="3" s="1"/>
  <c r="AA277" i="3" s="1"/>
  <c r="E279" i="3" a="1"/>
  <c r="E279" i="3" s="1"/>
  <c r="S271" i="3" a="1"/>
  <c r="S271" i="3" s="1"/>
  <c r="X301" i="3" a="1"/>
  <c r="X301" i="3" s="1"/>
  <c r="S302" i="3" a="1"/>
  <c r="S302" i="3" s="1"/>
  <c r="E303" i="3" a="1"/>
  <c r="E303" i="3" s="1"/>
  <c r="W300" i="3" a="1"/>
  <c r="W300" i="3" s="1"/>
  <c r="G301" i="3" a="1"/>
  <c r="G301" i="3" s="1"/>
  <c r="J301" i="3" s="1" a="1"/>
  <c r="J301" i="3" s="1"/>
  <c r="E302" i="3" a="1"/>
  <c r="E302" i="3" s="1"/>
  <c r="G302" i="3" a="1"/>
  <c r="G302" i="3" s="1"/>
  <c r="M302" i="3" s="1" a="1"/>
  <c r="M302" i="3" s="1"/>
  <c r="E300" i="3" a="1"/>
  <c r="E300" i="3" s="1"/>
  <c r="W301" i="3" a="1"/>
  <c r="W301" i="3" s="1"/>
  <c r="Y301" i="3" s="1"/>
  <c r="W302" i="3" a="1"/>
  <c r="W302" i="3" s="1"/>
  <c r="X303" i="3" a="1"/>
  <c r="X303" i="3" s="1"/>
  <c r="G300" i="3" a="1"/>
  <c r="G300" i="3" s="1"/>
  <c r="K300" i="3" s="1" a="1"/>
  <c r="K300" i="3" s="1"/>
  <c r="F301" i="3" a="1"/>
  <c r="F301" i="3" s="1"/>
  <c r="F302" i="3" a="1"/>
  <c r="F302" i="3" s="1"/>
  <c r="AC302" i="3" s="1"/>
  <c r="S297" i="3" a="1"/>
  <c r="S297" i="3" s="1"/>
  <c r="X304" i="3" a="1"/>
  <c r="X304" i="3" s="1"/>
  <c r="B304" i="3" a="1"/>
  <c r="B304" i="3" s="1"/>
  <c r="B300" i="3" a="1"/>
  <c r="B300" i="3" s="1"/>
  <c r="T305" i="3" a="1"/>
  <c r="T305" i="3" s="1"/>
  <c r="S305" i="3" a="1"/>
  <c r="S305" i="3" s="1"/>
  <c r="G306" i="3" a="1"/>
  <c r="G306" i="3" s="1"/>
  <c r="K306" i="3" s="1" a="1"/>
  <c r="K306" i="3" s="1"/>
  <c r="W304" i="3" a="1"/>
  <c r="W304" i="3" s="1"/>
  <c r="B303" i="3" a="1"/>
  <c r="B303" i="3" s="1"/>
  <c r="B301" i="3" a="1"/>
  <c r="B301" i="3" s="1"/>
  <c r="E307" i="3" a="1"/>
  <c r="E307" i="3" s="1"/>
  <c r="T304" i="3" a="1"/>
  <c r="T304" i="3" s="1"/>
  <c r="F307" i="3" a="1"/>
  <c r="F307" i="3" s="1"/>
  <c r="S304" i="3" a="1"/>
  <c r="S304" i="3" s="1"/>
  <c r="F306" i="3" a="1"/>
  <c r="F306" i="3" s="1"/>
  <c r="E306" i="3" a="1"/>
  <c r="E306" i="3" s="1"/>
  <c r="B306" i="3" a="1"/>
  <c r="B306" i="3" s="1"/>
  <c r="F305" i="3" a="1"/>
  <c r="F305" i="3" s="1"/>
  <c r="E305" i="3" a="1"/>
  <c r="E305" i="3" s="1"/>
  <c r="B305" i="3" a="1"/>
  <c r="B305" i="3" s="1"/>
  <c r="X307" i="3" a="1"/>
  <c r="X307" i="3" s="1"/>
  <c r="W307" i="3" a="1"/>
  <c r="W307" i="3" s="1"/>
  <c r="G305" i="3" a="1"/>
  <c r="G305" i="3" s="1"/>
  <c r="L305" i="3" s="1" a="1"/>
  <c r="L305" i="3" s="1"/>
  <c r="G304" i="3" a="1"/>
  <c r="G304" i="3" s="1"/>
  <c r="L304" i="3" s="1" a="1"/>
  <c r="L304" i="3" s="1"/>
  <c r="X306" i="3" a="1"/>
  <c r="X306" i="3" s="1"/>
  <c r="W306" i="3" a="1"/>
  <c r="W306" i="3" s="1"/>
  <c r="B307" i="3" a="1"/>
  <c r="B307" i="3" s="1"/>
  <c r="F304" i="3" a="1"/>
  <c r="F304" i="3" s="1"/>
  <c r="X305" i="3" a="1"/>
  <c r="X305" i="3" s="1"/>
  <c r="W305" i="3" a="1"/>
  <c r="W305" i="3" s="1"/>
  <c r="T307" i="3" a="1"/>
  <c r="T307" i="3" s="1"/>
  <c r="S307" i="3" a="1"/>
  <c r="S307" i="3" s="1"/>
  <c r="T306" i="3" a="1"/>
  <c r="T306" i="3" s="1"/>
  <c r="G307" i="3" a="1"/>
  <c r="G307" i="3" s="1"/>
  <c r="J307" i="3" s="1" a="1"/>
  <c r="J307" i="3" s="1"/>
  <c r="E304" i="3" a="1"/>
  <c r="E304" i="3" s="1"/>
  <c r="B302" i="3" a="1"/>
  <c r="B302" i="3" s="1"/>
  <c r="S306" i="3" a="1"/>
  <c r="S306" i="3" s="1"/>
  <c r="F152" i="3" a="1"/>
  <c r="F152" i="3" s="1"/>
  <c r="AD152" i="3" s="1"/>
  <c r="F62" i="3" a="1"/>
  <c r="F62" i="3" s="1"/>
  <c r="AC62" i="3" s="1"/>
  <c r="E172" i="3" a="1"/>
  <c r="E172" i="3" s="1"/>
  <c r="AA172" i="3" s="1"/>
  <c r="W175" i="3" a="1"/>
  <c r="W175" i="3" s="1"/>
  <c r="X175" i="3" a="1"/>
  <c r="X175" i="3" s="1"/>
  <c r="X177" i="3" a="1"/>
  <c r="X177" i="3" s="1"/>
  <c r="G183" i="3" a="1"/>
  <c r="G183" i="3" s="1"/>
  <c r="O183" i="3" s="1" a="1"/>
  <c r="O183" i="3" s="1"/>
  <c r="S180" i="3" a="1"/>
  <c r="S180" i="3" s="1"/>
  <c r="X183" i="3" a="1"/>
  <c r="X183" i="3" s="1"/>
  <c r="G184" i="3" a="1"/>
  <c r="G184" i="3" s="1"/>
  <c r="K184" i="3" s="1" a="1"/>
  <c r="K184" i="3" s="1"/>
  <c r="S184" i="3" a="1"/>
  <c r="S184" i="3" s="1"/>
  <c r="E181" i="3" a="1"/>
  <c r="E181" i="3" s="1"/>
  <c r="AA181" i="3" s="1"/>
  <c r="F184" i="3" a="1"/>
  <c r="F184" i="3" s="1"/>
  <c r="E188" i="3" a="1"/>
  <c r="E188" i="3" s="1"/>
  <c r="S191" i="3" a="1"/>
  <c r="S191" i="3" s="1"/>
  <c r="T187" i="3" a="1"/>
  <c r="T187" i="3" s="1"/>
  <c r="T188" i="3" a="1"/>
  <c r="T188" i="3" s="1"/>
  <c r="X189" i="3" a="1"/>
  <c r="X189" i="3" s="1"/>
  <c r="Y189" i="3" s="1"/>
  <c r="Z189" i="3" s="1"/>
  <c r="X190" i="3" a="1"/>
  <c r="X190" i="3" s="1"/>
  <c r="F187" i="3" a="1"/>
  <c r="F187" i="3" s="1"/>
  <c r="S199" i="3" a="1"/>
  <c r="S199" i="3" s="1"/>
  <c r="U199" i="3" s="1"/>
  <c r="E194" i="3" a="1"/>
  <c r="E194" i="3" s="1"/>
  <c r="G195" i="3" a="1"/>
  <c r="G195" i="3" s="1"/>
  <c r="K195" i="3" s="1" a="1"/>
  <c r="K195" i="3" s="1"/>
  <c r="S195" i="3" a="1"/>
  <c r="S195" i="3" s="1"/>
  <c r="T197" i="3" a="1"/>
  <c r="T197" i="3" s="1"/>
  <c r="AC197" i="3" s="1"/>
  <c r="E199" i="3" a="1"/>
  <c r="E199" i="3" s="1"/>
  <c r="X201" i="3" a="1"/>
  <c r="X201" i="3" s="1"/>
  <c r="Y201" i="3" s="1"/>
  <c r="W203" i="3" a="1"/>
  <c r="W203" i="3" s="1"/>
  <c r="S203" i="3" a="1"/>
  <c r="S203" i="3" s="1"/>
  <c r="U203" i="3" s="1"/>
  <c r="F205" i="3" a="1"/>
  <c r="F205" i="3" s="1"/>
  <c r="E206" i="3" a="1"/>
  <c r="E206" i="3" s="1"/>
  <c r="G211" i="3" a="1"/>
  <c r="G211" i="3" s="1"/>
  <c r="K211" i="3" s="1" a="1"/>
  <c r="K211" i="3" s="1"/>
  <c r="X211" i="3" a="1"/>
  <c r="X211" i="3" s="1"/>
  <c r="Y211" i="3" s="1"/>
  <c r="S207" i="3" a="1"/>
  <c r="S207" i="3" s="1"/>
  <c r="E213" i="3" a="1"/>
  <c r="E213" i="3" s="1"/>
  <c r="G212" i="3" a="1"/>
  <c r="G212" i="3" s="1"/>
  <c r="L212" i="3" s="1" a="1"/>
  <c r="L212" i="3" s="1"/>
  <c r="F214" i="3" a="1"/>
  <c r="F214" i="3" s="1"/>
  <c r="S214" i="3" a="1"/>
  <c r="S214" i="3" s="1"/>
  <c r="X216" i="3" a="1"/>
  <c r="X216" i="3" s="1"/>
  <c r="T218" i="3" a="1"/>
  <c r="T218" i="3" s="1"/>
  <c r="F220" i="3" a="1"/>
  <c r="F220" i="3" s="1"/>
  <c r="T220" i="3" a="1"/>
  <c r="T220" i="3" s="1"/>
  <c r="U220" i="3" s="1"/>
  <c r="V220" i="3" s="1"/>
  <c r="X222" i="3" a="1"/>
  <c r="X222" i="3" s="1"/>
  <c r="T223" i="3" a="1"/>
  <c r="T223" i="3" s="1"/>
  <c r="F226" i="3" a="1"/>
  <c r="F226" i="3" s="1"/>
  <c r="AC226" i="3" s="1"/>
  <c r="X225" i="3" a="1"/>
  <c r="X225" i="3" s="1"/>
  <c r="AD225" i="3" s="1"/>
  <c r="F228" i="3" a="1"/>
  <c r="F228" i="3" s="1"/>
  <c r="AD228" i="3" s="1"/>
  <c r="F229" i="3" a="1"/>
  <c r="F229" i="3" s="1"/>
  <c r="AD229" i="3" s="1"/>
  <c r="S229" i="3" a="1"/>
  <c r="S229" i="3" s="1"/>
  <c r="W232" i="3" a="1"/>
  <c r="W232" i="3" s="1"/>
  <c r="F234" i="3" a="1"/>
  <c r="F234" i="3" s="1"/>
  <c r="AD234" i="3" s="1"/>
  <c r="X233" i="3" a="1"/>
  <c r="X233" i="3" s="1"/>
  <c r="W235" i="3" a="1"/>
  <c r="W235" i="3" s="1"/>
  <c r="F237" i="3" a="1"/>
  <c r="F237" i="3" s="1"/>
  <c r="E238" i="3" a="1"/>
  <c r="E238" i="3" s="1"/>
  <c r="T239" i="3" a="1"/>
  <c r="T239" i="3" s="1"/>
  <c r="F243" i="3" a="1"/>
  <c r="F243" i="3" s="1"/>
  <c r="S240" i="3" a="1"/>
  <c r="S240" i="3" s="1"/>
  <c r="W245" i="3" a="1"/>
  <c r="W245" i="3" s="1"/>
  <c r="X245" i="3" a="1"/>
  <c r="X245" i="3" s="1"/>
  <c r="X246" i="3" a="1"/>
  <c r="X246" i="3" s="1"/>
  <c r="W248" i="3" a="1"/>
  <c r="W248" i="3" s="1"/>
  <c r="E243" i="3" a="1"/>
  <c r="E243" i="3" s="1"/>
  <c r="S249" i="3" a="1"/>
  <c r="S249" i="3" s="1"/>
  <c r="T250" i="3" a="1"/>
  <c r="T250" i="3" s="1"/>
  <c r="F251" i="3" a="1"/>
  <c r="F251" i="3" s="1"/>
  <c r="G253" i="3" a="1"/>
  <c r="G253" i="3" s="1"/>
  <c r="M253" i="3" s="1" a="1"/>
  <c r="M253" i="3" s="1"/>
  <c r="S254" i="3" a="1"/>
  <c r="S254" i="3" s="1"/>
  <c r="X255" i="3" a="1"/>
  <c r="X255" i="3" s="1"/>
  <c r="F257" i="3" a="1"/>
  <c r="F257" i="3" s="1"/>
  <c r="T260" i="3" a="1"/>
  <c r="T260" i="3" s="1"/>
  <c r="S261" i="3" a="1"/>
  <c r="S261" i="3" s="1"/>
  <c r="G258" i="3" a="1"/>
  <c r="G258" i="3" s="1"/>
  <c r="J258" i="3" s="1" a="1"/>
  <c r="J258" i="3" s="1"/>
  <c r="F259" i="3" a="1"/>
  <c r="F259" i="3" s="1"/>
  <c r="AD259" i="3" s="1"/>
  <c r="T266" i="3" a="1"/>
  <c r="T266" i="3" s="1"/>
  <c r="X266" i="3" a="1"/>
  <c r="X266" i="3" s="1"/>
  <c r="T268" i="3" a="1"/>
  <c r="T268" i="3" s="1"/>
  <c r="W268" i="3" a="1"/>
  <c r="W268" i="3" s="1"/>
  <c r="G275" i="3" a="1"/>
  <c r="G275" i="3" s="1"/>
  <c r="M275" i="3" s="1" a="1"/>
  <c r="M275" i="3" s="1"/>
  <c r="W277" i="3" a="1"/>
  <c r="W277" i="3" s="1"/>
  <c r="G278" i="3" a="1"/>
  <c r="G278" i="3" s="1"/>
  <c r="N278" i="3" s="1" a="1"/>
  <c r="N278" i="3" s="1"/>
  <c r="F279" i="3" a="1"/>
  <c r="F279" i="3" s="1"/>
  <c r="G283" i="3" a="1"/>
  <c r="G283" i="3" s="1"/>
  <c r="L283" i="3" s="1" a="1"/>
  <c r="L283" i="3" s="1"/>
  <c r="T290" i="3" a="1"/>
  <c r="T290" i="3" s="1"/>
  <c r="G274" i="3" a="1"/>
  <c r="G274" i="3" s="1"/>
  <c r="L274" i="3" s="1" a="1"/>
  <c r="L274" i="3" s="1"/>
  <c r="T283" i="3" a="1"/>
  <c r="T283" i="3" s="1"/>
  <c r="G290" i="3" a="1"/>
  <c r="G290" i="3" s="1"/>
  <c r="M290" i="3" s="1" a="1"/>
  <c r="M290" i="3" s="1"/>
  <c r="W299" i="3" a="1"/>
  <c r="W299" i="3" s="1"/>
  <c r="E289" i="3" a="1"/>
  <c r="E289" i="3" s="1"/>
  <c r="E287" i="3" a="1"/>
  <c r="E287" i="3" s="1"/>
  <c r="X298" i="3" a="1"/>
  <c r="X298" i="3" s="1"/>
  <c r="G223" i="3" a="1"/>
  <c r="G223" i="3" s="1"/>
  <c r="G224" i="3" a="1"/>
  <c r="G224" i="3" s="1"/>
  <c r="E225" i="3" a="1"/>
  <c r="E225" i="3" s="1"/>
  <c r="F227" i="3" a="1"/>
  <c r="F227" i="3" s="1"/>
  <c r="T228" i="3" a="1"/>
  <c r="T228" i="3" s="1"/>
  <c r="G229" i="3" a="1"/>
  <c r="G229" i="3" s="1"/>
  <c r="K229" i="3" s="1" a="1"/>
  <c r="K229" i="3" s="1"/>
  <c r="G231" i="3" a="1"/>
  <c r="G231" i="3" s="1"/>
  <c r="L231" i="3" s="1" a="1"/>
  <c r="L231" i="3" s="1"/>
  <c r="E231" i="3" a="1"/>
  <c r="E231" i="3" s="1"/>
  <c r="G234" i="3" a="1"/>
  <c r="G234" i="3" s="1"/>
  <c r="K234" i="3" s="1" a="1"/>
  <c r="K234" i="3" s="1"/>
  <c r="T235" i="3" a="1"/>
  <c r="T235" i="3" s="1"/>
  <c r="F235" i="3" a="1"/>
  <c r="F235" i="3" s="1"/>
  <c r="T237" i="3" a="1"/>
  <c r="T237" i="3" s="1"/>
  <c r="F238" i="3" a="1"/>
  <c r="F238" i="3" s="1"/>
  <c r="S246" i="3" a="1"/>
  <c r="S246" i="3" s="1"/>
  <c r="W243" i="3" a="1"/>
  <c r="W243" i="3" s="1"/>
  <c r="X243" i="3" a="1"/>
  <c r="X243" i="3" s="1"/>
  <c r="F246" i="3" a="1"/>
  <c r="F246" i="3" s="1"/>
  <c r="F247" i="3" a="1"/>
  <c r="F247" i="3" s="1"/>
  <c r="F248" i="3" a="1"/>
  <c r="F248" i="3" s="1"/>
  <c r="F241" i="3" a="1"/>
  <c r="F241" i="3" s="1"/>
  <c r="W256" i="3" a="1"/>
  <c r="W256" i="3" s="1"/>
  <c r="Y256" i="3" s="1"/>
  <c r="E249" i="3" a="1"/>
  <c r="E249" i="3" s="1"/>
  <c r="F250" i="3" a="1"/>
  <c r="F250" i="3" s="1"/>
  <c r="AD250" i="3" s="1"/>
  <c r="T252" i="3" a="1"/>
  <c r="T252" i="3" s="1"/>
  <c r="W253" i="3" a="1"/>
  <c r="W253" i="3" s="1"/>
  <c r="X254" i="3" a="1"/>
  <c r="X254" i="3" s="1"/>
  <c r="X257" i="3" a="1"/>
  <c r="X257" i="3" s="1"/>
  <c r="X263" i="3" a="1"/>
  <c r="X263" i="3" s="1"/>
  <c r="S260" i="3" a="1"/>
  <c r="S260" i="3" s="1"/>
  <c r="E263" i="3" a="1"/>
  <c r="E263" i="3" s="1"/>
  <c r="AA263" i="3" s="1"/>
  <c r="W259" i="3" a="1"/>
  <c r="W259" i="3" s="1"/>
  <c r="Y259" i="3" s="1"/>
  <c r="X262" i="3" a="1"/>
  <c r="X262" i="3" s="1"/>
  <c r="E265" i="3" a="1"/>
  <c r="E265" i="3" s="1"/>
  <c r="F269" i="3" a="1"/>
  <c r="F269" i="3" s="1"/>
  <c r="G269" i="3" a="1"/>
  <c r="G269" i="3" s="1"/>
  <c r="L269" i="3" s="1" a="1"/>
  <c r="L269" i="3" s="1"/>
  <c r="F267" i="3" a="1"/>
  <c r="F267" i="3" s="1"/>
  <c r="F276" i="3" a="1"/>
  <c r="F276" i="3" s="1"/>
  <c r="AD276" i="3" s="1"/>
  <c r="X277" i="3" a="1"/>
  <c r="X277" i="3" s="1"/>
  <c r="W278" i="3" a="1"/>
  <c r="W278" i="3" s="1"/>
  <c r="AB278" i="3" s="1"/>
  <c r="X294" i="3" a="1"/>
  <c r="X294" i="3" s="1"/>
  <c r="E288" i="3" a="1"/>
  <c r="E288" i="3" s="1"/>
  <c r="W297" i="3" a="1"/>
  <c r="W297" i="3" s="1"/>
  <c r="S291" i="3" a="1"/>
  <c r="S291" i="3" s="1"/>
  <c r="X296" i="3" a="1"/>
  <c r="X296" i="3" s="1"/>
  <c r="T280" i="3" a="1"/>
  <c r="T280" i="3" s="1"/>
  <c r="F295" i="3" a="1"/>
  <c r="F295" i="3" s="1"/>
  <c r="W280" i="3" a="1"/>
  <c r="W280" i="3" s="1"/>
  <c r="E292" i="3" a="1"/>
  <c r="E292" i="3" s="1"/>
  <c r="T272" i="3" a="1"/>
  <c r="T272" i="3" s="1"/>
  <c r="W205" i="3" a="1"/>
  <c r="W205" i="3" s="1"/>
  <c r="E204" i="3" a="1"/>
  <c r="E204" i="3" s="1"/>
  <c r="X204" i="3" a="1"/>
  <c r="X204" i="3" s="1"/>
  <c r="AD204" i="3" s="1"/>
  <c r="F208" i="3" a="1"/>
  <c r="F208" i="3" s="1"/>
  <c r="T208" i="3" a="1"/>
  <c r="T208" i="3" s="1"/>
  <c r="U208" i="3" s="1"/>
  <c r="H208" i="3" s="1"/>
  <c r="E211" i="3" a="1"/>
  <c r="E211" i="3" s="1"/>
  <c r="W208" i="3" a="1"/>
  <c r="W208" i="3" s="1"/>
  <c r="W213" i="3" a="1"/>
  <c r="W213" i="3" s="1"/>
  <c r="S212" i="3" a="1"/>
  <c r="S212" i="3" s="1"/>
  <c r="X214" i="3" a="1"/>
  <c r="X214" i="3" s="1"/>
  <c r="X215" i="3" a="1"/>
  <c r="X215" i="3" s="1"/>
  <c r="Y215" i="3" s="1"/>
  <c r="G217" i="3" a="1"/>
  <c r="G217" i="3" s="1"/>
  <c r="F218" i="3" a="1"/>
  <c r="F218" i="3" s="1"/>
  <c r="E219" i="3" a="1"/>
  <c r="E219" i="3" s="1"/>
  <c r="G221" i="3" a="1"/>
  <c r="G221" i="3" s="1"/>
  <c r="L221" i="3" s="1" a="1"/>
  <c r="L221" i="3" s="1"/>
  <c r="S222" i="3" a="1"/>
  <c r="S222" i="3" s="1"/>
  <c r="F223" i="3" a="1"/>
  <c r="F223" i="3" s="1"/>
  <c r="X223" i="3" a="1"/>
  <c r="X223" i="3" s="1"/>
  <c r="Y223" i="3" s="1"/>
  <c r="G225" i="3" a="1"/>
  <c r="G225" i="3" s="1"/>
  <c r="N225" i="3" s="1" a="1"/>
  <c r="N225" i="3" s="1"/>
  <c r="W227" i="3" a="1"/>
  <c r="W227" i="3" s="1"/>
  <c r="G228" i="3" a="1"/>
  <c r="G228" i="3" s="1"/>
  <c r="S230" i="3" a="1"/>
  <c r="S230" i="3" s="1"/>
  <c r="G232" i="3" a="1"/>
  <c r="G232" i="3" s="1"/>
  <c r="L232" i="3" s="1" a="1"/>
  <c r="L232" i="3" s="1"/>
  <c r="F232" i="3" a="1"/>
  <c r="F232" i="3" s="1"/>
  <c r="S234" i="3" a="1"/>
  <c r="S234" i="3" s="1"/>
  <c r="W233" i="3" a="1"/>
  <c r="W233" i="3" s="1"/>
  <c r="G235" i="3" a="1"/>
  <c r="G235" i="3" s="1"/>
  <c r="M235" i="3" s="1" a="1"/>
  <c r="M235" i="3" s="1"/>
  <c r="G236" i="3" a="1"/>
  <c r="G236" i="3" s="1"/>
  <c r="L236" i="3" s="1" a="1"/>
  <c r="L236" i="3" s="1"/>
  <c r="S237" i="3" a="1"/>
  <c r="S237" i="3" s="1"/>
  <c r="F239" i="3" a="1"/>
  <c r="F239" i="3" s="1"/>
  <c r="G245" i="3" a="1"/>
  <c r="G245" i="3" s="1"/>
  <c r="O245" i="3" s="1" a="1"/>
  <c r="O245" i="3" s="1"/>
  <c r="S247" i="3" a="1"/>
  <c r="S247" i="3" s="1"/>
  <c r="S248" i="3" a="1"/>
  <c r="S248" i="3" s="1"/>
  <c r="T248" i="3" a="1"/>
  <c r="T248" i="3" s="1"/>
  <c r="T241" i="3" a="1"/>
  <c r="T241" i="3" s="1"/>
  <c r="S243" i="3" a="1"/>
  <c r="S243" i="3" s="1"/>
  <c r="G243" i="3" a="1"/>
  <c r="G243" i="3" s="1"/>
  <c r="J243" i="3" s="1" a="1"/>
  <c r="J243" i="3" s="1"/>
  <c r="S245" i="3" a="1"/>
  <c r="S245" i="3" s="1"/>
  <c r="T256" i="3" a="1"/>
  <c r="T256" i="3" s="1"/>
  <c r="W249" i="3" a="1"/>
  <c r="W249" i="3" s="1"/>
  <c r="W250" i="3" a="1"/>
  <c r="W250" i="3" s="1"/>
  <c r="Y250" i="3" s="1"/>
  <c r="Z250" i="3" s="1"/>
  <c r="E251" i="3" a="1"/>
  <c r="E251" i="3" s="1"/>
  <c r="E252" i="3" a="1"/>
  <c r="E252" i="3" s="1"/>
  <c r="E253" i="3" a="1"/>
  <c r="E253" i="3" s="1"/>
  <c r="E254" i="3" a="1"/>
  <c r="E254" i="3" s="1"/>
  <c r="T257" i="3" a="1"/>
  <c r="T257" i="3" s="1"/>
  <c r="T259" i="3" a="1"/>
  <c r="T259" i="3" s="1"/>
  <c r="W263" i="3" a="1"/>
  <c r="W263" i="3" s="1"/>
  <c r="G262" i="3" a="1"/>
  <c r="G262" i="3" s="1"/>
  <c r="N262" i="3" s="1" a="1"/>
  <c r="N262" i="3" s="1"/>
  <c r="W258" i="3" a="1"/>
  <c r="W258" i="3" s="1"/>
  <c r="W260" i="3" a="1"/>
  <c r="W260" i="3" s="1"/>
  <c r="Y260" i="3" s="1"/>
  <c r="F260" i="3" a="1"/>
  <c r="F260" i="3" s="1"/>
  <c r="S266" i="3" a="1"/>
  <c r="S266" i="3" s="1"/>
  <c r="F266" i="3" a="1"/>
  <c r="F266" i="3" s="1"/>
  <c r="X267" i="3" a="1"/>
  <c r="X267" i="3" s="1"/>
  <c r="T269" i="3" a="1"/>
  <c r="T269" i="3" s="1"/>
  <c r="S275" i="3" a="1"/>
  <c r="S275" i="3" s="1"/>
  <c r="T276" i="3" a="1"/>
  <c r="T276" i="3" s="1"/>
  <c r="F277" i="3" a="1"/>
  <c r="F277" i="3" s="1"/>
  <c r="S278" i="3" a="1"/>
  <c r="S278" i="3" s="1"/>
  <c r="U278" i="3" s="1"/>
  <c r="G279" i="3" a="1"/>
  <c r="G279" i="3" s="1"/>
  <c r="O279" i="3" s="1" a="1"/>
  <c r="O279" i="3" s="1"/>
  <c r="S282" i="3" a="1"/>
  <c r="S282" i="3" s="1"/>
  <c r="E282" i="3" a="1"/>
  <c r="E282" i="3" s="1"/>
  <c r="X281" i="3" a="1"/>
  <c r="X281" i="3" s="1"/>
  <c r="S284" i="3" a="1"/>
  <c r="S284" i="3" s="1"/>
  <c r="X283" i="3" a="1"/>
  <c r="X283" i="3" s="1"/>
  <c r="F285" i="3" a="1"/>
  <c r="F285" i="3" s="1"/>
  <c r="E290" i="3" a="1"/>
  <c r="E290" i="3" s="1"/>
  <c r="T287" i="3" a="1"/>
  <c r="T287" i="3" s="1"/>
  <c r="F288" i="3" a="1"/>
  <c r="F288" i="3" s="1"/>
  <c r="X289" i="3" a="1"/>
  <c r="X289" i="3" s="1"/>
  <c r="W286" i="3" a="1"/>
  <c r="W286" i="3" s="1"/>
  <c r="G291" i="3" a="1"/>
  <c r="G291" i="3" s="1"/>
  <c r="O291" i="3" s="1" a="1"/>
  <c r="O291" i="3" s="1"/>
  <c r="E295" i="3" a="1"/>
  <c r="E295" i="3" s="1"/>
  <c r="F292" i="3" a="1"/>
  <c r="F292" i="3" s="1"/>
  <c r="W272" i="3" a="1"/>
  <c r="W272" i="3" s="1"/>
  <c r="S272" i="3" a="1"/>
  <c r="S272" i="3" s="1"/>
  <c r="T273" i="3" a="1"/>
  <c r="T273" i="3" s="1"/>
  <c r="W270" i="3" a="1"/>
  <c r="W270" i="3" s="1"/>
  <c r="X297" i="3" a="1"/>
  <c r="X297" i="3" s="1"/>
  <c r="F299" i="3" a="1"/>
  <c r="F299" i="3" s="1"/>
  <c r="T298" i="3" a="1"/>
  <c r="T298" i="3" s="1"/>
  <c r="T281" i="3" a="1"/>
  <c r="T281" i="3" s="1"/>
  <c r="F281" i="3" a="1"/>
  <c r="F281" i="3" s="1"/>
  <c r="X282" i="3" a="1"/>
  <c r="X282" i="3" s="1"/>
  <c r="W284" i="3" a="1"/>
  <c r="W284" i="3" s="1"/>
  <c r="S289" i="3" a="1"/>
  <c r="S289" i="3" s="1"/>
  <c r="F293" i="3" a="1"/>
  <c r="F293" i="3" s="1"/>
  <c r="F286" i="3" a="1"/>
  <c r="F286" i="3" s="1"/>
  <c r="T295" i="3" a="1"/>
  <c r="T295" i="3" s="1"/>
  <c r="G288" i="3" a="1"/>
  <c r="G288" i="3" s="1"/>
  <c r="N288" i="3" s="1" a="1"/>
  <c r="N288" i="3" s="1"/>
  <c r="G293" i="3" a="1"/>
  <c r="G293" i="3" s="1"/>
  <c r="N293" i="3" s="1" a="1"/>
  <c r="N293" i="3" s="1"/>
  <c r="E285" i="3" a="1"/>
  <c r="E285" i="3" s="1"/>
  <c r="W294" i="3" a="1"/>
  <c r="W294" i="3" s="1"/>
  <c r="S287" i="3" a="1"/>
  <c r="S287" i="3" s="1"/>
  <c r="F291" i="3" a="1"/>
  <c r="F291" i="3" s="1"/>
  <c r="S296" i="3" a="1"/>
  <c r="S296" i="3" s="1"/>
  <c r="G270" i="3" a="1"/>
  <c r="G270" i="3" s="1"/>
  <c r="N270" i="3" s="1" a="1"/>
  <c r="N270" i="3" s="1"/>
  <c r="S273" i="3" a="1"/>
  <c r="S273" i="3" s="1"/>
  <c r="T271" i="3" a="1"/>
  <c r="T271" i="3" s="1"/>
  <c r="E273" i="3" a="1"/>
  <c r="E273" i="3" s="1"/>
  <c r="X272" i="3" a="1"/>
  <c r="X272" i="3" s="1"/>
  <c r="F297" i="3" a="1"/>
  <c r="F297" i="3" s="1"/>
  <c r="G299" i="3" a="1"/>
  <c r="G299" i="3" s="1"/>
  <c r="O299" i="3" s="1" a="1"/>
  <c r="O299" i="3" s="1"/>
  <c r="F298" i="3" a="1"/>
  <c r="F298" i="3" s="1"/>
  <c r="E280" i="3" a="1"/>
  <c r="E280" i="3" s="1"/>
  <c r="S281" i="3" a="1"/>
  <c r="S281" i="3" s="1"/>
  <c r="U281" i="3" s="1"/>
  <c r="S280" i="3" a="1"/>
  <c r="S280" i="3" s="1"/>
  <c r="F283" i="3" a="1"/>
  <c r="F283" i="3" s="1"/>
  <c r="T285" i="3" a="1"/>
  <c r="T285" i="3" s="1"/>
  <c r="S290" i="3" a="1"/>
  <c r="S290" i="3" s="1"/>
  <c r="F294" i="3" a="1"/>
  <c r="F294" i="3" s="1"/>
  <c r="W291" i="3" a="1"/>
  <c r="W291" i="3" s="1"/>
  <c r="G289" i="3" a="1"/>
  <c r="G289" i="3" s="1"/>
  <c r="M289" i="3" s="1" a="1"/>
  <c r="M289" i="3" s="1"/>
  <c r="E293" i="3" a="1"/>
  <c r="E293" i="3" s="1"/>
  <c r="X290" i="3" a="1"/>
  <c r="X290" i="3" s="1"/>
  <c r="S295" i="3" a="1"/>
  <c r="S295" i="3" s="1"/>
  <c r="G292" i="3" a="1"/>
  <c r="G292" i="3" s="1"/>
  <c r="K292" i="3" s="1" a="1"/>
  <c r="K292" i="3" s="1"/>
  <c r="T296" i="3" a="1"/>
  <c r="T296" i="3" s="1"/>
  <c r="G271" i="3" a="1"/>
  <c r="G271" i="3" s="1"/>
  <c r="N271" i="3" s="1" a="1"/>
  <c r="N271" i="3" s="1"/>
  <c r="E271" i="3" a="1"/>
  <c r="E271" i="3" s="1"/>
  <c r="S274" i="3" a="1"/>
  <c r="S274" i="3" s="1"/>
  <c r="W273" i="3" a="1"/>
  <c r="W273" i="3" s="1"/>
  <c r="X274" i="3" a="1"/>
  <c r="X274" i="3" s="1"/>
  <c r="G297" i="3" a="1"/>
  <c r="G297" i="3" s="1"/>
  <c r="K297" i="3" s="1" a="1"/>
  <c r="K297" i="3" s="1"/>
  <c r="E297" i="3" a="1"/>
  <c r="E297" i="3" s="1"/>
  <c r="G298" i="3" a="1"/>
  <c r="G298" i="3" s="1"/>
  <c r="K298" i="3" s="1" a="1"/>
  <c r="K298" i="3" s="1"/>
  <c r="G282" i="3" a="1"/>
  <c r="G282" i="3" s="1"/>
  <c r="N282" i="3" s="1" a="1"/>
  <c r="N282" i="3" s="1"/>
  <c r="W281" i="3" a="1"/>
  <c r="W281" i="3" s="1"/>
  <c r="T284" i="3" a="1"/>
  <c r="T284" i="3" s="1"/>
  <c r="G284" i="3" a="1"/>
  <c r="G284" i="3" s="1"/>
  <c r="K284" i="3" s="1" a="1"/>
  <c r="K284" i="3" s="1"/>
  <c r="T293" i="3" a="1"/>
  <c r="T293" i="3" s="1"/>
  <c r="T286" i="3" a="1"/>
  <c r="T286" i="3" s="1"/>
  <c r="G285" i="3" a="1"/>
  <c r="G285" i="3" s="1"/>
  <c r="L285" i="3" s="1" a="1"/>
  <c r="L285" i="3" s="1"/>
  <c r="X287" i="3" a="1"/>
  <c r="X287" i="3" s="1"/>
  <c r="S292" i="3" a="1"/>
  <c r="S292" i="3" s="1"/>
  <c r="S285" i="3" a="1"/>
  <c r="S285" i="3" s="1"/>
  <c r="F289" i="3" a="1"/>
  <c r="F289" i="3" s="1"/>
  <c r="E286" i="3" a="1"/>
  <c r="E286" i="3" s="1"/>
  <c r="T291" i="3" a="1"/>
  <c r="T291" i="3" s="1"/>
  <c r="S288" i="3" a="1"/>
  <c r="S288" i="3" s="1"/>
  <c r="G296" i="3" a="1"/>
  <c r="G296" i="3" s="1"/>
  <c r="M296" i="3" s="1" a="1"/>
  <c r="M296" i="3" s="1"/>
  <c r="F272" i="3" a="1"/>
  <c r="F272" i="3" s="1"/>
  <c r="S270" i="3" a="1"/>
  <c r="S270" i="3" s="1"/>
  <c r="F270" i="3" a="1"/>
  <c r="F270" i="3" s="1"/>
  <c r="G273" i="3" a="1"/>
  <c r="G273" i="3" s="1"/>
  <c r="J273" i="3" s="1" a="1"/>
  <c r="J273" i="3" s="1"/>
  <c r="T270" i="3" a="1"/>
  <c r="T270" i="3" s="1"/>
  <c r="T297" i="3" a="1"/>
  <c r="T297" i="3" s="1"/>
  <c r="E299" i="3" a="1"/>
  <c r="E299" i="3" s="1"/>
  <c r="T282" i="3" a="1"/>
  <c r="T282" i="3" s="1"/>
  <c r="U282" i="3" s="1"/>
  <c r="X280" i="3" a="1"/>
  <c r="X280" i="3" s="1"/>
  <c r="X284" i="3" a="1"/>
  <c r="X284" i="3" s="1"/>
  <c r="F284" i="3" a="1"/>
  <c r="F284" i="3" s="1"/>
  <c r="W289" i="3" a="1"/>
  <c r="W289" i="3" s="1"/>
  <c r="T294" i="3" a="1"/>
  <c r="T294" i="3" s="1"/>
  <c r="X295" i="3" a="1"/>
  <c r="X295" i="3" s="1"/>
  <c r="T288" i="3" a="1"/>
  <c r="T288" i="3" s="1"/>
  <c r="S293" i="3" a="1"/>
  <c r="S293" i="3" s="1"/>
  <c r="G286" i="3" a="1"/>
  <c r="G286" i="3" s="1"/>
  <c r="N286" i="3" s="1" a="1"/>
  <c r="N286" i="3" s="1"/>
  <c r="E294" i="3" a="1"/>
  <c r="E294" i="3" s="1"/>
  <c r="W287" i="3" a="1"/>
  <c r="W287" i="3" s="1"/>
  <c r="T292" i="3" a="1"/>
  <c r="T292" i="3" s="1"/>
  <c r="E296" i="3" a="1"/>
  <c r="E296" i="3" s="1"/>
  <c r="G272" i="3" a="1"/>
  <c r="G272" i="3" s="1"/>
  <c r="J272" i="3" s="1" a="1"/>
  <c r="J272" i="3" s="1"/>
  <c r="X273" i="3" a="1"/>
  <c r="X273" i="3" s="1"/>
  <c r="F273" i="3" a="1"/>
  <c r="F273" i="3" s="1"/>
  <c r="AC273" i="3" s="1"/>
  <c r="X270" i="3" a="1"/>
  <c r="X270" i="3" s="1"/>
  <c r="Y270" i="3" s="1"/>
  <c r="W271" i="3" a="1"/>
  <c r="W271" i="3" s="1"/>
  <c r="S298" i="3" a="1"/>
  <c r="S298" i="3" s="1"/>
  <c r="T299" i="3" a="1"/>
  <c r="T299" i="3" s="1"/>
  <c r="E281" i="3" a="1"/>
  <c r="E281" i="3" s="1"/>
  <c r="AA281" i="3" s="1"/>
  <c r="F282" i="3" a="1"/>
  <c r="F282" i="3" s="1"/>
  <c r="S283" i="3" a="1"/>
  <c r="S283" i="3" s="1"/>
  <c r="E283" i="3" a="1"/>
  <c r="E283" i="3" s="1"/>
  <c r="X285" i="3" a="1"/>
  <c r="X285" i="3" s="1"/>
  <c r="W290" i="3" a="1"/>
  <c r="W290" i="3" s="1"/>
  <c r="G287" i="3" a="1"/>
  <c r="G287" i="3" s="1"/>
  <c r="L287" i="3" s="1" a="1"/>
  <c r="L287" i="3" s="1"/>
  <c r="E291" i="3" a="1"/>
  <c r="E291" i="3" s="1"/>
  <c r="W292" i="3" a="1"/>
  <c r="W292" i="3" s="1"/>
  <c r="T289" i="3" a="1"/>
  <c r="T289" i="3" s="1"/>
  <c r="S286" i="3" a="1"/>
  <c r="S286" i="3" s="1"/>
  <c r="U286" i="3" s="1"/>
  <c r="F290" i="3" a="1"/>
  <c r="F290" i="3" s="1"/>
  <c r="W295" i="3" a="1"/>
  <c r="W295" i="3" s="1"/>
  <c r="W288" i="3" a="1"/>
  <c r="W288" i="3" s="1"/>
  <c r="F296" i="3" a="1"/>
  <c r="F296" i="3" s="1"/>
  <c r="E274" i="3" a="1"/>
  <c r="E274" i="3" s="1"/>
  <c r="E272" i="3" a="1"/>
  <c r="E272" i="3" s="1"/>
  <c r="F274" i="3" a="1"/>
  <c r="F274" i="3" s="1"/>
  <c r="AD274" i="3" s="1"/>
  <c r="T274" i="3" a="1"/>
  <c r="T274" i="3" s="1"/>
  <c r="E298" i="3" a="1"/>
  <c r="E298" i="3" s="1"/>
  <c r="X299" i="3" a="1"/>
  <c r="X299" i="3" s="1"/>
  <c r="G280" i="3" a="1"/>
  <c r="G280" i="3" s="1"/>
  <c r="L280" i="3" s="1" a="1"/>
  <c r="L280" i="3" s="1"/>
  <c r="F280" i="3" a="1"/>
  <c r="F280" i="3" s="1"/>
  <c r="G281" i="3" a="1"/>
  <c r="G281" i="3" s="1"/>
  <c r="J281" i="3" s="1" a="1"/>
  <c r="J281" i="3" s="1"/>
  <c r="W283" i="3" a="1"/>
  <c r="W283" i="3" s="1"/>
  <c r="E284" i="3" a="1"/>
  <c r="E284" i="3" s="1"/>
  <c r="X293" i="3" a="1"/>
  <c r="X293" i="3" s="1"/>
  <c r="X286" i="3" a="1"/>
  <c r="X286" i="3" s="1"/>
  <c r="G295" i="3" a="1"/>
  <c r="G295" i="3" s="1"/>
  <c r="L295" i="3" s="1" a="1"/>
  <c r="L295" i="3" s="1"/>
  <c r="F287" i="3" a="1"/>
  <c r="F287" i="3" s="1"/>
  <c r="X288" i="3" a="1"/>
  <c r="X288" i="3" s="1"/>
  <c r="W285" i="3" a="1"/>
  <c r="W285" i="3" s="1"/>
  <c r="S294" i="3" a="1"/>
  <c r="S294" i="3" s="1"/>
  <c r="U294" i="3" s="1"/>
  <c r="G294" i="3" a="1"/>
  <c r="G294" i="3" s="1"/>
  <c r="J294" i="3" s="1" a="1"/>
  <c r="J294" i="3" s="1"/>
  <c r="X291" i="3" a="1"/>
  <c r="X291" i="3" s="1"/>
  <c r="X292" i="3" a="1"/>
  <c r="X292" i="3" s="1"/>
  <c r="W296" i="3" a="1"/>
  <c r="W296" i="3" s="1"/>
  <c r="F271" i="3" a="1"/>
  <c r="F271" i="3" s="1"/>
  <c r="X271" i="3" a="1"/>
  <c r="X271" i="3" s="1"/>
  <c r="E270" i="3" a="1"/>
  <c r="E270" i="3" s="1"/>
  <c r="W274" i="3" a="1"/>
  <c r="W274" i="3" s="1"/>
  <c r="S299" i="3" a="1"/>
  <c r="S299" i="3" s="1"/>
  <c r="W298" i="3" a="1"/>
  <c r="W298" i="3" s="1"/>
  <c r="A2" i="3"/>
  <c r="F264" i="3" a="1"/>
  <c r="F264" i="3" s="1"/>
  <c r="B299" i="3" a="1"/>
  <c r="B299" i="3" s="1"/>
  <c r="E264" i="3" a="1"/>
  <c r="E264" i="3" s="1"/>
  <c r="B298" i="3" a="1"/>
  <c r="B298" i="3" s="1"/>
  <c r="X264" i="3" a="1"/>
  <c r="X264" i="3" s="1"/>
  <c r="W264" i="3" a="1"/>
  <c r="W264" i="3" s="1"/>
  <c r="B297" i="3" a="1"/>
  <c r="B297" i="3" s="1"/>
  <c r="T264" i="3" a="1"/>
  <c r="T264" i="3" s="1"/>
  <c r="G264" i="3" a="1"/>
  <c r="G264" i="3" s="1"/>
  <c r="L264" i="3" s="1" a="1"/>
  <c r="L264" i="3" s="1"/>
  <c r="B280" i="3" a="1"/>
  <c r="B280" i="3" s="1"/>
  <c r="S264" i="3" a="1"/>
  <c r="S264" i="3" s="1"/>
  <c r="B273" i="3" a="1"/>
  <c r="B273" i="3" s="1"/>
  <c r="B293" i="3" a="1"/>
  <c r="B293" i="3" s="1"/>
  <c r="B288" i="3" a="1"/>
  <c r="B288" i="3" s="1"/>
  <c r="B291" i="3" a="1"/>
  <c r="B291" i="3" s="1"/>
  <c r="B281" i="3" a="1"/>
  <c r="B281" i="3" s="1"/>
  <c r="B264" i="3" a="1"/>
  <c r="B264" i="3" s="1"/>
  <c r="B274" i="3" a="1"/>
  <c r="B274" i="3" s="1"/>
  <c r="B296" i="3" a="1"/>
  <c r="B296" i="3" s="1"/>
  <c r="B286" i="3" a="1"/>
  <c r="B286" i="3" s="1"/>
  <c r="B289" i="3" a="1"/>
  <c r="B289" i="3" s="1"/>
  <c r="B278" i="3" a="1"/>
  <c r="B278" i="3" s="1"/>
  <c r="B255" i="3" a="1"/>
  <c r="B255" i="3" s="1"/>
  <c r="B251" i="3" a="1"/>
  <c r="B251" i="3" s="1"/>
  <c r="B247" i="3" a="1"/>
  <c r="B247" i="3" s="1"/>
  <c r="B242" i="3" a="1"/>
  <c r="B242" i="3" s="1"/>
  <c r="B246" i="3" a="1"/>
  <c r="B246" i="3" s="1"/>
  <c r="B235" i="3" a="1"/>
  <c r="B235" i="3" s="1"/>
  <c r="B233" i="3" a="1"/>
  <c r="B233" i="3" s="1"/>
  <c r="B230" i="3" a="1"/>
  <c r="B230" i="3" s="1"/>
  <c r="B225" i="3" a="1"/>
  <c r="B225" i="3" s="1"/>
  <c r="B224" i="3" a="1"/>
  <c r="B224" i="3" s="1"/>
  <c r="B211" i="3" a="1"/>
  <c r="B211" i="3" s="1"/>
  <c r="B202" i="3" a="1"/>
  <c r="B202" i="3" s="1"/>
  <c r="B197" i="3" a="1"/>
  <c r="B197" i="3" s="1"/>
  <c r="B200" i="3" a="1"/>
  <c r="B200" i="3" s="1"/>
  <c r="B188" i="3" a="1"/>
  <c r="B188" i="3" s="1"/>
  <c r="B186" i="3" a="1"/>
  <c r="B186" i="3" s="1"/>
  <c r="B180" i="3" a="1"/>
  <c r="B180" i="3" s="1"/>
  <c r="B177" i="3" a="1"/>
  <c r="B177" i="3" s="1"/>
  <c r="B294" i="3" a="1"/>
  <c r="B294" i="3" s="1"/>
  <c r="B292" i="3" a="1"/>
  <c r="B292" i="3" s="1"/>
  <c r="B283" i="3" a="1"/>
  <c r="B283" i="3" s="1"/>
  <c r="B282" i="3" a="1"/>
  <c r="B282" i="3" s="1"/>
  <c r="B277" i="3" a="1"/>
  <c r="B277" i="3" s="1"/>
  <c r="B267" i="3" a="1"/>
  <c r="B267" i="3" s="1"/>
  <c r="B261" i="3" a="1"/>
  <c r="B261" i="3" s="1"/>
  <c r="B239" i="3" a="1"/>
  <c r="B239" i="3" s="1"/>
  <c r="B236" i="3" a="1"/>
  <c r="B236" i="3" s="1"/>
  <c r="B203" i="3" a="1"/>
  <c r="B203" i="3" s="1"/>
  <c r="B201" i="3" a="1"/>
  <c r="B201" i="3" s="1"/>
  <c r="B192" i="3" a="1"/>
  <c r="B192" i="3" s="1"/>
  <c r="B176" i="3" a="1"/>
  <c r="B176" i="3" s="1"/>
  <c r="B46" i="3" a="1"/>
  <c r="B46" i="3" s="1"/>
  <c r="B107" i="3" a="1"/>
  <c r="B107" i="3" s="1"/>
  <c r="B171" i="3" a="1"/>
  <c r="B171" i="3" s="1"/>
  <c r="B63" i="3" a="1"/>
  <c r="B63" i="3" s="1"/>
  <c r="B127" i="3" a="1"/>
  <c r="B127" i="3" s="1"/>
  <c r="B16" i="3" a="1"/>
  <c r="B16" i="3" s="1"/>
  <c r="B83" i="3" a="1"/>
  <c r="B83" i="3" s="1"/>
  <c r="B147" i="3" a="1"/>
  <c r="B147" i="3" s="1"/>
  <c r="B41" i="3" a="1"/>
  <c r="B41" i="3" s="1"/>
  <c r="B103" i="3" a="1"/>
  <c r="B103" i="3" s="1"/>
  <c r="B167" i="3" a="1"/>
  <c r="B167" i="3" s="1"/>
  <c r="B66" i="3" a="1"/>
  <c r="B66" i="3" s="1"/>
  <c r="B130" i="3" a="1"/>
  <c r="B130" i="3" s="1"/>
  <c r="B19" i="3" a="1"/>
  <c r="B19" i="3" s="1"/>
  <c r="B86" i="3" a="1"/>
  <c r="B86" i="3" s="1"/>
  <c r="B150" i="3" a="1"/>
  <c r="B150" i="3" s="1"/>
  <c r="B44" i="3" a="1"/>
  <c r="B44" i="3" s="1"/>
  <c r="B106" i="3" a="1"/>
  <c r="B106" i="3" s="1"/>
  <c r="B170" i="3" a="1"/>
  <c r="B170" i="3" s="1"/>
  <c r="B61" i="3" a="1"/>
  <c r="B61" i="3" s="1"/>
  <c r="B126" i="3" a="1"/>
  <c r="B126" i="3" s="1"/>
  <c r="B114" i="3" a="1"/>
  <c r="B114" i="3" s="1"/>
  <c r="B24" i="3" a="1"/>
  <c r="B24" i="3" s="1"/>
  <c r="B154" i="3" a="1"/>
  <c r="B154" i="3" s="1"/>
  <c r="B49" i="3" a="1"/>
  <c r="B49" i="3" s="1"/>
  <c r="B10" i="3" a="1"/>
  <c r="B10" i="3" s="1"/>
  <c r="B72" i="3" a="1"/>
  <c r="B72" i="3" s="1"/>
  <c r="B27" i="3" a="1"/>
  <c r="B27" i="3" s="1"/>
  <c r="B270" i="3" a="1"/>
  <c r="B270" i="3" s="1"/>
  <c r="B284" i="3" a="1"/>
  <c r="B284" i="3" s="1"/>
  <c r="B256" i="3" a="1"/>
  <c r="B256" i="3" s="1"/>
  <c r="B252" i="3" a="1"/>
  <c r="B252" i="3" s="1"/>
  <c r="B240" i="3" a="1"/>
  <c r="B240" i="3" s="1"/>
  <c r="B243" i="3" a="1"/>
  <c r="B243" i="3" s="1"/>
  <c r="B231" i="3" a="1"/>
  <c r="B231" i="3" s="1"/>
  <c r="B226" i="3" a="1"/>
  <c r="B226" i="3" s="1"/>
  <c r="B217" i="3" a="1"/>
  <c r="B217" i="3" s="1"/>
  <c r="B212" i="3" a="1"/>
  <c r="B212" i="3" s="1"/>
  <c r="B196" i="3" a="1"/>
  <c r="B196" i="3" s="1"/>
  <c r="B193" i="3" a="1"/>
  <c r="B193" i="3" s="1"/>
  <c r="B184" i="3" a="1"/>
  <c r="B184" i="3" s="1"/>
  <c r="B181" i="3" a="1"/>
  <c r="B181" i="3" s="1"/>
  <c r="B175" i="3" a="1"/>
  <c r="B175" i="3" s="1"/>
  <c r="B54" i="3" a="1"/>
  <c r="B54" i="3" s="1"/>
  <c r="B7" i="3" a="1"/>
  <c r="B7" i="3" s="1"/>
  <c r="B70" i="3" a="1"/>
  <c r="B70" i="3" s="1"/>
  <c r="B134" i="3" a="1"/>
  <c r="B134" i="3" s="1"/>
  <c r="B90" i="3" a="1"/>
  <c r="B90" i="3" s="1"/>
  <c r="B110" i="3" a="1"/>
  <c r="B110" i="3" s="1"/>
  <c r="B136" i="3" a="1"/>
  <c r="B136" i="3" s="1"/>
  <c r="B271" i="3" a="1"/>
  <c r="B271" i="3" s="1"/>
  <c r="B287" i="3" a="1"/>
  <c r="B287" i="3" s="1"/>
  <c r="B290" i="3" a="1"/>
  <c r="B290" i="3" s="1"/>
  <c r="B272" i="3" a="1"/>
  <c r="B272" i="3" s="1"/>
  <c r="B295" i="3" a="1"/>
  <c r="B295" i="3" s="1"/>
  <c r="B285" i="3" a="1"/>
  <c r="B285" i="3" s="1"/>
  <c r="B265" i="3" a="1"/>
  <c r="B265" i="3" s="1"/>
  <c r="B259" i="3" a="1"/>
  <c r="B259" i="3" s="1"/>
  <c r="B263" i="3" a="1"/>
  <c r="B263" i="3" s="1"/>
  <c r="B195" i="3" a="1"/>
  <c r="B195" i="3" s="1"/>
  <c r="B62" i="3" a="1"/>
  <c r="B62" i="3" s="1"/>
  <c r="B47" i="3" a="1"/>
  <c r="B47" i="3" s="1"/>
  <c r="B48" i="3" a="1"/>
  <c r="B48" i="3" s="1"/>
  <c r="B57" i="3" a="1"/>
  <c r="B57" i="3" s="1"/>
  <c r="B50" i="3" a="1"/>
  <c r="B50" i="3" s="1"/>
  <c r="B51" i="3" a="1"/>
  <c r="B51" i="3" s="1"/>
  <c r="B28" i="3" a="1"/>
  <c r="B28" i="3" s="1"/>
  <c r="B5" i="3" a="1"/>
  <c r="B5" i="3" s="1"/>
  <c r="B269" i="3" a="1"/>
  <c r="B269" i="3" s="1"/>
  <c r="B253" i="3" a="1"/>
  <c r="B253" i="3" s="1"/>
  <c r="B237" i="3" a="1"/>
  <c r="B237" i="3" s="1"/>
  <c r="B232" i="3" a="1"/>
  <c r="B232" i="3" s="1"/>
  <c r="B218" i="3" a="1"/>
  <c r="B218" i="3" s="1"/>
  <c r="B215" i="3" a="1"/>
  <c r="B215" i="3" s="1"/>
  <c r="B208" i="3" a="1"/>
  <c r="B208" i="3" s="1"/>
  <c r="B194" i="3" a="1"/>
  <c r="B194" i="3" s="1"/>
  <c r="B75" i="3" a="1"/>
  <c r="B75" i="3" s="1"/>
  <c r="B152" i="3" a="1"/>
  <c r="B152" i="3" s="1"/>
  <c r="B76" i="3" a="1"/>
  <c r="B76" i="3" s="1"/>
  <c r="B159" i="3" a="1"/>
  <c r="B159" i="3" s="1"/>
  <c r="B64" i="3" a="1"/>
  <c r="B64" i="3" s="1"/>
  <c r="B160" i="3" a="1"/>
  <c r="B160" i="3" s="1"/>
  <c r="B71" i="3" a="1"/>
  <c r="B71" i="3" s="1"/>
  <c r="B148" i="3" a="1"/>
  <c r="B148" i="3" s="1"/>
  <c r="B85" i="3" a="1"/>
  <c r="B85" i="3" s="1"/>
  <c r="B162" i="3" a="1"/>
  <c r="B162" i="3" s="1"/>
  <c r="B73" i="3" a="1"/>
  <c r="B73" i="3" s="1"/>
  <c r="B143" i="3" a="1"/>
  <c r="B143" i="3" s="1"/>
  <c r="B52" i="3" a="1"/>
  <c r="B52" i="3" s="1"/>
  <c r="B125" i="3" a="1"/>
  <c r="B125" i="3" s="1"/>
  <c r="B21" i="3" a="1"/>
  <c r="B21" i="3" s="1"/>
  <c r="B94" i="3" a="1"/>
  <c r="B94" i="3" s="1"/>
  <c r="B164" i="3" a="1"/>
  <c r="B164" i="3" s="1"/>
  <c r="B257" i="3" a="1"/>
  <c r="B257" i="3" s="1"/>
  <c r="B219" i="3" a="1"/>
  <c r="B219" i="3" s="1"/>
  <c r="B213" i="3" a="1"/>
  <c r="B213" i="3" s="1"/>
  <c r="B199" i="3" a="1"/>
  <c r="B199" i="3" s="1"/>
  <c r="B190" i="3" a="1"/>
  <c r="B190" i="3" s="1"/>
  <c r="B6" i="3" a="1"/>
  <c r="B6" i="3" s="1"/>
  <c r="B165" i="3" a="1"/>
  <c r="B165" i="3" s="1"/>
  <c r="B166" i="3" a="1"/>
  <c r="B166" i="3" s="1"/>
  <c r="B173" i="3" a="1"/>
  <c r="B173" i="3" s="1"/>
  <c r="B161" i="3" a="1"/>
  <c r="B161" i="3" s="1"/>
  <c r="B168" i="3" a="1"/>
  <c r="B168" i="3" s="1"/>
  <c r="B156" i="3" a="1"/>
  <c r="B156" i="3" s="1"/>
  <c r="B131" i="3" a="1"/>
  <c r="B131" i="3" s="1"/>
  <c r="B100" i="3" a="1"/>
  <c r="B100" i="3" s="1"/>
  <c r="B209" i="3" a="1"/>
  <c r="B209" i="3" s="1"/>
  <c r="B82" i="3" a="1"/>
  <c r="B82" i="3" s="1"/>
  <c r="B89" i="3" a="1"/>
  <c r="B89" i="3" s="1"/>
  <c r="B77" i="3" a="1"/>
  <c r="B77" i="3" s="1"/>
  <c r="B78" i="3" a="1"/>
  <c r="B78" i="3" s="1"/>
  <c r="B91" i="3" a="1"/>
  <c r="B91" i="3" s="1"/>
  <c r="B79" i="3" a="1"/>
  <c r="B79" i="3" s="1"/>
  <c r="B60" i="3" a="1"/>
  <c r="B60" i="3" s="1"/>
  <c r="B29" i="3" a="1"/>
  <c r="B29" i="3" s="1"/>
  <c r="B258" i="3" a="1"/>
  <c r="B258" i="3" s="1"/>
  <c r="B221" i="3" a="1"/>
  <c r="B221" i="3" s="1"/>
  <c r="B204" i="3" a="1"/>
  <c r="B204" i="3" s="1"/>
  <c r="B198" i="3" a="1"/>
  <c r="B198" i="3" s="1"/>
  <c r="B191" i="3" a="1"/>
  <c r="B191" i="3" s="1"/>
  <c r="B182" i="3" a="1"/>
  <c r="B182" i="3" s="1"/>
  <c r="B22" i="3" a="1"/>
  <c r="B22" i="3" s="1"/>
  <c r="B101" i="3" a="1"/>
  <c r="B101" i="3" s="1"/>
  <c r="B23" i="3" a="1"/>
  <c r="B23" i="3" s="1"/>
  <c r="B102" i="3" a="1"/>
  <c r="B102" i="3" s="1"/>
  <c r="B8" i="3" a="1"/>
  <c r="B8" i="3" s="1"/>
  <c r="B109" i="3" a="1"/>
  <c r="B109" i="3" s="1"/>
  <c r="B17" i="3" a="1"/>
  <c r="B17" i="3" s="1"/>
  <c r="B97" i="3" a="1"/>
  <c r="B97" i="3" s="1"/>
  <c r="B26" i="3" a="1"/>
  <c r="B26" i="3" s="1"/>
  <c r="B104" i="3" a="1"/>
  <c r="B104" i="3" s="1"/>
  <c r="B11" i="3" a="1"/>
  <c r="B11" i="3" s="1"/>
  <c r="B105" i="3" a="1"/>
  <c r="B105" i="3" s="1"/>
  <c r="B4" i="3" a="1"/>
  <c r="B4" i="3" s="1"/>
  <c r="B74" i="3" a="1"/>
  <c r="B74" i="3" s="1"/>
  <c r="B144" i="3" a="1"/>
  <c r="B144" i="3" s="1"/>
  <c r="B45" i="3" a="1"/>
  <c r="B45" i="3" s="1"/>
  <c r="B119" i="3" a="1"/>
  <c r="B119" i="3" s="1"/>
  <c r="B276" i="3" a="1"/>
  <c r="B276" i="3" s="1"/>
  <c r="B249" i="3" a="1"/>
  <c r="B249" i="3" s="1"/>
  <c r="B248" i="3" a="1"/>
  <c r="B248" i="3" s="1"/>
  <c r="B244" i="3" a="1"/>
  <c r="B244" i="3" s="1"/>
  <c r="B229" i="3" a="1"/>
  <c r="B229" i="3" s="1"/>
  <c r="B210" i="3" a="1"/>
  <c r="B210" i="3" s="1"/>
  <c r="B205" i="3" a="1"/>
  <c r="B205" i="3" s="1"/>
  <c r="B185" i="3" a="1"/>
  <c r="B185" i="3" s="1"/>
  <c r="B30" i="3" a="1"/>
  <c r="B30" i="3" s="1"/>
  <c r="B120" i="3" a="1"/>
  <c r="B120" i="3" s="1"/>
  <c r="B31" i="3" a="1"/>
  <c r="B31" i="3" s="1"/>
  <c r="B108" i="3" a="1"/>
  <c r="B108" i="3" s="1"/>
  <c r="B32" i="3" a="1"/>
  <c r="B32" i="3" s="1"/>
  <c r="B115" i="3" a="1"/>
  <c r="B115" i="3" s="1"/>
  <c r="B25" i="3" a="1"/>
  <c r="B25" i="3" s="1"/>
  <c r="B116" i="3" a="1"/>
  <c r="B116" i="3" s="1"/>
  <c r="B34" i="3" a="1"/>
  <c r="B34" i="3" s="1"/>
  <c r="B117" i="3" a="1"/>
  <c r="B117" i="3" s="1"/>
  <c r="B35" i="3" a="1"/>
  <c r="B35" i="3" s="1"/>
  <c r="B111" i="3" a="1"/>
  <c r="B111" i="3" s="1"/>
  <c r="B12" i="3" a="1"/>
  <c r="B12" i="3" s="1"/>
  <c r="B80" i="3" a="1"/>
  <c r="B80" i="3" s="1"/>
  <c r="B157" i="3" a="1"/>
  <c r="B157" i="3" s="1"/>
  <c r="B53" i="3" a="1"/>
  <c r="B53" i="3" s="1"/>
  <c r="B132" i="3" a="1"/>
  <c r="B132" i="3" s="1"/>
  <c r="B260" i="3" a="1"/>
  <c r="B260" i="3" s="1"/>
  <c r="B241" i="3" a="1"/>
  <c r="B241" i="3" s="1"/>
  <c r="B238" i="3" a="1"/>
  <c r="B238" i="3" s="1"/>
  <c r="B228" i="3" a="1"/>
  <c r="B228" i="3" s="1"/>
  <c r="B223" i="3" a="1"/>
  <c r="B223" i="3" s="1"/>
  <c r="B216" i="3" a="1"/>
  <c r="B216" i="3" s="1"/>
  <c r="B206" i="3" a="1"/>
  <c r="B206" i="3" s="1"/>
  <c r="B178" i="3" a="1"/>
  <c r="B178" i="3" s="1"/>
  <c r="B139" i="3" a="1"/>
  <c r="B139" i="3" s="1"/>
  <c r="B140" i="3" a="1"/>
  <c r="B140" i="3" s="1"/>
  <c r="B128" i="3" a="1"/>
  <c r="B128" i="3" s="1"/>
  <c r="B135" i="3" a="1"/>
  <c r="B135" i="3" s="1"/>
  <c r="B149" i="3" a="1"/>
  <c r="B149" i="3" s="1"/>
  <c r="B124" i="3" a="1"/>
  <c r="B124" i="3" s="1"/>
  <c r="B99" i="3" a="1"/>
  <c r="B99" i="3" s="1"/>
  <c r="B81" i="3" a="1"/>
  <c r="B81" i="3" s="1"/>
  <c r="B151" i="3" a="1"/>
  <c r="B151" i="3" s="1"/>
  <c r="B279" i="3" a="1"/>
  <c r="B279" i="3" s="1"/>
  <c r="B262" i="3" a="1"/>
  <c r="B262" i="3" s="1"/>
  <c r="B222" i="3" a="1"/>
  <c r="B222" i="3" s="1"/>
  <c r="B207" i="3" a="1"/>
  <c r="B207" i="3" s="1"/>
  <c r="B275" i="3" a="1"/>
  <c r="B275" i="3" s="1"/>
  <c r="B250" i="3" a="1"/>
  <c r="B250" i="3" s="1"/>
  <c r="B234" i="3" a="1"/>
  <c r="B234" i="3" s="1"/>
  <c r="B227" i="3" a="1"/>
  <c r="B227" i="3" s="1"/>
  <c r="B187" i="3" a="1"/>
  <c r="B187" i="3" s="1"/>
  <c r="B38" i="3" a="1"/>
  <c r="B38" i="3" s="1"/>
  <c r="B133" i="3" a="1"/>
  <c r="B133" i="3" s="1"/>
  <c r="B39" i="3" a="1"/>
  <c r="B39" i="3" s="1"/>
  <c r="B121" i="3" a="1"/>
  <c r="B121" i="3" s="1"/>
  <c r="B40" i="3" a="1"/>
  <c r="B40" i="3" s="1"/>
  <c r="B122" i="3" a="1"/>
  <c r="B122" i="3" s="1"/>
  <c r="B33" i="3" a="1"/>
  <c r="B33" i="3" s="1"/>
  <c r="B129" i="3" a="1"/>
  <c r="B129" i="3" s="1"/>
  <c r="B42" i="3" a="1"/>
  <c r="B42" i="3" s="1"/>
  <c r="B123" i="3" a="1"/>
  <c r="B123" i="3" s="1"/>
  <c r="B43" i="3" a="1"/>
  <c r="B43" i="3" s="1"/>
  <c r="B118" i="3" a="1"/>
  <c r="B118" i="3" s="1"/>
  <c r="B20" i="3" a="1"/>
  <c r="B20" i="3" s="1"/>
  <c r="B93" i="3" a="1"/>
  <c r="B93" i="3" s="1"/>
  <c r="B163" i="3" a="1"/>
  <c r="B163" i="3" s="1"/>
  <c r="B68" i="3" a="1"/>
  <c r="B68" i="3" s="1"/>
  <c r="B145" i="3" a="1"/>
  <c r="B145" i="3" s="1"/>
  <c r="B268" i="3" a="1"/>
  <c r="B268" i="3" s="1"/>
  <c r="B214" i="3" a="1"/>
  <c r="B214" i="3" s="1"/>
  <c r="B189" i="3" a="1"/>
  <c r="B189" i="3" s="1"/>
  <c r="B55" i="3" a="1"/>
  <c r="B55" i="3" s="1"/>
  <c r="B95" i="3" a="1"/>
  <c r="B95" i="3" s="1"/>
  <c r="B254" i="3" a="1"/>
  <c r="B254" i="3" s="1"/>
  <c r="B153" i="3" a="1"/>
  <c r="B153" i="3" s="1"/>
  <c r="B137" i="3" a="1"/>
  <c r="B137" i="3" s="1"/>
  <c r="B138" i="3" a="1"/>
  <c r="B138" i="3" s="1"/>
  <c r="B59" i="3" a="1"/>
  <c r="B59" i="3" s="1"/>
  <c r="B84" i="3" a="1"/>
  <c r="B84" i="3" s="1"/>
  <c r="B266" i="3" a="1"/>
  <c r="B266" i="3" s="1"/>
  <c r="B13" i="3" a="1"/>
  <c r="B13" i="3" s="1"/>
  <c r="B183" i="3" a="1"/>
  <c r="B183" i="3" s="1"/>
  <c r="B245" i="3" a="1"/>
  <c r="B245" i="3" s="1"/>
  <c r="B174" i="3" a="1"/>
  <c r="B174" i="3" s="1"/>
  <c r="B14" i="3" a="1"/>
  <c r="B14" i="3" s="1"/>
  <c r="B172" i="3" a="1"/>
  <c r="B172" i="3" s="1"/>
  <c r="B18" i="3" a="1"/>
  <c r="B18" i="3" s="1"/>
  <c r="B169" i="3" a="1"/>
  <c r="B169" i="3" s="1"/>
  <c r="B113" i="3" a="1"/>
  <c r="B113" i="3" s="1"/>
  <c r="B37" i="3" a="1"/>
  <c r="B37" i="3" s="1"/>
  <c r="B142" i="3" a="1"/>
  <c r="B142" i="3" s="1"/>
  <c r="B87" i="3" a="1"/>
  <c r="B87" i="3" s="1"/>
  <c r="B69" i="3" a="1"/>
  <c r="B69" i="3" s="1"/>
  <c r="B56" i="3" a="1"/>
  <c r="B56" i="3" s="1"/>
  <c r="B58" i="3" a="1"/>
  <c r="B58" i="3" s="1"/>
  <c r="B36" i="3" a="1"/>
  <c r="B36" i="3" s="1"/>
  <c r="B158" i="3" a="1"/>
  <c r="B158" i="3" s="1"/>
  <c r="B92" i="3" a="1"/>
  <c r="B92" i="3" s="1"/>
  <c r="B220" i="3" a="1"/>
  <c r="B220" i="3" s="1"/>
  <c r="B88" i="3" a="1"/>
  <c r="B88" i="3" s="1"/>
  <c r="B96" i="3" a="1"/>
  <c r="B96" i="3" s="1"/>
  <c r="B98" i="3" a="1"/>
  <c r="B98" i="3" s="1"/>
  <c r="B67" i="3" a="1"/>
  <c r="B67" i="3" s="1"/>
  <c r="B146" i="3" a="1"/>
  <c r="B146" i="3" s="1"/>
  <c r="B141" i="3" a="1"/>
  <c r="B141" i="3" s="1"/>
  <c r="B155" i="3" a="1"/>
  <c r="B155" i="3" s="1"/>
  <c r="B112" i="3" a="1"/>
  <c r="B112" i="3" s="1"/>
  <c r="B15" i="3" a="1"/>
  <c r="B15" i="3" s="1"/>
  <c r="B9" i="3" a="1"/>
  <c r="B9" i="3" s="1"/>
  <c r="B3" i="3" a="1"/>
  <c r="B3" i="3" s="1"/>
  <c r="B179" i="3" a="1"/>
  <c r="B179" i="3" s="1"/>
  <c r="B65" i="3" a="1"/>
  <c r="B65" i="3" s="1"/>
  <c r="K276" i="3" a="1"/>
  <c r="K276" i="3" s="1"/>
  <c r="AC122" i="3"/>
  <c r="AA39" i="3"/>
  <c r="N267" i="3" a="1"/>
  <c r="N267" i="3" s="1"/>
  <c r="M276" i="3" a="1"/>
  <c r="M276" i="3" s="1"/>
  <c r="J276" i="3" a="1"/>
  <c r="J276" i="3" s="1"/>
  <c r="N276" i="3" a="1"/>
  <c r="N276" i="3" s="1"/>
  <c r="M267" i="3" a="1"/>
  <c r="M267" i="3" s="1"/>
  <c r="O268" i="3" a="1"/>
  <c r="O268" i="3" s="1"/>
  <c r="J267" i="3" a="1"/>
  <c r="J267" i="3" s="1"/>
  <c r="K267" i="3" a="1"/>
  <c r="K267" i="3" s="1"/>
  <c r="L267" i="3" a="1"/>
  <c r="L267" i="3" s="1"/>
  <c r="J268" i="3" a="1"/>
  <c r="J268" i="3" s="1"/>
  <c r="O265" i="3" a="1"/>
  <c r="O265" i="3" s="1"/>
  <c r="AD265" i="3"/>
  <c r="K263" i="3" a="1"/>
  <c r="K263" i="3" s="1"/>
  <c r="M263" i="3" a="1"/>
  <c r="M263" i="3" s="1"/>
  <c r="AC261" i="3"/>
  <c r="AC258" i="3"/>
  <c r="J263" i="3" a="1"/>
  <c r="J263" i="3" s="1"/>
  <c r="K259" i="3" a="1"/>
  <c r="K259" i="3" s="1"/>
  <c r="M257" i="3" a="1"/>
  <c r="M257" i="3" s="1"/>
  <c r="L257" i="3" a="1"/>
  <c r="L257" i="3" s="1"/>
  <c r="N254" i="3" a="1"/>
  <c r="N254" i="3" s="1"/>
  <c r="Y252" i="3"/>
  <c r="Z252" i="3" s="1"/>
  <c r="Y247" i="3"/>
  <c r="Z247" i="3" s="1"/>
  <c r="K249" i="3" a="1"/>
  <c r="K249" i="3" s="1"/>
  <c r="L250" i="3" a="1"/>
  <c r="L250" i="3" s="1"/>
  <c r="M250" i="3" a="1"/>
  <c r="M250" i="3" s="1"/>
  <c r="J252" i="3" a="1"/>
  <c r="J252" i="3" s="1"/>
  <c r="M249" i="3" a="1"/>
  <c r="M249" i="3" s="1"/>
  <c r="N250" i="3" a="1"/>
  <c r="N250" i="3" s="1"/>
  <c r="K252" i="3" a="1"/>
  <c r="K252" i="3" s="1"/>
  <c r="N249" i="3" a="1"/>
  <c r="N249" i="3" s="1"/>
  <c r="O250" i="3" a="1"/>
  <c r="O250" i="3" s="1"/>
  <c r="L252" i="3" a="1"/>
  <c r="L252" i="3" s="1"/>
  <c r="M252" i="3" a="1"/>
  <c r="M252" i="3" s="1"/>
  <c r="N252" i="3" a="1"/>
  <c r="N252" i="3" s="1"/>
  <c r="AB255" i="3"/>
  <c r="J250" i="3" a="1"/>
  <c r="J250" i="3" s="1"/>
  <c r="O252" i="3" a="1"/>
  <c r="O252" i="3" s="1"/>
  <c r="J247" i="3" a="1"/>
  <c r="J247" i="3" s="1"/>
  <c r="O247" i="3" a="1"/>
  <c r="O247" i="3" s="1"/>
  <c r="K247" i="3" a="1"/>
  <c r="K247" i="3" s="1"/>
  <c r="AA241" i="3"/>
  <c r="L247" i="3" a="1"/>
  <c r="L247" i="3" s="1"/>
  <c r="L248" i="3" a="1"/>
  <c r="L248" i="3" s="1"/>
  <c r="M247" i="3" a="1"/>
  <c r="M247" i="3" s="1"/>
  <c r="Y239" i="3"/>
  <c r="Y238" i="3"/>
  <c r="N98" i="3" a="1"/>
  <c r="N98" i="3" s="1"/>
  <c r="M136" i="3" a="1"/>
  <c r="M136" i="3" s="1"/>
  <c r="O140" i="3" a="1"/>
  <c r="O140" i="3" s="1"/>
  <c r="O161" i="3" a="1"/>
  <c r="O161" i="3" s="1"/>
  <c r="K153" i="3" a="1"/>
  <c r="K153" i="3" s="1"/>
  <c r="K9" i="3" a="1"/>
  <c r="K9" i="3" s="1"/>
  <c r="N190" i="3" a="1"/>
  <c r="N190" i="3" s="1"/>
  <c r="J198" i="3" a="1"/>
  <c r="J198" i="3" s="1"/>
  <c r="J213" i="3" a="1"/>
  <c r="J213" i="3" s="1"/>
  <c r="J133" i="3" a="1"/>
  <c r="J133" i="3" s="1"/>
  <c r="N164" i="3" a="1"/>
  <c r="N164" i="3" s="1"/>
  <c r="N91" i="3" a="1"/>
  <c r="N91" i="3" s="1"/>
  <c r="M97" i="3" a="1"/>
  <c r="M97" i="3" s="1"/>
  <c r="K124" i="3" a="1"/>
  <c r="K124" i="3" s="1"/>
  <c r="N160" i="3" a="1"/>
  <c r="N160" i="3" s="1"/>
  <c r="J207" i="3" a="1"/>
  <c r="J207" i="3" s="1"/>
  <c r="N170" i="3" a="1"/>
  <c r="N170" i="3" s="1"/>
  <c r="M49" i="3" a="1"/>
  <c r="M49" i="3" s="1"/>
  <c r="M66" i="3" a="1"/>
  <c r="M66" i="3" s="1"/>
  <c r="J125" i="3" a="1"/>
  <c r="J125" i="3" s="1"/>
  <c r="L92" i="3" a="1"/>
  <c r="L92" i="3" s="1"/>
  <c r="M121" i="3" a="1"/>
  <c r="M121" i="3" s="1"/>
  <c r="L12" i="3" a="1"/>
  <c r="L12" i="3" s="1"/>
  <c r="K60" i="3" a="1"/>
  <c r="K60" i="3" s="1"/>
  <c r="M25" i="3" a="1"/>
  <c r="M25" i="3" s="1"/>
  <c r="L58" i="3" a="1"/>
  <c r="L58" i="3" s="1"/>
  <c r="N115" i="3" a="1"/>
  <c r="N115" i="3" s="1"/>
  <c r="O96" i="3" a="1"/>
  <c r="O96" i="3" s="1"/>
  <c r="N202" i="3" a="1"/>
  <c r="N202" i="3" s="1"/>
  <c r="N220" i="3" a="1"/>
  <c r="N220" i="3" s="1"/>
  <c r="N233" i="3" a="1"/>
  <c r="N233" i="3" s="1"/>
  <c r="M146" i="3" a="1"/>
  <c r="M146" i="3" s="1"/>
  <c r="K104" i="3" a="1"/>
  <c r="K104" i="3" s="1"/>
  <c r="O112" i="3" a="1"/>
  <c r="O112" i="3" s="1"/>
  <c r="M194" i="3" a="1"/>
  <c r="M194" i="3" s="1"/>
  <c r="J205" i="3" a="1"/>
  <c r="J205" i="3" s="1"/>
  <c r="J123" i="3" a="1"/>
  <c r="J123" i="3" s="1"/>
  <c r="O105" i="3" a="1"/>
  <c r="O105" i="3" s="1"/>
  <c r="O120" i="3" a="1"/>
  <c r="O120" i="3" s="1"/>
  <c r="K147" i="3" a="1"/>
  <c r="K147" i="3" s="1"/>
  <c r="O41" i="3" a="1"/>
  <c r="O41" i="3" s="1"/>
  <c r="K11" i="3" a="1"/>
  <c r="K11" i="3" s="1"/>
  <c r="O81" i="3" a="1"/>
  <c r="O81" i="3" s="1"/>
  <c r="L114" i="3" a="1"/>
  <c r="L114" i="3" s="1"/>
  <c r="M204" i="3" a="1"/>
  <c r="M204" i="3" s="1"/>
  <c r="L28" i="3" a="1"/>
  <c r="L28" i="3" s="1"/>
  <c r="O75" i="3" a="1"/>
  <c r="O75" i="3" s="1"/>
  <c r="K95" i="3" a="1"/>
  <c r="K95" i="3" s="1"/>
  <c r="L99" i="3" a="1"/>
  <c r="L99" i="3" s="1"/>
  <c r="N148" i="3" a="1"/>
  <c r="N148" i="3" s="1"/>
  <c r="M83" i="3" a="1"/>
  <c r="M83" i="3" s="1"/>
  <c r="L50" i="3" a="1"/>
  <c r="L50" i="3" s="1"/>
  <c r="K192" i="3" a="1"/>
  <c r="K192" i="3" s="1"/>
  <c r="N216" i="3" a="1"/>
  <c r="N216" i="3" s="1"/>
  <c r="L226" i="3" a="1"/>
  <c r="L226" i="3" s="1"/>
  <c r="M167" i="3" a="1"/>
  <c r="M167" i="3" s="1"/>
  <c r="K159" i="3" a="1"/>
  <c r="K159" i="3" s="1"/>
  <c r="K103" i="3" a="1"/>
  <c r="K103" i="3" s="1"/>
  <c r="N35" i="3" a="1"/>
  <c r="N35" i="3" s="1"/>
  <c r="M16" i="3" a="1"/>
  <c r="M16" i="3" s="1"/>
  <c r="N84" i="3" a="1"/>
  <c r="N84" i="3" s="1"/>
  <c r="O130" i="3" a="1"/>
  <c r="O130" i="3" s="1"/>
  <c r="J176" i="3" a="1"/>
  <c r="J176" i="3" s="1"/>
  <c r="M218" i="3" a="1"/>
  <c r="M218" i="3" s="1"/>
  <c r="M179" i="3" a="1"/>
  <c r="M179" i="3" s="1"/>
  <c r="L189" i="3" a="1"/>
  <c r="L189" i="3" s="1"/>
  <c r="L209" i="3" a="1"/>
  <c r="L209" i="3" s="1"/>
  <c r="M60" i="3" a="1"/>
  <c r="M60" i="3" s="1"/>
  <c r="U231" i="3"/>
  <c r="Y236" i="3"/>
  <c r="AD236" i="3"/>
  <c r="K233" i="3" a="1"/>
  <c r="K233" i="3" s="1"/>
  <c r="M233" i="3" a="1"/>
  <c r="M233" i="3" s="1"/>
  <c r="L81" i="3" a="1"/>
  <c r="L81" i="3" s="1"/>
  <c r="U233" i="3"/>
  <c r="V233" i="3" s="1"/>
  <c r="O233" i="3" a="1"/>
  <c r="O233" i="3" s="1"/>
  <c r="L233" i="3" a="1"/>
  <c r="L233" i="3" s="1"/>
  <c r="J226" i="3" a="1"/>
  <c r="J226" i="3" s="1"/>
  <c r="AB230" i="3"/>
  <c r="U227" i="3"/>
  <c r="AA227" i="3"/>
  <c r="AA226" i="3"/>
  <c r="AB225" i="3"/>
  <c r="AD4" i="3"/>
  <c r="N226" i="3" a="1"/>
  <c r="N226" i="3" s="1"/>
  <c r="K220" i="3" a="1"/>
  <c r="K220" i="3" s="1"/>
  <c r="L218" i="3" a="1"/>
  <c r="L218" i="3" s="1"/>
  <c r="O189" i="3" a="1"/>
  <c r="O189" i="3" s="1"/>
  <c r="N189" i="3" a="1"/>
  <c r="N189" i="3" s="1"/>
  <c r="N218" i="3" a="1"/>
  <c r="N218" i="3" s="1"/>
  <c r="O218" i="3" a="1"/>
  <c r="O218" i="3" s="1"/>
  <c r="AC222" i="3"/>
  <c r="K218" i="3" a="1"/>
  <c r="K218" i="3" s="1"/>
  <c r="J218" i="3" a="1"/>
  <c r="J218" i="3" s="1"/>
  <c r="Y221" i="3"/>
  <c r="J220" i="3" a="1"/>
  <c r="J220" i="3" s="1"/>
  <c r="O220" i="3" a="1"/>
  <c r="O220" i="3" s="1"/>
  <c r="L220" i="3" a="1"/>
  <c r="L220" i="3" s="1"/>
  <c r="AA221" i="3"/>
  <c r="M220" i="3" a="1"/>
  <c r="M220" i="3" s="1"/>
  <c r="AB218" i="3"/>
  <c r="K216" i="3" a="1"/>
  <c r="K216" i="3" s="1"/>
  <c r="M216" i="3" a="1"/>
  <c r="M216" i="3" s="1"/>
  <c r="O216" i="3" a="1"/>
  <c r="O216" i="3" s="1"/>
  <c r="L216" i="3" a="1"/>
  <c r="L216" i="3" s="1"/>
  <c r="J216" i="3" a="1"/>
  <c r="J216" i="3" s="1"/>
  <c r="U211" i="3"/>
  <c r="AC217" i="3"/>
  <c r="U217" i="3"/>
  <c r="M214" i="3" a="1"/>
  <c r="M214" i="3" s="1"/>
  <c r="N214" i="3" a="1"/>
  <c r="N214" i="3" s="1"/>
  <c r="U214" i="3"/>
  <c r="O214" i="3" a="1"/>
  <c r="O214" i="3" s="1"/>
  <c r="AC210" i="3"/>
  <c r="O213" i="3" a="1"/>
  <c r="O213" i="3" s="1"/>
  <c r="M213" i="3" a="1"/>
  <c r="M213" i="3" s="1"/>
  <c r="L214" i="3" a="1"/>
  <c r="L214" i="3" s="1"/>
  <c r="J209" i="3" a="1"/>
  <c r="J209" i="3" s="1"/>
  <c r="Y210" i="3"/>
  <c r="O204" i="3" a="1"/>
  <c r="O204" i="3" s="1"/>
  <c r="AB210" i="3"/>
  <c r="AD212" i="3"/>
  <c r="K213" i="3" a="1"/>
  <c r="K213" i="3" s="1"/>
  <c r="L213" i="3" a="1"/>
  <c r="L213" i="3" s="1"/>
  <c r="N213" i="3" a="1"/>
  <c r="N213" i="3" s="1"/>
  <c r="M209" i="3" a="1"/>
  <c r="M209" i="3" s="1"/>
  <c r="N207" i="3" a="1"/>
  <c r="N207" i="3" s="1"/>
  <c r="K207" i="3" a="1"/>
  <c r="K207" i="3" s="1"/>
  <c r="AD209" i="3"/>
  <c r="K204" i="3" a="1"/>
  <c r="K204" i="3" s="1"/>
  <c r="N204" i="3" a="1"/>
  <c r="N204" i="3" s="1"/>
  <c r="L25" i="3" a="1"/>
  <c r="L25" i="3" s="1"/>
  <c r="J204" i="3" a="1"/>
  <c r="J204" i="3" s="1"/>
  <c r="AA208" i="3"/>
  <c r="M207" i="3" a="1"/>
  <c r="M207" i="3" s="1"/>
  <c r="L207" i="3" a="1"/>
  <c r="L207" i="3" s="1"/>
  <c r="L204" i="3" a="1"/>
  <c r="L204" i="3" s="1"/>
  <c r="O207" i="3" a="1"/>
  <c r="O207" i="3" s="1"/>
  <c r="U207" i="3"/>
  <c r="AA52" i="3"/>
  <c r="AD156" i="3"/>
  <c r="AC131" i="3"/>
  <c r="AA86" i="3"/>
  <c r="AA34" i="3"/>
  <c r="N41" i="3" a="1"/>
  <c r="N41" i="3" s="1"/>
  <c r="AC106" i="3"/>
  <c r="AC78" i="3"/>
  <c r="AA45" i="3"/>
  <c r="AD92" i="3"/>
  <c r="AA120" i="3"/>
  <c r="AB29" i="3"/>
  <c r="AC136" i="3"/>
  <c r="AC25" i="3"/>
  <c r="AA88" i="3"/>
  <c r="AD106" i="3"/>
  <c r="AB45" i="3"/>
  <c r="AB126" i="3"/>
  <c r="AB22" i="3"/>
  <c r="AC13" i="3"/>
  <c r="AA132" i="3"/>
  <c r="AC112" i="3"/>
  <c r="AA75" i="3"/>
  <c r="AD168" i="3"/>
  <c r="AD162" i="3"/>
  <c r="AB66" i="3"/>
  <c r="L203" i="3" a="1"/>
  <c r="L203" i="3" s="1"/>
  <c r="AC67" i="3"/>
  <c r="AD73" i="3"/>
  <c r="AC79" i="3"/>
  <c r="M205" i="3" a="1"/>
  <c r="M205" i="3" s="1"/>
  <c r="K189" i="3" a="1"/>
  <c r="K189" i="3" s="1"/>
  <c r="Y121" i="3"/>
  <c r="Z121" i="3" s="1"/>
  <c r="N114" i="3" a="1"/>
  <c r="N114" i="3" s="1"/>
  <c r="Y16" i="3"/>
  <c r="Z16" i="3" s="1"/>
  <c r="M11" i="3" a="1"/>
  <c r="M11" i="3" s="1"/>
  <c r="M41" i="3" a="1"/>
  <c r="M41" i="3" s="1"/>
  <c r="N81" i="3" a="1"/>
  <c r="N81" i="3" s="1"/>
  <c r="L41" i="3" a="1"/>
  <c r="L41" i="3" s="1"/>
  <c r="L67" i="3" a="1"/>
  <c r="L67" i="3" s="1"/>
  <c r="Y82" i="3"/>
  <c r="Z82" i="3" s="1"/>
  <c r="K205" i="3" a="1"/>
  <c r="K205" i="3" s="1"/>
  <c r="L205" i="3" a="1"/>
  <c r="L205" i="3" s="1"/>
  <c r="O205" i="3" a="1"/>
  <c r="O205" i="3" s="1"/>
  <c r="AC204" i="3"/>
  <c r="N205" i="3" a="1"/>
  <c r="N205" i="3" s="1"/>
  <c r="M202" i="3" a="1"/>
  <c r="M202" i="3" s="1"/>
  <c r="AC203" i="3"/>
  <c r="AD206" i="3"/>
  <c r="AC206" i="3"/>
  <c r="L206" i="3" a="1"/>
  <c r="L206" i="3" s="1"/>
  <c r="AC205" i="3"/>
  <c r="U205" i="3"/>
  <c r="AB68" i="3"/>
  <c r="J193" i="3" a="1"/>
  <c r="J193" i="3" s="1"/>
  <c r="N191" i="3" a="1"/>
  <c r="N191" i="3" s="1"/>
  <c r="AC154" i="3"/>
  <c r="Y202" i="3"/>
  <c r="L130" i="3" a="1"/>
  <c r="L130" i="3" s="1"/>
  <c r="J191" i="3" a="1"/>
  <c r="J191" i="3" s="1"/>
  <c r="M191" i="3" a="1"/>
  <c r="M191" i="3" s="1"/>
  <c r="AC70" i="3"/>
  <c r="N198" i="3" a="1"/>
  <c r="N198" i="3" s="1"/>
  <c r="M198" i="3" a="1"/>
  <c r="M198" i="3" s="1"/>
  <c r="AD20" i="3"/>
  <c r="AA125" i="3"/>
  <c r="O198" i="3" a="1"/>
  <c r="O198" i="3" s="1"/>
  <c r="L198" i="3" a="1"/>
  <c r="L198" i="3" s="1"/>
  <c r="AC37" i="3"/>
  <c r="AD87" i="3"/>
  <c r="K198" i="3" a="1"/>
  <c r="K198" i="3" s="1"/>
  <c r="AD37" i="3"/>
  <c r="O201" i="3" a="1"/>
  <c r="O201" i="3" s="1"/>
  <c r="AC38" i="3"/>
  <c r="AD81" i="3"/>
  <c r="AD70" i="3"/>
  <c r="AC69" i="3"/>
  <c r="AD140" i="3"/>
  <c r="AB168" i="3"/>
  <c r="AD154" i="3"/>
  <c r="AD202" i="3"/>
  <c r="AA202" i="3"/>
  <c r="AB202" i="3"/>
  <c r="N196" i="3" a="1"/>
  <c r="N196" i="3" s="1"/>
  <c r="L196" i="3" a="1"/>
  <c r="L196" i="3" s="1"/>
  <c r="Y191" i="3"/>
  <c r="Z191" i="3" s="1"/>
  <c r="Y32" i="3"/>
  <c r="Z32" i="3" s="1"/>
  <c r="Y116" i="3"/>
  <c r="Z116" i="3" s="1"/>
  <c r="AB88" i="3"/>
  <c r="K194" i="3" a="1"/>
  <c r="K194" i="3" s="1"/>
  <c r="L98" i="3" a="1"/>
  <c r="L98" i="3" s="1"/>
  <c r="AD61" i="3"/>
  <c r="AB161" i="3"/>
  <c r="L191" i="3" a="1"/>
  <c r="L191" i="3" s="1"/>
  <c r="AA201" i="3"/>
  <c r="AB201" i="3"/>
  <c r="U194" i="3"/>
  <c r="H194" i="3" s="1"/>
  <c r="U193" i="3"/>
  <c r="L194" i="3" a="1"/>
  <c r="L194" i="3" s="1"/>
  <c r="O194" i="3" a="1"/>
  <c r="O194" i="3" s="1"/>
  <c r="J194" i="3" a="1"/>
  <c r="J194" i="3" s="1"/>
  <c r="O196" i="3" a="1"/>
  <c r="O196" i="3" s="1"/>
  <c r="J199" i="3" a="1"/>
  <c r="J199" i="3" s="1"/>
  <c r="O199" i="3" a="1"/>
  <c r="O199" i="3" s="1"/>
  <c r="K196" i="3" a="1"/>
  <c r="K196" i="3" s="1"/>
  <c r="M199" i="3" a="1"/>
  <c r="M199" i="3" s="1"/>
  <c r="Y200" i="3"/>
  <c r="Z200" i="3" s="1"/>
  <c r="AC196" i="3"/>
  <c r="K199" i="3" a="1"/>
  <c r="K199" i="3" s="1"/>
  <c r="N199" i="3" a="1"/>
  <c r="N199" i="3" s="1"/>
  <c r="L200" i="3" a="1"/>
  <c r="L200" i="3" s="1"/>
  <c r="M196" i="3" a="1"/>
  <c r="M196" i="3" s="1"/>
  <c r="AA194" i="3"/>
  <c r="AB194" i="3"/>
  <c r="N194" i="3" a="1"/>
  <c r="N194" i="3" s="1"/>
  <c r="AD200" i="3"/>
  <c r="AD195" i="3"/>
  <c r="AD198" i="3"/>
  <c r="L193" i="3" a="1"/>
  <c r="L193" i="3" s="1"/>
  <c r="K193" i="3" a="1"/>
  <c r="K193" i="3" s="1"/>
  <c r="AC193" i="3"/>
  <c r="AB193" i="3"/>
  <c r="AA193" i="3"/>
  <c r="O193" i="3" a="1"/>
  <c r="O193" i="3" s="1"/>
  <c r="M193" i="3" a="1"/>
  <c r="M193" i="3" s="1"/>
  <c r="Y193" i="3"/>
  <c r="AD69" i="3"/>
  <c r="U179" i="3"/>
  <c r="V179" i="3" s="1"/>
  <c r="J189" i="3" a="1"/>
  <c r="J189" i="3" s="1"/>
  <c r="M189" i="3" a="1"/>
  <c r="M189" i="3" s="1"/>
  <c r="M186" i="3" a="1"/>
  <c r="M186" i="3" s="1"/>
  <c r="L186" i="3" a="1"/>
  <c r="L186" i="3" s="1"/>
  <c r="J192" i="3" a="1"/>
  <c r="J192" i="3" s="1"/>
  <c r="U189" i="3"/>
  <c r="AC59" i="3"/>
  <c r="U192" i="3"/>
  <c r="AB191" i="3"/>
  <c r="L138" i="3" a="1"/>
  <c r="L138" i="3" s="1"/>
  <c r="AC114" i="3"/>
  <c r="L190" i="3" a="1"/>
  <c r="L190" i="3" s="1"/>
  <c r="K190" i="3" a="1"/>
  <c r="K190" i="3" s="1"/>
  <c r="M190" i="3" a="1"/>
  <c r="M190" i="3" s="1"/>
  <c r="AD41" i="3"/>
  <c r="N192" i="3" a="1"/>
  <c r="N192" i="3" s="1"/>
  <c r="N130" i="3" a="1"/>
  <c r="N130" i="3" s="1"/>
  <c r="AB189" i="3"/>
  <c r="J190" i="3" a="1"/>
  <c r="J190" i="3" s="1"/>
  <c r="AC192" i="3"/>
  <c r="O190" i="3" a="1"/>
  <c r="O190" i="3" s="1"/>
  <c r="M130" i="3" a="1"/>
  <c r="M130" i="3" s="1"/>
  <c r="N83" i="3" a="1"/>
  <c r="N83" i="3" s="1"/>
  <c r="AC120" i="3"/>
  <c r="AC191" i="3"/>
  <c r="K148" i="3" a="1"/>
  <c r="K148" i="3" s="1"/>
  <c r="AB23" i="3"/>
  <c r="O84" i="3" a="1"/>
  <c r="O84" i="3" s="1"/>
  <c r="AB188" i="3"/>
  <c r="M188" i="3" a="1"/>
  <c r="M188" i="3" s="1"/>
  <c r="Y188" i="3"/>
  <c r="Z188" i="3" s="1"/>
  <c r="Y186" i="3"/>
  <c r="K186" i="3" a="1"/>
  <c r="K186" i="3" s="1"/>
  <c r="AC186" i="3"/>
  <c r="AD186" i="3"/>
  <c r="AB186" i="3"/>
  <c r="AC51" i="3"/>
  <c r="AD137" i="3"/>
  <c r="AD131" i="3"/>
  <c r="K98" i="3" a="1"/>
  <c r="K98" i="3" s="1"/>
  <c r="N82" i="3" a="1"/>
  <c r="N82" i="3" s="1"/>
  <c r="M140" i="3" a="1"/>
  <c r="M140" i="3" s="1"/>
  <c r="L106" i="3" a="1"/>
  <c r="L106" i="3" s="1"/>
  <c r="AB152" i="3"/>
  <c r="AB146" i="3"/>
  <c r="AB131" i="3"/>
  <c r="AD57" i="3"/>
  <c r="AD77" i="3"/>
  <c r="AA103" i="3"/>
  <c r="AC143" i="3"/>
  <c r="AC110" i="3"/>
  <c r="AB137" i="3"/>
  <c r="AD18" i="3"/>
  <c r="AD63" i="3"/>
  <c r="AB4" i="3"/>
  <c r="AA99" i="3"/>
  <c r="AC18" i="3"/>
  <c r="AD83" i="3"/>
  <c r="AD169" i="3"/>
  <c r="AD142" i="3"/>
  <c r="AC63" i="3"/>
  <c r="AD51" i="3"/>
  <c r="AA53" i="3"/>
  <c r="AC125" i="3"/>
  <c r="AB86" i="3"/>
  <c r="AC169" i="3"/>
  <c r="AB43" i="3"/>
  <c r="AA5" i="3"/>
  <c r="AD94" i="3"/>
  <c r="AA11" i="3"/>
  <c r="AC4" i="3"/>
  <c r="AC3" i="3"/>
  <c r="AA7" i="3"/>
  <c r="L177" i="3" a="1"/>
  <c r="L177" i="3" s="1"/>
  <c r="N49" i="3" a="1"/>
  <c r="N49" i="3" s="1"/>
  <c r="L49" i="3" a="1"/>
  <c r="L49" i="3" s="1"/>
  <c r="L170" i="3" a="1"/>
  <c r="L170" i="3" s="1"/>
  <c r="K49" i="3" a="1"/>
  <c r="K49" i="3" s="1"/>
  <c r="AB9" i="3"/>
  <c r="AD91" i="3"/>
  <c r="AC71" i="3"/>
  <c r="AC97" i="3"/>
  <c r="AD103" i="3"/>
  <c r="AC10" i="3"/>
  <c r="AB35" i="3"/>
  <c r="AA76" i="3"/>
  <c r="AB122" i="3"/>
  <c r="AD120" i="3"/>
  <c r="AD62" i="3"/>
  <c r="AC100" i="3"/>
  <c r="AA35" i="3"/>
  <c r="AC30" i="3"/>
  <c r="AC29" i="3"/>
  <c r="AD100" i="3"/>
  <c r="AD132" i="3"/>
  <c r="AB134" i="3"/>
  <c r="AD85" i="3"/>
  <c r="AD97" i="3"/>
  <c r="AA100" i="3"/>
  <c r="AA134" i="3"/>
  <c r="AC146" i="3"/>
  <c r="AA96" i="3"/>
  <c r="AA47" i="3"/>
  <c r="AD29" i="3"/>
  <c r="AD35" i="3"/>
  <c r="AD150" i="3"/>
  <c r="AD146" i="3"/>
  <c r="M107" i="3" a="1"/>
  <c r="M107" i="3" s="1"/>
  <c r="L107" i="3" a="1"/>
  <c r="L107" i="3" s="1"/>
  <c r="K138" i="3" a="1"/>
  <c r="K138" i="3" s="1"/>
  <c r="O107" i="3" a="1"/>
  <c r="O107" i="3" s="1"/>
  <c r="O138" i="3" a="1"/>
  <c r="O138" i="3" s="1"/>
  <c r="O170" i="3" a="1"/>
  <c r="O170" i="3" s="1"/>
  <c r="Y80" i="3"/>
  <c r="Z80" i="3" s="1"/>
  <c r="M115" i="3" a="1"/>
  <c r="M115" i="3" s="1"/>
  <c r="AC109" i="3"/>
  <c r="O25" i="3" a="1"/>
  <c r="O25" i="3" s="1"/>
  <c r="K58" i="3" a="1"/>
  <c r="K58" i="3" s="1"/>
  <c r="M96" i="3" a="1"/>
  <c r="M96" i="3" s="1"/>
  <c r="N96" i="3" a="1"/>
  <c r="N96" i="3" s="1"/>
  <c r="AD56" i="3"/>
  <c r="AD109" i="3"/>
  <c r="AB143" i="3"/>
  <c r="AC27" i="3"/>
  <c r="L96" i="3" a="1"/>
  <c r="L96" i="3" s="1"/>
  <c r="N25" i="3" a="1"/>
  <c r="N25" i="3" s="1"/>
  <c r="N60" i="3" a="1"/>
  <c r="N60" i="3" s="1"/>
  <c r="L115" i="3" a="1"/>
  <c r="L115" i="3" s="1"/>
  <c r="N179" i="3" a="1"/>
  <c r="N179" i="3" s="1"/>
  <c r="L60" i="3" a="1"/>
  <c r="L60" i="3" s="1"/>
  <c r="O115" i="3" a="1"/>
  <c r="O115" i="3" s="1"/>
  <c r="Y101" i="3"/>
  <c r="Z101" i="3" s="1"/>
  <c r="Y77" i="3"/>
  <c r="Z77" i="3" s="1"/>
  <c r="L180" i="3" a="1"/>
  <c r="L180" i="3" s="1"/>
  <c r="AD50" i="3"/>
  <c r="AD7" i="3"/>
  <c r="AD141" i="3"/>
  <c r="O178" i="3" a="1"/>
  <c r="O178" i="3" s="1"/>
  <c r="N178" i="3" a="1"/>
  <c r="N178" i="3" s="1"/>
  <c r="M184" i="3" a="1"/>
  <c r="M184" i="3" s="1"/>
  <c r="AB44" i="3"/>
  <c r="AD59" i="3"/>
  <c r="AD71" i="3"/>
  <c r="AB5" i="3"/>
  <c r="J178" i="3" a="1"/>
  <c r="J178" i="3" s="1"/>
  <c r="J179" i="3" a="1"/>
  <c r="J179" i="3" s="1"/>
  <c r="M185" i="3" a="1"/>
  <c r="M185" i="3" s="1"/>
  <c r="K185" i="3" a="1"/>
  <c r="K185" i="3" s="1"/>
  <c r="L179" i="3" a="1"/>
  <c r="L179" i="3" s="1"/>
  <c r="N185" i="3" a="1"/>
  <c r="N185" i="3" s="1"/>
  <c r="K179" i="3" a="1"/>
  <c r="K179" i="3" s="1"/>
  <c r="J185" i="3" a="1"/>
  <c r="J185" i="3" s="1"/>
  <c r="O179" i="3" a="1"/>
  <c r="O179" i="3" s="1"/>
  <c r="L181" i="3" a="1"/>
  <c r="L181" i="3" s="1"/>
  <c r="AB180" i="3"/>
  <c r="Y185" i="3"/>
  <c r="Z185" i="3" s="1"/>
  <c r="J181" i="3" a="1"/>
  <c r="J181" i="3" s="1"/>
  <c r="M181" i="3" a="1"/>
  <c r="M181" i="3" s="1"/>
  <c r="AC182" i="3"/>
  <c r="AD182" i="3"/>
  <c r="O184" i="3" a="1"/>
  <c r="O184" i="3" s="1"/>
  <c r="AA185" i="3"/>
  <c r="L185" i="3" a="1"/>
  <c r="L185" i="3" s="1"/>
  <c r="AC179" i="3"/>
  <c r="AC181" i="3"/>
  <c r="L184" i="3" a="1"/>
  <c r="L184" i="3" s="1"/>
  <c r="AC183" i="3"/>
  <c r="AC180" i="3"/>
  <c r="N181" i="3" a="1"/>
  <c r="N181" i="3" s="1"/>
  <c r="AA182" i="3"/>
  <c r="L105" i="3" a="1"/>
  <c r="L105" i="3" s="1"/>
  <c r="AC121" i="3"/>
  <c r="AA101" i="3"/>
  <c r="AA13" i="3"/>
  <c r="AB13" i="3"/>
  <c r="M120" i="3" a="1"/>
  <c r="M120" i="3" s="1"/>
  <c r="K75" i="3" a="1"/>
  <c r="K75" i="3" s="1"/>
  <c r="Y120" i="3"/>
  <c r="Z120" i="3" s="1"/>
  <c r="AD68" i="3"/>
  <c r="AB169" i="3"/>
  <c r="AD153" i="3"/>
  <c r="N120" i="3" a="1"/>
  <c r="N120" i="3" s="1"/>
  <c r="AC127" i="3"/>
  <c r="AC153" i="3"/>
  <c r="AC68" i="3"/>
  <c r="AD21" i="3"/>
  <c r="AD82" i="3"/>
  <c r="AD121" i="3"/>
  <c r="AC7" i="3"/>
  <c r="AC33" i="3"/>
  <c r="Y62" i="3"/>
  <c r="Z62" i="3" s="1"/>
  <c r="AD88" i="3"/>
  <c r="AB14" i="3"/>
  <c r="AB108" i="3"/>
  <c r="L120" i="3" a="1"/>
  <c r="L120" i="3" s="1"/>
  <c r="AC88" i="3"/>
  <c r="AC141" i="3"/>
  <c r="AD27" i="3"/>
  <c r="AB51" i="3"/>
  <c r="AB20" i="3"/>
  <c r="AD36" i="3"/>
  <c r="M75" i="3" a="1"/>
  <c r="M75" i="3" s="1"/>
  <c r="AB73" i="3"/>
  <c r="AA108" i="3"/>
  <c r="AB145" i="3"/>
  <c r="AD39" i="3"/>
  <c r="AD159" i="3"/>
  <c r="AD115" i="3"/>
  <c r="AB167" i="3"/>
  <c r="AD127" i="3"/>
  <c r="M105" i="3" a="1"/>
  <c r="M105" i="3" s="1"/>
  <c r="AB55" i="3"/>
  <c r="AA133" i="3"/>
  <c r="M98" i="3" a="1"/>
  <c r="M98" i="3" s="1"/>
  <c r="U177" i="3"/>
  <c r="AC80" i="3"/>
  <c r="AC105" i="3"/>
  <c r="M76" i="3" a="1"/>
  <c r="M76" i="3" s="1"/>
  <c r="AC32" i="3"/>
  <c r="AC117" i="3"/>
  <c r="AA160" i="3"/>
  <c r="AD26" i="3"/>
  <c r="AB24" i="3"/>
  <c r="AC93" i="3"/>
  <c r="AC135" i="3"/>
  <c r="AD32" i="3"/>
  <c r="L122" i="3" a="1"/>
  <c r="L122" i="3" s="1"/>
  <c r="AC155" i="3"/>
  <c r="AB157" i="3"/>
  <c r="AC12" i="3"/>
  <c r="AD167" i="3"/>
  <c r="AD161" i="3"/>
  <c r="AA24" i="3"/>
  <c r="M122" i="3" a="1"/>
  <c r="M122" i="3" s="1"/>
  <c r="AD129" i="3"/>
  <c r="AC164" i="3"/>
  <c r="AB133" i="3"/>
  <c r="AD80" i="3"/>
  <c r="AB115" i="3"/>
  <c r="AD47" i="3"/>
  <c r="AA56" i="3"/>
  <c r="AD155" i="3"/>
  <c r="AA49" i="3"/>
  <c r="AD12" i="3"/>
  <c r="AD164" i="3"/>
  <c r="AB105" i="3"/>
  <c r="AC170" i="3"/>
  <c r="AD178" i="3"/>
  <c r="AC178" i="3"/>
  <c r="AA32" i="3"/>
  <c r="AB178" i="3"/>
  <c r="K178" i="3" a="1"/>
  <c r="K178" i="3" s="1"/>
  <c r="AD148" i="3"/>
  <c r="AD136" i="3"/>
  <c r="AD165" i="3"/>
  <c r="AD112" i="3"/>
  <c r="AB103" i="3"/>
  <c r="AB11" i="3"/>
  <c r="Y177" i="3"/>
  <c r="AA40" i="3"/>
  <c r="M170" i="3" a="1"/>
  <c r="M170" i="3" s="1"/>
  <c r="AD79" i="3"/>
  <c r="AB75" i="3"/>
  <c r="M59" i="3" a="1"/>
  <c r="M59" i="3" s="1"/>
  <c r="Y130" i="3"/>
  <c r="Z130" i="3" s="1"/>
  <c r="AD19" i="3"/>
  <c r="L153" i="3" a="1"/>
  <c r="L153" i="3" s="1"/>
  <c r="AD78" i="3"/>
  <c r="O176" i="3" a="1"/>
  <c r="O176" i="3" s="1"/>
  <c r="K174" i="3" a="1"/>
  <c r="K174" i="3" s="1"/>
  <c r="U110" i="3"/>
  <c r="H110" i="3" s="1"/>
  <c r="Y38" i="3"/>
  <c r="Z38" i="3" s="1"/>
  <c r="Y18" i="3"/>
  <c r="N105" i="3" a="1"/>
  <c r="N105" i="3" s="1"/>
  <c r="Y176" i="3"/>
  <c r="Z176" i="3" s="1"/>
  <c r="J174" i="3" a="1"/>
  <c r="J174" i="3" s="1"/>
  <c r="O98" i="3" a="1"/>
  <c r="O98" i="3" s="1"/>
  <c r="L176" i="3" a="1"/>
  <c r="L176" i="3" s="1"/>
  <c r="N176" i="3" a="1"/>
  <c r="N176" i="3" s="1"/>
  <c r="M176" i="3" a="1"/>
  <c r="M176" i="3" s="1"/>
  <c r="K176" i="3" a="1"/>
  <c r="K176" i="3" s="1"/>
  <c r="U176" i="3"/>
  <c r="V176" i="3" s="1"/>
  <c r="U79" i="3"/>
  <c r="H79" i="3" s="1"/>
  <c r="O59" i="3" a="1"/>
  <c r="O59" i="3" s="1"/>
  <c r="N97" i="3" a="1"/>
  <c r="N97" i="3" s="1"/>
  <c r="O153" i="3" a="1"/>
  <c r="O153" i="3" s="1"/>
  <c r="L175" i="3" a="1"/>
  <c r="L175" i="3" s="1"/>
  <c r="L164" i="3" a="1"/>
  <c r="L164" i="3" s="1"/>
  <c r="K97" i="3" a="1"/>
  <c r="K97" i="3" s="1"/>
  <c r="N153" i="3" a="1"/>
  <c r="N153" i="3" s="1"/>
  <c r="Y96" i="3"/>
  <c r="Z96" i="3" s="1"/>
  <c r="J175" i="3" a="1"/>
  <c r="J175" i="3" s="1"/>
  <c r="K175" i="3" a="1"/>
  <c r="K175" i="3" s="1"/>
  <c r="K164" i="3" a="1"/>
  <c r="K164" i="3" s="1"/>
  <c r="O76" i="3" a="1"/>
  <c r="O76" i="3" s="1"/>
  <c r="N59" i="3" a="1"/>
  <c r="N59" i="3" s="1"/>
  <c r="M164" i="3" a="1"/>
  <c r="M164" i="3" s="1"/>
  <c r="K59" i="3" a="1"/>
  <c r="K59" i="3" s="1"/>
  <c r="U51" i="3"/>
  <c r="H51" i="3" s="1"/>
  <c r="P51" i="3" s="1" a="1"/>
  <c r="P51" i="3" s="1"/>
  <c r="Q51" i="3" s="1"/>
  <c r="M175" i="3" a="1"/>
  <c r="M175" i="3" s="1"/>
  <c r="N175" i="3" a="1"/>
  <c r="N175" i="3" s="1"/>
  <c r="O175" i="3" a="1"/>
  <c r="O175" i="3" s="1"/>
  <c r="Y49" i="3"/>
  <c r="Z49" i="3" s="1"/>
  <c r="AA177" i="3"/>
  <c r="AB177" i="3"/>
  <c r="L76" i="3" a="1"/>
  <c r="L76" i="3" s="1"/>
  <c r="AC176" i="3"/>
  <c r="Y70" i="3"/>
  <c r="Z70" i="3" s="1"/>
  <c r="Y40" i="3"/>
  <c r="AD98" i="3"/>
  <c r="AA175" i="3"/>
  <c r="AA176" i="3"/>
  <c r="AB176" i="3"/>
  <c r="AA15" i="3"/>
  <c r="AA19" i="3"/>
  <c r="AD67" i="3"/>
  <c r="AA18" i="3"/>
  <c r="AB155" i="3"/>
  <c r="AD170" i="3"/>
  <c r="AC118" i="3"/>
  <c r="Y102" i="3"/>
  <c r="Z102" i="3" s="1"/>
  <c r="U10" i="3"/>
  <c r="H10" i="3" s="1"/>
  <c r="P10" i="3" s="1" a="1"/>
  <c r="P10" i="3" s="1"/>
  <c r="Q10" i="3" s="1"/>
  <c r="N16" i="3" a="1"/>
  <c r="N16" i="3" s="1"/>
  <c r="AB113" i="3"/>
  <c r="K84" i="3" a="1"/>
  <c r="K84" i="3" s="1"/>
  <c r="U21" i="3"/>
  <c r="H21" i="3" s="1"/>
  <c r="AB107" i="3"/>
  <c r="L35" i="3" a="1"/>
  <c r="L35" i="3" s="1"/>
  <c r="L84" i="3" a="1"/>
  <c r="L84" i="3" s="1"/>
  <c r="O35" i="3" a="1"/>
  <c r="O35" i="3" s="1"/>
  <c r="M84" i="3" a="1"/>
  <c r="M84" i="3" s="1"/>
  <c r="K35" i="3" a="1"/>
  <c r="K35" i="3" s="1"/>
  <c r="L16" i="3" a="1"/>
  <c r="L16" i="3" s="1"/>
  <c r="N140" i="3" a="1"/>
  <c r="N140" i="3" s="1"/>
  <c r="M35" i="3" a="1"/>
  <c r="M35" i="3" s="1"/>
  <c r="Y129" i="3"/>
  <c r="Z129" i="3" s="1"/>
  <c r="O68" i="3" a="1"/>
  <c r="O68" i="3" s="1"/>
  <c r="AD113" i="3"/>
  <c r="AA57" i="3"/>
  <c r="AC9" i="3"/>
  <c r="AA54" i="3"/>
  <c r="AB57" i="3"/>
  <c r="AB156" i="3"/>
  <c r="AB93" i="3"/>
  <c r="M123" i="3" a="1"/>
  <c r="M123" i="3" s="1"/>
  <c r="L121" i="3" a="1"/>
  <c r="L121" i="3" s="1"/>
  <c r="L91" i="3" a="1"/>
  <c r="L91" i="3" s="1"/>
  <c r="O104" i="3" a="1"/>
  <c r="O104" i="3" s="1"/>
  <c r="M82" i="3" a="1"/>
  <c r="M82" i="3" s="1"/>
  <c r="O129" i="3" a="1"/>
  <c r="O129" i="3" s="1"/>
  <c r="AB97" i="3"/>
  <c r="AD66" i="3"/>
  <c r="O172" i="3" a="1"/>
  <c r="O172" i="3" s="1"/>
  <c r="N104" i="3" a="1"/>
  <c r="N104" i="3" s="1"/>
  <c r="AB25" i="3"/>
  <c r="AB171" i="3"/>
  <c r="AD119" i="3"/>
  <c r="AD107" i="3"/>
  <c r="AD48" i="3"/>
  <c r="K136" i="3" a="1"/>
  <c r="K136" i="3" s="1"/>
  <c r="M91" i="3" a="1"/>
  <c r="M91" i="3" s="1"/>
  <c r="M129" i="3" a="1"/>
  <c r="M129" i="3" s="1"/>
  <c r="M73" i="3" a="1"/>
  <c r="M73" i="3" s="1"/>
  <c r="AC84" i="3"/>
  <c r="AC66" i="3"/>
  <c r="N68" i="3" a="1"/>
  <c r="N68" i="3" s="1"/>
  <c r="M104" i="3" a="1"/>
  <c r="M104" i="3" s="1"/>
  <c r="AD15" i="3"/>
  <c r="L123" i="3" a="1"/>
  <c r="L123" i="3" s="1"/>
  <c r="L140" i="3" a="1"/>
  <c r="L140" i="3" s="1"/>
  <c r="K91" i="3" a="1"/>
  <c r="K91" i="3" s="1"/>
  <c r="K123" i="3" a="1"/>
  <c r="K123" i="3" s="1"/>
  <c r="K73" i="3" a="1"/>
  <c r="K73" i="3" s="1"/>
  <c r="U173" i="3"/>
  <c r="H173" i="3" s="1"/>
  <c r="AB60" i="3"/>
  <c r="AD151" i="3"/>
  <c r="AD72" i="3"/>
  <c r="AD52" i="3"/>
  <c r="AD160" i="3"/>
  <c r="O121" i="3" a="1"/>
  <c r="O121" i="3" s="1"/>
  <c r="N66" i="3" a="1"/>
  <c r="N66" i="3" s="1"/>
  <c r="AC119" i="3"/>
  <c r="AA123" i="3"/>
  <c r="AC102" i="3"/>
  <c r="AD84" i="3"/>
  <c r="M172" i="3" a="1"/>
  <c r="M172" i="3" s="1"/>
  <c r="AC42" i="3"/>
  <c r="N123" i="3" a="1"/>
  <c r="N123" i="3" s="1"/>
  <c r="AD14" i="3"/>
  <c r="AD133" i="3"/>
  <c r="AD122" i="3"/>
  <c r="L68" i="3" a="1"/>
  <c r="L68" i="3" s="1"/>
  <c r="AA127" i="3"/>
  <c r="O123" i="3" a="1"/>
  <c r="O123" i="3" s="1"/>
  <c r="AA83" i="3"/>
  <c r="Y118" i="3"/>
  <c r="Z118" i="3" s="1"/>
  <c r="AA129" i="3"/>
  <c r="Y76" i="3"/>
  <c r="AD104" i="3"/>
  <c r="AB28" i="3"/>
  <c r="AB83" i="3"/>
  <c r="AA174" i="3"/>
  <c r="AB174" i="3"/>
  <c r="AD174" i="3"/>
  <c r="AC174" i="3"/>
  <c r="AA37" i="3"/>
  <c r="J172" i="3" a="1"/>
  <c r="J172" i="3" s="1"/>
  <c r="AA23" i="3"/>
  <c r="AC35" i="3"/>
  <c r="AC21" i="3"/>
  <c r="AA29" i="3"/>
  <c r="J103" i="3" a="1"/>
  <c r="J103" i="3" s="1"/>
  <c r="K143" i="3" a="1"/>
  <c r="K143" i="3" s="1"/>
  <c r="J46" i="3" a="1"/>
  <c r="J46" i="3" s="1"/>
  <c r="K88" i="3" a="1"/>
  <c r="K88" i="3" s="1"/>
  <c r="J99" i="3" a="1"/>
  <c r="J99" i="3" s="1"/>
  <c r="O154" i="3" a="1"/>
  <c r="O154" i="3" s="1"/>
  <c r="J12" i="3" a="1"/>
  <c r="J12" i="3" s="1"/>
  <c r="N169" i="3" a="1"/>
  <c r="N169" i="3" s="1"/>
  <c r="O139" i="3" a="1"/>
  <c r="O139" i="3" s="1"/>
  <c r="M33" i="3" a="1"/>
  <c r="M33" i="3" s="1"/>
  <c r="O60" i="3" a="1"/>
  <c r="O60" i="3" s="1"/>
  <c r="AD40" i="3"/>
  <c r="J104" i="3" a="1"/>
  <c r="J104" i="3" s="1"/>
  <c r="U16" i="3"/>
  <c r="H16" i="3" s="1"/>
  <c r="K43" i="3" a="1"/>
  <c r="K43" i="3" s="1"/>
  <c r="J35" i="3" a="1"/>
  <c r="J35" i="3" s="1"/>
  <c r="K80" i="3" a="1"/>
  <c r="K80" i="3" s="1"/>
  <c r="J90" i="3" a="1"/>
  <c r="J90" i="3" s="1"/>
  <c r="J105" i="3" a="1"/>
  <c r="J105" i="3" s="1"/>
  <c r="J120" i="3" a="1"/>
  <c r="J120" i="3" s="1"/>
  <c r="AD38" i="3"/>
  <c r="O89" i="3" a="1"/>
  <c r="O89" i="3" s="1"/>
  <c r="J59" i="3" a="1"/>
  <c r="J59" i="3" s="1"/>
  <c r="M9" i="3" a="1"/>
  <c r="M9" i="3" s="1"/>
  <c r="AB7" i="3"/>
  <c r="L6" i="3" a="1"/>
  <c r="L6" i="3" s="1"/>
  <c r="K94" i="3" a="1"/>
  <c r="K94" i="3" s="1"/>
  <c r="U93" i="3"/>
  <c r="H93" i="3" s="1"/>
  <c r="L162" i="3" a="1"/>
  <c r="L162" i="3" s="1"/>
  <c r="J16" i="3" a="1"/>
  <c r="J16" i="3" s="1"/>
  <c r="L147" i="3" a="1"/>
  <c r="L147" i="3" s="1"/>
  <c r="J41" i="3" a="1"/>
  <c r="J41" i="3" s="1"/>
  <c r="N11" i="3" a="1"/>
  <c r="N11" i="3" s="1"/>
  <c r="J131" i="3" a="1"/>
  <c r="J131" i="3" s="1"/>
  <c r="J25" i="3" a="1"/>
  <c r="J25" i="3" s="1"/>
  <c r="J160" i="3" a="1"/>
  <c r="J160" i="3" s="1"/>
  <c r="L61" i="3" a="1"/>
  <c r="L61" i="3" s="1"/>
  <c r="J31" i="3" a="1"/>
  <c r="J31" i="3" s="1"/>
  <c r="J98" i="3" a="1"/>
  <c r="J98" i="3" s="1"/>
  <c r="L20" i="3" a="1"/>
  <c r="L20" i="3" s="1"/>
  <c r="O83" i="3" a="1"/>
  <c r="O83" i="3" s="1"/>
  <c r="O128" i="3" a="1"/>
  <c r="O128" i="3" s="1"/>
  <c r="N112" i="3" a="1"/>
  <c r="N112" i="3" s="1"/>
  <c r="J115" i="3" a="1"/>
  <c r="J115" i="3" s="1"/>
  <c r="K96" i="3" a="1"/>
  <c r="K96" i="3" s="1"/>
  <c r="J159" i="3" a="1"/>
  <c r="J159" i="3" s="1"/>
  <c r="K85" i="3" a="1"/>
  <c r="K85" i="3" s="1"/>
  <c r="L37" i="3" a="1"/>
  <c r="L37" i="3" s="1"/>
  <c r="K23" i="3" a="1"/>
  <c r="K23" i="3" s="1"/>
  <c r="K125" i="3" a="1"/>
  <c r="K125" i="3" s="1"/>
  <c r="M95" i="3" a="1"/>
  <c r="M95" i="3" s="1"/>
  <c r="M39" i="3" a="1"/>
  <c r="M39" i="3" s="1"/>
  <c r="U58" i="3"/>
  <c r="H58" i="3" s="1"/>
  <c r="U4" i="3"/>
  <c r="H4" i="3" s="1"/>
  <c r="P4" i="3" s="1" a="1"/>
  <c r="P4" i="3" s="1"/>
  <c r="Q4" i="3" s="1"/>
  <c r="L100" i="3" a="1"/>
  <c r="L100" i="3" s="1"/>
  <c r="M42" i="3" a="1"/>
  <c r="M42" i="3" s="1"/>
  <c r="J156" i="3" a="1"/>
  <c r="J156" i="3" s="1"/>
  <c r="J34" i="3" a="1"/>
  <c r="J34" i="3" s="1"/>
  <c r="N155" i="3" a="1"/>
  <c r="N155" i="3" s="1"/>
  <c r="J113" i="3" a="1"/>
  <c r="J113" i="3" s="1"/>
  <c r="J19" i="3" a="1"/>
  <c r="J19" i="3" s="1"/>
  <c r="K64" i="3" a="1"/>
  <c r="K64" i="3" s="1"/>
  <c r="M74" i="3" a="1"/>
  <c r="M74" i="3" s="1"/>
  <c r="O3" i="3" a="1"/>
  <c r="O3" i="3" s="1"/>
  <c r="O48" i="3" a="1"/>
  <c r="O48" i="3" s="1"/>
  <c r="N145" i="3" a="1"/>
  <c r="N145" i="3" s="1"/>
  <c r="J32" i="3" a="1"/>
  <c r="J32" i="3" s="1"/>
  <c r="M149" i="3" a="1"/>
  <c r="M149" i="3" s="1"/>
  <c r="K87" i="3" a="1"/>
  <c r="K87" i="3" s="1"/>
  <c r="L159" i="3" a="1"/>
  <c r="L159" i="3" s="1"/>
  <c r="N36" i="3" a="1"/>
  <c r="N36" i="3" s="1"/>
  <c r="N129" i="3" a="1"/>
  <c r="N129" i="3" s="1"/>
  <c r="J121" i="3" a="1"/>
  <c r="J121" i="3" s="1"/>
  <c r="J91" i="3" a="1"/>
  <c r="J91" i="3" s="1"/>
  <c r="J49" i="3" a="1"/>
  <c r="J49" i="3" s="1"/>
  <c r="K146" i="3" a="1"/>
  <c r="K146" i="3" s="1"/>
  <c r="J132" i="3" a="1"/>
  <c r="J132" i="3" s="1"/>
  <c r="J10" i="3" a="1"/>
  <c r="J10" i="3" s="1"/>
  <c r="J81" i="3" a="1"/>
  <c r="J81" i="3" s="1"/>
  <c r="M71" i="3" a="1"/>
  <c r="M71" i="3" s="1"/>
  <c r="L5" i="3" a="1"/>
  <c r="L5" i="3" s="1"/>
  <c r="L103" i="3" a="1"/>
  <c r="L103" i="3" s="1"/>
  <c r="J5" i="3" a="1"/>
  <c r="J5" i="3" s="1"/>
  <c r="M53" i="3" a="1"/>
  <c r="M53" i="3" s="1"/>
  <c r="L151" i="3" a="1"/>
  <c r="L151" i="3" s="1"/>
  <c r="K38" i="3" a="1"/>
  <c r="K38" i="3" s="1"/>
  <c r="M69" i="3" a="1"/>
  <c r="M69" i="3" s="1"/>
  <c r="J167" i="3" a="1"/>
  <c r="J167" i="3" s="1"/>
  <c r="U77" i="3"/>
  <c r="H77" i="3" s="1"/>
  <c r="P77" i="3" s="1" a="1"/>
  <c r="P77" i="3" s="1"/>
  <c r="Q77" i="3" s="1"/>
  <c r="N132" i="3" a="1"/>
  <c r="N132" i="3" s="1"/>
  <c r="Y154" i="3"/>
  <c r="Z154" i="3" s="1"/>
  <c r="K81" i="3" a="1"/>
  <c r="K81" i="3" s="1"/>
  <c r="O65" i="3" a="1"/>
  <c r="O65" i="3" s="1"/>
  <c r="J28" i="3" a="1"/>
  <c r="J28" i="3" s="1"/>
  <c r="L57" i="3" a="1"/>
  <c r="L57" i="3" s="1"/>
  <c r="O27" i="3" a="1"/>
  <c r="O27" i="3" s="1"/>
  <c r="N136" i="3" a="1"/>
  <c r="N136" i="3" s="1"/>
  <c r="J140" i="3" a="1"/>
  <c r="J140" i="3" s="1"/>
  <c r="J82" i="3" a="1"/>
  <c r="J82" i="3" s="1"/>
  <c r="AD118" i="3"/>
  <c r="J68" i="3" a="1"/>
  <c r="J68" i="3" s="1"/>
  <c r="J161" i="3" a="1"/>
  <c r="J161" i="3" s="1"/>
  <c r="J130" i="3" a="1"/>
  <c r="J130" i="3" s="1"/>
  <c r="M116" i="3" a="1"/>
  <c r="M116" i="3" s="1"/>
  <c r="K17" i="3" a="1"/>
  <c r="K17" i="3" s="1"/>
  <c r="K50" i="3" a="1"/>
  <c r="K50" i="3" s="1"/>
  <c r="M79" i="3" a="1"/>
  <c r="M79" i="3" s="1"/>
  <c r="M117" i="3" a="1"/>
  <c r="M117" i="3" s="1"/>
  <c r="K102" i="3" a="1"/>
  <c r="K102" i="3" s="1"/>
  <c r="M133" i="3" a="1"/>
  <c r="M133" i="3" s="1"/>
  <c r="O164" i="3" a="1"/>
  <c r="O164" i="3" s="1"/>
  <c r="O91" i="3" a="1"/>
  <c r="O91" i="3" s="1"/>
  <c r="K171" i="3" a="1"/>
  <c r="K171" i="3" s="1"/>
  <c r="J146" i="3" a="1"/>
  <c r="J146" i="3" s="1"/>
  <c r="K72" i="3" a="1"/>
  <c r="K72" i="3" s="1"/>
  <c r="J76" i="3" a="1"/>
  <c r="J76" i="3" s="1"/>
  <c r="J97" i="3" a="1"/>
  <c r="J97" i="3" s="1"/>
  <c r="J124" i="3" a="1"/>
  <c r="J124" i="3" s="1"/>
  <c r="J66" i="3" a="1"/>
  <c r="J66" i="3" s="1"/>
  <c r="O52" i="3" a="1"/>
  <c r="O52" i="3" s="1"/>
  <c r="AD9" i="3"/>
  <c r="J137" i="3" a="1"/>
  <c r="J137" i="3" s="1"/>
  <c r="U7" i="3"/>
  <c r="H7" i="3" s="1"/>
  <c r="P7" i="3" s="1" a="1"/>
  <c r="P7" i="3" s="1"/>
  <c r="Q7" i="3" s="1"/>
  <c r="Y81" i="3"/>
  <c r="Z81" i="3" s="1"/>
  <c r="J95" i="3" a="1"/>
  <c r="J95" i="3" s="1"/>
  <c r="K3" i="3" a="1"/>
  <c r="K3" i="3" s="1"/>
  <c r="Y8" i="3"/>
  <c r="Z8" i="3" s="1"/>
  <c r="M155" i="3" a="1"/>
  <c r="M155" i="3" s="1"/>
  <c r="O113" i="3" a="1"/>
  <c r="O113" i="3" s="1"/>
  <c r="K155" i="3" a="1"/>
  <c r="K155" i="3" s="1"/>
  <c r="M5" i="3" a="1"/>
  <c r="M5" i="3" s="1"/>
  <c r="N64" i="3" a="1"/>
  <c r="N64" i="3" s="1"/>
  <c r="O155" i="3" a="1"/>
  <c r="O155" i="3" s="1"/>
  <c r="L113" i="3" a="1"/>
  <c r="L113" i="3" s="1"/>
  <c r="M113" i="3" a="1"/>
  <c r="M113" i="3" s="1"/>
  <c r="Y34" i="3"/>
  <c r="Z34" i="3" s="1"/>
  <c r="N113" i="3" a="1"/>
  <c r="N113" i="3" s="1"/>
  <c r="L155" i="3" a="1"/>
  <c r="L155" i="3" s="1"/>
  <c r="K113" i="3" a="1"/>
  <c r="K113" i="3" s="1"/>
  <c r="L69" i="3" a="1"/>
  <c r="L69" i="3" s="1"/>
  <c r="J64" i="3" a="1"/>
  <c r="J64" i="3" s="1"/>
  <c r="N121" i="3" a="1"/>
  <c r="N121" i="3" s="1"/>
  <c r="Y117" i="3"/>
  <c r="Z117" i="3" s="1"/>
  <c r="J69" i="3" a="1"/>
  <c r="J69" i="3" s="1"/>
  <c r="O36" i="3" a="1"/>
  <c r="O36" i="3" s="1"/>
  <c r="Y12" i="3"/>
  <c r="Z12" i="3" s="1"/>
  <c r="Y56" i="3"/>
  <c r="Z56" i="3" s="1"/>
  <c r="L167" i="3" a="1"/>
  <c r="L167" i="3" s="1"/>
  <c r="K167" i="3" a="1"/>
  <c r="K167" i="3" s="1"/>
  <c r="O49" i="3" a="1"/>
  <c r="O49" i="3" s="1"/>
  <c r="M28" i="3" a="1"/>
  <c r="M28" i="3" s="1"/>
  <c r="O57" i="3" a="1"/>
  <c r="O57" i="3" s="1"/>
  <c r="O64" i="3" a="1"/>
  <c r="O64" i="3" s="1"/>
  <c r="K32" i="3" a="1"/>
  <c r="K32" i="3" s="1"/>
  <c r="M57" i="3" a="1"/>
  <c r="M57" i="3" s="1"/>
  <c r="N19" i="3" a="1"/>
  <c r="N19" i="3" s="1"/>
  <c r="L65" i="3" a="1"/>
  <c r="L65" i="3" s="1"/>
  <c r="N74" i="3" a="1"/>
  <c r="N74" i="3" s="1"/>
  <c r="L74" i="3" a="1"/>
  <c r="L74" i="3" s="1"/>
  <c r="L64" i="3" a="1"/>
  <c r="L64" i="3" s="1"/>
  <c r="O74" i="3" a="1"/>
  <c r="O74" i="3" s="1"/>
  <c r="O28" i="3" a="1"/>
  <c r="O28" i="3" s="1"/>
  <c r="K74" i="3" a="1"/>
  <c r="K74" i="3" s="1"/>
  <c r="N28" i="3" a="1"/>
  <c r="N28" i="3" s="1"/>
  <c r="K19" i="3" a="1"/>
  <c r="K19" i="3" s="1"/>
  <c r="K48" i="3" a="1"/>
  <c r="K48" i="3" s="1"/>
  <c r="L19" i="3" a="1"/>
  <c r="L19" i="3" s="1"/>
  <c r="N48" i="3" a="1"/>
  <c r="N48" i="3" s="1"/>
  <c r="O19" i="3" a="1"/>
  <c r="O19" i="3" s="1"/>
  <c r="M64" i="3" a="1"/>
  <c r="M64" i="3" s="1"/>
  <c r="Y26" i="3"/>
  <c r="Z26" i="3" s="1"/>
  <c r="L3" i="3" a="1"/>
  <c r="L3" i="3" s="1"/>
  <c r="M48" i="3" a="1"/>
  <c r="M48" i="3" s="1"/>
  <c r="M171" i="3" a="1"/>
  <c r="M171" i="3" s="1"/>
  <c r="N3" i="3" a="1"/>
  <c r="N3" i="3" s="1"/>
  <c r="Y149" i="3"/>
  <c r="Z149" i="3" s="1"/>
  <c r="Y90" i="3"/>
  <c r="Z90" i="3" s="1"/>
  <c r="Y52" i="3"/>
  <c r="Z52" i="3" s="1"/>
  <c r="L146" i="3" a="1"/>
  <c r="L146" i="3" s="1"/>
  <c r="M32" i="3" a="1"/>
  <c r="M32" i="3" s="1"/>
  <c r="L152" i="3" a="1"/>
  <c r="L152" i="3" s="1"/>
  <c r="M3" i="3" a="1"/>
  <c r="M3" i="3" s="1"/>
  <c r="O32" i="3" a="1"/>
  <c r="O32" i="3" s="1"/>
  <c r="O51" i="3" a="1"/>
  <c r="O51" i="3" s="1"/>
  <c r="O10" i="3" a="1"/>
  <c r="O10" i="3" s="1"/>
  <c r="N32" i="3" a="1"/>
  <c r="N32" i="3" s="1"/>
  <c r="Y119" i="3"/>
  <c r="Z119" i="3" s="1"/>
  <c r="AD64" i="3"/>
  <c r="L136" i="3" a="1"/>
  <c r="L136" i="3" s="1"/>
  <c r="K51" i="3" a="1"/>
  <c r="K51" i="3" s="1"/>
  <c r="N171" i="3" a="1"/>
  <c r="N171" i="3" s="1"/>
  <c r="O136" i="3" a="1"/>
  <c r="O136" i="3" s="1"/>
  <c r="AD111" i="3"/>
  <c r="L171" i="3" a="1"/>
  <c r="L171" i="3" s="1"/>
  <c r="K10" i="3" a="1"/>
  <c r="K10" i="3" s="1"/>
  <c r="U41" i="3"/>
  <c r="H41" i="3" s="1"/>
  <c r="Y141" i="3"/>
  <c r="Z141" i="3" s="1"/>
  <c r="J48" i="3" a="1"/>
  <c r="J48" i="3" s="1"/>
  <c r="L163" i="3" a="1"/>
  <c r="L163" i="3" s="1"/>
  <c r="L48" i="3" a="1"/>
  <c r="L48" i="3" s="1"/>
  <c r="K152" i="3" a="1"/>
  <c r="K152" i="3" s="1"/>
  <c r="U74" i="3"/>
  <c r="H74" i="3" s="1"/>
  <c r="P74" i="3" s="1" a="1"/>
  <c r="P74" i="3" s="1"/>
  <c r="Q74" i="3" s="1"/>
  <c r="N10" i="3" a="1"/>
  <c r="N10" i="3" s="1"/>
  <c r="N51" i="3" a="1"/>
  <c r="N51" i="3" s="1"/>
  <c r="O146" i="3" a="1"/>
  <c r="O146" i="3" s="1"/>
  <c r="AD6" i="3"/>
  <c r="L32" i="3" a="1"/>
  <c r="L32" i="3" s="1"/>
  <c r="M10" i="3" a="1"/>
  <c r="M10" i="3" s="1"/>
  <c r="M163" i="3" a="1"/>
  <c r="M163" i="3" s="1"/>
  <c r="O132" i="3" a="1"/>
  <c r="O132" i="3" s="1"/>
  <c r="U124" i="3"/>
  <c r="H124" i="3" s="1"/>
  <c r="L132" i="3" a="1"/>
  <c r="L132" i="3" s="1"/>
  <c r="Y142" i="3"/>
  <c r="Z142" i="3" s="1"/>
  <c r="L51" i="3" a="1"/>
  <c r="L51" i="3" s="1"/>
  <c r="M132" i="3" a="1"/>
  <c r="M132" i="3" s="1"/>
  <c r="L10" i="3" a="1"/>
  <c r="L10" i="3" s="1"/>
  <c r="M51" i="3" a="1"/>
  <c r="M51" i="3" s="1"/>
  <c r="N146" i="3" a="1"/>
  <c r="N146" i="3" s="1"/>
  <c r="N152" i="3" a="1"/>
  <c r="N152" i="3" s="1"/>
  <c r="Y160" i="3"/>
  <c r="Z160" i="3" s="1"/>
  <c r="M124" i="3" a="1"/>
  <c r="M124" i="3" s="1"/>
  <c r="N50" i="3" a="1"/>
  <c r="N50" i="3" s="1"/>
  <c r="Y64" i="3"/>
  <c r="Z64" i="3" s="1"/>
  <c r="L124" i="3" a="1"/>
  <c r="L124" i="3" s="1"/>
  <c r="AA104" i="3"/>
  <c r="M26" i="3" a="1"/>
  <c r="M26" i="3" s="1"/>
  <c r="AC158" i="3"/>
  <c r="N124" i="3" a="1"/>
  <c r="N124" i="3" s="1"/>
  <c r="N34" i="3" a="1"/>
  <c r="N34" i="3" s="1"/>
  <c r="M50" i="3" a="1"/>
  <c r="M50" i="3" s="1"/>
  <c r="Y111" i="3"/>
  <c r="Z111" i="3" s="1"/>
  <c r="J17" i="3" a="1"/>
  <c r="J17" i="3" s="1"/>
  <c r="AB147" i="3"/>
  <c r="AB27" i="3"/>
  <c r="L26" i="3" a="1"/>
  <c r="L26" i="3" s="1"/>
  <c r="M156" i="3" a="1"/>
  <c r="M156" i="3" s="1"/>
  <c r="O12" i="3" a="1"/>
  <c r="O12" i="3" s="1"/>
  <c r="AD157" i="3"/>
  <c r="AB59" i="3"/>
  <c r="O156" i="3" a="1"/>
  <c r="O156" i="3" s="1"/>
  <c r="AC17" i="3"/>
  <c r="O66" i="3" a="1"/>
  <c r="O66" i="3" s="1"/>
  <c r="AB50" i="3"/>
  <c r="Y78" i="3"/>
  <c r="Z78" i="3" s="1"/>
  <c r="N12" i="3" a="1"/>
  <c r="N12" i="3" s="1"/>
  <c r="O124" i="3" a="1"/>
  <c r="O124" i="3" s="1"/>
  <c r="AC23" i="3"/>
  <c r="AD124" i="3"/>
  <c r="AD96" i="3"/>
  <c r="AD76" i="3"/>
  <c r="K34" i="3" a="1"/>
  <c r="K34" i="3" s="1"/>
  <c r="AA59" i="3"/>
  <c r="AA50" i="3"/>
  <c r="O17" i="3" a="1"/>
  <c r="O17" i="3" s="1"/>
  <c r="U80" i="3"/>
  <c r="H80" i="3" s="1"/>
  <c r="P80" i="3" s="1" a="1"/>
  <c r="P80" i="3" s="1"/>
  <c r="Q80" i="3" s="1"/>
  <c r="AB104" i="3"/>
  <c r="AD90" i="3"/>
  <c r="AB98" i="3"/>
  <c r="AD58" i="3"/>
  <c r="AB153" i="3"/>
  <c r="M17" i="3" a="1"/>
  <c r="M17" i="3" s="1"/>
  <c r="AC11" i="3"/>
  <c r="O50" i="3" a="1"/>
  <c r="O50" i="3" s="1"/>
  <c r="N26" i="3" a="1"/>
  <c r="N26" i="3" s="1"/>
  <c r="AA147" i="3"/>
  <c r="AD23" i="3"/>
  <c r="K66" i="3" a="1"/>
  <c r="K66" i="3" s="1"/>
  <c r="AD163" i="3"/>
  <c r="AB151" i="3"/>
  <c r="AD158" i="3"/>
  <c r="AD11" i="3"/>
  <c r="L66" i="3" a="1"/>
  <c r="L66" i="3" s="1"/>
  <c r="K20" i="3" a="1"/>
  <c r="K20" i="3" s="1"/>
  <c r="L156" i="3" a="1"/>
  <c r="L156" i="3" s="1"/>
  <c r="L34" i="3" a="1"/>
  <c r="L34" i="3" s="1"/>
  <c r="AB71" i="3"/>
  <c r="N17" i="3" a="1"/>
  <c r="N17" i="3" s="1"/>
  <c r="AC6" i="3"/>
  <c r="AC58" i="3"/>
  <c r="AC90" i="3"/>
  <c r="AD5" i="3"/>
  <c r="AB84" i="3"/>
  <c r="AB36" i="3"/>
  <c r="AA84" i="3"/>
  <c r="AC144" i="3"/>
  <c r="AA36" i="3"/>
  <c r="AA69" i="3"/>
  <c r="AD17" i="3"/>
  <c r="AB148" i="3"/>
  <c r="AB37" i="3"/>
  <c r="M12" i="3" a="1"/>
  <c r="M12" i="3" s="1"/>
  <c r="N156" i="3" a="1"/>
  <c r="N156" i="3" s="1"/>
  <c r="AB69" i="3"/>
  <c r="AA98" i="3"/>
  <c r="Y30" i="3"/>
  <c r="Z30" i="3" s="1"/>
  <c r="Y46" i="3"/>
  <c r="Z46" i="3" s="1"/>
  <c r="AD144" i="3"/>
  <c r="AB136" i="3"/>
  <c r="AB40" i="3"/>
  <c r="U145" i="3"/>
  <c r="H145" i="3" s="1"/>
  <c r="U157" i="3"/>
  <c r="H157" i="3" s="1"/>
  <c r="Y163" i="3"/>
  <c r="Z163" i="3" s="1"/>
  <c r="U152" i="3"/>
  <c r="H152" i="3" s="1"/>
  <c r="P152" i="3" s="1" a="1"/>
  <c r="P152" i="3" s="1"/>
  <c r="Q152" i="3" s="1"/>
  <c r="M19" i="3" a="1"/>
  <c r="M19" i="3" s="1"/>
  <c r="Y31" i="3"/>
  <c r="Z31" i="3" s="1"/>
  <c r="J60" i="3" a="1"/>
  <c r="J60" i="3" s="1"/>
  <c r="U9" i="3"/>
  <c r="H9" i="3" s="1"/>
  <c r="Y170" i="3"/>
  <c r="Z170" i="3" s="1"/>
  <c r="U149" i="3"/>
  <c r="H149" i="3" s="1"/>
  <c r="P149" i="3" s="1" a="1"/>
  <c r="P149" i="3" s="1"/>
  <c r="Q149" i="3" s="1"/>
  <c r="U169" i="3"/>
  <c r="H169" i="3" s="1"/>
  <c r="P169" i="3" s="1" a="1"/>
  <c r="P169" i="3" s="1"/>
  <c r="Q169" i="3" s="1"/>
  <c r="J89" i="3" a="1"/>
  <c r="J89" i="3" s="1"/>
  <c r="J96" i="3" a="1"/>
  <c r="J96" i="3" s="1"/>
  <c r="U46" i="3"/>
  <c r="H46" i="3" s="1"/>
  <c r="AD3" i="3"/>
  <c r="J57" i="3" a="1"/>
  <c r="J57" i="3" s="1"/>
  <c r="AA6" i="3"/>
  <c r="AA89" i="3"/>
  <c r="AC26" i="3"/>
  <c r="AC16" i="3"/>
  <c r="AA9" i="3"/>
  <c r="AC41" i="3"/>
  <c r="AA14" i="3"/>
  <c r="AC50" i="3"/>
  <c r="AC24" i="3"/>
  <c r="AC166" i="3"/>
  <c r="AA22" i="3"/>
  <c r="AA17" i="3"/>
  <c r="AC168" i="3"/>
  <c r="AC72" i="3"/>
  <c r="AA25" i="3"/>
  <c r="AC8" i="3"/>
  <c r="AC20" i="3"/>
  <c r="L94" i="3" a="1"/>
  <c r="L94" i="3" s="1"/>
  <c r="U82" i="3"/>
  <c r="H82" i="3" s="1"/>
  <c r="P82" i="3" s="1" a="1"/>
  <c r="P82" i="3" s="1"/>
  <c r="Q82" i="3" s="1"/>
  <c r="U148" i="3"/>
  <c r="H148" i="3" s="1"/>
  <c r="P148" i="3" s="1" a="1"/>
  <c r="P148" i="3" s="1"/>
  <c r="Q148" i="3" s="1"/>
  <c r="O16" i="3" a="1"/>
  <c r="O16" i="3" s="1"/>
  <c r="Y150" i="3"/>
  <c r="Z150" i="3" s="1"/>
  <c r="Y132" i="3"/>
  <c r="Z132" i="3" s="1"/>
  <c r="Y123" i="3"/>
  <c r="Z123" i="3" s="1"/>
  <c r="Y67" i="3"/>
  <c r="Z67" i="3" s="1"/>
  <c r="L71" i="3" a="1"/>
  <c r="L71" i="3" s="1"/>
  <c r="Y39" i="3"/>
  <c r="Z39" i="3" s="1"/>
  <c r="N65" i="3" a="1"/>
  <c r="N65" i="3" s="1"/>
  <c r="Y42" i="3"/>
  <c r="Z42" i="3" s="1"/>
  <c r="AB18" i="3"/>
  <c r="Y99" i="3"/>
  <c r="Z99" i="3" s="1"/>
  <c r="AD135" i="3"/>
  <c r="Y109" i="3"/>
  <c r="Z109" i="3" s="1"/>
  <c r="K68" i="3" a="1"/>
  <c r="K68" i="3" s="1"/>
  <c r="K56" i="3" a="1"/>
  <c r="K56" i="3" s="1"/>
  <c r="AC47" i="3"/>
  <c r="K39" i="3" a="1"/>
  <c r="K39" i="3" s="1"/>
  <c r="J38" i="3" a="1"/>
  <c r="J38" i="3" s="1"/>
  <c r="AA149" i="3"/>
  <c r="Y63" i="3"/>
  <c r="Z63" i="3" s="1"/>
  <c r="AA151" i="3"/>
  <c r="AC96" i="3"/>
  <c r="AA119" i="3"/>
  <c r="AC126" i="3"/>
  <c r="AB119" i="3"/>
  <c r="AA68" i="3"/>
  <c r="AA114" i="3"/>
  <c r="AD138" i="3"/>
  <c r="AC54" i="3"/>
  <c r="AC101" i="3"/>
  <c r="AA110" i="3"/>
  <c r="AA153" i="3"/>
  <c r="AC157" i="3"/>
  <c r="AC163" i="3"/>
  <c r="AC111" i="3"/>
  <c r="AA71" i="3"/>
  <c r="AC99" i="3"/>
  <c r="AC137" i="3"/>
  <c r="AC132" i="3"/>
  <c r="AA167" i="3"/>
  <c r="AA61" i="3"/>
  <c r="AD54" i="3"/>
  <c r="AA79" i="3"/>
  <c r="U138" i="3"/>
  <c r="H138" i="3" s="1"/>
  <c r="AD16" i="3"/>
  <c r="AA91" i="3"/>
  <c r="AC124" i="3"/>
  <c r="AC52" i="3"/>
  <c r="AA95" i="3"/>
  <c r="AA93" i="3"/>
  <c r="AC113" i="3"/>
  <c r="AC48" i="3"/>
  <c r="AC145" i="3"/>
  <c r="U60" i="3"/>
  <c r="H60" i="3" s="1"/>
  <c r="P60" i="3" s="1" a="1"/>
  <c r="P60" i="3" s="1"/>
  <c r="Q60" i="3" s="1"/>
  <c r="AA141" i="3"/>
  <c r="AA117" i="3"/>
  <c r="AC160" i="3"/>
  <c r="AC75" i="3"/>
  <c r="AB102" i="3"/>
  <c r="AB42" i="3"/>
  <c r="AB116" i="3"/>
  <c r="AB150" i="3"/>
  <c r="AB63" i="3"/>
  <c r="AC60" i="3"/>
  <c r="AC74" i="3"/>
  <c r="AA164" i="3"/>
  <c r="AA92" i="3"/>
  <c r="AC108" i="3"/>
  <c r="AC128" i="3"/>
  <c r="AC43" i="3"/>
  <c r="AC49" i="3"/>
  <c r="AA42" i="3"/>
  <c r="AA150" i="3"/>
  <c r="AC140" i="3"/>
  <c r="AC87" i="3"/>
  <c r="AB154" i="3"/>
  <c r="AB46" i="3"/>
  <c r="AB67" i="3"/>
  <c r="AD60" i="3"/>
  <c r="AB62" i="3"/>
  <c r="AB58" i="3"/>
  <c r="AB30" i="3"/>
  <c r="AA10" i="3"/>
  <c r="AC44" i="3"/>
  <c r="AC64" i="3"/>
  <c r="AA30" i="3"/>
  <c r="AA80" i="3"/>
  <c r="AA130" i="3"/>
  <c r="AA136" i="3"/>
  <c r="AA27" i="3"/>
  <c r="AA33" i="3"/>
  <c r="AB33" i="3"/>
  <c r="AC76" i="3"/>
  <c r="Y54" i="3"/>
  <c r="Z54" i="3" s="1"/>
  <c r="AD10" i="3"/>
  <c r="AD128" i="3"/>
  <c r="AD44" i="3"/>
  <c r="AB110" i="3"/>
  <c r="AD34" i="3"/>
  <c r="AB142" i="3"/>
  <c r="AB117" i="3"/>
  <c r="AA112" i="3"/>
  <c r="AA51" i="3"/>
  <c r="AA70" i="3"/>
  <c r="AC123" i="3"/>
  <c r="AC129" i="3"/>
  <c r="AA12" i="3"/>
  <c r="AA154" i="3"/>
  <c r="AC94" i="3"/>
  <c r="AA38" i="3"/>
  <c r="AA116" i="3"/>
  <c r="AA121" i="3"/>
  <c r="O163" i="3" a="1"/>
  <c r="O163" i="3" s="1"/>
  <c r="AB15" i="3"/>
  <c r="AD108" i="3"/>
  <c r="AD8" i="3"/>
  <c r="AB32" i="3"/>
  <c r="AD74" i="3"/>
  <c r="AC53" i="3"/>
  <c r="AC65" i="3"/>
  <c r="AA102" i="3"/>
  <c r="AA67" i="3"/>
  <c r="AC103" i="3"/>
  <c r="AA58" i="3"/>
  <c r="AA122" i="3"/>
  <c r="AA109" i="3"/>
  <c r="AC152" i="3"/>
  <c r="U116" i="3"/>
  <c r="H116" i="3" s="1"/>
  <c r="P116" i="3" s="1" a="1"/>
  <c r="P116" i="3" s="1"/>
  <c r="Q116" i="3" s="1"/>
  <c r="AB164" i="3"/>
  <c r="AB80" i="3"/>
  <c r="AD43" i="3"/>
  <c r="AA62" i="3"/>
  <c r="AA169" i="3"/>
  <c r="AC115" i="3"/>
  <c r="AA73" i="3"/>
  <c r="AC36" i="3"/>
  <c r="AC56" i="3"/>
  <c r="AA143" i="3"/>
  <c r="AC86" i="3"/>
  <c r="AA55" i="3"/>
  <c r="AC39" i="3"/>
  <c r="AA46" i="3"/>
  <c r="AC147" i="3"/>
  <c r="AC159" i="3"/>
  <c r="AC82" i="3"/>
  <c r="AB121" i="3"/>
  <c r="AB81" i="3"/>
  <c r="AB109" i="3"/>
  <c r="AB10" i="3"/>
  <c r="AA105" i="3"/>
  <c r="AC57" i="3"/>
  <c r="AA146" i="3"/>
  <c r="AA158" i="3"/>
  <c r="AB158" i="3"/>
  <c r="AC156" i="3"/>
  <c r="AA131" i="3"/>
  <c r="AA135" i="3"/>
  <c r="AC77" i="3"/>
  <c r="AC83" i="3"/>
  <c r="AB100" i="3"/>
  <c r="AB92" i="3"/>
  <c r="AB141" i="3"/>
  <c r="AB6" i="3"/>
  <c r="AA81" i="3"/>
  <c r="AA155" i="3"/>
  <c r="AA161" i="3"/>
  <c r="AC165" i="3"/>
  <c r="AC148" i="3"/>
  <c r="AC162" i="3"/>
  <c r="AA63" i="3"/>
  <c r="AC31" i="3"/>
  <c r="AB162" i="3"/>
  <c r="AB38" i="3"/>
  <c r="AD49" i="3"/>
  <c r="AB70" i="3"/>
  <c r="AB130" i="3"/>
  <c r="AC138" i="3"/>
  <c r="AC171" i="3"/>
  <c r="AA97" i="3"/>
  <c r="AC107" i="3"/>
  <c r="AC28" i="3"/>
  <c r="AC98" i="3"/>
  <c r="AC104" i="3"/>
  <c r="AC134" i="3"/>
  <c r="AC133" i="3"/>
  <c r="AC139" i="3"/>
  <c r="Y159" i="3"/>
  <c r="Z159" i="3" s="1"/>
  <c r="AB26" i="3"/>
  <c r="U115" i="3"/>
  <c r="H115" i="3" s="1"/>
  <c r="P115" i="3" s="1" a="1"/>
  <c r="P115" i="3" s="1"/>
  <c r="Q115" i="3" s="1"/>
  <c r="AB52" i="3"/>
  <c r="M44" i="3" a="1"/>
  <c r="M44" i="3" s="1"/>
  <c r="K131" i="3" a="1"/>
  <c r="K131" i="3" s="1"/>
  <c r="L52" i="3" a="1"/>
  <c r="L52" i="3" s="1"/>
  <c r="U128" i="3"/>
  <c r="H128" i="3" s="1"/>
  <c r="P128" i="3" s="1" a="1"/>
  <c r="P128" i="3" s="1"/>
  <c r="Q128" i="3" s="1"/>
  <c r="U68" i="3"/>
  <c r="H68" i="3" s="1"/>
  <c r="P68" i="3" s="1" a="1"/>
  <c r="P68" i="3" s="1"/>
  <c r="Q68" i="3" s="1"/>
  <c r="Y53" i="3"/>
  <c r="Z53" i="3" s="1"/>
  <c r="AB53" i="3"/>
  <c r="K44" i="3" a="1"/>
  <c r="K44" i="3" s="1"/>
  <c r="AB132" i="3"/>
  <c r="AB8" i="3"/>
  <c r="AB159" i="3"/>
  <c r="L160" i="3" a="1"/>
  <c r="L160" i="3" s="1"/>
  <c r="U153" i="3"/>
  <c r="H153" i="3" s="1"/>
  <c r="Y10" i="3"/>
  <c r="Z10" i="3" s="1"/>
  <c r="Y125" i="3"/>
  <c r="Z125" i="3" s="1"/>
  <c r="AB125" i="3"/>
  <c r="U26" i="3"/>
  <c r="H26" i="3" s="1"/>
  <c r="P26" i="3" s="1" a="1"/>
  <c r="P26" i="3" s="1"/>
  <c r="Q26" i="3" s="1"/>
  <c r="O72" i="3" a="1"/>
  <c r="O72" i="3" s="1"/>
  <c r="Y41" i="3"/>
  <c r="Z41" i="3" s="1"/>
  <c r="O42" i="3" a="1"/>
  <c r="O42" i="3" s="1"/>
  <c r="AB64" i="3"/>
  <c r="AB123" i="3"/>
  <c r="AB120" i="3"/>
  <c r="L131" i="3" a="1"/>
  <c r="L131" i="3" s="1"/>
  <c r="L89" i="3" a="1"/>
  <c r="L89" i="3" s="1"/>
  <c r="N44" i="3" a="1"/>
  <c r="N44" i="3" s="1"/>
  <c r="Y48" i="3"/>
  <c r="Z48" i="3" s="1"/>
  <c r="AB48" i="3"/>
  <c r="Y127" i="3"/>
  <c r="Z127" i="3" s="1"/>
  <c r="AB127" i="3"/>
  <c r="AB76" i="3"/>
  <c r="AB78" i="3"/>
  <c r="AB90" i="3"/>
  <c r="AB39" i="3"/>
  <c r="K160" i="3" a="1"/>
  <c r="K160" i="3" s="1"/>
  <c r="AB163" i="3"/>
  <c r="AB170" i="3"/>
  <c r="AB111" i="3"/>
  <c r="AB31" i="3"/>
  <c r="AB56" i="3"/>
  <c r="J102" i="3" a="1"/>
  <c r="J102" i="3" s="1"/>
  <c r="M160" i="3" a="1"/>
  <c r="M160" i="3" s="1"/>
  <c r="N131" i="3" a="1"/>
  <c r="N131" i="3" s="1"/>
  <c r="Y166" i="3"/>
  <c r="Z166" i="3" s="1"/>
  <c r="Y3" i="3"/>
  <c r="Z3" i="3" s="1"/>
  <c r="N89" i="3" a="1"/>
  <c r="N89" i="3" s="1"/>
  <c r="O131" i="3" a="1"/>
  <c r="O131" i="3" s="1"/>
  <c r="L90" i="3" a="1"/>
  <c r="L90" i="3" s="1"/>
  <c r="Y29" i="3"/>
  <c r="Z29" i="3" s="1"/>
  <c r="N90" i="3" a="1"/>
  <c r="N90" i="3" s="1"/>
  <c r="O44" i="3" a="1"/>
  <c r="O44" i="3" s="1"/>
  <c r="O90" i="3" a="1"/>
  <c r="O90" i="3" s="1"/>
  <c r="Y146" i="3"/>
  <c r="Z146" i="3" s="1"/>
  <c r="J128" i="3" a="1"/>
  <c r="J128" i="3" s="1"/>
  <c r="AB16" i="3"/>
  <c r="AB129" i="3"/>
  <c r="AB77" i="3"/>
  <c r="AB34" i="3"/>
  <c r="M131" i="3" a="1"/>
  <c r="M131" i="3" s="1"/>
  <c r="L72" i="3" a="1"/>
  <c r="L72" i="3" s="1"/>
  <c r="L42" i="3" a="1"/>
  <c r="L42" i="3" s="1"/>
  <c r="M89" i="3" a="1"/>
  <c r="M89" i="3" s="1"/>
  <c r="M90" i="3" a="1"/>
  <c r="M90" i="3" s="1"/>
  <c r="M72" i="3" a="1"/>
  <c r="M72" i="3" s="1"/>
  <c r="U18" i="3"/>
  <c r="Y171" i="3"/>
  <c r="Z171" i="3" s="1"/>
  <c r="J72" i="3" a="1"/>
  <c r="J72" i="3" s="1"/>
  <c r="AB82" i="3"/>
  <c r="AB49" i="3"/>
  <c r="AB101" i="3"/>
  <c r="AB160" i="3"/>
  <c r="O160" i="3" a="1"/>
  <c r="O160" i="3" s="1"/>
  <c r="Y71" i="3"/>
  <c r="Z71" i="3" s="1"/>
  <c r="U17" i="3"/>
  <c r="H17" i="3" s="1"/>
  <c r="U163" i="3"/>
  <c r="H163" i="3" s="1"/>
  <c r="P163" i="3" s="1" a="1"/>
  <c r="P163" i="3" s="1"/>
  <c r="Q163" i="3" s="1"/>
  <c r="Y138" i="3"/>
  <c r="Z138" i="3" s="1"/>
  <c r="AB138" i="3"/>
  <c r="AB99" i="3"/>
  <c r="AB54" i="3"/>
  <c r="AB74" i="3"/>
  <c r="AB118" i="3"/>
  <c r="AB96" i="3"/>
  <c r="U142" i="3"/>
  <c r="H142" i="3" s="1"/>
  <c r="P142" i="3" s="1" a="1"/>
  <c r="P142" i="3" s="1"/>
  <c r="Q142" i="3" s="1"/>
  <c r="U43" i="3"/>
  <c r="H43" i="3" s="1"/>
  <c r="P43" i="3" s="1" a="1"/>
  <c r="P43" i="3" s="1"/>
  <c r="Q43" i="3" s="1"/>
  <c r="J39" i="3" a="1"/>
  <c r="J39" i="3" s="1"/>
  <c r="O34" i="3" a="1"/>
  <c r="O34" i="3" s="1"/>
  <c r="O97" i="3" a="1"/>
  <c r="O97" i="3" s="1"/>
  <c r="L143" i="3" a="1"/>
  <c r="L143" i="3" s="1"/>
  <c r="M143" i="3" a="1"/>
  <c r="M143" i="3" s="1"/>
  <c r="M34" i="3" a="1"/>
  <c r="M34" i="3" s="1"/>
  <c r="N42" i="3" a="1"/>
  <c r="N42" i="3" s="1"/>
  <c r="K25" i="3" a="1"/>
  <c r="K25" i="3" s="1"/>
  <c r="L39" i="3" a="1"/>
  <c r="L39" i="3" s="1"/>
  <c r="L31" i="3" a="1"/>
  <c r="L31" i="3" s="1"/>
  <c r="U64" i="3"/>
  <c r="U8" i="3"/>
  <c r="H8" i="3" s="1"/>
  <c r="L97" i="3" a="1"/>
  <c r="L97" i="3" s="1"/>
  <c r="J61" i="3" a="1"/>
  <c r="J61" i="3" s="1"/>
  <c r="M31" i="3" a="1"/>
  <c r="M31" i="3" s="1"/>
  <c r="U44" i="3"/>
  <c r="H44" i="3" s="1"/>
  <c r="P44" i="3" s="1" a="1"/>
  <c r="P44" i="3" s="1"/>
  <c r="Q44" i="3" s="1"/>
  <c r="Y73" i="3"/>
  <c r="Z73" i="3" s="1"/>
  <c r="Y17" i="3"/>
  <c r="Z17" i="3" s="1"/>
  <c r="Y168" i="3"/>
  <c r="Z168" i="3" s="1"/>
  <c r="K31" i="3" a="1"/>
  <c r="K31" i="3" s="1"/>
  <c r="O145" i="3" a="1"/>
  <c r="O145" i="3" s="1"/>
  <c r="K145" i="3" a="1"/>
  <c r="K145" i="3" s="1"/>
  <c r="U156" i="3"/>
  <c r="H156" i="3" s="1"/>
  <c r="P156" i="3" s="1" a="1"/>
  <c r="P156" i="3" s="1"/>
  <c r="Q156" i="3" s="1"/>
  <c r="U30" i="3"/>
  <c r="H30" i="3" s="1"/>
  <c r="U171" i="3"/>
  <c r="H171" i="3" s="1"/>
  <c r="P171" i="3" s="1" a="1"/>
  <c r="P171" i="3" s="1"/>
  <c r="Q171" i="3" s="1"/>
  <c r="Y7" i="3"/>
  <c r="Z7" i="3" s="1"/>
  <c r="U15" i="3"/>
  <c r="H15" i="3" s="1"/>
  <c r="J145" i="3" a="1"/>
  <c r="J145" i="3" s="1"/>
  <c r="U78" i="3"/>
  <c r="H78" i="3" s="1"/>
  <c r="P78" i="3" s="1" a="1"/>
  <c r="P78" i="3" s="1"/>
  <c r="Q78" i="3" s="1"/>
  <c r="AA8" i="3"/>
  <c r="L108" i="3" a="1"/>
  <c r="L108" i="3" s="1"/>
  <c r="M112" i="3" a="1"/>
  <c r="M112" i="3" s="1"/>
  <c r="M151" i="3" a="1"/>
  <c r="M151" i="3" s="1"/>
  <c r="M145" i="3" a="1"/>
  <c r="M145" i="3" s="1"/>
  <c r="N9" i="3" a="1"/>
  <c r="N9" i="3" s="1"/>
  <c r="U72" i="3"/>
  <c r="H72" i="3" s="1"/>
  <c r="P72" i="3" s="1" a="1"/>
  <c r="P72" i="3" s="1"/>
  <c r="Q72" i="3" s="1"/>
  <c r="U97" i="3"/>
  <c r="H97" i="3" s="1"/>
  <c r="P97" i="3" s="1" a="1"/>
  <c r="P97" i="3" s="1"/>
  <c r="Q97" i="3" s="1"/>
  <c r="Y133" i="3"/>
  <c r="Z133" i="3" s="1"/>
  <c r="Y134" i="3"/>
  <c r="Z134" i="3" s="1"/>
  <c r="O80" i="3" a="1"/>
  <c r="O80" i="3" s="1"/>
  <c r="U38" i="3"/>
  <c r="AA41" i="3"/>
  <c r="AA78" i="3"/>
  <c r="AA152" i="3"/>
  <c r="AA82" i="3"/>
  <c r="M65" i="3" a="1"/>
  <c r="M65" i="3" s="1"/>
  <c r="L36" i="3" a="1"/>
  <c r="L36" i="3" s="1"/>
  <c r="L139" i="3" a="1"/>
  <c r="L139" i="3" s="1"/>
  <c r="K151" i="3" a="1"/>
  <c r="K151" i="3" s="1"/>
  <c r="K99" i="3" a="1"/>
  <c r="K99" i="3" s="1"/>
  <c r="K36" i="3" a="1"/>
  <c r="K36" i="3" s="1"/>
  <c r="U66" i="3"/>
  <c r="H66" i="3" s="1"/>
  <c r="P66" i="3" s="1" a="1"/>
  <c r="P66" i="3" s="1"/>
  <c r="Q66" i="3" s="1"/>
  <c r="AA66" i="3"/>
  <c r="O40" i="3" a="1"/>
  <c r="O40" i="3" s="1"/>
  <c r="U107" i="3"/>
  <c r="Y86" i="3"/>
  <c r="Z86" i="3" s="1"/>
  <c r="N99" i="3" a="1"/>
  <c r="N99" i="3" s="1"/>
  <c r="N80" i="3" a="1"/>
  <c r="N80" i="3" s="1"/>
  <c r="Y144" i="3"/>
  <c r="Z144" i="3" s="1"/>
  <c r="J40" i="3" a="1"/>
  <c r="J40" i="3" s="1"/>
  <c r="J9" i="3" a="1"/>
  <c r="J9" i="3" s="1"/>
  <c r="AA148" i="3"/>
  <c r="AA157" i="3"/>
  <c r="AA43" i="3"/>
  <c r="L9" i="3" a="1"/>
  <c r="L9" i="3" s="1"/>
  <c r="M128" i="3" a="1"/>
  <c r="M128" i="3" s="1"/>
  <c r="K112" i="3" a="1"/>
  <c r="K112" i="3" s="1"/>
  <c r="M80" i="3" a="1"/>
  <c r="M80" i="3" s="1"/>
  <c r="U113" i="3"/>
  <c r="U12" i="3"/>
  <c r="V12" i="3" s="1"/>
  <c r="Y51" i="3"/>
  <c r="Z51" i="3" s="1"/>
  <c r="AA26" i="3"/>
  <c r="AA64" i="3"/>
  <c r="AA72" i="3"/>
  <c r="AA77" i="3"/>
  <c r="U139" i="3"/>
  <c r="H139" i="3" s="1"/>
  <c r="P139" i="3" s="1" a="1"/>
  <c r="P139" i="3" s="1"/>
  <c r="Q139" i="3" s="1"/>
  <c r="AA139" i="3"/>
  <c r="AA60" i="3"/>
  <c r="L112" i="3" a="1"/>
  <c r="L112" i="3" s="1"/>
  <c r="L80" i="3" a="1"/>
  <c r="L80" i="3" s="1"/>
  <c r="U22" i="3"/>
  <c r="H22" i="3" s="1"/>
  <c r="P22" i="3" s="1" a="1"/>
  <c r="P22" i="3" s="1"/>
  <c r="Q22" i="3" s="1"/>
  <c r="N128" i="3" a="1"/>
  <c r="N128" i="3" s="1"/>
  <c r="U87" i="3"/>
  <c r="H87" i="3" s="1"/>
  <c r="P87" i="3" s="1" a="1"/>
  <c r="P87" i="3" s="1"/>
  <c r="Q87" i="3" s="1"/>
  <c r="M154" i="3" a="1"/>
  <c r="M154" i="3" s="1"/>
  <c r="L154" i="3" a="1"/>
  <c r="L154" i="3" s="1"/>
  <c r="Y128" i="3"/>
  <c r="Z128" i="3" s="1"/>
  <c r="O99" i="3" a="1"/>
  <c r="O99" i="3" s="1"/>
  <c r="J80" i="3" a="1"/>
  <c r="J80" i="3" s="1"/>
  <c r="Y88" i="3"/>
  <c r="Z88" i="3" s="1"/>
  <c r="AA156" i="3"/>
  <c r="AA138" i="3"/>
  <c r="AA115" i="3"/>
  <c r="AA74" i="3"/>
  <c r="AA4" i="3"/>
  <c r="L46" i="3" a="1"/>
  <c r="L46" i="3" s="1"/>
  <c r="M99" i="3" a="1"/>
  <c r="M99" i="3" s="1"/>
  <c r="M139" i="3" a="1"/>
  <c r="M139" i="3" s="1"/>
  <c r="L128" i="3" a="1"/>
  <c r="L128" i="3" s="1"/>
  <c r="L40" i="3" a="1"/>
  <c r="L40" i="3" s="1"/>
  <c r="M108" i="3" a="1"/>
  <c r="M108" i="3" s="1"/>
  <c r="L145" i="3" a="1"/>
  <c r="L145" i="3" s="1"/>
  <c r="U32" i="3"/>
  <c r="Y72" i="3"/>
  <c r="Z72" i="3" s="1"/>
  <c r="N139" i="3" a="1"/>
  <c r="N139" i="3" s="1"/>
  <c r="U19" i="3"/>
  <c r="H19" i="3" s="1"/>
  <c r="P19" i="3" s="1" a="1"/>
  <c r="P19" i="3" s="1"/>
  <c r="Q19" i="3" s="1"/>
  <c r="Y97" i="3"/>
  <c r="Z97" i="3" s="1"/>
  <c r="N154" i="3" a="1"/>
  <c r="N154" i="3" s="1"/>
  <c r="J154" i="3" a="1"/>
  <c r="J154" i="3" s="1"/>
  <c r="AA145" i="3"/>
  <c r="AA163" i="3"/>
  <c r="AA124" i="3"/>
  <c r="AA171" i="3"/>
  <c r="AA16" i="3"/>
  <c r="K139" i="3" a="1"/>
  <c r="K139" i="3" s="1"/>
  <c r="U91" i="3"/>
  <c r="H91" i="3" s="1"/>
  <c r="U100" i="3"/>
  <c r="H100" i="3" s="1"/>
  <c r="U136" i="3"/>
  <c r="H136" i="3" s="1"/>
  <c r="P136" i="3" s="1" a="1"/>
  <c r="P136" i="3" s="1"/>
  <c r="Q136" i="3" s="1"/>
  <c r="Y85" i="3"/>
  <c r="Z85" i="3" s="1"/>
  <c r="Y112" i="3"/>
  <c r="Z112" i="3" s="1"/>
  <c r="K108" i="3" a="1"/>
  <c r="K108" i="3" s="1"/>
  <c r="J108" i="3" a="1"/>
  <c r="J108" i="3" s="1"/>
  <c r="AA107" i="3"/>
  <c r="AA128" i="3"/>
  <c r="K46" i="3" a="1"/>
  <c r="K46" i="3" s="1"/>
  <c r="O9" i="3" a="1"/>
  <c r="O9" i="3" s="1"/>
  <c r="Y59" i="3"/>
  <c r="Z59" i="3" s="1"/>
  <c r="N108" i="3" a="1"/>
  <c r="N108" i="3" s="1"/>
  <c r="AA21" i="3"/>
  <c r="AA44" i="3"/>
  <c r="Y61" i="3"/>
  <c r="Z61" i="3" s="1"/>
  <c r="K45" i="3" a="1"/>
  <c r="K45" i="3" s="1"/>
  <c r="K137" i="3" a="1"/>
  <c r="K137" i="3" s="1"/>
  <c r="M169" i="3" a="1"/>
  <c r="M169" i="3" s="1"/>
  <c r="N137" i="3" a="1"/>
  <c r="N137" i="3" s="1"/>
  <c r="O148" i="3" a="1"/>
  <c r="O148" i="3" s="1"/>
  <c r="N27" i="3" a="1"/>
  <c r="N27" i="3" s="1"/>
  <c r="N161" i="3" a="1"/>
  <c r="N161" i="3" s="1"/>
  <c r="M162" i="3" a="1"/>
  <c r="M162" i="3" s="1"/>
  <c r="O11" i="3" a="1"/>
  <c r="O11" i="3" s="1"/>
  <c r="M168" i="3" a="1"/>
  <c r="M168" i="3" s="1"/>
  <c r="J162" i="3" a="1"/>
  <c r="J162" i="3" s="1"/>
  <c r="J84" i="3" a="1"/>
  <c r="J84" i="3" s="1"/>
  <c r="Y148" i="3"/>
  <c r="Z148" i="3" s="1"/>
  <c r="L133" i="3" a="1"/>
  <c r="L133" i="3" s="1"/>
  <c r="L125" i="3" a="1"/>
  <c r="L125" i="3" s="1"/>
  <c r="N100" i="3" a="1"/>
  <c r="N100" i="3" s="1"/>
  <c r="U143" i="3"/>
  <c r="H143" i="3" s="1"/>
  <c r="P143" i="3" s="1" a="1"/>
  <c r="P143" i="3" s="1"/>
  <c r="Q143" i="3" s="1"/>
  <c r="Y126" i="3"/>
  <c r="Z126" i="3" s="1"/>
  <c r="Y43" i="3"/>
  <c r="Z43" i="3" s="1"/>
  <c r="K144" i="3" a="1"/>
  <c r="K144" i="3" s="1"/>
  <c r="J67" i="3" a="1"/>
  <c r="J67" i="3" s="1"/>
  <c r="L43" i="3" a="1"/>
  <c r="L43" i="3" s="1"/>
  <c r="K161" i="3" a="1"/>
  <c r="K161" i="3" s="1"/>
  <c r="K24" i="3" a="1"/>
  <c r="K24" i="3" s="1"/>
  <c r="O79" i="3" a="1"/>
  <c r="O79" i="3" s="1"/>
  <c r="L169" i="3" a="1"/>
  <c r="L169" i="3" s="1"/>
  <c r="L11" i="3" a="1"/>
  <c r="L11" i="3" s="1"/>
  <c r="O43" i="3" a="1"/>
  <c r="O43" i="3" s="1"/>
  <c r="Y11" i="3"/>
  <c r="Z11" i="3" s="1"/>
  <c r="U71" i="3"/>
  <c r="H71" i="3" s="1"/>
  <c r="J52" i="3" a="1"/>
  <c r="J52" i="3" s="1"/>
  <c r="M137" i="3" a="1"/>
  <c r="M137" i="3" s="1"/>
  <c r="O85" i="3" a="1"/>
  <c r="O85" i="3" s="1"/>
  <c r="M7" i="3" a="1"/>
  <c r="M7" i="3" s="1"/>
  <c r="Y153" i="3"/>
  <c r="Z153" i="3" s="1"/>
  <c r="U168" i="3"/>
  <c r="H168" i="3" s="1"/>
  <c r="U14" i="3"/>
  <c r="H14" i="3" s="1"/>
  <c r="N52" i="3" a="1"/>
  <c r="N52" i="3" s="1"/>
  <c r="O8" i="3" a="1"/>
  <c r="O8" i="3" s="1"/>
  <c r="Y104" i="3"/>
  <c r="Z104" i="3" s="1"/>
  <c r="J148" i="3" a="1"/>
  <c r="J148" i="3" s="1"/>
  <c r="J83" i="3" a="1"/>
  <c r="J83" i="3" s="1"/>
  <c r="K120" i="3" a="1"/>
  <c r="K120" i="3" s="1"/>
  <c r="L137" i="3" a="1"/>
  <c r="L137" i="3" s="1"/>
  <c r="M101" i="3" a="1"/>
  <c r="M101" i="3" s="1"/>
  <c r="M52" i="3" a="1"/>
  <c r="M52" i="3" s="1"/>
  <c r="K100" i="3" a="1"/>
  <c r="K100" i="3" s="1"/>
  <c r="L78" i="3" a="1"/>
  <c r="L78" i="3" s="1"/>
  <c r="L27" i="3" a="1"/>
  <c r="L27" i="3" s="1"/>
  <c r="Y37" i="3"/>
  <c r="Z37" i="3" s="1"/>
  <c r="O168" i="3" a="1"/>
  <c r="O168" i="3" s="1"/>
  <c r="Y47" i="3"/>
  <c r="Z47" i="3" s="1"/>
  <c r="U86" i="3"/>
  <c r="H86" i="3" s="1"/>
  <c r="U49" i="3"/>
  <c r="H49" i="3" s="1"/>
  <c r="P49" i="3" s="1" a="1"/>
  <c r="P49" i="3" s="1"/>
  <c r="Q49" i="3" s="1"/>
  <c r="N162" i="3" a="1"/>
  <c r="N162" i="3" s="1"/>
  <c r="J106" i="3" a="1"/>
  <c r="J106" i="3" s="1"/>
  <c r="O118" i="3" a="1"/>
  <c r="O118" i="3" s="1"/>
  <c r="M43" i="3" a="1"/>
  <c r="M43" i="3" s="1"/>
  <c r="M161" i="3" a="1"/>
  <c r="M161" i="3" s="1"/>
  <c r="L148" i="3" a="1"/>
  <c r="L148" i="3" s="1"/>
  <c r="L173" i="3" a="1"/>
  <c r="L173" i="3" s="1"/>
  <c r="M109" i="3" a="1"/>
  <c r="M109" i="3" s="1"/>
  <c r="K27" i="3" a="1"/>
  <c r="K27" i="3" s="1"/>
  <c r="L24" i="3" a="1"/>
  <c r="L24" i="3" s="1"/>
  <c r="M100" i="3" a="1"/>
  <c r="M100" i="3" s="1"/>
  <c r="N166" i="3" a="1"/>
  <c r="N166" i="3" s="1"/>
  <c r="U127" i="3"/>
  <c r="H127" i="3" s="1"/>
  <c r="U73" i="3"/>
  <c r="H73" i="3" s="1"/>
  <c r="P73" i="3" s="1" a="1"/>
  <c r="P73" i="3" s="1"/>
  <c r="Q73" i="3" s="1"/>
  <c r="O137" i="3" a="1"/>
  <c r="O137" i="3" s="1"/>
  <c r="N43" i="3" a="1"/>
  <c r="N43" i="3" s="1"/>
  <c r="U29" i="3"/>
  <c r="H29" i="3" s="1"/>
  <c r="P29" i="3" s="1" a="1"/>
  <c r="P29" i="3" s="1"/>
  <c r="Q29" i="3" s="1"/>
  <c r="Y87" i="3"/>
  <c r="Z87" i="3" s="1"/>
  <c r="N168" i="3" a="1"/>
  <c r="N168" i="3" s="1"/>
  <c r="J11" i="3" a="1"/>
  <c r="J11" i="3" s="1"/>
  <c r="J168" i="3" a="1"/>
  <c r="J168" i="3" s="1"/>
  <c r="L83" i="3" a="1"/>
  <c r="L83" i="3" s="1"/>
  <c r="M27" i="3" a="1"/>
  <c r="M27" i="3" s="1"/>
  <c r="M148" i="3" a="1"/>
  <c r="M148" i="3" s="1"/>
  <c r="K127" i="3" a="1"/>
  <c r="K127" i="3" s="1"/>
  <c r="M24" i="3" a="1"/>
  <c r="M24" i="3" s="1"/>
  <c r="K83" i="3" a="1"/>
  <c r="K83" i="3" s="1"/>
  <c r="L168" i="3" a="1"/>
  <c r="L168" i="3" s="1"/>
  <c r="K69" i="3" a="1"/>
  <c r="K69" i="3" s="1"/>
  <c r="U140" i="3"/>
  <c r="H140" i="3" s="1"/>
  <c r="P140" i="3" s="1" a="1"/>
  <c r="P140" i="3" s="1"/>
  <c r="Q140" i="3" s="1"/>
  <c r="Y9" i="3"/>
  <c r="Z9" i="3" s="1"/>
  <c r="O162" i="3" a="1"/>
  <c r="O162" i="3" s="1"/>
  <c r="Y65" i="3"/>
  <c r="Z65" i="3" s="1"/>
  <c r="O100" i="3" a="1"/>
  <c r="O100" i="3" s="1"/>
  <c r="L161" i="3" a="1"/>
  <c r="L161" i="3" s="1"/>
  <c r="N24" i="3" a="1"/>
  <c r="N24" i="3" s="1"/>
  <c r="O169" i="3" a="1"/>
  <c r="O169" i="3" s="1"/>
  <c r="O88" i="3" a="1"/>
  <c r="O88" i="3" s="1"/>
  <c r="K168" i="3" a="1"/>
  <c r="K168" i="3" s="1"/>
  <c r="U63" i="3"/>
  <c r="H63" i="3" s="1"/>
  <c r="P63" i="3" s="1" a="1"/>
  <c r="P63" i="3" s="1"/>
  <c r="Q63" i="3" s="1"/>
  <c r="Y137" i="3"/>
  <c r="Z137" i="3" s="1"/>
  <c r="K26" i="3" a="1"/>
  <c r="K26" i="3" s="1"/>
  <c r="O24" i="3" a="1"/>
  <c r="O24" i="3" s="1"/>
  <c r="J155" i="3" a="1"/>
  <c r="J155" i="3" s="1"/>
  <c r="J3" i="3" a="1"/>
  <c r="J3" i="3" s="1"/>
  <c r="U105" i="3"/>
  <c r="H105" i="3" s="1"/>
  <c r="P105" i="3" s="1" a="1"/>
  <c r="P105" i="3" s="1"/>
  <c r="Q105" i="3" s="1"/>
  <c r="J136" i="3" a="1"/>
  <c r="J136" i="3" s="1"/>
  <c r="J153" i="3" a="1"/>
  <c r="J153" i="3" s="1"/>
  <c r="Y35" i="3"/>
  <c r="Z35" i="3" s="1"/>
  <c r="J74" i="3" a="1"/>
  <c r="J74" i="3" s="1"/>
  <c r="M63" i="3" a="1"/>
  <c r="M63" i="3" s="1"/>
  <c r="L158" i="3" a="1"/>
  <c r="L158" i="3" s="1"/>
  <c r="K166" i="3" a="1"/>
  <c r="K166" i="3" s="1"/>
  <c r="L110" i="3" a="1"/>
  <c r="L110" i="3" s="1"/>
  <c r="L144" i="3" a="1"/>
  <c r="L144" i="3" s="1"/>
  <c r="O58" i="3" a="1"/>
  <c r="O58" i="3" s="1"/>
  <c r="U94" i="3"/>
  <c r="H94" i="3" s="1"/>
  <c r="P94" i="3" s="1" a="1"/>
  <c r="P94" i="3" s="1"/>
  <c r="Q94" i="3" s="1"/>
  <c r="Y45" i="3"/>
  <c r="Z45" i="3" s="1"/>
  <c r="O20" i="3" a="1"/>
  <c r="O20" i="3" s="1"/>
  <c r="Y55" i="3"/>
  <c r="Z55" i="3" s="1"/>
  <c r="M147" i="3" a="1"/>
  <c r="M147" i="3" s="1"/>
  <c r="N8" i="3" a="1"/>
  <c r="N8" i="3" s="1"/>
  <c r="Y21" i="3"/>
  <c r="J4" i="3" a="1"/>
  <c r="J4" i="3" s="1"/>
  <c r="K114" i="3" a="1"/>
  <c r="K114" i="3" s="1"/>
  <c r="J166" i="3" a="1"/>
  <c r="J166" i="3" s="1"/>
  <c r="L55" i="3" a="1"/>
  <c r="L55" i="3" s="1"/>
  <c r="L88" i="3" a="1"/>
  <c r="L88" i="3" s="1"/>
  <c r="M88" i="3" a="1"/>
  <c r="M88" i="3" s="1"/>
  <c r="U101" i="3"/>
  <c r="Y24" i="3"/>
  <c r="Z24" i="3" s="1"/>
  <c r="O116" i="3" a="1"/>
  <c r="O116" i="3" s="1"/>
  <c r="Y5" i="3"/>
  <c r="Z5" i="3" s="1"/>
  <c r="J147" i="3" a="1"/>
  <c r="J147" i="3" s="1"/>
  <c r="J116" i="3" a="1"/>
  <c r="J116" i="3" s="1"/>
  <c r="L45" i="3" a="1"/>
  <c r="L45" i="3" s="1"/>
  <c r="M45" i="3" a="1"/>
  <c r="M45" i="3" s="1"/>
  <c r="M20" i="3" a="1"/>
  <c r="M20" i="3" s="1"/>
  <c r="M144" i="3" a="1"/>
  <c r="M144" i="3" s="1"/>
  <c r="L4" i="3" a="1"/>
  <c r="L4" i="3" s="1"/>
  <c r="L33" i="3" a="1"/>
  <c r="L33" i="3" s="1"/>
  <c r="Y23" i="3"/>
  <c r="Z23" i="3" s="1"/>
  <c r="M8" i="3" a="1"/>
  <c r="M8" i="3" s="1"/>
  <c r="Y69" i="3"/>
  <c r="Z69" i="3" s="1"/>
  <c r="N88" i="3" a="1"/>
  <c r="N88" i="3" s="1"/>
  <c r="O147" i="3" a="1"/>
  <c r="O147" i="3" s="1"/>
  <c r="M114" i="3" a="1"/>
  <c r="M114" i="3" s="1"/>
  <c r="Y161" i="3"/>
  <c r="Z161" i="3" s="1"/>
  <c r="J92" i="3" a="1"/>
  <c r="J92" i="3" s="1"/>
  <c r="J18" i="3" a="1"/>
  <c r="J18" i="3" s="1"/>
  <c r="J138" i="3" a="1"/>
  <c r="J138" i="3" s="1"/>
  <c r="J33" i="3" a="1"/>
  <c r="J33" i="3" s="1"/>
  <c r="K158" i="3" a="1"/>
  <c r="K158" i="3" s="1"/>
  <c r="M92" i="3" a="1"/>
  <c r="M92" i="3" s="1"/>
  <c r="O18" i="3" a="1"/>
  <c r="O18" i="3" s="1"/>
  <c r="N138" i="3" a="1"/>
  <c r="N138" i="3" s="1"/>
  <c r="Y94" i="3"/>
  <c r="Z94" i="3" s="1"/>
  <c r="U125" i="3"/>
  <c r="Y50" i="3"/>
  <c r="Z50" i="3" s="1"/>
  <c r="M58" i="3" a="1"/>
  <c r="M58" i="3" s="1"/>
  <c r="J144" i="3" a="1"/>
  <c r="J144" i="3" s="1"/>
  <c r="Y107" i="3"/>
  <c r="Z107" i="3" s="1"/>
  <c r="Y19" i="3"/>
  <c r="Z19" i="3" s="1"/>
  <c r="L166" i="3" a="1"/>
  <c r="L166" i="3" s="1"/>
  <c r="J110" i="3" a="1"/>
  <c r="J110" i="3" s="1"/>
  <c r="N20" i="3" a="1"/>
  <c r="N20" i="3" s="1"/>
  <c r="N92" i="3" a="1"/>
  <c r="N92" i="3" s="1"/>
  <c r="M18" i="3" a="1"/>
  <c r="M18" i="3" s="1"/>
  <c r="N33" i="3" a="1"/>
  <c r="N33" i="3" s="1"/>
  <c r="O92" i="3" a="1"/>
  <c r="O92" i="3" s="1"/>
  <c r="U165" i="3"/>
  <c r="N116" i="3" a="1"/>
  <c r="N116" i="3" s="1"/>
  <c r="O33" i="3" a="1"/>
  <c r="O33" i="3" s="1"/>
  <c r="O144" i="3" a="1"/>
  <c r="O144" i="3" s="1"/>
  <c r="Y173" i="3"/>
  <c r="Z173" i="3" s="1"/>
  <c r="J58" i="3" a="1"/>
  <c r="J58" i="3" s="1"/>
  <c r="K8" i="3" a="1"/>
  <c r="K8" i="3" s="1"/>
  <c r="N18" i="3" a="1"/>
  <c r="N18" i="3" s="1"/>
  <c r="N144" i="3" a="1"/>
  <c r="N144" i="3" s="1"/>
  <c r="N4" i="3" a="1"/>
  <c r="N4" i="3" s="1"/>
  <c r="Y135" i="3"/>
  <c r="Z135" i="3" s="1"/>
  <c r="J20" i="3" a="1"/>
  <c r="J20" i="3" s="1"/>
  <c r="K116" i="3" a="1"/>
  <c r="K116" i="3" s="1"/>
  <c r="J114" i="3" a="1"/>
  <c r="J114" i="3" s="1"/>
  <c r="K110" i="3" a="1"/>
  <c r="K110" i="3" s="1"/>
  <c r="L8" i="3" a="1"/>
  <c r="L8" i="3" s="1"/>
  <c r="M4" i="3" a="1"/>
  <c r="M4" i="3" s="1"/>
  <c r="O4" i="3" a="1"/>
  <c r="O4" i="3" s="1"/>
  <c r="N58" i="3" a="1"/>
  <c r="N58" i="3" s="1"/>
  <c r="L18" i="3" a="1"/>
  <c r="L18" i="3" s="1"/>
  <c r="N147" i="3" a="1"/>
  <c r="N147" i="3" s="1"/>
  <c r="O114" i="3" a="1"/>
  <c r="O114" i="3" s="1"/>
  <c r="U90" i="3"/>
  <c r="K92" i="3" a="1"/>
  <c r="K92" i="3" s="1"/>
  <c r="J8" i="3" a="1"/>
  <c r="J8" i="3" s="1"/>
  <c r="U27" i="3"/>
  <c r="H27" i="3" s="1"/>
  <c r="K129" i="3" a="1"/>
  <c r="K129" i="3" s="1"/>
  <c r="U120" i="3"/>
  <c r="H120" i="3" s="1"/>
  <c r="P120" i="3" s="1" a="1"/>
  <c r="P120" i="3" s="1"/>
  <c r="Q120" i="3" s="1"/>
  <c r="U83" i="3"/>
  <c r="H83" i="3" s="1"/>
  <c r="P83" i="3" s="1" a="1"/>
  <c r="P83" i="3" s="1"/>
  <c r="Q83" i="3" s="1"/>
  <c r="U160" i="3"/>
  <c r="H160" i="3" s="1"/>
  <c r="K118" i="3" a="1"/>
  <c r="K118" i="3" s="1"/>
  <c r="U164" i="3"/>
  <c r="U99" i="3"/>
  <c r="U76" i="3"/>
  <c r="H76" i="3" s="1"/>
  <c r="P76" i="3" s="1" a="1"/>
  <c r="P76" i="3" s="1"/>
  <c r="Q76" i="3" s="1"/>
  <c r="L102" i="3" a="1"/>
  <c r="L102" i="3" s="1"/>
  <c r="U37" i="3"/>
  <c r="M141" i="3" a="1"/>
  <c r="M141" i="3" s="1"/>
  <c r="K57" i="3" a="1"/>
  <c r="K57" i="3" s="1"/>
  <c r="L38" i="3" a="1"/>
  <c r="L38" i="3" s="1"/>
  <c r="U135" i="3"/>
  <c r="H135" i="3" s="1"/>
  <c r="P135" i="3" s="1" a="1"/>
  <c r="P135" i="3" s="1"/>
  <c r="Q135" i="3" s="1"/>
  <c r="N106" i="3" a="1"/>
  <c r="N106" i="3" s="1"/>
  <c r="U50" i="3"/>
  <c r="O106" i="3" a="1"/>
  <c r="O106" i="3" s="1"/>
  <c r="J112" i="3" a="1"/>
  <c r="J112" i="3" s="1"/>
  <c r="Y25" i="3"/>
  <c r="Z25" i="3" s="1"/>
  <c r="K169" i="3" a="1"/>
  <c r="K169" i="3" s="1"/>
  <c r="J139" i="3" a="1"/>
  <c r="J139" i="3" s="1"/>
  <c r="J169" i="3" a="1"/>
  <c r="J169" i="3" s="1"/>
  <c r="Y57" i="3"/>
  <c r="Z57" i="3" s="1"/>
  <c r="J26" i="3" a="1"/>
  <c r="J26" i="3" s="1"/>
  <c r="J27" i="3" a="1"/>
  <c r="J27" i="3" s="1"/>
  <c r="Y115" i="3"/>
  <c r="Z115" i="3" s="1"/>
  <c r="K30" i="3" a="1"/>
  <c r="K30" i="3" s="1"/>
  <c r="J50" i="3" a="1"/>
  <c r="J50" i="3" s="1"/>
  <c r="U119" i="3"/>
  <c r="H119" i="3" s="1"/>
  <c r="U130" i="3"/>
  <c r="M165" i="3" a="1"/>
  <c r="M165" i="3" s="1"/>
  <c r="K132" i="3" a="1"/>
  <c r="K132" i="3" s="1"/>
  <c r="K54" i="3" a="1"/>
  <c r="K54" i="3" s="1"/>
  <c r="L149" i="3" a="1"/>
  <c r="L149" i="3" s="1"/>
  <c r="O133" i="3" a="1"/>
  <c r="O133" i="3" s="1"/>
  <c r="L142" i="3" a="1"/>
  <c r="L142" i="3" s="1"/>
  <c r="U65" i="3"/>
  <c r="H65" i="3" s="1"/>
  <c r="P65" i="3" s="1" a="1"/>
  <c r="P65" i="3" s="1"/>
  <c r="Q65" i="3" s="1"/>
  <c r="L54" i="3" a="1"/>
  <c r="L54" i="3" s="1"/>
  <c r="K41" i="3" a="1"/>
  <c r="K41" i="3" s="1"/>
  <c r="L95" i="3" a="1"/>
  <c r="L95" i="3" s="1"/>
  <c r="K61" i="3" a="1"/>
  <c r="K61" i="3" s="1"/>
  <c r="O46" i="3" a="1"/>
  <c r="O46" i="3" s="1"/>
  <c r="U104" i="3"/>
  <c r="U108" i="3"/>
  <c r="H108" i="3" s="1"/>
  <c r="P108" i="3" s="1" a="1"/>
  <c r="P108" i="3" s="1"/>
  <c r="Q108" i="3" s="1"/>
  <c r="U23" i="3"/>
  <c r="H23" i="3" s="1"/>
  <c r="P23" i="3" s="1" a="1"/>
  <c r="P23" i="3" s="1"/>
  <c r="Q23" i="3" s="1"/>
  <c r="L85" i="3" a="1"/>
  <c r="L85" i="3" s="1"/>
  <c r="U59" i="3"/>
  <c r="H59" i="3" s="1"/>
  <c r="P59" i="3" s="1" a="1"/>
  <c r="P59" i="3" s="1"/>
  <c r="Q59" i="3" s="1"/>
  <c r="U146" i="3"/>
  <c r="U35" i="3"/>
  <c r="Y15" i="3"/>
  <c r="Z15" i="3" s="1"/>
  <c r="Y98" i="3"/>
  <c r="Z98" i="3" s="1"/>
  <c r="U95" i="3"/>
  <c r="U133" i="3"/>
  <c r="Y152" i="3"/>
  <c r="Z152" i="3" s="1"/>
  <c r="K78" i="3" a="1"/>
  <c r="K78" i="3" s="1"/>
  <c r="K149" i="3" a="1"/>
  <c r="K149" i="3" s="1"/>
  <c r="L15" i="3" a="1"/>
  <c r="L15" i="3" s="1"/>
  <c r="K134" i="3" a="1"/>
  <c r="K134" i="3" s="1"/>
  <c r="M85" i="3" a="1"/>
  <c r="M85" i="3" s="1"/>
  <c r="J173" i="3" a="1"/>
  <c r="J173" i="3" s="1"/>
  <c r="L14" i="3" a="1"/>
  <c r="L14" i="3" s="1"/>
  <c r="J117" i="3" a="1"/>
  <c r="J117" i="3" s="1"/>
  <c r="J158" i="3" a="1"/>
  <c r="J158" i="3" s="1"/>
  <c r="M94" i="3" a="1"/>
  <c r="M94" i="3" s="1"/>
  <c r="N95" i="3" a="1"/>
  <c r="N95" i="3" s="1"/>
  <c r="M166" i="3" a="1"/>
  <c r="M166" i="3" s="1"/>
  <c r="N167" i="3" a="1"/>
  <c r="N167" i="3" s="1"/>
  <c r="N53" i="3" a="1"/>
  <c r="N53" i="3" s="1"/>
  <c r="O22" i="3" a="1"/>
  <c r="O22" i="3" s="1"/>
  <c r="O117" i="3" a="1"/>
  <c r="O117" i="3" s="1"/>
  <c r="U42" i="3"/>
  <c r="H42" i="3" s="1"/>
  <c r="P42" i="3" s="1" a="1"/>
  <c r="P42" i="3" s="1"/>
  <c r="Q42" i="3" s="1"/>
  <c r="U28" i="3"/>
  <c r="H28" i="3" s="1"/>
  <c r="P28" i="3" s="1" a="1"/>
  <c r="P28" i="3" s="1"/>
  <c r="Q28" i="3" s="1"/>
  <c r="O167" i="3" a="1"/>
  <c r="O167" i="3" s="1"/>
  <c r="U159" i="3"/>
  <c r="H159" i="3" s="1"/>
  <c r="N54" i="3" a="1"/>
  <c r="N54" i="3" s="1"/>
  <c r="N13" i="3" a="1"/>
  <c r="N13" i="3" s="1"/>
  <c r="N126" i="3" a="1"/>
  <c r="N126" i="3" s="1"/>
  <c r="U6" i="3"/>
  <c r="H6" i="3" s="1"/>
  <c r="M93" i="3" a="1"/>
  <c r="M93" i="3" s="1"/>
  <c r="N85" i="3" a="1"/>
  <c r="N85" i="3" s="1"/>
  <c r="O37" i="3" a="1"/>
  <c r="O37" i="3" s="1"/>
  <c r="U45" i="3"/>
  <c r="H45" i="3" s="1"/>
  <c r="P45" i="3" s="1" a="1"/>
  <c r="P45" i="3" s="1"/>
  <c r="Q45" i="3" s="1"/>
  <c r="O158" i="3" a="1"/>
  <c r="O158" i="3" s="1"/>
  <c r="U137" i="3"/>
  <c r="H137" i="3" s="1"/>
  <c r="P137" i="3" s="1" a="1"/>
  <c r="P137" i="3" s="1"/>
  <c r="Q137" i="3" s="1"/>
  <c r="M22" i="3" a="1"/>
  <c r="M22" i="3" s="1"/>
  <c r="N157" i="3" a="1"/>
  <c r="N157" i="3" s="1"/>
  <c r="N23" i="3" a="1"/>
  <c r="N23" i="3" s="1"/>
  <c r="U170" i="3"/>
  <c r="H170" i="3" s="1"/>
  <c r="O7" i="3" a="1"/>
  <c r="O7" i="3" s="1"/>
  <c r="K170" i="3" a="1"/>
  <c r="K170" i="3" s="1"/>
  <c r="K13" i="3" a="1"/>
  <c r="K13" i="3" s="1"/>
  <c r="K77" i="3" a="1"/>
  <c r="K77" i="3" s="1"/>
  <c r="K12" i="3" a="1"/>
  <c r="K12" i="3" s="1"/>
  <c r="Y92" i="3"/>
  <c r="Z92" i="3" s="1"/>
  <c r="Y36" i="3"/>
  <c r="Z36" i="3" s="1"/>
  <c r="K106" i="3" a="1"/>
  <c r="K106" i="3" s="1"/>
  <c r="Y105" i="3"/>
  <c r="Z105" i="3" s="1"/>
  <c r="Y27" i="3"/>
  <c r="Z27" i="3" s="1"/>
  <c r="K93" i="3" a="1"/>
  <c r="K93" i="3" s="1"/>
  <c r="M55" i="3" a="1"/>
  <c r="M55" i="3" s="1"/>
  <c r="M47" i="3" a="1"/>
  <c r="M47" i="3" s="1"/>
  <c r="M13" i="3" a="1"/>
  <c r="M13" i="3" s="1"/>
  <c r="K63" i="3" a="1"/>
  <c r="K63" i="3" s="1"/>
  <c r="K14" i="3" a="1"/>
  <c r="K14" i="3" s="1"/>
  <c r="L119" i="3" a="1"/>
  <c r="L119" i="3" s="1"/>
  <c r="K119" i="3" a="1"/>
  <c r="K119" i="3" s="1"/>
  <c r="K70" i="3" a="1"/>
  <c r="K70" i="3" s="1"/>
  <c r="M37" i="3" a="1"/>
  <c r="M37" i="3" s="1"/>
  <c r="L7" i="3" a="1"/>
  <c r="L7" i="3" s="1"/>
  <c r="K126" i="3" a="1"/>
  <c r="K126" i="3" s="1"/>
  <c r="M158" i="3" a="1"/>
  <c r="M158" i="3" s="1"/>
  <c r="N159" i="3" a="1"/>
  <c r="N159" i="3" s="1"/>
  <c r="O143" i="3" a="1"/>
  <c r="O143" i="3" s="1"/>
  <c r="O141" i="3" a="1"/>
  <c r="O141" i="3" s="1"/>
  <c r="U154" i="3"/>
  <c r="H154" i="3" s="1"/>
  <c r="P154" i="3" s="1" a="1"/>
  <c r="P154" i="3" s="1"/>
  <c r="Q154" i="3" s="1"/>
  <c r="N117" i="3" a="1"/>
  <c r="N117" i="3" s="1"/>
  <c r="O109" i="3" a="1"/>
  <c r="O109" i="3" s="1"/>
  <c r="O31" i="3" a="1"/>
  <c r="O31" i="3" s="1"/>
  <c r="U134" i="3"/>
  <c r="H134" i="3" s="1"/>
  <c r="Y4" i="3"/>
  <c r="Z4" i="3" s="1"/>
  <c r="O77" i="3" a="1"/>
  <c r="O77" i="3" s="1"/>
  <c r="N5" i="3" a="1"/>
  <c r="N5" i="3" s="1"/>
  <c r="N118" i="3" a="1"/>
  <c r="N118" i="3" s="1"/>
  <c r="U20" i="3"/>
  <c r="H20" i="3" s="1"/>
  <c r="P20" i="3" s="1" a="1"/>
  <c r="P20" i="3" s="1"/>
  <c r="Q20" i="3" s="1"/>
  <c r="N77" i="3" a="1"/>
  <c r="N77" i="3" s="1"/>
  <c r="O21" i="3" a="1"/>
  <c r="O21" i="3" s="1"/>
  <c r="O93" i="3" a="1"/>
  <c r="O93" i="3" s="1"/>
  <c r="U75" i="3"/>
  <c r="H75" i="3" s="1"/>
  <c r="P75" i="3" s="1" a="1"/>
  <c r="P75" i="3" s="1"/>
  <c r="Q75" i="3" s="1"/>
  <c r="M14" i="3" a="1"/>
  <c r="M14" i="3" s="1"/>
  <c r="N149" i="3" a="1"/>
  <c r="N149" i="3" s="1"/>
  <c r="N15" i="3" a="1"/>
  <c r="N15" i="3" s="1"/>
  <c r="U158" i="3"/>
  <c r="H158" i="3" s="1"/>
  <c r="M86" i="3" a="1"/>
  <c r="M86" i="3" s="1"/>
  <c r="O30" i="3" a="1"/>
  <c r="O30" i="3" s="1"/>
  <c r="N87" i="3" a="1"/>
  <c r="N87" i="3" s="1"/>
  <c r="O71" i="3" a="1"/>
  <c r="O71" i="3" s="1"/>
  <c r="U53" i="3"/>
  <c r="H53" i="3" s="1"/>
  <c r="P53" i="3" s="1" a="1"/>
  <c r="P53" i="3" s="1"/>
  <c r="Q53" i="3" s="1"/>
  <c r="Y68" i="3"/>
  <c r="Z68" i="3" s="1"/>
  <c r="K140" i="3" a="1"/>
  <c r="K140" i="3" s="1"/>
  <c r="Y20" i="3"/>
  <c r="Z20" i="3" s="1"/>
  <c r="Y156" i="3"/>
  <c r="Z156" i="3" s="1"/>
  <c r="Y100" i="3"/>
  <c r="Z100" i="3" s="1"/>
  <c r="K4" i="3" a="1"/>
  <c r="K4" i="3" s="1"/>
  <c r="Y91" i="3"/>
  <c r="Z91" i="3" s="1"/>
  <c r="K82" i="3" a="1"/>
  <c r="K82" i="3" s="1"/>
  <c r="J171" i="3" a="1"/>
  <c r="J171" i="3" s="1"/>
  <c r="J42" i="3" a="1"/>
  <c r="J42" i="3" s="1"/>
  <c r="L157" i="3" a="1"/>
  <c r="L157" i="3" s="1"/>
  <c r="M127" i="3" a="1"/>
  <c r="M127" i="3" s="1"/>
  <c r="J47" i="3" a="1"/>
  <c r="J47" i="3" s="1"/>
  <c r="L62" i="3" a="1"/>
  <c r="L62" i="3" s="1"/>
  <c r="L93" i="3" a="1"/>
  <c r="L93" i="3" s="1"/>
  <c r="J55" i="3" a="1"/>
  <c r="J55" i="3" s="1"/>
  <c r="L86" i="3" a="1"/>
  <c r="L86" i="3" s="1"/>
  <c r="M173" i="3" a="1"/>
  <c r="M173" i="3" s="1"/>
  <c r="K55" i="3" a="1"/>
  <c r="K55" i="3" s="1"/>
  <c r="K6" i="3" a="1"/>
  <c r="K6" i="3" s="1"/>
  <c r="K111" i="3" a="1"/>
  <c r="K111" i="3" s="1"/>
  <c r="K62" i="3" a="1"/>
  <c r="K62" i="3" s="1"/>
  <c r="K109" i="3" a="1"/>
  <c r="K109" i="3" s="1"/>
  <c r="O110" i="3" a="1"/>
  <c r="O110" i="3" s="1"/>
  <c r="L70" i="3" a="1"/>
  <c r="L70" i="3" s="1"/>
  <c r="N30" i="3" a="1"/>
  <c r="N30" i="3" s="1"/>
  <c r="M46" i="3" a="1"/>
  <c r="M46" i="3" s="1"/>
  <c r="N47" i="3" a="1"/>
  <c r="N47" i="3" s="1"/>
  <c r="O95" i="3" a="1"/>
  <c r="O95" i="3" s="1"/>
  <c r="N46" i="3" a="1"/>
  <c r="N46" i="3" s="1"/>
  <c r="U11" i="3"/>
  <c r="H11" i="3" s="1"/>
  <c r="P11" i="3" s="1" a="1"/>
  <c r="P11" i="3" s="1"/>
  <c r="Q11" i="3" s="1"/>
  <c r="N69" i="3" a="1"/>
  <c r="N69" i="3" s="1"/>
  <c r="O5" i="3" a="1"/>
  <c r="O5" i="3" s="1"/>
  <c r="U122" i="3"/>
  <c r="H122" i="3" s="1"/>
  <c r="U69" i="3"/>
  <c r="H69" i="3" s="1"/>
  <c r="N141" i="3" a="1"/>
  <c r="N141" i="3" s="1"/>
  <c r="N7" i="3" a="1"/>
  <c r="N7" i="3" s="1"/>
  <c r="U132" i="3"/>
  <c r="H132" i="3" s="1"/>
  <c r="O150" i="3" a="1"/>
  <c r="O150" i="3" s="1"/>
  <c r="U162" i="3"/>
  <c r="H162" i="3" s="1"/>
  <c r="P162" i="3" s="1" a="1"/>
  <c r="P162" i="3" s="1"/>
  <c r="Q162" i="3" s="1"/>
  <c r="M78" i="3" a="1"/>
  <c r="M78" i="3" s="1"/>
  <c r="O14" i="3" a="1"/>
  <c r="O14" i="3" s="1"/>
  <c r="N79" i="3" a="1"/>
  <c r="N79" i="3" s="1"/>
  <c r="U174" i="3"/>
  <c r="H174" i="3" s="1"/>
  <c r="M150" i="3" a="1"/>
  <c r="M150" i="3" s="1"/>
  <c r="N151" i="3" a="1"/>
  <c r="N151" i="3" s="1"/>
  <c r="U52" i="3"/>
  <c r="H52" i="3" s="1"/>
  <c r="P52" i="3" s="1" a="1"/>
  <c r="P52" i="3" s="1"/>
  <c r="Q52" i="3" s="1"/>
  <c r="O135" i="3" a="1"/>
  <c r="O135" i="3" s="1"/>
  <c r="U114" i="3"/>
  <c r="H114" i="3" s="1"/>
  <c r="K37" i="3" a="1"/>
  <c r="K37" i="3" s="1"/>
  <c r="Y84" i="3"/>
  <c r="Z84" i="3" s="1"/>
  <c r="K121" i="3" a="1"/>
  <c r="K121" i="3" s="1"/>
  <c r="K29" i="3" a="1"/>
  <c r="K29" i="3" s="1"/>
  <c r="Y75" i="3"/>
  <c r="Z75" i="3" s="1"/>
  <c r="K5" i="3" a="1"/>
  <c r="K5" i="3" s="1"/>
  <c r="Y6" i="3"/>
  <c r="Z6" i="3" s="1"/>
  <c r="Y162" i="3"/>
  <c r="Z162" i="3" s="1"/>
  <c r="Y93" i="3"/>
  <c r="Z93" i="3" s="1"/>
  <c r="Y155" i="3"/>
  <c r="Z155" i="3" s="1"/>
  <c r="J164" i="3" a="1"/>
  <c r="J164" i="3" s="1"/>
  <c r="J107" i="3" a="1"/>
  <c r="J107" i="3" s="1"/>
  <c r="K172" i="3" a="1"/>
  <c r="K172" i="3" s="1"/>
  <c r="J111" i="3" a="1"/>
  <c r="J111" i="3" s="1"/>
  <c r="L21" i="3" a="1"/>
  <c r="L21" i="3" s="1"/>
  <c r="J21" i="3" a="1"/>
  <c r="J21" i="3" s="1"/>
  <c r="J62" i="3" a="1"/>
  <c r="J62" i="3" s="1"/>
  <c r="J119" i="3" a="1"/>
  <c r="J119" i="3" s="1"/>
  <c r="L13" i="3" a="1"/>
  <c r="L13" i="3" s="1"/>
  <c r="L118" i="3" a="1"/>
  <c r="L118" i="3" s="1"/>
  <c r="J29" i="3" a="1"/>
  <c r="J29" i="3" s="1"/>
  <c r="J6" i="3" a="1"/>
  <c r="J6" i="3" s="1"/>
  <c r="J63" i="3" a="1"/>
  <c r="J63" i="3" s="1"/>
  <c r="M111" i="3" a="1"/>
  <c r="M111" i="3" s="1"/>
  <c r="M23" i="3" a="1"/>
  <c r="M23" i="3" s="1"/>
  <c r="K47" i="3" a="1"/>
  <c r="K47" i="3" s="1"/>
  <c r="L63" i="3" a="1"/>
  <c r="L63" i="3" s="1"/>
  <c r="N22" i="3" a="1"/>
  <c r="N22" i="3" s="1"/>
  <c r="O29" i="3" a="1"/>
  <c r="O29" i="3" s="1"/>
  <c r="O102" i="3" a="1"/>
  <c r="O102" i="3" s="1"/>
  <c r="N94" i="3" a="1"/>
  <c r="N94" i="3" s="1"/>
  <c r="M110" i="3" a="1"/>
  <c r="M110" i="3" s="1"/>
  <c r="O78" i="3" a="1"/>
  <c r="O78" i="3" s="1"/>
  <c r="N111" i="3" a="1"/>
  <c r="N111" i="3" s="1"/>
  <c r="U34" i="3"/>
  <c r="H34" i="3" s="1"/>
  <c r="O159" i="3" a="1"/>
  <c r="O159" i="3" s="1"/>
  <c r="O61" i="3" a="1"/>
  <c r="O61" i="3" s="1"/>
  <c r="N110" i="3" a="1"/>
  <c r="N110" i="3" s="1"/>
  <c r="U61" i="3"/>
  <c r="H61" i="3" s="1"/>
  <c r="U111" i="3"/>
  <c r="H111" i="3" s="1"/>
  <c r="P111" i="3" s="1" a="1"/>
  <c r="P111" i="3" s="1"/>
  <c r="Q111" i="3" s="1"/>
  <c r="M157" i="3" a="1"/>
  <c r="M157" i="3" s="1"/>
  <c r="N133" i="3" a="1"/>
  <c r="N133" i="3" s="1"/>
  <c r="O142" i="3" a="1"/>
  <c r="O142" i="3" s="1"/>
  <c r="U155" i="3"/>
  <c r="H155" i="3" s="1"/>
  <c r="M70" i="3" a="1"/>
  <c r="M70" i="3" s="1"/>
  <c r="N71" i="3" a="1"/>
  <c r="N71" i="3" s="1"/>
  <c r="U13" i="3"/>
  <c r="H13" i="3" s="1"/>
  <c r="Y145" i="3"/>
  <c r="Z145" i="3" s="1"/>
  <c r="M142" i="3" a="1"/>
  <c r="M142" i="3" s="1"/>
  <c r="N143" i="3" a="1"/>
  <c r="N143" i="3" s="1"/>
  <c r="U33" i="3"/>
  <c r="H33" i="3" s="1"/>
  <c r="P33" i="3" s="1" a="1"/>
  <c r="P33" i="3" s="1"/>
  <c r="Q33" i="3" s="1"/>
  <c r="O63" i="3" a="1"/>
  <c r="O63" i="3" s="1"/>
  <c r="U109" i="3"/>
  <c r="H109" i="3" s="1"/>
  <c r="P109" i="3" s="1" a="1"/>
  <c r="P109" i="3" s="1"/>
  <c r="Q109" i="3" s="1"/>
  <c r="U129" i="3"/>
  <c r="H129" i="3" s="1"/>
  <c r="P129" i="3" s="1" a="1"/>
  <c r="P129" i="3" s="1"/>
  <c r="Q129" i="3" s="1"/>
  <c r="U85" i="3"/>
  <c r="H85" i="3" s="1"/>
  <c r="U5" i="3"/>
  <c r="H5" i="3" s="1"/>
  <c r="U151" i="3"/>
  <c r="H151" i="3" s="1"/>
  <c r="Y13" i="3"/>
  <c r="Z13" i="3" s="1"/>
  <c r="K157" i="3" a="1"/>
  <c r="K157" i="3" s="1"/>
  <c r="Y66" i="3"/>
  <c r="Z66" i="3" s="1"/>
  <c r="K18" i="3" a="1"/>
  <c r="K18" i="3" s="1"/>
  <c r="Y139" i="3"/>
  <c r="Z139" i="3" s="1"/>
  <c r="Y89" i="3"/>
  <c r="Z89" i="3" s="1"/>
  <c r="Y83" i="3"/>
  <c r="Z83" i="3" s="1"/>
  <c r="Y103" i="3"/>
  <c r="Z103" i="3" s="1"/>
  <c r="J100" i="3" a="1"/>
  <c r="J100" i="3" s="1"/>
  <c r="J43" i="3" a="1"/>
  <c r="J43" i="3" s="1"/>
  <c r="K76" i="3" a="1"/>
  <c r="K76" i="3" s="1"/>
  <c r="L101" i="3" a="1"/>
  <c r="L101" i="3" s="1"/>
  <c r="L29" i="3" a="1"/>
  <c r="L29" i="3" s="1"/>
  <c r="J13" i="3" a="1"/>
  <c r="J13" i="3" s="1"/>
  <c r="J54" i="3" a="1"/>
  <c r="J54" i="3" s="1"/>
  <c r="J85" i="3" a="1"/>
  <c r="J85" i="3" s="1"/>
  <c r="J126" i="3" a="1"/>
  <c r="J126" i="3" s="1"/>
  <c r="K150" i="3" a="1"/>
  <c r="K150" i="3" s="1"/>
  <c r="J93" i="3" a="1"/>
  <c r="J93" i="3" s="1"/>
  <c r="J70" i="3" a="1"/>
  <c r="J70" i="3" s="1"/>
  <c r="J127" i="3" a="1"/>
  <c r="J127" i="3" s="1"/>
  <c r="L135" i="3" a="1"/>
  <c r="L135" i="3" s="1"/>
  <c r="J14" i="3" a="1"/>
  <c r="J14" i="3" s="1"/>
  <c r="J7" i="3" a="1"/>
  <c r="J7" i="3" s="1"/>
  <c r="M77" i="3" a="1"/>
  <c r="M77" i="3" s="1"/>
  <c r="M87" i="3" a="1"/>
  <c r="M87" i="3" s="1"/>
  <c r="L117" i="3" a="1"/>
  <c r="L117" i="3" s="1"/>
  <c r="O13" i="3" a="1"/>
  <c r="O13" i="3" s="1"/>
  <c r="N86" i="3" a="1"/>
  <c r="N86" i="3" s="1"/>
  <c r="N45" i="3" a="1"/>
  <c r="N45" i="3" s="1"/>
  <c r="N158" i="3" a="1"/>
  <c r="N158" i="3" s="1"/>
  <c r="U67" i="3"/>
  <c r="H67" i="3" s="1"/>
  <c r="M103" i="3" a="1"/>
  <c r="M103" i="3" s="1"/>
  <c r="M174" i="3" a="1"/>
  <c r="M174" i="3" s="1"/>
  <c r="O6" i="3" a="1"/>
  <c r="O6" i="3" s="1"/>
  <c r="O94" i="3" a="1"/>
  <c r="O94" i="3" s="1"/>
  <c r="U121" i="3"/>
  <c r="H121" i="3" s="1"/>
  <c r="U39" i="3"/>
  <c r="H39" i="3" s="1"/>
  <c r="M61" i="3" a="1"/>
  <c r="M61" i="3" s="1"/>
  <c r="N61" i="3" a="1"/>
  <c r="N61" i="3" s="1"/>
  <c r="N174" i="3" a="1"/>
  <c r="N174" i="3" s="1"/>
  <c r="U167" i="3"/>
  <c r="H167" i="3" s="1"/>
  <c r="O134" i="3" a="1"/>
  <c r="O134" i="3" s="1"/>
  <c r="M62" i="3" a="1"/>
  <c r="M62" i="3" s="1"/>
  <c r="N63" i="3" a="1"/>
  <c r="N63" i="3" s="1"/>
  <c r="Y157" i="3"/>
  <c r="Z157" i="3" s="1"/>
  <c r="M134" i="3" a="1"/>
  <c r="M134" i="3" s="1"/>
  <c r="O157" i="3" a="1"/>
  <c r="O157" i="3" s="1"/>
  <c r="N135" i="3" a="1"/>
  <c r="N135" i="3" s="1"/>
  <c r="U24" i="3"/>
  <c r="H24" i="3" s="1"/>
  <c r="U40" i="3"/>
  <c r="H40" i="3" s="1"/>
  <c r="O70" i="3" a="1"/>
  <c r="O70" i="3" s="1"/>
  <c r="U117" i="3"/>
  <c r="H117" i="3" s="1"/>
  <c r="P117" i="3" s="1" a="1"/>
  <c r="P117" i="3" s="1"/>
  <c r="Q117" i="3" s="1"/>
  <c r="O127" i="3" a="1"/>
  <c r="O127" i="3" s="1"/>
  <c r="U144" i="3"/>
  <c r="H144" i="3" s="1"/>
  <c r="P144" i="3" s="1" a="1"/>
  <c r="P144" i="3" s="1"/>
  <c r="Q144" i="3" s="1"/>
  <c r="N14" i="3" a="1"/>
  <c r="N14" i="3" s="1"/>
  <c r="U47" i="3"/>
  <c r="H47" i="3" s="1"/>
  <c r="P47" i="3" s="1" a="1"/>
  <c r="P47" i="3" s="1"/>
  <c r="Q47" i="3" s="1"/>
  <c r="U102" i="3"/>
  <c r="H102" i="3" s="1"/>
  <c r="K128" i="3" a="1"/>
  <c r="K128" i="3" s="1"/>
  <c r="K101" i="3" a="1"/>
  <c r="K101" i="3" s="1"/>
  <c r="Y79" i="3"/>
  <c r="Z79" i="3" s="1"/>
  <c r="Y147" i="3"/>
  <c r="Z147" i="3" s="1"/>
  <c r="K154" i="3" a="1"/>
  <c r="K154" i="3" s="1"/>
  <c r="K89" i="3" a="1"/>
  <c r="K89" i="3" s="1"/>
  <c r="Y164" i="3"/>
  <c r="Z164" i="3" s="1"/>
  <c r="Y165" i="3"/>
  <c r="Z165" i="3" s="1"/>
  <c r="Y122" i="3"/>
  <c r="Z122" i="3" s="1"/>
  <c r="J36" i="3" a="1"/>
  <c r="J36" i="3" s="1"/>
  <c r="K141" i="3" a="1"/>
  <c r="K141" i="3" s="1"/>
  <c r="J152" i="3" a="1"/>
  <c r="J152" i="3" s="1"/>
  <c r="L47" i="3" a="1"/>
  <c r="L47" i="3" s="1"/>
  <c r="J77" i="3" a="1"/>
  <c r="J77" i="3" s="1"/>
  <c r="J118" i="3" a="1"/>
  <c r="J118" i="3" s="1"/>
  <c r="J149" i="3" a="1"/>
  <c r="J149" i="3" s="1"/>
  <c r="K21" i="3" a="1"/>
  <c r="K21" i="3" s="1"/>
  <c r="K135" i="3" a="1"/>
  <c r="K135" i="3" s="1"/>
  <c r="K86" i="3" a="1"/>
  <c r="K86" i="3" s="1"/>
  <c r="M21" i="3" a="1"/>
  <c r="M21" i="3" s="1"/>
  <c r="J157" i="3" a="1"/>
  <c r="J157" i="3" s="1"/>
  <c r="J134" i="3" a="1"/>
  <c r="J134" i="3" s="1"/>
  <c r="J37" i="3" a="1"/>
  <c r="J37" i="3" s="1"/>
  <c r="J78" i="3" a="1"/>
  <c r="J78" i="3" s="1"/>
  <c r="J71" i="3" a="1"/>
  <c r="J71" i="3" s="1"/>
  <c r="M15" i="3" a="1"/>
  <c r="M15" i="3" s="1"/>
  <c r="L165" i="3" a="1"/>
  <c r="L165" i="3" s="1"/>
  <c r="L127" i="3" a="1"/>
  <c r="L127" i="3" s="1"/>
  <c r="J22" i="3" a="1"/>
  <c r="J22" i="3" s="1"/>
  <c r="J15" i="3" a="1"/>
  <c r="J15" i="3" s="1"/>
  <c r="M159" i="3" a="1"/>
  <c r="M159" i="3" s="1"/>
  <c r="J23" i="3" a="1"/>
  <c r="J23" i="3" s="1"/>
  <c r="M29" i="3" a="1"/>
  <c r="M29" i="3" s="1"/>
  <c r="N37" i="3" a="1"/>
  <c r="N37" i="3" s="1"/>
  <c r="N150" i="3" a="1"/>
  <c r="N150" i="3" s="1"/>
  <c r="O174" i="3" a="1"/>
  <c r="O174" i="3" s="1"/>
  <c r="M125" i="3" a="1"/>
  <c r="M125" i="3" s="1"/>
  <c r="N109" i="3" a="1"/>
  <c r="N109" i="3" s="1"/>
  <c r="O86" i="3" a="1"/>
  <c r="O86" i="3" s="1"/>
  <c r="O23" i="3" a="1"/>
  <c r="O23" i="3" s="1"/>
  <c r="O173" i="3" a="1"/>
  <c r="O173" i="3" s="1"/>
  <c r="U3" i="3"/>
  <c r="H3" i="3" s="1"/>
  <c r="N125" i="3" a="1"/>
  <c r="N125" i="3" s="1"/>
  <c r="U98" i="3"/>
  <c r="H98" i="3" s="1"/>
  <c r="Y113" i="3"/>
  <c r="Z113" i="3" s="1"/>
  <c r="M126" i="3" a="1"/>
  <c r="M126" i="3" s="1"/>
  <c r="O125" i="3" a="1"/>
  <c r="O125" i="3" s="1"/>
  <c r="N127" i="3" a="1"/>
  <c r="N127" i="3" s="1"/>
  <c r="U141" i="3"/>
  <c r="H141" i="3" s="1"/>
  <c r="U123" i="3"/>
  <c r="H123" i="3" s="1"/>
  <c r="O54" i="3" a="1"/>
  <c r="O54" i="3" s="1"/>
  <c r="U92" i="3"/>
  <c r="H92" i="3" s="1"/>
  <c r="P92" i="3" s="1" a="1"/>
  <c r="P92" i="3" s="1"/>
  <c r="Q92" i="3" s="1"/>
  <c r="O55" i="3" a="1"/>
  <c r="O55" i="3" s="1"/>
  <c r="U103" i="3"/>
  <c r="H103" i="3" s="1"/>
  <c r="P103" i="3" s="1" a="1"/>
  <c r="P103" i="3" s="1"/>
  <c r="Q103" i="3" s="1"/>
  <c r="N6" i="3" a="1"/>
  <c r="N6" i="3" s="1"/>
  <c r="U172" i="3"/>
  <c r="H172" i="3" s="1"/>
  <c r="P172" i="3" s="1" a="1"/>
  <c r="P172" i="3" s="1"/>
  <c r="Q172" i="3" s="1"/>
  <c r="U89" i="3"/>
  <c r="H89" i="3" s="1"/>
  <c r="L111" i="3" a="1"/>
  <c r="L111" i="3" s="1"/>
  <c r="N78" i="3" a="1"/>
  <c r="N78" i="3" s="1"/>
  <c r="U161" i="3"/>
  <c r="H161" i="3" s="1"/>
  <c r="P161" i="3" s="1" a="1"/>
  <c r="P161" i="3" s="1"/>
  <c r="Q161" i="3" s="1"/>
  <c r="U31" i="3"/>
  <c r="H31" i="3" s="1"/>
  <c r="U62" i="3"/>
  <c r="H62" i="3" s="1"/>
  <c r="Y60" i="3"/>
  <c r="Z60" i="3" s="1"/>
  <c r="Y140" i="3"/>
  <c r="Z140" i="3" s="1"/>
  <c r="K133" i="3" a="1"/>
  <c r="K133" i="3" s="1"/>
  <c r="K156" i="3" a="1"/>
  <c r="K156" i="3" s="1"/>
  <c r="K90" i="3" a="1"/>
  <c r="K90" i="3" s="1"/>
  <c r="Y169" i="3"/>
  <c r="Z169" i="3" s="1"/>
  <c r="Y131" i="3"/>
  <c r="Z131" i="3" s="1"/>
  <c r="Y151" i="3"/>
  <c r="Z151" i="3" s="1"/>
  <c r="K65" i="3" a="1"/>
  <c r="K65" i="3" s="1"/>
  <c r="Y95" i="3"/>
  <c r="Z95" i="3" s="1"/>
  <c r="K52" i="3" a="1"/>
  <c r="K52" i="3" s="1"/>
  <c r="Y33" i="3"/>
  <c r="Z33" i="3" s="1"/>
  <c r="K40" i="3" a="1"/>
  <c r="K40" i="3" s="1"/>
  <c r="J88" i="3" a="1"/>
  <c r="J88" i="3" s="1"/>
  <c r="J141" i="3" a="1"/>
  <c r="J141" i="3" s="1"/>
  <c r="K79" i="3" a="1"/>
  <c r="K79" i="3" s="1"/>
  <c r="L134" i="3" a="1"/>
  <c r="L134" i="3" s="1"/>
  <c r="L109" i="3" a="1"/>
  <c r="L109" i="3" s="1"/>
  <c r="K71" i="3" a="1"/>
  <c r="K71" i="3" s="1"/>
  <c r="K22" i="3" a="1"/>
  <c r="K22" i="3" s="1"/>
  <c r="L126" i="3" a="1"/>
  <c r="L126" i="3" s="1"/>
  <c r="L30" i="3" a="1"/>
  <c r="L30" i="3" s="1"/>
  <c r="J101" i="3" a="1"/>
  <c r="J101" i="3" s="1"/>
  <c r="J142" i="3" a="1"/>
  <c r="J142" i="3" s="1"/>
  <c r="J135" i="3" a="1"/>
  <c r="J135" i="3" s="1"/>
  <c r="L87" i="3" a="1"/>
  <c r="L87" i="3" s="1"/>
  <c r="J45" i="3" a="1"/>
  <c r="J45" i="3" s="1"/>
  <c r="J86" i="3" a="1"/>
  <c r="J86" i="3" s="1"/>
  <c r="J79" i="3" a="1"/>
  <c r="J79" i="3" s="1"/>
  <c r="M6" i="3" a="1"/>
  <c r="M6" i="3" s="1"/>
  <c r="L150" i="3" a="1"/>
  <c r="L150" i="3" s="1"/>
  <c r="J30" i="3" a="1"/>
  <c r="J30" i="3" s="1"/>
  <c r="J87" i="3" a="1"/>
  <c r="J87" i="3" s="1"/>
  <c r="N101" i="3" a="1"/>
  <c r="N101" i="3" s="1"/>
  <c r="O69" i="3" a="1"/>
  <c r="O69" i="3" s="1"/>
  <c r="M38" i="3" a="1"/>
  <c r="M38" i="3" s="1"/>
  <c r="N173" i="3" a="1"/>
  <c r="N173" i="3" s="1"/>
  <c r="N39" i="3" a="1"/>
  <c r="N39" i="3" s="1"/>
  <c r="O87" i="3" a="1"/>
  <c r="O87" i="3" s="1"/>
  <c r="L77" i="3" a="1"/>
  <c r="L77" i="3" s="1"/>
  <c r="N38" i="3" a="1"/>
  <c r="N38" i="3" s="1"/>
  <c r="U57" i="3"/>
  <c r="H57" i="3" s="1"/>
  <c r="P57" i="3" s="1" a="1"/>
  <c r="P57" i="3" s="1"/>
  <c r="Q57" i="3" s="1"/>
  <c r="M54" i="3" a="1"/>
  <c r="M54" i="3" s="1"/>
  <c r="N55" i="3" a="1"/>
  <c r="N55" i="3" s="1"/>
  <c r="O39" i="3" a="1"/>
  <c r="O39" i="3" s="1"/>
  <c r="O38" i="3" a="1"/>
  <c r="O38" i="3" s="1"/>
  <c r="O149" i="3" a="1"/>
  <c r="O149" i="3" s="1"/>
  <c r="O47" i="3" a="1"/>
  <c r="O47" i="3" s="1"/>
  <c r="U96" i="3"/>
  <c r="H96" i="3" s="1"/>
  <c r="U55" i="3"/>
  <c r="H55" i="3" s="1"/>
  <c r="P55" i="3" s="1" a="1"/>
  <c r="P55" i="3" s="1"/>
  <c r="Q55" i="3" s="1"/>
  <c r="O119" i="3" a="1"/>
  <c r="O119" i="3" s="1"/>
  <c r="U131" i="3"/>
  <c r="H131" i="3" s="1"/>
  <c r="P131" i="3" s="1" a="1"/>
  <c r="P131" i="3" s="1"/>
  <c r="Q131" i="3" s="1"/>
  <c r="N70" i="3" a="1"/>
  <c r="N70" i="3" s="1"/>
  <c r="U25" i="3"/>
  <c r="H25" i="3" s="1"/>
  <c r="U56" i="3"/>
  <c r="H56" i="3" s="1"/>
  <c r="P56" i="3" s="1" a="1"/>
  <c r="P56" i="3" s="1"/>
  <c r="Q56" i="3" s="1"/>
  <c r="N29" i="3" a="1"/>
  <c r="N29" i="3" s="1"/>
  <c r="N142" i="3" a="1"/>
  <c r="N142" i="3" s="1"/>
  <c r="O166" i="3" a="1"/>
  <c r="O166" i="3" s="1"/>
  <c r="U88" i="3"/>
  <c r="H88" i="3" s="1"/>
  <c r="P88" i="3" s="1" a="1"/>
  <c r="P88" i="3" s="1"/>
  <c r="Q88" i="3" s="1"/>
  <c r="U118" i="3"/>
  <c r="H118" i="3" s="1"/>
  <c r="Y172" i="3"/>
  <c r="Z172" i="3" s="1"/>
  <c r="K165" i="3" a="1"/>
  <c r="K165" i="3" s="1"/>
  <c r="Y124" i="3"/>
  <c r="Z124" i="3" s="1"/>
  <c r="K42" i="3" a="1"/>
  <c r="K42" i="3" s="1"/>
  <c r="K53" i="3" a="1"/>
  <c r="K53" i="3" s="1"/>
  <c r="Y143" i="3"/>
  <c r="Z143" i="3" s="1"/>
  <c r="Y106" i="3"/>
  <c r="Z106" i="3" s="1"/>
  <c r="K130" i="3" a="1"/>
  <c r="K130" i="3" s="1"/>
  <c r="Y158" i="3"/>
  <c r="Z158" i="3" s="1"/>
  <c r="Y114" i="3"/>
  <c r="Z114" i="3" s="1"/>
  <c r="K117" i="3" a="1"/>
  <c r="K117" i="3" s="1"/>
  <c r="Y136" i="3"/>
  <c r="Z136" i="3" s="1"/>
  <c r="Y44" i="3"/>
  <c r="Z44" i="3" s="1"/>
  <c r="K105" i="3" a="1"/>
  <c r="K105" i="3" s="1"/>
  <c r="J129" i="3" a="1"/>
  <c r="J129" i="3" s="1"/>
  <c r="J24" i="3" a="1"/>
  <c r="J24" i="3" s="1"/>
  <c r="L141" i="3" a="1"/>
  <c r="L141" i="3" s="1"/>
  <c r="K15" i="3" a="1"/>
  <c r="K15" i="3" s="1"/>
  <c r="L79" i="3" a="1"/>
  <c r="L79" i="3" s="1"/>
  <c r="M135" i="3" a="1"/>
  <c r="M135" i="3" s="1"/>
  <c r="K7" i="3" a="1"/>
  <c r="K7" i="3" s="1"/>
  <c r="M119" i="3" a="1"/>
  <c r="M119" i="3" s="1"/>
  <c r="K173" i="3" a="1"/>
  <c r="K173" i="3" s="1"/>
  <c r="L23" i="3" a="1"/>
  <c r="L23" i="3" s="1"/>
  <c r="K142" i="3" a="1"/>
  <c r="K142" i="3" s="1"/>
  <c r="J165" i="3" a="1"/>
  <c r="J165" i="3" s="1"/>
  <c r="L22" i="3" a="1"/>
  <c r="L22" i="3" s="1"/>
  <c r="J109" i="3" a="1"/>
  <c r="J109" i="3" s="1"/>
  <c r="J150" i="3" a="1"/>
  <c r="J150" i="3" s="1"/>
  <c r="J143" i="3" a="1"/>
  <c r="J143" i="3" s="1"/>
  <c r="L53" i="3" a="1"/>
  <c r="L53" i="3" s="1"/>
  <c r="J53" i="3" a="1"/>
  <c r="J53" i="3" s="1"/>
  <c r="J94" i="3" a="1"/>
  <c r="J94" i="3" s="1"/>
  <c r="J151" i="3" a="1"/>
  <c r="J151" i="3" s="1"/>
  <c r="M30" i="3" a="1"/>
  <c r="M30" i="3" s="1"/>
  <c r="N165" i="3" a="1"/>
  <c r="N165" i="3" s="1"/>
  <c r="N31" i="3" a="1"/>
  <c r="N31" i="3" s="1"/>
  <c r="O15" i="3" a="1"/>
  <c r="O15" i="3" s="1"/>
  <c r="M102" i="3" a="1"/>
  <c r="M102" i="3" s="1"/>
  <c r="O62" i="3" a="1"/>
  <c r="O62" i="3" s="1"/>
  <c r="O165" i="3" a="1"/>
  <c r="O165" i="3" s="1"/>
  <c r="N103" i="3" a="1"/>
  <c r="N103" i="3" s="1"/>
  <c r="O151" i="3" a="1"/>
  <c r="O151" i="3" s="1"/>
  <c r="O45" i="3" a="1"/>
  <c r="O45" i="3" s="1"/>
  <c r="N102" i="3" a="1"/>
  <c r="N102" i="3" s="1"/>
  <c r="U84" i="3"/>
  <c r="H84" i="3" s="1"/>
  <c r="O126" i="3" a="1"/>
  <c r="O126" i="3" s="1"/>
  <c r="U106" i="3"/>
  <c r="H106" i="3" s="1"/>
  <c r="M118" i="3" a="1"/>
  <c r="M118" i="3" s="1"/>
  <c r="O101" i="3" a="1"/>
  <c r="O101" i="3" s="1"/>
  <c r="N119" i="3" a="1"/>
  <c r="N119" i="3" s="1"/>
  <c r="O103" i="3" a="1"/>
  <c r="O103" i="3" s="1"/>
  <c r="U36" i="3"/>
  <c r="H36" i="3" s="1"/>
  <c r="O111" i="3" a="1"/>
  <c r="O111" i="3" s="1"/>
  <c r="U126" i="3"/>
  <c r="H126" i="3" s="1"/>
  <c r="U166" i="3"/>
  <c r="H166" i="3" s="1"/>
  <c r="N62" i="3" a="1"/>
  <c r="N62" i="3" s="1"/>
  <c r="U70" i="3"/>
  <c r="H70" i="3" s="1"/>
  <c r="Y22" i="3"/>
  <c r="Z22" i="3" s="1"/>
  <c r="N21" i="3" a="1"/>
  <c r="N21" i="3" s="1"/>
  <c r="N134" i="3" a="1"/>
  <c r="N134" i="3" s="1"/>
  <c r="U147" i="3"/>
  <c r="H147" i="3" s="1"/>
  <c r="U81" i="3"/>
  <c r="H81" i="3" s="1"/>
  <c r="U112" i="3"/>
  <c r="H112" i="3" s="1"/>
  <c r="N93" i="3" a="1"/>
  <c r="N93" i="3" s="1"/>
  <c r="O53" i="3" a="1"/>
  <c r="O53" i="3" s="1"/>
  <c r="U54" i="3"/>
  <c r="H54" i="3" s="1"/>
  <c r="U48" i="3"/>
  <c r="H48" i="3" s="1"/>
  <c r="U150" i="3"/>
  <c r="H150" i="3" s="1"/>
  <c r="P150" i="3" s="1" a="1"/>
  <c r="P150" i="3" s="1"/>
  <c r="Q150" i="3" s="1"/>
  <c r="Y167" i="3"/>
  <c r="Z167" i="3" s="1"/>
  <c r="Y28" i="3"/>
  <c r="Z28" i="3" s="1"/>
  <c r="K28" i="3" a="1"/>
  <c r="K28" i="3" s="1"/>
  <c r="Y174" i="3"/>
  <c r="Z174" i="3" s="1"/>
  <c r="K16" i="3" a="1"/>
  <c r="K16" i="3" s="1"/>
  <c r="Y14" i="3"/>
  <c r="Z14" i="3" s="1"/>
  <c r="Y108" i="3"/>
  <c r="Z108" i="3" s="1"/>
  <c r="J170" i="3" a="1"/>
  <c r="J170" i="3" s="1"/>
  <c r="J65" i="3" a="1"/>
  <c r="J65" i="3" s="1"/>
  <c r="AB487" i="3" l="1"/>
  <c r="AA191" i="3"/>
  <c r="O487" i="3" a="1"/>
  <c r="O487" i="3" s="1"/>
  <c r="K492" i="3" a="1"/>
  <c r="K492" i="3" s="1"/>
  <c r="U242" i="3"/>
  <c r="AC45" i="3"/>
  <c r="D12" i="11"/>
  <c r="D13" i="11"/>
  <c r="L492" i="3" a="1"/>
  <c r="L492" i="3" s="1"/>
  <c r="O492" i="3" a="1"/>
  <c r="O492" i="3" s="1"/>
  <c r="AA492" i="3"/>
  <c r="AC476" i="3"/>
  <c r="J490" i="3" a="1"/>
  <c r="J490" i="3" s="1"/>
  <c r="AA490" i="3"/>
  <c r="C490" i="3" s="1"/>
  <c r="AA491" i="3"/>
  <c r="Z488" i="3"/>
  <c r="AB491" i="3"/>
  <c r="C491" i="3" s="1"/>
  <c r="AC483" i="3"/>
  <c r="AA478" i="3"/>
  <c r="J492" i="3" a="1"/>
  <c r="J492" i="3" s="1"/>
  <c r="AC488" i="3"/>
  <c r="D488" i="3" s="1"/>
  <c r="AB492" i="3"/>
  <c r="M481" i="3" a="1"/>
  <c r="M481" i="3" s="1"/>
  <c r="O481" i="3" a="1"/>
  <c r="O481" i="3" s="1"/>
  <c r="K481" i="3" a="1"/>
  <c r="K481" i="3" s="1"/>
  <c r="AD484" i="3"/>
  <c r="D484" i="3" s="1"/>
  <c r="AD485" i="3"/>
  <c r="N481" i="3" a="1"/>
  <c r="N481" i="3" s="1"/>
  <c r="AD478" i="3"/>
  <c r="U495" i="3"/>
  <c r="V495" i="3" s="1"/>
  <c r="AC491" i="3"/>
  <c r="AC482" i="3"/>
  <c r="D482" i="3" s="1"/>
  <c r="J502" i="3" a="1"/>
  <c r="J502" i="3" s="1"/>
  <c r="K502" i="3" a="1"/>
  <c r="K502" i="3" s="1"/>
  <c r="AC501" i="3"/>
  <c r="N499" i="3" a="1"/>
  <c r="N499" i="3" s="1"/>
  <c r="AC497" i="3"/>
  <c r="L502" i="3" a="1"/>
  <c r="L502" i="3" s="1"/>
  <c r="V502" i="3"/>
  <c r="Y497" i="3"/>
  <c r="Z497" i="3" s="1"/>
  <c r="AD477" i="3"/>
  <c r="AD493" i="3"/>
  <c r="AA500" i="3"/>
  <c r="AC478" i="3"/>
  <c r="D478" i="3" s="1"/>
  <c r="K491" i="3" a="1"/>
  <c r="K491" i="3" s="1"/>
  <c r="AD501" i="3"/>
  <c r="M499" i="3" a="1"/>
  <c r="M499" i="3" s="1"/>
  <c r="M502" i="3" a="1"/>
  <c r="M502" i="3" s="1"/>
  <c r="O494" i="3" a="1"/>
  <c r="O494" i="3" s="1"/>
  <c r="AC490" i="3"/>
  <c r="AB476" i="3"/>
  <c r="AA497" i="3"/>
  <c r="C497" i="3" s="1"/>
  <c r="AB496" i="3"/>
  <c r="AA496" i="3"/>
  <c r="K494" i="3" a="1"/>
  <c r="K494" i="3" s="1"/>
  <c r="H502" i="3"/>
  <c r="R502" i="3" s="1"/>
  <c r="H491" i="3"/>
  <c r="R491" i="3" s="1"/>
  <c r="J491" i="3" a="1"/>
  <c r="J491" i="3" s="1"/>
  <c r="H494" i="3"/>
  <c r="V491" i="3"/>
  <c r="N491" i="3" a="1"/>
  <c r="N491" i="3" s="1"/>
  <c r="M491" i="3" a="1"/>
  <c r="M491" i="3" s="1"/>
  <c r="N494" i="3" a="1"/>
  <c r="N494" i="3" s="1"/>
  <c r="AA488" i="3"/>
  <c r="O477" i="3" a="1"/>
  <c r="O477" i="3" s="1"/>
  <c r="O491" i="3" a="1"/>
  <c r="O491" i="3" s="1"/>
  <c r="N489" i="3" a="1"/>
  <c r="N489" i="3" s="1"/>
  <c r="L481" i="3" a="1"/>
  <c r="L481" i="3" s="1"/>
  <c r="M489" i="3" a="1"/>
  <c r="M489" i="3" s="1"/>
  <c r="D89" i="6"/>
  <c r="M474" i="3" a="1"/>
  <c r="M474" i="3" s="1"/>
  <c r="O474" i="3" a="1"/>
  <c r="O474" i="3" s="1"/>
  <c r="AD476" i="3"/>
  <c r="AC485" i="3"/>
  <c r="D485" i="3" s="1"/>
  <c r="N474" i="3" a="1"/>
  <c r="N474" i="3" s="1"/>
  <c r="AD486" i="3"/>
  <c r="D486" i="3" s="1"/>
  <c r="AB482" i="3"/>
  <c r="N479" i="3" a="1"/>
  <c r="N479" i="3" s="1"/>
  <c r="AC493" i="3"/>
  <c r="D493" i="3" s="1"/>
  <c r="AA465" i="3"/>
  <c r="AD492" i="3"/>
  <c r="Y489" i="3"/>
  <c r="Z489" i="3" s="1"/>
  <c r="AD489" i="3"/>
  <c r="D489" i="3" s="1"/>
  <c r="AD479" i="3"/>
  <c r="U492" i="3"/>
  <c r="U195" i="3"/>
  <c r="AB501" i="3"/>
  <c r="C501" i="3" s="1"/>
  <c r="C498" i="3"/>
  <c r="H499" i="3"/>
  <c r="R499" i="3" s="1"/>
  <c r="V490" i="3"/>
  <c r="AA484" i="3"/>
  <c r="J494" i="3" a="1"/>
  <c r="J494" i="3" s="1"/>
  <c r="U489" i="3"/>
  <c r="H489" i="3" s="1"/>
  <c r="Y502" i="3"/>
  <c r="Z502" i="3" s="1"/>
  <c r="U500" i="3"/>
  <c r="L490" i="3" a="1"/>
  <c r="L490" i="3" s="1"/>
  <c r="U496" i="3"/>
  <c r="L473" i="3" a="1"/>
  <c r="L473" i="3" s="1"/>
  <c r="O473" i="3" a="1"/>
  <c r="O473" i="3" s="1"/>
  <c r="AD483" i="3"/>
  <c r="AB485" i="3"/>
  <c r="O499" i="3" a="1"/>
  <c r="O499" i="3" s="1"/>
  <c r="J499" i="3" a="1"/>
  <c r="J499" i="3" s="1"/>
  <c r="K490" i="3" a="1"/>
  <c r="K490" i="3" s="1"/>
  <c r="C493" i="3"/>
  <c r="L499" i="3" a="1"/>
  <c r="L499" i="3" s="1"/>
  <c r="M494" i="3" a="1"/>
  <c r="M494" i="3" s="1"/>
  <c r="AA493" i="3"/>
  <c r="K473" i="3" a="1"/>
  <c r="K473" i="3" s="1"/>
  <c r="AD482" i="3"/>
  <c r="K499" i="3" a="1"/>
  <c r="K499" i="3" s="1"/>
  <c r="N490" i="3" a="1"/>
  <c r="N490" i="3" s="1"/>
  <c r="AB489" i="3"/>
  <c r="AD499" i="3"/>
  <c r="D499" i="3" s="1"/>
  <c r="J473" i="3" a="1"/>
  <c r="J473" i="3" s="1"/>
  <c r="AB484" i="3"/>
  <c r="U488" i="3"/>
  <c r="H488" i="3" s="1"/>
  <c r="D90" i="6"/>
  <c r="E90" i="6"/>
  <c r="M473" i="3" a="1"/>
  <c r="M473" i="3" s="1"/>
  <c r="AA482" i="3"/>
  <c r="AA473" i="3"/>
  <c r="AB473" i="3"/>
  <c r="C487" i="3"/>
  <c r="AA477" i="3"/>
  <c r="L489" i="3" a="1"/>
  <c r="L489" i="3" s="1"/>
  <c r="AB460" i="3"/>
  <c r="Y492" i="3"/>
  <c r="Z492" i="3" s="1"/>
  <c r="Y493" i="3"/>
  <c r="Z493" i="3" s="1"/>
  <c r="U498" i="3"/>
  <c r="P490" i="3" a="1"/>
  <c r="P490" i="3" s="1"/>
  <c r="Q490" i="3" s="1"/>
  <c r="Y500" i="3"/>
  <c r="Z500" i="3" s="1"/>
  <c r="AD459" i="3"/>
  <c r="AA469" i="3"/>
  <c r="O478" i="3" a="1"/>
  <c r="O478" i="3" s="1"/>
  <c r="Y499" i="3"/>
  <c r="Z499" i="3" s="1"/>
  <c r="R494" i="3"/>
  <c r="P494" i="3" a="1"/>
  <c r="P494" i="3" s="1"/>
  <c r="Q494" i="3" s="1"/>
  <c r="H496" i="3"/>
  <c r="V496" i="3"/>
  <c r="O483" i="3" a="1"/>
  <c r="O483" i="3" s="1"/>
  <c r="J489" i="3" a="1"/>
  <c r="J489" i="3" s="1"/>
  <c r="AC500" i="3"/>
  <c r="Y491" i="3"/>
  <c r="Z491" i="3" s="1"/>
  <c r="AA489" i="3"/>
  <c r="C489" i="3" s="1"/>
  <c r="AD491" i="3"/>
  <c r="D491" i="3" s="1"/>
  <c r="U497" i="3"/>
  <c r="AB500" i="3"/>
  <c r="C500" i="3" s="1"/>
  <c r="Y494" i="3"/>
  <c r="Z494" i="3" s="1"/>
  <c r="U487" i="3"/>
  <c r="U493" i="3"/>
  <c r="Y490" i="3"/>
  <c r="Z490" i="3" s="1"/>
  <c r="AD490" i="3"/>
  <c r="Y498" i="3"/>
  <c r="Z498" i="3" s="1"/>
  <c r="P491" i="3" a="1"/>
  <c r="P491" i="3" s="1"/>
  <c r="Q491" i="3" s="1"/>
  <c r="AC502" i="3"/>
  <c r="Z487" i="3"/>
  <c r="AA494" i="3"/>
  <c r="C494" i="3" s="1"/>
  <c r="P499" i="3" a="1"/>
  <c r="P499" i="3" s="1"/>
  <c r="Q499" i="3" s="1"/>
  <c r="J497" i="3" a="1"/>
  <c r="J497" i="3" s="1"/>
  <c r="AA502" i="3"/>
  <c r="C502" i="3" s="1"/>
  <c r="P502" i="3" a="1"/>
  <c r="P502" i="3" s="1"/>
  <c r="Q502" i="3" s="1"/>
  <c r="D500" i="3"/>
  <c r="AC492" i="3"/>
  <c r="D492" i="3" s="1"/>
  <c r="V494" i="3"/>
  <c r="C488" i="3"/>
  <c r="AC456" i="3"/>
  <c r="AB462" i="3"/>
  <c r="AC467" i="3"/>
  <c r="D14" i="11"/>
  <c r="U206" i="3"/>
  <c r="AA28" i="3"/>
  <c r="AB208" i="3"/>
  <c r="AD183" i="3"/>
  <c r="AC213" i="3"/>
  <c r="AD181" i="3"/>
  <c r="U210" i="3"/>
  <c r="Y218" i="3"/>
  <c r="Z218" i="3" s="1"/>
  <c r="AC198" i="3"/>
  <c r="AD176" i="3"/>
  <c r="O457" i="3" a="1"/>
  <c r="O457" i="3" s="1"/>
  <c r="L457" i="3" a="1"/>
  <c r="L457" i="3" s="1"/>
  <c r="Y182" i="3"/>
  <c r="Z182" i="3" s="1"/>
  <c r="AC473" i="3"/>
  <c r="Y216" i="3"/>
  <c r="Z216" i="3" s="1"/>
  <c r="AC236" i="3"/>
  <c r="AD474" i="3"/>
  <c r="AC207" i="3"/>
  <c r="O482" i="3" a="1"/>
  <c r="O482" i="3" s="1"/>
  <c r="N477" i="3" a="1"/>
  <c r="N477" i="3" s="1"/>
  <c r="AD177" i="3"/>
  <c r="Y269" i="3"/>
  <c r="AD205" i="3"/>
  <c r="Y179" i="3"/>
  <c r="Z179" i="3" s="1"/>
  <c r="AA184" i="3"/>
  <c r="N184" i="3" a="1"/>
  <c r="N184" i="3" s="1"/>
  <c r="O197" i="3" a="1"/>
  <c r="O197" i="3" s="1"/>
  <c r="M203" i="3" a="1"/>
  <c r="M203" i="3" s="1"/>
  <c r="AB183" i="3"/>
  <c r="AD217" i="3"/>
  <c r="AB212" i="3"/>
  <c r="AC14" i="3"/>
  <c r="AB200" i="3"/>
  <c r="AA233" i="3"/>
  <c r="AD31" i="3"/>
  <c r="L215" i="3" a="1"/>
  <c r="L215" i="3" s="1"/>
  <c r="AD223" i="3"/>
  <c r="Y205" i="3"/>
  <c r="Z205" i="3" s="1"/>
  <c r="AD214" i="3"/>
  <c r="AC184" i="3"/>
  <c r="Y226" i="3"/>
  <c r="Z226" i="3" s="1"/>
  <c r="U215" i="3"/>
  <c r="U202" i="3"/>
  <c r="H202" i="3" s="1"/>
  <c r="Y199" i="3"/>
  <c r="Z199" i="3" s="1"/>
  <c r="AA188" i="3"/>
  <c r="AA111" i="3"/>
  <c r="AA205" i="3"/>
  <c r="AB165" i="3"/>
  <c r="AD171" i="3"/>
  <c r="AD65" i="3"/>
  <c r="AD13" i="3"/>
  <c r="AB47" i="3"/>
  <c r="J215" i="3" a="1"/>
  <c r="J215" i="3" s="1"/>
  <c r="O222" i="3" a="1"/>
  <c r="O222" i="3" s="1"/>
  <c r="J231" i="3" a="1"/>
  <c r="J231" i="3" s="1"/>
  <c r="M222" i="3" a="1"/>
  <c r="M222" i="3" s="1"/>
  <c r="AB203" i="3"/>
  <c r="AB175" i="3"/>
  <c r="AA198" i="3"/>
  <c r="AD126" i="3"/>
  <c r="AB246" i="3"/>
  <c r="U224" i="3"/>
  <c r="AB12" i="3"/>
  <c r="AB215" i="3"/>
  <c r="AB195" i="3"/>
  <c r="AD89" i="3"/>
  <c r="AB221" i="3"/>
  <c r="AB21" i="3"/>
  <c r="AA218" i="3"/>
  <c r="AB139" i="3"/>
  <c r="AC19" i="3"/>
  <c r="K482" i="3" a="1"/>
  <c r="K482" i="3" s="1"/>
  <c r="J227" i="3" a="1"/>
  <c r="J227" i="3" s="1"/>
  <c r="AC242" i="3"/>
  <c r="Y231" i="3"/>
  <c r="U186" i="3"/>
  <c r="AD93" i="3"/>
  <c r="AB262" i="3"/>
  <c r="AD185" i="3"/>
  <c r="AC209" i="3"/>
  <c r="U182" i="3"/>
  <c r="AB144" i="3"/>
  <c r="AA168" i="3"/>
  <c r="L482" i="3" a="1"/>
  <c r="L482" i="3" s="1"/>
  <c r="AC224" i="3"/>
  <c r="AD179" i="3"/>
  <c r="Z210" i="3"/>
  <c r="N230" i="3" a="1"/>
  <c r="N230" i="3" s="1"/>
  <c r="AA230" i="3"/>
  <c r="O269" i="3" a="1"/>
  <c r="O269" i="3" s="1"/>
  <c r="AA196" i="3"/>
  <c r="AC200" i="3"/>
  <c r="AA200" i="3"/>
  <c r="AA94" i="3"/>
  <c r="AB87" i="3"/>
  <c r="L210" i="3" a="1"/>
  <c r="L210" i="3" s="1"/>
  <c r="L266" i="3" a="1"/>
  <c r="L266" i="3" s="1"/>
  <c r="K183" i="3" a="1"/>
  <c r="K183" i="3" s="1"/>
  <c r="J236" i="3" a="1"/>
  <c r="J236" i="3" s="1"/>
  <c r="J266" i="3" a="1"/>
  <c r="J266" i="3" s="1"/>
  <c r="L183" i="3" a="1"/>
  <c r="L183" i="3" s="1"/>
  <c r="AA235" i="3"/>
  <c r="AC92" i="3"/>
  <c r="N195" i="3" a="1"/>
  <c r="N195" i="3" s="1"/>
  <c r="M210" i="3" a="1"/>
  <c r="M210" i="3" s="1"/>
  <c r="N210" i="3" a="1"/>
  <c r="N210" i="3" s="1"/>
  <c r="K266" i="3" a="1"/>
  <c r="K266" i="3" s="1"/>
  <c r="AC214" i="3"/>
  <c r="Y212" i="3"/>
  <c r="Z212" i="3" s="1"/>
  <c r="AA214" i="3"/>
  <c r="AD184" i="3"/>
  <c r="AC216" i="3"/>
  <c r="M230" i="3" a="1"/>
  <c r="M230" i="3" s="1"/>
  <c r="J188" i="3" a="1"/>
  <c r="J188" i="3" s="1"/>
  <c r="V232" i="3"/>
  <c r="AB184" i="3"/>
  <c r="AB222" i="3"/>
  <c r="D90" i="3"/>
  <c r="U191" i="3"/>
  <c r="H191" i="3" s="1"/>
  <c r="L195" i="3" a="1"/>
  <c r="L195" i="3" s="1"/>
  <c r="J237" i="3" a="1"/>
  <c r="J237" i="3" s="1"/>
  <c r="C24" i="3"/>
  <c r="AA65" i="3"/>
  <c r="K241" i="3" a="1"/>
  <c r="K241" i="3" s="1"/>
  <c r="N183" i="3" a="1"/>
  <c r="N183" i="3" s="1"/>
  <c r="O186" i="3" a="1"/>
  <c r="O186" i="3" s="1"/>
  <c r="J203" i="3" a="1"/>
  <c r="J203" i="3" s="1"/>
  <c r="O211" i="3" a="1"/>
  <c r="O211" i="3" s="1"/>
  <c r="O230" i="3" a="1"/>
  <c r="O230" i="3" s="1"/>
  <c r="N203" i="3" a="1"/>
  <c r="N203" i="3" s="1"/>
  <c r="AD235" i="3"/>
  <c r="AA258" i="3"/>
  <c r="U212" i="3"/>
  <c r="AD203" i="3"/>
  <c r="AD196" i="3"/>
  <c r="AB182" i="3"/>
  <c r="H226" i="3"/>
  <c r="Y197" i="3"/>
  <c r="AB199" i="3"/>
  <c r="AC175" i="3"/>
  <c r="AC195" i="3"/>
  <c r="AD28" i="3"/>
  <c r="AD25" i="3"/>
  <c r="AA118" i="3"/>
  <c r="AD125" i="3"/>
  <c r="AB114" i="3"/>
  <c r="AD102" i="3"/>
  <c r="AC15" i="3"/>
  <c r="AD143" i="3"/>
  <c r="Y74" i="3"/>
  <c r="Z74" i="3" s="1"/>
  <c r="AD192" i="3"/>
  <c r="AC34" i="3"/>
  <c r="AB72" i="3"/>
  <c r="C72" i="3" s="1"/>
  <c r="AB477" i="3"/>
  <c r="C477" i="3" s="1"/>
  <c r="U181" i="3"/>
  <c r="M484" i="3" a="1"/>
  <c r="M484" i="3" s="1"/>
  <c r="AA476" i="3"/>
  <c r="C476" i="3" s="1"/>
  <c r="J195" i="3" a="1"/>
  <c r="J195" i="3" s="1"/>
  <c r="AC229" i="3"/>
  <c r="AA229" i="3"/>
  <c r="AC220" i="3"/>
  <c r="AC188" i="3"/>
  <c r="AD219" i="3"/>
  <c r="AD134" i="3"/>
  <c r="Y187" i="3"/>
  <c r="AD99" i="3"/>
  <c r="AD199" i="3"/>
  <c r="AB79" i="3"/>
  <c r="AA20" i="3"/>
  <c r="AD53" i="3"/>
  <c r="AA170" i="3"/>
  <c r="Y229" i="3"/>
  <c r="AD210" i="3"/>
  <c r="AC161" i="3"/>
  <c r="AC245" i="3"/>
  <c r="AD110" i="3"/>
  <c r="AD147" i="3"/>
  <c r="Y192" i="3"/>
  <c r="K484" i="3" a="1"/>
  <c r="K484" i="3" s="1"/>
  <c r="L484" i="3" a="1"/>
  <c r="L484" i="3" s="1"/>
  <c r="Y178" i="3"/>
  <c r="Z178" i="3" s="1"/>
  <c r="N484" i="3" a="1"/>
  <c r="N484" i="3" s="1"/>
  <c r="AD475" i="3"/>
  <c r="Z184" i="3"/>
  <c r="AB204" i="3"/>
  <c r="AA186" i="3"/>
  <c r="AB236" i="3"/>
  <c r="AC150" i="3"/>
  <c r="AB244" i="3"/>
  <c r="AC255" i="3"/>
  <c r="U190" i="3"/>
  <c r="AD45" i="3"/>
  <c r="Y110" i="3"/>
  <c r="Z110" i="3" s="1"/>
  <c r="Z192" i="3"/>
  <c r="AD197" i="3"/>
  <c r="Y180" i="3"/>
  <c r="Z180" i="3" s="1"/>
  <c r="AD75" i="3"/>
  <c r="O434" i="3" a="1"/>
  <c r="O434" i="3" s="1"/>
  <c r="U183" i="3"/>
  <c r="AB196" i="3"/>
  <c r="AB91" i="3"/>
  <c r="AA183" i="3"/>
  <c r="AD105" i="3"/>
  <c r="AC91" i="3"/>
  <c r="J434" i="3" a="1"/>
  <c r="J434" i="3" s="1"/>
  <c r="Y241" i="3"/>
  <c r="Z241" i="3" s="1"/>
  <c r="U200" i="3"/>
  <c r="AC85" i="3"/>
  <c r="AD191" i="3"/>
  <c r="AC61" i="3"/>
  <c r="Y225" i="3"/>
  <c r="N223" i="3" a="1"/>
  <c r="N223" i="3" s="1"/>
  <c r="J223" i="3" a="1"/>
  <c r="J223" i="3" s="1"/>
  <c r="O223" i="3" a="1"/>
  <c r="O223" i="3" s="1"/>
  <c r="AD187" i="3"/>
  <c r="M201" i="3" a="1"/>
  <c r="M201" i="3" s="1"/>
  <c r="K201" i="3" a="1"/>
  <c r="K201" i="3" s="1"/>
  <c r="L201" i="3" a="1"/>
  <c r="L201" i="3" s="1"/>
  <c r="AD207" i="3"/>
  <c r="AD42" i="3"/>
  <c r="AD172" i="3"/>
  <c r="AC172" i="3"/>
  <c r="AC46" i="3"/>
  <c r="AD46" i="3"/>
  <c r="K260" i="3" a="1"/>
  <c r="K260" i="3" s="1"/>
  <c r="N260" i="3" a="1"/>
  <c r="N260" i="3" s="1"/>
  <c r="AB223" i="3"/>
  <c r="AA223" i="3"/>
  <c r="N200" i="3" a="1"/>
  <c r="N200" i="3" s="1"/>
  <c r="O200" i="3" a="1"/>
  <c r="O200" i="3" s="1"/>
  <c r="K200" i="3" a="1"/>
  <c r="K200" i="3" s="1"/>
  <c r="J200" i="3" a="1"/>
  <c r="J200" i="3" s="1"/>
  <c r="AB214" i="3"/>
  <c r="Y214" i="3"/>
  <c r="Z214" i="3" s="1"/>
  <c r="M192" i="3" a="1"/>
  <c r="M192" i="3" s="1"/>
  <c r="O192" i="3" a="1"/>
  <c r="O192" i="3" s="1"/>
  <c r="L192" i="3" a="1"/>
  <c r="L192" i="3" s="1"/>
  <c r="AB95" i="3"/>
  <c r="AC185" i="3"/>
  <c r="AC89" i="3"/>
  <c r="AD95" i="3"/>
  <c r="AB197" i="3"/>
  <c r="AC130" i="3"/>
  <c r="AB205" i="3"/>
  <c r="AC219" i="3"/>
  <c r="L237" i="3" a="1"/>
  <c r="L237" i="3" s="1"/>
  <c r="K240" i="3" a="1"/>
  <c r="K240" i="3" s="1"/>
  <c r="AA178" i="3"/>
  <c r="AD149" i="3"/>
  <c r="C35" i="3"/>
  <c r="N201" i="3" a="1"/>
  <c r="N201" i="3" s="1"/>
  <c r="AA203" i="3"/>
  <c r="K212" i="3" a="1"/>
  <c r="K212" i="3" s="1"/>
  <c r="Y228" i="3"/>
  <c r="N238" i="3" a="1"/>
  <c r="N238" i="3" s="1"/>
  <c r="J241" i="3" a="1"/>
  <c r="J241" i="3" s="1"/>
  <c r="M228" i="3" a="1"/>
  <c r="M228" i="3" s="1"/>
  <c r="N228" i="3" a="1"/>
  <c r="N228" i="3" s="1"/>
  <c r="AD218" i="3"/>
  <c r="AC218" i="3"/>
  <c r="Y194" i="3"/>
  <c r="Z194" i="3" s="1"/>
  <c r="AD194" i="3"/>
  <c r="K187" i="3" a="1"/>
  <c r="K187" i="3" s="1"/>
  <c r="N187" i="3" a="1"/>
  <c r="N187" i="3" s="1"/>
  <c r="Y198" i="3"/>
  <c r="Z198" i="3" s="1"/>
  <c r="AB198" i="3"/>
  <c r="U204" i="3"/>
  <c r="V204" i="3" s="1"/>
  <c r="AA204" i="3"/>
  <c r="Z187" i="3"/>
  <c r="N208" i="3" a="1"/>
  <c r="N208" i="3" s="1"/>
  <c r="L208" i="3" a="1"/>
  <c r="L208" i="3" s="1"/>
  <c r="M208" i="3" a="1"/>
  <c r="M208" i="3" s="1"/>
  <c r="O208" i="3" a="1"/>
  <c r="O208" i="3" s="1"/>
  <c r="AA190" i="3"/>
  <c r="AD173" i="3"/>
  <c r="AC173" i="3"/>
  <c r="AA140" i="3"/>
  <c r="AB140" i="3"/>
  <c r="M239" i="3" a="1"/>
  <c r="M239" i="3" s="1"/>
  <c r="N239" i="3" a="1"/>
  <c r="N239" i="3" s="1"/>
  <c r="N73" i="3" a="1"/>
  <c r="N73" i="3" s="1"/>
  <c r="L73" i="3" a="1"/>
  <c r="L73" i="3" s="1"/>
  <c r="J73" i="3" a="1"/>
  <c r="J73" i="3" s="1"/>
  <c r="O180" i="3" a="1"/>
  <c r="O180" i="3" s="1"/>
  <c r="J180" i="3" a="1"/>
  <c r="J180" i="3" s="1"/>
  <c r="M180" i="3" a="1"/>
  <c r="M180" i="3" s="1"/>
  <c r="N180" i="3" a="1"/>
  <c r="N180" i="3" s="1"/>
  <c r="L56" i="3" a="1"/>
  <c r="L56" i="3" s="1"/>
  <c r="N56" i="3" a="1"/>
  <c r="N56" i="3" s="1"/>
  <c r="O56" i="3" a="1"/>
  <c r="O56" i="3" s="1"/>
  <c r="J56" i="3" a="1"/>
  <c r="J56" i="3" s="1"/>
  <c r="K163" i="3" a="1"/>
  <c r="K163" i="3" s="1"/>
  <c r="N163" i="3" a="1"/>
  <c r="N163" i="3" s="1"/>
  <c r="J163" i="3" a="1"/>
  <c r="J163" i="3" s="1"/>
  <c r="M177" i="3" a="1"/>
  <c r="M177" i="3" s="1"/>
  <c r="K177" i="3" a="1"/>
  <c r="K177" i="3" s="1"/>
  <c r="N177" i="3" a="1"/>
  <c r="N177" i="3" s="1"/>
  <c r="O177" i="3" a="1"/>
  <c r="O177" i="3" s="1"/>
  <c r="AC22" i="3"/>
  <c r="AD22" i="3"/>
  <c r="J44" i="3" a="1"/>
  <c r="J44" i="3" s="1"/>
  <c r="L44" i="3" a="1"/>
  <c r="L44" i="3" s="1"/>
  <c r="J202" i="3" a="1"/>
  <c r="J202" i="3" s="1"/>
  <c r="K202" i="3" a="1"/>
  <c r="K202" i="3" s="1"/>
  <c r="AB179" i="3"/>
  <c r="AA179" i="3"/>
  <c r="AD226" i="3"/>
  <c r="AB227" i="3"/>
  <c r="Y227" i="3"/>
  <c r="Z227" i="3" s="1"/>
  <c r="L217" i="3" a="1"/>
  <c r="L217" i="3" s="1"/>
  <c r="J217" i="3" a="1"/>
  <c r="J217" i="3" s="1"/>
  <c r="U180" i="3"/>
  <c r="V180" i="3" s="1"/>
  <c r="AA180" i="3"/>
  <c r="N197" i="3" a="1"/>
  <c r="N197" i="3" s="1"/>
  <c r="L197" i="3" a="1"/>
  <c r="L197" i="3" s="1"/>
  <c r="Y207" i="3"/>
  <c r="Z207" i="3" s="1"/>
  <c r="U175" i="3"/>
  <c r="V175" i="3" s="1"/>
  <c r="AC201" i="3"/>
  <c r="U201" i="3"/>
  <c r="H201" i="3" s="1"/>
  <c r="AD188" i="3"/>
  <c r="AB166" i="3"/>
  <c r="AA166" i="3"/>
  <c r="Y224" i="3"/>
  <c r="Z224" i="3" s="1"/>
  <c r="AB187" i="3"/>
  <c r="AA187" i="3"/>
  <c r="M40" i="3" a="1"/>
  <c r="M40" i="3" s="1"/>
  <c r="N40" i="3" a="1"/>
  <c r="N40" i="3" s="1"/>
  <c r="AA232" i="3"/>
  <c r="AA173" i="3"/>
  <c r="AA165" i="3"/>
  <c r="AB190" i="3"/>
  <c r="L187" i="3" a="1"/>
  <c r="L187" i="3" s="1"/>
  <c r="J187" i="3" a="1"/>
  <c r="J187" i="3" s="1"/>
  <c r="O202" i="3" a="1"/>
  <c r="O202" i="3" s="1"/>
  <c r="Y181" i="3"/>
  <c r="Z181" i="3" s="1"/>
  <c r="Z201" i="3"/>
  <c r="N224" i="3" a="1"/>
  <c r="N224" i="3" s="1"/>
  <c r="K224" i="3" a="1"/>
  <c r="K224" i="3" s="1"/>
  <c r="O224" i="3" a="1"/>
  <c r="O224" i="3" s="1"/>
  <c r="N219" i="3" a="1"/>
  <c r="N219" i="3" s="1"/>
  <c r="M219" i="3" a="1"/>
  <c r="M219" i="3" s="1"/>
  <c r="K219" i="3" a="1"/>
  <c r="K219" i="3" s="1"/>
  <c r="L219" i="3" a="1"/>
  <c r="L219" i="3" s="1"/>
  <c r="L182" i="3" a="1"/>
  <c r="L182" i="3" s="1"/>
  <c r="N182" i="3" a="1"/>
  <c r="N182" i="3" s="1"/>
  <c r="J182" i="3" a="1"/>
  <c r="J182" i="3" s="1"/>
  <c r="K182" i="3" a="1"/>
  <c r="K182" i="3" s="1"/>
  <c r="O182" i="3" a="1"/>
  <c r="O182" i="3" s="1"/>
  <c r="N255" i="3" a="1"/>
  <c r="N255" i="3" s="1"/>
  <c r="L255" i="3" a="1"/>
  <c r="L255" i="3" s="1"/>
  <c r="O244" i="3" a="1"/>
  <c r="O244" i="3" s="1"/>
  <c r="J244" i="3" a="1"/>
  <c r="J244" i="3" s="1"/>
  <c r="K237" i="3" a="1"/>
  <c r="K237" i="3" s="1"/>
  <c r="N237" i="3" a="1"/>
  <c r="N237" i="3" s="1"/>
  <c r="O237" i="3" a="1"/>
  <c r="O237" i="3" s="1"/>
  <c r="AC116" i="3"/>
  <c r="AD116" i="3"/>
  <c r="AC230" i="3"/>
  <c r="AD230" i="3"/>
  <c r="AD211" i="3"/>
  <c r="AC190" i="3"/>
  <c r="AC55" i="3"/>
  <c r="AD55" i="3"/>
  <c r="O67" i="3" a="1"/>
  <c r="O67" i="3" s="1"/>
  <c r="K67" i="3" a="1"/>
  <c r="K67" i="3" s="1"/>
  <c r="M67" i="3" a="1"/>
  <c r="M67" i="3" s="1"/>
  <c r="N67" i="3" a="1"/>
  <c r="N67" i="3" s="1"/>
  <c r="O152" i="3" a="1"/>
  <c r="O152" i="3" s="1"/>
  <c r="M152" i="3" a="1"/>
  <c r="M152" i="3" s="1"/>
  <c r="K188" i="3" a="1"/>
  <c r="K188" i="3" s="1"/>
  <c r="L188" i="3" a="1"/>
  <c r="L188" i="3" s="1"/>
  <c r="N188" i="3" a="1"/>
  <c r="N188" i="3" s="1"/>
  <c r="AB241" i="3"/>
  <c r="Z177" i="3"/>
  <c r="J122" i="3" a="1"/>
  <c r="J122" i="3" s="1"/>
  <c r="K122" i="3" a="1"/>
  <c r="K122" i="3" s="1"/>
  <c r="L75" i="3" a="1"/>
  <c r="L75" i="3" s="1"/>
  <c r="Y196" i="3"/>
  <c r="Z196" i="3" s="1"/>
  <c r="L172" i="3" a="1"/>
  <c r="L172" i="3" s="1"/>
  <c r="AB94" i="3"/>
  <c r="U209" i="3"/>
  <c r="H214" i="3"/>
  <c r="P214" i="3" s="1" a="1"/>
  <c r="P214" i="3" s="1"/>
  <c r="Q214" i="3" s="1"/>
  <c r="O191" i="3" a="1"/>
  <c r="O191" i="3" s="1"/>
  <c r="M246" i="3" a="1"/>
  <c r="M246" i="3" s="1"/>
  <c r="J248" i="3" a="1"/>
  <c r="J248" i="3" s="1"/>
  <c r="Y208" i="3"/>
  <c r="AD201" i="3"/>
  <c r="AA126" i="3"/>
  <c r="Z18" i="3"/>
  <c r="Z193" i="3"/>
  <c r="Z202" i="3"/>
  <c r="J206" i="3" a="1"/>
  <c r="J206" i="3" s="1"/>
  <c r="J214" i="3" a="1"/>
  <c r="J214" i="3" s="1"/>
  <c r="K226" i="3" a="1"/>
  <c r="K226" i="3" s="1"/>
  <c r="L178" i="3" a="1"/>
  <c r="L178" i="3" s="1"/>
  <c r="K246" i="3" a="1"/>
  <c r="K246" i="3" s="1"/>
  <c r="M268" i="3" a="1"/>
  <c r="M268" i="3" s="1"/>
  <c r="AB211" i="3"/>
  <c r="AC212" i="3"/>
  <c r="N122" i="3" a="1"/>
  <c r="N122" i="3" s="1"/>
  <c r="V177" i="3"/>
  <c r="N75" i="3" a="1"/>
  <c r="N75" i="3" s="1"/>
  <c r="K107" i="3" a="1"/>
  <c r="K107" i="3" s="1"/>
  <c r="H193" i="3"/>
  <c r="AA144" i="3"/>
  <c r="K206" i="3" a="1"/>
  <c r="K206" i="3" s="1"/>
  <c r="N206" i="3" a="1"/>
  <c r="N206" i="3" s="1"/>
  <c r="M226" i="3" a="1"/>
  <c r="M226" i="3" s="1"/>
  <c r="M206" i="3" a="1"/>
  <c r="M206" i="3" s="1"/>
  <c r="K248" i="3" a="1"/>
  <c r="K248" i="3" s="1"/>
  <c r="O248" i="3" a="1"/>
  <c r="O248" i="3" s="1"/>
  <c r="N268" i="3" a="1"/>
  <c r="N268" i="3" s="1"/>
  <c r="K268" i="3" a="1"/>
  <c r="K268" i="3" s="1"/>
  <c r="AD227" i="3"/>
  <c r="N456" i="3" a="1"/>
  <c r="N456" i="3" s="1"/>
  <c r="Z76" i="3"/>
  <c r="L82" i="3" a="1"/>
  <c r="L82" i="3" s="1"/>
  <c r="Z40" i="3"/>
  <c r="L246" i="3" a="1"/>
  <c r="L246" i="3" s="1"/>
  <c r="N248" i="3" a="1"/>
  <c r="N248" i="3" s="1"/>
  <c r="K265" i="3" a="1"/>
  <c r="K265" i="3" s="1"/>
  <c r="N265" i="3" a="1"/>
  <c r="N265" i="3" s="1"/>
  <c r="L276" i="3" a="1"/>
  <c r="L276" i="3" s="1"/>
  <c r="AD268" i="3"/>
  <c r="M244" i="3" a="1"/>
  <c r="M244" i="3" s="1"/>
  <c r="AB217" i="3"/>
  <c r="M260" i="3" a="1"/>
  <c r="M260" i="3" s="1"/>
  <c r="AD216" i="3"/>
  <c r="J477" i="3" a="1"/>
  <c r="J477" i="3" s="1"/>
  <c r="Z238" i="3"/>
  <c r="AA231" i="3"/>
  <c r="AD222" i="3"/>
  <c r="AD180" i="3"/>
  <c r="AA209" i="3"/>
  <c r="Y195" i="3"/>
  <c r="Z195" i="3" s="1"/>
  <c r="K457" i="3" a="1"/>
  <c r="K457" i="3" s="1"/>
  <c r="K477" i="3" a="1"/>
  <c r="K477" i="3" s="1"/>
  <c r="AA239" i="3"/>
  <c r="AA255" i="3"/>
  <c r="Z215" i="3"/>
  <c r="AC237" i="3"/>
  <c r="N475" i="3" a="1"/>
  <c r="N475" i="3" s="1"/>
  <c r="L478" i="3" a="1"/>
  <c r="L478" i="3" s="1"/>
  <c r="AA210" i="3"/>
  <c r="M215" i="3" a="1"/>
  <c r="M215" i="3" s="1"/>
  <c r="N222" i="3" a="1"/>
  <c r="N222" i="3" s="1"/>
  <c r="O251" i="3" a="1"/>
  <c r="O251" i="3" s="1"/>
  <c r="AD252" i="3"/>
  <c r="L474" i="3" a="1"/>
  <c r="L474" i="3" s="1"/>
  <c r="J475" i="3" a="1"/>
  <c r="J475" i="3" s="1"/>
  <c r="U188" i="3"/>
  <c r="K208" i="3" a="1"/>
  <c r="K208" i="3" s="1"/>
  <c r="N229" i="3" a="1"/>
  <c r="N229" i="3" s="1"/>
  <c r="O239" i="3" a="1"/>
  <c r="O239" i="3" s="1"/>
  <c r="N251" i="3" a="1"/>
  <c r="N251" i="3" s="1"/>
  <c r="U222" i="3"/>
  <c r="Y213" i="3"/>
  <c r="Z213" i="3" s="1"/>
  <c r="AD245" i="3"/>
  <c r="AB181" i="3"/>
  <c r="U263" i="3"/>
  <c r="AC254" i="3"/>
  <c r="AC225" i="3"/>
  <c r="AD242" i="3"/>
  <c r="AD244" i="3"/>
  <c r="M479" i="3" a="1"/>
  <c r="M479" i="3" s="1"/>
  <c r="AA480" i="3"/>
  <c r="AB481" i="3"/>
  <c r="L479" i="3" a="1"/>
  <c r="L479" i="3" s="1"/>
  <c r="Y183" i="3"/>
  <c r="Z183" i="3" s="1"/>
  <c r="AB172" i="3"/>
  <c r="V215" i="3"/>
  <c r="Y222" i="3"/>
  <c r="Z222" i="3" s="1"/>
  <c r="K222" i="3" a="1"/>
  <c r="K222" i="3" s="1"/>
  <c r="Z231" i="3"/>
  <c r="L227" i="3" a="1"/>
  <c r="L227" i="3" s="1"/>
  <c r="O73" i="3" a="1"/>
  <c r="O73" i="3" s="1"/>
  <c r="K254" i="3" a="1"/>
  <c r="K254" i="3" s="1"/>
  <c r="N263" i="3" a="1"/>
  <c r="N263" i="3" s="1"/>
  <c r="L263" i="3" a="1"/>
  <c r="L263" i="3" s="1"/>
  <c r="AD260" i="3"/>
  <c r="AA253" i="3"/>
  <c r="U218" i="3"/>
  <c r="AB237" i="3"/>
  <c r="AB209" i="3"/>
  <c r="Y219" i="3"/>
  <c r="Z219" i="3" s="1"/>
  <c r="AB124" i="3"/>
  <c r="AB224" i="3"/>
  <c r="Y206" i="3"/>
  <c r="Z206" i="3" s="1"/>
  <c r="K474" i="3" a="1"/>
  <c r="K474" i="3" s="1"/>
  <c r="K447" i="3" a="1"/>
  <c r="K447" i="3" s="1"/>
  <c r="D477" i="3"/>
  <c r="O475" i="3" a="1"/>
  <c r="O475" i="3" s="1"/>
  <c r="K475" i="3" a="1"/>
  <c r="K475" i="3" s="1"/>
  <c r="M475" i="3" a="1"/>
  <c r="M475" i="3" s="1"/>
  <c r="AB475" i="3"/>
  <c r="AA474" i="3"/>
  <c r="AA475" i="3"/>
  <c r="AB474" i="3"/>
  <c r="AC189" i="3"/>
  <c r="AD231" i="3"/>
  <c r="AB207" i="3"/>
  <c r="AA463" i="3"/>
  <c r="L476" i="3" a="1"/>
  <c r="L476" i="3" s="1"/>
  <c r="U477" i="3"/>
  <c r="V477" i="3" s="1"/>
  <c r="M480" i="3" a="1"/>
  <c r="M480" i="3" s="1"/>
  <c r="O476" i="3" a="1"/>
  <c r="O476" i="3" s="1"/>
  <c r="O480" i="3" a="1"/>
  <c r="O480" i="3" s="1"/>
  <c r="K480" i="3" a="1"/>
  <c r="K480" i="3" s="1"/>
  <c r="C486" i="3"/>
  <c r="AB233" i="3"/>
  <c r="Y261" i="3"/>
  <c r="U213" i="3"/>
  <c r="AA276" i="3"/>
  <c r="K479" i="3" a="1"/>
  <c r="K479" i="3" s="1"/>
  <c r="AA189" i="3"/>
  <c r="O479" i="3" a="1"/>
  <c r="O479" i="3" s="1"/>
  <c r="AC223" i="3"/>
  <c r="Y175" i="3"/>
  <c r="Z175" i="3" s="1"/>
  <c r="U187" i="3"/>
  <c r="AD275" i="3"/>
  <c r="D125" i="3"/>
  <c r="AD237" i="3"/>
  <c r="AA256" i="3"/>
  <c r="AA195" i="3"/>
  <c r="Y204" i="3"/>
  <c r="Z204" i="3" s="1"/>
  <c r="AA250" i="3"/>
  <c r="K231" i="3" a="1"/>
  <c r="K231" i="3" s="1"/>
  <c r="O225" i="3" a="1"/>
  <c r="O225" i="3" s="1"/>
  <c r="M234" i="3" a="1"/>
  <c r="M234" i="3" s="1"/>
  <c r="Z208" i="3"/>
  <c r="AA213" i="3"/>
  <c r="Y190" i="3"/>
  <c r="Z190" i="3" s="1"/>
  <c r="U184" i="3"/>
  <c r="AA197" i="3"/>
  <c r="AA224" i="3"/>
  <c r="AB239" i="3"/>
  <c r="AC208" i="3"/>
  <c r="AD224" i="3"/>
  <c r="AA206" i="3"/>
  <c r="Y244" i="3"/>
  <c r="Z244" i="3" s="1"/>
  <c r="AA220" i="3"/>
  <c r="AC233" i="3"/>
  <c r="AD261" i="3"/>
  <c r="U258" i="3"/>
  <c r="AD189" i="3"/>
  <c r="M187" i="3" a="1"/>
  <c r="M187" i="3" s="1"/>
  <c r="J208" i="3" a="1"/>
  <c r="J208" i="3" s="1"/>
  <c r="J211" i="3" a="1"/>
  <c r="J211" i="3" s="1"/>
  <c r="U223" i="3"/>
  <c r="N257" i="3" a="1"/>
  <c r="N257" i="3" s="1"/>
  <c r="O266" i="3" a="1"/>
  <c r="O266" i="3" s="1"/>
  <c r="M223" i="3" a="1"/>
  <c r="M223" i="3" s="1"/>
  <c r="M229" i="3" a="1"/>
  <c r="M229" i="3" s="1"/>
  <c r="Y234" i="3"/>
  <c r="AA244" i="3"/>
  <c r="M183" i="3" a="1"/>
  <c r="M183" i="3" s="1"/>
  <c r="J183" i="3" a="1"/>
  <c r="J183" i="3" s="1"/>
  <c r="Z197" i="3"/>
  <c r="O195" i="3" a="1"/>
  <c r="O195" i="3" s="1"/>
  <c r="M195" i="3" a="1"/>
  <c r="M195" i="3" s="1"/>
  <c r="J201" i="3" a="1"/>
  <c r="J201" i="3" s="1"/>
  <c r="J197" i="3" a="1"/>
  <c r="J197" i="3" s="1"/>
  <c r="AB206" i="3"/>
  <c r="J212" i="3" a="1"/>
  <c r="J212" i="3" s="1"/>
  <c r="N217" i="3" a="1"/>
  <c r="N217" i="3" s="1"/>
  <c r="V211" i="3"/>
  <c r="Y220" i="3"/>
  <c r="Z220" i="3" s="1"/>
  <c r="AC227" i="3"/>
  <c r="M227" i="3" a="1"/>
  <c r="M227" i="3" s="1"/>
  <c r="N246" i="3" a="1"/>
  <c r="N246" i="3" s="1"/>
  <c r="AA211" i="3"/>
  <c r="AC480" i="3"/>
  <c r="D480" i="3" s="1"/>
  <c r="AD473" i="3"/>
  <c r="D473" i="3" s="1"/>
  <c r="U475" i="3"/>
  <c r="AD190" i="3"/>
  <c r="M211" i="3" a="1"/>
  <c r="M211" i="3" s="1"/>
  <c r="AD215" i="3"/>
  <c r="Y217" i="3"/>
  <c r="Z217" i="3" s="1"/>
  <c r="O217" i="3" a="1"/>
  <c r="O217" i="3" s="1"/>
  <c r="K217" i="3" a="1"/>
  <c r="K217" i="3" s="1"/>
  <c r="AB219" i="3"/>
  <c r="J222" i="3" a="1"/>
  <c r="J222" i="3" s="1"/>
  <c r="O221" i="3" a="1"/>
  <c r="O221" i="3" s="1"/>
  <c r="O227" i="3" a="1"/>
  <c r="O227" i="3" s="1"/>
  <c r="N227" i="3" a="1"/>
  <c r="N227" i="3" s="1"/>
  <c r="K230" i="3" a="1"/>
  <c r="K230" i="3" s="1"/>
  <c r="L238" i="3" a="1"/>
  <c r="L238" i="3" s="1"/>
  <c r="L254" i="3" a="1"/>
  <c r="L254" i="3" s="1"/>
  <c r="M266" i="3" a="1"/>
  <c r="M266" i="3" s="1"/>
  <c r="U229" i="3"/>
  <c r="U197" i="3"/>
  <c r="H197" i="3" s="1"/>
  <c r="U225" i="3"/>
  <c r="V210" i="3"/>
  <c r="V190" i="3"/>
  <c r="AA236" i="3"/>
  <c r="U219" i="3"/>
  <c r="H219" i="3" s="1"/>
  <c r="AC177" i="3"/>
  <c r="AA3" i="3"/>
  <c r="U198" i="3"/>
  <c r="H198" i="3" s="1"/>
  <c r="P198" i="3" s="1" a="1"/>
  <c r="P198" i="3" s="1"/>
  <c r="Q198" i="3" s="1"/>
  <c r="AA85" i="3"/>
  <c r="Z269" i="3"/>
  <c r="Y230" i="3"/>
  <c r="Z230" i="3" s="1"/>
  <c r="N480" i="3" a="1"/>
  <c r="N480" i="3" s="1"/>
  <c r="K478" i="3" a="1"/>
  <c r="K478" i="3" s="1"/>
  <c r="Y484" i="3"/>
  <c r="Z484" i="3" s="1"/>
  <c r="U483" i="3"/>
  <c r="H483" i="3" s="1"/>
  <c r="R483" i="3" s="1"/>
  <c r="AC187" i="3"/>
  <c r="U479" i="3"/>
  <c r="V479" i="3" s="1"/>
  <c r="AC481" i="3"/>
  <c r="K181" i="3" a="1"/>
  <c r="K181" i="3" s="1"/>
  <c r="Z186" i="3"/>
  <c r="J186" i="3" a="1"/>
  <c r="J186" i="3" s="1"/>
  <c r="AA192" i="3"/>
  <c r="V203" i="3"/>
  <c r="O203" i="3" a="1"/>
  <c r="O203" i="3" s="1"/>
  <c r="N211" i="3" a="1"/>
  <c r="N211" i="3" s="1"/>
  <c r="J210" i="3" a="1"/>
  <c r="J210" i="3" s="1"/>
  <c r="O210" i="3" a="1"/>
  <c r="O210" i="3" s="1"/>
  <c r="K215" i="3" a="1"/>
  <c r="K215" i="3" s="1"/>
  <c r="M221" i="3" a="1"/>
  <c r="M221" i="3" s="1"/>
  <c r="Z225" i="3"/>
  <c r="H227" i="3"/>
  <c r="L230" i="3" a="1"/>
  <c r="L230" i="3" s="1"/>
  <c r="N215" i="3" a="1"/>
  <c r="N215" i="3" s="1"/>
  <c r="J254" i="3" a="1"/>
  <c r="J254" i="3" s="1"/>
  <c r="M265" i="3" a="1"/>
  <c r="M265" i="3" s="1"/>
  <c r="L265" i="3" a="1"/>
  <c r="L265" i="3" s="1"/>
  <c r="AA464" i="3"/>
  <c r="N478" i="3" a="1"/>
  <c r="N478" i="3" s="1"/>
  <c r="J478" i="3" a="1"/>
  <c r="J478" i="3" s="1"/>
  <c r="N482" i="3" a="1"/>
  <c r="N482" i="3" s="1"/>
  <c r="O212" i="3" a="1"/>
  <c r="O212" i="3" s="1"/>
  <c r="L223" i="3" a="1"/>
  <c r="L223" i="3" s="1"/>
  <c r="AC234" i="3"/>
  <c r="L240" i="3" a="1"/>
  <c r="L240" i="3" s="1"/>
  <c r="O254" i="3" a="1"/>
  <c r="O254" i="3" s="1"/>
  <c r="L260" i="3" a="1"/>
  <c r="L260" i="3" s="1"/>
  <c r="O260" i="3" a="1"/>
  <c r="O260" i="3" s="1"/>
  <c r="U234" i="3"/>
  <c r="H234" i="3" s="1"/>
  <c r="AA212" i="3"/>
  <c r="U235" i="3"/>
  <c r="AD255" i="3"/>
  <c r="AB235" i="3"/>
  <c r="AD175" i="3"/>
  <c r="AA262" i="3"/>
  <c r="Y203" i="3"/>
  <c r="Z203" i="3" s="1"/>
  <c r="AA215" i="3"/>
  <c r="H216" i="3"/>
  <c r="AA242" i="3"/>
  <c r="M482" i="3" a="1"/>
  <c r="M482" i="3" s="1"/>
  <c r="AD481" i="3"/>
  <c r="L480" i="3" a="1"/>
  <c r="L480" i="3" s="1"/>
  <c r="AD208" i="3"/>
  <c r="L211" i="3" a="1"/>
  <c r="L211" i="3" s="1"/>
  <c r="M240" i="3" a="1"/>
  <c r="M240" i="3" s="1"/>
  <c r="J239" i="3" a="1"/>
  <c r="J239" i="3" s="1"/>
  <c r="M241" i="3" a="1"/>
  <c r="M241" i="3" s="1"/>
  <c r="U257" i="3"/>
  <c r="U245" i="3"/>
  <c r="U230" i="3"/>
  <c r="H230" i="3" s="1"/>
  <c r="AA219" i="3"/>
  <c r="AB232" i="3"/>
  <c r="AA207" i="3"/>
  <c r="U255" i="3"/>
  <c r="AC221" i="3"/>
  <c r="U221" i="3"/>
  <c r="V221" i="3" s="1"/>
  <c r="AB229" i="3"/>
  <c r="AC462" i="3"/>
  <c r="L456" i="3" a="1"/>
  <c r="L456" i="3" s="1"/>
  <c r="AB480" i="3"/>
  <c r="O187" i="3" a="1"/>
  <c r="O187" i="3" s="1"/>
  <c r="K197" i="3" a="1"/>
  <c r="K197" i="3" s="1"/>
  <c r="K221" i="3" a="1"/>
  <c r="K221" i="3" s="1"/>
  <c r="AB231" i="3"/>
  <c r="J232" i="3" a="1"/>
  <c r="J232" i="3" s="1"/>
  <c r="L241" i="3" a="1"/>
  <c r="L241" i="3" s="1"/>
  <c r="J246" i="3" a="1"/>
  <c r="J246" i="3" s="1"/>
  <c r="J251" i="3" a="1"/>
  <c r="J251" i="3" s="1"/>
  <c r="J456" i="3" a="1"/>
  <c r="J456" i="3" s="1"/>
  <c r="L458" i="3" a="1"/>
  <c r="L458" i="3" s="1"/>
  <c r="Y479" i="3"/>
  <c r="Z479" i="3" s="1"/>
  <c r="K456" i="3" a="1"/>
  <c r="K456" i="3" s="1"/>
  <c r="J472" i="3" a="1"/>
  <c r="J472" i="3" s="1"/>
  <c r="AA199" i="3"/>
  <c r="AB216" i="3"/>
  <c r="J447" i="3" a="1"/>
  <c r="J447" i="3" s="1"/>
  <c r="U473" i="3"/>
  <c r="Y478" i="3"/>
  <c r="Z478" i="3" s="1"/>
  <c r="AC474" i="3"/>
  <c r="D474" i="3" s="1"/>
  <c r="AB472" i="3"/>
  <c r="C485" i="3"/>
  <c r="AB479" i="3"/>
  <c r="Y460" i="3"/>
  <c r="U460" i="3"/>
  <c r="H460" i="3" s="1"/>
  <c r="R460" i="3" s="1"/>
  <c r="AD233" i="3"/>
  <c r="AC202" i="3"/>
  <c r="M447" i="3" a="1"/>
  <c r="M447" i="3" s="1"/>
  <c r="M472" i="3" a="1"/>
  <c r="M472" i="3" s="1"/>
  <c r="K483" i="3" a="1"/>
  <c r="K483" i="3" s="1"/>
  <c r="O486" i="3" a="1"/>
  <c r="O486" i="3" s="1"/>
  <c r="J485" i="3" a="1"/>
  <c r="J485" i="3" s="1"/>
  <c r="AA222" i="3"/>
  <c r="M224" i="3" a="1"/>
  <c r="M224" i="3" s="1"/>
  <c r="J229" i="3" a="1"/>
  <c r="J229" i="3" s="1"/>
  <c r="Y235" i="3"/>
  <c r="V231" i="3"/>
  <c r="N234" i="3" a="1"/>
  <c r="N234" i="3" s="1"/>
  <c r="L239" i="3" a="1"/>
  <c r="L239" i="3" s="1"/>
  <c r="L249" i="3" a="1"/>
  <c r="L249" i="3" s="1"/>
  <c r="O257" i="3" a="1"/>
  <c r="O257" i="3" s="1"/>
  <c r="K462" i="3" a="1"/>
  <c r="K462" i="3" s="1"/>
  <c r="O485" i="3" a="1"/>
  <c r="O485" i="3" s="1"/>
  <c r="M483" i="3" a="1"/>
  <c r="M483" i="3" s="1"/>
  <c r="AC479" i="3"/>
  <c r="D479" i="3" s="1"/>
  <c r="N486" i="3" a="1"/>
  <c r="N486" i="3" s="1"/>
  <c r="H209" i="3"/>
  <c r="K209" i="3" a="1"/>
  <c r="K209" i="3" s="1"/>
  <c r="J224" i="3" a="1"/>
  <c r="J224" i="3" s="1"/>
  <c r="M232" i="3" a="1"/>
  <c r="M232" i="3" s="1"/>
  <c r="O231" i="3" a="1"/>
  <c r="O231" i="3" s="1"/>
  <c r="J184" i="3" a="1"/>
  <c r="J184" i="3" s="1"/>
  <c r="M255" i="3" a="1"/>
  <c r="M255" i="3" s="1"/>
  <c r="K257" i="3" a="1"/>
  <c r="K257" i="3" s="1"/>
  <c r="J471" i="3" a="1"/>
  <c r="J471" i="3" s="1"/>
  <c r="AB478" i="3"/>
  <c r="C478" i="3" s="1"/>
  <c r="AB483" i="3"/>
  <c r="J476" i="3" a="1"/>
  <c r="J476" i="3" s="1"/>
  <c r="M486" i="3" a="1"/>
  <c r="M486" i="3" s="1"/>
  <c r="O209" i="3" a="1"/>
  <c r="O209" i="3" s="1"/>
  <c r="M212" i="3" a="1"/>
  <c r="M212" i="3" s="1"/>
  <c r="J219" i="3" a="1"/>
  <c r="J219" i="3" s="1"/>
  <c r="Z223" i="3"/>
  <c r="K223" i="3" a="1"/>
  <c r="K223" i="3" s="1"/>
  <c r="AA225" i="3"/>
  <c r="N231" i="3" a="1"/>
  <c r="N231" i="3" s="1"/>
  <c r="O229" i="3" a="1"/>
  <c r="O229" i="3" s="1"/>
  <c r="O238" i="3" a="1"/>
  <c r="O238" i="3" s="1"/>
  <c r="L244" i="3" a="1"/>
  <c r="L244" i="3" s="1"/>
  <c r="K239" i="3" a="1"/>
  <c r="K239" i="3" s="1"/>
  <c r="O249" i="3" a="1"/>
  <c r="O249" i="3" s="1"/>
  <c r="M251" i="3" a="1"/>
  <c r="M251" i="3" s="1"/>
  <c r="M56" i="3" a="1"/>
  <c r="M56" i="3" s="1"/>
  <c r="U276" i="3"/>
  <c r="N483" i="3" a="1"/>
  <c r="N483" i="3" s="1"/>
  <c r="N485" i="3" a="1"/>
  <c r="N485" i="3" s="1"/>
  <c r="M485" i="3" a="1"/>
  <c r="M485" i="3" s="1"/>
  <c r="U480" i="3"/>
  <c r="L486" i="3" a="1"/>
  <c r="L486" i="3" s="1"/>
  <c r="L485" i="3" a="1"/>
  <c r="L485" i="3" s="1"/>
  <c r="AA448" i="3"/>
  <c r="K486" i="3" a="1"/>
  <c r="K486" i="3" s="1"/>
  <c r="AA483" i="3"/>
  <c r="J483" i="3" a="1"/>
  <c r="J483" i="3" s="1"/>
  <c r="Y482" i="3"/>
  <c r="Z482" i="3" s="1"/>
  <c r="Y461" i="3"/>
  <c r="J457" i="3" a="1"/>
  <c r="J457" i="3" s="1"/>
  <c r="K472" i="3" a="1"/>
  <c r="K472" i="3" s="1"/>
  <c r="K466" i="3" a="1"/>
  <c r="K466" i="3" s="1"/>
  <c r="AC441" i="3"/>
  <c r="K476" i="3" a="1"/>
  <c r="K476" i="3" s="1"/>
  <c r="AC469" i="3"/>
  <c r="C482" i="3"/>
  <c r="AA433" i="3"/>
  <c r="L472" i="3" a="1"/>
  <c r="L472" i="3" s="1"/>
  <c r="U481" i="3"/>
  <c r="Y486" i="3"/>
  <c r="Z486" i="3" s="1"/>
  <c r="U485" i="3"/>
  <c r="U478" i="3"/>
  <c r="O484" i="3" a="1"/>
  <c r="O484" i="3" s="1"/>
  <c r="Y475" i="3"/>
  <c r="Z475" i="3" s="1"/>
  <c r="U476" i="3"/>
  <c r="U486" i="3"/>
  <c r="N472" i="3" a="1"/>
  <c r="N472" i="3" s="1"/>
  <c r="D475" i="3"/>
  <c r="N476" i="3" a="1"/>
  <c r="N476" i="3" s="1"/>
  <c r="Y483" i="3"/>
  <c r="Z483" i="3" s="1"/>
  <c r="U484" i="3"/>
  <c r="U469" i="3"/>
  <c r="H469" i="3" s="1"/>
  <c r="AA479" i="3"/>
  <c r="C484" i="3"/>
  <c r="Y477" i="3"/>
  <c r="Z477" i="3" s="1"/>
  <c r="U474" i="3"/>
  <c r="Y473" i="3"/>
  <c r="Z473" i="3" s="1"/>
  <c r="AB438" i="3"/>
  <c r="D483" i="3"/>
  <c r="Y485" i="3"/>
  <c r="Z485" i="3" s="1"/>
  <c r="U482" i="3"/>
  <c r="Y481" i="3"/>
  <c r="Z481" i="3" s="1"/>
  <c r="Y474" i="3"/>
  <c r="Z474" i="3" s="1"/>
  <c r="AB452" i="3"/>
  <c r="M456" i="3" a="1"/>
  <c r="M456" i="3" s="1"/>
  <c r="AD470" i="3"/>
  <c r="D476" i="3"/>
  <c r="C481" i="3"/>
  <c r="Y476" i="3"/>
  <c r="Z476" i="3" s="1"/>
  <c r="Y480" i="3"/>
  <c r="Z480" i="3" s="1"/>
  <c r="AD448" i="3"/>
  <c r="U471" i="3"/>
  <c r="V471" i="3" s="1"/>
  <c r="AB453" i="3"/>
  <c r="O463" i="3" a="1"/>
  <c r="O463" i="3" s="1"/>
  <c r="AC463" i="3"/>
  <c r="J464" i="3" a="1"/>
  <c r="J464" i="3" s="1"/>
  <c r="AA471" i="3"/>
  <c r="N464" i="3" a="1"/>
  <c r="N464" i="3" s="1"/>
  <c r="K464" i="3" a="1"/>
  <c r="K464" i="3" s="1"/>
  <c r="Y468" i="3"/>
  <c r="Z468" i="3" s="1"/>
  <c r="AD468" i="3"/>
  <c r="AB444" i="3"/>
  <c r="L464" i="3" a="1"/>
  <c r="L464" i="3" s="1"/>
  <c r="M393" i="3" a="1"/>
  <c r="M393" i="3" s="1"/>
  <c r="M464" i="3" a="1"/>
  <c r="M464" i="3" s="1"/>
  <c r="N470" i="3" a="1"/>
  <c r="N470" i="3" s="1"/>
  <c r="J470" i="3" a="1"/>
  <c r="J470" i="3" s="1"/>
  <c r="AA451" i="3"/>
  <c r="U472" i="3"/>
  <c r="H472" i="3" s="1"/>
  <c r="AD471" i="3"/>
  <c r="O471" i="3" a="1"/>
  <c r="O471" i="3" s="1"/>
  <c r="N463" i="3" a="1"/>
  <c r="N463" i="3" s="1"/>
  <c r="AA456" i="3"/>
  <c r="J442" i="3" a="1"/>
  <c r="J442" i="3" s="1"/>
  <c r="L471" i="3" a="1"/>
  <c r="L471" i="3" s="1"/>
  <c r="AC431" i="3"/>
  <c r="L463" i="3" a="1"/>
  <c r="L463" i="3" s="1"/>
  <c r="K469" i="3" a="1"/>
  <c r="K469" i="3" s="1"/>
  <c r="U459" i="3"/>
  <c r="V459" i="3" s="1"/>
  <c r="AD472" i="3"/>
  <c r="M442" i="3" a="1"/>
  <c r="M442" i="3" s="1"/>
  <c r="L469" i="3" a="1"/>
  <c r="L469" i="3" s="1"/>
  <c r="J463" i="3" a="1"/>
  <c r="J463" i="3" s="1"/>
  <c r="M463" i="3" a="1"/>
  <c r="M463" i="3" s="1"/>
  <c r="J469" i="3" a="1"/>
  <c r="J469" i="3" s="1"/>
  <c r="N471" i="3" a="1"/>
  <c r="N471" i="3" s="1"/>
  <c r="O465" i="3" a="1"/>
  <c r="O465" i="3" s="1"/>
  <c r="L465" i="3" a="1"/>
  <c r="L465" i="3" s="1"/>
  <c r="N458" i="3" a="1"/>
  <c r="N458" i="3" s="1"/>
  <c r="AD461" i="3"/>
  <c r="K471" i="3" a="1"/>
  <c r="K471" i="3" s="1"/>
  <c r="AC471" i="3"/>
  <c r="M465" i="3" a="1"/>
  <c r="M465" i="3" s="1"/>
  <c r="J462" i="3" a="1"/>
  <c r="J462" i="3" s="1"/>
  <c r="AA472" i="3"/>
  <c r="AB456" i="3"/>
  <c r="Y471" i="3"/>
  <c r="Z471" i="3" s="1"/>
  <c r="L433" i="3" a="1"/>
  <c r="L433" i="3" s="1"/>
  <c r="O462" i="3" a="1"/>
  <c r="O462" i="3" s="1"/>
  <c r="N469" i="3" a="1"/>
  <c r="N469" i="3" s="1"/>
  <c r="K458" i="3" a="1"/>
  <c r="K458" i="3" s="1"/>
  <c r="AB471" i="3"/>
  <c r="K465" i="3" a="1"/>
  <c r="K465" i="3" s="1"/>
  <c r="M462" i="3" a="1"/>
  <c r="M462" i="3" s="1"/>
  <c r="Y472" i="3"/>
  <c r="Z472" i="3" s="1"/>
  <c r="AC472" i="3"/>
  <c r="J458" i="3" a="1"/>
  <c r="J458" i="3" s="1"/>
  <c r="J465" i="3" a="1"/>
  <c r="J465" i="3" s="1"/>
  <c r="N462" i="3" a="1"/>
  <c r="N462" i="3" s="1"/>
  <c r="AA470" i="3"/>
  <c r="C470" i="3" s="1"/>
  <c r="O458" i="3" a="1"/>
  <c r="O458" i="3" s="1"/>
  <c r="AC458" i="3"/>
  <c r="AB423" i="3"/>
  <c r="AB463" i="3"/>
  <c r="C463" i="3" s="1"/>
  <c r="AA452" i="3"/>
  <c r="AC426" i="3"/>
  <c r="AA430" i="3"/>
  <c r="C430" i="3" s="1"/>
  <c r="AD443" i="3"/>
  <c r="AB436" i="3"/>
  <c r="AC444" i="3"/>
  <c r="AA443" i="3"/>
  <c r="O452" i="3" a="1"/>
  <c r="O452" i="3" s="1"/>
  <c r="AB213" i="3"/>
  <c r="AD466" i="3"/>
  <c r="K446" i="3" a="1"/>
  <c r="K446" i="3" s="1"/>
  <c r="AB459" i="3"/>
  <c r="AB276" i="3"/>
  <c r="M457" i="3" a="1"/>
  <c r="M457" i="3" s="1"/>
  <c r="AA462" i="3"/>
  <c r="C462" i="3" s="1"/>
  <c r="AC459" i="3"/>
  <c r="D459" i="3" s="1"/>
  <c r="AD458" i="3"/>
  <c r="AB458" i="3"/>
  <c r="C458" i="3" s="1"/>
  <c r="N438" i="3" a="1"/>
  <c r="N438" i="3" s="1"/>
  <c r="AA438" i="3"/>
  <c r="K438" i="3" a="1"/>
  <c r="K438" i="3" s="1"/>
  <c r="O460" i="3" a="1"/>
  <c r="O460" i="3" s="1"/>
  <c r="Y233" i="3"/>
  <c r="Z233" i="3" s="1"/>
  <c r="AB242" i="3"/>
  <c r="L448" i="3" a="1"/>
  <c r="L448" i="3" s="1"/>
  <c r="K448" i="3" a="1"/>
  <c r="K448" i="3" s="1"/>
  <c r="M448" i="3" a="1"/>
  <c r="M448" i="3" s="1"/>
  <c r="O448" i="3" a="1"/>
  <c r="O448" i="3" s="1"/>
  <c r="N459" i="3" a="1"/>
  <c r="N459" i="3" s="1"/>
  <c r="J445" i="3" a="1"/>
  <c r="J445" i="3" s="1"/>
  <c r="K453" i="3" a="1"/>
  <c r="K453" i="3" s="1"/>
  <c r="AB468" i="3"/>
  <c r="L234" i="3" a="1"/>
  <c r="L234" i="3" s="1"/>
  <c r="AD220" i="3"/>
  <c r="J234" i="3" a="1"/>
  <c r="J234" i="3" s="1"/>
  <c r="AC263" i="3"/>
  <c r="N445" i="3" a="1"/>
  <c r="N445" i="3" s="1"/>
  <c r="L466" i="3" a="1"/>
  <c r="L466" i="3" s="1"/>
  <c r="N440" i="3" a="1"/>
  <c r="N440" i="3" s="1"/>
  <c r="U467" i="3"/>
  <c r="H467" i="3" s="1"/>
  <c r="P467" i="3" s="1" a="1"/>
  <c r="P467" i="3" s="1"/>
  <c r="Q467" i="3" s="1"/>
  <c r="N212" i="3" a="1"/>
  <c r="N212" i="3" s="1"/>
  <c r="O234" i="3" a="1"/>
  <c r="O234" i="3" s="1"/>
  <c r="M231" i="3" a="1"/>
  <c r="M231" i="3" s="1"/>
  <c r="M238" i="3" a="1"/>
  <c r="M238" i="3" s="1"/>
  <c r="O242" i="3" a="1"/>
  <c r="O242" i="3" s="1"/>
  <c r="J260" i="3" a="1"/>
  <c r="J260" i="3" s="1"/>
  <c r="O443" i="3" a="1"/>
  <c r="O443" i="3" s="1"/>
  <c r="N468" i="3" a="1"/>
  <c r="N468" i="3" s="1"/>
  <c r="AC461" i="3"/>
  <c r="AD460" i="3"/>
  <c r="J452" i="3" a="1"/>
  <c r="J452" i="3" s="1"/>
  <c r="AA435" i="3"/>
  <c r="J423" i="3" a="1"/>
  <c r="J423" i="3" s="1"/>
  <c r="K423" i="3" a="1"/>
  <c r="K423" i="3" s="1"/>
  <c r="J440" i="3" a="1"/>
  <c r="J440" i="3" s="1"/>
  <c r="Y462" i="3"/>
  <c r="Z462" i="3" s="1"/>
  <c r="N443" i="3" a="1"/>
  <c r="N443" i="3" s="1"/>
  <c r="AD450" i="3"/>
  <c r="AA446" i="3"/>
  <c r="AC468" i="3"/>
  <c r="AA447" i="3"/>
  <c r="AC434" i="3"/>
  <c r="AB464" i="3"/>
  <c r="C464" i="3" s="1"/>
  <c r="AA432" i="3"/>
  <c r="J468" i="3" a="1"/>
  <c r="J468" i="3" s="1"/>
  <c r="O468" i="3" a="1"/>
  <c r="O468" i="3" s="1"/>
  <c r="AD457" i="3"/>
  <c r="AA461" i="3"/>
  <c r="O438" i="3" a="1"/>
  <c r="O438" i="3" s="1"/>
  <c r="J433" i="3" a="1"/>
  <c r="J433" i="3" s="1"/>
  <c r="M438" i="3" a="1"/>
  <c r="M438" i="3" s="1"/>
  <c r="L438" i="3" a="1"/>
  <c r="L438" i="3" s="1"/>
  <c r="AA436" i="3"/>
  <c r="N451" i="3" a="1"/>
  <c r="N451" i="3" s="1"/>
  <c r="AD454" i="3"/>
  <c r="AC449" i="3"/>
  <c r="AB465" i="3"/>
  <c r="C465" i="3" s="1"/>
  <c r="L453" i="3" a="1"/>
  <c r="L453" i="3" s="1"/>
  <c r="K435" i="3" a="1"/>
  <c r="K435" i="3" s="1"/>
  <c r="M455" i="3" a="1"/>
  <c r="M455" i="3" s="1"/>
  <c r="AC450" i="3"/>
  <c r="O455" i="3" a="1"/>
  <c r="O455" i="3" s="1"/>
  <c r="K461" i="3" a="1"/>
  <c r="K461" i="3" s="1"/>
  <c r="AD449" i="3"/>
  <c r="L455" i="3" a="1"/>
  <c r="L455" i="3" s="1"/>
  <c r="AB446" i="3"/>
  <c r="O467" i="3" a="1"/>
  <c r="O467" i="3" s="1"/>
  <c r="J467" i="3" a="1"/>
  <c r="J467" i="3" s="1"/>
  <c r="N467" i="3" a="1"/>
  <c r="N467" i="3" s="1"/>
  <c r="M467" i="3" a="1"/>
  <c r="M467" i="3" s="1"/>
  <c r="K455" i="3" a="1"/>
  <c r="K455" i="3" s="1"/>
  <c r="J461" i="3" a="1"/>
  <c r="J461" i="3" s="1"/>
  <c r="K467" i="3" a="1"/>
  <c r="K467" i="3" s="1"/>
  <c r="AC437" i="3"/>
  <c r="L423" i="3" a="1"/>
  <c r="L423" i="3" s="1"/>
  <c r="AA455" i="3"/>
  <c r="AC435" i="3"/>
  <c r="J448" i="3" a="1"/>
  <c r="J448" i="3" s="1"/>
  <c r="AD446" i="3"/>
  <c r="Y469" i="3"/>
  <c r="Z469" i="3" s="1"/>
  <c r="Y446" i="3"/>
  <c r="Z446" i="3" s="1"/>
  <c r="U456" i="3"/>
  <c r="M440" i="3" a="1"/>
  <c r="M440" i="3" s="1"/>
  <c r="AC455" i="3"/>
  <c r="AB450" i="3"/>
  <c r="AC460" i="3"/>
  <c r="AD467" i="3"/>
  <c r="D467" i="3" s="1"/>
  <c r="AA444" i="3"/>
  <c r="AB467" i="3"/>
  <c r="AD435" i="3"/>
  <c r="AC445" i="3"/>
  <c r="O449" i="3" a="1"/>
  <c r="O449" i="3" s="1"/>
  <c r="AA468" i="3"/>
  <c r="U463" i="3"/>
  <c r="U457" i="3"/>
  <c r="AC470" i="3"/>
  <c r="U468" i="3"/>
  <c r="U461" i="3"/>
  <c r="V461" i="3" s="1"/>
  <c r="M390" i="3" a="1"/>
  <c r="M390" i="3" s="1"/>
  <c r="L442" i="3" a="1"/>
  <c r="L442" i="3" s="1"/>
  <c r="M446" i="3" a="1"/>
  <c r="M446" i="3" s="1"/>
  <c r="J455" i="3" a="1"/>
  <c r="J455" i="3" s="1"/>
  <c r="O447" i="3" a="1"/>
  <c r="O447" i="3" s="1"/>
  <c r="U454" i="3"/>
  <c r="V454" i="3" s="1"/>
  <c r="AD451" i="3"/>
  <c r="AA459" i="3"/>
  <c r="U465" i="3"/>
  <c r="AD213" i="3"/>
  <c r="N393" i="3" a="1"/>
  <c r="N393" i="3" s="1"/>
  <c r="L443" i="3" a="1"/>
  <c r="L443" i="3" s="1"/>
  <c r="M433" i="3" a="1"/>
  <c r="M433" i="3" s="1"/>
  <c r="K442" i="3" a="1"/>
  <c r="K442" i="3" s="1"/>
  <c r="M434" i="3" a="1"/>
  <c r="M434" i="3" s="1"/>
  <c r="K451" i="3" a="1"/>
  <c r="K451" i="3" s="1"/>
  <c r="AD453" i="3"/>
  <c r="D453" i="3" s="1"/>
  <c r="M470" i="3" a="1"/>
  <c r="M470" i="3" s="1"/>
  <c r="U464" i="3"/>
  <c r="AD462" i="3"/>
  <c r="AA467" i="3"/>
  <c r="K470" i="3" a="1"/>
  <c r="K470" i="3" s="1"/>
  <c r="O470" i="3" a="1"/>
  <c r="O470" i="3" s="1"/>
  <c r="AC439" i="3"/>
  <c r="AC457" i="3"/>
  <c r="AC410" i="3"/>
  <c r="K433" i="3" a="1"/>
  <c r="K433" i="3" s="1"/>
  <c r="L434" i="3" a="1"/>
  <c r="L434" i="3" s="1"/>
  <c r="O442" i="3" a="1"/>
  <c r="O442" i="3" s="1"/>
  <c r="AB442" i="3"/>
  <c r="N433" i="3" a="1"/>
  <c r="N433" i="3" s="1"/>
  <c r="K434" i="3" a="1"/>
  <c r="K434" i="3" s="1"/>
  <c r="J435" i="3" a="1"/>
  <c r="J435" i="3" s="1"/>
  <c r="N452" i="3" a="1"/>
  <c r="N452" i="3" s="1"/>
  <c r="M459" i="3" a="1"/>
  <c r="M459" i="3" s="1"/>
  <c r="L452" i="3" a="1"/>
  <c r="L452" i="3" s="1"/>
  <c r="L451" i="3" a="1"/>
  <c r="L451" i="3" s="1"/>
  <c r="AA450" i="3"/>
  <c r="AA460" i="3"/>
  <c r="C460" i="3" s="1"/>
  <c r="J460" i="3" a="1"/>
  <c r="J460" i="3" s="1"/>
  <c r="M461" i="3" a="1"/>
  <c r="M461" i="3" s="1"/>
  <c r="V460" i="3"/>
  <c r="O461" i="3" a="1"/>
  <c r="O461" i="3" s="1"/>
  <c r="M452" i="3" a="1"/>
  <c r="M452" i="3" s="1"/>
  <c r="J466" i="3" a="1"/>
  <c r="J466" i="3" s="1"/>
  <c r="AB466" i="3"/>
  <c r="C466" i="3" s="1"/>
  <c r="L435" i="3" a="1"/>
  <c r="L435" i="3" s="1"/>
  <c r="O435" i="3" a="1"/>
  <c r="O435" i="3" s="1"/>
  <c r="O445" i="3" a="1"/>
  <c r="O445" i="3" s="1"/>
  <c r="O451" i="3" a="1"/>
  <c r="O451" i="3" s="1"/>
  <c r="N446" i="3" a="1"/>
  <c r="N446" i="3" s="1"/>
  <c r="U455" i="3"/>
  <c r="K459" i="3" a="1"/>
  <c r="K459" i="3" s="1"/>
  <c r="M468" i="3" a="1"/>
  <c r="M468" i="3" s="1"/>
  <c r="AA457" i="3"/>
  <c r="Y457" i="3"/>
  <c r="Z457" i="3" s="1"/>
  <c r="AD463" i="3"/>
  <c r="D463" i="3" s="1"/>
  <c r="L460" i="3" a="1"/>
  <c r="L460" i="3" s="1"/>
  <c r="N460" i="3" a="1"/>
  <c r="N460" i="3" s="1"/>
  <c r="M460" i="3" a="1"/>
  <c r="M460" i="3" s="1"/>
  <c r="L461" i="3" a="1"/>
  <c r="L461" i="3" s="1"/>
  <c r="L468" i="3" a="1"/>
  <c r="L468" i="3" s="1"/>
  <c r="Y458" i="3"/>
  <c r="Z458" i="3" s="1"/>
  <c r="Y459" i="3"/>
  <c r="Z459" i="3" s="1"/>
  <c r="Y463" i="3"/>
  <c r="Z463" i="3" s="1"/>
  <c r="U443" i="3"/>
  <c r="J459" i="3" a="1"/>
  <c r="J459" i="3" s="1"/>
  <c r="O466" i="3" a="1"/>
  <c r="O466" i="3" s="1"/>
  <c r="K372" i="3" a="1"/>
  <c r="K372" i="3" s="1"/>
  <c r="N466" i="3" a="1"/>
  <c r="N466" i="3" s="1"/>
  <c r="O459" i="3" a="1"/>
  <c r="O459" i="3" s="1"/>
  <c r="AD396" i="3"/>
  <c r="L447" i="3" a="1"/>
  <c r="L447" i="3" s="1"/>
  <c r="J446" i="3" a="1"/>
  <c r="J446" i="3" s="1"/>
  <c r="J451" i="3" a="1"/>
  <c r="J451" i="3" s="1"/>
  <c r="Y451" i="3"/>
  <c r="Z451" i="3" s="1"/>
  <c r="AB449" i="3"/>
  <c r="J454" i="3" a="1"/>
  <c r="J454" i="3" s="1"/>
  <c r="M453" i="3" a="1"/>
  <c r="M453" i="3" s="1"/>
  <c r="Y454" i="3"/>
  <c r="Z454" i="3" s="1"/>
  <c r="V469" i="3"/>
  <c r="U458" i="3"/>
  <c r="U462" i="3"/>
  <c r="AA409" i="3"/>
  <c r="K444" i="3" a="1"/>
  <c r="K444" i="3" s="1"/>
  <c r="AA440" i="3"/>
  <c r="AD445" i="3"/>
  <c r="AC446" i="3"/>
  <c r="J453" i="3" a="1"/>
  <c r="J453" i="3" s="1"/>
  <c r="O469" i="3" a="1"/>
  <c r="O469" i="3" s="1"/>
  <c r="Y465" i="3"/>
  <c r="Z465" i="3" s="1"/>
  <c r="AD465" i="3"/>
  <c r="D465" i="3" s="1"/>
  <c r="U466" i="3"/>
  <c r="U470" i="3"/>
  <c r="AB457" i="3"/>
  <c r="AC408" i="3"/>
  <c r="Y466" i="3"/>
  <c r="Z466" i="3" s="1"/>
  <c r="AB461" i="3"/>
  <c r="AB455" i="3"/>
  <c r="Y455" i="3"/>
  <c r="Z455" i="3" s="1"/>
  <c r="AD469" i="3"/>
  <c r="D469" i="3" s="1"/>
  <c r="Y467" i="3"/>
  <c r="Z467" i="3" s="1"/>
  <c r="AB469" i="3"/>
  <c r="C469" i="3" s="1"/>
  <c r="Y470" i="3"/>
  <c r="Z470" i="3" s="1"/>
  <c r="AD456" i="3"/>
  <c r="D456" i="3" s="1"/>
  <c r="L449" i="3" a="1"/>
  <c r="L449" i="3" s="1"/>
  <c r="L450" i="3" a="1"/>
  <c r="L450" i="3" s="1"/>
  <c r="N450" i="3" a="1"/>
  <c r="N450" i="3" s="1"/>
  <c r="AC466" i="3"/>
  <c r="D466" i="3" s="1"/>
  <c r="Z460" i="3"/>
  <c r="Y456" i="3"/>
  <c r="Z456" i="3" s="1"/>
  <c r="AD464" i="3"/>
  <c r="D464" i="3" s="1"/>
  <c r="Y464" i="3"/>
  <c r="Z464" i="3" s="1"/>
  <c r="L439" i="3" a="1"/>
  <c r="L439" i="3" s="1"/>
  <c r="N453" i="3" a="1"/>
  <c r="N453" i="3" s="1"/>
  <c r="H449" i="3"/>
  <c r="O446" i="3" a="1"/>
  <c r="O446" i="3" s="1"/>
  <c r="AD455" i="3"/>
  <c r="Z461" i="3"/>
  <c r="H437" i="3"/>
  <c r="N449" i="3" a="1"/>
  <c r="N449" i="3" s="1"/>
  <c r="L445" i="3" a="1"/>
  <c r="L445" i="3" s="1"/>
  <c r="Y452" i="3"/>
  <c r="Z452" i="3" s="1"/>
  <c r="J444" i="3" a="1"/>
  <c r="J444" i="3" s="1"/>
  <c r="K441" i="3" a="1"/>
  <c r="K441" i="3" s="1"/>
  <c r="N444" i="3" a="1"/>
  <c r="N444" i="3" s="1"/>
  <c r="N454" i="3" a="1"/>
  <c r="N454" i="3" s="1"/>
  <c r="AB454" i="3"/>
  <c r="N437" i="3" a="1"/>
  <c r="N437" i="3" s="1"/>
  <c r="O437" i="3" a="1"/>
  <c r="O437" i="3" s="1"/>
  <c r="J449" i="3" a="1"/>
  <c r="J449" i="3" s="1"/>
  <c r="K450" i="3" a="1"/>
  <c r="K450" i="3" s="1"/>
  <c r="M441" i="3" a="1"/>
  <c r="M441" i="3" s="1"/>
  <c r="M437" i="3" a="1"/>
  <c r="M437" i="3" s="1"/>
  <c r="M450" i="3" a="1"/>
  <c r="M450" i="3" s="1"/>
  <c r="J437" i="3" a="1"/>
  <c r="J437" i="3" s="1"/>
  <c r="L437" i="3" a="1"/>
  <c r="L437" i="3" s="1"/>
  <c r="Y442" i="3"/>
  <c r="Z442" i="3" s="1"/>
  <c r="N435" i="3" a="1"/>
  <c r="N435" i="3" s="1"/>
  <c r="M444" i="3" a="1"/>
  <c r="M444" i="3" s="1"/>
  <c r="K443" i="3" a="1"/>
  <c r="K443" i="3" s="1"/>
  <c r="K454" i="3" a="1"/>
  <c r="K454" i="3" s="1"/>
  <c r="AA449" i="3"/>
  <c r="L441" i="3" a="1"/>
  <c r="L441" i="3" s="1"/>
  <c r="O444" i="3" a="1"/>
  <c r="O444" i="3" s="1"/>
  <c r="U435" i="3"/>
  <c r="V435" i="3" s="1"/>
  <c r="O454" i="3" a="1"/>
  <c r="O454" i="3" s="1"/>
  <c r="M445" i="3" a="1"/>
  <c r="M445" i="3" s="1"/>
  <c r="O393" i="3" a="1"/>
  <c r="O393" i="3" s="1"/>
  <c r="H445" i="3"/>
  <c r="V437" i="3"/>
  <c r="AC399" i="3"/>
  <c r="AD440" i="3"/>
  <c r="AD433" i="3"/>
  <c r="K390" i="3" a="1"/>
  <c r="K390" i="3" s="1"/>
  <c r="AA441" i="3"/>
  <c r="AA434" i="3"/>
  <c r="AA439" i="3"/>
  <c r="AC442" i="3"/>
  <c r="U436" i="3"/>
  <c r="H436" i="3" s="1"/>
  <c r="V449" i="3"/>
  <c r="AC447" i="3"/>
  <c r="AC448" i="3"/>
  <c r="D448" i="3" s="1"/>
  <c r="Y441" i="3"/>
  <c r="Z441" i="3" s="1"/>
  <c r="Y434" i="3"/>
  <c r="Z434" i="3" s="1"/>
  <c r="J426" i="3" a="1"/>
  <c r="J426" i="3" s="1"/>
  <c r="K439" i="3" a="1"/>
  <c r="K439" i="3" s="1"/>
  <c r="M449" i="3" a="1"/>
  <c r="M449" i="3" s="1"/>
  <c r="AA423" i="3"/>
  <c r="U425" i="3"/>
  <c r="V425" i="3" s="1"/>
  <c r="U426" i="3"/>
  <c r="H426" i="3" s="1"/>
  <c r="J393" i="3" a="1"/>
  <c r="J393" i="3" s="1"/>
  <c r="N425" i="3" a="1"/>
  <c r="N425" i="3" s="1"/>
  <c r="O439" i="3" a="1"/>
  <c r="O439" i="3" s="1"/>
  <c r="V445" i="3"/>
  <c r="J443" i="3" a="1"/>
  <c r="J443" i="3" s="1"/>
  <c r="N426" i="3" a="1"/>
  <c r="N426" i="3" s="1"/>
  <c r="J439" i="3" a="1"/>
  <c r="J439" i="3" s="1"/>
  <c r="M439" i="3" a="1"/>
  <c r="M439" i="3" s="1"/>
  <c r="AA454" i="3"/>
  <c r="O426" i="3" a="1"/>
  <c r="O426" i="3" s="1"/>
  <c r="U447" i="3"/>
  <c r="AA429" i="3"/>
  <c r="AB445" i="3"/>
  <c r="U453" i="3"/>
  <c r="AB447" i="3"/>
  <c r="AB425" i="3"/>
  <c r="AB432" i="3"/>
  <c r="AD447" i="3"/>
  <c r="M392" i="3" a="1"/>
  <c r="M392" i="3" s="1"/>
  <c r="J427" i="3" a="1"/>
  <c r="J427" i="3" s="1"/>
  <c r="V448" i="3"/>
  <c r="H448" i="3"/>
  <c r="J450" i="3" a="1"/>
  <c r="J450" i="3" s="1"/>
  <c r="AA424" i="3"/>
  <c r="AC421" i="3"/>
  <c r="AA431" i="3"/>
  <c r="C431" i="3" s="1"/>
  <c r="AC452" i="3"/>
  <c r="U446" i="3"/>
  <c r="AD452" i="3"/>
  <c r="AA453" i="3"/>
  <c r="N406" i="3" a="1"/>
  <c r="N406" i="3" s="1"/>
  <c r="AB439" i="3"/>
  <c r="Y447" i="3"/>
  <c r="Z447" i="3" s="1"/>
  <c r="AC454" i="3"/>
  <c r="AB448" i="3"/>
  <c r="Y448" i="3"/>
  <c r="Z448" i="3" s="1"/>
  <c r="U451" i="3"/>
  <c r="O425" i="3" a="1"/>
  <c r="O425" i="3" s="1"/>
  <c r="K436" i="3" a="1"/>
  <c r="K436" i="3" s="1"/>
  <c r="Y437" i="3"/>
  <c r="Z437" i="3" s="1"/>
  <c r="U452" i="3"/>
  <c r="AB451" i="3"/>
  <c r="C451" i="3" s="1"/>
  <c r="Y449" i="3"/>
  <c r="Z449" i="3" s="1"/>
  <c r="M454" i="3" a="1"/>
  <c r="M454" i="3" s="1"/>
  <c r="Y453" i="3"/>
  <c r="Z453" i="3" s="1"/>
  <c r="Y450" i="3"/>
  <c r="Z450" i="3" s="1"/>
  <c r="AC451" i="3"/>
  <c r="U450" i="3"/>
  <c r="O431" i="3" a="1"/>
  <c r="O431" i="3" s="1"/>
  <c r="AA413" i="3"/>
  <c r="N417" i="3" a="1"/>
  <c r="N417" i="3" s="1"/>
  <c r="M431" i="3" a="1"/>
  <c r="M431" i="3" s="1"/>
  <c r="AB428" i="3"/>
  <c r="AC433" i="3"/>
  <c r="M436" i="3" a="1"/>
  <c r="M436" i="3" s="1"/>
  <c r="AD441" i="3"/>
  <c r="D441" i="3" s="1"/>
  <c r="K424" i="3" a="1"/>
  <c r="K424" i="3" s="1"/>
  <c r="AD263" i="3"/>
  <c r="AC240" i="3"/>
  <c r="AA397" i="3"/>
  <c r="AA393" i="3"/>
  <c r="AA394" i="3"/>
  <c r="L426" i="3" a="1"/>
  <c r="L426" i="3" s="1"/>
  <c r="AA445" i="3"/>
  <c r="AD434" i="3"/>
  <c r="K431" i="3" a="1"/>
  <c r="K431" i="3" s="1"/>
  <c r="O440" i="3" a="1"/>
  <c r="O440" i="3" s="1"/>
  <c r="U440" i="3"/>
  <c r="Y444" i="3"/>
  <c r="Z444" i="3" s="1"/>
  <c r="AC403" i="3"/>
  <c r="AD417" i="3"/>
  <c r="M428" i="3" a="1"/>
  <c r="M428" i="3" s="1"/>
  <c r="L440" i="3" a="1"/>
  <c r="L440" i="3" s="1"/>
  <c r="J436" i="3" a="1"/>
  <c r="J436" i="3" s="1"/>
  <c r="L406" i="3" a="1"/>
  <c r="L406" i="3" s="1"/>
  <c r="L431" i="3" a="1"/>
  <c r="L431" i="3" s="1"/>
  <c r="M426" i="3" a="1"/>
  <c r="M426" i="3" s="1"/>
  <c r="AC428" i="3"/>
  <c r="AB372" i="3"/>
  <c r="D426" i="3"/>
  <c r="N431" i="3" a="1"/>
  <c r="N431" i="3" s="1"/>
  <c r="O424" i="3" a="1"/>
  <c r="O424" i="3" s="1"/>
  <c r="AC432" i="3"/>
  <c r="AC400" i="3"/>
  <c r="K421" i="3" a="1"/>
  <c r="K421" i="3" s="1"/>
  <c r="J421" i="3" a="1"/>
  <c r="J421" i="3" s="1"/>
  <c r="O421" i="3" a="1"/>
  <c r="O421" i="3" s="1"/>
  <c r="K427" i="3" a="1"/>
  <c r="K427" i="3" s="1"/>
  <c r="J411" i="3" a="1"/>
  <c r="J411" i="3" s="1"/>
  <c r="M421" i="3" a="1"/>
  <c r="M421" i="3" s="1"/>
  <c r="K411" i="3" a="1"/>
  <c r="K411" i="3" s="1"/>
  <c r="O427" i="3" a="1"/>
  <c r="O427" i="3" s="1"/>
  <c r="N421" i="3" a="1"/>
  <c r="N421" i="3" s="1"/>
  <c r="O364" i="3" a="1"/>
  <c r="O364" i="3" s="1"/>
  <c r="K364" i="3" a="1"/>
  <c r="K364" i="3" s="1"/>
  <c r="AA395" i="3"/>
  <c r="L427" i="3" a="1"/>
  <c r="L427" i="3" s="1"/>
  <c r="L393" i="3" a="1"/>
  <c r="L393" i="3" s="1"/>
  <c r="K425" i="3" a="1"/>
  <c r="K425" i="3" s="1"/>
  <c r="N430" i="3" a="1"/>
  <c r="N430" i="3" s="1"/>
  <c r="O390" i="3" a="1"/>
  <c r="O390" i="3" s="1"/>
  <c r="AD420" i="3"/>
  <c r="U433" i="3"/>
  <c r="H433" i="3" s="1"/>
  <c r="J429" i="3" a="1"/>
  <c r="J429" i="3" s="1"/>
  <c r="J425" i="3" a="1"/>
  <c r="J425" i="3" s="1"/>
  <c r="K428" i="3" a="1"/>
  <c r="K428" i="3" s="1"/>
  <c r="AC438" i="3"/>
  <c r="M429" i="3" a="1"/>
  <c r="M429" i="3" s="1"/>
  <c r="AC228" i="3"/>
  <c r="N429" i="3" a="1"/>
  <c r="N429" i="3" s="1"/>
  <c r="O432" i="3" a="1"/>
  <c r="O432" i="3" s="1"/>
  <c r="N432" i="3" a="1"/>
  <c r="N432" i="3" s="1"/>
  <c r="J432" i="3" a="1"/>
  <c r="J432" i="3" s="1"/>
  <c r="U438" i="3"/>
  <c r="AA421" i="3"/>
  <c r="K432" i="3" a="1"/>
  <c r="K432" i="3" s="1"/>
  <c r="AB437" i="3"/>
  <c r="L432" i="3" a="1"/>
  <c r="L432" i="3" s="1"/>
  <c r="AA417" i="3"/>
  <c r="AD428" i="3"/>
  <c r="Y436" i="3"/>
  <c r="Z436" i="3" s="1"/>
  <c r="AC248" i="3"/>
  <c r="AA442" i="3"/>
  <c r="U442" i="3"/>
  <c r="AC420" i="3"/>
  <c r="AB440" i="3"/>
  <c r="AA437" i="3"/>
  <c r="O236" i="3" a="1"/>
  <c r="O236" i="3" s="1"/>
  <c r="O419" i="3" a="1"/>
  <c r="O419" i="3" s="1"/>
  <c r="N428" i="3" a="1"/>
  <c r="N428" i="3" s="1"/>
  <c r="O436" i="3" a="1"/>
  <c r="O436" i="3" s="1"/>
  <c r="K261" i="3" a="1"/>
  <c r="K261" i="3" s="1"/>
  <c r="AA234" i="3"/>
  <c r="K365" i="3" a="1"/>
  <c r="K365" i="3" s="1"/>
  <c r="O411" i="3" a="1"/>
  <c r="O411" i="3" s="1"/>
  <c r="O428" i="3" a="1"/>
  <c r="O428" i="3" s="1"/>
  <c r="O429" i="3" a="1"/>
  <c r="O429" i="3" s="1"/>
  <c r="N441" i="3" a="1"/>
  <c r="N441" i="3" s="1"/>
  <c r="AC436" i="3"/>
  <c r="Y438" i="3"/>
  <c r="Z438" i="3" s="1"/>
  <c r="AD279" i="3"/>
  <c r="L399" i="3" a="1"/>
  <c r="L399" i="3" s="1"/>
  <c r="J428" i="3" a="1"/>
  <c r="J428" i="3" s="1"/>
  <c r="Y430" i="3"/>
  <c r="Z430" i="3" s="1"/>
  <c r="C444" i="3"/>
  <c r="N436" i="3" a="1"/>
  <c r="N436" i="3" s="1"/>
  <c r="J441" i="3" a="1"/>
  <c r="J441" i="3" s="1"/>
  <c r="Y432" i="3"/>
  <c r="Z432" i="3" s="1"/>
  <c r="Y433" i="3"/>
  <c r="Z433" i="3" s="1"/>
  <c r="Y445" i="3"/>
  <c r="Z445" i="3" s="1"/>
  <c r="N408" i="3" a="1"/>
  <c r="N408" i="3" s="1"/>
  <c r="U410" i="3"/>
  <c r="H410" i="3" s="1"/>
  <c r="K429" i="3" a="1"/>
  <c r="K429" i="3" s="1"/>
  <c r="AD436" i="3"/>
  <c r="Y435" i="3"/>
  <c r="Z435" i="3" s="1"/>
  <c r="U444" i="3"/>
  <c r="N390" i="3" a="1"/>
  <c r="N390" i="3" s="1"/>
  <c r="M410" i="3" a="1"/>
  <c r="M410" i="3" s="1"/>
  <c r="AB414" i="3"/>
  <c r="J424" i="3" a="1"/>
  <c r="J424" i="3" s="1"/>
  <c r="M425" i="3" a="1"/>
  <c r="M425" i="3" s="1"/>
  <c r="AB441" i="3"/>
  <c r="AB434" i="3"/>
  <c r="Y427" i="3"/>
  <c r="Z427" i="3" s="1"/>
  <c r="U432" i="3"/>
  <c r="U441" i="3"/>
  <c r="U434" i="3"/>
  <c r="AC440" i="3"/>
  <c r="AD442" i="3"/>
  <c r="L408" i="3" a="1"/>
  <c r="L408" i="3" s="1"/>
  <c r="J408" i="3" a="1"/>
  <c r="J408" i="3" s="1"/>
  <c r="AA416" i="3"/>
  <c r="N423" i="3" a="1"/>
  <c r="N423" i="3" s="1"/>
  <c r="L424" i="3" a="1"/>
  <c r="L424" i="3" s="1"/>
  <c r="AB433" i="3"/>
  <c r="C433" i="3" s="1"/>
  <c r="AD437" i="3"/>
  <c r="AD439" i="3"/>
  <c r="D439" i="3" s="1"/>
  <c r="O408" i="3" a="1"/>
  <c r="O408" i="3" s="1"/>
  <c r="M423" i="3" a="1"/>
  <c r="M423" i="3" s="1"/>
  <c r="N424" i="3" a="1"/>
  <c r="N424" i="3" s="1"/>
  <c r="M427" i="3" a="1"/>
  <c r="M427" i="3" s="1"/>
  <c r="Y440" i="3"/>
  <c r="Z440" i="3" s="1"/>
  <c r="AD432" i="3"/>
  <c r="U439" i="3"/>
  <c r="AC443" i="3"/>
  <c r="D443" i="3" s="1"/>
  <c r="AD444" i="3"/>
  <c r="D444" i="3" s="1"/>
  <c r="Y443" i="3"/>
  <c r="Z443" i="3" s="1"/>
  <c r="AB435" i="3"/>
  <c r="C435" i="3" s="1"/>
  <c r="Y439" i="3"/>
  <c r="Z439" i="3" s="1"/>
  <c r="AB443" i="3"/>
  <c r="C443" i="3" s="1"/>
  <c r="AD438" i="3"/>
  <c r="AC423" i="3"/>
  <c r="AD430" i="3"/>
  <c r="AB424" i="3"/>
  <c r="M405" i="3" a="1"/>
  <c r="M405" i="3" s="1"/>
  <c r="AC430" i="3"/>
  <c r="AD427" i="3"/>
  <c r="O415" i="3" a="1"/>
  <c r="O415" i="3" s="1"/>
  <c r="AD398" i="3"/>
  <c r="K420" i="3" a="1"/>
  <c r="K420" i="3" s="1"/>
  <c r="J416" i="3" a="1"/>
  <c r="J416" i="3" s="1"/>
  <c r="N420" i="3" a="1"/>
  <c r="N420" i="3" s="1"/>
  <c r="Y428" i="3"/>
  <c r="Z428" i="3" s="1"/>
  <c r="Y429" i="3"/>
  <c r="Z429" i="3" s="1"/>
  <c r="O420" i="3" a="1"/>
  <c r="O420" i="3" s="1"/>
  <c r="J420" i="3" a="1"/>
  <c r="J420" i="3" s="1"/>
  <c r="L365" i="3" a="1"/>
  <c r="L365" i="3" s="1"/>
  <c r="L368" i="3" a="1"/>
  <c r="L368" i="3" s="1"/>
  <c r="J365" i="3" a="1"/>
  <c r="J365" i="3" s="1"/>
  <c r="M420" i="3" a="1"/>
  <c r="M420" i="3" s="1"/>
  <c r="AA408" i="3"/>
  <c r="AC419" i="3"/>
  <c r="AD421" i="3"/>
  <c r="AD414" i="3"/>
  <c r="AC409" i="3"/>
  <c r="O416" i="3" a="1"/>
  <c r="O416" i="3" s="1"/>
  <c r="AA420" i="3"/>
  <c r="L407" i="3" a="1"/>
  <c r="L407" i="3" s="1"/>
  <c r="O414" i="3" a="1"/>
  <c r="O414" i="3" s="1"/>
  <c r="Y418" i="3"/>
  <c r="Z418" i="3" s="1"/>
  <c r="U419" i="3"/>
  <c r="H419" i="3" s="1"/>
  <c r="P419" i="3" s="1" a="1"/>
  <c r="P419" i="3" s="1"/>
  <c r="Q419" i="3" s="1"/>
  <c r="AA428" i="3"/>
  <c r="AA426" i="3"/>
  <c r="AC416" i="3"/>
  <c r="Y421" i="3"/>
  <c r="Z421" i="3" s="1"/>
  <c r="AD425" i="3"/>
  <c r="AD395" i="3"/>
  <c r="L416" i="3" a="1"/>
  <c r="L416" i="3" s="1"/>
  <c r="Y419" i="3"/>
  <c r="Z419" i="3" s="1"/>
  <c r="O400" i="3" a="1"/>
  <c r="O400" i="3" s="1"/>
  <c r="Z416" i="3"/>
  <c r="K403" i="3" a="1"/>
  <c r="K403" i="3" s="1"/>
  <c r="N416" i="3" a="1"/>
  <c r="N416" i="3" s="1"/>
  <c r="AA415" i="3"/>
  <c r="L414" i="3" a="1"/>
  <c r="L414" i="3" s="1"/>
  <c r="Y415" i="3"/>
  <c r="Z415" i="3" s="1"/>
  <c r="J417" i="3" a="1"/>
  <c r="J417" i="3" s="1"/>
  <c r="N422" i="3" a="1"/>
  <c r="N422" i="3" s="1"/>
  <c r="M430" i="3" a="1"/>
  <c r="M430" i="3" s="1"/>
  <c r="AA422" i="3"/>
  <c r="N414" i="3" a="1"/>
  <c r="N414" i="3" s="1"/>
  <c r="K417" i="3" a="1"/>
  <c r="K417" i="3" s="1"/>
  <c r="K422" i="3" a="1"/>
  <c r="K422" i="3" s="1"/>
  <c r="AB421" i="3"/>
  <c r="J410" i="3" a="1"/>
  <c r="J410" i="3" s="1"/>
  <c r="M414" i="3" a="1"/>
  <c r="M414" i="3" s="1"/>
  <c r="L422" i="3" a="1"/>
  <c r="L422" i="3" s="1"/>
  <c r="AB429" i="3"/>
  <c r="AD431" i="3"/>
  <c r="D431" i="3" s="1"/>
  <c r="O410" i="3" a="1"/>
  <c r="O410" i="3" s="1"/>
  <c r="M417" i="3" a="1"/>
  <c r="M417" i="3" s="1"/>
  <c r="AC429" i="3"/>
  <c r="M422" i="3" a="1"/>
  <c r="M422" i="3" s="1"/>
  <c r="AB427" i="3"/>
  <c r="AB420" i="3"/>
  <c r="AD424" i="3"/>
  <c r="L410" i="3" a="1"/>
  <c r="L410" i="3" s="1"/>
  <c r="AD409" i="3"/>
  <c r="L417" i="3" a="1"/>
  <c r="L417" i="3" s="1"/>
  <c r="AD429" i="3"/>
  <c r="AD422" i="3"/>
  <c r="AA392" i="3"/>
  <c r="J413" i="3" a="1"/>
  <c r="J413" i="3" s="1"/>
  <c r="J404" i="3" a="1"/>
  <c r="J404" i="3" s="1"/>
  <c r="AD419" i="3"/>
  <c r="AB415" i="3"/>
  <c r="AD423" i="3"/>
  <c r="N410" i="3" a="1"/>
  <c r="N410" i="3" s="1"/>
  <c r="J414" i="3" a="1"/>
  <c r="J414" i="3" s="1"/>
  <c r="AC415" i="3"/>
  <c r="AA419" i="3"/>
  <c r="U424" i="3"/>
  <c r="Y420" i="3"/>
  <c r="Z420" i="3" s="1"/>
  <c r="AB422" i="3"/>
  <c r="J422" i="3" a="1"/>
  <c r="J422" i="3" s="1"/>
  <c r="U429" i="3"/>
  <c r="V429" i="3" s="1"/>
  <c r="U422" i="3"/>
  <c r="Y422" i="3"/>
  <c r="Z422" i="3" s="1"/>
  <c r="J430" i="3" a="1"/>
  <c r="J430" i="3" s="1"/>
  <c r="U430" i="3"/>
  <c r="N411" i="3" a="1"/>
  <c r="N411" i="3" s="1"/>
  <c r="AD404" i="3"/>
  <c r="K416" i="3" a="1"/>
  <c r="K416" i="3" s="1"/>
  <c r="AA418" i="3"/>
  <c r="L430" i="3" a="1"/>
  <c r="L430" i="3" s="1"/>
  <c r="AB426" i="3"/>
  <c r="U421" i="3"/>
  <c r="U423" i="3"/>
  <c r="AA425" i="3"/>
  <c r="AC422" i="3"/>
  <c r="U427" i="3"/>
  <c r="U420" i="3"/>
  <c r="AC425" i="3"/>
  <c r="U431" i="3"/>
  <c r="AB417" i="3"/>
  <c r="AC424" i="3"/>
  <c r="Y423" i="3"/>
  <c r="Z423" i="3" s="1"/>
  <c r="U428" i="3"/>
  <c r="Y425" i="3"/>
  <c r="Z425" i="3" s="1"/>
  <c r="AB268" i="3"/>
  <c r="O392" i="3" a="1"/>
  <c r="O392" i="3" s="1"/>
  <c r="AB411" i="3"/>
  <c r="K430" i="3" a="1"/>
  <c r="K430" i="3" s="1"/>
  <c r="AA427" i="3"/>
  <c r="Y431" i="3"/>
  <c r="Z431" i="3" s="1"/>
  <c r="Y424" i="3"/>
  <c r="Z424" i="3" s="1"/>
  <c r="Y426" i="3"/>
  <c r="Z426" i="3" s="1"/>
  <c r="AC427" i="3"/>
  <c r="AB399" i="3"/>
  <c r="O406" i="3" a="1"/>
  <c r="O406" i="3" s="1"/>
  <c r="N419" i="3" a="1"/>
  <c r="N419" i="3" s="1"/>
  <c r="K419" i="3" a="1"/>
  <c r="K419" i="3" s="1"/>
  <c r="M419" i="3" a="1"/>
  <c r="M419" i="3" s="1"/>
  <c r="AA360" i="3"/>
  <c r="K406" i="3" a="1"/>
  <c r="K406" i="3" s="1"/>
  <c r="AD415" i="3"/>
  <c r="AB416" i="3"/>
  <c r="J221" i="3" a="1"/>
  <c r="J221" i="3" s="1"/>
  <c r="N221" i="3" a="1"/>
  <c r="N221" i="3" s="1"/>
  <c r="J228" i="3" a="1"/>
  <c r="J228" i="3" s="1"/>
  <c r="AD238" i="3"/>
  <c r="N365" i="3" a="1"/>
  <c r="N365" i="3" s="1"/>
  <c r="Z221" i="3"/>
  <c r="Z229" i="3"/>
  <c r="O232" i="3" a="1"/>
  <c r="O232" i="3" s="1"/>
  <c r="AC373" i="3"/>
  <c r="M406" i="3" a="1"/>
  <c r="M406" i="3" s="1"/>
  <c r="AC397" i="3"/>
  <c r="D397" i="3" s="1"/>
  <c r="L404" i="3" a="1"/>
  <c r="L404" i="3" s="1"/>
  <c r="M404" i="3" a="1"/>
  <c r="M404" i="3" s="1"/>
  <c r="AA405" i="3"/>
  <c r="AB379" i="3"/>
  <c r="N418" i="3" a="1"/>
  <c r="N418" i="3" s="1"/>
  <c r="AD416" i="3"/>
  <c r="J418" i="3" a="1"/>
  <c r="J418" i="3" s="1"/>
  <c r="Y405" i="3"/>
  <c r="Z405" i="3" s="1"/>
  <c r="AB404" i="3"/>
  <c r="M418" i="3" a="1"/>
  <c r="M418" i="3" s="1"/>
  <c r="AB418" i="3"/>
  <c r="AA414" i="3"/>
  <c r="AA404" i="3"/>
  <c r="L418" i="3" a="1"/>
  <c r="L418" i="3" s="1"/>
  <c r="K418" i="3" a="1"/>
  <c r="K418" i="3" s="1"/>
  <c r="M362" i="3" a="1"/>
  <c r="M362" i="3" s="1"/>
  <c r="U418" i="3"/>
  <c r="V418" i="3" s="1"/>
  <c r="J419" i="3" a="1"/>
  <c r="J419" i="3" s="1"/>
  <c r="N362" i="3" a="1"/>
  <c r="N362" i="3" s="1"/>
  <c r="K413" i="3" a="1"/>
  <c r="K413" i="3" s="1"/>
  <c r="AA407" i="3"/>
  <c r="AB419" i="3"/>
  <c r="K404" i="3" a="1"/>
  <c r="K404" i="3" s="1"/>
  <c r="AA391" i="3"/>
  <c r="N415" i="3" a="1"/>
  <c r="N415" i="3" s="1"/>
  <c r="K415" i="3" a="1"/>
  <c r="K415" i="3" s="1"/>
  <c r="M411" i="3" a="1"/>
  <c r="M411" i="3" s="1"/>
  <c r="U397" i="3"/>
  <c r="V397" i="3" s="1"/>
  <c r="K407" i="3" a="1"/>
  <c r="K407" i="3" s="1"/>
  <c r="J415" i="3" a="1"/>
  <c r="J415" i="3" s="1"/>
  <c r="AC418" i="3"/>
  <c r="L400" i="3" a="1"/>
  <c r="L400" i="3" s="1"/>
  <c r="U403" i="3"/>
  <c r="H403" i="3" s="1"/>
  <c r="K400" i="3" a="1"/>
  <c r="K400" i="3" s="1"/>
  <c r="O407" i="3" a="1"/>
  <c r="O407" i="3" s="1"/>
  <c r="N407" i="3" a="1"/>
  <c r="N407" i="3" s="1"/>
  <c r="M415" i="3" a="1"/>
  <c r="M415" i="3" s="1"/>
  <c r="M400" i="3" a="1"/>
  <c r="M400" i="3" s="1"/>
  <c r="AC411" i="3"/>
  <c r="U417" i="3"/>
  <c r="AA412" i="3"/>
  <c r="C412" i="3" s="1"/>
  <c r="U416" i="3"/>
  <c r="J399" i="3" a="1"/>
  <c r="J399" i="3" s="1"/>
  <c r="AB391" i="3"/>
  <c r="U406" i="3"/>
  <c r="V406" i="3" s="1"/>
  <c r="AB405" i="3"/>
  <c r="U414" i="3"/>
  <c r="U400" i="3"/>
  <c r="V400" i="3" s="1"/>
  <c r="Y414" i="3"/>
  <c r="Z414" i="3" s="1"/>
  <c r="U415" i="3"/>
  <c r="J403" i="3" a="1"/>
  <c r="J403" i="3" s="1"/>
  <c r="Y417" i="3"/>
  <c r="Z417" i="3" s="1"/>
  <c r="AC414" i="3"/>
  <c r="D414" i="3" s="1"/>
  <c r="AD418" i="3"/>
  <c r="AC417" i="3"/>
  <c r="AB408" i="3"/>
  <c r="K408" i="3" a="1"/>
  <c r="K408" i="3" s="1"/>
  <c r="AD410" i="3"/>
  <c r="D410" i="3" s="1"/>
  <c r="M365" i="3" a="1"/>
  <c r="M365" i="3" s="1"/>
  <c r="AB397" i="3"/>
  <c r="M368" i="3" a="1"/>
  <c r="M368" i="3" s="1"/>
  <c r="K368" i="3" a="1"/>
  <c r="K368" i="3" s="1"/>
  <c r="N404" i="3" a="1"/>
  <c r="N404" i="3" s="1"/>
  <c r="N398" i="3" a="1"/>
  <c r="N398" i="3" s="1"/>
  <c r="AC395" i="3"/>
  <c r="L391" i="3" a="1"/>
  <c r="L391" i="3" s="1"/>
  <c r="O402" i="3" a="1"/>
  <c r="O402" i="3" s="1"/>
  <c r="O398" i="3" a="1"/>
  <c r="O398" i="3" s="1"/>
  <c r="J398" i="3" a="1"/>
  <c r="J398" i="3" s="1"/>
  <c r="N394" i="3" a="1"/>
  <c r="N394" i="3" s="1"/>
  <c r="K402" i="3" a="1"/>
  <c r="K402" i="3" s="1"/>
  <c r="J390" i="3" a="1"/>
  <c r="J390" i="3" s="1"/>
  <c r="AA390" i="3"/>
  <c r="AD400" i="3"/>
  <c r="N403" i="3" a="1"/>
  <c r="N403" i="3" s="1"/>
  <c r="AA371" i="3"/>
  <c r="K396" i="3" a="1"/>
  <c r="K396" i="3" s="1"/>
  <c r="AC407" i="3"/>
  <c r="AD406" i="3"/>
  <c r="AD407" i="3"/>
  <c r="AC406" i="3"/>
  <c r="O403" i="3" a="1"/>
  <c r="O403" i="3" s="1"/>
  <c r="U411" i="3"/>
  <c r="AD405" i="3"/>
  <c r="Y397" i="3"/>
  <c r="Z397" i="3" s="1"/>
  <c r="M403" i="3" a="1"/>
  <c r="M403" i="3" s="1"/>
  <c r="M396" i="3" a="1"/>
  <c r="M396" i="3" s="1"/>
  <c r="K391" i="3" a="1"/>
  <c r="K391" i="3" s="1"/>
  <c r="J401" i="3" a="1"/>
  <c r="J401" i="3" s="1"/>
  <c r="M413" i="3" a="1"/>
  <c r="M413" i="3" s="1"/>
  <c r="M394" i="3" a="1"/>
  <c r="M394" i="3" s="1"/>
  <c r="J394" i="3" a="1"/>
  <c r="J394" i="3" s="1"/>
  <c r="K399" i="3" a="1"/>
  <c r="K399" i="3" s="1"/>
  <c r="L413" i="3" a="1"/>
  <c r="L413" i="3" s="1"/>
  <c r="AA403" i="3"/>
  <c r="O401" i="3" a="1"/>
  <c r="O401" i="3" s="1"/>
  <c r="AA399" i="3"/>
  <c r="N413" i="3" a="1"/>
  <c r="N413" i="3" s="1"/>
  <c r="O409" i="3" a="1"/>
  <c r="O409" i="3" s="1"/>
  <c r="M391" i="3" a="1"/>
  <c r="M391" i="3" s="1"/>
  <c r="AC393" i="3"/>
  <c r="Y395" i="3"/>
  <c r="Z395" i="3" s="1"/>
  <c r="AA406" i="3"/>
  <c r="AB403" i="3"/>
  <c r="AA398" i="3"/>
  <c r="AC392" i="3"/>
  <c r="AB410" i="3"/>
  <c r="AD394" i="3"/>
  <c r="M397" i="3" a="1"/>
  <c r="M397" i="3" s="1"/>
  <c r="J405" i="3" a="1"/>
  <c r="J405" i="3" s="1"/>
  <c r="AD413" i="3"/>
  <c r="Y408" i="3"/>
  <c r="Z408" i="3" s="1"/>
  <c r="AB392" i="3"/>
  <c r="AC396" i="3"/>
  <c r="D396" i="3" s="1"/>
  <c r="AC394" i="3"/>
  <c r="AD393" i="3"/>
  <c r="N405" i="3" a="1"/>
  <c r="N405" i="3" s="1"/>
  <c r="K405" i="3" a="1"/>
  <c r="K405" i="3" s="1"/>
  <c r="Y393" i="3"/>
  <c r="Z393" i="3" s="1"/>
  <c r="L405" i="3" a="1"/>
  <c r="L405" i="3" s="1"/>
  <c r="U408" i="3"/>
  <c r="H408" i="3" s="1"/>
  <c r="N412" i="3" a="1"/>
  <c r="N412" i="3" s="1"/>
  <c r="AA359" i="3"/>
  <c r="U396" i="3"/>
  <c r="H396" i="3" s="1"/>
  <c r="AA410" i="3"/>
  <c r="AC405" i="3"/>
  <c r="AB398" i="3"/>
  <c r="L401" i="3" a="1"/>
  <c r="L401" i="3" s="1"/>
  <c r="M412" i="3" a="1"/>
  <c r="M412" i="3" s="1"/>
  <c r="N402" i="3" a="1"/>
  <c r="N402" i="3" s="1"/>
  <c r="L395" i="3" a="1"/>
  <c r="L395" i="3" s="1"/>
  <c r="U392" i="3"/>
  <c r="V392" i="3" s="1"/>
  <c r="L409" i="3" a="1"/>
  <c r="L409" i="3" s="1"/>
  <c r="AC404" i="3"/>
  <c r="M401" i="3" a="1"/>
  <c r="M401" i="3" s="1"/>
  <c r="N395" i="3" a="1"/>
  <c r="N395" i="3" s="1"/>
  <c r="K395" i="3" a="1"/>
  <c r="K395" i="3" s="1"/>
  <c r="Y402" i="3"/>
  <c r="Z402" i="3" s="1"/>
  <c r="O395" i="3" a="1"/>
  <c r="O395" i="3" s="1"/>
  <c r="J395" i="3" a="1"/>
  <c r="J395" i="3" s="1"/>
  <c r="N401" i="3" a="1"/>
  <c r="N401" i="3" s="1"/>
  <c r="K412" i="3" a="1"/>
  <c r="K412" i="3" s="1"/>
  <c r="Y409" i="3"/>
  <c r="Z409" i="3" s="1"/>
  <c r="K409" i="3" a="1"/>
  <c r="K409" i="3" s="1"/>
  <c r="U409" i="3"/>
  <c r="V409" i="3" s="1"/>
  <c r="L397" i="3" a="1"/>
  <c r="L397" i="3" s="1"/>
  <c r="L412" i="3" a="1"/>
  <c r="L412" i="3" s="1"/>
  <c r="N409" i="3" a="1"/>
  <c r="N409" i="3" s="1"/>
  <c r="Y413" i="3"/>
  <c r="Z413" i="3" s="1"/>
  <c r="U407" i="3"/>
  <c r="H407" i="3" s="1"/>
  <c r="J412" i="3" a="1"/>
  <c r="J412" i="3" s="1"/>
  <c r="Y407" i="3"/>
  <c r="Z407" i="3" s="1"/>
  <c r="M399" i="3" a="1"/>
  <c r="M399" i="3" s="1"/>
  <c r="U398" i="3"/>
  <c r="V398" i="3" s="1"/>
  <c r="AB407" i="3"/>
  <c r="Y404" i="3"/>
  <c r="Z404" i="3" s="1"/>
  <c r="J402" i="3" a="1"/>
  <c r="J402" i="3" s="1"/>
  <c r="K398" i="3" a="1"/>
  <c r="K398" i="3" s="1"/>
  <c r="L392" i="3" a="1"/>
  <c r="L392" i="3" s="1"/>
  <c r="AB390" i="3"/>
  <c r="Y396" i="3"/>
  <c r="Z396" i="3" s="1"/>
  <c r="Y412" i="3"/>
  <c r="Z412" i="3" s="1"/>
  <c r="U404" i="3"/>
  <c r="AA411" i="3"/>
  <c r="Y406" i="3"/>
  <c r="Z406" i="3" s="1"/>
  <c r="N396" i="3" a="1"/>
  <c r="N396" i="3" s="1"/>
  <c r="K392" i="3" a="1"/>
  <c r="K392" i="3" s="1"/>
  <c r="J391" i="3" a="1"/>
  <c r="J391" i="3" s="1"/>
  <c r="O399" i="3" a="1"/>
  <c r="O399" i="3" s="1"/>
  <c r="AC401" i="3"/>
  <c r="AC390" i="3"/>
  <c r="AC391" i="3"/>
  <c r="U412" i="3"/>
  <c r="U405" i="3"/>
  <c r="AB406" i="3"/>
  <c r="Y410" i="3"/>
  <c r="Z410" i="3" s="1"/>
  <c r="Y403" i="3"/>
  <c r="Z403" i="3" s="1"/>
  <c r="J409" i="3" a="1"/>
  <c r="J409" i="3" s="1"/>
  <c r="AC413" i="3"/>
  <c r="U413" i="3"/>
  <c r="AD408" i="3"/>
  <c r="D408" i="3" s="1"/>
  <c r="Y411" i="3"/>
  <c r="Z411" i="3" s="1"/>
  <c r="AB409" i="3"/>
  <c r="C409" i="3" s="1"/>
  <c r="AD412" i="3"/>
  <c r="AC412" i="3"/>
  <c r="AD403" i="3"/>
  <c r="J407" i="3" a="1"/>
  <c r="J407" i="3" s="1"/>
  <c r="AD411" i="3"/>
  <c r="U399" i="3"/>
  <c r="AB413" i="3"/>
  <c r="AD352" i="3"/>
  <c r="AD390" i="3"/>
  <c r="U390" i="3"/>
  <c r="J364" i="3" a="1"/>
  <c r="J364" i="3" s="1"/>
  <c r="AA377" i="3"/>
  <c r="M364" i="3" a="1"/>
  <c r="M364" i="3" s="1"/>
  <c r="AC372" i="3"/>
  <c r="O391" i="3" a="1"/>
  <c r="O391" i="3" s="1"/>
  <c r="V244" i="3"/>
  <c r="AB393" i="3"/>
  <c r="C393" i="3" s="1"/>
  <c r="L396" i="3" a="1"/>
  <c r="L396" i="3" s="1"/>
  <c r="Z211" i="3"/>
  <c r="U303" i="3"/>
  <c r="Y275" i="3"/>
  <c r="M398" i="3" a="1"/>
  <c r="M398" i="3" s="1"/>
  <c r="Y394" i="3"/>
  <c r="Z394" i="3" s="1"/>
  <c r="U236" i="3"/>
  <c r="AD401" i="3"/>
  <c r="O396" i="3" a="1"/>
  <c r="O396" i="3" s="1"/>
  <c r="N371" i="3" a="1"/>
  <c r="N371" i="3" s="1"/>
  <c r="Z228" i="3"/>
  <c r="L228" i="3" a="1"/>
  <c r="L228" i="3" s="1"/>
  <c r="L229" i="3" a="1"/>
  <c r="L229" i="3" s="1"/>
  <c r="Z239" i="3"/>
  <c r="H244" i="3"/>
  <c r="P244" i="3" s="1" a="1"/>
  <c r="P244" i="3" s="1"/>
  <c r="Q244" i="3" s="1"/>
  <c r="U391" i="3"/>
  <c r="H391" i="3" s="1"/>
  <c r="AA362" i="3"/>
  <c r="J400" i="3" a="1"/>
  <c r="J400" i="3" s="1"/>
  <c r="J371" i="3" a="1"/>
  <c r="J371" i="3" s="1"/>
  <c r="AC384" i="3"/>
  <c r="AD388" i="3"/>
  <c r="AD399" i="3"/>
  <c r="L383" i="3" a="1"/>
  <c r="L383" i="3" s="1"/>
  <c r="N397" i="3" a="1"/>
  <c r="N397" i="3" s="1"/>
  <c r="O394" i="3" a="1"/>
  <c r="O394" i="3" s="1"/>
  <c r="J397" i="3" a="1"/>
  <c r="J397" i="3" s="1"/>
  <c r="O383" i="3" a="1"/>
  <c r="O383" i="3" s="1"/>
  <c r="AB384" i="3"/>
  <c r="L362" i="3" a="1"/>
  <c r="L362" i="3" s="1"/>
  <c r="K394" i="3" a="1"/>
  <c r="K394" i="3" s="1"/>
  <c r="L402" i="3" a="1"/>
  <c r="L402" i="3" s="1"/>
  <c r="AD382" i="3"/>
  <c r="AC364" i="3"/>
  <c r="J366" i="3" a="1"/>
  <c r="J366" i="3" s="1"/>
  <c r="N363" i="3" a="1"/>
  <c r="N363" i="3" s="1"/>
  <c r="M366" i="3" a="1"/>
  <c r="M366" i="3" s="1"/>
  <c r="N370" i="3" a="1"/>
  <c r="N370" i="3" s="1"/>
  <c r="M380" i="3" a="1"/>
  <c r="M380" i="3" s="1"/>
  <c r="M370" i="3" a="1"/>
  <c r="M370" i="3" s="1"/>
  <c r="AD402" i="3"/>
  <c r="J363" i="3" a="1"/>
  <c r="J363" i="3" s="1"/>
  <c r="AA401" i="3"/>
  <c r="AA402" i="3"/>
  <c r="J383" i="3" a="1"/>
  <c r="J383" i="3" s="1"/>
  <c r="AD380" i="3"/>
  <c r="K397" i="3" a="1"/>
  <c r="K397" i="3" s="1"/>
  <c r="L380" i="3" a="1"/>
  <c r="L380" i="3" s="1"/>
  <c r="O380" i="3" a="1"/>
  <c r="O380" i="3" s="1"/>
  <c r="Y401" i="3"/>
  <c r="Z401" i="3" s="1"/>
  <c r="AC374" i="3"/>
  <c r="AC361" i="3"/>
  <c r="D361" i="3" s="1"/>
  <c r="K380" i="3" a="1"/>
  <c r="K380" i="3" s="1"/>
  <c r="N383" i="3" a="1"/>
  <c r="N383" i="3" s="1"/>
  <c r="AC379" i="3"/>
  <c r="D379" i="3" s="1"/>
  <c r="AA396" i="3"/>
  <c r="AC402" i="3"/>
  <c r="AB400" i="3"/>
  <c r="AB396" i="3"/>
  <c r="N380" i="3" a="1"/>
  <c r="N380" i="3" s="1"/>
  <c r="AB401" i="3"/>
  <c r="AA400" i="3"/>
  <c r="Y400" i="3"/>
  <c r="Z400" i="3" s="1"/>
  <c r="Y390" i="3"/>
  <c r="Z390" i="3" s="1"/>
  <c r="Y391" i="3"/>
  <c r="Z391" i="3" s="1"/>
  <c r="AC398" i="3"/>
  <c r="Y398" i="3"/>
  <c r="Z398" i="3" s="1"/>
  <c r="U395" i="3"/>
  <c r="AB395" i="3"/>
  <c r="AC357" i="3"/>
  <c r="AC383" i="3"/>
  <c r="J392" i="3" a="1"/>
  <c r="J392" i="3" s="1"/>
  <c r="U393" i="3"/>
  <c r="U394" i="3"/>
  <c r="AB394" i="3"/>
  <c r="AD392" i="3"/>
  <c r="U401" i="3"/>
  <c r="U402" i="3"/>
  <c r="AB402" i="3"/>
  <c r="AD391" i="3"/>
  <c r="Y392" i="3"/>
  <c r="Z392" i="3" s="1"/>
  <c r="AA376" i="3"/>
  <c r="AB378" i="3"/>
  <c r="AB366" i="3"/>
  <c r="AB386" i="3"/>
  <c r="AC389" i="3"/>
  <c r="AB369" i="3"/>
  <c r="AB387" i="3"/>
  <c r="AD358" i="3"/>
  <c r="AD368" i="3"/>
  <c r="O372" i="3" a="1"/>
  <c r="O372" i="3" s="1"/>
  <c r="N372" i="3" a="1"/>
  <c r="N372" i="3" s="1"/>
  <c r="J372" i="3" a="1"/>
  <c r="J372" i="3" s="1"/>
  <c r="J379" i="3" a="1"/>
  <c r="J379" i="3" s="1"/>
  <c r="M372" i="3" a="1"/>
  <c r="M372" i="3" s="1"/>
  <c r="AC303" i="3"/>
  <c r="J384" i="3" a="1"/>
  <c r="J384" i="3" s="1"/>
  <c r="L384" i="3" a="1"/>
  <c r="L384" i="3" s="1"/>
  <c r="J362" i="3" a="1"/>
  <c r="J362" i="3" s="1"/>
  <c r="AA363" i="3"/>
  <c r="AD369" i="3"/>
  <c r="V277" i="3"/>
  <c r="J368" i="3" a="1"/>
  <c r="J368" i="3" s="1"/>
  <c r="AD377" i="3"/>
  <c r="O384" i="3" a="1"/>
  <c r="O384" i="3" s="1"/>
  <c r="U367" i="3"/>
  <c r="H367" i="3" s="1"/>
  <c r="P367" i="3" s="1" a="1"/>
  <c r="P367" i="3" s="1"/>
  <c r="Q367" i="3" s="1"/>
  <c r="L377" i="3" a="1"/>
  <c r="L377" i="3" s="1"/>
  <c r="AC369" i="3"/>
  <c r="Y369" i="3"/>
  <c r="Z369" i="3" s="1"/>
  <c r="M379" i="3" a="1"/>
  <c r="M379" i="3" s="1"/>
  <c r="AC377" i="3"/>
  <c r="L379" i="3" a="1"/>
  <c r="L379" i="3" s="1"/>
  <c r="AC375" i="3"/>
  <c r="K379" i="3" a="1"/>
  <c r="K379" i="3" s="1"/>
  <c r="AD386" i="3"/>
  <c r="D386" i="3" s="1"/>
  <c r="O379" i="3" a="1"/>
  <c r="O379" i="3" s="1"/>
  <c r="U374" i="3"/>
  <c r="V374" i="3" s="1"/>
  <c r="AD372" i="3"/>
  <c r="D372" i="3" s="1"/>
  <c r="O377" i="3" a="1"/>
  <c r="O377" i="3" s="1"/>
  <c r="U366" i="3"/>
  <c r="H366" i="3" s="1"/>
  <c r="P366" i="3" s="1" a="1"/>
  <c r="P366" i="3" s="1"/>
  <c r="Q366" i="3" s="1"/>
  <c r="O228" i="3" a="1"/>
  <c r="O228" i="3" s="1"/>
  <c r="AA366" i="3"/>
  <c r="M384" i="3" a="1"/>
  <c r="M384" i="3" s="1"/>
  <c r="O387" i="3" a="1"/>
  <c r="O387" i="3" s="1"/>
  <c r="N377" i="3" a="1"/>
  <c r="N377" i="3" s="1"/>
  <c r="K387" i="3" a="1"/>
  <c r="K387" i="3" s="1"/>
  <c r="M377" i="3" a="1"/>
  <c r="M377" i="3" s="1"/>
  <c r="AC367" i="3"/>
  <c r="K384" i="3" a="1"/>
  <c r="K384" i="3" s="1"/>
  <c r="AB364" i="3"/>
  <c r="O369" i="3" a="1"/>
  <c r="O369" i="3" s="1"/>
  <c r="Y368" i="3"/>
  <c r="Z368" i="3" s="1"/>
  <c r="AC368" i="3"/>
  <c r="M369" i="3" a="1"/>
  <c r="M369" i="3" s="1"/>
  <c r="AC363" i="3"/>
  <c r="AC358" i="3"/>
  <c r="L369" i="3" a="1"/>
  <c r="L369" i="3" s="1"/>
  <c r="Y367" i="3"/>
  <c r="Z367" i="3" s="1"/>
  <c r="N369" i="3" a="1"/>
  <c r="N369" i="3" s="1"/>
  <c r="H384" i="3"/>
  <c r="P384" i="3" s="1" a="1"/>
  <c r="P384" i="3" s="1"/>
  <c r="Q384" i="3" s="1"/>
  <c r="AA370" i="3"/>
  <c r="AD366" i="3"/>
  <c r="K360" i="3" a="1"/>
  <c r="K360" i="3" s="1"/>
  <c r="N364" i="3" a="1"/>
  <c r="N364" i="3" s="1"/>
  <c r="AB376" i="3"/>
  <c r="M360" i="3" a="1"/>
  <c r="M360" i="3" s="1"/>
  <c r="Y376" i="3"/>
  <c r="Z376" i="3" s="1"/>
  <c r="L360" i="3" a="1"/>
  <c r="L360" i="3" s="1"/>
  <c r="AB368" i="3"/>
  <c r="AD374" i="3"/>
  <c r="K386" i="3" a="1"/>
  <c r="K386" i="3" s="1"/>
  <c r="Y361" i="3"/>
  <c r="Z361" i="3" s="1"/>
  <c r="AC360" i="3"/>
  <c r="AC376" i="3"/>
  <c r="J386" i="3" a="1"/>
  <c r="J386" i="3" s="1"/>
  <c r="AB385" i="3"/>
  <c r="AA385" i="3"/>
  <c r="J376" i="3" a="1"/>
  <c r="J376" i="3" s="1"/>
  <c r="J359" i="3" a="1"/>
  <c r="J359" i="3" s="1"/>
  <c r="AC365" i="3"/>
  <c r="M361" i="3" a="1"/>
  <c r="M361" i="3" s="1"/>
  <c r="AB377" i="3"/>
  <c r="K376" i="3" a="1"/>
  <c r="K376" i="3" s="1"/>
  <c r="L361" i="3" a="1"/>
  <c r="L361" i="3" s="1"/>
  <c r="AA356" i="3"/>
  <c r="AA386" i="3"/>
  <c r="AA369" i="3"/>
  <c r="C369" i="3" s="1"/>
  <c r="AA379" i="3"/>
  <c r="AB356" i="3"/>
  <c r="M376" i="3" a="1"/>
  <c r="M376" i="3" s="1"/>
  <c r="L371" i="3" a="1"/>
  <c r="L371" i="3" s="1"/>
  <c r="O376" i="3" a="1"/>
  <c r="O376" i="3" s="1"/>
  <c r="M382" i="3" a="1"/>
  <c r="M382" i="3" s="1"/>
  <c r="N382" i="3" a="1"/>
  <c r="N382" i="3" s="1"/>
  <c r="O382" i="3" a="1"/>
  <c r="O382" i="3" s="1"/>
  <c r="J382" i="3" a="1"/>
  <c r="J382" i="3" s="1"/>
  <c r="K382" i="3" a="1"/>
  <c r="K382" i="3" s="1"/>
  <c r="AA358" i="3"/>
  <c r="AD364" i="3"/>
  <c r="O371" i="3" a="1"/>
  <c r="O371" i="3" s="1"/>
  <c r="Y360" i="3"/>
  <c r="Z360" i="3" s="1"/>
  <c r="O361" i="3" a="1"/>
  <c r="O361" i="3" s="1"/>
  <c r="L376" i="3" a="1"/>
  <c r="L376" i="3" s="1"/>
  <c r="N386" i="3" a="1"/>
  <c r="N386" i="3" s="1"/>
  <c r="M386" i="3" a="1"/>
  <c r="M386" i="3" s="1"/>
  <c r="K373" i="3" a="1"/>
  <c r="K373" i="3" s="1"/>
  <c r="N361" i="3" a="1"/>
  <c r="N361" i="3" s="1"/>
  <c r="U376" i="3"/>
  <c r="H376" i="3" s="1"/>
  <c r="P376" i="3" s="1" a="1"/>
  <c r="P376" i="3" s="1"/>
  <c r="Q376" i="3" s="1"/>
  <c r="O386" i="3" a="1"/>
  <c r="O386" i="3" s="1"/>
  <c r="U381" i="3"/>
  <c r="H381" i="3" s="1"/>
  <c r="P381" i="3" s="1" a="1"/>
  <c r="P381" i="3" s="1"/>
  <c r="Q381" i="3" s="1"/>
  <c r="K371" i="3" a="1"/>
  <c r="K371" i="3" s="1"/>
  <c r="V384" i="3"/>
  <c r="N381" i="3" a="1"/>
  <c r="N381" i="3" s="1"/>
  <c r="J381" i="3" a="1"/>
  <c r="J381" i="3" s="1"/>
  <c r="N373" i="3" a="1"/>
  <c r="N373" i="3" s="1"/>
  <c r="Y359" i="3"/>
  <c r="Z359" i="3" s="1"/>
  <c r="AA361" i="3"/>
  <c r="AA378" i="3"/>
  <c r="K375" i="3" a="1"/>
  <c r="K375" i="3" s="1"/>
  <c r="M381" i="3" a="1"/>
  <c r="M381" i="3" s="1"/>
  <c r="O359" i="3" a="1"/>
  <c r="O359" i="3" s="1"/>
  <c r="V1752" i="2"/>
  <c r="V1750" i="2"/>
  <c r="V1748" i="2"/>
  <c r="V1746" i="2"/>
  <c r="V1744" i="2"/>
  <c r="U1752" i="2"/>
  <c r="U1750" i="2"/>
  <c r="U1748" i="2"/>
  <c r="U1746" i="2"/>
  <c r="U1744" i="2"/>
  <c r="V1751" i="2"/>
  <c r="V1749" i="2"/>
  <c r="V1747" i="2"/>
  <c r="V1745" i="2"/>
  <c r="V1743" i="2"/>
  <c r="U1751" i="2"/>
  <c r="U1749" i="2"/>
  <c r="U1747" i="2"/>
  <c r="U1745" i="2"/>
  <c r="U1743" i="2"/>
  <c r="AD389" i="3"/>
  <c r="D389" i="3" s="1"/>
  <c r="AA367" i="3"/>
  <c r="AB365" i="3"/>
  <c r="AC359" i="3"/>
  <c r="AB367" i="3"/>
  <c r="L387" i="3" a="1"/>
  <c r="L387" i="3" s="1"/>
  <c r="AC387" i="3"/>
  <c r="L373" i="3" a="1"/>
  <c r="L373" i="3" s="1"/>
  <c r="M373" i="3" a="1"/>
  <c r="M373" i="3" s="1"/>
  <c r="Y373" i="3"/>
  <c r="Z373" i="3" s="1"/>
  <c r="AD362" i="3"/>
  <c r="AC366" i="3"/>
  <c r="AA389" i="3"/>
  <c r="V1742" i="2"/>
  <c r="V1740" i="2"/>
  <c r="V1738" i="2"/>
  <c r="V1736" i="2"/>
  <c r="V1734" i="2"/>
  <c r="U1742" i="2"/>
  <c r="U1740" i="2"/>
  <c r="U1738" i="2"/>
  <c r="U1736" i="2"/>
  <c r="U1734" i="2"/>
  <c r="V1741" i="2"/>
  <c r="V1739" i="2"/>
  <c r="V1737" i="2"/>
  <c r="V1735" i="2"/>
  <c r="U1741" i="2"/>
  <c r="U1739" i="2"/>
  <c r="U1737" i="2"/>
  <c r="U1735" i="2"/>
  <c r="AA384" i="3"/>
  <c r="U262" i="3"/>
  <c r="H262" i="3" s="1"/>
  <c r="P262" i="3" s="1" a="1"/>
  <c r="P262" i="3" s="1"/>
  <c r="Q262" i="3" s="1"/>
  <c r="AB389" i="3"/>
  <c r="AA380" i="3"/>
  <c r="K388" i="3" a="1"/>
  <c r="K388" i="3" s="1"/>
  <c r="L389" i="3" a="1"/>
  <c r="L389" i="3" s="1"/>
  <c r="K389" i="3" a="1"/>
  <c r="K389" i="3" s="1"/>
  <c r="O389" i="3" a="1"/>
  <c r="O389" i="3" s="1"/>
  <c r="Y266" i="3"/>
  <c r="Y375" i="3"/>
  <c r="Z375" i="3" s="1"/>
  <c r="Y377" i="3"/>
  <c r="Z377" i="3" s="1"/>
  <c r="AB380" i="3"/>
  <c r="N388" i="3" a="1"/>
  <c r="N388" i="3" s="1"/>
  <c r="M389" i="3" a="1"/>
  <c r="M389" i="3" s="1"/>
  <c r="AC235" i="3"/>
  <c r="O255" i="3" a="1"/>
  <c r="O255" i="3" s="1"/>
  <c r="J370" i="3" a="1"/>
  <c r="J370" i="3" s="1"/>
  <c r="O363" i="3" a="1"/>
  <c r="O363" i="3" s="1"/>
  <c r="U358" i="3"/>
  <c r="V358" i="3" s="1"/>
  <c r="K378" i="3" a="1"/>
  <c r="K378" i="3" s="1"/>
  <c r="O381" i="3" a="1"/>
  <c r="O381" i="3" s="1"/>
  <c r="N389" i="3" a="1"/>
  <c r="N389" i="3" s="1"/>
  <c r="Z381" i="3"/>
  <c r="U388" i="3"/>
  <c r="V388" i="3" s="1"/>
  <c r="N235" i="3" a="1"/>
  <c r="N235" i="3" s="1"/>
  <c r="M256" i="3" a="1"/>
  <c r="M256" i="3" s="1"/>
  <c r="N277" i="3" a="1"/>
  <c r="N277" i="3" s="1"/>
  <c r="L359" i="3" a="1"/>
  <c r="L359" i="3" s="1"/>
  <c r="AA373" i="3"/>
  <c r="U365" i="3"/>
  <c r="V365" i="3" s="1"/>
  <c r="O388" i="3" a="1"/>
  <c r="O388" i="3" s="1"/>
  <c r="O367" i="3" a="1"/>
  <c r="O367" i="3" s="1"/>
  <c r="AD378" i="3"/>
  <c r="AA259" i="3"/>
  <c r="AB375" i="3"/>
  <c r="K359" i="3" a="1"/>
  <c r="K359" i="3" s="1"/>
  <c r="K383" i="3" a="1"/>
  <c r="K383" i="3" s="1"/>
  <c r="AB363" i="3"/>
  <c r="M387" i="3" a="1"/>
  <c r="M387" i="3" s="1"/>
  <c r="U380" i="3"/>
  <c r="V380" i="3" s="1"/>
  <c r="N387" i="3" a="1"/>
  <c r="N387" i="3" s="1"/>
  <c r="AD387" i="3"/>
  <c r="Y389" i="3"/>
  <c r="Z389" i="3" s="1"/>
  <c r="AD363" i="3"/>
  <c r="V1733" i="2"/>
  <c r="V1731" i="2"/>
  <c r="V1729" i="2"/>
  <c r="V1727" i="2"/>
  <c r="V1725" i="2"/>
  <c r="V1723" i="2"/>
  <c r="U1733" i="2"/>
  <c r="U1731" i="2"/>
  <c r="U1729" i="2"/>
  <c r="U1727" i="2"/>
  <c r="U1725" i="2"/>
  <c r="U1723" i="2"/>
  <c r="V1732" i="2"/>
  <c r="V1730" i="2"/>
  <c r="V1728" i="2"/>
  <c r="V1726" i="2"/>
  <c r="V1724" i="2"/>
  <c r="U1732" i="2"/>
  <c r="U1730" i="2"/>
  <c r="U1728" i="2"/>
  <c r="U1726" i="2"/>
  <c r="U1724" i="2"/>
  <c r="U389" i="3"/>
  <c r="M359" i="3" a="1"/>
  <c r="M359" i="3" s="1"/>
  <c r="U387" i="3"/>
  <c r="V387" i="3" s="1"/>
  <c r="O374" i="3" a="1"/>
  <c r="O374" i="3" s="1"/>
  <c r="K363" i="3" a="1"/>
  <c r="K363" i="3" s="1"/>
  <c r="J374" i="3" a="1"/>
  <c r="J374" i="3" s="1"/>
  <c r="O370" i="3" a="1"/>
  <c r="O370" i="3" s="1"/>
  <c r="L375" i="3" a="1"/>
  <c r="L375" i="3" s="1"/>
  <c r="L363" i="3" a="1"/>
  <c r="L363" i="3" s="1"/>
  <c r="K370" i="3" a="1"/>
  <c r="K370" i="3" s="1"/>
  <c r="L378" i="3" a="1"/>
  <c r="L378" i="3" s="1"/>
  <c r="AA383" i="3"/>
  <c r="AC385" i="3"/>
  <c r="M374" i="3" a="1"/>
  <c r="M374" i="3" s="1"/>
  <c r="O366" i="3" a="1"/>
  <c r="O366" i="3" s="1"/>
  <c r="K366" i="3" a="1"/>
  <c r="K366" i="3" s="1"/>
  <c r="U364" i="3"/>
  <c r="V364" i="3" s="1"/>
  <c r="N378" i="3" a="1"/>
  <c r="N378" i="3" s="1"/>
  <c r="M378" i="3" a="1"/>
  <c r="M378" i="3" s="1"/>
  <c r="AB360" i="3"/>
  <c r="J375" i="3" a="1"/>
  <c r="J375" i="3" s="1"/>
  <c r="M375" i="3" a="1"/>
  <c r="M375" i="3" s="1"/>
  <c r="N366" i="3" a="1"/>
  <c r="N366" i="3" s="1"/>
  <c r="K374" i="3" a="1"/>
  <c r="K374" i="3" s="1"/>
  <c r="O378" i="3" a="1"/>
  <c r="O378" i="3" s="1"/>
  <c r="AC381" i="3"/>
  <c r="M388" i="3" a="1"/>
  <c r="M388" i="3" s="1"/>
  <c r="O375" i="3" a="1"/>
  <c r="O375" i="3" s="1"/>
  <c r="AB373" i="3"/>
  <c r="N374" i="3" a="1"/>
  <c r="N374" i="3" s="1"/>
  <c r="AD381" i="3"/>
  <c r="L367" i="3" a="1"/>
  <c r="L367" i="3" s="1"/>
  <c r="AC378" i="3"/>
  <c r="K358" i="3" a="1"/>
  <c r="K358" i="3" s="1"/>
  <c r="AB361" i="3"/>
  <c r="K367" i="3" a="1"/>
  <c r="K367" i="3" s="1"/>
  <c r="AA387" i="3"/>
  <c r="J367" i="3" a="1"/>
  <c r="J367" i="3" s="1"/>
  <c r="O358" i="3" a="1"/>
  <c r="O358" i="3" s="1"/>
  <c r="O362" i="3" a="1"/>
  <c r="O362" i="3" s="1"/>
  <c r="L385" i="3" a="1"/>
  <c r="L385" i="3" s="1"/>
  <c r="N385" i="3" a="1"/>
  <c r="N385" i="3" s="1"/>
  <c r="J385" i="3" a="1"/>
  <c r="J385" i="3" s="1"/>
  <c r="AB381" i="3"/>
  <c r="AA375" i="3"/>
  <c r="AD385" i="3"/>
  <c r="K385" i="3" a="1"/>
  <c r="K385" i="3" s="1"/>
  <c r="U383" i="3"/>
  <c r="M367" i="3" a="1"/>
  <c r="M367" i="3" s="1"/>
  <c r="O368" i="3" a="1"/>
  <c r="O368" i="3" s="1"/>
  <c r="U360" i="3"/>
  <c r="V360" i="3" s="1"/>
  <c r="M385" i="3" a="1"/>
  <c r="M385" i="3" s="1"/>
  <c r="Y384" i="3"/>
  <c r="Z384" i="3" s="1"/>
  <c r="Y387" i="3"/>
  <c r="Z387" i="3" s="1"/>
  <c r="AB344" i="3"/>
  <c r="AD371" i="3"/>
  <c r="U373" i="3"/>
  <c r="V373" i="3" s="1"/>
  <c r="AB355" i="3"/>
  <c r="AB370" i="3"/>
  <c r="AD360" i="3"/>
  <c r="AA388" i="3"/>
  <c r="V1722" i="2"/>
  <c r="V1720" i="2"/>
  <c r="V1718" i="2"/>
  <c r="V1716" i="2"/>
  <c r="V1714" i="2"/>
  <c r="V1712" i="2"/>
  <c r="U1722" i="2"/>
  <c r="U1720" i="2"/>
  <c r="U1718" i="2"/>
  <c r="U1716" i="2"/>
  <c r="U1714" i="2"/>
  <c r="U1712" i="2"/>
  <c r="V1721" i="2"/>
  <c r="V1719" i="2"/>
  <c r="V1717" i="2"/>
  <c r="V1715" i="2"/>
  <c r="V1713" i="2"/>
  <c r="U1721" i="2"/>
  <c r="U1719" i="2"/>
  <c r="U1717" i="2"/>
  <c r="U1715" i="2"/>
  <c r="U1713" i="2"/>
  <c r="AD342" i="3"/>
  <c r="AD370" i="3"/>
  <c r="AD376" i="3"/>
  <c r="L388" i="3" a="1"/>
  <c r="L388" i="3" s="1"/>
  <c r="AB382" i="3"/>
  <c r="Y388" i="3"/>
  <c r="Z388" i="3" s="1"/>
  <c r="Y358" i="3"/>
  <c r="Z358" i="3" s="1"/>
  <c r="AD384" i="3"/>
  <c r="AB388" i="3"/>
  <c r="AC388" i="3"/>
  <c r="H359" i="3"/>
  <c r="P359" i="3" s="1" a="1"/>
  <c r="P359" i="3" s="1"/>
  <c r="Q359" i="3" s="1"/>
  <c r="AC356" i="3"/>
  <c r="M358" i="3" a="1"/>
  <c r="M358" i="3" s="1"/>
  <c r="AC371" i="3"/>
  <c r="J373" i="3" a="1"/>
  <c r="J373" i="3" s="1"/>
  <c r="Y356" i="3"/>
  <c r="Z356" i="3" s="1"/>
  <c r="U386" i="3"/>
  <c r="AC380" i="3"/>
  <c r="U385" i="3"/>
  <c r="K381" i="3" a="1"/>
  <c r="K381" i="3" s="1"/>
  <c r="AB383" i="3"/>
  <c r="AC382" i="3"/>
  <c r="AA381" i="3"/>
  <c r="Y380" i="3"/>
  <c r="Z380" i="3" s="1"/>
  <c r="V1711" i="2"/>
  <c r="V1709" i="2"/>
  <c r="V1707" i="2"/>
  <c r="V1705" i="2"/>
  <c r="V1703" i="2"/>
  <c r="V1701" i="2"/>
  <c r="U1711" i="2"/>
  <c r="U1709" i="2"/>
  <c r="U1707" i="2"/>
  <c r="U1705" i="2"/>
  <c r="U1703" i="2"/>
  <c r="U1701" i="2"/>
  <c r="V1710" i="2"/>
  <c r="V1708" i="2"/>
  <c r="V1706" i="2"/>
  <c r="V1704" i="2"/>
  <c r="V1702" i="2"/>
  <c r="U1710" i="2"/>
  <c r="U1708" i="2"/>
  <c r="U1706" i="2"/>
  <c r="U1704" i="2"/>
  <c r="U1702" i="2"/>
  <c r="AA382" i="3"/>
  <c r="U378" i="3"/>
  <c r="AD383" i="3"/>
  <c r="AA364" i="3"/>
  <c r="V359" i="3"/>
  <c r="Y385" i="3"/>
  <c r="Z385" i="3" s="1"/>
  <c r="U382" i="3"/>
  <c r="Y386" i="3"/>
  <c r="Z386" i="3" s="1"/>
  <c r="Y382" i="3"/>
  <c r="Z382" i="3" s="1"/>
  <c r="Y383" i="3"/>
  <c r="Z383" i="3" s="1"/>
  <c r="Y379" i="3"/>
  <c r="Z379" i="3" s="1"/>
  <c r="Y378" i="3"/>
  <c r="Z378" i="3" s="1"/>
  <c r="AC351" i="3"/>
  <c r="U379" i="3"/>
  <c r="AA365" i="3"/>
  <c r="U372" i="3"/>
  <c r="N358" i="3" a="1"/>
  <c r="N358" i="3" s="1"/>
  <c r="AA368" i="3"/>
  <c r="U377" i="3"/>
  <c r="V377" i="3" s="1"/>
  <c r="AB374" i="3"/>
  <c r="U368" i="3"/>
  <c r="Y365" i="3"/>
  <c r="Z365" i="3" s="1"/>
  <c r="O360" i="3" a="1"/>
  <c r="O360" i="3" s="1"/>
  <c r="AB359" i="3"/>
  <c r="Y366" i="3"/>
  <c r="Z366" i="3" s="1"/>
  <c r="AD367" i="3"/>
  <c r="L356" i="3" a="1"/>
  <c r="L356" i="3" s="1"/>
  <c r="M355" i="3" a="1"/>
  <c r="M355" i="3" s="1"/>
  <c r="AD357" i="3"/>
  <c r="L355" i="3" a="1"/>
  <c r="L355" i="3" s="1"/>
  <c r="K355" i="3" a="1"/>
  <c r="K355" i="3" s="1"/>
  <c r="Y374" i="3"/>
  <c r="Z374" i="3" s="1"/>
  <c r="AA269" i="3"/>
  <c r="AA372" i="3"/>
  <c r="C372" i="3" s="1"/>
  <c r="O355" i="3" a="1"/>
  <c r="O355" i="3" s="1"/>
  <c r="U356" i="3"/>
  <c r="V356" i="3" s="1"/>
  <c r="AD365" i="3"/>
  <c r="AD375" i="3"/>
  <c r="Y357" i="3"/>
  <c r="Z357" i="3" s="1"/>
  <c r="N356" i="3" a="1"/>
  <c r="N356" i="3" s="1"/>
  <c r="U354" i="3"/>
  <c r="H354" i="3" s="1"/>
  <c r="N355" i="3" a="1"/>
  <c r="N355" i="3" s="1"/>
  <c r="J358" i="3" a="1"/>
  <c r="J358" i="3" s="1"/>
  <c r="AB358" i="3"/>
  <c r="N357" i="3" a="1"/>
  <c r="N357" i="3" s="1"/>
  <c r="AC370" i="3"/>
  <c r="J361" i="3" a="1"/>
  <c r="J361" i="3" s="1"/>
  <c r="Y370" i="3"/>
  <c r="Z370" i="3" s="1"/>
  <c r="AD359" i="3"/>
  <c r="J360" i="3" a="1"/>
  <c r="J360" i="3" s="1"/>
  <c r="U363" i="3"/>
  <c r="U361" i="3"/>
  <c r="Y363" i="3"/>
  <c r="Z363" i="3" s="1"/>
  <c r="U371" i="3"/>
  <c r="V2754" i="2"/>
  <c r="V2752" i="2"/>
  <c r="V2750" i="2"/>
  <c r="V2748" i="2"/>
  <c r="V2746" i="2"/>
  <c r="V2743" i="2"/>
  <c r="V2741" i="2"/>
  <c r="V2739" i="2"/>
  <c r="V2737" i="2"/>
  <c r="V2734" i="2"/>
  <c r="V2732" i="2"/>
  <c r="V2730" i="2"/>
  <c r="V2728" i="2"/>
  <c r="V2726" i="2"/>
  <c r="V2723" i="2"/>
  <c r="V2721" i="2"/>
  <c r="V2719" i="2"/>
  <c r="V2717" i="2"/>
  <c r="V2715" i="2"/>
  <c r="U2754" i="2"/>
  <c r="U2752" i="2"/>
  <c r="U2750" i="2"/>
  <c r="U2748" i="2"/>
  <c r="U2746" i="2"/>
  <c r="U2743" i="2"/>
  <c r="U2741" i="2"/>
  <c r="U2739" i="2"/>
  <c r="U2737" i="2"/>
  <c r="U2734" i="2"/>
  <c r="U2732" i="2"/>
  <c r="U2730" i="2"/>
  <c r="U2728" i="2"/>
  <c r="U2726" i="2"/>
  <c r="U2723" i="2"/>
  <c r="U2721" i="2"/>
  <c r="U2719" i="2"/>
  <c r="U2717" i="2"/>
  <c r="U2715" i="2"/>
  <c r="V2753" i="2"/>
  <c r="V2751" i="2"/>
  <c r="V2749" i="2"/>
  <c r="V2747" i="2"/>
  <c r="V2745" i="2"/>
  <c r="V2744" i="2"/>
  <c r="V2742" i="2"/>
  <c r="V2740" i="2"/>
  <c r="V2738" i="2"/>
  <c r="V2736" i="2"/>
  <c r="V2735" i="2"/>
  <c r="V2733" i="2"/>
  <c r="V2731" i="2"/>
  <c r="V2729" i="2"/>
  <c r="V2727" i="2"/>
  <c r="V2725" i="2"/>
  <c r="V2724" i="2"/>
  <c r="V2722" i="2"/>
  <c r="V2720" i="2"/>
  <c r="V2718" i="2"/>
  <c r="V2716" i="2"/>
  <c r="V2714" i="2"/>
  <c r="U2753" i="2"/>
  <c r="U2751" i="2"/>
  <c r="U2749" i="2"/>
  <c r="U2747" i="2"/>
  <c r="U2745" i="2"/>
  <c r="U2744" i="2"/>
  <c r="U2742" i="2"/>
  <c r="U2740" i="2"/>
  <c r="U2738" i="2"/>
  <c r="U2736" i="2"/>
  <c r="U2735" i="2"/>
  <c r="U2733" i="2"/>
  <c r="U2731" i="2"/>
  <c r="U2729" i="2"/>
  <c r="U2727" i="2"/>
  <c r="U2725" i="2"/>
  <c r="U2724" i="2"/>
  <c r="U2722" i="2"/>
  <c r="U2720" i="2"/>
  <c r="U2718" i="2"/>
  <c r="U2716" i="2"/>
  <c r="U2714" i="2"/>
  <c r="AD373" i="3"/>
  <c r="U369" i="3"/>
  <c r="Y371" i="3"/>
  <c r="Z371" i="3" s="1"/>
  <c r="AB371" i="3"/>
  <c r="AA355" i="3"/>
  <c r="U355" i="3"/>
  <c r="H355" i="3" s="1"/>
  <c r="J369" i="3" a="1"/>
  <c r="J369" i="3" s="1"/>
  <c r="AA374" i="3"/>
  <c r="U362" i="3"/>
  <c r="U375" i="3"/>
  <c r="AC362" i="3"/>
  <c r="U370" i="3"/>
  <c r="Y364" i="3"/>
  <c r="Z364" i="3" s="1"/>
  <c r="AB362" i="3"/>
  <c r="Y372" i="3"/>
  <c r="Z372" i="3" s="1"/>
  <c r="Y362" i="3"/>
  <c r="Z362" i="3" s="1"/>
  <c r="J377" i="3" a="1"/>
  <c r="J377" i="3" s="1"/>
  <c r="AA238" i="3"/>
  <c r="AA301" i="3"/>
  <c r="M217" i="3" a="1"/>
  <c r="M217" i="3" s="1"/>
  <c r="H217" i="3"/>
  <c r="AB256" i="3"/>
  <c r="K256" i="3" a="1"/>
  <c r="K256" i="3" s="1"/>
  <c r="AA354" i="3"/>
  <c r="U254" i="3"/>
  <c r="V254" i="3" s="1"/>
  <c r="AC262" i="3"/>
  <c r="AD355" i="3"/>
  <c r="D355" i="3" s="1"/>
  <c r="Y354" i="3"/>
  <c r="Z354" i="3" s="1"/>
  <c r="V1700" i="2"/>
  <c r="U1700" i="2"/>
  <c r="AB354" i="3"/>
  <c r="V1699" i="2"/>
  <c r="V1697" i="2"/>
  <c r="U1699" i="2"/>
  <c r="U1697" i="2"/>
  <c r="V1698" i="2"/>
  <c r="U1698" i="2"/>
  <c r="V1696" i="2"/>
  <c r="V1694" i="2"/>
  <c r="U1696" i="2"/>
  <c r="U1694" i="2"/>
  <c r="V1695" i="2"/>
  <c r="U1695" i="2"/>
  <c r="V1693" i="2"/>
  <c r="V1691" i="2"/>
  <c r="U1693" i="2"/>
  <c r="U1691" i="2"/>
  <c r="V1692" i="2"/>
  <c r="V1690" i="2"/>
  <c r="U1692" i="2"/>
  <c r="U1690" i="2"/>
  <c r="AC354" i="3"/>
  <c r="M357" i="3" a="1"/>
  <c r="M357" i="3" s="1"/>
  <c r="J357" i="3" a="1"/>
  <c r="J357" i="3" s="1"/>
  <c r="D75" i="3"/>
  <c r="Z236" i="3"/>
  <c r="K236" i="3" a="1"/>
  <c r="K236" i="3" s="1"/>
  <c r="L224" i="3" a="1"/>
  <c r="L224" i="3" s="1"/>
  <c r="O357" i="3" a="1"/>
  <c r="O357" i="3" s="1"/>
  <c r="L357" i="3" a="1"/>
  <c r="L357" i="3" s="1"/>
  <c r="AA240" i="3"/>
  <c r="AC300" i="3"/>
  <c r="V1689" i="2"/>
  <c r="V1687" i="2"/>
  <c r="U1689" i="2"/>
  <c r="U1687" i="2"/>
  <c r="V1688" i="2"/>
  <c r="V1686" i="2"/>
  <c r="U1688" i="2"/>
  <c r="U1686" i="2"/>
  <c r="V1685" i="2"/>
  <c r="V1683" i="2"/>
  <c r="V1681" i="2"/>
  <c r="V1679" i="2"/>
  <c r="U1685" i="2"/>
  <c r="U1683" i="2"/>
  <c r="U1681" i="2"/>
  <c r="U1679" i="2"/>
  <c r="V1684" i="2"/>
  <c r="V1682" i="2"/>
  <c r="V1680" i="2"/>
  <c r="U1684" i="2"/>
  <c r="U1682" i="2"/>
  <c r="U1680" i="2"/>
  <c r="AD356" i="3"/>
  <c r="Y355" i="3"/>
  <c r="Z355" i="3" s="1"/>
  <c r="M354" i="3" a="1"/>
  <c r="M354" i="3" s="1"/>
  <c r="V1678" i="2"/>
  <c r="V1676" i="2"/>
  <c r="V1674" i="2"/>
  <c r="U1678" i="2"/>
  <c r="U1676" i="2"/>
  <c r="U1674" i="2"/>
  <c r="V1677" i="2"/>
  <c r="V1675" i="2"/>
  <c r="V1673" i="2"/>
  <c r="U1677" i="2"/>
  <c r="U1675" i="2"/>
  <c r="U1673" i="2"/>
  <c r="V1672" i="2"/>
  <c r="V1670" i="2"/>
  <c r="V1668" i="2"/>
  <c r="V1666" i="2"/>
  <c r="U1672" i="2"/>
  <c r="U1670" i="2"/>
  <c r="U1668" i="2"/>
  <c r="U1666" i="2"/>
  <c r="V1671" i="2"/>
  <c r="V1669" i="2"/>
  <c r="V1667" i="2"/>
  <c r="U1671" i="2"/>
  <c r="U1669" i="2"/>
  <c r="U1667" i="2"/>
  <c r="AD347" i="3"/>
  <c r="U357" i="3"/>
  <c r="V357" i="3" s="1"/>
  <c r="V1665" i="2"/>
  <c r="V1663" i="2"/>
  <c r="V1661" i="2"/>
  <c r="V1659" i="2"/>
  <c r="V1657" i="2"/>
  <c r="U1665" i="2"/>
  <c r="U1663" i="2"/>
  <c r="U1661" i="2"/>
  <c r="U1659" i="2"/>
  <c r="U1657" i="2"/>
  <c r="V1664" i="2"/>
  <c r="V1662" i="2"/>
  <c r="V1660" i="2"/>
  <c r="V1658" i="2"/>
  <c r="V1656" i="2"/>
  <c r="U1664" i="2"/>
  <c r="U1662" i="2"/>
  <c r="U1660" i="2"/>
  <c r="U1658" i="2"/>
  <c r="U1656" i="2"/>
  <c r="U237" i="3"/>
  <c r="V237" i="3" s="1"/>
  <c r="AA357" i="3"/>
  <c r="N353" i="3" a="1"/>
  <c r="N353" i="3" s="1"/>
  <c r="V1655" i="2"/>
  <c r="V1653" i="2"/>
  <c r="V1651" i="2"/>
  <c r="V1649" i="2"/>
  <c r="V1647" i="2"/>
  <c r="V1645" i="2"/>
  <c r="U1655" i="2"/>
  <c r="U1653" i="2"/>
  <c r="U1651" i="2"/>
  <c r="U1649" i="2"/>
  <c r="U1647" i="2"/>
  <c r="U1645" i="2"/>
  <c r="V1654" i="2"/>
  <c r="V1652" i="2"/>
  <c r="V1650" i="2"/>
  <c r="V1648" i="2"/>
  <c r="V1646" i="2"/>
  <c r="U1654" i="2"/>
  <c r="U1652" i="2"/>
  <c r="U1650" i="2"/>
  <c r="U1648" i="2"/>
  <c r="U1646" i="2"/>
  <c r="AD354" i="3"/>
  <c r="L354" i="3" a="1"/>
  <c r="L354" i="3" s="1"/>
  <c r="J354" i="3" a="1"/>
  <c r="J354" i="3" s="1"/>
  <c r="O356" i="3" a="1"/>
  <c r="O356" i="3" s="1"/>
  <c r="K356" i="3" a="1"/>
  <c r="K356" i="3" s="1"/>
  <c r="AB357" i="3"/>
  <c r="O354" i="3" a="1"/>
  <c r="O354" i="3" s="1"/>
  <c r="K354" i="3" a="1"/>
  <c r="K354" i="3" s="1"/>
  <c r="M356" i="3" a="1"/>
  <c r="M356" i="3" s="1"/>
  <c r="C12" i="3"/>
  <c r="AB353" i="3"/>
  <c r="K228" i="3" a="1"/>
  <c r="K228" i="3" s="1"/>
  <c r="AA237" i="3"/>
  <c r="AC346" i="3"/>
  <c r="V1644" i="2"/>
  <c r="V1642" i="2"/>
  <c r="V1640" i="2"/>
  <c r="V1638" i="2"/>
  <c r="V1636" i="2"/>
  <c r="V1634" i="2"/>
  <c r="U1644" i="2"/>
  <c r="U1642" i="2"/>
  <c r="U1640" i="2"/>
  <c r="U1638" i="2"/>
  <c r="U1636" i="2"/>
  <c r="U1634" i="2"/>
  <c r="V1643" i="2"/>
  <c r="V1641" i="2"/>
  <c r="V1639" i="2"/>
  <c r="V1637" i="2"/>
  <c r="V1635" i="2"/>
  <c r="V1633" i="2"/>
  <c r="U1643" i="2"/>
  <c r="U1641" i="2"/>
  <c r="U1639" i="2"/>
  <c r="U1637" i="2"/>
  <c r="U1635" i="2"/>
  <c r="U1633" i="2"/>
  <c r="B11" i="5"/>
  <c r="B14" i="5" s="1"/>
  <c r="AD353" i="3"/>
  <c r="C11" i="5"/>
  <c r="C14" i="5" s="1"/>
  <c r="Y353" i="3"/>
  <c r="Z353" i="3" s="1"/>
  <c r="AC353" i="3"/>
  <c r="J353" i="3" a="1"/>
  <c r="J353" i="3" s="1"/>
  <c r="M353" i="3" a="1"/>
  <c r="M353" i="3" s="1"/>
  <c r="O353" i="3" a="1"/>
  <c r="O353" i="3" s="1"/>
  <c r="V1632" i="2"/>
  <c r="U1632" i="2"/>
  <c r="V1631" i="2"/>
  <c r="U1631" i="2"/>
  <c r="V1630" i="2"/>
  <c r="U1630" i="2"/>
  <c r="V1629" i="2"/>
  <c r="U1629" i="2"/>
  <c r="V1628" i="2"/>
  <c r="U1628" i="2"/>
  <c r="V1627" i="2"/>
  <c r="U1627" i="2"/>
  <c r="V1626" i="2"/>
  <c r="U1626" i="2"/>
  <c r="V1625" i="2"/>
  <c r="V1623" i="2"/>
  <c r="V1621" i="2"/>
  <c r="U1625" i="2"/>
  <c r="U1623" i="2"/>
  <c r="U1621" i="2"/>
  <c r="V1624" i="2"/>
  <c r="V1622" i="2"/>
  <c r="V1620" i="2"/>
  <c r="U1624" i="2"/>
  <c r="U1622" i="2"/>
  <c r="U1620" i="2"/>
  <c r="AB254" i="3"/>
  <c r="Y300" i="3"/>
  <c r="Z300" i="3" s="1"/>
  <c r="U248" i="3"/>
  <c r="H248" i="3" s="1"/>
  <c r="AC268" i="3"/>
  <c r="D268" i="3" s="1"/>
  <c r="V1619" i="2"/>
  <c r="V1617" i="2"/>
  <c r="V1615" i="2"/>
  <c r="U1619" i="2"/>
  <c r="U1617" i="2"/>
  <c r="U1615" i="2"/>
  <c r="V1618" i="2"/>
  <c r="V1616" i="2"/>
  <c r="U1618" i="2"/>
  <c r="U1616" i="2"/>
  <c r="V1614" i="2"/>
  <c r="V1612" i="2"/>
  <c r="V1610" i="2"/>
  <c r="V1608" i="2"/>
  <c r="U1614" i="2"/>
  <c r="U1612" i="2"/>
  <c r="U1610" i="2"/>
  <c r="U1608" i="2"/>
  <c r="V1613" i="2"/>
  <c r="V1611" i="2"/>
  <c r="V1609" i="2"/>
  <c r="U1613" i="2"/>
  <c r="U1611" i="2"/>
  <c r="U1609" i="2"/>
  <c r="Y243" i="3"/>
  <c r="Z243" i="3" s="1"/>
  <c r="V1607" i="2"/>
  <c r="V1605" i="2"/>
  <c r="V1603" i="2"/>
  <c r="V1601" i="2"/>
  <c r="U1607" i="2"/>
  <c r="U1605" i="2"/>
  <c r="U1603" i="2"/>
  <c r="U1601" i="2"/>
  <c r="V1606" i="2"/>
  <c r="V1604" i="2"/>
  <c r="V1602" i="2"/>
  <c r="U1606" i="2"/>
  <c r="U1604" i="2"/>
  <c r="U1602" i="2"/>
  <c r="Y232" i="3"/>
  <c r="AC249" i="3"/>
  <c r="J242" i="3" a="1"/>
  <c r="J242" i="3" s="1"/>
  <c r="AB238" i="3"/>
  <c r="AB261" i="3"/>
  <c r="J255" i="3" a="1"/>
  <c r="J255" i="3" s="1"/>
  <c r="V1600" i="2"/>
  <c r="V1598" i="2"/>
  <c r="V1596" i="2"/>
  <c r="V1594" i="2"/>
  <c r="V1592" i="2"/>
  <c r="U1600" i="2"/>
  <c r="U1598" i="2"/>
  <c r="U1596" i="2"/>
  <c r="U1594" i="2"/>
  <c r="U1592" i="2"/>
  <c r="V1599" i="2"/>
  <c r="V1597" i="2"/>
  <c r="V1595" i="2"/>
  <c r="V1593" i="2"/>
  <c r="U1599" i="2"/>
  <c r="U1597" i="2"/>
  <c r="U1595" i="2"/>
  <c r="U1593" i="2"/>
  <c r="V1591" i="2"/>
  <c r="V1589" i="2"/>
  <c r="V1587" i="2"/>
  <c r="V1585" i="2"/>
  <c r="V1583" i="2"/>
  <c r="U1591" i="2"/>
  <c r="U1589" i="2"/>
  <c r="U1587" i="2"/>
  <c r="U1585" i="2"/>
  <c r="U1583" i="2"/>
  <c r="V1590" i="2"/>
  <c r="V1588" i="2"/>
  <c r="V1586" i="2"/>
  <c r="V1584" i="2"/>
  <c r="U1590" i="2"/>
  <c r="U1588" i="2"/>
  <c r="U1586" i="2"/>
  <c r="U1584" i="2"/>
  <c r="AB301" i="3"/>
  <c r="J277" i="3" a="1"/>
  <c r="J277" i="3" s="1"/>
  <c r="U267" i="3"/>
  <c r="H267" i="3" s="1"/>
  <c r="AA351" i="3"/>
  <c r="K245" i="3" a="1"/>
  <c r="K245" i="3" s="1"/>
  <c r="J343" i="3" a="1"/>
  <c r="J343" i="3" s="1"/>
  <c r="AD241" i="3"/>
  <c r="N259" i="3" a="1"/>
  <c r="N259" i="3" s="1"/>
  <c r="V1582" i="2"/>
  <c r="U1582" i="2"/>
  <c r="V1581" i="2"/>
  <c r="U1581" i="2"/>
  <c r="V1580" i="2"/>
  <c r="U1580" i="2"/>
  <c r="V1579" i="2"/>
  <c r="U1579" i="2"/>
  <c r="V1578" i="2"/>
  <c r="U1578" i="2"/>
  <c r="K351" i="3" a="1"/>
  <c r="K351" i="3" s="1"/>
  <c r="V1577" i="2"/>
  <c r="U1577" i="2"/>
  <c r="V1576" i="2"/>
  <c r="U1576" i="2"/>
  <c r="V1575" i="2"/>
  <c r="V1573" i="2"/>
  <c r="U1575" i="2"/>
  <c r="U1573" i="2"/>
  <c r="V1574" i="2"/>
  <c r="V1572" i="2"/>
  <c r="U1574" i="2"/>
  <c r="U1572" i="2"/>
  <c r="V1571" i="2"/>
  <c r="V1569" i="2"/>
  <c r="U1571" i="2"/>
  <c r="U1569" i="2"/>
  <c r="V1570" i="2"/>
  <c r="U1570" i="2"/>
  <c r="V1568" i="2"/>
  <c r="V1566" i="2"/>
  <c r="V1564" i="2"/>
  <c r="U1568" i="2"/>
  <c r="U1566" i="2"/>
  <c r="U1564" i="2"/>
  <c r="V1567" i="2"/>
  <c r="V1565" i="2"/>
  <c r="U1567" i="2"/>
  <c r="U1565" i="2"/>
  <c r="M351" i="3" a="1"/>
  <c r="M351" i="3" s="1"/>
  <c r="O351" i="3" a="1"/>
  <c r="O351" i="3" s="1"/>
  <c r="K348" i="3" a="1"/>
  <c r="K348" i="3" s="1"/>
  <c r="L351" i="3" a="1"/>
  <c r="L351" i="3" s="1"/>
  <c r="V1563" i="2"/>
  <c r="V1561" i="2"/>
  <c r="V1559" i="2"/>
  <c r="V1557" i="2"/>
  <c r="U1563" i="2"/>
  <c r="U1561" i="2"/>
  <c r="U1559" i="2"/>
  <c r="U1557" i="2"/>
  <c r="V1562" i="2"/>
  <c r="V1560" i="2"/>
  <c r="V1558" i="2"/>
  <c r="V1556" i="2"/>
  <c r="U1562" i="2"/>
  <c r="U1560" i="2"/>
  <c r="U1558" i="2"/>
  <c r="U1556" i="2"/>
  <c r="AA347" i="3"/>
  <c r="K346" i="3" a="1"/>
  <c r="K346" i="3" s="1"/>
  <c r="M346" i="3" a="1"/>
  <c r="M346" i="3" s="1"/>
  <c r="AC343" i="3"/>
  <c r="D343" i="3" s="1"/>
  <c r="N351" i="3" a="1"/>
  <c r="N351" i="3" s="1"/>
  <c r="K353" i="3" a="1"/>
  <c r="K353" i="3" s="1"/>
  <c r="AA353" i="3"/>
  <c r="U353" i="3"/>
  <c r="O350" i="3" a="1"/>
  <c r="O350" i="3" s="1"/>
  <c r="AD344" i="3"/>
  <c r="AD351" i="3"/>
  <c r="AB350" i="3"/>
  <c r="V1555" i="2"/>
  <c r="V1553" i="2"/>
  <c r="V1551" i="2"/>
  <c r="U1555" i="2"/>
  <c r="U1553" i="2"/>
  <c r="U1551" i="2"/>
  <c r="V1554" i="2"/>
  <c r="V1552" i="2"/>
  <c r="U1554" i="2"/>
  <c r="U1552" i="2"/>
  <c r="V1550" i="2"/>
  <c r="V1548" i="2"/>
  <c r="V1546" i="2"/>
  <c r="V1544" i="2"/>
  <c r="U1550" i="2"/>
  <c r="U1548" i="2"/>
  <c r="U1546" i="2"/>
  <c r="U1544" i="2"/>
  <c r="V1549" i="2"/>
  <c r="V1547" i="2"/>
  <c r="V1545" i="2"/>
  <c r="U1549" i="2"/>
  <c r="U1547" i="2"/>
  <c r="U1545" i="2"/>
  <c r="O342" i="3" a="1"/>
  <c r="O342" i="3" s="1"/>
  <c r="Y254" i="3"/>
  <c r="Z254" i="3" s="1"/>
  <c r="K343" i="3" a="1"/>
  <c r="K343" i="3" s="1"/>
  <c r="V1543" i="2"/>
  <c r="V1541" i="2"/>
  <c r="V1539" i="2"/>
  <c r="V1537" i="2"/>
  <c r="U1543" i="2"/>
  <c r="U1541" i="2"/>
  <c r="U1539" i="2"/>
  <c r="U1537" i="2"/>
  <c r="V1542" i="2"/>
  <c r="V1540" i="2"/>
  <c r="V1538" i="2"/>
  <c r="U1542" i="2"/>
  <c r="U1540" i="2"/>
  <c r="U1538" i="2"/>
  <c r="V1536" i="2"/>
  <c r="V1534" i="2"/>
  <c r="V1532" i="2"/>
  <c r="V1530" i="2"/>
  <c r="U1536" i="2"/>
  <c r="U1534" i="2"/>
  <c r="U1532" i="2"/>
  <c r="U1530" i="2"/>
  <c r="V1535" i="2"/>
  <c r="V1533" i="2"/>
  <c r="V1531" i="2"/>
  <c r="V1529" i="2"/>
  <c r="U1535" i="2"/>
  <c r="U1533" i="2"/>
  <c r="U1531" i="2"/>
  <c r="U1529" i="2"/>
  <c r="AC266" i="3"/>
  <c r="U352" i="3"/>
  <c r="H352" i="3" s="1"/>
  <c r="V1528" i="2"/>
  <c r="V1526" i="2"/>
  <c r="V1524" i="2"/>
  <c r="V1522" i="2"/>
  <c r="V1520" i="2"/>
  <c r="U1528" i="2"/>
  <c r="U1526" i="2"/>
  <c r="U1524" i="2"/>
  <c r="U1522" i="2"/>
  <c r="U1520" i="2"/>
  <c r="V1527" i="2"/>
  <c r="V1525" i="2"/>
  <c r="V1523" i="2"/>
  <c r="V1521" i="2"/>
  <c r="U1527" i="2"/>
  <c r="U1525" i="2"/>
  <c r="U1523" i="2"/>
  <c r="U1521" i="2"/>
  <c r="AA349" i="3"/>
  <c r="Y255" i="3"/>
  <c r="Z255" i="3" s="1"/>
  <c r="AB250" i="3"/>
  <c r="L350" i="3" a="1"/>
  <c r="L350" i="3" s="1"/>
  <c r="AA344" i="3"/>
  <c r="Y349" i="3"/>
  <c r="Z349" i="3" s="1"/>
  <c r="K352" i="3" a="1"/>
  <c r="K352" i="3" s="1"/>
  <c r="U342" i="3"/>
  <c r="V342" i="3" s="1"/>
  <c r="J342" i="3" a="1"/>
  <c r="J342" i="3" s="1"/>
  <c r="K342" i="3" a="1"/>
  <c r="K342" i="3" s="1"/>
  <c r="M342" i="3" a="1"/>
  <c r="M342" i="3" s="1"/>
  <c r="L342" i="3" a="1"/>
  <c r="L342" i="3" s="1"/>
  <c r="AA345" i="3"/>
  <c r="AB345" i="3"/>
  <c r="AC352" i="3"/>
  <c r="AD346" i="3"/>
  <c r="M348" i="3" a="1"/>
  <c r="M348" i="3" s="1"/>
  <c r="O348" i="3" a="1"/>
  <c r="O348" i="3" s="1"/>
  <c r="L348" i="3" a="1"/>
  <c r="L348" i="3" s="1"/>
  <c r="J348" i="3" a="1"/>
  <c r="J348" i="3" s="1"/>
  <c r="V1519" i="2"/>
  <c r="V1517" i="2"/>
  <c r="V1515" i="2"/>
  <c r="V1513" i="2"/>
  <c r="V1511" i="2"/>
  <c r="V1509" i="2"/>
  <c r="U1519" i="2"/>
  <c r="U1517" i="2"/>
  <c r="U1515" i="2"/>
  <c r="U1513" i="2"/>
  <c r="U1511" i="2"/>
  <c r="U1509" i="2"/>
  <c r="V1518" i="2"/>
  <c r="V1516" i="2"/>
  <c r="V1514" i="2"/>
  <c r="V1512" i="2"/>
  <c r="V1510" i="2"/>
  <c r="U1518" i="2"/>
  <c r="U1516" i="2"/>
  <c r="U1514" i="2"/>
  <c r="U1512" i="2"/>
  <c r="U1510" i="2"/>
  <c r="M347" i="3" a="1"/>
  <c r="M347" i="3" s="1"/>
  <c r="J256" i="3" a="1"/>
  <c r="J256" i="3" s="1"/>
  <c r="K277" i="3" a="1"/>
  <c r="K277" i="3" s="1"/>
  <c r="J347" i="3" a="1"/>
  <c r="J347" i="3" s="1"/>
  <c r="Y342" i="3"/>
  <c r="Z342" i="3" s="1"/>
  <c r="M277" i="3" a="1"/>
  <c r="M277" i="3" s="1"/>
  <c r="U344" i="3"/>
  <c r="V344" i="3" s="1"/>
  <c r="Y350" i="3"/>
  <c r="Z350" i="3" s="1"/>
  <c r="U351" i="3"/>
  <c r="K347" i="3" a="1"/>
  <c r="K347" i="3" s="1"/>
  <c r="AC349" i="3"/>
  <c r="AA352" i="3"/>
  <c r="O347" i="3" a="1"/>
  <c r="O347" i="3" s="1"/>
  <c r="V1508" i="2"/>
  <c r="V1506" i="2"/>
  <c r="V1504" i="2"/>
  <c r="V1502" i="2"/>
  <c r="V1500" i="2"/>
  <c r="V1498" i="2"/>
  <c r="U1508" i="2"/>
  <c r="U1506" i="2"/>
  <c r="U1504" i="2"/>
  <c r="U1502" i="2"/>
  <c r="U1500" i="2"/>
  <c r="U1498" i="2"/>
  <c r="V1507" i="2"/>
  <c r="V1505" i="2"/>
  <c r="V1503" i="2"/>
  <c r="V1501" i="2"/>
  <c r="V1499" i="2"/>
  <c r="V1497" i="2"/>
  <c r="U1507" i="2"/>
  <c r="U1505" i="2"/>
  <c r="U1503" i="2"/>
  <c r="U1501" i="2"/>
  <c r="U1499" i="2"/>
  <c r="U1497" i="2"/>
  <c r="AB351" i="3"/>
  <c r="N352" i="3" a="1"/>
  <c r="N352" i="3" s="1"/>
  <c r="Y352" i="3"/>
  <c r="Z352" i="3" s="1"/>
  <c r="L352" i="3" a="1"/>
  <c r="L352" i="3" s="1"/>
  <c r="AB352" i="3"/>
  <c r="O352" i="3" a="1"/>
  <c r="O352" i="3" s="1"/>
  <c r="AB342" i="3"/>
  <c r="J352" i="3" a="1"/>
  <c r="J352" i="3" s="1"/>
  <c r="Y351" i="3"/>
  <c r="Z351" i="3" s="1"/>
  <c r="AA267" i="3"/>
  <c r="AB346" i="3"/>
  <c r="J344" i="3" a="1"/>
  <c r="J344" i="3" s="1"/>
  <c r="AD350" i="3"/>
  <c r="H345" i="3"/>
  <c r="K344" i="3" a="1"/>
  <c r="K344" i="3" s="1"/>
  <c r="L345" i="3" a="1"/>
  <c r="L345" i="3" s="1"/>
  <c r="O349" i="3" a="1"/>
  <c r="O349" i="3" s="1"/>
  <c r="M345" i="3" a="1"/>
  <c r="M345" i="3" s="1"/>
  <c r="Y347" i="3"/>
  <c r="Z347" i="3" s="1"/>
  <c r="O344" i="3" a="1"/>
  <c r="O344" i="3" s="1"/>
  <c r="N345" i="3" a="1"/>
  <c r="N345" i="3" s="1"/>
  <c r="K345" i="3" a="1"/>
  <c r="K345" i="3" s="1"/>
  <c r="U343" i="3"/>
  <c r="V343" i="3" s="1"/>
  <c r="J345" i="3" a="1"/>
  <c r="J345" i="3" s="1"/>
  <c r="AA348" i="3"/>
  <c r="L344" i="3" a="1"/>
  <c r="L344" i="3" s="1"/>
  <c r="AC350" i="3"/>
  <c r="AA346" i="3"/>
  <c r="N344" i="3" a="1"/>
  <c r="N344" i="3" s="1"/>
  <c r="O343" i="3" a="1"/>
  <c r="O343" i="3" s="1"/>
  <c r="N350" i="3" a="1"/>
  <c r="N350" i="3" s="1"/>
  <c r="U349" i="3"/>
  <c r="V349" i="3" s="1"/>
  <c r="AD348" i="3"/>
  <c r="M350" i="3" a="1"/>
  <c r="M350" i="3" s="1"/>
  <c r="AB349" i="3"/>
  <c r="AC344" i="3"/>
  <c r="AD345" i="3"/>
  <c r="AB348" i="3"/>
  <c r="L343" i="3" a="1"/>
  <c r="L343" i="3" s="1"/>
  <c r="AA342" i="3"/>
  <c r="J350" i="3" a="1"/>
  <c r="J350" i="3" s="1"/>
  <c r="J346" i="3" a="1"/>
  <c r="J346" i="3" s="1"/>
  <c r="AB343" i="3"/>
  <c r="AD340" i="3"/>
  <c r="AC345" i="3"/>
  <c r="AD349" i="3"/>
  <c r="M349" i="3" a="1"/>
  <c r="M349" i="3" s="1"/>
  <c r="J349" i="3" a="1"/>
  <c r="J349" i="3" s="1"/>
  <c r="AB347" i="3"/>
  <c r="AC342" i="3"/>
  <c r="D342" i="3" s="1"/>
  <c r="V345" i="3"/>
  <c r="N349" i="3" a="1"/>
  <c r="N349" i="3" s="1"/>
  <c r="L347" i="3" a="1"/>
  <c r="L347" i="3" s="1"/>
  <c r="Y344" i="3"/>
  <c r="Z344" i="3" s="1"/>
  <c r="U346" i="3"/>
  <c r="AD341" i="3"/>
  <c r="U350" i="3"/>
  <c r="AA350" i="3"/>
  <c r="U348" i="3"/>
  <c r="V1496" i="2"/>
  <c r="V1494" i="2"/>
  <c r="V1492" i="2"/>
  <c r="V1490" i="2"/>
  <c r="V1488" i="2"/>
  <c r="V1486" i="2"/>
  <c r="U1496" i="2"/>
  <c r="U1494" i="2"/>
  <c r="U1492" i="2"/>
  <c r="U1490" i="2"/>
  <c r="U1488" i="2"/>
  <c r="U1486" i="2"/>
  <c r="V1495" i="2"/>
  <c r="V1493" i="2"/>
  <c r="V1491" i="2"/>
  <c r="V1489" i="2"/>
  <c r="V1487" i="2"/>
  <c r="U1495" i="2"/>
  <c r="U1493" i="2"/>
  <c r="U1491" i="2"/>
  <c r="U1489" i="2"/>
  <c r="U1487" i="2"/>
  <c r="Y346" i="3"/>
  <c r="Z346" i="3" s="1"/>
  <c r="Y343" i="3"/>
  <c r="Z343" i="3" s="1"/>
  <c r="AC348" i="3"/>
  <c r="Y348" i="3"/>
  <c r="Z348" i="3" s="1"/>
  <c r="O346" i="3" a="1"/>
  <c r="O346" i="3" s="1"/>
  <c r="Y345" i="3"/>
  <c r="Z345" i="3" s="1"/>
  <c r="N343" i="3" a="1"/>
  <c r="N343" i="3" s="1"/>
  <c r="L349" i="3" a="1"/>
  <c r="L349" i="3" s="1"/>
  <c r="AA343" i="3"/>
  <c r="U347" i="3"/>
  <c r="AC347" i="3"/>
  <c r="V1485" i="2"/>
  <c r="V1483" i="2"/>
  <c r="V1481" i="2"/>
  <c r="V1479" i="2"/>
  <c r="U1485" i="2"/>
  <c r="U1483" i="2"/>
  <c r="U1481" i="2"/>
  <c r="V1484" i="2"/>
  <c r="V1482" i="2"/>
  <c r="V1480" i="2"/>
  <c r="V1478" i="2"/>
  <c r="V1476" i="2"/>
  <c r="U1471" i="2"/>
  <c r="V1468" i="2"/>
  <c r="U1463" i="2"/>
  <c r="V1460" i="2"/>
  <c r="U1455" i="2"/>
  <c r="V1452" i="2"/>
  <c r="U1447" i="2"/>
  <c r="V1444" i="2"/>
  <c r="U1439" i="2"/>
  <c r="V1436" i="2"/>
  <c r="U1431" i="2"/>
  <c r="V1428" i="2"/>
  <c r="U1423" i="2"/>
  <c r="V1420" i="2"/>
  <c r="U1415" i="2"/>
  <c r="V1412" i="2"/>
  <c r="U1407" i="2"/>
  <c r="V1404" i="2"/>
  <c r="U1399" i="2"/>
  <c r="V1396" i="2"/>
  <c r="U1391" i="2"/>
  <c r="V1388" i="2"/>
  <c r="U1383" i="2"/>
  <c r="V1380" i="2"/>
  <c r="U1375" i="2"/>
  <c r="V1372" i="2"/>
  <c r="U1367" i="2"/>
  <c r="V1364" i="2"/>
  <c r="U1359" i="2"/>
  <c r="V1356" i="2"/>
  <c r="U1351" i="2"/>
  <c r="V1348" i="2"/>
  <c r="U1343" i="2"/>
  <c r="V1340" i="2"/>
  <c r="U1335" i="2"/>
  <c r="V1332" i="2"/>
  <c r="U1327" i="2"/>
  <c r="V1324" i="2"/>
  <c r="U1319" i="2"/>
  <c r="U1484" i="2"/>
  <c r="U1479" i="2"/>
  <c r="U1476" i="2"/>
  <c r="V1473" i="2"/>
  <c r="U1468" i="2"/>
  <c r="V1465" i="2"/>
  <c r="U1460" i="2"/>
  <c r="V1457" i="2"/>
  <c r="U1452" i="2"/>
  <c r="V1449" i="2"/>
  <c r="U1444" i="2"/>
  <c r="V1441" i="2"/>
  <c r="U1436" i="2"/>
  <c r="V1433" i="2"/>
  <c r="U1428" i="2"/>
  <c r="V1425" i="2"/>
  <c r="U1420" i="2"/>
  <c r="V1417" i="2"/>
  <c r="U1412" i="2"/>
  <c r="V1409" i="2"/>
  <c r="U1404" i="2"/>
  <c r="V1401" i="2"/>
  <c r="U1396" i="2"/>
  <c r="V1393" i="2"/>
  <c r="U1388" i="2"/>
  <c r="V1385" i="2"/>
  <c r="U1380" i="2"/>
  <c r="V1377" i="2"/>
  <c r="U1372" i="2"/>
  <c r="V1369" i="2"/>
  <c r="U1364" i="2"/>
  <c r="V1361" i="2"/>
  <c r="U1356" i="2"/>
  <c r="V1353" i="2"/>
  <c r="U1348" i="2"/>
  <c r="V1345" i="2"/>
  <c r="U1340" i="2"/>
  <c r="V1337" i="2"/>
  <c r="U1332" i="2"/>
  <c r="V1329" i="2"/>
  <c r="U1324" i="2"/>
  <c r="V1321" i="2"/>
  <c r="V1316" i="2"/>
  <c r="V1314" i="2"/>
  <c r="V1312" i="2"/>
  <c r="V1310" i="2"/>
  <c r="V1308" i="2"/>
  <c r="U1473" i="2"/>
  <c r="V1470" i="2"/>
  <c r="U1465" i="2"/>
  <c r="V1462" i="2"/>
  <c r="U1457" i="2"/>
  <c r="V1454" i="2"/>
  <c r="U1449" i="2"/>
  <c r="V1446" i="2"/>
  <c r="U1441" i="2"/>
  <c r="V1438" i="2"/>
  <c r="U1433" i="2"/>
  <c r="V1430" i="2"/>
  <c r="U1425" i="2"/>
  <c r="V1422" i="2"/>
  <c r="U1417" i="2"/>
  <c r="V1414" i="2"/>
  <c r="U1409" i="2"/>
  <c r="V1406" i="2"/>
  <c r="U1401" i="2"/>
  <c r="V1398" i="2"/>
  <c r="U1393" i="2"/>
  <c r="V1390" i="2"/>
  <c r="U1385" i="2"/>
  <c r="V1382" i="2"/>
  <c r="U1377" i="2"/>
  <c r="V1374" i="2"/>
  <c r="U1369" i="2"/>
  <c r="V1366" i="2"/>
  <c r="U1361" i="2"/>
  <c r="V1358" i="2"/>
  <c r="U1353" i="2"/>
  <c r="V1350" i="2"/>
  <c r="U1345" i="2"/>
  <c r="V1342" i="2"/>
  <c r="U1337" i="2"/>
  <c r="V1334" i="2"/>
  <c r="U1329" i="2"/>
  <c r="V1326" i="2"/>
  <c r="U1321" i="2"/>
  <c r="V1318" i="2"/>
  <c r="U1316" i="2"/>
  <c r="U1314" i="2"/>
  <c r="U1312" i="2"/>
  <c r="U1310" i="2"/>
  <c r="U1308" i="2"/>
  <c r="U1478" i="2"/>
  <c r="V1475" i="2"/>
  <c r="U1470" i="2"/>
  <c r="V1467" i="2"/>
  <c r="U1462" i="2"/>
  <c r="V1459" i="2"/>
  <c r="U1454" i="2"/>
  <c r="V1451" i="2"/>
  <c r="U1446" i="2"/>
  <c r="V1443" i="2"/>
  <c r="U1438" i="2"/>
  <c r="V1435" i="2"/>
  <c r="U1430" i="2"/>
  <c r="V1427" i="2"/>
  <c r="U1422" i="2"/>
  <c r="V1419" i="2"/>
  <c r="U1414" i="2"/>
  <c r="V1411" i="2"/>
  <c r="U1406" i="2"/>
  <c r="V1403" i="2"/>
  <c r="U1398" i="2"/>
  <c r="V1395" i="2"/>
  <c r="U1390" i="2"/>
  <c r="V1387" i="2"/>
  <c r="U1382" i="2"/>
  <c r="V1379" i="2"/>
  <c r="U1374" i="2"/>
  <c r="V1371" i="2"/>
  <c r="U1366" i="2"/>
  <c r="V1363" i="2"/>
  <c r="U1358" i="2"/>
  <c r="V1355" i="2"/>
  <c r="U1350" i="2"/>
  <c r="V1347" i="2"/>
  <c r="U1342" i="2"/>
  <c r="V1339" i="2"/>
  <c r="U1334" i="2"/>
  <c r="V1331" i="2"/>
  <c r="U1326" i="2"/>
  <c r="V1323" i="2"/>
  <c r="U1318" i="2"/>
  <c r="U1482" i="2"/>
  <c r="U1475" i="2"/>
  <c r="V1472" i="2"/>
  <c r="U1467" i="2"/>
  <c r="V1464" i="2"/>
  <c r="U1459" i="2"/>
  <c r="V1456" i="2"/>
  <c r="U1451" i="2"/>
  <c r="V1448" i="2"/>
  <c r="U1443" i="2"/>
  <c r="V1440" i="2"/>
  <c r="U1435" i="2"/>
  <c r="V1432" i="2"/>
  <c r="U1427" i="2"/>
  <c r="V1424" i="2"/>
  <c r="U1419" i="2"/>
  <c r="V1416" i="2"/>
  <c r="U1411" i="2"/>
  <c r="V1408" i="2"/>
  <c r="U1403" i="2"/>
  <c r="V1400" i="2"/>
  <c r="U1395" i="2"/>
  <c r="V1392" i="2"/>
  <c r="U1387" i="2"/>
  <c r="V1384" i="2"/>
  <c r="U1379" i="2"/>
  <c r="V1376" i="2"/>
  <c r="U1371" i="2"/>
  <c r="V1368" i="2"/>
  <c r="U1363" i="2"/>
  <c r="V1360" i="2"/>
  <c r="U1355" i="2"/>
  <c r="V1352" i="2"/>
  <c r="U1347" i="2"/>
  <c r="V1344" i="2"/>
  <c r="U1339" i="2"/>
  <c r="V1336" i="2"/>
  <c r="U1331" i="2"/>
  <c r="V1328" i="2"/>
  <c r="U1323" i="2"/>
  <c r="V1320" i="2"/>
  <c r="V1477" i="2"/>
  <c r="U1472" i="2"/>
  <c r="V1469" i="2"/>
  <c r="U1464" i="2"/>
  <c r="V1461" i="2"/>
  <c r="U1456" i="2"/>
  <c r="V1453" i="2"/>
  <c r="U1448" i="2"/>
  <c r="V1445" i="2"/>
  <c r="U1440" i="2"/>
  <c r="V1437" i="2"/>
  <c r="U1432" i="2"/>
  <c r="V1429" i="2"/>
  <c r="U1424" i="2"/>
  <c r="V1421" i="2"/>
  <c r="U1416" i="2"/>
  <c r="V1413" i="2"/>
  <c r="U1408" i="2"/>
  <c r="V1405" i="2"/>
  <c r="U1400" i="2"/>
  <c r="V1397" i="2"/>
  <c r="U1392" i="2"/>
  <c r="V1389" i="2"/>
  <c r="U1384" i="2"/>
  <c r="V1381" i="2"/>
  <c r="U1376" i="2"/>
  <c r="V1373" i="2"/>
  <c r="U1368" i="2"/>
  <c r="V1365" i="2"/>
  <c r="U1360" i="2"/>
  <c r="V1357" i="2"/>
  <c r="U1352" i="2"/>
  <c r="V1349" i="2"/>
  <c r="U1344" i="2"/>
  <c r="V1341" i="2"/>
  <c r="U1336" i="2"/>
  <c r="V1333" i="2"/>
  <c r="U1328" i="2"/>
  <c r="V1325" i="2"/>
  <c r="U1320" i="2"/>
  <c r="V1315" i="2"/>
  <c r="V1313" i="2"/>
  <c r="V1311" i="2"/>
  <c r="V1309" i="2"/>
  <c r="V1307" i="2"/>
  <c r="U1477" i="2"/>
  <c r="V1474" i="2"/>
  <c r="U1469" i="2"/>
  <c r="V1466" i="2"/>
  <c r="U1461" i="2"/>
  <c r="V1458" i="2"/>
  <c r="U1453" i="2"/>
  <c r="V1450" i="2"/>
  <c r="U1445" i="2"/>
  <c r="V1442" i="2"/>
  <c r="U1437" i="2"/>
  <c r="V1434" i="2"/>
  <c r="U1429" i="2"/>
  <c r="V1426" i="2"/>
  <c r="U1421" i="2"/>
  <c r="V1418" i="2"/>
  <c r="U1413" i="2"/>
  <c r="V1410" i="2"/>
  <c r="U1405" i="2"/>
  <c r="V1402" i="2"/>
  <c r="U1397" i="2"/>
  <c r="V1394" i="2"/>
  <c r="U1389" i="2"/>
  <c r="V1386" i="2"/>
  <c r="U1381" i="2"/>
  <c r="V1378" i="2"/>
  <c r="U1373" i="2"/>
  <c r="V1370" i="2"/>
  <c r="U1365" i="2"/>
  <c r="V1362" i="2"/>
  <c r="U1357" i="2"/>
  <c r="V1354" i="2"/>
  <c r="U1349" i="2"/>
  <c r="V1346" i="2"/>
  <c r="U1341" i="2"/>
  <c r="V1338" i="2"/>
  <c r="U1333" i="2"/>
  <c r="V1330" i="2"/>
  <c r="U1325" i="2"/>
  <c r="V1322" i="2"/>
  <c r="V1317" i="2"/>
  <c r="U1315" i="2"/>
  <c r="U1313" i="2"/>
  <c r="U1311" i="2"/>
  <c r="U1309" i="2"/>
  <c r="U1307" i="2"/>
  <c r="U1480" i="2"/>
  <c r="U1474" i="2"/>
  <c r="V1471" i="2"/>
  <c r="U1466" i="2"/>
  <c r="V1463" i="2"/>
  <c r="U1458" i="2"/>
  <c r="V1455" i="2"/>
  <c r="U1450" i="2"/>
  <c r="V1447" i="2"/>
  <c r="U1442" i="2"/>
  <c r="V1439" i="2"/>
  <c r="U1434" i="2"/>
  <c r="V1431" i="2"/>
  <c r="U1426" i="2"/>
  <c r="V1423" i="2"/>
  <c r="U1418" i="2"/>
  <c r="V1415" i="2"/>
  <c r="U1410" i="2"/>
  <c r="V1407" i="2"/>
  <c r="U1402" i="2"/>
  <c r="V1399" i="2"/>
  <c r="U1394" i="2"/>
  <c r="V1391" i="2"/>
  <c r="U1386" i="2"/>
  <c r="V1383" i="2"/>
  <c r="U1378" i="2"/>
  <c r="V1375" i="2"/>
  <c r="U1370" i="2"/>
  <c r="V1367" i="2"/>
  <c r="U1362" i="2"/>
  <c r="V1359" i="2"/>
  <c r="U1354" i="2"/>
  <c r="V1351" i="2"/>
  <c r="U1346" i="2"/>
  <c r="V1343" i="2"/>
  <c r="U1338" i="2"/>
  <c r="V1335" i="2"/>
  <c r="U1330" i="2"/>
  <c r="V1327" i="2"/>
  <c r="U1322" i="2"/>
  <c r="V1319" i="2"/>
  <c r="U1317" i="2"/>
  <c r="V1306" i="2"/>
  <c r="U1306" i="2"/>
  <c r="O256" i="3" a="1"/>
  <c r="O256" i="3" s="1"/>
  <c r="O277" i="3" a="1"/>
  <c r="O277" i="3" s="1"/>
  <c r="N236" i="3" a="1"/>
  <c r="N236" i="3" s="1"/>
  <c r="AC239" i="3"/>
  <c r="J341" i="3" a="1"/>
  <c r="J341" i="3" s="1"/>
  <c r="AB269" i="3"/>
  <c r="L341" i="3" a="1"/>
  <c r="L341" i="3" s="1"/>
  <c r="K341" i="3" a="1"/>
  <c r="K341" i="3" s="1"/>
  <c r="N341" i="3" a="1"/>
  <c r="N341" i="3" s="1"/>
  <c r="M341" i="3" a="1"/>
  <c r="M341" i="3" s="1"/>
  <c r="J340" i="3" a="1"/>
  <c r="J340" i="3" s="1"/>
  <c r="AB341" i="3"/>
  <c r="K340" i="3" a="1"/>
  <c r="K340" i="3" s="1"/>
  <c r="AC341" i="3"/>
  <c r="AB320" i="3"/>
  <c r="U337" i="3"/>
  <c r="V337" i="3" s="1"/>
  <c r="U341" i="3"/>
  <c r="H341" i="3" s="1"/>
  <c r="Y341" i="3"/>
  <c r="Z341" i="3" s="1"/>
  <c r="AA340" i="3"/>
  <c r="O340" i="3" a="1"/>
  <c r="O340" i="3" s="1"/>
  <c r="AB340" i="3"/>
  <c r="M339" i="3" a="1"/>
  <c r="M339" i="3" s="1"/>
  <c r="M340" i="3" a="1"/>
  <c r="M340" i="3" s="1"/>
  <c r="AC337" i="3"/>
  <c r="AD339" i="3"/>
  <c r="L340" i="3" a="1"/>
  <c r="L340" i="3" s="1"/>
  <c r="AA341" i="3"/>
  <c r="AC340" i="3"/>
  <c r="U340" i="3"/>
  <c r="Y340" i="3"/>
  <c r="Z340" i="3" s="1"/>
  <c r="K339" i="3" a="1"/>
  <c r="K339" i="3" s="1"/>
  <c r="AB249" i="3"/>
  <c r="U266" i="3"/>
  <c r="V266" i="3" s="1"/>
  <c r="AD248" i="3"/>
  <c r="D248" i="3" s="1"/>
  <c r="AB243" i="3"/>
  <c r="AD257" i="3"/>
  <c r="AB275" i="3"/>
  <c r="U228" i="3"/>
  <c r="H228" i="3" s="1"/>
  <c r="P228" i="3" s="1" a="1"/>
  <c r="P228" i="3" s="1"/>
  <c r="Q228" i="3" s="1"/>
  <c r="K338" i="3" a="1"/>
  <c r="K338" i="3" s="1"/>
  <c r="AA339" i="3"/>
  <c r="L338" i="3" a="1"/>
  <c r="L338" i="3" s="1"/>
  <c r="M338" i="3" a="1"/>
  <c r="M338" i="3" s="1"/>
  <c r="AD295" i="3"/>
  <c r="U339" i="3"/>
  <c r="H339" i="3" s="1"/>
  <c r="Y338" i="3"/>
  <c r="Z338" i="3" s="1"/>
  <c r="Y339" i="3"/>
  <c r="Z339" i="3" s="1"/>
  <c r="AC272" i="3"/>
  <c r="AB339" i="3"/>
  <c r="C339" i="3" s="1"/>
  <c r="AD337" i="3"/>
  <c r="J338" i="3" a="1"/>
  <c r="J338" i="3" s="1"/>
  <c r="J339" i="3" a="1"/>
  <c r="J339" i="3" s="1"/>
  <c r="N339" i="3" a="1"/>
  <c r="N339" i="3" s="1"/>
  <c r="O339" i="3" a="1"/>
  <c r="O339" i="3" s="1"/>
  <c r="AC339" i="3"/>
  <c r="U336" i="3"/>
  <c r="V336" i="3" s="1"/>
  <c r="AC336" i="3"/>
  <c r="L331" i="3" a="1"/>
  <c r="L331" i="3" s="1"/>
  <c r="M337" i="3" a="1"/>
  <c r="M337" i="3" s="1"/>
  <c r="O337" i="3" a="1"/>
  <c r="O337" i="3" s="1"/>
  <c r="J337" i="3" a="1"/>
  <c r="J337" i="3" s="1"/>
  <c r="L337" i="3" a="1"/>
  <c r="L337" i="3" s="1"/>
  <c r="K336" i="3" a="1"/>
  <c r="K336" i="3" s="1"/>
  <c r="N337" i="3" a="1"/>
  <c r="N337" i="3" s="1"/>
  <c r="AA265" i="3"/>
  <c r="Z266" i="3"/>
  <c r="N336" i="3" a="1"/>
  <c r="N336" i="3" s="1"/>
  <c r="J336" i="3" a="1"/>
  <c r="J336" i="3" s="1"/>
  <c r="L336" i="3" a="1"/>
  <c r="L336" i="3" s="1"/>
  <c r="M336" i="3" a="1"/>
  <c r="M336" i="3" s="1"/>
  <c r="AA337" i="3"/>
  <c r="AC338" i="3"/>
  <c r="O300" i="3" a="1"/>
  <c r="O300" i="3" s="1"/>
  <c r="AD254" i="3"/>
  <c r="AB260" i="3"/>
  <c r="AD336" i="3"/>
  <c r="AB338" i="3"/>
  <c r="AA338" i="3"/>
  <c r="AC275" i="3"/>
  <c r="AD338" i="3"/>
  <c r="U338" i="3"/>
  <c r="U240" i="3"/>
  <c r="H240" i="3" s="1"/>
  <c r="P240" i="3" s="1" a="1"/>
  <c r="P240" i="3" s="1"/>
  <c r="Q240" i="3" s="1"/>
  <c r="Z256" i="3"/>
  <c r="N335" i="3" a="1"/>
  <c r="N335" i="3" s="1"/>
  <c r="Y257" i="3"/>
  <c r="Z257" i="3" s="1"/>
  <c r="Y336" i="3"/>
  <c r="Z336" i="3" s="1"/>
  <c r="AA336" i="3"/>
  <c r="J335" i="3" a="1"/>
  <c r="J335" i="3" s="1"/>
  <c r="N330" i="3" a="1"/>
  <c r="N330" i="3" s="1"/>
  <c r="AD335" i="3"/>
  <c r="M332" i="3" a="1"/>
  <c r="M332" i="3" s="1"/>
  <c r="K332" i="3" a="1"/>
  <c r="K332" i="3" s="1"/>
  <c r="O335" i="3" a="1"/>
  <c r="O335" i="3" s="1"/>
  <c r="AB337" i="3"/>
  <c r="AD334" i="3"/>
  <c r="AB336" i="3"/>
  <c r="Y337" i="3"/>
  <c r="Z337" i="3" s="1"/>
  <c r="N253" i="3" a="1"/>
  <c r="N253" i="3" s="1"/>
  <c r="L332" i="3" a="1"/>
  <c r="L332" i="3" s="1"/>
  <c r="U335" i="3"/>
  <c r="H335" i="3" s="1"/>
  <c r="P335" i="3" s="1" a="1"/>
  <c r="P335" i="3" s="1"/>
  <c r="Q335" i="3" s="1"/>
  <c r="K253" i="3" a="1"/>
  <c r="K253" i="3" s="1"/>
  <c r="O253" i="3" a="1"/>
  <c r="O253" i="3" s="1"/>
  <c r="V258" i="3"/>
  <c r="M300" i="3" a="1"/>
  <c r="M300" i="3" s="1"/>
  <c r="Y246" i="3"/>
  <c r="Z246" i="3" s="1"/>
  <c r="Y240" i="3"/>
  <c r="Z240" i="3" s="1"/>
  <c r="L335" i="3" a="1"/>
  <c r="L335" i="3" s="1"/>
  <c r="AD232" i="3"/>
  <c r="N245" i="3" a="1"/>
  <c r="N245" i="3" s="1"/>
  <c r="Y294" i="3"/>
  <c r="Z294" i="3" s="1"/>
  <c r="AD239" i="3"/>
  <c r="M335" i="3" a="1"/>
  <c r="M335" i="3" s="1"/>
  <c r="Y335" i="3"/>
  <c r="Z335" i="3" s="1"/>
  <c r="AA331" i="3"/>
  <c r="M262" i="3" a="1"/>
  <c r="M262" i="3" s="1"/>
  <c r="U247" i="3"/>
  <c r="H247" i="3" s="1"/>
  <c r="P247" i="3" s="1" a="1"/>
  <c r="P247" i="3" s="1"/>
  <c r="Q247" i="3" s="1"/>
  <c r="K251" i="3" a="1"/>
  <c r="K251" i="3" s="1"/>
  <c r="AC247" i="3"/>
  <c r="M236" i="3" a="1"/>
  <c r="M236" i="3" s="1"/>
  <c r="K269" i="3" a="1"/>
  <c r="K269" i="3" s="1"/>
  <c r="L297" i="3" a="1"/>
  <c r="L297" i="3" s="1"/>
  <c r="AC256" i="3"/>
  <c r="D256" i="3" s="1"/>
  <c r="V263" i="3"/>
  <c r="U253" i="3"/>
  <c r="AB253" i="3"/>
  <c r="C253" i="3" s="1"/>
  <c r="O262" i="3" a="1"/>
  <c r="O262" i="3" s="1"/>
  <c r="AB257" i="3"/>
  <c r="U300" i="3"/>
  <c r="V300" i="3" s="1"/>
  <c r="U256" i="3"/>
  <c r="H256" i="3" s="1"/>
  <c r="AA278" i="3"/>
  <c r="AD320" i="3"/>
  <c r="AA330" i="3"/>
  <c r="O332" i="3" a="1"/>
  <c r="O332" i="3" s="1"/>
  <c r="AB335" i="3"/>
  <c r="Z301" i="3"/>
  <c r="N331" i="3" a="1"/>
  <c r="N331" i="3" s="1"/>
  <c r="Y282" i="3"/>
  <c r="Z282" i="3" s="1"/>
  <c r="AB240" i="3"/>
  <c r="C240" i="3" s="1"/>
  <c r="AC332" i="3"/>
  <c r="AA279" i="3"/>
  <c r="O331" i="3" a="1"/>
  <c r="O331" i="3" s="1"/>
  <c r="AD249" i="3"/>
  <c r="K331" i="3" a="1"/>
  <c r="K331" i="3" s="1"/>
  <c r="U333" i="3"/>
  <c r="V333" i="3" s="1"/>
  <c r="H222" i="3"/>
  <c r="P222" i="3" s="1" a="1"/>
  <c r="P222" i="3" s="1"/>
  <c r="Q222" i="3" s="1"/>
  <c r="V222" i="3"/>
  <c r="AC232" i="3"/>
  <c r="K232" i="3" a="1"/>
  <c r="K232" i="3" s="1"/>
  <c r="K244" i="3" a="1"/>
  <c r="K244" i="3" s="1"/>
  <c r="V242" i="3"/>
  <c r="AA257" i="3"/>
  <c r="J259" i="3" a="1"/>
  <c r="J259" i="3" s="1"/>
  <c r="AB267" i="3"/>
  <c r="AD278" i="3"/>
  <c r="D278" i="3" s="1"/>
  <c r="Z260" i="3"/>
  <c r="AB252" i="3"/>
  <c r="U261" i="3"/>
  <c r="H261" i="3" s="1"/>
  <c r="U239" i="3"/>
  <c r="V239" i="3" s="1"/>
  <c r="Y209" i="3"/>
  <c r="Z209" i="3" s="1"/>
  <c r="AA335" i="3"/>
  <c r="M242" i="3" a="1"/>
  <c r="M242" i="3" s="1"/>
  <c r="L259" i="3" a="1"/>
  <c r="L259" i="3" s="1"/>
  <c r="L262" i="3" a="1"/>
  <c r="L262" i="3" s="1"/>
  <c r="J269" i="3" a="1"/>
  <c r="J269" i="3" s="1"/>
  <c r="M330" i="3" a="1"/>
  <c r="M330" i="3" s="1"/>
  <c r="AC333" i="3"/>
  <c r="Y334" i="3"/>
  <c r="Z334" i="3" s="1"/>
  <c r="AC335" i="3"/>
  <c r="D40" i="3"/>
  <c r="H223" i="3"/>
  <c r="P223" i="3" s="1" a="1"/>
  <c r="P223" i="3" s="1"/>
  <c r="Q223" i="3" s="1"/>
  <c r="H224" i="3"/>
  <c r="P224" i="3" s="1" a="1"/>
  <c r="P224" i="3" s="1"/>
  <c r="Q224" i="3" s="1"/>
  <c r="Z234" i="3"/>
  <c r="J245" i="3" a="1"/>
  <c r="J245" i="3" s="1"/>
  <c r="L245" i="3" a="1"/>
  <c r="L245" i="3" s="1"/>
  <c r="L242" i="3" a="1"/>
  <c r="L242" i="3" s="1"/>
  <c r="AA266" i="3"/>
  <c r="Z232" i="3"/>
  <c r="N232" i="3" a="1"/>
  <c r="N232" i="3" s="1"/>
  <c r="J238" i="3" a="1"/>
  <c r="J238" i="3" s="1"/>
  <c r="N244" i="3" a="1"/>
  <c r="N244" i="3" s="1"/>
  <c r="N242" i="3" a="1"/>
  <c r="N242" i="3" s="1"/>
  <c r="K255" i="3" a="1"/>
  <c r="K255" i="3" s="1"/>
  <c r="O259" i="3" a="1"/>
  <c r="O259" i="3" s="1"/>
  <c r="N269" i="3" a="1"/>
  <c r="N269" i="3" s="1"/>
  <c r="U243" i="3"/>
  <c r="V243" i="3" s="1"/>
  <c r="AC243" i="3"/>
  <c r="Y333" i="3"/>
  <c r="Z333" i="3" s="1"/>
  <c r="U302" i="3"/>
  <c r="V302" i="3" s="1"/>
  <c r="U334" i="3"/>
  <c r="H334" i="3" s="1"/>
  <c r="AC327" i="3"/>
  <c r="U251" i="3"/>
  <c r="H251" i="3" s="1"/>
  <c r="P251" i="3" s="1" a="1"/>
  <c r="P251" i="3" s="1"/>
  <c r="J333" i="3" a="1"/>
  <c r="J333" i="3" s="1"/>
  <c r="U332" i="3"/>
  <c r="H332" i="3" s="1"/>
  <c r="AC334" i="3"/>
  <c r="M334" i="3" a="1"/>
  <c r="M334" i="3" s="1"/>
  <c r="AB334" i="3"/>
  <c r="C334" i="3" s="1"/>
  <c r="N333" i="3" a="1"/>
  <c r="N333" i="3" s="1"/>
  <c r="AD333" i="3"/>
  <c r="J332" i="3" a="1"/>
  <c r="J332" i="3" s="1"/>
  <c r="AD332" i="3"/>
  <c r="O334" i="3" a="1"/>
  <c r="O334" i="3" s="1"/>
  <c r="J330" i="3" a="1"/>
  <c r="J330" i="3" s="1"/>
  <c r="K330" i="3" a="1"/>
  <c r="K330" i="3" s="1"/>
  <c r="Y330" i="3"/>
  <c r="Z330" i="3" s="1"/>
  <c r="K333" i="3" a="1"/>
  <c r="K333" i="3" s="1"/>
  <c r="AA333" i="3"/>
  <c r="O329" i="3" a="1"/>
  <c r="O329" i="3" s="1"/>
  <c r="AD331" i="3"/>
  <c r="M333" i="3" a="1"/>
  <c r="M333" i="3" s="1"/>
  <c r="AB333" i="3"/>
  <c r="J334" i="3" a="1"/>
  <c r="J334" i="3" s="1"/>
  <c r="O333" i="3" a="1"/>
  <c r="O333" i="3" s="1"/>
  <c r="L334" i="3" a="1"/>
  <c r="L334" i="3" s="1"/>
  <c r="K334" i="3" a="1"/>
  <c r="K334" i="3" s="1"/>
  <c r="K235" i="3" a="1"/>
  <c r="K235" i="3" s="1"/>
  <c r="AC238" i="3"/>
  <c r="D238" i="3" s="1"/>
  <c r="AB251" i="3"/>
  <c r="K225" i="3" a="1"/>
  <c r="K225" i="3" s="1"/>
  <c r="J261" i="3" a="1"/>
  <c r="J261" i="3" s="1"/>
  <c r="O235" i="3" a="1"/>
  <c r="O235" i="3" s="1"/>
  <c r="M225" i="3" a="1"/>
  <c r="M225" i="3" s="1"/>
  <c r="Z261" i="3"/>
  <c r="AB279" i="3"/>
  <c r="L235" i="3" a="1"/>
  <c r="L235" i="3" s="1"/>
  <c r="O240" i="3" a="1"/>
  <c r="O240" i="3" s="1"/>
  <c r="M245" i="3" a="1"/>
  <c r="M245" i="3" s="1"/>
  <c r="Y278" i="3"/>
  <c r="Z278" i="3" s="1"/>
  <c r="AC259" i="3"/>
  <c r="U269" i="3"/>
  <c r="H269" i="3" s="1"/>
  <c r="AA247" i="3"/>
  <c r="C247" i="3" s="1"/>
  <c r="M323" i="3" a="1"/>
  <c r="M323" i="3" s="1"/>
  <c r="AB265" i="3"/>
  <c r="AD300" i="3"/>
  <c r="AB303" i="3"/>
  <c r="AC330" i="3"/>
  <c r="AD326" i="3"/>
  <c r="C232" i="3"/>
  <c r="AC331" i="3"/>
  <c r="AD330" i="3"/>
  <c r="O330" i="3" a="1"/>
  <c r="O330" i="3" s="1"/>
  <c r="AB331" i="3"/>
  <c r="AB330" i="3"/>
  <c r="AC241" i="3"/>
  <c r="O328" i="3" a="1"/>
  <c r="O328" i="3" s="1"/>
  <c r="AB248" i="3"/>
  <c r="AA332" i="3"/>
  <c r="AB332" i="3"/>
  <c r="AC329" i="3"/>
  <c r="J331" i="3" a="1"/>
  <c r="J331" i="3" s="1"/>
  <c r="U331" i="3"/>
  <c r="U330" i="3"/>
  <c r="Y332" i="3"/>
  <c r="Z332" i="3" s="1"/>
  <c r="Y331" i="3"/>
  <c r="Z331" i="3" s="1"/>
  <c r="J329" i="3" a="1"/>
  <c r="J329" i="3" s="1"/>
  <c r="L225" i="3" a="1"/>
  <c r="L225" i="3" s="1"/>
  <c r="J235" i="3" a="1"/>
  <c r="J235" i="3" s="1"/>
  <c r="Y237" i="3"/>
  <c r="Z237" i="3" s="1"/>
  <c r="N240" i="3" a="1"/>
  <c r="N240" i="3" s="1"/>
  <c r="M261" i="3" a="1"/>
  <c r="M261" i="3" s="1"/>
  <c r="J328" i="3" a="1"/>
  <c r="J328" i="3" s="1"/>
  <c r="J225" i="3" a="1"/>
  <c r="J225" i="3" s="1"/>
  <c r="AA248" i="3"/>
  <c r="Y242" i="3"/>
  <c r="Z242" i="3" s="1"/>
  <c r="L328" i="3" a="1"/>
  <c r="L328" i="3" s="1"/>
  <c r="U241" i="3"/>
  <c r="H241" i="3" s="1"/>
  <c r="P241" i="3" s="1" a="1"/>
  <c r="P241" i="3" s="1"/>
  <c r="Q241" i="3" s="1"/>
  <c r="Z265" i="3"/>
  <c r="K328" i="3" a="1"/>
  <c r="K328" i="3" s="1"/>
  <c r="H225" i="3"/>
  <c r="Z235" i="3"/>
  <c r="N261" i="3" a="1"/>
  <c r="N261" i="3" s="1"/>
  <c r="O261" i="3" a="1"/>
  <c r="O261" i="3" s="1"/>
  <c r="N328" i="3" a="1"/>
  <c r="N328" i="3" s="1"/>
  <c r="AD267" i="3"/>
  <c r="AA300" i="3"/>
  <c r="AA288" i="3"/>
  <c r="AC251" i="3"/>
  <c r="AD246" i="3"/>
  <c r="J262" i="3" a="1"/>
  <c r="J262" i="3" s="1"/>
  <c r="AC277" i="3"/>
  <c r="AA252" i="3"/>
  <c r="AD303" i="3"/>
  <c r="D303" i="3" s="1"/>
  <c r="M269" i="3" a="1"/>
  <c r="M269" i="3" s="1"/>
  <c r="V54" i="2" a="1"/>
  <c r="V54" i="2" s="1"/>
  <c r="U54" i="2" a="1"/>
  <c r="U54" i="2" s="1"/>
  <c r="V52" i="2" a="1"/>
  <c r="V52" i="2" s="1"/>
  <c r="U52" i="2" a="1"/>
  <c r="U52" i="2" s="1"/>
  <c r="Y276" i="3"/>
  <c r="Z276" i="3" s="1"/>
  <c r="O258" i="3" a="1"/>
  <c r="O258" i="3" s="1"/>
  <c r="M243" i="3" a="1"/>
  <c r="M243" i="3" s="1"/>
  <c r="K262" i="3" a="1"/>
  <c r="K262" i="3" s="1"/>
  <c r="V51" i="2" a="1"/>
  <c r="V51" i="2" s="1"/>
  <c r="U51" i="2" a="1"/>
  <c r="U51" i="2" s="1"/>
  <c r="U252" i="3"/>
  <c r="V252" i="3" s="1"/>
  <c r="Y268" i="3"/>
  <c r="Z268" i="3" s="1"/>
  <c r="O243" i="3" a="1"/>
  <c r="O243" i="3" s="1"/>
  <c r="K301" i="3" a="1"/>
  <c r="K301" i="3" s="1"/>
  <c r="U275" i="3"/>
  <c r="V275" i="3" s="1"/>
  <c r="U297" i="3"/>
  <c r="V297" i="3" s="1"/>
  <c r="AB259" i="3"/>
  <c r="AD251" i="3"/>
  <c r="L301" i="3" a="1"/>
  <c r="L301" i="3" s="1"/>
  <c r="Y280" i="3"/>
  <c r="Z280" i="3" s="1"/>
  <c r="AB282" i="3"/>
  <c r="Y267" i="3"/>
  <c r="Z267" i="3" s="1"/>
  <c r="Y253" i="3"/>
  <c r="Z253" i="3" s="1"/>
  <c r="AA329" i="3"/>
  <c r="O278" i="3" a="1"/>
  <c r="O278" i="3" s="1"/>
  <c r="V36" i="2" a="1"/>
  <c r="V36" i="2" s="1"/>
  <c r="U36" i="2" a="1"/>
  <c r="U36" i="2" s="1"/>
  <c r="L293" i="3" a="1"/>
  <c r="L293" i="3" s="1"/>
  <c r="N301" i="3" a="1"/>
  <c r="N301" i="3" s="1"/>
  <c r="AC319" i="3"/>
  <c r="AA251" i="3"/>
  <c r="M322" i="3" a="1"/>
  <c r="M322" i="3" s="1"/>
  <c r="AC246" i="3"/>
  <c r="AA275" i="3"/>
  <c r="AA326" i="3"/>
  <c r="AB328" i="3"/>
  <c r="AD324" i="3"/>
  <c r="AD302" i="3"/>
  <c r="D302" i="3" s="1"/>
  <c r="AA246" i="3"/>
  <c r="AD313" i="3"/>
  <c r="AC325" i="3"/>
  <c r="AA325" i="3"/>
  <c r="AD270" i="3"/>
  <c r="AA268" i="3"/>
  <c r="Y249" i="3"/>
  <c r="Z249" i="3" s="1"/>
  <c r="AD247" i="3"/>
  <c r="AC257" i="3"/>
  <c r="O275" i="3" a="1"/>
  <c r="O275" i="3" s="1"/>
  <c r="N322" i="3" a="1"/>
  <c r="N322" i="3" s="1"/>
  <c r="N323" i="3" a="1"/>
  <c r="N323" i="3" s="1"/>
  <c r="J323" i="3" a="1"/>
  <c r="J323" i="3" s="1"/>
  <c r="L326" i="3" a="1"/>
  <c r="L326" i="3" s="1"/>
  <c r="O326" i="3" a="1"/>
  <c r="O326" i="3" s="1"/>
  <c r="N326" i="3" a="1"/>
  <c r="N326" i="3" s="1"/>
  <c r="K326" i="3" a="1"/>
  <c r="K326" i="3" s="1"/>
  <c r="J326" i="3" a="1"/>
  <c r="J326" i="3" s="1"/>
  <c r="AD319" i="3"/>
  <c r="L323" i="3" a="1"/>
  <c r="L323" i="3" s="1"/>
  <c r="K323" i="3" a="1"/>
  <c r="K323" i="3" s="1"/>
  <c r="AD243" i="3"/>
  <c r="AB321" i="3"/>
  <c r="AD329" i="3"/>
  <c r="L329" i="3" a="1"/>
  <c r="L329" i="3" s="1"/>
  <c r="M329" i="3" a="1"/>
  <c r="M329" i="3" s="1"/>
  <c r="N329" i="3" a="1"/>
  <c r="N329" i="3" s="1"/>
  <c r="L322" i="3" a="1"/>
  <c r="L322" i="3" s="1"/>
  <c r="AA249" i="3"/>
  <c r="AD297" i="3"/>
  <c r="AC260" i="3"/>
  <c r="D260" i="3" s="1"/>
  <c r="L258" i="3" a="1"/>
  <c r="L258" i="3" s="1"/>
  <c r="AC252" i="3"/>
  <c r="D252" i="3" s="1"/>
  <c r="N258" i="3" a="1"/>
  <c r="N258" i="3" s="1"/>
  <c r="K258" i="3" a="1"/>
  <c r="K258" i="3" s="1"/>
  <c r="K278" i="3" a="1"/>
  <c r="K278" i="3" s="1"/>
  <c r="L300" i="3" a="1"/>
  <c r="L300" i="3" s="1"/>
  <c r="AD258" i="3"/>
  <c r="D258" i="3" s="1"/>
  <c r="AA319" i="3"/>
  <c r="Y326" i="3"/>
  <c r="Z326" i="3" s="1"/>
  <c r="Y263" i="3"/>
  <c r="Z263" i="3" s="1"/>
  <c r="AA328" i="3"/>
  <c r="AB288" i="3"/>
  <c r="AD266" i="3"/>
  <c r="AC297" i="3"/>
  <c r="U328" i="3"/>
  <c r="V328" i="3" s="1"/>
  <c r="AC269" i="3"/>
  <c r="AC250" i="3"/>
  <c r="D250" i="3" s="1"/>
  <c r="U246" i="3"/>
  <c r="H246" i="3" s="1"/>
  <c r="P246" i="3" s="1" a="1"/>
  <c r="P246" i="3" s="1"/>
  <c r="Q246" i="3" s="1"/>
  <c r="AB263" i="3"/>
  <c r="C263" i="3" s="1"/>
  <c r="M258" i="3" a="1"/>
  <c r="M258" i="3" s="1"/>
  <c r="AD269" i="3"/>
  <c r="J278" i="3" a="1"/>
  <c r="J278" i="3" s="1"/>
  <c r="O293" i="3" a="1"/>
  <c r="O293" i="3" s="1"/>
  <c r="N300" i="3" a="1"/>
  <c r="N300" i="3" s="1"/>
  <c r="AB289" i="3"/>
  <c r="AB258" i="3"/>
  <c r="C258" i="3" s="1"/>
  <c r="U271" i="3"/>
  <c r="H271" i="3" s="1"/>
  <c r="P271" i="3" s="1" a="1"/>
  <c r="P271" i="3" s="1"/>
  <c r="Q271" i="3" s="1"/>
  <c r="U268" i="3"/>
  <c r="V268" i="3" s="1"/>
  <c r="L278" i="3" a="1"/>
  <c r="L278" i="3" s="1"/>
  <c r="J300" i="3" a="1"/>
  <c r="J300" i="3" s="1"/>
  <c r="AD262" i="3"/>
  <c r="D262" i="3" s="1"/>
  <c r="U265" i="3"/>
  <c r="H265" i="3" s="1"/>
  <c r="P265" i="3" s="1" a="1"/>
  <c r="P265" i="3" s="1"/>
  <c r="Q265" i="3" s="1"/>
  <c r="U250" i="3"/>
  <c r="H250" i="3" s="1"/>
  <c r="M278" i="3" a="1"/>
  <c r="M278" i="3" s="1"/>
  <c r="O295" i="3" a="1"/>
  <c r="O295" i="3" s="1"/>
  <c r="Y293" i="3"/>
  <c r="Z293" i="3" s="1"/>
  <c r="AD301" i="3"/>
  <c r="J293" i="3" a="1"/>
  <c r="J293" i="3" s="1"/>
  <c r="AA260" i="3"/>
  <c r="N274" i="3" a="1"/>
  <c r="N274" i="3" s="1"/>
  <c r="AC279" i="3"/>
  <c r="D279" i="3" s="1"/>
  <c r="J292" i="3" a="1"/>
  <c r="J292" i="3" s="1"/>
  <c r="Y324" i="3"/>
  <c r="Z324" i="3" s="1"/>
  <c r="AC326" i="3"/>
  <c r="AA282" i="3"/>
  <c r="K320" i="3" a="1"/>
  <c r="K320" i="3" s="1"/>
  <c r="Y328" i="3"/>
  <c r="Z328" i="3" s="1"/>
  <c r="J320" i="3" a="1"/>
  <c r="J320" i="3" s="1"/>
  <c r="J275" i="3" a="1"/>
  <c r="J275" i="3" s="1"/>
  <c r="L320" i="3" a="1"/>
  <c r="L320" i="3" s="1"/>
  <c r="N320" i="3" a="1"/>
  <c r="N320" i="3" s="1"/>
  <c r="L243" i="3" a="1"/>
  <c r="L243" i="3" s="1"/>
  <c r="L275" i="3" a="1"/>
  <c r="L275" i="3" s="1"/>
  <c r="AC328" i="3"/>
  <c r="Y329" i="3"/>
  <c r="Z329" i="3" s="1"/>
  <c r="AB329" i="3"/>
  <c r="AD328" i="3"/>
  <c r="K322" i="3" a="1"/>
  <c r="K322" i="3" s="1"/>
  <c r="U329" i="3"/>
  <c r="N325" i="3" a="1"/>
  <c r="N325" i="3" s="1"/>
  <c r="U324" i="3"/>
  <c r="V324" i="3" s="1"/>
  <c r="AA321" i="3"/>
  <c r="O316" i="3" a="1"/>
  <c r="O316" i="3" s="1"/>
  <c r="AC320" i="3"/>
  <c r="O319" i="3" a="1"/>
  <c r="O319" i="3" s="1"/>
  <c r="O320" i="3" a="1"/>
  <c r="O320" i="3" s="1"/>
  <c r="Y319" i="3"/>
  <c r="Z319" i="3" s="1"/>
  <c r="AA320" i="3"/>
  <c r="C320" i="3" s="1"/>
  <c r="AD317" i="3"/>
  <c r="O322" i="3" a="1"/>
  <c r="O322" i="3" s="1"/>
  <c r="U322" i="3"/>
  <c r="V322" i="3" s="1"/>
  <c r="U325" i="3"/>
  <c r="H325" i="3" s="1"/>
  <c r="AB327" i="3"/>
  <c r="AB326" i="3"/>
  <c r="AD325" i="3"/>
  <c r="AB325" i="3"/>
  <c r="AD323" i="3"/>
  <c r="AB302" i="3"/>
  <c r="U301" i="3"/>
  <c r="V301" i="3" s="1"/>
  <c r="AA292" i="3"/>
  <c r="AC323" i="3"/>
  <c r="AA322" i="3"/>
  <c r="Y272" i="3"/>
  <c r="Z272" i="3" s="1"/>
  <c r="AB319" i="3"/>
  <c r="Y245" i="3"/>
  <c r="Z245" i="3" s="1"/>
  <c r="Y320" i="3"/>
  <c r="Z320" i="3" s="1"/>
  <c r="AA243" i="3"/>
  <c r="N324" i="3" a="1"/>
  <c r="N324" i="3" s="1"/>
  <c r="N319" i="3" a="1"/>
  <c r="N319" i="3" s="1"/>
  <c r="J319" i="3" a="1"/>
  <c r="J319" i="3" s="1"/>
  <c r="AB245" i="3"/>
  <c r="N256" i="3" a="1"/>
  <c r="N256" i="3" s="1"/>
  <c r="AA245" i="3"/>
  <c r="Z275" i="3"/>
  <c r="K275" i="3" a="1"/>
  <c r="K275" i="3" s="1"/>
  <c r="M283" i="3" a="1"/>
  <c r="M283" i="3" s="1"/>
  <c r="K272" i="3" a="1"/>
  <c r="K272" i="3" s="1"/>
  <c r="N283" i="3" a="1"/>
  <c r="N283" i="3" s="1"/>
  <c r="L319" i="3" a="1"/>
  <c r="L319" i="3" s="1"/>
  <c r="L253" i="3" a="1"/>
  <c r="L253" i="3" s="1"/>
  <c r="J253" i="3" a="1"/>
  <c r="J253" i="3" s="1"/>
  <c r="Y258" i="3"/>
  <c r="Z258" i="3" s="1"/>
  <c r="N275" i="3" a="1"/>
  <c r="N275" i="3" s="1"/>
  <c r="O292" i="3" a="1"/>
  <c r="O292" i="3" s="1"/>
  <c r="AA254" i="3"/>
  <c r="AC282" i="3"/>
  <c r="N296" i="3" a="1"/>
  <c r="N296" i="3" s="1"/>
  <c r="U323" i="3"/>
  <c r="H323" i="3" s="1"/>
  <c r="M324" i="3" a="1"/>
  <c r="M324" i="3" s="1"/>
  <c r="AB323" i="3"/>
  <c r="N321" i="3" a="1"/>
  <c r="N321" i="3" s="1"/>
  <c r="L325" i="3" a="1"/>
  <c r="L325" i="3" s="1"/>
  <c r="M282" i="3" a="1"/>
  <c r="M282" i="3" s="1"/>
  <c r="AD283" i="3"/>
  <c r="K324" i="3" a="1"/>
  <c r="K324" i="3" s="1"/>
  <c r="M321" i="3" a="1"/>
  <c r="M321" i="3" s="1"/>
  <c r="AA327" i="3"/>
  <c r="L321" i="3" a="1"/>
  <c r="L321" i="3" s="1"/>
  <c r="AD322" i="3"/>
  <c r="O321" i="3" a="1"/>
  <c r="O321" i="3" s="1"/>
  <c r="M325" i="3" a="1"/>
  <c r="M325" i="3" s="1"/>
  <c r="AB324" i="3"/>
  <c r="L324" i="3" a="1"/>
  <c r="L324" i="3" s="1"/>
  <c r="AA323" i="3"/>
  <c r="AD327" i="3"/>
  <c r="K327" i="3" a="1"/>
  <c r="K327" i="3" s="1"/>
  <c r="K319" i="3" a="1"/>
  <c r="K319" i="3" s="1"/>
  <c r="O327" i="3" a="1"/>
  <c r="O327" i="3" s="1"/>
  <c r="AD282" i="3"/>
  <c r="N327" i="3" a="1"/>
  <c r="N327" i="3" s="1"/>
  <c r="AC321" i="3"/>
  <c r="J327" i="3" a="1"/>
  <c r="J327" i="3" s="1"/>
  <c r="AD321" i="3"/>
  <c r="L327" i="3" a="1"/>
  <c r="L327" i="3" s="1"/>
  <c r="Y323" i="3"/>
  <c r="Z323" i="3" s="1"/>
  <c r="J324" i="3" a="1"/>
  <c r="J324" i="3" s="1"/>
  <c r="AC322" i="3"/>
  <c r="J321" i="3" a="1"/>
  <c r="J321" i="3" s="1"/>
  <c r="U319" i="3"/>
  <c r="O325" i="3" a="1"/>
  <c r="O325" i="3" s="1"/>
  <c r="U326" i="3"/>
  <c r="K318" i="3" a="1"/>
  <c r="K318" i="3" s="1"/>
  <c r="O318" i="3" a="1"/>
  <c r="O318" i="3" s="1"/>
  <c r="AB322" i="3"/>
  <c r="U327" i="3"/>
  <c r="Y322" i="3"/>
  <c r="Z322" i="3" s="1"/>
  <c r="Y298" i="3"/>
  <c r="Z298" i="3" s="1"/>
  <c r="Z259" i="3"/>
  <c r="AC301" i="3"/>
  <c r="D301" i="3" s="1"/>
  <c r="K325" i="3" a="1"/>
  <c r="K325" i="3" s="1"/>
  <c r="AA324" i="3"/>
  <c r="Y325" i="3"/>
  <c r="Z325" i="3" s="1"/>
  <c r="O315" i="3" a="1"/>
  <c r="O315" i="3" s="1"/>
  <c r="M318" i="3" a="1"/>
  <c r="M318" i="3" s="1"/>
  <c r="AA303" i="3"/>
  <c r="Y327" i="3"/>
  <c r="Z327" i="3" s="1"/>
  <c r="U320" i="3"/>
  <c r="U321" i="3"/>
  <c r="AC324" i="3"/>
  <c r="Y321" i="3"/>
  <c r="Z321" i="3" s="1"/>
  <c r="AB290" i="3"/>
  <c r="AB316" i="3"/>
  <c r="AD285" i="3"/>
  <c r="O284" i="3" a="1"/>
  <c r="O284" i="3" s="1"/>
  <c r="U283" i="3"/>
  <c r="H283" i="3" s="1"/>
  <c r="P283" i="3" s="1" a="1"/>
  <c r="P283" i="3" s="1"/>
  <c r="Q283" i="3" s="1"/>
  <c r="L286" i="3" a="1"/>
  <c r="L286" i="3" s="1"/>
  <c r="AA302" i="3"/>
  <c r="M272" i="3" a="1"/>
  <c r="M272" i="3" s="1"/>
  <c r="AD310" i="3"/>
  <c r="AC291" i="3"/>
  <c r="AA290" i="3"/>
  <c r="AB314" i="3"/>
  <c r="AC312" i="3"/>
  <c r="U287" i="3"/>
  <c r="V287" i="3" s="1"/>
  <c r="AA287" i="3"/>
  <c r="AB311" i="3"/>
  <c r="L279" i="3" a="1"/>
  <c r="L279" i="3" s="1"/>
  <c r="K279" i="3" a="1"/>
  <c r="K279" i="3" s="1"/>
  <c r="U288" i="3"/>
  <c r="H288" i="3" s="1"/>
  <c r="K243" i="3" a="1"/>
  <c r="K243" i="3" s="1"/>
  <c r="O283" i="3" a="1"/>
  <c r="O283" i="3" s="1"/>
  <c r="M301" i="3" a="1"/>
  <c r="M301" i="3" s="1"/>
  <c r="O301" i="3" a="1"/>
  <c r="O301" i="3" s="1"/>
  <c r="U291" i="3"/>
  <c r="H291" i="3" s="1"/>
  <c r="P291" i="3" s="1" a="1"/>
  <c r="P291" i="3" s="1"/>
  <c r="Q291" i="3" s="1"/>
  <c r="Y262" i="3"/>
  <c r="Z262" i="3" s="1"/>
  <c r="K283" i="3" a="1"/>
  <c r="K283" i="3" s="1"/>
  <c r="L292" i="3" a="1"/>
  <c r="L292" i="3" s="1"/>
  <c r="N299" i="3" a="1"/>
  <c r="N299" i="3" s="1"/>
  <c r="N243" i="3" a="1"/>
  <c r="N243" i="3" s="1"/>
  <c r="N279" i="3" a="1"/>
  <c r="N279" i="3" s="1"/>
  <c r="J283" i="3" a="1"/>
  <c r="J283" i="3" s="1"/>
  <c r="J285" i="3" a="1"/>
  <c r="J285" i="3" s="1"/>
  <c r="J271" i="3" a="1"/>
  <c r="J271" i="3" s="1"/>
  <c r="J299" i="3" a="1"/>
  <c r="J299" i="3" s="1"/>
  <c r="J316" i="3" a="1"/>
  <c r="J316" i="3" s="1"/>
  <c r="U295" i="3"/>
  <c r="V295" i="3" s="1"/>
  <c r="K312" i="3" a="1"/>
  <c r="K312" i="3" s="1"/>
  <c r="AC317" i="3"/>
  <c r="Y284" i="3"/>
  <c r="Z284" i="3" s="1"/>
  <c r="N318" i="3" a="1"/>
  <c r="N318" i="3" s="1"/>
  <c r="K316" i="3" a="1"/>
  <c r="K316" i="3" s="1"/>
  <c r="M313" i="3" a="1"/>
  <c r="M313" i="3" s="1"/>
  <c r="O297" i="3" a="1"/>
  <c r="O297" i="3" s="1"/>
  <c r="N313" i="3" a="1"/>
  <c r="N313" i="3" s="1"/>
  <c r="U311" i="3"/>
  <c r="V311" i="3" s="1"/>
  <c r="N317" i="3" a="1"/>
  <c r="N317" i="3" s="1"/>
  <c r="N272" i="3" a="1"/>
  <c r="N272" i="3" s="1"/>
  <c r="AB297" i="3"/>
  <c r="U285" i="3"/>
  <c r="H285" i="3" s="1"/>
  <c r="O313" i="3" a="1"/>
  <c r="O313" i="3" s="1"/>
  <c r="O317" i="3" a="1"/>
  <c r="O317" i="3" s="1"/>
  <c r="J280" i="3" a="1"/>
  <c r="J280" i="3" s="1"/>
  <c r="U249" i="3"/>
  <c r="H249" i="3" s="1"/>
  <c r="P249" i="3" s="1" a="1"/>
  <c r="P249" i="3" s="1"/>
  <c r="R249" i="3" s="1"/>
  <c r="Z251" i="3"/>
  <c r="U279" i="3"/>
  <c r="V279" i="3" s="1"/>
  <c r="J317" i="3" a="1"/>
  <c r="J317" i="3" s="1"/>
  <c r="O312" i="3" a="1"/>
  <c r="O312" i="3" s="1"/>
  <c r="K317" i="3" a="1"/>
  <c r="K317" i="3" s="1"/>
  <c r="AC316" i="3"/>
  <c r="Y311" i="3"/>
  <c r="Z311" i="3" s="1"/>
  <c r="L318" i="3" a="1"/>
  <c r="L318" i="3" s="1"/>
  <c r="J313" i="3" a="1"/>
  <c r="J313" i="3" s="1"/>
  <c r="N312" i="3" a="1"/>
  <c r="N312" i="3" s="1"/>
  <c r="M317" i="3" a="1"/>
  <c r="M317" i="3" s="1"/>
  <c r="Y318" i="3"/>
  <c r="Z318" i="3" s="1"/>
  <c r="AD311" i="3"/>
  <c r="J312" i="3" a="1"/>
  <c r="J312" i="3" s="1"/>
  <c r="AA312" i="3"/>
  <c r="L312" i="3" a="1"/>
  <c r="L312" i="3" s="1"/>
  <c r="M292" i="3" a="1"/>
  <c r="M292" i="3" s="1"/>
  <c r="AA297" i="3"/>
  <c r="K281" i="3" a="1"/>
  <c r="K281" i="3" s="1"/>
  <c r="N285" i="3" a="1"/>
  <c r="N285" i="3" s="1"/>
  <c r="J296" i="3" a="1"/>
  <c r="J296" i="3" s="1"/>
  <c r="J311" i="3" a="1"/>
  <c r="J311" i="3" s="1"/>
  <c r="AB294" i="3"/>
  <c r="M311" i="3" a="1"/>
  <c r="M311" i="3" s="1"/>
  <c r="AB291" i="3"/>
  <c r="AB271" i="3"/>
  <c r="N311" i="3" a="1"/>
  <c r="N311" i="3" s="1"/>
  <c r="K311" i="3" a="1"/>
  <c r="K311" i="3" s="1"/>
  <c r="AA314" i="3"/>
  <c r="AC311" i="3"/>
  <c r="AD312" i="3"/>
  <c r="AA313" i="3"/>
  <c r="O311" i="3" a="1"/>
  <c r="O311" i="3" s="1"/>
  <c r="AB312" i="3"/>
  <c r="AB313" i="3"/>
  <c r="N316" i="3" a="1"/>
  <c r="N316" i="3" s="1"/>
  <c r="U318" i="3"/>
  <c r="V318" i="3" s="1"/>
  <c r="N314" i="3" a="1"/>
  <c r="N314" i="3" s="1"/>
  <c r="AD318" i="3"/>
  <c r="L314" i="3" a="1"/>
  <c r="L314" i="3" s="1"/>
  <c r="U315" i="3"/>
  <c r="H315" i="3" s="1"/>
  <c r="AB317" i="3"/>
  <c r="M314" i="3" a="1"/>
  <c r="M314" i="3" s="1"/>
  <c r="J314" i="3" a="1"/>
  <c r="J314" i="3" s="1"/>
  <c r="AC318" i="3"/>
  <c r="AD304" i="3"/>
  <c r="K314" i="3" a="1"/>
  <c r="K314" i="3" s="1"/>
  <c r="M315" i="3" a="1"/>
  <c r="M315" i="3" s="1"/>
  <c r="N315" i="3" a="1"/>
  <c r="N315" i="3" s="1"/>
  <c r="Y316" i="3"/>
  <c r="Z316" i="3" s="1"/>
  <c r="M316" i="3" a="1"/>
  <c r="M316" i="3" s="1"/>
  <c r="AA318" i="3"/>
  <c r="AB318" i="3"/>
  <c r="AB286" i="3"/>
  <c r="L313" i="3" a="1"/>
  <c r="L313" i="3" s="1"/>
  <c r="AA316" i="3"/>
  <c r="AD314" i="3"/>
  <c r="AA317" i="3"/>
  <c r="AD293" i="3"/>
  <c r="Y313" i="3"/>
  <c r="Z313" i="3" s="1"/>
  <c r="U317" i="3"/>
  <c r="U316" i="3"/>
  <c r="AD316" i="3"/>
  <c r="M309" i="3" a="1"/>
  <c r="M309" i="3" s="1"/>
  <c r="U312" i="3"/>
  <c r="H312" i="3" s="1"/>
  <c r="L315" i="3" a="1"/>
  <c r="L315" i="3" s="1"/>
  <c r="Y312" i="3"/>
  <c r="Z312" i="3" s="1"/>
  <c r="Y317" i="3"/>
  <c r="Z317" i="3" s="1"/>
  <c r="N309" i="3" a="1"/>
  <c r="N309" i="3" s="1"/>
  <c r="Y310" i="3"/>
  <c r="Z310" i="3" s="1"/>
  <c r="L309" i="3" a="1"/>
  <c r="L309" i="3" s="1"/>
  <c r="AA310" i="3"/>
  <c r="AC313" i="3"/>
  <c r="K315" i="3" a="1"/>
  <c r="K315" i="3" s="1"/>
  <c r="AD315" i="3"/>
  <c r="Y315" i="3"/>
  <c r="Z315" i="3" s="1"/>
  <c r="AC314" i="3"/>
  <c r="AC305" i="3"/>
  <c r="AA309" i="3"/>
  <c r="AA311" i="3"/>
  <c r="N310" i="3" a="1"/>
  <c r="N310" i="3" s="1"/>
  <c r="Y309" i="3"/>
  <c r="Z309" i="3" s="1"/>
  <c r="AB315" i="3"/>
  <c r="AA289" i="3"/>
  <c r="C289" i="3" s="1"/>
  <c r="AC315" i="3"/>
  <c r="O310" i="3" a="1"/>
  <c r="O310" i="3" s="1"/>
  <c r="AA315" i="3"/>
  <c r="U313" i="3"/>
  <c r="Y314" i="3"/>
  <c r="Z314" i="3" s="1"/>
  <c r="U314" i="3"/>
  <c r="AA305" i="3"/>
  <c r="AD309" i="3"/>
  <c r="U1202" i="2" a="1"/>
  <c r="U1202" i="2" s="1"/>
  <c r="V1200" i="2" a="1"/>
  <c r="V1200" i="2" s="1"/>
  <c r="U1195" i="2" a="1"/>
  <c r="U1195" i="2" s="1"/>
  <c r="V1190" i="2" a="1"/>
  <c r="V1190" i="2" s="1"/>
  <c r="U1186" i="2" a="1"/>
  <c r="U1186" i="2" s="1"/>
  <c r="V1178" i="2" a="1"/>
  <c r="V1178" i="2" s="1"/>
  <c r="U1181" i="2" a="1"/>
  <c r="U1181" i="2" s="1"/>
  <c r="V1174" i="2" a="1"/>
  <c r="V1174" i="2" s="1"/>
  <c r="U1168" i="2" a="1"/>
  <c r="U1168" i="2" s="1"/>
  <c r="V1163" i="2" a="1"/>
  <c r="V1163" i="2" s="1"/>
  <c r="U1166" i="2" a="1"/>
  <c r="U1166" i="2" s="1"/>
  <c r="V1160" i="2" a="1"/>
  <c r="V1160" i="2" s="1"/>
  <c r="U1151" i="2" a="1"/>
  <c r="U1151" i="2" s="1"/>
  <c r="V1156" i="2" a="1"/>
  <c r="V1156" i="2" s="1"/>
  <c r="U1144" i="2" a="1"/>
  <c r="U1144" i="2" s="1"/>
  <c r="V1140" i="2" a="1"/>
  <c r="V1140" i="2" s="1"/>
  <c r="U1143" i="2" a="1"/>
  <c r="U1143" i="2" s="1"/>
  <c r="V1134" i="2" a="1"/>
  <c r="V1134" i="2" s="1"/>
  <c r="U1125" i="2" a="1"/>
  <c r="U1125" i="2" s="1"/>
  <c r="V1130" i="2" a="1"/>
  <c r="V1130" i="2" s="1"/>
  <c r="U1121" i="2" a="1"/>
  <c r="U1121" i="2" s="1"/>
  <c r="V1120" i="2" a="1"/>
  <c r="V1120" i="2" s="1"/>
  <c r="U1117" i="2" a="1"/>
  <c r="U1117" i="2" s="1"/>
  <c r="V1114" i="2" a="1"/>
  <c r="V1114" i="2" s="1"/>
  <c r="U1104" i="2" a="1"/>
  <c r="U1104" i="2" s="1"/>
  <c r="V1109" i="2" a="1"/>
  <c r="V1109" i="2" s="1"/>
  <c r="U1098" i="2" a="1"/>
  <c r="U1098" i="2" s="1"/>
  <c r="V1087" i="2" a="1"/>
  <c r="V1087" i="2" s="1"/>
  <c r="U1090" i="2" a="1"/>
  <c r="U1090" i="2" s="1"/>
  <c r="V1095" i="2" a="1"/>
  <c r="V1095" i="2" s="1"/>
  <c r="U1079" i="2" a="1"/>
  <c r="U1079" i="2" s="1"/>
  <c r="V1084" i="2" a="1"/>
  <c r="V1084" i="2" s="1"/>
  <c r="U1067" i="2" a="1"/>
  <c r="U1067" i="2" s="1"/>
  <c r="V1072" i="2" a="1"/>
  <c r="V1072" i="2" s="1"/>
  <c r="U1075" i="2" a="1"/>
  <c r="U1075" i="2" s="1"/>
  <c r="V1057" i="2" a="1"/>
  <c r="V1057" i="2" s="1"/>
  <c r="U1060" i="2" a="1"/>
  <c r="U1060" i="2" s="1"/>
  <c r="V1065" i="2" a="1"/>
  <c r="V1065" i="2" s="1"/>
  <c r="U1049" i="2" a="1"/>
  <c r="U1049" i="2" s="1"/>
  <c r="V1047" i="2" a="1"/>
  <c r="V1047" i="2" s="1"/>
  <c r="U1038" i="2" a="1"/>
  <c r="U1038" i="2" s="1"/>
  <c r="V1043" i="2" a="1"/>
  <c r="V1043" i="2" s="1"/>
  <c r="U1031" i="2" a="1"/>
  <c r="U1031" i="2" s="1"/>
  <c r="V1036" i="2" a="1"/>
  <c r="V1036" i="2" s="1"/>
  <c r="U1022" i="2" a="1"/>
  <c r="U1022" i="2" s="1"/>
  <c r="V1027" i="2" a="1"/>
  <c r="V1027" i="2" s="1"/>
  <c r="I2" i="3" a="1"/>
  <c r="I2" i="3" s="1"/>
  <c r="V1205" i="2" a="1"/>
  <c r="V1205" i="2" s="1"/>
  <c r="U1203" i="2" a="1"/>
  <c r="U1203" i="2" s="1"/>
  <c r="V1201" i="2" a="1"/>
  <c r="V1201" i="2" s="1"/>
  <c r="U1196" i="2" a="1"/>
  <c r="U1196" i="2" s="1"/>
  <c r="V1189" i="2" a="1"/>
  <c r="V1189" i="2" s="1"/>
  <c r="U1187" i="2" a="1"/>
  <c r="U1187" i="2" s="1"/>
  <c r="V1179" i="2" a="1"/>
  <c r="V1179" i="2" s="1"/>
  <c r="U1182" i="2" a="1"/>
  <c r="U1182" i="2" s="1"/>
  <c r="V1172" i="2" a="1"/>
  <c r="V1172" i="2" s="1"/>
  <c r="U1169" i="2" a="1"/>
  <c r="U1169" i="2" s="1"/>
  <c r="V1164" i="2" a="1"/>
  <c r="V1164" i="2" s="1"/>
  <c r="U1167" i="2" a="1"/>
  <c r="U1167" i="2" s="1"/>
  <c r="V1161" i="2" a="1"/>
  <c r="V1161" i="2" s="1"/>
  <c r="U1152" i="2" a="1"/>
  <c r="U1152" i="2" s="1"/>
  <c r="V1149" i="2" a="1"/>
  <c r="V1149" i="2" s="1"/>
  <c r="U1145" i="2" a="1"/>
  <c r="U1145" i="2" s="1"/>
  <c r="V1141" i="2" a="1"/>
  <c r="V1141" i="2" s="1"/>
  <c r="U1135" i="2" a="1"/>
  <c r="U1135" i="2" s="1"/>
  <c r="V1133" i="2" a="1"/>
  <c r="V1133" i="2" s="1"/>
  <c r="U1126" i="2" a="1"/>
  <c r="U1126" i="2" s="1"/>
  <c r="V1131" i="2" a="1"/>
  <c r="V1131" i="2" s="1"/>
  <c r="U1122" i="2" a="1"/>
  <c r="U1122" i="2" s="1"/>
  <c r="V1115" i="2" a="1"/>
  <c r="V1115" i="2" s="1"/>
  <c r="U1110" i="2" a="1"/>
  <c r="U1110" i="2" s="1"/>
  <c r="V1102" i="2" a="1"/>
  <c r="V1102" i="2" s="1"/>
  <c r="U1105" i="2" a="1"/>
  <c r="U1105" i="2" s="1"/>
  <c r="V1096" i="2" a="1"/>
  <c r="V1096" i="2" s="1"/>
  <c r="U1099" i="2" a="1"/>
  <c r="U1099" i="2" s="1"/>
  <c r="V1088" i="2" a="1"/>
  <c r="V1088" i="2" s="1"/>
  <c r="U1091" i="2" a="1"/>
  <c r="U1091" i="2" s="1"/>
  <c r="V1077" i="2" a="1"/>
  <c r="V1077" i="2" s="1"/>
  <c r="U1080" i="2" a="1"/>
  <c r="U1080" i="2" s="1"/>
  <c r="V1085" i="2" a="1"/>
  <c r="V1085" i="2" s="1"/>
  <c r="U1068" i="2" a="1"/>
  <c r="U1068" i="2" s="1"/>
  <c r="V1073" i="2" a="1"/>
  <c r="V1073" i="2" s="1"/>
  <c r="U1076" i="2" a="1"/>
  <c r="U1076" i="2" s="1"/>
  <c r="V1058" i="2" a="1"/>
  <c r="V1058" i="2" s="1"/>
  <c r="U1061" i="2" a="1"/>
  <c r="U1061" i="2" s="1"/>
  <c r="V1052" i="2" a="1"/>
  <c r="V1052" i="2" s="1"/>
  <c r="U1050" i="2" a="1"/>
  <c r="U1050" i="2" s="1"/>
  <c r="V1048" i="2" a="1"/>
  <c r="V1048" i="2" s="1"/>
  <c r="U1039" i="2" a="1"/>
  <c r="U1039" i="2" s="1"/>
  <c r="V1044" i="2" a="1"/>
  <c r="V1044" i="2" s="1"/>
  <c r="U1032" i="2" a="1"/>
  <c r="U1032" i="2" s="1"/>
  <c r="V1020" i="2" a="1"/>
  <c r="V1020" i="2" s="1"/>
  <c r="U1023" i="2" a="1"/>
  <c r="U1023" i="2" s="1"/>
  <c r="V1028" i="2" a="1"/>
  <c r="V1028" i="2" s="1"/>
  <c r="U1009" i="2" a="1"/>
  <c r="U1009" i="2" s="1"/>
  <c r="V1014" i="2" a="1"/>
  <c r="V1014" i="2" s="1"/>
  <c r="U1017" i="2" a="1"/>
  <c r="U1017" i="2" s="1"/>
  <c r="V1006" i="2" a="1"/>
  <c r="V1006" i="2" s="1"/>
  <c r="U1001" i="2" a="1"/>
  <c r="U1001" i="2" s="1"/>
  <c r="V995" i="2" a="1"/>
  <c r="V995" i="2" s="1"/>
  <c r="U992" i="2" a="1"/>
  <c r="U992" i="2" s="1"/>
  <c r="V990" i="2" a="1"/>
  <c r="V990" i="2" s="1"/>
  <c r="U982" i="2" a="1"/>
  <c r="U982" i="2" s="1"/>
  <c r="V1203" i="2" a="1"/>
  <c r="V1203" i="2" s="1"/>
  <c r="U1199" i="2" a="1"/>
  <c r="U1199" i="2" s="1"/>
  <c r="V1196" i="2" a="1"/>
  <c r="V1196" i="2" s="1"/>
  <c r="U1191" i="2" a="1"/>
  <c r="U1191" i="2" s="1"/>
  <c r="V1187" i="2" a="1"/>
  <c r="V1187" i="2" s="1"/>
  <c r="U1185" i="2" a="1"/>
  <c r="U1185" i="2" s="1"/>
  <c r="V1182" i="2" a="1"/>
  <c r="V1182" i="2" s="1"/>
  <c r="U1175" i="2" a="1"/>
  <c r="U1175" i="2" s="1"/>
  <c r="V1169" i="2" a="1"/>
  <c r="V1169" i="2" s="1"/>
  <c r="U1162" i="2" a="1"/>
  <c r="U1162" i="2" s="1"/>
  <c r="V1167" i="2" a="1"/>
  <c r="V1167" i="2" s="1"/>
  <c r="U1159" i="2" a="1"/>
  <c r="U1159" i="2" s="1"/>
  <c r="V1152" i="2" a="1"/>
  <c r="V1152" i="2" s="1"/>
  <c r="U1155" i="2" a="1"/>
  <c r="U1155" i="2" s="1"/>
  <c r="V1145" i="2" a="1"/>
  <c r="V1145" i="2" s="1"/>
  <c r="U1139" i="2" a="1"/>
  <c r="U1139" i="2" s="1"/>
  <c r="V1135" i="2" a="1"/>
  <c r="V1135" i="2" s="1"/>
  <c r="U1138" i="2" a="1"/>
  <c r="U1138" i="2" s="1"/>
  <c r="V1126" i="2" a="1"/>
  <c r="V1126" i="2" s="1"/>
  <c r="U1129" i="2" a="1"/>
  <c r="U1129" i="2" s="1"/>
  <c r="V1122" i="2" a="1"/>
  <c r="V1122" i="2" s="1"/>
  <c r="U1119" i="2" a="1"/>
  <c r="U1119" i="2" s="1"/>
  <c r="V1110" i="2" a="1"/>
  <c r="V1110" i="2" s="1"/>
  <c r="U1113" i="2" a="1"/>
  <c r="U1113" i="2" s="1"/>
  <c r="V1105" i="2" a="1"/>
  <c r="V1105" i="2" s="1"/>
  <c r="U1108" i="2" a="1"/>
  <c r="U1108" i="2" s="1"/>
  <c r="V1099" i="2" a="1"/>
  <c r="V1099" i="2" s="1"/>
  <c r="U1086" i="2" a="1"/>
  <c r="U1086" i="2" s="1"/>
  <c r="V1091" i="2" a="1"/>
  <c r="V1091" i="2" s="1"/>
  <c r="U1094" i="2" a="1"/>
  <c r="U1094" i="2" s="1"/>
  <c r="V1080" i="2" a="1"/>
  <c r="V1080" i="2" s="1"/>
  <c r="U1083" i="2" a="1"/>
  <c r="U1083" i="2" s="1"/>
  <c r="V1068" i="2" a="1"/>
  <c r="V1068" i="2" s="1"/>
  <c r="U1071" i="2" a="1"/>
  <c r="U1071" i="2" s="1"/>
  <c r="V1076" i="2" a="1"/>
  <c r="V1076" i="2" s="1"/>
  <c r="U1056" i="2" a="1"/>
  <c r="U1056" i="2" s="1"/>
  <c r="V1061" i="2" a="1"/>
  <c r="V1061" i="2" s="1"/>
  <c r="U1064" i="2" a="1"/>
  <c r="U1064" i="2" s="1"/>
  <c r="V1050" i="2" a="1"/>
  <c r="V1050" i="2" s="1"/>
  <c r="U1046" i="2" a="1"/>
  <c r="U1046" i="2" s="1"/>
  <c r="V1039" i="2" a="1"/>
  <c r="V1039" i="2" s="1"/>
  <c r="U1042" i="2" a="1"/>
  <c r="U1042" i="2" s="1"/>
  <c r="V1032" i="2" a="1"/>
  <c r="V1032" i="2" s="1"/>
  <c r="U1035" i="2" a="1"/>
  <c r="U1035" i="2" s="1"/>
  <c r="V1023" i="2" a="1"/>
  <c r="V1023" i="2" s="1"/>
  <c r="U1026" i="2" a="1"/>
  <c r="U1026" i="2" s="1"/>
  <c r="V1009" i="2" a="1"/>
  <c r="V1009" i="2" s="1"/>
  <c r="U1204" i="2" a="1"/>
  <c r="U1204" i="2" s="1"/>
  <c r="V1206" i="2" a="1"/>
  <c r="V1206" i="2" s="1"/>
  <c r="U1197" i="2" a="1"/>
  <c r="U1197" i="2" s="1"/>
  <c r="V1194" i="2" a="1"/>
  <c r="V1194" i="2" s="1"/>
  <c r="U1193" i="2" a="1"/>
  <c r="U1193" i="2" s="1"/>
  <c r="V1188" i="2" a="1"/>
  <c r="V1188" i="2" s="1"/>
  <c r="U1183" i="2" a="1"/>
  <c r="U1183" i="2" s="1"/>
  <c r="V1180" i="2" a="1"/>
  <c r="V1180" i="2" s="1"/>
  <c r="U1176" i="2" a="1"/>
  <c r="U1176" i="2" s="1"/>
  <c r="V1173" i="2" a="1"/>
  <c r="V1173" i="2" s="1"/>
  <c r="U1170" i="2" a="1"/>
  <c r="U1170" i="2" s="1"/>
  <c r="V1165" i="2" a="1"/>
  <c r="V1165" i="2" s="1"/>
  <c r="U1157" i="2" a="1"/>
  <c r="U1157" i="2" s="1"/>
  <c r="V1150" i="2" a="1"/>
  <c r="V1150" i="2" s="1"/>
  <c r="U1153" i="2" a="1"/>
  <c r="U1153" i="2" s="1"/>
  <c r="V1148" i="2" a="1"/>
  <c r="V1148" i="2" s="1"/>
  <c r="U1146" i="2" a="1"/>
  <c r="U1146" i="2" s="1"/>
  <c r="V1142" i="2" a="1"/>
  <c r="V1142" i="2" s="1"/>
  <c r="U1136" i="2" a="1"/>
  <c r="U1136" i="2" s="1"/>
  <c r="V1132" i="2" a="1"/>
  <c r="V1132" i="2" s="1"/>
  <c r="U1127" i="2" a="1"/>
  <c r="U1127" i="2" s="1"/>
  <c r="V1124" i="2" a="1"/>
  <c r="V1124" i="2" s="1"/>
  <c r="U1123" i="2" a="1"/>
  <c r="U1123" i="2" s="1"/>
  <c r="V1116" i="2" a="1"/>
  <c r="V1116" i="2" s="1"/>
  <c r="U1111" i="2" a="1"/>
  <c r="U1111" i="2" s="1"/>
  <c r="V1103" i="2" a="1"/>
  <c r="V1103" i="2" s="1"/>
  <c r="U1106" i="2" a="1"/>
  <c r="U1106" i="2" s="1"/>
  <c r="V1097" i="2" a="1"/>
  <c r="V1097" i="2" s="1"/>
  <c r="U1100" i="2" a="1"/>
  <c r="U1100" i="2" s="1"/>
  <c r="V1089" i="2" a="1"/>
  <c r="V1089" i="2" s="1"/>
  <c r="U1092" i="2" a="1"/>
  <c r="U1092" i="2" s="1"/>
  <c r="V1078" i="2" a="1"/>
  <c r="V1078" i="2" s="1"/>
  <c r="U1081" i="2" a="1"/>
  <c r="U1081" i="2" s="1"/>
  <c r="V1066" i="2" a="1"/>
  <c r="V1066" i="2" s="1"/>
  <c r="U1069" i="2" a="1"/>
  <c r="U1069" i="2" s="1"/>
  <c r="V1074" i="2" a="1"/>
  <c r="V1074" i="2" s="1"/>
  <c r="U1054" i="2" a="1"/>
  <c r="U1054" i="2" s="1"/>
  <c r="V1059" i="2" a="1"/>
  <c r="V1059" i="2" s="1"/>
  <c r="U1062" i="2" a="1"/>
  <c r="U1062" i="2" s="1"/>
  <c r="V1053" i="2" a="1"/>
  <c r="V1053" i="2" s="1"/>
  <c r="U1051" i="2" a="1"/>
  <c r="U1051" i="2" s="1"/>
  <c r="V1037" i="2" a="1"/>
  <c r="V1037" i="2" s="1"/>
  <c r="U1040" i="2" a="1"/>
  <c r="U1040" i="2" s="1"/>
  <c r="V1030" i="2" a="1"/>
  <c r="V1030" i="2" s="1"/>
  <c r="U1033" i="2" a="1"/>
  <c r="U1033" i="2" s="1"/>
  <c r="V1021" i="2" a="1"/>
  <c r="V1021" i="2" s="1"/>
  <c r="U1024" i="2" a="1"/>
  <c r="U1024" i="2" s="1"/>
  <c r="V1029" i="2" a="1"/>
  <c r="V1029" i="2" s="1"/>
  <c r="U1010" i="2" a="1"/>
  <c r="U1010" i="2" s="1"/>
  <c r="V1015" i="2" a="1"/>
  <c r="V1015" i="2" s="1"/>
  <c r="U1018" i="2" a="1"/>
  <c r="U1018" i="2" s="1"/>
  <c r="V1011" i="2" a="1"/>
  <c r="V1011" i="2" s="1"/>
  <c r="U1014" i="2" a="1"/>
  <c r="U1014" i="2" s="1"/>
  <c r="V999" i="2" a="1"/>
  <c r="V999" i="2" s="1"/>
  <c r="V997" i="2" a="1"/>
  <c r="V997" i="2" s="1"/>
  <c r="V994" i="2" a="1"/>
  <c r="V994" i="2" s="1"/>
  <c r="U990" i="2" a="1"/>
  <c r="U990" i="2" s="1"/>
  <c r="V982" i="2" a="1"/>
  <c r="V982" i="2" s="1"/>
  <c r="U985" i="2" a="1"/>
  <c r="U985" i="2" s="1"/>
  <c r="V980" i="2" a="1"/>
  <c r="V980" i="2" s="1"/>
  <c r="U975" i="2" a="1"/>
  <c r="U975" i="2" s="1"/>
  <c r="V972" i="2" a="1"/>
  <c r="V972" i="2" s="1"/>
  <c r="U967" i="2" a="1"/>
  <c r="U967" i="2" s="1"/>
  <c r="V964" i="2" a="1"/>
  <c r="V964" i="2" s="1"/>
  <c r="U959" i="2" a="1"/>
  <c r="U959" i="2" s="1"/>
  <c r="V956" i="2" a="1"/>
  <c r="V956" i="2" s="1"/>
  <c r="U951" i="2" a="1"/>
  <c r="U951" i="2" s="1"/>
  <c r="V948" i="2" a="1"/>
  <c r="V948" i="2" s="1"/>
  <c r="U943" i="2" a="1"/>
  <c r="U943" i="2" s="1"/>
  <c r="V940" i="2" a="1"/>
  <c r="V940" i="2" s="1"/>
  <c r="U935" i="2" a="1"/>
  <c r="U935" i="2" s="1"/>
  <c r="V932" i="2" a="1"/>
  <c r="V932" i="2" s="1"/>
  <c r="U927" i="2" a="1"/>
  <c r="U927" i="2" s="1"/>
  <c r="V924" i="2" a="1"/>
  <c r="V924" i="2" s="1"/>
  <c r="U919" i="2" a="1"/>
  <c r="U919" i="2" s="1"/>
  <c r="V916" i="2" a="1"/>
  <c r="V916" i="2" s="1"/>
  <c r="U911" i="2" a="1"/>
  <c r="U911" i="2" s="1"/>
  <c r="V908" i="2" a="1"/>
  <c r="V908" i="2" s="1"/>
  <c r="U903" i="2" a="1"/>
  <c r="U903" i="2" s="1"/>
  <c r="V900" i="2" a="1"/>
  <c r="V900" i="2" s="1"/>
  <c r="U895" i="2" a="1"/>
  <c r="U895" i="2" s="1"/>
  <c r="V892" i="2" a="1"/>
  <c r="V892" i="2" s="1"/>
  <c r="U887" i="2" a="1"/>
  <c r="U887" i="2" s="1"/>
  <c r="V884" i="2" a="1"/>
  <c r="V884" i="2" s="1"/>
  <c r="U879" i="2" a="1"/>
  <c r="U879" i="2" s="1"/>
  <c r="V876" i="2" a="1"/>
  <c r="V876" i="2" s="1"/>
  <c r="U871" i="2" a="1"/>
  <c r="U871" i="2" s="1"/>
  <c r="V868" i="2" a="1"/>
  <c r="V868" i="2" s="1"/>
  <c r="U863" i="2" a="1"/>
  <c r="U863" i="2" s="1"/>
  <c r="V860" i="2" a="1"/>
  <c r="V860" i="2" s="1"/>
  <c r="U855" i="2" a="1"/>
  <c r="U855" i="2" s="1"/>
  <c r="V852" i="2" a="1"/>
  <c r="V852" i="2" s="1"/>
  <c r="U847" i="2" a="1"/>
  <c r="U847" i="2" s="1"/>
  <c r="V844" i="2" a="1"/>
  <c r="V844" i="2" s="1"/>
  <c r="U839" i="2" a="1"/>
  <c r="U839" i="2" s="1"/>
  <c r="V836" i="2" a="1"/>
  <c r="V836" i="2" s="1"/>
  <c r="U831" i="2" a="1"/>
  <c r="U831" i="2" s="1"/>
  <c r="V828" i="2" a="1"/>
  <c r="V828" i="2" s="1"/>
  <c r="U823" i="2" a="1"/>
  <c r="U823" i="2" s="1"/>
  <c r="V820" i="2" a="1"/>
  <c r="V820" i="2" s="1"/>
  <c r="U815" i="2" a="1"/>
  <c r="U815" i="2" s="1"/>
  <c r="V812" i="2" a="1"/>
  <c r="V812" i="2" s="1"/>
  <c r="U807" i="2" a="1"/>
  <c r="U807" i="2" s="1"/>
  <c r="V804" i="2" a="1"/>
  <c r="V804" i="2" s="1"/>
  <c r="U802" i="2" a="1"/>
  <c r="U802" i="2" s="1"/>
  <c r="V799" i="2" a="1"/>
  <c r="V799" i="2" s="1"/>
  <c r="U794" i="2" a="1"/>
  <c r="U794" i="2" s="1"/>
  <c r="V1202" i="2" a="1"/>
  <c r="V1202" i="2" s="1"/>
  <c r="V1199" i="2" a="1"/>
  <c r="V1199" i="2" s="1"/>
  <c r="V1195" i="2" a="1"/>
  <c r="V1195" i="2" s="1"/>
  <c r="V1191" i="2" a="1"/>
  <c r="V1191" i="2" s="1"/>
  <c r="V1186" i="2" a="1"/>
  <c r="V1186" i="2" s="1"/>
  <c r="V1185" i="2" a="1"/>
  <c r="V1185" i="2" s="1"/>
  <c r="V1181" i="2" a="1"/>
  <c r="V1181" i="2" s="1"/>
  <c r="V1175" i="2" a="1"/>
  <c r="V1175" i="2" s="1"/>
  <c r="V1168" i="2" a="1"/>
  <c r="V1168" i="2" s="1"/>
  <c r="V1162" i="2" a="1"/>
  <c r="V1162" i="2" s="1"/>
  <c r="V1166" i="2" a="1"/>
  <c r="V1166" i="2" s="1"/>
  <c r="V1159" i="2" a="1"/>
  <c r="V1159" i="2" s="1"/>
  <c r="V1151" i="2" a="1"/>
  <c r="V1151" i="2" s="1"/>
  <c r="V1155" i="2" a="1"/>
  <c r="V1155" i="2" s="1"/>
  <c r="V1144" i="2" a="1"/>
  <c r="V1144" i="2" s="1"/>
  <c r="V1139" i="2" a="1"/>
  <c r="V1139" i="2" s="1"/>
  <c r="V1143" i="2" a="1"/>
  <c r="V1143" i="2" s="1"/>
  <c r="V1138" i="2" a="1"/>
  <c r="V1138" i="2" s="1"/>
  <c r="V1125" i="2" a="1"/>
  <c r="V1125" i="2" s="1"/>
  <c r="V1129" i="2" a="1"/>
  <c r="V1129" i="2" s="1"/>
  <c r="V1121" i="2" a="1"/>
  <c r="V1121" i="2" s="1"/>
  <c r="V1119" i="2" a="1"/>
  <c r="V1119" i="2" s="1"/>
  <c r="V1117" i="2" a="1"/>
  <c r="V1117" i="2" s="1"/>
  <c r="V1113" i="2" a="1"/>
  <c r="V1113" i="2" s="1"/>
  <c r="V1104" i="2" a="1"/>
  <c r="V1104" i="2" s="1"/>
  <c r="V1108" i="2" a="1"/>
  <c r="V1108" i="2" s="1"/>
  <c r="V1098" i="2" a="1"/>
  <c r="V1098" i="2" s="1"/>
  <c r="V1086" i="2" a="1"/>
  <c r="V1086" i="2" s="1"/>
  <c r="V1090" i="2" a="1"/>
  <c r="V1090" i="2" s="1"/>
  <c r="V1094" i="2" a="1"/>
  <c r="V1094" i="2" s="1"/>
  <c r="V1079" i="2" a="1"/>
  <c r="V1079" i="2" s="1"/>
  <c r="V1083" i="2" a="1"/>
  <c r="V1083" i="2" s="1"/>
  <c r="V1067" i="2" a="1"/>
  <c r="V1067" i="2" s="1"/>
  <c r="V1071" i="2" a="1"/>
  <c r="V1071" i="2" s="1"/>
  <c r="V1075" i="2" a="1"/>
  <c r="V1075" i="2" s="1"/>
  <c r="V1056" i="2" a="1"/>
  <c r="V1056" i="2" s="1"/>
  <c r="V1060" i="2" a="1"/>
  <c r="V1060" i="2" s="1"/>
  <c r="V1064" i="2" a="1"/>
  <c r="V1064" i="2" s="1"/>
  <c r="V1049" i="2" a="1"/>
  <c r="V1049" i="2" s="1"/>
  <c r="V1046" i="2" a="1"/>
  <c r="V1046" i="2" s="1"/>
  <c r="V1038" i="2" a="1"/>
  <c r="V1038" i="2" s="1"/>
  <c r="V1042" i="2" a="1"/>
  <c r="V1042" i="2" s="1"/>
  <c r="V1031" i="2" a="1"/>
  <c r="V1031" i="2" s="1"/>
  <c r="V1035" i="2" a="1"/>
  <c r="V1035" i="2" s="1"/>
  <c r="V1022" i="2" a="1"/>
  <c r="V1022" i="2" s="1"/>
  <c r="V1026" i="2" a="1"/>
  <c r="V1026" i="2" s="1"/>
  <c r="U1008" i="2" a="1"/>
  <c r="U1008" i="2" s="1"/>
  <c r="V1018" i="2" a="1"/>
  <c r="V1018" i="2" s="1"/>
  <c r="U1005" i="2" a="1"/>
  <c r="U1005" i="2" s="1"/>
  <c r="U1004" i="2" a="1"/>
  <c r="U1004" i="2" s="1"/>
  <c r="U1000" i="2" a="1"/>
  <c r="U1000" i="2" s="1"/>
  <c r="V985" i="2" a="1"/>
  <c r="V985" i="2" s="1"/>
  <c r="U980" i="2" a="1"/>
  <c r="U980" i="2" s="1"/>
  <c r="V977" i="2" a="1"/>
  <c r="V977" i="2" s="1"/>
  <c r="U972" i="2" a="1"/>
  <c r="U972" i="2" s="1"/>
  <c r="V969" i="2" a="1"/>
  <c r="V969" i="2" s="1"/>
  <c r="U964" i="2" a="1"/>
  <c r="U964" i="2" s="1"/>
  <c r="V961" i="2" a="1"/>
  <c r="V961" i="2" s="1"/>
  <c r="U956" i="2" a="1"/>
  <c r="U956" i="2" s="1"/>
  <c r="V953" i="2" a="1"/>
  <c r="V953" i="2" s="1"/>
  <c r="U948" i="2" a="1"/>
  <c r="U948" i="2" s="1"/>
  <c r="V945" i="2" a="1"/>
  <c r="V945" i="2" s="1"/>
  <c r="U940" i="2" a="1"/>
  <c r="U940" i="2" s="1"/>
  <c r="V937" i="2" a="1"/>
  <c r="V937" i="2" s="1"/>
  <c r="U932" i="2" a="1"/>
  <c r="U932" i="2" s="1"/>
  <c r="V929" i="2" a="1"/>
  <c r="V929" i="2" s="1"/>
  <c r="U924" i="2" a="1"/>
  <c r="U924" i="2" s="1"/>
  <c r="V921" i="2" a="1"/>
  <c r="V921" i="2" s="1"/>
  <c r="U916" i="2" a="1"/>
  <c r="U916" i="2" s="1"/>
  <c r="V913" i="2" a="1"/>
  <c r="V913" i="2" s="1"/>
  <c r="U908" i="2" a="1"/>
  <c r="U908" i="2" s="1"/>
  <c r="V905" i="2" a="1"/>
  <c r="V905" i="2" s="1"/>
  <c r="U900" i="2" a="1"/>
  <c r="U900" i="2" s="1"/>
  <c r="V897" i="2" a="1"/>
  <c r="V897" i="2" s="1"/>
  <c r="U892" i="2" a="1"/>
  <c r="U892" i="2" s="1"/>
  <c r="V889" i="2" a="1"/>
  <c r="V889" i="2" s="1"/>
  <c r="U884" i="2" a="1"/>
  <c r="U884" i="2" s="1"/>
  <c r="V881" i="2" a="1"/>
  <c r="V881" i="2" s="1"/>
  <c r="U876" i="2" a="1"/>
  <c r="U876" i="2" s="1"/>
  <c r="V873" i="2" a="1"/>
  <c r="V873" i="2" s="1"/>
  <c r="U868" i="2" a="1"/>
  <c r="U868" i="2" s="1"/>
  <c r="V865" i="2" a="1"/>
  <c r="V865" i="2" s="1"/>
  <c r="U860" i="2" a="1"/>
  <c r="U860" i="2" s="1"/>
  <c r="V857" i="2" a="1"/>
  <c r="V857" i="2" s="1"/>
  <c r="U852" i="2" a="1"/>
  <c r="U852" i="2" s="1"/>
  <c r="V849" i="2" a="1"/>
  <c r="V849" i="2" s="1"/>
  <c r="U844" i="2" a="1"/>
  <c r="U844" i="2" s="1"/>
  <c r="V841" i="2" a="1"/>
  <c r="V841" i="2" s="1"/>
  <c r="U836" i="2" a="1"/>
  <c r="U836" i="2" s="1"/>
  <c r="V833" i="2" a="1"/>
  <c r="V833" i="2" s="1"/>
  <c r="U828" i="2" a="1"/>
  <c r="U828" i="2" s="1"/>
  <c r="V825" i="2" a="1"/>
  <c r="V825" i="2" s="1"/>
  <c r="U820" i="2" a="1"/>
  <c r="U820" i="2" s="1"/>
  <c r="V817" i="2" a="1"/>
  <c r="V817" i="2" s="1"/>
  <c r="U812" i="2" a="1"/>
  <c r="U812" i="2" s="1"/>
  <c r="V809" i="2" a="1"/>
  <c r="V809" i="2" s="1"/>
  <c r="U804" i="2" a="1"/>
  <c r="U804" i="2" s="1"/>
  <c r="U799" i="2" a="1"/>
  <c r="U799" i="2" s="1"/>
  <c r="V796" i="2" a="1"/>
  <c r="V796" i="2" s="1"/>
  <c r="U791" i="2" a="1"/>
  <c r="U791" i="2" s="1"/>
  <c r="V788" i="2" a="1"/>
  <c r="V788" i="2" s="1"/>
  <c r="U784" i="2" a="1"/>
  <c r="U784" i="2" s="1"/>
  <c r="V781" i="2" a="1"/>
  <c r="V781" i="2" s="1"/>
  <c r="U776" i="2" a="1"/>
  <c r="U776" i="2" s="1"/>
  <c r="V773" i="2" a="1"/>
  <c r="V773" i="2" s="1"/>
  <c r="V1204" i="2" a="1"/>
  <c r="V1204" i="2" s="1"/>
  <c r="V1008" i="2" a="1"/>
  <c r="V1008" i="2" s="1"/>
  <c r="U1012" i="2" a="1"/>
  <c r="U1012" i="2" s="1"/>
  <c r="U1015" i="2" a="1"/>
  <c r="U1015" i="2" s="1"/>
  <c r="V1005" i="2" a="1"/>
  <c r="V1005" i="2" s="1"/>
  <c r="V1004" i="2" a="1"/>
  <c r="V1004" i="2" s="1"/>
  <c r="V1000" i="2" a="1"/>
  <c r="V1000" i="2" s="1"/>
  <c r="U995" i="2" a="1"/>
  <c r="U995" i="2" s="1"/>
  <c r="V992" i="2" a="1"/>
  <c r="V992" i="2" s="1"/>
  <c r="U988" i="2" a="1"/>
  <c r="U988" i="2" s="1"/>
  <c r="U991" i="2" a="1"/>
  <c r="U991" i="2" s="1"/>
  <c r="U983" i="2" a="1"/>
  <c r="U983" i="2" s="1"/>
  <c r="U977" i="2" a="1"/>
  <c r="U977" i="2" s="1"/>
  <c r="V974" i="2" a="1"/>
  <c r="V974" i="2" s="1"/>
  <c r="U969" i="2" a="1"/>
  <c r="U969" i="2" s="1"/>
  <c r="V966" i="2" a="1"/>
  <c r="V966" i="2" s="1"/>
  <c r="U961" i="2" a="1"/>
  <c r="U961" i="2" s="1"/>
  <c r="V958" i="2" a="1"/>
  <c r="V958" i="2" s="1"/>
  <c r="U953" i="2" a="1"/>
  <c r="U953" i="2" s="1"/>
  <c r="V950" i="2" a="1"/>
  <c r="V950" i="2" s="1"/>
  <c r="U945" i="2" a="1"/>
  <c r="U945" i="2" s="1"/>
  <c r="V942" i="2" a="1"/>
  <c r="V942" i="2" s="1"/>
  <c r="U937" i="2" a="1"/>
  <c r="U937" i="2" s="1"/>
  <c r="V934" i="2" a="1"/>
  <c r="V934" i="2" s="1"/>
  <c r="U929" i="2" a="1"/>
  <c r="U929" i="2" s="1"/>
  <c r="V926" i="2" a="1"/>
  <c r="V926" i="2" s="1"/>
  <c r="U921" i="2" a="1"/>
  <c r="U921" i="2" s="1"/>
  <c r="V918" i="2" a="1"/>
  <c r="V918" i="2" s="1"/>
  <c r="U913" i="2" a="1"/>
  <c r="U913" i="2" s="1"/>
  <c r="V910" i="2" a="1"/>
  <c r="V910" i="2" s="1"/>
  <c r="U905" i="2" a="1"/>
  <c r="U905" i="2" s="1"/>
  <c r="V902" i="2" a="1"/>
  <c r="V902" i="2" s="1"/>
  <c r="U897" i="2" a="1"/>
  <c r="U897" i="2" s="1"/>
  <c r="V894" i="2" a="1"/>
  <c r="V894" i="2" s="1"/>
  <c r="U889" i="2" a="1"/>
  <c r="U889" i="2" s="1"/>
  <c r="V886" i="2" a="1"/>
  <c r="V886" i="2" s="1"/>
  <c r="U881" i="2" a="1"/>
  <c r="U881" i="2" s="1"/>
  <c r="V878" i="2" a="1"/>
  <c r="V878" i="2" s="1"/>
  <c r="U873" i="2" a="1"/>
  <c r="U873" i="2" s="1"/>
  <c r="V870" i="2" a="1"/>
  <c r="V870" i="2" s="1"/>
  <c r="U865" i="2" a="1"/>
  <c r="U865" i="2" s="1"/>
  <c r="V862" i="2" a="1"/>
  <c r="V862" i="2" s="1"/>
  <c r="U857" i="2" a="1"/>
  <c r="U857" i="2" s="1"/>
  <c r="V854" i="2" a="1"/>
  <c r="V854" i="2" s="1"/>
  <c r="U849" i="2" a="1"/>
  <c r="U849" i="2" s="1"/>
  <c r="V846" i="2" a="1"/>
  <c r="V846" i="2" s="1"/>
  <c r="U841" i="2" a="1"/>
  <c r="U841" i="2" s="1"/>
  <c r="V838" i="2" a="1"/>
  <c r="V838" i="2" s="1"/>
  <c r="U833" i="2" a="1"/>
  <c r="U833" i="2" s="1"/>
  <c r="V830" i="2" a="1"/>
  <c r="V830" i="2" s="1"/>
  <c r="U825" i="2" a="1"/>
  <c r="U825" i="2" s="1"/>
  <c r="V822" i="2" a="1"/>
  <c r="V822" i="2" s="1"/>
  <c r="U817" i="2" a="1"/>
  <c r="U817" i="2" s="1"/>
  <c r="V814" i="2" a="1"/>
  <c r="V814" i="2" s="1"/>
  <c r="U809" i="2" a="1"/>
  <c r="U809" i="2" s="1"/>
  <c r="V806" i="2" a="1"/>
  <c r="V806" i="2" s="1"/>
  <c r="V801" i="2" a="1"/>
  <c r="V801" i="2" s="1"/>
  <c r="U796" i="2" a="1"/>
  <c r="U796" i="2" s="1"/>
  <c r="V793" i="2" a="1"/>
  <c r="V793" i="2" s="1"/>
  <c r="U788" i="2" a="1"/>
  <c r="U788" i="2" s="1"/>
  <c r="V786" i="2" a="1"/>
  <c r="V786" i="2" s="1"/>
  <c r="U781" i="2" a="1"/>
  <c r="U781" i="2" s="1"/>
  <c r="V778" i="2" a="1"/>
  <c r="V778" i="2" s="1"/>
  <c r="U773" i="2" a="1"/>
  <c r="U773" i="2" s="1"/>
  <c r="V770" i="2" a="1"/>
  <c r="V770" i="2" s="1"/>
  <c r="U664" i="2" a="1"/>
  <c r="U664" i="2" s="1"/>
  <c r="V764" i="2" a="1"/>
  <c r="V764" i="2" s="1"/>
  <c r="U759" i="2" a="1"/>
  <c r="U759" i="2" s="1"/>
  <c r="V756" i="2" a="1"/>
  <c r="V756" i="2" s="1"/>
  <c r="U12" i="2" a="1"/>
  <c r="U12" i="2" s="1"/>
  <c r="U1200" i="2" a="1"/>
  <c r="U1200" i="2" s="1"/>
  <c r="U1190" i="2" a="1"/>
  <c r="U1190" i="2" s="1"/>
  <c r="U1178" i="2" a="1"/>
  <c r="U1178" i="2" s="1"/>
  <c r="U1174" i="2" a="1"/>
  <c r="U1174" i="2" s="1"/>
  <c r="U1163" i="2" a="1"/>
  <c r="U1163" i="2" s="1"/>
  <c r="U1160" i="2" a="1"/>
  <c r="U1160" i="2" s="1"/>
  <c r="U1156" i="2" a="1"/>
  <c r="U1156" i="2" s="1"/>
  <c r="U1140" i="2" a="1"/>
  <c r="U1140" i="2" s="1"/>
  <c r="U1134" i="2" a="1"/>
  <c r="U1134" i="2" s="1"/>
  <c r="U1130" i="2" a="1"/>
  <c r="U1130" i="2" s="1"/>
  <c r="U1120" i="2" a="1"/>
  <c r="U1120" i="2" s="1"/>
  <c r="U1114" i="2" a="1"/>
  <c r="U1114" i="2" s="1"/>
  <c r="U1109" i="2" a="1"/>
  <c r="U1109" i="2" s="1"/>
  <c r="U1087" i="2" a="1"/>
  <c r="U1087" i="2" s="1"/>
  <c r="U1095" i="2" a="1"/>
  <c r="U1095" i="2" s="1"/>
  <c r="U1084" i="2" a="1"/>
  <c r="U1084" i="2" s="1"/>
  <c r="U1072" i="2" a="1"/>
  <c r="U1072" i="2" s="1"/>
  <c r="U1057" i="2" a="1"/>
  <c r="U1057" i="2" s="1"/>
  <c r="U1065" i="2" a="1"/>
  <c r="U1065" i="2" s="1"/>
  <c r="U1047" i="2" a="1"/>
  <c r="U1047" i="2" s="1"/>
  <c r="U1043" i="2" a="1"/>
  <c r="U1043" i="2" s="1"/>
  <c r="U1036" i="2" a="1"/>
  <c r="U1036" i="2" s="1"/>
  <c r="U1027" i="2" a="1"/>
  <c r="U1027" i="2" s="1"/>
  <c r="V1012" i="2" a="1"/>
  <c r="V1012" i="2" s="1"/>
  <c r="U1019" i="2" a="1"/>
  <c r="U1019" i="2" s="1"/>
  <c r="V988" i="2" a="1"/>
  <c r="V988" i="2" s="1"/>
  <c r="V1197" i="2" a="1"/>
  <c r="V1197" i="2" s="1"/>
  <c r="V1193" i="2" a="1"/>
  <c r="V1193" i="2" s="1"/>
  <c r="V1183" i="2" a="1"/>
  <c r="V1183" i="2" s="1"/>
  <c r="V1176" i="2" a="1"/>
  <c r="V1176" i="2" s="1"/>
  <c r="V1170" i="2" a="1"/>
  <c r="V1170" i="2" s="1"/>
  <c r="V1157" i="2" a="1"/>
  <c r="V1157" i="2" s="1"/>
  <c r="V1153" i="2" a="1"/>
  <c r="V1153" i="2" s="1"/>
  <c r="V1146" i="2" a="1"/>
  <c r="V1146" i="2" s="1"/>
  <c r="V1136" i="2" a="1"/>
  <c r="V1136" i="2" s="1"/>
  <c r="V1127" i="2" a="1"/>
  <c r="V1127" i="2" s="1"/>
  <c r="V1123" i="2" a="1"/>
  <c r="V1123" i="2" s="1"/>
  <c r="V1111" i="2" a="1"/>
  <c r="V1111" i="2" s="1"/>
  <c r="V1106" i="2" a="1"/>
  <c r="V1106" i="2" s="1"/>
  <c r="V1100" i="2" a="1"/>
  <c r="V1100" i="2" s="1"/>
  <c r="V1092" i="2" a="1"/>
  <c r="V1092" i="2" s="1"/>
  <c r="V1081" i="2" a="1"/>
  <c r="V1081" i="2" s="1"/>
  <c r="V1069" i="2" a="1"/>
  <c r="V1069" i="2" s="1"/>
  <c r="V1054" i="2" a="1"/>
  <c r="V1054" i="2" s="1"/>
  <c r="V1062" i="2" a="1"/>
  <c r="V1062" i="2" s="1"/>
  <c r="V1051" i="2" a="1"/>
  <c r="V1051" i="2" s="1"/>
  <c r="V1040" i="2" a="1"/>
  <c r="V1040" i="2" s="1"/>
  <c r="V1033" i="2" a="1"/>
  <c r="V1033" i="2" s="1"/>
  <c r="V1024" i="2" a="1"/>
  <c r="V1024" i="2" s="1"/>
  <c r="U1016" i="2" a="1"/>
  <c r="U1016" i="2" s="1"/>
  <c r="V1019" i="2" a="1"/>
  <c r="V1019" i="2" s="1"/>
  <c r="U1006" i="2" a="1"/>
  <c r="U1006" i="2" s="1"/>
  <c r="V1001" i="2" a="1"/>
  <c r="V1001" i="2" s="1"/>
  <c r="U998" i="2" a="1"/>
  <c r="U998" i="2" s="1"/>
  <c r="U996" i="2" a="1"/>
  <c r="U996" i="2" s="1"/>
  <c r="U993" i="2" a="1"/>
  <c r="U993" i="2" s="1"/>
  <c r="V986" i="2" a="1"/>
  <c r="V986" i="2" s="1"/>
  <c r="U979" i="2" a="1"/>
  <c r="U979" i="2" s="1"/>
  <c r="V976" i="2" a="1"/>
  <c r="V976" i="2" s="1"/>
  <c r="U971" i="2" a="1"/>
  <c r="U971" i="2" s="1"/>
  <c r="V968" i="2" a="1"/>
  <c r="V968" i="2" s="1"/>
  <c r="U963" i="2" a="1"/>
  <c r="U963" i="2" s="1"/>
  <c r="V960" i="2" a="1"/>
  <c r="V960" i="2" s="1"/>
  <c r="U955" i="2" a="1"/>
  <c r="U955" i="2" s="1"/>
  <c r="V952" i="2" a="1"/>
  <c r="V952" i="2" s="1"/>
  <c r="U947" i="2" a="1"/>
  <c r="U947" i="2" s="1"/>
  <c r="V944" i="2" a="1"/>
  <c r="V944" i="2" s="1"/>
  <c r="U939" i="2" a="1"/>
  <c r="U939" i="2" s="1"/>
  <c r="V936" i="2" a="1"/>
  <c r="V936" i="2" s="1"/>
  <c r="U931" i="2" a="1"/>
  <c r="U931" i="2" s="1"/>
  <c r="V928" i="2" a="1"/>
  <c r="V928" i="2" s="1"/>
  <c r="U923" i="2" a="1"/>
  <c r="U923" i="2" s="1"/>
  <c r="V920" i="2" a="1"/>
  <c r="V920" i="2" s="1"/>
  <c r="U915" i="2" a="1"/>
  <c r="U915" i="2" s="1"/>
  <c r="V912" i="2" a="1"/>
  <c r="V912" i="2" s="1"/>
  <c r="U907" i="2" a="1"/>
  <c r="U907" i="2" s="1"/>
  <c r="V904" i="2" a="1"/>
  <c r="V904" i="2" s="1"/>
  <c r="U899" i="2" a="1"/>
  <c r="U899" i="2" s="1"/>
  <c r="V896" i="2" a="1"/>
  <c r="V896" i="2" s="1"/>
  <c r="U891" i="2" a="1"/>
  <c r="U891" i="2" s="1"/>
  <c r="V888" i="2" a="1"/>
  <c r="V888" i="2" s="1"/>
  <c r="U883" i="2" a="1"/>
  <c r="U883" i="2" s="1"/>
  <c r="V880" i="2" a="1"/>
  <c r="V880" i="2" s="1"/>
  <c r="U1205" i="2" a="1"/>
  <c r="U1205" i="2" s="1"/>
  <c r="U1201" i="2" a="1"/>
  <c r="U1201" i="2" s="1"/>
  <c r="U1189" i="2" a="1"/>
  <c r="U1189" i="2" s="1"/>
  <c r="U1179" i="2" a="1"/>
  <c r="U1179" i="2" s="1"/>
  <c r="U1172" i="2" a="1"/>
  <c r="U1172" i="2" s="1"/>
  <c r="U1164" i="2" a="1"/>
  <c r="U1164" i="2" s="1"/>
  <c r="U1161" i="2" a="1"/>
  <c r="U1161" i="2" s="1"/>
  <c r="U1149" i="2" a="1"/>
  <c r="U1149" i="2" s="1"/>
  <c r="U1141" i="2" a="1"/>
  <c r="U1141" i="2" s="1"/>
  <c r="U1133" i="2" a="1"/>
  <c r="U1133" i="2" s="1"/>
  <c r="U1131" i="2" a="1"/>
  <c r="U1131" i="2" s="1"/>
  <c r="U1115" i="2" a="1"/>
  <c r="U1115" i="2" s="1"/>
  <c r="U1102" i="2" a="1"/>
  <c r="U1102" i="2" s="1"/>
  <c r="U1096" i="2" a="1"/>
  <c r="U1096" i="2" s="1"/>
  <c r="U1088" i="2" a="1"/>
  <c r="U1088" i="2" s="1"/>
  <c r="U1077" i="2" a="1"/>
  <c r="U1077" i="2" s="1"/>
  <c r="U1085" i="2" a="1"/>
  <c r="U1085" i="2" s="1"/>
  <c r="U1073" i="2" a="1"/>
  <c r="U1073" i="2" s="1"/>
  <c r="U1058" i="2" a="1"/>
  <c r="U1058" i="2" s="1"/>
  <c r="U1052" i="2" a="1"/>
  <c r="U1052" i="2" s="1"/>
  <c r="U1048" i="2" a="1"/>
  <c r="U1048" i="2" s="1"/>
  <c r="U1044" i="2" a="1"/>
  <c r="U1044" i="2" s="1"/>
  <c r="U1020" i="2" a="1"/>
  <c r="U1020" i="2" s="1"/>
  <c r="U1028" i="2" a="1"/>
  <c r="U1028" i="2" s="1"/>
  <c r="V1010" i="2" a="1"/>
  <c r="V1010" i="2" s="1"/>
  <c r="U1013" i="2" a="1"/>
  <c r="U1013" i="2" s="1"/>
  <c r="V1016" i="2" a="1"/>
  <c r="V1016" i="2" s="1"/>
  <c r="V998" i="2" a="1"/>
  <c r="V998" i="2" s="1"/>
  <c r="V996" i="2" a="1"/>
  <c r="V996" i="2" s="1"/>
  <c r="V993" i="2" a="1"/>
  <c r="V993" i="2" s="1"/>
  <c r="U989" i="2" a="1"/>
  <c r="U989" i="2" s="1"/>
  <c r="U981" i="2" a="1"/>
  <c r="U981" i="2" s="1"/>
  <c r="U984" i="2" a="1"/>
  <c r="U984" i="2" s="1"/>
  <c r="U976" i="2" a="1"/>
  <c r="U976" i="2" s="1"/>
  <c r="V973" i="2" a="1"/>
  <c r="V973" i="2" s="1"/>
  <c r="U968" i="2" a="1"/>
  <c r="U968" i="2" s="1"/>
  <c r="V965" i="2" a="1"/>
  <c r="V965" i="2" s="1"/>
  <c r="U960" i="2" a="1"/>
  <c r="U960" i="2" s="1"/>
  <c r="V957" i="2" a="1"/>
  <c r="V957" i="2" s="1"/>
  <c r="U952" i="2" a="1"/>
  <c r="U952" i="2" s="1"/>
  <c r="V949" i="2" a="1"/>
  <c r="V949" i="2" s="1"/>
  <c r="U944" i="2" a="1"/>
  <c r="U944" i="2" s="1"/>
  <c r="V941" i="2" a="1"/>
  <c r="V941" i="2" s="1"/>
  <c r="U936" i="2" a="1"/>
  <c r="U936" i="2" s="1"/>
  <c r="V933" i="2" a="1"/>
  <c r="V933" i="2" s="1"/>
  <c r="U928" i="2" a="1"/>
  <c r="U928" i="2" s="1"/>
  <c r="V925" i="2" a="1"/>
  <c r="V925" i="2" s="1"/>
  <c r="U920" i="2" a="1"/>
  <c r="U920" i="2" s="1"/>
  <c r="V917" i="2" a="1"/>
  <c r="V917" i="2" s="1"/>
  <c r="U912" i="2" a="1"/>
  <c r="U912" i="2" s="1"/>
  <c r="V909" i="2" a="1"/>
  <c r="V909" i="2" s="1"/>
  <c r="U904" i="2" a="1"/>
  <c r="U904" i="2" s="1"/>
  <c r="V901" i="2" a="1"/>
  <c r="V901" i="2" s="1"/>
  <c r="U896" i="2" a="1"/>
  <c r="U896" i="2" s="1"/>
  <c r="V893" i="2" a="1"/>
  <c r="V893" i="2" s="1"/>
  <c r="U888" i="2" a="1"/>
  <c r="U888" i="2" s="1"/>
  <c r="V885" i="2" a="1"/>
  <c r="V885" i="2" s="1"/>
  <c r="U880" i="2" a="1"/>
  <c r="U880" i="2" s="1"/>
  <c r="V877" i="2" a="1"/>
  <c r="V877" i="2" s="1"/>
  <c r="U872" i="2" a="1"/>
  <c r="U872" i="2" s="1"/>
  <c r="V869" i="2" a="1"/>
  <c r="V869" i="2" s="1"/>
  <c r="U864" i="2" a="1"/>
  <c r="U864" i="2" s="1"/>
  <c r="V861" i="2" a="1"/>
  <c r="V861" i="2" s="1"/>
  <c r="U856" i="2" a="1"/>
  <c r="U856" i="2" s="1"/>
  <c r="V853" i="2" a="1"/>
  <c r="V853" i="2" s="1"/>
  <c r="U848" i="2" a="1"/>
  <c r="U848" i="2" s="1"/>
  <c r="V845" i="2" a="1"/>
  <c r="V845" i="2" s="1"/>
  <c r="U840" i="2" a="1"/>
  <c r="U840" i="2" s="1"/>
  <c r="V837" i="2" a="1"/>
  <c r="V837" i="2" s="1"/>
  <c r="U832" i="2" a="1"/>
  <c r="U832" i="2" s="1"/>
  <c r="V829" i="2" a="1"/>
  <c r="V829" i="2" s="1"/>
  <c r="U824" i="2" a="1"/>
  <c r="U824" i="2" s="1"/>
  <c r="U816" i="2" a="1"/>
  <c r="U816" i="2" s="1"/>
  <c r="V813" i="2" a="1"/>
  <c r="V813" i="2" s="1"/>
  <c r="U808" i="2" a="1"/>
  <c r="U808" i="2" s="1"/>
  <c r="V805" i="2" a="1"/>
  <c r="V805" i="2" s="1"/>
  <c r="V800" i="2" a="1"/>
  <c r="V800" i="2" s="1"/>
  <c r="U795" i="2" a="1"/>
  <c r="U795" i="2" s="1"/>
  <c r="V792" i="2" a="1"/>
  <c r="V792" i="2" s="1"/>
  <c r="U787" i="2" a="1"/>
  <c r="U787" i="2" s="1"/>
  <c r="V785" i="2" a="1"/>
  <c r="V785" i="2" s="1"/>
  <c r="U780" i="2" a="1"/>
  <c r="U780" i="2" s="1"/>
  <c r="U1198" i="2" a="1"/>
  <c r="U1198" i="2" s="1"/>
  <c r="U1192" i="2" a="1"/>
  <c r="U1192" i="2" s="1"/>
  <c r="U1184" i="2" a="1"/>
  <c r="U1184" i="2" s="1"/>
  <c r="U1177" i="2" a="1"/>
  <c r="U1177" i="2" s="1"/>
  <c r="U1171" i="2" a="1"/>
  <c r="U1171" i="2" s="1"/>
  <c r="U1158" i="2" a="1"/>
  <c r="U1158" i="2" s="1"/>
  <c r="U1154" i="2" a="1"/>
  <c r="U1154" i="2" s="1"/>
  <c r="U1147" i="2" a="1"/>
  <c r="U1147" i="2" s="1"/>
  <c r="U1137" i="2" a="1"/>
  <c r="U1137" i="2" s="1"/>
  <c r="U1128" i="2" a="1"/>
  <c r="U1128" i="2" s="1"/>
  <c r="U1118" i="2" a="1"/>
  <c r="U1118" i="2" s="1"/>
  <c r="U1112" i="2" a="1"/>
  <c r="U1112" i="2" s="1"/>
  <c r="U1107" i="2" a="1"/>
  <c r="U1107" i="2" s="1"/>
  <c r="U1101" i="2" a="1"/>
  <c r="U1101" i="2" s="1"/>
  <c r="U1093" i="2" a="1"/>
  <c r="U1093" i="2" s="1"/>
  <c r="U1082" i="2" a="1"/>
  <c r="U1082" i="2" s="1"/>
  <c r="U1070" i="2" a="1"/>
  <c r="U1070" i="2" s="1"/>
  <c r="U1055" i="2" a="1"/>
  <c r="U1055" i="2" s="1"/>
  <c r="U1063" i="2" a="1"/>
  <c r="U1063" i="2" s="1"/>
  <c r="U1045" i="2" a="1"/>
  <c r="U1045" i="2" s="1"/>
  <c r="U1041" i="2" a="1"/>
  <c r="U1041" i="2" s="1"/>
  <c r="U1034" i="2" a="1"/>
  <c r="U1034" i="2" s="1"/>
  <c r="U1025" i="2" a="1"/>
  <c r="U1025" i="2" s="1"/>
  <c r="V1013" i="2" a="1"/>
  <c r="V1013" i="2" s="1"/>
  <c r="U1007" i="2" a="1"/>
  <c r="U1007" i="2" s="1"/>
  <c r="U1003" i="2" a="1"/>
  <c r="U1003" i="2" s="1"/>
  <c r="U1002" i="2" a="1"/>
  <c r="U1002" i="2" s="1"/>
  <c r="V989" i="2" a="1"/>
  <c r="V989" i="2" s="1"/>
  <c r="V981" i="2" a="1"/>
  <c r="V981" i="2" s="1"/>
  <c r="V984" i="2" a="1"/>
  <c r="V984" i="2" s="1"/>
  <c r="U987" i="2" a="1"/>
  <c r="U987" i="2" s="1"/>
  <c r="V978" i="2" a="1"/>
  <c r="V978" i="2" s="1"/>
  <c r="U973" i="2" a="1"/>
  <c r="U973" i="2" s="1"/>
  <c r="V970" i="2" a="1"/>
  <c r="V970" i="2" s="1"/>
  <c r="U965" i="2" a="1"/>
  <c r="U965" i="2" s="1"/>
  <c r="V962" i="2" a="1"/>
  <c r="V962" i="2" s="1"/>
  <c r="U957" i="2" a="1"/>
  <c r="U957" i="2" s="1"/>
  <c r="V954" i="2" a="1"/>
  <c r="V954" i="2" s="1"/>
  <c r="U949" i="2" a="1"/>
  <c r="U949" i="2" s="1"/>
  <c r="V946" i="2" a="1"/>
  <c r="V946" i="2" s="1"/>
  <c r="U941" i="2" a="1"/>
  <c r="U941" i="2" s="1"/>
  <c r="V938" i="2" a="1"/>
  <c r="V938" i="2" s="1"/>
  <c r="U933" i="2" a="1"/>
  <c r="U933" i="2" s="1"/>
  <c r="V930" i="2" a="1"/>
  <c r="V930" i="2" s="1"/>
  <c r="U925" i="2" a="1"/>
  <c r="U925" i="2" s="1"/>
  <c r="V922" i="2" a="1"/>
  <c r="V922" i="2" s="1"/>
  <c r="U1206" i="2" a="1"/>
  <c r="U1206" i="2" s="1"/>
  <c r="V1198" i="2" a="1"/>
  <c r="V1198" i="2" s="1"/>
  <c r="U1194" i="2" a="1"/>
  <c r="U1194" i="2" s="1"/>
  <c r="V1192" i="2" a="1"/>
  <c r="V1192" i="2" s="1"/>
  <c r="U1188" i="2" a="1"/>
  <c r="U1188" i="2" s="1"/>
  <c r="V1184" i="2" a="1"/>
  <c r="V1184" i="2" s="1"/>
  <c r="U1180" i="2" a="1"/>
  <c r="U1180" i="2" s="1"/>
  <c r="V1177" i="2" a="1"/>
  <c r="V1177" i="2" s="1"/>
  <c r="U1173" i="2" a="1"/>
  <c r="U1173" i="2" s="1"/>
  <c r="V1171" i="2" a="1"/>
  <c r="V1171" i="2" s="1"/>
  <c r="U1165" i="2" a="1"/>
  <c r="U1165" i="2" s="1"/>
  <c r="V1158" i="2" a="1"/>
  <c r="V1158" i="2" s="1"/>
  <c r="U1150" i="2" a="1"/>
  <c r="U1150" i="2" s="1"/>
  <c r="V1154" i="2" a="1"/>
  <c r="V1154" i="2" s="1"/>
  <c r="U1148" i="2" a="1"/>
  <c r="U1148" i="2" s="1"/>
  <c r="V1147" i="2" a="1"/>
  <c r="V1147" i="2" s="1"/>
  <c r="U1142" i="2" a="1"/>
  <c r="U1142" i="2" s="1"/>
  <c r="V1137" i="2" a="1"/>
  <c r="V1137" i="2" s="1"/>
  <c r="U1132" i="2" a="1"/>
  <c r="U1132" i="2" s="1"/>
  <c r="V1128" i="2" a="1"/>
  <c r="V1128" i="2" s="1"/>
  <c r="U1124" i="2" a="1"/>
  <c r="U1124" i="2" s="1"/>
  <c r="V1118" i="2" a="1"/>
  <c r="V1118" i="2" s="1"/>
  <c r="U1116" i="2" a="1"/>
  <c r="U1116" i="2" s="1"/>
  <c r="V1112" i="2" a="1"/>
  <c r="V1112" i="2" s="1"/>
  <c r="U1103" i="2" a="1"/>
  <c r="U1103" i="2" s="1"/>
  <c r="V1107" i="2" a="1"/>
  <c r="V1107" i="2" s="1"/>
  <c r="U1097" i="2" a="1"/>
  <c r="U1097" i="2" s="1"/>
  <c r="V1101" i="2" a="1"/>
  <c r="V1101" i="2" s="1"/>
  <c r="U1089" i="2" a="1"/>
  <c r="U1089" i="2" s="1"/>
  <c r="V1093" i="2" a="1"/>
  <c r="V1093" i="2" s="1"/>
  <c r="U1078" i="2" a="1"/>
  <c r="U1078" i="2" s="1"/>
  <c r="V1082" i="2" a="1"/>
  <c r="V1082" i="2" s="1"/>
  <c r="U1066" i="2" a="1"/>
  <c r="U1066" i="2" s="1"/>
  <c r="V1070" i="2" a="1"/>
  <c r="V1070" i="2" s="1"/>
  <c r="U1074" i="2" a="1"/>
  <c r="U1074" i="2" s="1"/>
  <c r="V1055" i="2" a="1"/>
  <c r="V1055" i="2" s="1"/>
  <c r="U1059" i="2" a="1"/>
  <c r="U1059" i="2" s="1"/>
  <c r="V1063" i="2" a="1"/>
  <c r="V1063" i="2" s="1"/>
  <c r="U1053" i="2" a="1"/>
  <c r="U1053" i="2" s="1"/>
  <c r="V1045" i="2" a="1"/>
  <c r="V1045" i="2" s="1"/>
  <c r="U1037" i="2" a="1"/>
  <c r="U1037" i="2" s="1"/>
  <c r="V1041" i="2" a="1"/>
  <c r="V1041" i="2" s="1"/>
  <c r="U1030" i="2" a="1"/>
  <c r="U1030" i="2" s="1"/>
  <c r="V1034" i="2" a="1"/>
  <c r="V1034" i="2" s="1"/>
  <c r="U1021" i="2" a="1"/>
  <c r="U1021" i="2" s="1"/>
  <c r="V1025" i="2" a="1"/>
  <c r="V1025" i="2" s="1"/>
  <c r="U1029" i="2" a="1"/>
  <c r="U1029" i="2" s="1"/>
  <c r="U1011" i="2" a="1"/>
  <c r="U1011" i="2" s="1"/>
  <c r="V1017" i="2" a="1"/>
  <c r="V1017" i="2" s="1"/>
  <c r="V1007" i="2" a="1"/>
  <c r="V1007" i="2" s="1"/>
  <c r="V1003" i="2" a="1"/>
  <c r="V1003" i="2" s="1"/>
  <c r="V1002" i="2" a="1"/>
  <c r="V1002" i="2" s="1"/>
  <c r="U999" i="2" a="1"/>
  <c r="U999" i="2" s="1"/>
  <c r="U997" i="2" a="1"/>
  <c r="U997" i="2" s="1"/>
  <c r="U994" i="2" a="1"/>
  <c r="U994" i="2" s="1"/>
  <c r="V987" i="2" a="1"/>
  <c r="V987" i="2" s="1"/>
  <c r="U978" i="2" a="1"/>
  <c r="U978" i="2" s="1"/>
  <c r="V975" i="2" a="1"/>
  <c r="V975" i="2" s="1"/>
  <c r="U970" i="2" a="1"/>
  <c r="U970" i="2" s="1"/>
  <c r="V967" i="2" a="1"/>
  <c r="V967" i="2" s="1"/>
  <c r="U962" i="2" a="1"/>
  <c r="U962" i="2" s="1"/>
  <c r="V959" i="2" a="1"/>
  <c r="V959" i="2" s="1"/>
  <c r="U954" i="2" a="1"/>
  <c r="U954" i="2" s="1"/>
  <c r="V951" i="2" a="1"/>
  <c r="V951" i="2" s="1"/>
  <c r="U946" i="2" a="1"/>
  <c r="U946" i="2" s="1"/>
  <c r="V943" i="2" a="1"/>
  <c r="V943" i="2" s="1"/>
  <c r="U938" i="2" a="1"/>
  <c r="U938" i="2" s="1"/>
  <c r="V935" i="2" a="1"/>
  <c r="V935" i="2" s="1"/>
  <c r="U930" i="2" a="1"/>
  <c r="U930" i="2" s="1"/>
  <c r="V927" i="2" a="1"/>
  <c r="V927" i="2" s="1"/>
  <c r="U922" i="2" a="1"/>
  <c r="U922" i="2" s="1"/>
  <c r="V919" i="2" a="1"/>
  <c r="V919" i="2" s="1"/>
  <c r="U914" i="2" a="1"/>
  <c r="U914" i="2" s="1"/>
  <c r="V911" i="2" a="1"/>
  <c r="V911" i="2" s="1"/>
  <c r="U906" i="2" a="1"/>
  <c r="U906" i="2" s="1"/>
  <c r="V903" i="2" a="1"/>
  <c r="V903" i="2" s="1"/>
  <c r="U898" i="2" a="1"/>
  <c r="U898" i="2" s="1"/>
  <c r="V895" i="2" a="1"/>
  <c r="V895" i="2" s="1"/>
  <c r="U890" i="2" a="1"/>
  <c r="U890" i="2" s="1"/>
  <c r="V887" i="2" a="1"/>
  <c r="V887" i="2" s="1"/>
  <c r="U882" i="2" a="1"/>
  <c r="U882" i="2" s="1"/>
  <c r="V879" i="2" a="1"/>
  <c r="V879" i="2" s="1"/>
  <c r="U874" i="2" a="1"/>
  <c r="U874" i="2" s="1"/>
  <c r="V871" i="2" a="1"/>
  <c r="V871" i="2" s="1"/>
  <c r="U866" i="2" a="1"/>
  <c r="U866" i="2" s="1"/>
  <c r="V863" i="2" a="1"/>
  <c r="V863" i="2" s="1"/>
  <c r="U858" i="2" a="1"/>
  <c r="U858" i="2" s="1"/>
  <c r="V855" i="2" a="1"/>
  <c r="V855" i="2" s="1"/>
  <c r="U850" i="2" a="1"/>
  <c r="U850" i="2" s="1"/>
  <c r="V847" i="2" a="1"/>
  <c r="V847" i="2" s="1"/>
  <c r="U842" i="2" a="1"/>
  <c r="U842" i="2" s="1"/>
  <c r="V839" i="2" a="1"/>
  <c r="V839" i="2" s="1"/>
  <c r="U834" i="2" a="1"/>
  <c r="U834" i="2" s="1"/>
  <c r="V831" i="2" a="1"/>
  <c r="V831" i="2" s="1"/>
  <c r="U826" i="2" a="1"/>
  <c r="U826" i="2" s="1"/>
  <c r="V823" i="2" a="1"/>
  <c r="V823" i="2" s="1"/>
  <c r="U821" i="2" a="1"/>
  <c r="U821" i="2" s="1"/>
  <c r="U818" i="2" a="1"/>
  <c r="U818" i="2" s="1"/>
  <c r="V815" i="2" a="1"/>
  <c r="V815" i="2" s="1"/>
  <c r="U810" i="2" a="1"/>
  <c r="U810" i="2" s="1"/>
  <c r="V807" i="2" a="1"/>
  <c r="V807" i="2" s="1"/>
  <c r="V802" i="2" a="1"/>
  <c r="V802" i="2" s="1"/>
  <c r="V914" i="2" a="1"/>
  <c r="V914" i="2" s="1"/>
  <c r="V898" i="2" a="1"/>
  <c r="V898" i="2" s="1"/>
  <c r="V882" i="2" a="1"/>
  <c r="V882" i="2" s="1"/>
  <c r="V872" i="2" a="1"/>
  <c r="V872" i="2" s="1"/>
  <c r="V867" i="2" a="1"/>
  <c r="V867" i="2" s="1"/>
  <c r="V840" i="2" a="1"/>
  <c r="V840" i="2" s="1"/>
  <c r="V835" i="2" a="1"/>
  <c r="V835" i="2" s="1"/>
  <c r="V808" i="2" a="1"/>
  <c r="V808" i="2" s="1"/>
  <c r="V803" i="2" a="1"/>
  <c r="V803" i="2" s="1"/>
  <c r="V782" i="2" a="1"/>
  <c r="V782" i="2" s="1"/>
  <c r="V775" i="2" a="1"/>
  <c r="V775" i="2" s="1"/>
  <c r="U772" i="2" a="1"/>
  <c r="U772" i="2" s="1"/>
  <c r="U769" i="2" a="1"/>
  <c r="U769" i="2" s="1"/>
  <c r="V680" i="2" a="1"/>
  <c r="V680" i="2" s="1"/>
  <c r="V765" i="2" a="1"/>
  <c r="V765" i="2" s="1"/>
  <c r="V762" i="2" a="1"/>
  <c r="V762" i="2" s="1"/>
  <c r="U750" i="2" a="1"/>
  <c r="U750" i="2" s="1"/>
  <c r="V747" i="2" a="1"/>
  <c r="V747" i="2" s="1"/>
  <c r="U742" i="2" a="1"/>
  <c r="U742" i="2" s="1"/>
  <c r="V739" i="2" a="1"/>
  <c r="V739" i="2" s="1"/>
  <c r="U734" i="2" a="1"/>
  <c r="U734" i="2" s="1"/>
  <c r="V731" i="2" a="1"/>
  <c r="V731" i="2" s="1"/>
  <c r="U726" i="2" a="1"/>
  <c r="U726" i="2" s="1"/>
  <c r="V723" i="2" a="1"/>
  <c r="V723" i="2" s="1"/>
  <c r="U718" i="2" a="1"/>
  <c r="U718" i="2" s="1"/>
  <c r="V715" i="2" a="1"/>
  <c r="V715" i="2" s="1"/>
  <c r="U711" i="2" a="1"/>
  <c r="U711" i="2" s="1"/>
  <c r="V708" i="2" a="1"/>
  <c r="V708" i="2" s="1"/>
  <c r="U704" i="2" a="1"/>
  <c r="U704" i="2" s="1"/>
  <c r="V701" i="2" a="1"/>
  <c r="V701" i="2" s="1"/>
  <c r="U696" i="2" a="1"/>
  <c r="U696" i="2" s="1"/>
  <c r="V693" i="2" a="1"/>
  <c r="V693" i="2" s="1"/>
  <c r="U688" i="2" a="1"/>
  <c r="U688" i="2" s="1"/>
  <c r="V685" i="2" a="1"/>
  <c r="V685" i="2" s="1"/>
  <c r="U682" i="2" a="1"/>
  <c r="U682" i="2" s="1"/>
  <c r="V677" i="2" a="1"/>
  <c r="V677" i="2" s="1"/>
  <c r="U671" i="2" a="1"/>
  <c r="U671" i="2" s="1"/>
  <c r="V668" i="2" a="1"/>
  <c r="V668" i="2" s="1"/>
  <c r="U662" i="2" a="1"/>
  <c r="U662" i="2" s="1"/>
  <c r="U656" i="2" a="1"/>
  <c r="U656" i="2" s="1"/>
  <c r="V653" i="2" a="1"/>
  <c r="V653" i="2" s="1"/>
  <c r="U648" i="2" a="1"/>
  <c r="U648" i="2" s="1"/>
  <c r="V645" i="2" a="1"/>
  <c r="V645" i="2" s="1"/>
  <c r="U640" i="2" a="1"/>
  <c r="U640" i="2" s="1"/>
  <c r="V637" i="2" a="1"/>
  <c r="V637" i="2" s="1"/>
  <c r="U632" i="2" a="1"/>
  <c r="U632" i="2" s="1"/>
  <c r="V629" i="2" a="1"/>
  <c r="V629" i="2" s="1"/>
  <c r="U624" i="2" a="1"/>
  <c r="U624" i="2" s="1"/>
  <c r="V621" i="2" a="1"/>
  <c r="V621" i="2" s="1"/>
  <c r="U616" i="2" a="1"/>
  <c r="U616" i="2" s="1"/>
  <c r="V613" i="2" a="1"/>
  <c r="V613" i="2" s="1"/>
  <c r="U608" i="2" a="1"/>
  <c r="U608" i="2" s="1"/>
  <c r="V605" i="2" a="1"/>
  <c r="V605" i="2" s="1"/>
  <c r="U600" i="2" a="1"/>
  <c r="U600" i="2" s="1"/>
  <c r="V597" i="2" a="1"/>
  <c r="V597" i="2" s="1"/>
  <c r="U592" i="2" a="1"/>
  <c r="U592" i="2" s="1"/>
  <c r="V589" i="2" a="1"/>
  <c r="V589" i="2" s="1"/>
  <c r="U584" i="2" a="1"/>
  <c r="U584" i="2" s="1"/>
  <c r="V581" i="2" a="1"/>
  <c r="V581" i="2" s="1"/>
  <c r="U576" i="2" a="1"/>
  <c r="U576" i="2" s="1"/>
  <c r="V573" i="2" a="1"/>
  <c r="V573" i="2" s="1"/>
  <c r="U568" i="2" a="1"/>
  <c r="U568" i="2" s="1"/>
  <c r="V565" i="2" a="1"/>
  <c r="V565" i="2" s="1"/>
  <c r="V561" i="2" a="1"/>
  <c r="V561" i="2" s="1"/>
  <c r="U554" i="2" a="1"/>
  <c r="U554" i="2" s="1"/>
  <c r="V557" i="2" a="1"/>
  <c r="V557" i="2" s="1"/>
  <c r="V551" i="2" a="1"/>
  <c r="V551" i="2" s="1"/>
  <c r="U546" i="2" a="1"/>
  <c r="U546" i="2" s="1"/>
  <c r="V549" i="2" a="1"/>
  <c r="V549" i="2" s="1"/>
  <c r="U544" i="2" a="1"/>
  <c r="U544" i="2" s="1"/>
  <c r="U540" i="2" a="1"/>
  <c r="U540" i="2" s="1"/>
  <c r="U534" i="2" a="1"/>
  <c r="U534" i="2" s="1"/>
  <c r="U530" i="2" a="1"/>
  <c r="U530" i="2" s="1"/>
  <c r="V523" i="2" a="1"/>
  <c r="V523" i="2" s="1"/>
  <c r="U520" i="2" a="1"/>
  <c r="U520" i="2" s="1"/>
  <c r="V522" i="2" a="1"/>
  <c r="V522" i="2" s="1"/>
  <c r="V963" i="2" a="1"/>
  <c r="V963" i="2" s="1"/>
  <c r="U950" i="2" a="1"/>
  <c r="U950" i="2" s="1"/>
  <c r="V931" i="2" a="1"/>
  <c r="V931" i="2" s="1"/>
  <c r="U918" i="2" a="1"/>
  <c r="U918" i="2" s="1"/>
  <c r="U902" i="2" a="1"/>
  <c r="U902" i="2" s="1"/>
  <c r="U886" i="2" a="1"/>
  <c r="U886" i="2" s="1"/>
  <c r="U867" i="2" a="1"/>
  <c r="U867" i="2" s="1"/>
  <c r="U862" i="2" a="1"/>
  <c r="U862" i="2" s="1"/>
  <c r="V858" i="2" a="1"/>
  <c r="V858" i="2" s="1"/>
  <c r="U853" i="2" a="1"/>
  <c r="U853" i="2" s="1"/>
  <c r="U835" i="2" a="1"/>
  <c r="U835" i="2" s="1"/>
  <c r="U830" i="2" a="1"/>
  <c r="U830" i="2" s="1"/>
  <c r="V826" i="2" a="1"/>
  <c r="V826" i="2" s="1"/>
  <c r="U803" i="2" a="1"/>
  <c r="U803" i="2" s="1"/>
  <c r="V795" i="2" a="1"/>
  <c r="V795" i="2" s="1"/>
  <c r="V791" i="2" a="1"/>
  <c r="V791" i="2" s="1"/>
  <c r="U785" i="2" a="1"/>
  <c r="U785" i="2" s="1"/>
  <c r="U782" i="2" a="1"/>
  <c r="U782" i="2" s="1"/>
  <c r="U778" i="2" a="1"/>
  <c r="U778" i="2" s="1"/>
  <c r="U775" i="2" a="1"/>
  <c r="U775" i="2" s="1"/>
  <c r="U680" i="2" a="1"/>
  <c r="U680" i="2" s="1"/>
  <c r="U765" i="2" a="1"/>
  <c r="U765" i="2" s="1"/>
  <c r="U762" i="2" a="1"/>
  <c r="U762" i="2" s="1"/>
  <c r="V759" i="2" a="1"/>
  <c r="V759" i="2" s="1"/>
  <c r="U756" i="2" a="1"/>
  <c r="U756" i="2" s="1"/>
  <c r="V753" i="2" a="1"/>
  <c r="V753" i="2" s="1"/>
  <c r="V752" i="2" a="1"/>
  <c r="V752" i="2" s="1"/>
  <c r="U747" i="2" a="1"/>
  <c r="U747" i="2" s="1"/>
  <c r="V744" i="2" a="1"/>
  <c r="V744" i="2" s="1"/>
  <c r="U739" i="2" a="1"/>
  <c r="U739" i="2" s="1"/>
  <c r="V736" i="2" a="1"/>
  <c r="V736" i="2" s="1"/>
  <c r="U731" i="2" a="1"/>
  <c r="U731" i="2" s="1"/>
  <c r="V728" i="2" a="1"/>
  <c r="V728" i="2" s="1"/>
  <c r="U723" i="2" a="1"/>
  <c r="U723" i="2" s="1"/>
  <c r="V720" i="2" a="1"/>
  <c r="V720" i="2" s="1"/>
  <c r="U715" i="2" a="1"/>
  <c r="U715" i="2" s="1"/>
  <c r="V713" i="2" a="1"/>
  <c r="V713" i="2" s="1"/>
  <c r="U708" i="2" a="1"/>
  <c r="U708" i="2" s="1"/>
  <c r="V705" i="2" a="1"/>
  <c r="V705" i="2" s="1"/>
  <c r="U701" i="2" a="1"/>
  <c r="U701" i="2" s="1"/>
  <c r="V698" i="2" a="1"/>
  <c r="V698" i="2" s="1"/>
  <c r="U693" i="2" a="1"/>
  <c r="U693" i="2" s="1"/>
  <c r="V690" i="2" a="1"/>
  <c r="V690" i="2" s="1"/>
  <c r="U685" i="2" a="1"/>
  <c r="U685" i="2" s="1"/>
  <c r="U677" i="2" a="1"/>
  <c r="U677" i="2" s="1"/>
  <c r="V673" i="2" a="1"/>
  <c r="V673" i="2" s="1"/>
  <c r="U668" i="2" a="1"/>
  <c r="U668" i="2" s="1"/>
  <c r="V665" i="2" a="1"/>
  <c r="V665" i="2" s="1"/>
  <c r="V658" i="2" a="1"/>
  <c r="V658" i="2" s="1"/>
  <c r="U653" i="2" a="1"/>
  <c r="U653" i="2" s="1"/>
  <c r="V650" i="2" a="1"/>
  <c r="V650" i="2" s="1"/>
  <c r="U645" i="2" a="1"/>
  <c r="U645" i="2" s="1"/>
  <c r="V642" i="2" a="1"/>
  <c r="V642" i="2" s="1"/>
  <c r="U637" i="2" a="1"/>
  <c r="U637" i="2" s="1"/>
  <c r="V634" i="2" a="1"/>
  <c r="V634" i="2" s="1"/>
  <c r="U629" i="2" a="1"/>
  <c r="U629" i="2" s="1"/>
  <c r="V626" i="2" a="1"/>
  <c r="V626" i="2" s="1"/>
  <c r="U621" i="2" a="1"/>
  <c r="U621" i="2" s="1"/>
  <c r="V618" i="2" a="1"/>
  <c r="V618" i="2" s="1"/>
  <c r="U613" i="2" a="1"/>
  <c r="U613" i="2" s="1"/>
  <c r="V610" i="2" a="1"/>
  <c r="V610" i="2" s="1"/>
  <c r="U605" i="2" a="1"/>
  <c r="U605" i="2" s="1"/>
  <c r="V602" i="2" a="1"/>
  <c r="V602" i="2" s="1"/>
  <c r="U597" i="2" a="1"/>
  <c r="U597" i="2" s="1"/>
  <c r="V594" i="2" a="1"/>
  <c r="V594" i="2" s="1"/>
  <c r="U589" i="2" a="1"/>
  <c r="U589" i="2" s="1"/>
  <c r="V586" i="2" a="1"/>
  <c r="V586" i="2" s="1"/>
  <c r="U581" i="2" a="1"/>
  <c r="U581" i="2" s="1"/>
  <c r="V578" i="2" a="1"/>
  <c r="V578" i="2" s="1"/>
  <c r="U573" i="2" a="1"/>
  <c r="U573" i="2" s="1"/>
  <c r="V570" i="2" a="1"/>
  <c r="V570" i="2" s="1"/>
  <c r="U565" i="2" a="1"/>
  <c r="U565" i="2" s="1"/>
  <c r="U559" i="2" a="1"/>
  <c r="U559" i="2" s="1"/>
  <c r="V562" i="2" a="1"/>
  <c r="V562" i="2" s="1"/>
  <c r="U555" i="2" a="1"/>
  <c r="U555" i="2" s="1"/>
  <c r="V558" i="2" a="1"/>
  <c r="V558" i="2" s="1"/>
  <c r="V552" i="2" a="1"/>
  <c r="V552" i="2" s="1"/>
  <c r="U547" i="2" a="1"/>
  <c r="U547" i="2" s="1"/>
  <c r="V550" i="2" a="1"/>
  <c r="V550" i="2" s="1"/>
  <c r="U545" i="2" a="1"/>
  <c r="U545" i="2" s="1"/>
  <c r="U541" i="2" a="1"/>
  <c r="U541" i="2" s="1"/>
  <c r="U535" i="2" a="1"/>
  <c r="U535" i="2" s="1"/>
  <c r="U531" i="2" a="1"/>
  <c r="U531" i="2" s="1"/>
  <c r="V524" i="2" a="1"/>
  <c r="V524" i="2" s="1"/>
  <c r="U521" i="2" a="1"/>
  <c r="U521" i="2" s="1"/>
  <c r="U515" i="2" a="1"/>
  <c r="U515" i="2" s="1"/>
  <c r="V991" i="2" a="1"/>
  <c r="V991" i="2" s="1"/>
  <c r="U986" i="2" a="1"/>
  <c r="U986" i="2" s="1"/>
  <c r="V907" i="2" a="1"/>
  <c r="V907" i="2" s="1"/>
  <c r="V891" i="2" a="1"/>
  <c r="V891" i="2" s="1"/>
  <c r="V875" i="2" a="1"/>
  <c r="V875" i="2" s="1"/>
  <c r="V848" i="2" a="1"/>
  <c r="V848" i="2" s="1"/>
  <c r="V843" i="2" a="1"/>
  <c r="V843" i="2" s="1"/>
  <c r="V821" i="2" a="1"/>
  <c r="V821" i="2" s="1"/>
  <c r="V816" i="2" a="1"/>
  <c r="V816" i="2" s="1"/>
  <c r="V811" i="2" a="1"/>
  <c r="V811" i="2" s="1"/>
  <c r="V798" i="2" a="1"/>
  <c r="V798" i="2" s="1"/>
  <c r="V787" i="2" a="1"/>
  <c r="V787" i="2" s="1"/>
  <c r="V771" i="2" a="1"/>
  <c r="V771" i="2" s="1"/>
  <c r="V768" i="2" a="1"/>
  <c r="V768" i="2" s="1"/>
  <c r="U753" i="2" a="1"/>
  <c r="U753" i="2" s="1"/>
  <c r="U752" i="2" a="1"/>
  <c r="U752" i="2" s="1"/>
  <c r="V749" i="2" a="1"/>
  <c r="V749" i="2" s="1"/>
  <c r="U744" i="2" a="1"/>
  <c r="U744" i="2" s="1"/>
  <c r="V741" i="2" a="1"/>
  <c r="V741" i="2" s="1"/>
  <c r="U736" i="2" a="1"/>
  <c r="U736" i="2" s="1"/>
  <c r="V733" i="2" a="1"/>
  <c r="V733" i="2" s="1"/>
  <c r="U728" i="2" a="1"/>
  <c r="U728" i="2" s="1"/>
  <c r="V725" i="2" a="1"/>
  <c r="V725" i="2" s="1"/>
  <c r="U720" i="2" a="1"/>
  <c r="U720" i="2" s="1"/>
  <c r="V717" i="2" a="1"/>
  <c r="V717" i="2" s="1"/>
  <c r="U713" i="2" a="1"/>
  <c r="U713" i="2" s="1"/>
  <c r="V710" i="2" a="1"/>
  <c r="V710" i="2" s="1"/>
  <c r="U705" i="2" a="1"/>
  <c r="U705" i="2" s="1"/>
  <c r="V703" i="2" a="1"/>
  <c r="V703" i="2" s="1"/>
  <c r="U698" i="2" a="1"/>
  <c r="U698" i="2" s="1"/>
  <c r="V695" i="2" a="1"/>
  <c r="V695" i="2" s="1"/>
  <c r="U690" i="2" a="1"/>
  <c r="U690" i="2" s="1"/>
  <c r="V687" i="2" a="1"/>
  <c r="V687" i="2" s="1"/>
  <c r="V679" i="2" a="1"/>
  <c r="V679" i="2" s="1"/>
  <c r="U673" i="2" a="1"/>
  <c r="U673" i="2" s="1"/>
  <c r="V670" i="2" a="1"/>
  <c r="V670" i="2" s="1"/>
  <c r="U665" i="2" a="1"/>
  <c r="U665" i="2" s="1"/>
  <c r="V661" i="2" a="1"/>
  <c r="V661" i="2" s="1"/>
  <c r="U658" i="2" a="1"/>
  <c r="U658" i="2" s="1"/>
  <c r="V655" i="2" a="1"/>
  <c r="V655" i="2" s="1"/>
  <c r="U650" i="2" a="1"/>
  <c r="U650" i="2" s="1"/>
  <c r="V647" i="2" a="1"/>
  <c r="V647" i="2" s="1"/>
  <c r="U642" i="2" a="1"/>
  <c r="U642" i="2" s="1"/>
  <c r="V639" i="2" a="1"/>
  <c r="V639" i="2" s="1"/>
  <c r="U634" i="2" a="1"/>
  <c r="U634" i="2" s="1"/>
  <c r="V631" i="2" a="1"/>
  <c r="V631" i="2" s="1"/>
  <c r="U626" i="2" a="1"/>
  <c r="U626" i="2" s="1"/>
  <c r="V623" i="2" a="1"/>
  <c r="V623" i="2" s="1"/>
  <c r="U618" i="2" a="1"/>
  <c r="U618" i="2" s="1"/>
  <c r="V615" i="2" a="1"/>
  <c r="V615" i="2" s="1"/>
  <c r="U610" i="2" a="1"/>
  <c r="U610" i="2" s="1"/>
  <c r="V607" i="2" a="1"/>
  <c r="V607" i="2" s="1"/>
  <c r="U602" i="2" a="1"/>
  <c r="U602" i="2" s="1"/>
  <c r="V599" i="2" a="1"/>
  <c r="V599" i="2" s="1"/>
  <c r="U594" i="2" a="1"/>
  <c r="U594" i="2" s="1"/>
  <c r="V591" i="2" a="1"/>
  <c r="V591" i="2" s="1"/>
  <c r="U586" i="2" a="1"/>
  <c r="U586" i="2" s="1"/>
  <c r="V583" i="2" a="1"/>
  <c r="V583" i="2" s="1"/>
  <c r="U578" i="2" a="1"/>
  <c r="U578" i="2" s="1"/>
  <c r="V575" i="2" a="1"/>
  <c r="V575" i="2" s="1"/>
  <c r="U570" i="2" a="1"/>
  <c r="U570" i="2" s="1"/>
  <c r="V567" i="2" a="1"/>
  <c r="V567" i="2" s="1"/>
  <c r="U560" i="2" a="1"/>
  <c r="U560" i="2" s="1"/>
  <c r="V563" i="2" a="1"/>
  <c r="V563" i="2" s="1"/>
  <c r="U556" i="2" a="1"/>
  <c r="U556" i="2" s="1"/>
  <c r="V553" i="2" a="1"/>
  <c r="V553" i="2" s="1"/>
  <c r="U548" i="2" a="1"/>
  <c r="U548" i="2" s="1"/>
  <c r="V542" i="2" a="1"/>
  <c r="V542" i="2" s="1"/>
  <c r="V536" i="2" a="1"/>
  <c r="V536" i="2" s="1"/>
  <c r="V532" i="2" a="1"/>
  <c r="V532" i="2" s="1"/>
  <c r="V528" i="2" a="1"/>
  <c r="V528" i="2" s="1"/>
  <c r="V525" i="2" a="1"/>
  <c r="V525" i="2" s="1"/>
  <c r="U522" i="2" a="1"/>
  <c r="U522" i="2" s="1"/>
  <c r="V510" i="2" a="1"/>
  <c r="V510" i="2" s="1"/>
  <c r="U974" i="2" a="1"/>
  <c r="U974" i="2" s="1"/>
  <c r="V955" i="2" a="1"/>
  <c r="V955" i="2" s="1"/>
  <c r="U942" i="2" a="1"/>
  <c r="U942" i="2" s="1"/>
  <c r="V923" i="2" a="1"/>
  <c r="V923" i="2" s="1"/>
  <c r="U917" i="2" a="1"/>
  <c r="U917" i="2" s="1"/>
  <c r="U901" i="2" a="1"/>
  <c r="U901" i="2" s="1"/>
  <c r="U885" i="2" a="1"/>
  <c r="U885" i="2" s="1"/>
  <c r="U875" i="2" a="1"/>
  <c r="U875" i="2" s="1"/>
  <c r="U870" i="2" a="1"/>
  <c r="U870" i="2" s="1"/>
  <c r="V866" i="2" a="1"/>
  <c r="V866" i="2" s="1"/>
  <c r="U861" i="2" a="1"/>
  <c r="U861" i="2" s="1"/>
  <c r="U843" i="2" a="1"/>
  <c r="U843" i="2" s="1"/>
  <c r="U838" i="2" a="1"/>
  <c r="U838" i="2" s="1"/>
  <c r="V834" i="2" a="1"/>
  <c r="V834" i="2" s="1"/>
  <c r="U829" i="2" a="1"/>
  <c r="U829" i="2" s="1"/>
  <c r="U811" i="2" a="1"/>
  <c r="U811" i="2" s="1"/>
  <c r="U806" i="2" a="1"/>
  <c r="U806" i="2" s="1"/>
  <c r="U798" i="2" a="1"/>
  <c r="U798" i="2" s="1"/>
  <c r="V794" i="2" a="1"/>
  <c r="V794" i="2" s="1"/>
  <c r="V790" i="2" a="1"/>
  <c r="V790" i="2" s="1"/>
  <c r="V784" i="2" a="1"/>
  <c r="V784" i="2" s="1"/>
  <c r="V777" i="2" a="1"/>
  <c r="V777" i="2" s="1"/>
  <c r="V774" i="2" a="1"/>
  <c r="V774" i="2" s="1"/>
  <c r="U771" i="2" a="1"/>
  <c r="U771" i="2" s="1"/>
  <c r="U768" i="2" a="1"/>
  <c r="U768" i="2" s="1"/>
  <c r="V664" i="2" a="1"/>
  <c r="V664" i="2" s="1"/>
  <c r="U764" i="2" a="1"/>
  <c r="U764" i="2" s="1"/>
  <c r="V761" i="2" a="1"/>
  <c r="V761" i="2" s="1"/>
  <c r="V758" i="2" a="1"/>
  <c r="V758" i="2" s="1"/>
  <c r="V755" i="2" a="1"/>
  <c r="V755" i="2" s="1"/>
  <c r="U749" i="2" a="1"/>
  <c r="U749" i="2" s="1"/>
  <c r="V746" i="2" a="1"/>
  <c r="V746" i="2" s="1"/>
  <c r="U741" i="2" a="1"/>
  <c r="U741" i="2" s="1"/>
  <c r="V738" i="2" a="1"/>
  <c r="V738" i="2" s="1"/>
  <c r="U733" i="2" a="1"/>
  <c r="U733" i="2" s="1"/>
  <c r="V730" i="2" a="1"/>
  <c r="V730" i="2" s="1"/>
  <c r="U725" i="2" a="1"/>
  <c r="U725" i="2" s="1"/>
  <c r="V722" i="2" a="1"/>
  <c r="V722" i="2" s="1"/>
  <c r="U717" i="2" a="1"/>
  <c r="U717" i="2" s="1"/>
  <c r="V17" i="2" a="1"/>
  <c r="V17" i="2" s="1"/>
  <c r="U710" i="2" a="1"/>
  <c r="U710" i="2" s="1"/>
  <c r="V707" i="2" a="1"/>
  <c r="V707" i="2" s="1"/>
  <c r="U703" i="2" a="1"/>
  <c r="U703" i="2" s="1"/>
  <c r="V700" i="2" a="1"/>
  <c r="V700" i="2" s="1"/>
  <c r="U695" i="2" a="1"/>
  <c r="U695" i="2" s="1"/>
  <c r="V692" i="2" a="1"/>
  <c r="V692" i="2" s="1"/>
  <c r="U687" i="2" a="1"/>
  <c r="U687" i="2" s="1"/>
  <c r="V684" i="2" a="1"/>
  <c r="V684" i="2" s="1"/>
  <c r="U679" i="2" a="1"/>
  <c r="U679" i="2" s="1"/>
  <c r="V676" i="2" a="1"/>
  <c r="V676" i="2" s="1"/>
  <c r="U670" i="2" a="1"/>
  <c r="U670" i="2" s="1"/>
  <c r="V667" i="2" a="1"/>
  <c r="V667" i="2" s="1"/>
  <c r="U661" i="2" a="1"/>
  <c r="U661" i="2" s="1"/>
  <c r="V660" i="2" a="1"/>
  <c r="V660" i="2" s="1"/>
  <c r="U655" i="2" a="1"/>
  <c r="U655" i="2" s="1"/>
  <c r="V652" i="2" a="1"/>
  <c r="V652" i="2" s="1"/>
  <c r="U647" i="2" a="1"/>
  <c r="U647" i="2" s="1"/>
  <c r="V644" i="2" a="1"/>
  <c r="V644" i="2" s="1"/>
  <c r="U639" i="2" a="1"/>
  <c r="U639" i="2" s="1"/>
  <c r="V636" i="2" a="1"/>
  <c r="V636" i="2" s="1"/>
  <c r="U631" i="2" a="1"/>
  <c r="U631" i="2" s="1"/>
  <c r="V628" i="2" a="1"/>
  <c r="V628" i="2" s="1"/>
  <c r="U623" i="2" a="1"/>
  <c r="U623" i="2" s="1"/>
  <c r="V620" i="2" a="1"/>
  <c r="V620" i="2" s="1"/>
  <c r="U615" i="2" a="1"/>
  <c r="U615" i="2" s="1"/>
  <c r="V612" i="2" a="1"/>
  <c r="V612" i="2" s="1"/>
  <c r="U607" i="2" a="1"/>
  <c r="U607" i="2" s="1"/>
  <c r="V604" i="2" a="1"/>
  <c r="V604" i="2" s="1"/>
  <c r="U599" i="2" a="1"/>
  <c r="U599" i="2" s="1"/>
  <c r="V596" i="2" a="1"/>
  <c r="V596" i="2" s="1"/>
  <c r="U591" i="2" a="1"/>
  <c r="U591" i="2" s="1"/>
  <c r="V588" i="2" a="1"/>
  <c r="V588" i="2" s="1"/>
  <c r="U583" i="2" a="1"/>
  <c r="U583" i="2" s="1"/>
  <c r="V580" i="2" a="1"/>
  <c r="V580" i="2" s="1"/>
  <c r="U575" i="2" a="1"/>
  <c r="U575" i="2" s="1"/>
  <c r="V572" i="2" a="1"/>
  <c r="V572" i="2" s="1"/>
  <c r="U567" i="2" a="1"/>
  <c r="U567" i="2" s="1"/>
  <c r="V564" i="2" a="1"/>
  <c r="V564" i="2" s="1"/>
  <c r="U561" i="2" a="1"/>
  <c r="U561" i="2" s="1"/>
  <c r="U557" i="2" a="1"/>
  <c r="U557" i="2" s="1"/>
  <c r="U549" i="2" a="1"/>
  <c r="U549" i="2" s="1"/>
  <c r="V543" i="2" a="1"/>
  <c r="V543" i="2" s="1"/>
  <c r="V537" i="2" a="1"/>
  <c r="V537" i="2" s="1"/>
  <c r="V906" i="2" a="1"/>
  <c r="V906" i="2" s="1"/>
  <c r="V890" i="2" a="1"/>
  <c r="V890" i="2" s="1"/>
  <c r="V856" i="2" a="1"/>
  <c r="V856" i="2" s="1"/>
  <c r="V851" i="2" a="1"/>
  <c r="V851" i="2" s="1"/>
  <c r="V824" i="2" a="1"/>
  <c r="V824" i="2" s="1"/>
  <c r="V819" i="2" a="1"/>
  <c r="V819" i="2" s="1"/>
  <c r="U790" i="2" a="1"/>
  <c r="U790" i="2" s="1"/>
  <c r="V13" i="2" a="1"/>
  <c r="V13" i="2" s="1"/>
  <c r="V780" i="2" a="1"/>
  <c r="V780" i="2" s="1"/>
  <c r="U777" i="2" a="1"/>
  <c r="U777" i="2" s="1"/>
  <c r="U774" i="2" a="1"/>
  <c r="U774" i="2" s="1"/>
  <c r="U761" i="2" a="1"/>
  <c r="U761" i="2" s="1"/>
  <c r="U758" i="2" a="1"/>
  <c r="U758" i="2" s="1"/>
  <c r="U755" i="2" a="1"/>
  <c r="U755" i="2" s="1"/>
  <c r="V675" i="2" a="1"/>
  <c r="V675" i="2" s="1"/>
  <c r="V751" i="2" a="1"/>
  <c r="V751" i="2" s="1"/>
  <c r="U746" i="2" a="1"/>
  <c r="U746" i="2" s="1"/>
  <c r="V743" i="2" a="1"/>
  <c r="V743" i="2" s="1"/>
  <c r="U738" i="2" a="1"/>
  <c r="U738" i="2" s="1"/>
  <c r="V735" i="2" a="1"/>
  <c r="V735" i="2" s="1"/>
  <c r="U730" i="2" a="1"/>
  <c r="U730" i="2" s="1"/>
  <c r="V727" i="2" a="1"/>
  <c r="V727" i="2" s="1"/>
  <c r="U722" i="2" a="1"/>
  <c r="U722" i="2" s="1"/>
  <c r="V719" i="2" a="1"/>
  <c r="V719" i="2" s="1"/>
  <c r="U17" i="2" a="1"/>
  <c r="U17" i="2" s="1"/>
  <c r="V712" i="2" a="1"/>
  <c r="V712" i="2" s="1"/>
  <c r="U707" i="2" a="1"/>
  <c r="U707" i="2" s="1"/>
  <c r="V681" i="2" a="1"/>
  <c r="V681" i="2" s="1"/>
  <c r="U700" i="2" a="1"/>
  <c r="U700" i="2" s="1"/>
  <c r="V697" i="2" a="1"/>
  <c r="V697" i="2" s="1"/>
  <c r="U692" i="2" a="1"/>
  <c r="U692" i="2" s="1"/>
  <c r="V689" i="2" a="1"/>
  <c r="V689" i="2" s="1"/>
  <c r="U684" i="2" a="1"/>
  <c r="U684" i="2" s="1"/>
  <c r="U676" i="2" a="1"/>
  <c r="U676" i="2" s="1"/>
  <c r="V672" i="2" a="1"/>
  <c r="V672" i="2" s="1"/>
  <c r="U667" i="2" a="1"/>
  <c r="U667" i="2" s="1"/>
  <c r="V663" i="2" a="1"/>
  <c r="V663" i="2" s="1"/>
  <c r="U660" i="2" a="1"/>
  <c r="U660" i="2" s="1"/>
  <c r="V657" i="2" a="1"/>
  <c r="V657" i="2" s="1"/>
  <c r="U652" i="2" a="1"/>
  <c r="U652" i="2" s="1"/>
  <c r="V649" i="2" a="1"/>
  <c r="V649" i="2" s="1"/>
  <c r="U644" i="2" a="1"/>
  <c r="U644" i="2" s="1"/>
  <c r="V641" i="2" a="1"/>
  <c r="V641" i="2" s="1"/>
  <c r="U636" i="2" a="1"/>
  <c r="U636" i="2" s="1"/>
  <c r="V633" i="2" a="1"/>
  <c r="V633" i="2" s="1"/>
  <c r="U628" i="2" a="1"/>
  <c r="U628" i="2" s="1"/>
  <c r="V625" i="2" a="1"/>
  <c r="V625" i="2" s="1"/>
  <c r="U620" i="2" a="1"/>
  <c r="U620" i="2" s="1"/>
  <c r="V617" i="2" a="1"/>
  <c r="V617" i="2" s="1"/>
  <c r="U612" i="2" a="1"/>
  <c r="U612" i="2" s="1"/>
  <c r="V609" i="2" a="1"/>
  <c r="V609" i="2" s="1"/>
  <c r="U604" i="2" a="1"/>
  <c r="U604" i="2" s="1"/>
  <c r="V601" i="2" a="1"/>
  <c r="V601" i="2" s="1"/>
  <c r="U596" i="2" a="1"/>
  <c r="U596" i="2" s="1"/>
  <c r="V593" i="2" a="1"/>
  <c r="V593" i="2" s="1"/>
  <c r="U588" i="2" a="1"/>
  <c r="U588" i="2" s="1"/>
  <c r="V585" i="2" a="1"/>
  <c r="V585" i="2" s="1"/>
  <c r="U580" i="2" a="1"/>
  <c r="U580" i="2" s="1"/>
  <c r="V577" i="2" a="1"/>
  <c r="V577" i="2" s="1"/>
  <c r="U572" i="2" a="1"/>
  <c r="U572" i="2" s="1"/>
  <c r="V569" i="2" a="1"/>
  <c r="V569" i="2" s="1"/>
  <c r="U564" i="2" a="1"/>
  <c r="U564" i="2" s="1"/>
  <c r="U562" i="2" a="1"/>
  <c r="U562" i="2" s="1"/>
  <c r="U558" i="2" a="1"/>
  <c r="U558" i="2" s="1"/>
  <c r="U550" i="2" a="1"/>
  <c r="U550" i="2" s="1"/>
  <c r="V544" i="2" a="1"/>
  <c r="V544" i="2" s="1"/>
  <c r="U536" i="2" a="1"/>
  <c r="U536" i="2" s="1"/>
  <c r="V538" i="2" a="1"/>
  <c r="V538" i="2" s="1"/>
  <c r="V534" i="2" a="1"/>
  <c r="V534" i="2" s="1"/>
  <c r="V530" i="2" a="1"/>
  <c r="V530" i="2" s="1"/>
  <c r="U524" i="2" a="1"/>
  <c r="U524" i="2" s="1"/>
  <c r="V527" i="2" a="1"/>
  <c r="V527" i="2" s="1"/>
  <c r="V518" i="2" a="1"/>
  <c r="V518" i="2" s="1"/>
  <c r="U516" i="2" a="1"/>
  <c r="U516" i="2" s="1"/>
  <c r="U510" i="2" a="1"/>
  <c r="U510" i="2" s="1"/>
  <c r="V512" i="2" a="1"/>
  <c r="V512" i="2" s="1"/>
  <c r="U508" i="2" a="1"/>
  <c r="U508" i="2" s="1"/>
  <c r="V508" i="2" a="1"/>
  <c r="V508" i="2" s="1"/>
  <c r="U500" i="2" a="1"/>
  <c r="U500" i="2" s="1"/>
  <c r="V500" i="2" a="1"/>
  <c r="V500" i="2" s="1"/>
  <c r="V979" i="2" a="1"/>
  <c r="V979" i="2" s="1"/>
  <c r="U966" i="2" a="1"/>
  <c r="U966" i="2" s="1"/>
  <c r="V947" i="2" a="1"/>
  <c r="V947" i="2" s="1"/>
  <c r="U934" i="2" a="1"/>
  <c r="U934" i="2" s="1"/>
  <c r="U910" i="2" a="1"/>
  <c r="U910" i="2" s="1"/>
  <c r="U894" i="2" a="1"/>
  <c r="U894" i="2" s="1"/>
  <c r="U878" i="2" a="1"/>
  <c r="U878" i="2" s="1"/>
  <c r="V874" i="2" a="1"/>
  <c r="V874" i="2" s="1"/>
  <c r="U869" i="2" a="1"/>
  <c r="U869" i="2" s="1"/>
  <c r="U851" i="2" a="1"/>
  <c r="U851" i="2" s="1"/>
  <c r="U846" i="2" a="1"/>
  <c r="U846" i="2" s="1"/>
  <c r="V842" i="2" a="1"/>
  <c r="V842" i="2" s="1"/>
  <c r="U837" i="2" a="1"/>
  <c r="U837" i="2" s="1"/>
  <c r="U819" i="2" a="1"/>
  <c r="U819" i="2" s="1"/>
  <c r="U814" i="2" a="1"/>
  <c r="U814" i="2" s="1"/>
  <c r="V810" i="2" a="1"/>
  <c r="V810" i="2" s="1"/>
  <c r="U805" i="2" a="1"/>
  <c r="U805" i="2" s="1"/>
  <c r="U801" i="2" a="1"/>
  <c r="U801" i="2" s="1"/>
  <c r="V797" i="2" a="1"/>
  <c r="V797" i="2" s="1"/>
  <c r="U793" i="2" a="1"/>
  <c r="U793" i="2" s="1"/>
  <c r="U13" i="2" a="1"/>
  <c r="U13" i="2" s="1"/>
  <c r="V783" i="2" a="1"/>
  <c r="V783" i="2" s="1"/>
  <c r="U770" i="2" a="1"/>
  <c r="U770" i="2" s="1"/>
  <c r="V767" i="2" a="1"/>
  <c r="V767" i="2" s="1"/>
  <c r="V766" i="2" a="1"/>
  <c r="V766" i="2" s="1"/>
  <c r="V763" i="2" a="1"/>
  <c r="V763" i="2" s="1"/>
  <c r="U675" i="2" a="1"/>
  <c r="U675" i="2" s="1"/>
  <c r="U751" i="2" a="1"/>
  <c r="U751" i="2" s="1"/>
  <c r="V748" i="2" a="1"/>
  <c r="V748" i="2" s="1"/>
  <c r="U743" i="2" a="1"/>
  <c r="U743" i="2" s="1"/>
  <c r="V740" i="2" a="1"/>
  <c r="V740" i="2" s="1"/>
  <c r="U735" i="2" a="1"/>
  <c r="U735" i="2" s="1"/>
  <c r="V732" i="2" a="1"/>
  <c r="V732" i="2" s="1"/>
  <c r="U727" i="2" a="1"/>
  <c r="U727" i="2" s="1"/>
  <c r="V724" i="2" a="1"/>
  <c r="V724" i="2" s="1"/>
  <c r="U719" i="2" a="1"/>
  <c r="U719" i="2" s="1"/>
  <c r="V716" i="2" a="1"/>
  <c r="V716" i="2" s="1"/>
  <c r="U712" i="2" a="1"/>
  <c r="U712" i="2" s="1"/>
  <c r="V709" i="2" a="1"/>
  <c r="V709" i="2" s="1"/>
  <c r="U681" i="2" a="1"/>
  <c r="U681" i="2" s="1"/>
  <c r="V702" i="2" a="1"/>
  <c r="V702" i="2" s="1"/>
  <c r="U697" i="2" a="1"/>
  <c r="U697" i="2" s="1"/>
  <c r="V694" i="2" a="1"/>
  <c r="V694" i="2" s="1"/>
  <c r="U689" i="2" a="1"/>
  <c r="U689" i="2" s="1"/>
  <c r="V686" i="2" a="1"/>
  <c r="V686" i="2" s="1"/>
  <c r="V678" i="2" a="1"/>
  <c r="V678" i="2" s="1"/>
  <c r="U672" i="2" a="1"/>
  <c r="U672" i="2" s="1"/>
  <c r="V669" i="2" a="1"/>
  <c r="V669" i="2" s="1"/>
  <c r="U663" i="2" a="1"/>
  <c r="U663" i="2" s="1"/>
  <c r="U657" i="2" a="1"/>
  <c r="U657" i="2" s="1"/>
  <c r="V654" i="2" a="1"/>
  <c r="V654" i="2" s="1"/>
  <c r="U649" i="2" a="1"/>
  <c r="U649" i="2" s="1"/>
  <c r="V646" i="2" a="1"/>
  <c r="V646" i="2" s="1"/>
  <c r="U641" i="2" a="1"/>
  <c r="U641" i="2" s="1"/>
  <c r="V638" i="2" a="1"/>
  <c r="V638" i="2" s="1"/>
  <c r="U633" i="2" a="1"/>
  <c r="U633" i="2" s="1"/>
  <c r="V630" i="2" a="1"/>
  <c r="V630" i="2" s="1"/>
  <c r="U625" i="2" a="1"/>
  <c r="U625" i="2" s="1"/>
  <c r="V622" i="2" a="1"/>
  <c r="V622" i="2" s="1"/>
  <c r="U617" i="2" a="1"/>
  <c r="U617" i="2" s="1"/>
  <c r="V614" i="2" a="1"/>
  <c r="V614" i="2" s="1"/>
  <c r="U609" i="2" a="1"/>
  <c r="U609" i="2" s="1"/>
  <c r="V606" i="2" a="1"/>
  <c r="V606" i="2" s="1"/>
  <c r="U601" i="2" a="1"/>
  <c r="U601" i="2" s="1"/>
  <c r="V598" i="2" a="1"/>
  <c r="V598" i="2" s="1"/>
  <c r="U593" i="2" a="1"/>
  <c r="U593" i="2" s="1"/>
  <c r="V590" i="2" a="1"/>
  <c r="V590" i="2" s="1"/>
  <c r="U585" i="2" a="1"/>
  <c r="U585" i="2" s="1"/>
  <c r="V582" i="2" a="1"/>
  <c r="V582" i="2" s="1"/>
  <c r="U577" i="2" a="1"/>
  <c r="U577" i="2" s="1"/>
  <c r="V574" i="2" a="1"/>
  <c r="V574" i="2" s="1"/>
  <c r="U569" i="2" a="1"/>
  <c r="U569" i="2" s="1"/>
  <c r="V566" i="2" a="1"/>
  <c r="V566" i="2" s="1"/>
  <c r="U563" i="2" a="1"/>
  <c r="U563" i="2" s="1"/>
  <c r="V554" i="2" a="1"/>
  <c r="V554" i="2" s="1"/>
  <c r="U551" i="2" a="1"/>
  <c r="U551" i="2" s="1"/>
  <c r="V546" i="2" a="1"/>
  <c r="V546" i="2" s="1"/>
  <c r="V545" i="2" a="1"/>
  <c r="V545" i="2" s="1"/>
  <c r="U537" i="2" a="1"/>
  <c r="U537" i="2" s="1"/>
  <c r="V539" i="2" a="1"/>
  <c r="V539" i="2" s="1"/>
  <c r="V535" i="2" a="1"/>
  <c r="V535" i="2" s="1"/>
  <c r="V531" i="2" a="1"/>
  <c r="V531" i="2" s="1"/>
  <c r="U525" i="2" a="1"/>
  <c r="U525" i="2" s="1"/>
  <c r="U517" i="2" a="1"/>
  <c r="U517" i="2" s="1"/>
  <c r="V983" i="2" a="1"/>
  <c r="V983" i="2" s="1"/>
  <c r="V915" i="2" a="1"/>
  <c r="V915" i="2" s="1"/>
  <c r="V899" i="2" a="1"/>
  <c r="V899" i="2" s="1"/>
  <c r="V883" i="2" a="1"/>
  <c r="V883" i="2" s="1"/>
  <c r="V864" i="2" a="1"/>
  <c r="V864" i="2" s="1"/>
  <c r="V859" i="2" a="1"/>
  <c r="V859" i="2" s="1"/>
  <c r="V832" i="2" a="1"/>
  <c r="V832" i="2" s="1"/>
  <c r="V827" i="2" a="1"/>
  <c r="V827" i="2" s="1"/>
  <c r="U797" i="2" a="1"/>
  <c r="U797" i="2" s="1"/>
  <c r="V789" i="2" a="1"/>
  <c r="V789" i="2" s="1"/>
  <c r="U783" i="2" a="1"/>
  <c r="U783" i="2" s="1"/>
  <c r="V779" i="2" a="1"/>
  <c r="V779" i="2" s="1"/>
  <c r="V776" i="2" a="1"/>
  <c r="V776" i="2" s="1"/>
  <c r="U767" i="2" a="1"/>
  <c r="U767" i="2" s="1"/>
  <c r="U766" i="2" a="1"/>
  <c r="U766" i="2" s="1"/>
  <c r="U763" i="2" a="1"/>
  <c r="U763" i="2" s="1"/>
  <c r="V760" i="2" a="1"/>
  <c r="V760" i="2" s="1"/>
  <c r="V757" i="2" a="1"/>
  <c r="V757" i="2" s="1"/>
  <c r="V754" i="2" a="1"/>
  <c r="V754" i="2" s="1"/>
  <c r="U748" i="2" a="1"/>
  <c r="U748" i="2" s="1"/>
  <c r="V745" i="2" a="1"/>
  <c r="V745" i="2" s="1"/>
  <c r="U740" i="2" a="1"/>
  <c r="U740" i="2" s="1"/>
  <c r="V737" i="2" a="1"/>
  <c r="V737" i="2" s="1"/>
  <c r="U732" i="2" a="1"/>
  <c r="U732" i="2" s="1"/>
  <c r="V729" i="2" a="1"/>
  <c r="V729" i="2" s="1"/>
  <c r="U724" i="2" a="1"/>
  <c r="U724" i="2" s="1"/>
  <c r="V721" i="2" a="1"/>
  <c r="V721" i="2" s="1"/>
  <c r="U716" i="2" a="1"/>
  <c r="U716" i="2" s="1"/>
  <c r="V714" i="2" a="1"/>
  <c r="V714" i="2" s="1"/>
  <c r="U709" i="2" a="1"/>
  <c r="U709" i="2" s="1"/>
  <c r="V706" i="2" a="1"/>
  <c r="V706" i="2" s="1"/>
  <c r="U702" i="2" a="1"/>
  <c r="U702" i="2" s="1"/>
  <c r="V699" i="2" a="1"/>
  <c r="V699" i="2" s="1"/>
  <c r="U694" i="2" a="1"/>
  <c r="U694" i="2" s="1"/>
  <c r="V691" i="2" a="1"/>
  <c r="V691" i="2" s="1"/>
  <c r="U686" i="2" a="1"/>
  <c r="U686" i="2" s="1"/>
  <c r="V683" i="2" a="1"/>
  <c r="V683" i="2" s="1"/>
  <c r="U678" i="2" a="1"/>
  <c r="U678" i="2" s="1"/>
  <c r="V674" i="2" a="1"/>
  <c r="V674" i="2" s="1"/>
  <c r="U669" i="2" a="1"/>
  <c r="U669" i="2" s="1"/>
  <c r="V666" i="2" a="1"/>
  <c r="V666" i="2" s="1"/>
  <c r="V659" i="2" a="1"/>
  <c r="V659" i="2" s="1"/>
  <c r="U654" i="2" a="1"/>
  <c r="U654" i="2" s="1"/>
  <c r="V651" i="2" a="1"/>
  <c r="V651" i="2" s="1"/>
  <c r="U646" i="2" a="1"/>
  <c r="U646" i="2" s="1"/>
  <c r="V643" i="2" a="1"/>
  <c r="V643" i="2" s="1"/>
  <c r="U638" i="2" a="1"/>
  <c r="U638" i="2" s="1"/>
  <c r="V635" i="2" a="1"/>
  <c r="V635" i="2" s="1"/>
  <c r="U630" i="2" a="1"/>
  <c r="U630" i="2" s="1"/>
  <c r="V627" i="2" a="1"/>
  <c r="V627" i="2" s="1"/>
  <c r="U622" i="2" a="1"/>
  <c r="U622" i="2" s="1"/>
  <c r="V619" i="2" a="1"/>
  <c r="V619" i="2" s="1"/>
  <c r="U614" i="2" a="1"/>
  <c r="U614" i="2" s="1"/>
  <c r="V611" i="2" a="1"/>
  <c r="V611" i="2" s="1"/>
  <c r="U606" i="2" a="1"/>
  <c r="U606" i="2" s="1"/>
  <c r="V603" i="2" a="1"/>
  <c r="V603" i="2" s="1"/>
  <c r="U598" i="2" a="1"/>
  <c r="U598" i="2" s="1"/>
  <c r="V595" i="2" a="1"/>
  <c r="V595" i="2" s="1"/>
  <c r="U590" i="2" a="1"/>
  <c r="U590" i="2" s="1"/>
  <c r="V587" i="2" a="1"/>
  <c r="V587" i="2" s="1"/>
  <c r="U582" i="2" a="1"/>
  <c r="U582" i="2" s="1"/>
  <c r="V579" i="2" a="1"/>
  <c r="V579" i="2" s="1"/>
  <c r="U574" i="2" a="1"/>
  <c r="U574" i="2" s="1"/>
  <c r="V571" i="2" a="1"/>
  <c r="V571" i="2" s="1"/>
  <c r="U566" i="2" a="1"/>
  <c r="U566" i="2" s="1"/>
  <c r="V559" i="2" a="1"/>
  <c r="V559" i="2" s="1"/>
  <c r="V555" i="2" a="1"/>
  <c r="V555" i="2" s="1"/>
  <c r="U552" i="2" a="1"/>
  <c r="U552" i="2" s="1"/>
  <c r="V547" i="2" a="1"/>
  <c r="V547" i="2" s="1"/>
  <c r="U542" i="2" a="1"/>
  <c r="U542" i="2" s="1"/>
  <c r="U538" i="2" a="1"/>
  <c r="U538" i="2" s="1"/>
  <c r="V540" i="2" a="1"/>
  <c r="V540" i="2" s="1"/>
  <c r="U532" i="2" a="1"/>
  <c r="U532" i="2" s="1"/>
  <c r="U528" i="2" a="1"/>
  <c r="U528" i="2" s="1"/>
  <c r="U526" i="2" a="1"/>
  <c r="U526" i="2" s="1"/>
  <c r="U518" i="2" a="1"/>
  <c r="U518" i="2" s="1"/>
  <c r="V520" i="2" a="1"/>
  <c r="V520" i="2" s="1"/>
  <c r="U512" i="2" a="1"/>
  <c r="U512" i="2" s="1"/>
  <c r="V514" i="2" a="1"/>
  <c r="V514" i="2" s="1"/>
  <c r="U502" i="2" a="1"/>
  <c r="U502" i="2" s="1"/>
  <c r="V502" i="2" a="1"/>
  <c r="V502" i="2" s="1"/>
  <c r="U494" i="2" a="1"/>
  <c r="U494" i="2" s="1"/>
  <c r="V494" i="2" a="1"/>
  <c r="V494" i="2" s="1"/>
  <c r="U486" i="2" a="1"/>
  <c r="U486" i="2" s="1"/>
  <c r="V484" i="2" a="1"/>
  <c r="V484" i="2" s="1"/>
  <c r="V492" i="2" a="1"/>
  <c r="V492" i="2" s="1"/>
  <c r="V971" i="2" a="1"/>
  <c r="V971" i="2" s="1"/>
  <c r="U958" i="2" a="1"/>
  <c r="U958" i="2" s="1"/>
  <c r="V939" i="2" a="1"/>
  <c r="V939" i="2" s="1"/>
  <c r="U926" i="2" a="1"/>
  <c r="U926" i="2" s="1"/>
  <c r="U909" i="2" a="1"/>
  <c r="U909" i="2" s="1"/>
  <c r="U893" i="2" a="1"/>
  <c r="U893" i="2" s="1"/>
  <c r="U877" i="2" a="1"/>
  <c r="U877" i="2" s="1"/>
  <c r="U859" i="2" a="1"/>
  <c r="U859" i="2" s="1"/>
  <c r="U854" i="2" a="1"/>
  <c r="U854" i="2" s="1"/>
  <c r="V850" i="2" a="1"/>
  <c r="V850" i="2" s="1"/>
  <c r="U845" i="2" a="1"/>
  <c r="U845" i="2" s="1"/>
  <c r="U827" i="2" a="1"/>
  <c r="U827" i="2" s="1"/>
  <c r="U822" i="2" a="1"/>
  <c r="U822" i="2" s="1"/>
  <c r="V818" i="2" a="1"/>
  <c r="V818" i="2" s="1"/>
  <c r="U813" i="2" a="1"/>
  <c r="U813" i="2" s="1"/>
  <c r="U800" i="2" a="1"/>
  <c r="U800" i="2" s="1"/>
  <c r="U792" i="2" a="1"/>
  <c r="U792" i="2" s="1"/>
  <c r="U789" i="2" a="1"/>
  <c r="U789" i="2" s="1"/>
  <c r="U786" i="2" a="1"/>
  <c r="U786" i="2" s="1"/>
  <c r="U779" i="2" a="1"/>
  <c r="U779" i="2" s="1"/>
  <c r="V772" i="2" a="1"/>
  <c r="V772" i="2" s="1"/>
  <c r="V769" i="2" a="1"/>
  <c r="V769" i="2" s="1"/>
  <c r="U760" i="2" a="1"/>
  <c r="U760" i="2" s="1"/>
  <c r="U757" i="2" a="1"/>
  <c r="U757" i="2" s="1"/>
  <c r="U754" i="2" a="1"/>
  <c r="U754" i="2" s="1"/>
  <c r="V12" i="2" a="1"/>
  <c r="V12" i="2" s="1"/>
  <c r="V750" i="2" a="1"/>
  <c r="V750" i="2" s="1"/>
  <c r="U745" i="2" a="1"/>
  <c r="U745" i="2" s="1"/>
  <c r="V742" i="2" a="1"/>
  <c r="V742" i="2" s="1"/>
  <c r="U737" i="2" a="1"/>
  <c r="U737" i="2" s="1"/>
  <c r="V734" i="2" a="1"/>
  <c r="V734" i="2" s="1"/>
  <c r="U729" i="2" a="1"/>
  <c r="U729" i="2" s="1"/>
  <c r="V726" i="2" a="1"/>
  <c r="V726" i="2" s="1"/>
  <c r="U721" i="2" a="1"/>
  <c r="U721" i="2" s="1"/>
  <c r="V718" i="2" a="1"/>
  <c r="V718" i="2" s="1"/>
  <c r="U714" i="2" a="1"/>
  <c r="U714" i="2" s="1"/>
  <c r="V711" i="2" a="1"/>
  <c r="V711" i="2" s="1"/>
  <c r="U706" i="2" a="1"/>
  <c r="U706" i="2" s="1"/>
  <c r="V704" i="2" a="1"/>
  <c r="V704" i="2" s="1"/>
  <c r="U699" i="2" a="1"/>
  <c r="U699" i="2" s="1"/>
  <c r="V696" i="2" a="1"/>
  <c r="V696" i="2" s="1"/>
  <c r="U691" i="2" a="1"/>
  <c r="U691" i="2" s="1"/>
  <c r="V688" i="2" a="1"/>
  <c r="V688" i="2" s="1"/>
  <c r="U683" i="2" a="1"/>
  <c r="U683" i="2" s="1"/>
  <c r="V682" i="2" a="1"/>
  <c r="V682" i="2" s="1"/>
  <c r="U674" i="2" a="1"/>
  <c r="U674" i="2" s="1"/>
  <c r="V671" i="2" a="1"/>
  <c r="V671" i="2" s="1"/>
  <c r="U666" i="2" a="1"/>
  <c r="U666" i="2" s="1"/>
  <c r="V662" i="2" a="1"/>
  <c r="V662" i="2" s="1"/>
  <c r="U659" i="2" a="1"/>
  <c r="U659" i="2" s="1"/>
  <c r="V656" i="2" a="1"/>
  <c r="V656" i="2" s="1"/>
  <c r="U651" i="2" a="1"/>
  <c r="U651" i="2" s="1"/>
  <c r="V648" i="2" a="1"/>
  <c r="V648" i="2" s="1"/>
  <c r="U643" i="2" a="1"/>
  <c r="U643" i="2" s="1"/>
  <c r="V640" i="2" a="1"/>
  <c r="V640" i="2" s="1"/>
  <c r="U635" i="2" a="1"/>
  <c r="U635" i="2" s="1"/>
  <c r="V632" i="2" a="1"/>
  <c r="V632" i="2" s="1"/>
  <c r="U627" i="2" a="1"/>
  <c r="U627" i="2" s="1"/>
  <c r="V624" i="2" a="1"/>
  <c r="V624" i="2" s="1"/>
  <c r="U619" i="2" a="1"/>
  <c r="U619" i="2" s="1"/>
  <c r="V616" i="2" a="1"/>
  <c r="V616" i="2" s="1"/>
  <c r="U611" i="2" a="1"/>
  <c r="U611" i="2" s="1"/>
  <c r="V608" i="2" a="1"/>
  <c r="V608" i="2" s="1"/>
  <c r="U603" i="2" a="1"/>
  <c r="U603" i="2" s="1"/>
  <c r="V600" i="2" a="1"/>
  <c r="V600" i="2" s="1"/>
  <c r="U595" i="2" a="1"/>
  <c r="U595" i="2" s="1"/>
  <c r="V592" i="2" a="1"/>
  <c r="V592" i="2" s="1"/>
  <c r="U587" i="2" a="1"/>
  <c r="U587" i="2" s="1"/>
  <c r="V584" i="2" a="1"/>
  <c r="V584" i="2" s="1"/>
  <c r="U579" i="2" a="1"/>
  <c r="U579" i="2" s="1"/>
  <c r="V576" i="2" a="1"/>
  <c r="V576" i="2" s="1"/>
  <c r="U571" i="2" a="1"/>
  <c r="U571" i="2" s="1"/>
  <c r="V568" i="2" a="1"/>
  <c r="V568" i="2" s="1"/>
  <c r="V560" i="2" a="1"/>
  <c r="V560" i="2" s="1"/>
  <c r="V556" i="2" a="1"/>
  <c r="V556" i="2" s="1"/>
  <c r="U553" i="2" a="1"/>
  <c r="U553" i="2" s="1"/>
  <c r="V548" i="2" a="1"/>
  <c r="V548" i="2" s="1"/>
  <c r="U543" i="2" a="1"/>
  <c r="U543" i="2" s="1"/>
  <c r="U539" i="2" a="1"/>
  <c r="U539" i="2" s="1"/>
  <c r="V541" i="2" a="1"/>
  <c r="V541" i="2" s="1"/>
  <c r="U533" i="2" a="1"/>
  <c r="U533" i="2" s="1"/>
  <c r="U529" i="2" a="1"/>
  <c r="U529" i="2" s="1"/>
  <c r="U527" i="2" a="1"/>
  <c r="U527" i="2" s="1"/>
  <c r="U519" i="2" a="1"/>
  <c r="U519" i="2" s="1"/>
  <c r="V521" i="2" a="1"/>
  <c r="V521" i="2" s="1"/>
  <c r="U513" i="2" a="1"/>
  <c r="U513" i="2" s="1"/>
  <c r="V515" i="2" a="1"/>
  <c r="V515" i="2" s="1"/>
  <c r="V516" i="2" a="1"/>
  <c r="V516" i="2" s="1"/>
  <c r="U514" i="2" a="1"/>
  <c r="U514" i="2" s="1"/>
  <c r="V504" i="2" a="1"/>
  <c r="V504" i="2" s="1"/>
  <c r="U498" i="2" a="1"/>
  <c r="U498" i="2" s="1"/>
  <c r="V501" i="2" a="1"/>
  <c r="V501" i="2" s="1"/>
  <c r="U485" i="2" a="1"/>
  <c r="U485" i="2" s="1"/>
  <c r="V485" i="2" a="1"/>
  <c r="V485" i="2" s="1"/>
  <c r="U480" i="2" a="1"/>
  <c r="U480" i="2" s="1"/>
  <c r="V478" i="2" a="1"/>
  <c r="V478" i="2" s="1"/>
  <c r="V472" i="2" a="1"/>
  <c r="V472" i="2" s="1"/>
  <c r="U468" i="2" a="1"/>
  <c r="U468" i="2" s="1"/>
  <c r="V461" i="2" a="1"/>
  <c r="V461" i="2" s="1"/>
  <c r="V460" i="2" a="1"/>
  <c r="V460" i="2" s="1"/>
  <c r="U450" i="2" a="1"/>
  <c r="U450" i="2" s="1"/>
  <c r="V447" i="2" a="1"/>
  <c r="V447" i="2" s="1"/>
  <c r="V455" i="2" a="1"/>
  <c r="V455" i="2" s="1"/>
  <c r="U442" i="2" a="1"/>
  <c r="U442" i="2" s="1"/>
  <c r="V441" i="2" a="1"/>
  <c r="V441" i="2" s="1"/>
  <c r="U432" i="2" a="1"/>
  <c r="U432" i="2" s="1"/>
  <c r="V428" i="2" a="1"/>
  <c r="V428" i="2" s="1"/>
  <c r="V436" i="2" a="1"/>
  <c r="V436" i="2" s="1"/>
  <c r="U412" i="2" a="1"/>
  <c r="U412" i="2" s="1"/>
  <c r="U420" i="2" a="1"/>
  <c r="U420" i="2" s="1"/>
  <c r="V414" i="2" a="1"/>
  <c r="V414" i="2" s="1"/>
  <c r="V422" i="2" a="1"/>
  <c r="V422" i="2" s="1"/>
  <c r="U402" i="2" a="1"/>
  <c r="U402" i="2" s="1"/>
  <c r="U410" i="2" a="1"/>
  <c r="U410" i="2" s="1"/>
  <c r="V403" i="2" a="1"/>
  <c r="V403" i="2" s="1"/>
  <c r="U386" i="2" a="1"/>
  <c r="U386" i="2" s="1"/>
  <c r="U394" i="2" a="1"/>
  <c r="U394" i="2" s="1"/>
  <c r="V385" i="2" a="1"/>
  <c r="V385" i="2" s="1"/>
  <c r="V393" i="2" a="1"/>
  <c r="V393" i="2" s="1"/>
  <c r="U372" i="2" a="1"/>
  <c r="U372" i="2" s="1"/>
  <c r="V370" i="2" a="1"/>
  <c r="V370" i="2" s="1"/>
  <c r="V378" i="2" a="1"/>
  <c r="V378" i="2" s="1"/>
  <c r="U362" i="2" a="1"/>
  <c r="U362" i="2" s="1"/>
  <c r="V359" i="2" a="1"/>
  <c r="V359" i="2" s="1"/>
  <c r="V367" i="2" a="1"/>
  <c r="V367" i="2" s="1"/>
  <c r="U354" i="2" a="1"/>
  <c r="U354" i="2" s="1"/>
  <c r="V353" i="2" a="1"/>
  <c r="V353" i="2" s="1"/>
  <c r="U344" i="2" a="1"/>
  <c r="U344" i="2" s="1"/>
  <c r="V344" i="2" a="1"/>
  <c r="V344" i="2" s="1"/>
  <c r="U334" i="2" a="1"/>
  <c r="U334" i="2" s="1"/>
  <c r="V333" i="2" a="1"/>
  <c r="V333" i="2" s="1"/>
  <c r="U322" i="2" a="1"/>
  <c r="U322" i="2" s="1"/>
  <c r="U330" i="2" a="1"/>
  <c r="U330" i="2" s="1"/>
  <c r="V325" i="2" a="1"/>
  <c r="V325" i="2" s="1"/>
  <c r="U310" i="2" a="1"/>
  <c r="U310" i="2" s="1"/>
  <c r="U318" i="2" a="1"/>
  <c r="U318" i="2" s="1"/>
  <c r="V313" i="2" a="1"/>
  <c r="V313" i="2" s="1"/>
  <c r="V292" i="2" a="1"/>
  <c r="V292" i="2" s="1"/>
  <c r="U279" i="2" a="1"/>
  <c r="U279" i="2" s="1"/>
  <c r="V284" i="2" a="1"/>
  <c r="V284" i="2" s="1"/>
  <c r="U287" i="2" a="1"/>
  <c r="U287" i="2" s="1"/>
  <c r="V254" i="2" a="1"/>
  <c r="V254" i="2" s="1"/>
  <c r="U257" i="2" a="1"/>
  <c r="U257" i="2" s="1"/>
  <c r="V262" i="2" a="1"/>
  <c r="V262" i="2" s="1"/>
  <c r="U265" i="2" a="1"/>
  <c r="U265" i="2" s="1"/>
  <c r="V270" i="2" a="1"/>
  <c r="V270" i="2" s="1"/>
  <c r="U273" i="2" a="1"/>
  <c r="U273" i="2" s="1"/>
  <c r="U245" i="2" a="1"/>
  <c r="U245" i="2" s="1"/>
  <c r="U253" i="2" a="1"/>
  <c r="U253" i="2" s="1"/>
  <c r="V250" i="2" a="1"/>
  <c r="V250" i="2" s="1"/>
  <c r="U233" i="2" a="1"/>
  <c r="U233" i="2" s="1"/>
  <c r="U241" i="2" a="1"/>
  <c r="U241" i="2" s="1"/>
  <c r="V234" i="2" a="1"/>
  <c r="V234" i="2" s="1"/>
  <c r="V242" i="2" a="1"/>
  <c r="V242" i="2" s="1"/>
  <c r="V220" i="2" a="1"/>
  <c r="V220" i="2" s="1"/>
  <c r="V212" i="2" a="1"/>
  <c r="V212" i="2" s="1"/>
  <c r="V204" i="2" a="1"/>
  <c r="V204" i="2" s="1"/>
  <c r="V196" i="2" a="1"/>
  <c r="V196" i="2" s="1"/>
  <c r="V188" i="2" a="1"/>
  <c r="V188" i="2" s="1"/>
  <c r="V180" i="2" a="1"/>
  <c r="V180" i="2" s="1"/>
  <c r="V172" i="2" a="1"/>
  <c r="V172" i="2" s="1"/>
  <c r="V164" i="2" a="1"/>
  <c r="V164" i="2" s="1"/>
  <c r="V156" i="2" a="1"/>
  <c r="V156" i="2" s="1"/>
  <c r="V148" i="2" a="1"/>
  <c r="V148" i="2" s="1"/>
  <c r="V140" i="2" a="1"/>
  <c r="V140" i="2" s="1"/>
  <c r="V132" i="2" a="1"/>
  <c r="V132" i="2" s="1"/>
  <c r="V124" i="2" a="1"/>
  <c r="V124" i="2" s="1"/>
  <c r="V116" i="2" a="1"/>
  <c r="V116" i="2" s="1"/>
  <c r="V108" i="2" a="1"/>
  <c r="V108" i="2" s="1"/>
  <c r="V100" i="2" a="1"/>
  <c r="V100" i="2" s="1"/>
  <c r="V92" i="2" a="1"/>
  <c r="V92" i="2" s="1"/>
  <c r="V84" i="2" a="1"/>
  <c r="V84" i="2" s="1"/>
  <c r="U523" i="2" a="1"/>
  <c r="U523" i="2" s="1"/>
  <c r="V511" i="2" a="1"/>
  <c r="V511" i="2" s="1"/>
  <c r="U503" i="2" a="1"/>
  <c r="U503" i="2" s="1"/>
  <c r="V505" i="2" a="1"/>
  <c r="V505" i="2" s="1"/>
  <c r="U499" i="2" a="1"/>
  <c r="U499" i="2" s="1"/>
  <c r="U487" i="2" a="1"/>
  <c r="U487" i="2" s="1"/>
  <c r="V486" i="2" a="1"/>
  <c r="V486" i="2" s="1"/>
  <c r="U481" i="2" a="1"/>
  <c r="U481" i="2" s="1"/>
  <c r="V479" i="2" a="1"/>
  <c r="V479" i="2" s="1"/>
  <c r="V473" i="2" a="1"/>
  <c r="V473" i="2" s="1"/>
  <c r="U469" i="2" a="1"/>
  <c r="U469" i="2" s="1"/>
  <c r="V462" i="2" a="1"/>
  <c r="V462" i="2" s="1"/>
  <c r="U457" i="2" a="1"/>
  <c r="U457" i="2" s="1"/>
  <c r="U451" i="2" a="1"/>
  <c r="U451" i="2" s="1"/>
  <c r="V448" i="2" a="1"/>
  <c r="V448" i="2" s="1"/>
  <c r="V456" i="2" a="1"/>
  <c r="V456" i="2" s="1"/>
  <c r="U443" i="2" a="1"/>
  <c r="U443" i="2" s="1"/>
  <c r="V442" i="2" a="1"/>
  <c r="V442" i="2" s="1"/>
  <c r="U425" i="2" a="1"/>
  <c r="U425" i="2" s="1"/>
  <c r="U433" i="2" a="1"/>
  <c r="U433" i="2" s="1"/>
  <c r="V429" i="2" a="1"/>
  <c r="V429" i="2" s="1"/>
  <c r="U413" i="2" a="1"/>
  <c r="U413" i="2" s="1"/>
  <c r="U421" i="2" a="1"/>
  <c r="U421" i="2" s="1"/>
  <c r="V415" i="2" a="1"/>
  <c r="V415" i="2" s="1"/>
  <c r="V423" i="2" a="1"/>
  <c r="V423" i="2" s="1"/>
  <c r="U403" i="2" a="1"/>
  <c r="U403" i="2" s="1"/>
  <c r="V396" i="2" a="1"/>
  <c r="V396" i="2" s="1"/>
  <c r="V404" i="2" a="1"/>
  <c r="V404" i="2" s="1"/>
  <c r="U379" i="2" a="1"/>
  <c r="U379" i="2" s="1"/>
  <c r="U387" i="2" a="1"/>
  <c r="U387" i="2" s="1"/>
  <c r="U395" i="2" a="1"/>
  <c r="U395" i="2" s="1"/>
  <c r="V386" i="2" a="1"/>
  <c r="V386" i="2" s="1"/>
  <c r="V394" i="2" a="1"/>
  <c r="V394" i="2" s="1"/>
  <c r="U373" i="2" a="1"/>
  <c r="U373" i="2" s="1"/>
  <c r="V371" i="2" a="1"/>
  <c r="V371" i="2" s="1"/>
  <c r="U363" i="2" a="1"/>
  <c r="U363" i="2" s="1"/>
  <c r="V360" i="2" a="1"/>
  <c r="V360" i="2" s="1"/>
  <c r="V368" i="2" a="1"/>
  <c r="V368" i="2" s="1"/>
  <c r="U355" i="2" a="1"/>
  <c r="U355" i="2" s="1"/>
  <c r="V354" i="2" a="1"/>
  <c r="V354" i="2" s="1"/>
  <c r="U345" i="2" a="1"/>
  <c r="U345" i="2" s="1"/>
  <c r="V345" i="2" a="1"/>
  <c r="V345" i="2" s="1"/>
  <c r="U335" i="2" a="1"/>
  <c r="U335" i="2" s="1"/>
  <c r="V334" i="2" a="1"/>
  <c r="V334" i="2" s="1"/>
  <c r="U323" i="2" a="1"/>
  <c r="U323" i="2" s="1"/>
  <c r="U331" i="2" a="1"/>
  <c r="U331" i="2" s="1"/>
  <c r="V326" i="2" a="1"/>
  <c r="V326" i="2" s="1"/>
  <c r="U311" i="2" a="1"/>
  <c r="U311" i="2" s="1"/>
  <c r="V306" i="2" a="1"/>
  <c r="V306" i="2" s="1"/>
  <c r="V314" i="2" a="1"/>
  <c r="V314" i="2" s="1"/>
  <c r="U293" i="2" a="1"/>
  <c r="U293" i="2" s="1"/>
  <c r="V279" i="2" a="1"/>
  <c r="V279" i="2" s="1"/>
  <c r="U282" i="2" a="1"/>
  <c r="U282" i="2" s="1"/>
  <c r="V287" i="2" a="1"/>
  <c r="V287" i="2" s="1"/>
  <c r="U290" i="2" a="1"/>
  <c r="U290" i="2" s="1"/>
  <c r="V257" i="2" a="1"/>
  <c r="V257" i="2" s="1"/>
  <c r="U260" i="2" a="1"/>
  <c r="U260" i="2" s="1"/>
  <c r="V265" i="2" a="1"/>
  <c r="V265" i="2" s="1"/>
  <c r="U268" i="2" a="1"/>
  <c r="U268" i="2" s="1"/>
  <c r="V273" i="2" a="1"/>
  <c r="V273" i="2" s="1"/>
  <c r="U276" i="2" a="1"/>
  <c r="U276" i="2" s="1"/>
  <c r="U246" i="2" a="1"/>
  <c r="U246" i="2" s="1"/>
  <c r="V243" i="2" a="1"/>
  <c r="V243" i="2" s="1"/>
  <c r="V251" i="2" a="1"/>
  <c r="V251" i="2" s="1"/>
  <c r="U234" i="2" a="1"/>
  <c r="U234" i="2" s="1"/>
  <c r="U242" i="2" a="1"/>
  <c r="U242" i="2" s="1"/>
  <c r="V235" i="2" a="1"/>
  <c r="V235" i="2" s="1"/>
  <c r="V227" i="2" a="1"/>
  <c r="V227" i="2" s="1"/>
  <c r="V219" i="2" a="1"/>
  <c r="V219" i="2" s="1"/>
  <c r="V211" i="2" a="1"/>
  <c r="V211" i="2" s="1"/>
  <c r="V203" i="2" a="1"/>
  <c r="V203" i="2" s="1"/>
  <c r="V195" i="2" a="1"/>
  <c r="V195" i="2" s="1"/>
  <c r="V187" i="2" a="1"/>
  <c r="V187" i="2" s="1"/>
  <c r="V179" i="2" a="1"/>
  <c r="V179" i="2" s="1"/>
  <c r="V171" i="2" a="1"/>
  <c r="V171" i="2" s="1"/>
  <c r="V163" i="2" a="1"/>
  <c r="V163" i="2" s="1"/>
  <c r="V155" i="2" a="1"/>
  <c r="V155" i="2" s="1"/>
  <c r="V147" i="2" a="1"/>
  <c r="V147" i="2" s="1"/>
  <c r="V139" i="2" a="1"/>
  <c r="V139" i="2" s="1"/>
  <c r="V131" i="2" a="1"/>
  <c r="V131" i="2" s="1"/>
  <c r="V123" i="2" a="1"/>
  <c r="V123" i="2" s="1"/>
  <c r="V115" i="2" a="1"/>
  <c r="V115" i="2" s="1"/>
  <c r="V107" i="2" a="1"/>
  <c r="V107" i="2" s="1"/>
  <c r="V99" i="2" a="1"/>
  <c r="V99" i="2" s="1"/>
  <c r="V91" i="2" a="1"/>
  <c r="V91" i="2" s="1"/>
  <c r="V83" i="2" a="1"/>
  <c r="V83" i="2" s="1"/>
  <c r="V75" i="2" a="1"/>
  <c r="V75" i="2" s="1"/>
  <c r="V67" i="2" a="1"/>
  <c r="V67" i="2" s="1"/>
  <c r="V59" i="2" a="1"/>
  <c r="V59" i="2" s="1"/>
  <c r="V44" i="2" a="1"/>
  <c r="V44" i="2" s="1"/>
  <c r="V28" i="2" a="1"/>
  <c r="V28" i="2" s="1"/>
  <c r="V20" i="2" a="1"/>
  <c r="V20" i="2" s="1"/>
  <c r="V3" i="2" a="1"/>
  <c r="V3" i="2" s="1"/>
  <c r="U220" i="2" a="1"/>
  <c r="U220" i="2" s="1"/>
  <c r="U212" i="2" a="1"/>
  <c r="U212" i="2" s="1"/>
  <c r="U204" i="2" a="1"/>
  <c r="U204" i="2" s="1"/>
  <c r="U196" i="2" a="1"/>
  <c r="U196" i="2" s="1"/>
  <c r="U188" i="2" a="1"/>
  <c r="U188" i="2" s="1"/>
  <c r="U180" i="2" a="1"/>
  <c r="U180" i="2" s="1"/>
  <c r="U172" i="2" a="1"/>
  <c r="U172" i="2" s="1"/>
  <c r="U164" i="2" a="1"/>
  <c r="U164" i="2" s="1"/>
  <c r="U156" i="2" a="1"/>
  <c r="U156" i="2" s="1"/>
  <c r="U148" i="2" a="1"/>
  <c r="U148" i="2" s="1"/>
  <c r="U140" i="2" a="1"/>
  <c r="U140" i="2" s="1"/>
  <c r="U132" i="2" a="1"/>
  <c r="U132" i="2" s="1"/>
  <c r="U124" i="2" a="1"/>
  <c r="U124" i="2" s="1"/>
  <c r="U116" i="2" a="1"/>
  <c r="U116" i="2" s="1"/>
  <c r="U108" i="2" a="1"/>
  <c r="U108" i="2" s="1"/>
  <c r="U100" i="2" a="1"/>
  <c r="U100" i="2" s="1"/>
  <c r="U92" i="2" a="1"/>
  <c r="U92" i="2" s="1"/>
  <c r="U84" i="2" a="1"/>
  <c r="U84" i="2" s="1"/>
  <c r="U76" i="2" a="1"/>
  <c r="U76" i="2" s="1"/>
  <c r="U68" i="2" a="1"/>
  <c r="U68" i="2" s="1"/>
  <c r="U60" i="2" a="1"/>
  <c r="U60" i="2" s="1"/>
  <c r="U45" i="2" a="1"/>
  <c r="U45" i="2" s="1"/>
  <c r="U37" i="2" a="1"/>
  <c r="U37" i="2" s="1"/>
  <c r="U29" i="2" a="1"/>
  <c r="U29" i="2" s="1"/>
  <c r="U21" i="2" a="1"/>
  <c r="U21" i="2" s="1"/>
  <c r="U11" i="2" a="1"/>
  <c r="U11" i="2" s="1"/>
  <c r="U4" i="2" a="1"/>
  <c r="U4" i="2" s="1"/>
  <c r="V533" i="2" a="1"/>
  <c r="V533" i="2" s="1"/>
  <c r="V526" i="2" a="1"/>
  <c r="V526" i="2" s="1"/>
  <c r="V513" i="2" a="1"/>
  <c r="V513" i="2" s="1"/>
  <c r="U504" i="2" a="1"/>
  <c r="U504" i="2" s="1"/>
  <c r="V506" i="2" a="1"/>
  <c r="V506" i="2" s="1"/>
  <c r="U501" i="2" a="1"/>
  <c r="U501" i="2" s="1"/>
  <c r="U488" i="2" a="1"/>
  <c r="U488" i="2" s="1"/>
  <c r="V487" i="2" a="1"/>
  <c r="V487" i="2" s="1"/>
  <c r="U474" i="2" a="1"/>
  <c r="U474" i="2" s="1"/>
  <c r="U482" i="2" a="1"/>
  <c r="U482" i="2" s="1"/>
  <c r="V480" i="2" a="1"/>
  <c r="V480" i="2" s="1"/>
  <c r="U470" i="2" a="1"/>
  <c r="U470" i="2" s="1"/>
  <c r="V466" i="2" a="1"/>
  <c r="V466" i="2" s="1"/>
  <c r="V463" i="2" a="1"/>
  <c r="V463" i="2" s="1"/>
  <c r="U458" i="2" a="1"/>
  <c r="U458" i="2" s="1"/>
  <c r="U452" i="2" a="1"/>
  <c r="U452" i="2" s="1"/>
  <c r="V449" i="2" a="1"/>
  <c r="V449" i="2" s="1"/>
  <c r="U444" i="2" a="1"/>
  <c r="U444" i="2" s="1"/>
  <c r="V443" i="2" a="1"/>
  <c r="V443" i="2" s="1"/>
  <c r="U426" i="2" a="1"/>
  <c r="U426" i="2" s="1"/>
  <c r="U434" i="2" a="1"/>
  <c r="U434" i="2" s="1"/>
  <c r="V430" i="2" a="1"/>
  <c r="V430" i="2" s="1"/>
  <c r="U414" i="2" a="1"/>
  <c r="U414" i="2" s="1"/>
  <c r="U422" i="2" a="1"/>
  <c r="U422" i="2" s="1"/>
  <c r="V416" i="2" a="1"/>
  <c r="V416" i="2" s="1"/>
  <c r="V424" i="2" a="1"/>
  <c r="V424" i="2" s="1"/>
  <c r="U396" i="2" a="1"/>
  <c r="U396" i="2" s="1"/>
  <c r="U404" i="2" a="1"/>
  <c r="U404" i="2" s="1"/>
  <c r="V397" i="2" a="1"/>
  <c r="V397" i="2" s="1"/>
  <c r="V405" i="2" a="1"/>
  <c r="V405" i="2" s="1"/>
  <c r="U380" i="2" a="1"/>
  <c r="U380" i="2" s="1"/>
  <c r="U388" i="2" a="1"/>
  <c r="U388" i="2" s="1"/>
  <c r="V379" i="2" a="1"/>
  <c r="V379" i="2" s="1"/>
  <c r="V387" i="2" a="1"/>
  <c r="V387" i="2" s="1"/>
  <c r="V395" i="2" a="1"/>
  <c r="V395" i="2" s="1"/>
  <c r="U374" i="2" a="1"/>
  <c r="U374" i="2" s="1"/>
  <c r="V372" i="2" a="1"/>
  <c r="V372" i="2" s="1"/>
  <c r="U364" i="2" a="1"/>
  <c r="U364" i="2" s="1"/>
  <c r="V361" i="2" a="1"/>
  <c r="V361" i="2" s="1"/>
  <c r="U356" i="2" a="1"/>
  <c r="U356" i="2" s="1"/>
  <c r="V355" i="2" a="1"/>
  <c r="V355" i="2" s="1"/>
  <c r="U346" i="2" a="1"/>
  <c r="U346" i="2" s="1"/>
  <c r="V346" i="2" a="1"/>
  <c r="V346" i="2" s="1"/>
  <c r="U336" i="2" a="1"/>
  <c r="U336" i="2" s="1"/>
  <c r="V335" i="2" a="1"/>
  <c r="V335" i="2" s="1"/>
  <c r="U324" i="2" a="1"/>
  <c r="U324" i="2" s="1"/>
  <c r="V319" i="2" a="1"/>
  <c r="V319" i="2" s="1"/>
  <c r="V327" i="2" a="1"/>
  <c r="V327" i="2" s="1"/>
  <c r="U312" i="2" a="1"/>
  <c r="U312" i="2" s="1"/>
  <c r="V307" i="2" a="1"/>
  <c r="V307" i="2" s="1"/>
  <c r="V315" i="2" a="1"/>
  <c r="V315" i="2" s="1"/>
  <c r="V293" i="2" a="1"/>
  <c r="V293" i="2" s="1"/>
  <c r="U277" i="2" a="1"/>
  <c r="U277" i="2" s="1"/>
  <c r="V282" i="2" a="1"/>
  <c r="V282" i="2" s="1"/>
  <c r="U285" i="2" a="1"/>
  <c r="U285" i="2" s="1"/>
  <c r="V290" i="2" a="1"/>
  <c r="V290" i="2" s="1"/>
  <c r="U255" i="2" a="1"/>
  <c r="U255" i="2" s="1"/>
  <c r="V260" i="2" a="1"/>
  <c r="V260" i="2" s="1"/>
  <c r="U263" i="2" a="1"/>
  <c r="U263" i="2" s="1"/>
  <c r="V268" i="2" a="1"/>
  <c r="V268" i="2" s="1"/>
  <c r="U271" i="2" a="1"/>
  <c r="U271" i="2" s="1"/>
  <c r="V276" i="2" a="1"/>
  <c r="V276" i="2" s="1"/>
  <c r="U247" i="2" a="1"/>
  <c r="U247" i="2" s="1"/>
  <c r="V244" i="2" a="1"/>
  <c r="V244" i="2" s="1"/>
  <c r="V252" i="2" a="1"/>
  <c r="V252" i="2" s="1"/>
  <c r="U235" i="2" a="1"/>
  <c r="U235" i="2" s="1"/>
  <c r="V228" i="2" a="1"/>
  <c r="V228" i="2" s="1"/>
  <c r="V236" i="2" a="1"/>
  <c r="V236" i="2" s="1"/>
  <c r="V226" i="2" a="1"/>
  <c r="V226" i="2" s="1"/>
  <c r="V218" i="2" a="1"/>
  <c r="V218" i="2" s="1"/>
  <c r="V210" i="2" a="1"/>
  <c r="V210" i="2" s="1"/>
  <c r="V202" i="2" a="1"/>
  <c r="V202" i="2" s="1"/>
  <c r="V194" i="2" a="1"/>
  <c r="V194" i="2" s="1"/>
  <c r="V186" i="2" a="1"/>
  <c r="V186" i="2" s="1"/>
  <c r="V178" i="2" a="1"/>
  <c r="V178" i="2" s="1"/>
  <c r="V170" i="2" a="1"/>
  <c r="V170" i="2" s="1"/>
  <c r="V162" i="2" a="1"/>
  <c r="V162" i="2" s="1"/>
  <c r="V154" i="2" a="1"/>
  <c r="V154" i="2" s="1"/>
  <c r="V146" i="2" a="1"/>
  <c r="V146" i="2" s="1"/>
  <c r="V138" i="2" a="1"/>
  <c r="V138" i="2" s="1"/>
  <c r="V130" i="2" a="1"/>
  <c r="V130" i="2" s="1"/>
  <c r="V122" i="2" a="1"/>
  <c r="V122" i="2" s="1"/>
  <c r="V114" i="2" a="1"/>
  <c r="V114" i="2" s="1"/>
  <c r="V106" i="2" a="1"/>
  <c r="V106" i="2" s="1"/>
  <c r="V98" i="2" a="1"/>
  <c r="V98" i="2" s="1"/>
  <c r="V90" i="2" a="1"/>
  <c r="V90" i="2" s="1"/>
  <c r="V82" i="2" a="1"/>
  <c r="V82" i="2" s="1"/>
  <c r="V74" i="2" a="1"/>
  <c r="V74" i="2" s="1"/>
  <c r="V66" i="2" a="1"/>
  <c r="V66" i="2" s="1"/>
  <c r="V58" i="2" a="1"/>
  <c r="V58" i="2" s="1"/>
  <c r="V50" i="2" a="1"/>
  <c r="V50" i="2" s="1"/>
  <c r="V43" i="2" a="1"/>
  <c r="V43" i="2" s="1"/>
  <c r="V35" i="2" a="1"/>
  <c r="V35" i="2" s="1"/>
  <c r="V27" i="2" a="1"/>
  <c r="V27" i="2" s="1"/>
  <c r="V19" i="2" a="1"/>
  <c r="V19" i="2" s="1"/>
  <c r="V10" i="2" a="1"/>
  <c r="V10" i="2" s="1"/>
  <c r="U227" i="2" a="1"/>
  <c r="U227" i="2" s="1"/>
  <c r="U219" i="2" a="1"/>
  <c r="U219" i="2" s="1"/>
  <c r="U211" i="2" a="1"/>
  <c r="U211" i="2" s="1"/>
  <c r="U203" i="2" a="1"/>
  <c r="U203" i="2" s="1"/>
  <c r="U195" i="2" a="1"/>
  <c r="U195" i="2" s="1"/>
  <c r="U187" i="2" a="1"/>
  <c r="U187" i="2" s="1"/>
  <c r="U179" i="2" a="1"/>
  <c r="U179" i="2" s="1"/>
  <c r="U171" i="2" a="1"/>
  <c r="U171" i="2" s="1"/>
  <c r="U163" i="2" a="1"/>
  <c r="U163" i="2" s="1"/>
  <c r="U155" i="2" a="1"/>
  <c r="U155" i="2" s="1"/>
  <c r="U147" i="2" a="1"/>
  <c r="U147" i="2" s="1"/>
  <c r="U139" i="2" a="1"/>
  <c r="U139" i="2" s="1"/>
  <c r="U131" i="2" a="1"/>
  <c r="U131" i="2" s="1"/>
  <c r="U123" i="2" a="1"/>
  <c r="U123" i="2" s="1"/>
  <c r="U115" i="2" a="1"/>
  <c r="U115" i="2" s="1"/>
  <c r="U107" i="2" a="1"/>
  <c r="U107" i="2" s="1"/>
  <c r="U99" i="2" a="1"/>
  <c r="U99" i="2" s="1"/>
  <c r="U91" i="2" a="1"/>
  <c r="U91" i="2" s="1"/>
  <c r="U83" i="2" a="1"/>
  <c r="U83" i="2" s="1"/>
  <c r="U75" i="2" a="1"/>
  <c r="U75" i="2" s="1"/>
  <c r="U67" i="2" a="1"/>
  <c r="U67" i="2" s="1"/>
  <c r="U59" i="2" a="1"/>
  <c r="U59" i="2" s="1"/>
  <c r="U44" i="2" a="1"/>
  <c r="U44" i="2" s="1"/>
  <c r="U28" i="2" a="1"/>
  <c r="U28" i="2" s="1"/>
  <c r="U20" i="2" a="1"/>
  <c r="U20" i="2" s="1"/>
  <c r="U3" i="2" a="1"/>
  <c r="U3" i="2" s="1"/>
  <c r="V529" i="2" a="1"/>
  <c r="V529" i="2" s="1"/>
  <c r="V517" i="2" a="1"/>
  <c r="V517" i="2" s="1"/>
  <c r="U505" i="2" a="1"/>
  <c r="U505" i="2" s="1"/>
  <c r="V507" i="2" a="1"/>
  <c r="V507" i="2" s="1"/>
  <c r="V495" i="2" a="1"/>
  <c r="V495" i="2" s="1"/>
  <c r="U489" i="2" a="1"/>
  <c r="U489" i="2" s="1"/>
  <c r="V488" i="2" a="1"/>
  <c r="V488" i="2" s="1"/>
  <c r="U475" i="2" a="1"/>
  <c r="U475" i="2" s="1"/>
  <c r="U483" i="2" a="1"/>
  <c r="U483" i="2" s="1"/>
  <c r="V481" i="2" a="1"/>
  <c r="V481" i="2" s="1"/>
  <c r="U471" i="2" a="1"/>
  <c r="U471" i="2" s="1"/>
  <c r="V467" i="2" a="1"/>
  <c r="V467" i="2" s="1"/>
  <c r="U461" i="2" a="1"/>
  <c r="U461" i="2" s="1"/>
  <c r="V464" i="2" a="1"/>
  <c r="V464" i="2" s="1"/>
  <c r="U459" i="2" a="1"/>
  <c r="U459" i="2" s="1"/>
  <c r="U453" i="2" a="1"/>
  <c r="U453" i="2" s="1"/>
  <c r="V450" i="2" a="1"/>
  <c r="V450" i="2" s="1"/>
  <c r="U437" i="2" a="1"/>
  <c r="U437" i="2" s="1"/>
  <c r="U445" i="2" a="1"/>
  <c r="U445" i="2" s="1"/>
  <c r="V444" i="2" a="1"/>
  <c r="V444" i="2" s="1"/>
  <c r="U427" i="2" a="1"/>
  <c r="U427" i="2" s="1"/>
  <c r="U435" i="2" a="1"/>
  <c r="U435" i="2" s="1"/>
  <c r="V431" i="2" a="1"/>
  <c r="V431" i="2" s="1"/>
  <c r="U415" i="2" a="1"/>
  <c r="U415" i="2" s="1"/>
  <c r="U423" i="2" a="1"/>
  <c r="U423" i="2" s="1"/>
  <c r="V417" i="2" a="1"/>
  <c r="V417" i="2" s="1"/>
  <c r="U397" i="2" a="1"/>
  <c r="U397" i="2" s="1"/>
  <c r="U405" i="2" a="1"/>
  <c r="U405" i="2" s="1"/>
  <c r="V398" i="2" a="1"/>
  <c r="V398" i="2" s="1"/>
  <c r="V406" i="2" a="1"/>
  <c r="V406" i="2" s="1"/>
  <c r="U381" i="2" a="1"/>
  <c r="U381" i="2" s="1"/>
  <c r="U389" i="2" a="1"/>
  <c r="U389" i="2" s="1"/>
  <c r="V380" i="2" a="1"/>
  <c r="V380" i="2" s="1"/>
  <c r="V388" i="2" a="1"/>
  <c r="V388" i="2" s="1"/>
  <c r="U375" i="2" a="1"/>
  <c r="U375" i="2" s="1"/>
  <c r="V373" i="2" a="1"/>
  <c r="V373" i="2" s="1"/>
  <c r="U365" i="2" a="1"/>
  <c r="U365" i="2" s="1"/>
  <c r="V362" i="2" a="1"/>
  <c r="V362" i="2" s="1"/>
  <c r="U349" i="2" a="1"/>
  <c r="U349" i="2" s="1"/>
  <c r="U357" i="2" a="1"/>
  <c r="U357" i="2" s="1"/>
  <c r="V356" i="2" a="1"/>
  <c r="V356" i="2" s="1"/>
  <c r="U347" i="2" a="1"/>
  <c r="U347" i="2" s="1"/>
  <c r="V347" i="2" a="1"/>
  <c r="V347" i="2" s="1"/>
  <c r="U337" i="2" a="1"/>
  <c r="U337" i="2" s="1"/>
  <c r="V336" i="2" a="1"/>
  <c r="V336" i="2" s="1"/>
  <c r="U325" i="2" a="1"/>
  <c r="U325" i="2" s="1"/>
  <c r="V320" i="2" a="1"/>
  <c r="V320" i="2" s="1"/>
  <c r="V328" i="2" a="1"/>
  <c r="V328" i="2" s="1"/>
  <c r="U313" i="2" a="1"/>
  <c r="U313" i="2" s="1"/>
  <c r="V308" i="2" a="1"/>
  <c r="V308" i="2" s="1"/>
  <c r="V316" i="2" a="1"/>
  <c r="V316" i="2" s="1"/>
  <c r="U295" i="2" a="1"/>
  <c r="U295" i="2" s="1"/>
  <c r="V277" i="2" a="1"/>
  <c r="V277" i="2" s="1"/>
  <c r="U280" i="2" a="1"/>
  <c r="U280" i="2" s="1"/>
  <c r="V285" i="2" a="1"/>
  <c r="V285" i="2" s="1"/>
  <c r="U288" i="2" a="1"/>
  <c r="U288" i="2" s="1"/>
  <c r="V255" i="2" a="1"/>
  <c r="V255" i="2" s="1"/>
  <c r="U258" i="2" a="1"/>
  <c r="U258" i="2" s="1"/>
  <c r="V263" i="2" a="1"/>
  <c r="V263" i="2" s="1"/>
  <c r="U266" i="2" a="1"/>
  <c r="U266" i="2" s="1"/>
  <c r="V271" i="2" a="1"/>
  <c r="V271" i="2" s="1"/>
  <c r="U274" i="2" a="1"/>
  <c r="U274" i="2" s="1"/>
  <c r="U248" i="2" a="1"/>
  <c r="U248" i="2" s="1"/>
  <c r="V245" i="2" a="1"/>
  <c r="V245" i="2" s="1"/>
  <c r="V253" i="2" a="1"/>
  <c r="V253" i="2" s="1"/>
  <c r="U228" i="2" a="1"/>
  <c r="U228" i="2" s="1"/>
  <c r="U236" i="2" a="1"/>
  <c r="U236" i="2" s="1"/>
  <c r="V229" i="2" a="1"/>
  <c r="V229" i="2" s="1"/>
  <c r="V237" i="2" a="1"/>
  <c r="V237" i="2" s="1"/>
  <c r="V225" i="2" a="1"/>
  <c r="V225" i="2" s="1"/>
  <c r="V217" i="2" a="1"/>
  <c r="V217" i="2" s="1"/>
  <c r="V209" i="2" a="1"/>
  <c r="V209" i="2" s="1"/>
  <c r="V201" i="2" a="1"/>
  <c r="V201" i="2" s="1"/>
  <c r="V193" i="2" a="1"/>
  <c r="V193" i="2" s="1"/>
  <c r="V185" i="2" a="1"/>
  <c r="V185" i="2" s="1"/>
  <c r="V177" i="2" a="1"/>
  <c r="V177" i="2" s="1"/>
  <c r="V169" i="2" a="1"/>
  <c r="V169" i="2" s="1"/>
  <c r="V161" i="2" a="1"/>
  <c r="V161" i="2" s="1"/>
  <c r="V153" i="2" a="1"/>
  <c r="V153" i="2" s="1"/>
  <c r="V145" i="2" a="1"/>
  <c r="V145" i="2" s="1"/>
  <c r="V137" i="2" a="1"/>
  <c r="V137" i="2" s="1"/>
  <c r="V129" i="2" a="1"/>
  <c r="V129" i="2" s="1"/>
  <c r="V121" i="2" a="1"/>
  <c r="V121" i="2" s="1"/>
  <c r="V113" i="2" a="1"/>
  <c r="V113" i="2" s="1"/>
  <c r="V105" i="2" a="1"/>
  <c r="V105" i="2" s="1"/>
  <c r="V97" i="2" a="1"/>
  <c r="V97" i="2" s="1"/>
  <c r="V89" i="2" a="1"/>
  <c r="V89" i="2" s="1"/>
  <c r="V81" i="2" a="1"/>
  <c r="V81" i="2" s="1"/>
  <c r="V73" i="2" a="1"/>
  <c r="V73" i="2" s="1"/>
  <c r="V65" i="2" a="1"/>
  <c r="V65" i="2" s="1"/>
  <c r="V57" i="2" a="1"/>
  <c r="V57" i="2" s="1"/>
  <c r="V42" i="2" a="1"/>
  <c r="V42" i="2" s="1"/>
  <c r="V34" i="2" a="1"/>
  <c r="V34" i="2" s="1"/>
  <c r="V26" i="2" a="1"/>
  <c r="V26" i="2" s="1"/>
  <c r="V18" i="2" a="1"/>
  <c r="V18" i="2" s="1"/>
  <c r="V9" i="2" a="1"/>
  <c r="V9" i="2" s="1"/>
  <c r="U226" i="2" a="1"/>
  <c r="U226" i="2" s="1"/>
  <c r="U218" i="2" a="1"/>
  <c r="U218" i="2" s="1"/>
  <c r="U210" i="2" a="1"/>
  <c r="U210" i="2" s="1"/>
  <c r="U202" i="2" a="1"/>
  <c r="U202" i="2" s="1"/>
  <c r="U194" i="2" a="1"/>
  <c r="U194" i="2" s="1"/>
  <c r="U186" i="2" a="1"/>
  <c r="U186" i="2" s="1"/>
  <c r="U178" i="2" a="1"/>
  <c r="U178" i="2" s="1"/>
  <c r="U170" i="2" a="1"/>
  <c r="U170" i="2" s="1"/>
  <c r="U162" i="2" a="1"/>
  <c r="U162" i="2" s="1"/>
  <c r="U154" i="2" a="1"/>
  <c r="U154" i="2" s="1"/>
  <c r="U146" i="2" a="1"/>
  <c r="U146" i="2" s="1"/>
  <c r="U138" i="2" a="1"/>
  <c r="U138" i="2" s="1"/>
  <c r="U130" i="2" a="1"/>
  <c r="U130" i="2" s="1"/>
  <c r="U122" i="2" a="1"/>
  <c r="U122" i="2" s="1"/>
  <c r="U114" i="2" a="1"/>
  <c r="U114" i="2" s="1"/>
  <c r="U106" i="2" a="1"/>
  <c r="U106" i="2" s="1"/>
  <c r="U98" i="2" a="1"/>
  <c r="U98" i="2" s="1"/>
  <c r="U90" i="2" a="1"/>
  <c r="U90" i="2" s="1"/>
  <c r="U82" i="2" a="1"/>
  <c r="U82" i="2" s="1"/>
  <c r="U74" i="2" a="1"/>
  <c r="U74" i="2" s="1"/>
  <c r="U66" i="2" a="1"/>
  <c r="U66" i="2" s="1"/>
  <c r="U58" i="2" a="1"/>
  <c r="U58" i="2" s="1"/>
  <c r="U50" i="2" a="1"/>
  <c r="U50" i="2" s="1"/>
  <c r="U43" i="2" a="1"/>
  <c r="U43" i="2" s="1"/>
  <c r="U35" i="2" a="1"/>
  <c r="U35" i="2" s="1"/>
  <c r="U27" i="2" a="1"/>
  <c r="U27" i="2" s="1"/>
  <c r="U19" i="2" a="1"/>
  <c r="U19" i="2" s="1"/>
  <c r="U10" i="2" a="1"/>
  <c r="U10" i="2" s="1"/>
  <c r="V2" i="2" a="1"/>
  <c r="V2" i="2" s="1"/>
  <c r="V519" i="2" a="1"/>
  <c r="V519" i="2" s="1"/>
  <c r="U506" i="2" a="1"/>
  <c r="U506" i="2" s="1"/>
  <c r="V509" i="2" a="1"/>
  <c r="V509" i="2" s="1"/>
  <c r="V496" i="2" a="1"/>
  <c r="V496" i="2" s="1"/>
  <c r="U490" i="2" a="1"/>
  <c r="U490" i="2" s="1"/>
  <c r="V489" i="2" a="1"/>
  <c r="V489" i="2" s="1"/>
  <c r="U476" i="2" a="1"/>
  <c r="U476" i="2" s="1"/>
  <c r="V474" i="2" a="1"/>
  <c r="V474" i="2" s="1"/>
  <c r="V482" i="2" a="1"/>
  <c r="V482" i="2" s="1"/>
  <c r="U472" i="2" a="1"/>
  <c r="U472" i="2" s="1"/>
  <c r="V468" i="2" a="1"/>
  <c r="V468" i="2" s="1"/>
  <c r="U462" i="2" a="1"/>
  <c r="U462" i="2" s="1"/>
  <c r="V465" i="2" a="1"/>
  <c r="V465" i="2" s="1"/>
  <c r="U460" i="2" a="1"/>
  <c r="U460" i="2" s="1"/>
  <c r="U446" i="2" a="1"/>
  <c r="U446" i="2" s="1"/>
  <c r="U454" i="2" a="1"/>
  <c r="U454" i="2" s="1"/>
  <c r="V451" i="2" a="1"/>
  <c r="V451" i="2" s="1"/>
  <c r="U438" i="2" a="1"/>
  <c r="U438" i="2" s="1"/>
  <c r="V437" i="2" a="1"/>
  <c r="V437" i="2" s="1"/>
  <c r="V445" i="2" a="1"/>
  <c r="V445" i="2" s="1"/>
  <c r="U428" i="2" a="1"/>
  <c r="U428" i="2" s="1"/>
  <c r="U436" i="2" a="1"/>
  <c r="U436" i="2" s="1"/>
  <c r="V432" i="2" a="1"/>
  <c r="V432" i="2" s="1"/>
  <c r="U416" i="2" a="1"/>
  <c r="U416" i="2" s="1"/>
  <c r="U424" i="2" a="1"/>
  <c r="U424" i="2" s="1"/>
  <c r="V418" i="2" a="1"/>
  <c r="V418" i="2" s="1"/>
  <c r="U398" i="2" a="1"/>
  <c r="U398" i="2" s="1"/>
  <c r="U406" i="2" a="1"/>
  <c r="U406" i="2" s="1"/>
  <c r="V399" i="2" a="1"/>
  <c r="V399" i="2" s="1"/>
  <c r="V407" i="2" a="1"/>
  <c r="V407" i="2" s="1"/>
  <c r="U382" i="2" a="1"/>
  <c r="U382" i="2" s="1"/>
  <c r="U390" i="2" a="1"/>
  <c r="U390" i="2" s="1"/>
  <c r="V381" i="2" a="1"/>
  <c r="V381" i="2" s="1"/>
  <c r="V389" i="2" a="1"/>
  <c r="V389" i="2" s="1"/>
  <c r="U376" i="2" a="1"/>
  <c r="U376" i="2" s="1"/>
  <c r="V374" i="2" a="1"/>
  <c r="V374" i="2" s="1"/>
  <c r="U358" i="2" a="1"/>
  <c r="U358" i="2" s="1"/>
  <c r="U366" i="2" a="1"/>
  <c r="U366" i="2" s="1"/>
  <c r="V363" i="2" a="1"/>
  <c r="V363" i="2" s="1"/>
  <c r="U350" i="2" a="1"/>
  <c r="U350" i="2" s="1"/>
  <c r="V349" i="2" a="1"/>
  <c r="V349" i="2" s="1"/>
  <c r="V357" i="2" a="1"/>
  <c r="V357" i="2" s="1"/>
  <c r="U348" i="2" a="1"/>
  <c r="U348" i="2" s="1"/>
  <c r="V348" i="2" a="1"/>
  <c r="V348" i="2" s="1"/>
  <c r="U338" i="2" a="1"/>
  <c r="U338" i="2" s="1"/>
  <c r="V337" i="2" a="1"/>
  <c r="V337" i="2" s="1"/>
  <c r="U326" i="2" a="1"/>
  <c r="U326" i="2" s="1"/>
  <c r="V321" i="2" a="1"/>
  <c r="V321" i="2" s="1"/>
  <c r="V329" i="2" a="1"/>
  <c r="V329" i="2" s="1"/>
  <c r="U306" i="2" a="1"/>
  <c r="U306" i="2" s="1"/>
  <c r="U314" i="2" a="1"/>
  <c r="U314" i="2" s="1"/>
  <c r="V309" i="2" a="1"/>
  <c r="V309" i="2" s="1"/>
  <c r="V317" i="2" a="1"/>
  <c r="V317" i="2" s="1"/>
  <c r="U305" i="2" a="1"/>
  <c r="U305" i="2" s="1"/>
  <c r="U304" i="2" a="1"/>
  <c r="U304" i="2" s="1"/>
  <c r="U303" i="2" a="1"/>
  <c r="U303" i="2" s="1"/>
  <c r="U302" i="2" a="1"/>
  <c r="U302" i="2" s="1"/>
  <c r="U301" i="2" a="1"/>
  <c r="U301" i="2" s="1"/>
  <c r="U300" i="2" a="1"/>
  <c r="U300" i="2" s="1"/>
  <c r="U299" i="2" a="1"/>
  <c r="U299" i="2" s="1"/>
  <c r="U298" i="2" a="1"/>
  <c r="U298" i="2" s="1"/>
  <c r="U297" i="2" a="1"/>
  <c r="U297" i="2" s="1"/>
  <c r="U296" i="2" a="1"/>
  <c r="U296" i="2" s="1"/>
  <c r="V295" i="2" a="1"/>
  <c r="V295" i="2" s="1"/>
  <c r="U294" i="2" a="1"/>
  <c r="U294" i="2" s="1"/>
  <c r="V280" i="2" a="1"/>
  <c r="V280" i="2" s="1"/>
  <c r="U283" i="2" a="1"/>
  <c r="U283" i="2" s="1"/>
  <c r="V288" i="2" a="1"/>
  <c r="V288" i="2" s="1"/>
  <c r="U291" i="2" a="1"/>
  <c r="U291" i="2" s="1"/>
  <c r="V258" i="2" a="1"/>
  <c r="V258" i="2" s="1"/>
  <c r="U261" i="2" a="1"/>
  <c r="U261" i="2" s="1"/>
  <c r="V266" i="2" a="1"/>
  <c r="V266" i="2" s="1"/>
  <c r="U269" i="2" a="1"/>
  <c r="U269" i="2" s="1"/>
  <c r="V274" i="2" a="1"/>
  <c r="V274" i="2" s="1"/>
  <c r="U249" i="2" a="1"/>
  <c r="U249" i="2" s="1"/>
  <c r="V246" i="2" a="1"/>
  <c r="V246" i="2" s="1"/>
  <c r="U229" i="2" a="1"/>
  <c r="U229" i="2" s="1"/>
  <c r="U237" i="2" a="1"/>
  <c r="U237" i="2" s="1"/>
  <c r="V230" i="2" a="1"/>
  <c r="V230" i="2" s="1"/>
  <c r="V238" i="2" a="1"/>
  <c r="V238" i="2" s="1"/>
  <c r="V224" i="2" a="1"/>
  <c r="V224" i="2" s="1"/>
  <c r="V216" i="2" a="1"/>
  <c r="V216" i="2" s="1"/>
  <c r="V208" i="2" a="1"/>
  <c r="V208" i="2" s="1"/>
  <c r="V200" i="2" a="1"/>
  <c r="V200" i="2" s="1"/>
  <c r="V192" i="2" a="1"/>
  <c r="V192" i="2" s="1"/>
  <c r="V184" i="2" a="1"/>
  <c r="V184" i="2" s="1"/>
  <c r="V176" i="2" a="1"/>
  <c r="V176" i="2" s="1"/>
  <c r="V168" i="2" a="1"/>
  <c r="V168" i="2" s="1"/>
  <c r="V160" i="2" a="1"/>
  <c r="V160" i="2" s="1"/>
  <c r="V152" i="2" a="1"/>
  <c r="V152" i="2" s="1"/>
  <c r="V144" i="2" a="1"/>
  <c r="V144" i="2" s="1"/>
  <c r="V136" i="2" a="1"/>
  <c r="V136" i="2" s="1"/>
  <c r="V128" i="2" a="1"/>
  <c r="V128" i="2" s="1"/>
  <c r="V120" i="2" a="1"/>
  <c r="V120" i="2" s="1"/>
  <c r="V112" i="2" a="1"/>
  <c r="V112" i="2" s="1"/>
  <c r="V104" i="2" a="1"/>
  <c r="V104" i="2" s="1"/>
  <c r="V96" i="2" a="1"/>
  <c r="V96" i="2" s="1"/>
  <c r="V88" i="2" a="1"/>
  <c r="V88" i="2" s="1"/>
  <c r="V80" i="2" a="1"/>
  <c r="V80" i="2" s="1"/>
  <c r="V72" i="2" a="1"/>
  <c r="V72" i="2" s="1"/>
  <c r="V64" i="2" a="1"/>
  <c r="V64" i="2" s="1"/>
  <c r="V56" i="2" a="1"/>
  <c r="V56" i="2" s="1"/>
  <c r="V49" i="2" a="1"/>
  <c r="V49" i="2" s="1"/>
  <c r="V41" i="2" a="1"/>
  <c r="V41" i="2" s="1"/>
  <c r="V33" i="2" a="1"/>
  <c r="V33" i="2" s="1"/>
  <c r="V25" i="2" a="1"/>
  <c r="V25" i="2" s="1"/>
  <c r="V16" i="2" a="1"/>
  <c r="V16" i="2" s="1"/>
  <c r="V8" i="2" a="1"/>
  <c r="V8" i="2" s="1"/>
  <c r="U225" i="2" a="1"/>
  <c r="U225" i="2" s="1"/>
  <c r="U217" i="2" a="1"/>
  <c r="U217" i="2" s="1"/>
  <c r="U209" i="2" a="1"/>
  <c r="U209" i="2" s="1"/>
  <c r="U201" i="2" a="1"/>
  <c r="U201" i="2" s="1"/>
  <c r="U193" i="2" a="1"/>
  <c r="U193" i="2" s="1"/>
  <c r="U185" i="2" a="1"/>
  <c r="U185" i="2" s="1"/>
  <c r="U177" i="2" a="1"/>
  <c r="U177" i="2" s="1"/>
  <c r="U169" i="2" a="1"/>
  <c r="U169" i="2" s="1"/>
  <c r="U161" i="2" a="1"/>
  <c r="U161" i="2" s="1"/>
  <c r="U153" i="2" a="1"/>
  <c r="U153" i="2" s="1"/>
  <c r="U145" i="2" a="1"/>
  <c r="U145" i="2" s="1"/>
  <c r="U137" i="2" a="1"/>
  <c r="U137" i="2" s="1"/>
  <c r="U129" i="2" a="1"/>
  <c r="U129" i="2" s="1"/>
  <c r="U121" i="2" a="1"/>
  <c r="U121" i="2" s="1"/>
  <c r="U113" i="2" a="1"/>
  <c r="U113" i="2" s="1"/>
  <c r="U105" i="2" a="1"/>
  <c r="U105" i="2" s="1"/>
  <c r="U97" i="2" a="1"/>
  <c r="U97" i="2" s="1"/>
  <c r="U89" i="2" a="1"/>
  <c r="U89" i="2" s="1"/>
  <c r="U81" i="2" a="1"/>
  <c r="U81" i="2" s="1"/>
  <c r="U73" i="2" a="1"/>
  <c r="U73" i="2" s="1"/>
  <c r="U65" i="2" a="1"/>
  <c r="U65" i="2" s="1"/>
  <c r="U57" i="2" a="1"/>
  <c r="U57" i="2" s="1"/>
  <c r="U42" i="2" a="1"/>
  <c r="U42" i="2" s="1"/>
  <c r="U34" i="2" a="1"/>
  <c r="U34" i="2" s="1"/>
  <c r="U26" i="2" a="1"/>
  <c r="U26" i="2" s="1"/>
  <c r="U18" i="2" a="1"/>
  <c r="U18" i="2" s="1"/>
  <c r="U9" i="2" a="1"/>
  <c r="U9" i="2" s="1"/>
  <c r="U2" i="2" a="1"/>
  <c r="U2" i="2" s="1"/>
  <c r="U507" i="2" a="1"/>
  <c r="U507" i="2" s="1"/>
  <c r="U495" i="2" a="1"/>
  <c r="U495" i="2" s="1"/>
  <c r="V497" i="2" a="1"/>
  <c r="V497" i="2" s="1"/>
  <c r="U491" i="2" a="1"/>
  <c r="U491" i="2" s="1"/>
  <c r="V490" i="2" a="1"/>
  <c r="V490" i="2" s="1"/>
  <c r="U477" i="2" a="1"/>
  <c r="U477" i="2" s="1"/>
  <c r="V475" i="2" a="1"/>
  <c r="V475" i="2" s="1"/>
  <c r="V483" i="2" a="1"/>
  <c r="V483" i="2" s="1"/>
  <c r="U473" i="2" a="1"/>
  <c r="U473" i="2" s="1"/>
  <c r="V469" i="2" a="1"/>
  <c r="V469" i="2" s="1"/>
  <c r="U463" i="2" a="1"/>
  <c r="U463" i="2" s="1"/>
  <c r="V457" i="2" a="1"/>
  <c r="V457" i="2" s="1"/>
  <c r="U447" i="2" a="1"/>
  <c r="U447" i="2" s="1"/>
  <c r="U455" i="2" a="1"/>
  <c r="U455" i="2" s="1"/>
  <c r="V452" i="2" a="1"/>
  <c r="V452" i="2" s="1"/>
  <c r="U439" i="2" a="1"/>
  <c r="U439" i="2" s="1"/>
  <c r="V438" i="2" a="1"/>
  <c r="V438" i="2" s="1"/>
  <c r="U429" i="2" a="1"/>
  <c r="U429" i="2" s="1"/>
  <c r="V425" i="2" a="1"/>
  <c r="V425" i="2" s="1"/>
  <c r="V433" i="2" a="1"/>
  <c r="V433" i="2" s="1"/>
  <c r="U417" i="2" a="1"/>
  <c r="U417" i="2" s="1"/>
  <c r="V411" i="2" a="1"/>
  <c r="V411" i="2" s="1"/>
  <c r="V419" i="2" a="1"/>
  <c r="V419" i="2" s="1"/>
  <c r="U399" i="2" a="1"/>
  <c r="U399" i="2" s="1"/>
  <c r="U407" i="2" a="1"/>
  <c r="U407" i="2" s="1"/>
  <c r="V400" i="2" a="1"/>
  <c r="V400" i="2" s="1"/>
  <c r="V408" i="2" a="1"/>
  <c r="V408" i="2" s="1"/>
  <c r="U383" i="2" a="1"/>
  <c r="U383" i="2" s="1"/>
  <c r="U391" i="2" a="1"/>
  <c r="U391" i="2" s="1"/>
  <c r="V382" i="2" a="1"/>
  <c r="V382" i="2" s="1"/>
  <c r="V390" i="2" a="1"/>
  <c r="V390" i="2" s="1"/>
  <c r="U369" i="2" a="1"/>
  <c r="U369" i="2" s="1"/>
  <c r="U377" i="2" a="1"/>
  <c r="U377" i="2" s="1"/>
  <c r="V375" i="2" a="1"/>
  <c r="V375" i="2" s="1"/>
  <c r="U359" i="2" a="1"/>
  <c r="U359" i="2" s="1"/>
  <c r="U367" i="2" a="1"/>
  <c r="U367" i="2" s="1"/>
  <c r="V364" i="2" a="1"/>
  <c r="V364" i="2" s="1"/>
  <c r="U351" i="2" a="1"/>
  <c r="U351" i="2" s="1"/>
  <c r="V350" i="2" a="1"/>
  <c r="V350" i="2" s="1"/>
  <c r="U341" i="2" a="1"/>
  <c r="U341" i="2" s="1"/>
  <c r="V341" i="2" a="1"/>
  <c r="V341" i="2" s="1"/>
  <c r="U339" i="2" a="1"/>
  <c r="U339" i="2" s="1"/>
  <c r="V338" i="2" a="1"/>
  <c r="V338" i="2" s="1"/>
  <c r="U319" i="2" a="1"/>
  <c r="U319" i="2" s="1"/>
  <c r="U327" i="2" a="1"/>
  <c r="U327" i="2" s="1"/>
  <c r="V322" i="2" a="1"/>
  <c r="V322" i="2" s="1"/>
  <c r="V330" i="2" a="1"/>
  <c r="V330" i="2" s="1"/>
  <c r="U307" i="2" a="1"/>
  <c r="U307" i="2" s="1"/>
  <c r="U315" i="2" a="1"/>
  <c r="U315" i="2" s="1"/>
  <c r="V310" i="2" a="1"/>
  <c r="V310" i="2" s="1"/>
  <c r="V318" i="2" a="1"/>
  <c r="V318" i="2" s="1"/>
  <c r="V305" i="2" a="1"/>
  <c r="V305" i="2" s="1"/>
  <c r="V304" i="2" a="1"/>
  <c r="V304" i="2" s="1"/>
  <c r="V303" i="2" a="1"/>
  <c r="V303" i="2" s="1"/>
  <c r="V302" i="2" a="1"/>
  <c r="V302" i="2" s="1"/>
  <c r="V301" i="2" a="1"/>
  <c r="V301" i="2" s="1"/>
  <c r="V300" i="2" a="1"/>
  <c r="V300" i="2" s="1"/>
  <c r="V299" i="2" a="1"/>
  <c r="V299" i="2" s="1"/>
  <c r="V298" i="2" a="1"/>
  <c r="V298" i="2" s="1"/>
  <c r="V297" i="2" a="1"/>
  <c r="V297" i="2" s="1"/>
  <c r="V296" i="2" a="1"/>
  <c r="V296" i="2" s="1"/>
  <c r="V294" i="2" a="1"/>
  <c r="V294" i="2" s="1"/>
  <c r="U278" i="2" a="1"/>
  <c r="U278" i="2" s="1"/>
  <c r="V283" i="2" a="1"/>
  <c r="V283" i="2" s="1"/>
  <c r="U286" i="2" a="1"/>
  <c r="U286" i="2" s="1"/>
  <c r="V291" i="2" a="1"/>
  <c r="V291" i="2" s="1"/>
  <c r="U256" i="2" a="1"/>
  <c r="U256" i="2" s="1"/>
  <c r="V261" i="2" a="1"/>
  <c r="V261" i="2" s="1"/>
  <c r="U264" i="2" a="1"/>
  <c r="U264" i="2" s="1"/>
  <c r="V269" i="2" a="1"/>
  <c r="V269" i="2" s="1"/>
  <c r="U272" i="2" a="1"/>
  <c r="U272" i="2" s="1"/>
  <c r="U250" i="2" a="1"/>
  <c r="U250" i="2" s="1"/>
  <c r="V247" i="2" a="1"/>
  <c r="V247" i="2" s="1"/>
  <c r="U230" i="2" a="1"/>
  <c r="U230" i="2" s="1"/>
  <c r="U238" i="2" a="1"/>
  <c r="U238" i="2" s="1"/>
  <c r="V231" i="2" a="1"/>
  <c r="V231" i="2" s="1"/>
  <c r="V239" i="2" a="1"/>
  <c r="V239" i="2" s="1"/>
  <c r="V223" i="2" a="1"/>
  <c r="V223" i="2" s="1"/>
  <c r="V215" i="2" a="1"/>
  <c r="V215" i="2" s="1"/>
  <c r="V207" i="2" a="1"/>
  <c r="V207" i="2" s="1"/>
  <c r="V199" i="2" a="1"/>
  <c r="V199" i="2" s="1"/>
  <c r="V191" i="2" a="1"/>
  <c r="V191" i="2" s="1"/>
  <c r="V183" i="2" a="1"/>
  <c r="V183" i="2" s="1"/>
  <c r="V175" i="2" a="1"/>
  <c r="V175" i="2" s="1"/>
  <c r="V167" i="2" a="1"/>
  <c r="V167" i="2" s="1"/>
  <c r="V159" i="2" a="1"/>
  <c r="V159" i="2" s="1"/>
  <c r="V151" i="2" a="1"/>
  <c r="V151" i="2" s="1"/>
  <c r="V143" i="2" a="1"/>
  <c r="V143" i="2" s="1"/>
  <c r="V135" i="2" a="1"/>
  <c r="V135" i="2" s="1"/>
  <c r="V127" i="2" a="1"/>
  <c r="V127" i="2" s="1"/>
  <c r="V119" i="2" a="1"/>
  <c r="V119" i="2" s="1"/>
  <c r="V111" i="2" a="1"/>
  <c r="V111" i="2" s="1"/>
  <c r="V103" i="2" a="1"/>
  <c r="V103" i="2" s="1"/>
  <c r="V95" i="2" a="1"/>
  <c r="V95" i="2" s="1"/>
  <c r="V87" i="2" a="1"/>
  <c r="V87" i="2" s="1"/>
  <c r="V79" i="2" a="1"/>
  <c r="V79" i="2" s="1"/>
  <c r="V71" i="2" a="1"/>
  <c r="V71" i="2" s="1"/>
  <c r="V63" i="2" a="1"/>
  <c r="V63" i="2" s="1"/>
  <c r="V55" i="2" a="1"/>
  <c r="V55" i="2" s="1"/>
  <c r="V48" i="2" a="1"/>
  <c r="V48" i="2" s="1"/>
  <c r="V40" i="2" a="1"/>
  <c r="V40" i="2" s="1"/>
  <c r="V32" i="2" a="1"/>
  <c r="V32" i="2" s="1"/>
  <c r="V24" i="2" a="1"/>
  <c r="V24" i="2" s="1"/>
  <c r="V15" i="2" a="1"/>
  <c r="V15" i="2" s="1"/>
  <c r="V7" i="2" a="1"/>
  <c r="V7" i="2" s="1"/>
  <c r="U224" i="2" a="1"/>
  <c r="U224" i="2" s="1"/>
  <c r="U216" i="2" a="1"/>
  <c r="U216" i="2" s="1"/>
  <c r="U208" i="2" a="1"/>
  <c r="U208" i="2" s="1"/>
  <c r="U200" i="2" a="1"/>
  <c r="U200" i="2" s="1"/>
  <c r="U192" i="2" a="1"/>
  <c r="U192" i="2" s="1"/>
  <c r="U184" i="2" a="1"/>
  <c r="U184" i="2" s="1"/>
  <c r="U176" i="2" a="1"/>
  <c r="U176" i="2" s="1"/>
  <c r="U168" i="2" a="1"/>
  <c r="U168" i="2" s="1"/>
  <c r="U160" i="2" a="1"/>
  <c r="U160" i="2" s="1"/>
  <c r="U152" i="2" a="1"/>
  <c r="U152" i="2" s="1"/>
  <c r="U144" i="2" a="1"/>
  <c r="U144" i="2" s="1"/>
  <c r="U136" i="2" a="1"/>
  <c r="U136" i="2" s="1"/>
  <c r="U128" i="2" a="1"/>
  <c r="U128" i="2" s="1"/>
  <c r="U120" i="2" a="1"/>
  <c r="U120" i="2" s="1"/>
  <c r="U112" i="2" a="1"/>
  <c r="U112" i="2" s="1"/>
  <c r="U104" i="2" a="1"/>
  <c r="U104" i="2" s="1"/>
  <c r="U96" i="2" a="1"/>
  <c r="U96" i="2" s="1"/>
  <c r="U88" i="2" a="1"/>
  <c r="U88" i="2" s="1"/>
  <c r="U80" i="2" a="1"/>
  <c r="U80" i="2" s="1"/>
  <c r="U72" i="2" a="1"/>
  <c r="U72" i="2" s="1"/>
  <c r="U64" i="2" a="1"/>
  <c r="U64" i="2" s="1"/>
  <c r="U56" i="2" a="1"/>
  <c r="U56" i="2" s="1"/>
  <c r="U49" i="2" a="1"/>
  <c r="U49" i="2" s="1"/>
  <c r="U41" i="2" a="1"/>
  <c r="U41" i="2" s="1"/>
  <c r="U33" i="2" a="1"/>
  <c r="U33" i="2" s="1"/>
  <c r="U25" i="2" a="1"/>
  <c r="U25" i="2" s="1"/>
  <c r="U16" i="2" a="1"/>
  <c r="U16" i="2" s="1"/>
  <c r="U8" i="2" a="1"/>
  <c r="U8" i="2" s="1"/>
  <c r="U509" i="2" a="1"/>
  <c r="U509" i="2" s="1"/>
  <c r="U496" i="2" a="1"/>
  <c r="U496" i="2" s="1"/>
  <c r="V498" i="2" a="1"/>
  <c r="V498" i="2" s="1"/>
  <c r="U492" i="2" a="1"/>
  <c r="U492" i="2" s="1"/>
  <c r="V491" i="2" a="1"/>
  <c r="V491" i="2" s="1"/>
  <c r="U478" i="2" a="1"/>
  <c r="U478" i="2" s="1"/>
  <c r="V476" i="2" a="1"/>
  <c r="V476" i="2" s="1"/>
  <c r="V470" i="2" a="1"/>
  <c r="V470" i="2" s="1"/>
  <c r="U466" i="2" a="1"/>
  <c r="U466" i="2" s="1"/>
  <c r="U464" i="2" a="1"/>
  <c r="U464" i="2" s="1"/>
  <c r="V458" i="2" a="1"/>
  <c r="V458" i="2" s="1"/>
  <c r="U448" i="2" a="1"/>
  <c r="U448" i="2" s="1"/>
  <c r="U456" i="2" a="1"/>
  <c r="U456" i="2" s="1"/>
  <c r="V453" i="2" a="1"/>
  <c r="V453" i="2" s="1"/>
  <c r="U440" i="2" a="1"/>
  <c r="U440" i="2" s="1"/>
  <c r="V439" i="2" a="1"/>
  <c r="V439" i="2" s="1"/>
  <c r="U430" i="2" a="1"/>
  <c r="U430" i="2" s="1"/>
  <c r="V426" i="2" a="1"/>
  <c r="V426" i="2" s="1"/>
  <c r="V434" i="2" a="1"/>
  <c r="V434" i="2" s="1"/>
  <c r="U418" i="2" a="1"/>
  <c r="U418" i="2" s="1"/>
  <c r="V412" i="2" a="1"/>
  <c r="V412" i="2" s="1"/>
  <c r="V420" i="2" a="1"/>
  <c r="V420" i="2" s="1"/>
  <c r="U400" i="2" a="1"/>
  <c r="U400" i="2" s="1"/>
  <c r="U408" i="2" a="1"/>
  <c r="U408" i="2" s="1"/>
  <c r="V401" i="2" a="1"/>
  <c r="V401" i="2" s="1"/>
  <c r="V409" i="2" a="1"/>
  <c r="V409" i="2" s="1"/>
  <c r="U384" i="2" a="1"/>
  <c r="U384" i="2" s="1"/>
  <c r="U392" i="2" a="1"/>
  <c r="U392" i="2" s="1"/>
  <c r="V383" i="2" a="1"/>
  <c r="V383" i="2" s="1"/>
  <c r="V391" i="2" a="1"/>
  <c r="V391" i="2" s="1"/>
  <c r="U370" i="2" a="1"/>
  <c r="U370" i="2" s="1"/>
  <c r="U378" i="2" a="1"/>
  <c r="U378" i="2" s="1"/>
  <c r="V376" i="2" a="1"/>
  <c r="V376" i="2" s="1"/>
  <c r="U360" i="2" a="1"/>
  <c r="U360" i="2" s="1"/>
  <c r="U368" i="2" a="1"/>
  <c r="U368" i="2" s="1"/>
  <c r="V365" i="2" a="1"/>
  <c r="V365" i="2" s="1"/>
  <c r="U352" i="2" a="1"/>
  <c r="U352" i="2" s="1"/>
  <c r="V351" i="2" a="1"/>
  <c r="V351" i="2" s="1"/>
  <c r="U342" i="2" a="1"/>
  <c r="U342" i="2" s="1"/>
  <c r="V342" i="2" a="1"/>
  <c r="V342" i="2" s="1"/>
  <c r="U332" i="2" a="1"/>
  <c r="U332" i="2" s="1"/>
  <c r="U340" i="2" a="1"/>
  <c r="U340" i="2" s="1"/>
  <c r="V339" i="2" a="1"/>
  <c r="V339" i="2" s="1"/>
  <c r="U320" i="2" a="1"/>
  <c r="U320" i="2" s="1"/>
  <c r="U328" i="2" a="1"/>
  <c r="U328" i="2" s="1"/>
  <c r="V323" i="2" a="1"/>
  <c r="V323" i="2" s="1"/>
  <c r="V331" i="2" a="1"/>
  <c r="V331" i="2" s="1"/>
  <c r="U308" i="2" a="1"/>
  <c r="U308" i="2" s="1"/>
  <c r="U316" i="2" a="1"/>
  <c r="U316" i="2" s="1"/>
  <c r="V311" i="2" a="1"/>
  <c r="V311" i="2" s="1"/>
  <c r="V278" i="2" a="1"/>
  <c r="V278" i="2" s="1"/>
  <c r="U281" i="2" a="1"/>
  <c r="U281" i="2" s="1"/>
  <c r="V286" i="2" a="1"/>
  <c r="V286" i="2" s="1"/>
  <c r="U289" i="2" a="1"/>
  <c r="U289" i="2" s="1"/>
  <c r="V256" i="2" a="1"/>
  <c r="V256" i="2" s="1"/>
  <c r="U259" i="2" a="1"/>
  <c r="U259" i="2" s="1"/>
  <c r="V264" i="2" a="1"/>
  <c r="V264" i="2" s="1"/>
  <c r="U267" i="2" a="1"/>
  <c r="U267" i="2" s="1"/>
  <c r="V272" i="2" a="1"/>
  <c r="V272" i="2" s="1"/>
  <c r="U275" i="2" a="1"/>
  <c r="U275" i="2" s="1"/>
  <c r="U243" i="2" a="1"/>
  <c r="U243" i="2" s="1"/>
  <c r="U251" i="2" a="1"/>
  <c r="U251" i="2" s="1"/>
  <c r="V248" i="2" a="1"/>
  <c r="V248" i="2" s="1"/>
  <c r="U231" i="2" a="1"/>
  <c r="U231" i="2" s="1"/>
  <c r="U239" i="2" a="1"/>
  <c r="U239" i="2" s="1"/>
  <c r="V232" i="2" a="1"/>
  <c r="V232" i="2" s="1"/>
  <c r="V240" i="2" a="1"/>
  <c r="V240" i="2" s="1"/>
  <c r="V222" i="2" a="1"/>
  <c r="V222" i="2" s="1"/>
  <c r="V214" i="2" a="1"/>
  <c r="V214" i="2" s="1"/>
  <c r="V206" i="2" a="1"/>
  <c r="V206" i="2" s="1"/>
  <c r="V198" i="2" a="1"/>
  <c r="V198" i="2" s="1"/>
  <c r="V190" i="2" a="1"/>
  <c r="V190" i="2" s="1"/>
  <c r="V182" i="2" a="1"/>
  <c r="V182" i="2" s="1"/>
  <c r="V174" i="2" a="1"/>
  <c r="V174" i="2" s="1"/>
  <c r="V166" i="2" a="1"/>
  <c r="V166" i="2" s="1"/>
  <c r="V158" i="2" a="1"/>
  <c r="V158" i="2" s="1"/>
  <c r="V150" i="2" a="1"/>
  <c r="V150" i="2" s="1"/>
  <c r="V142" i="2" a="1"/>
  <c r="V142" i="2" s="1"/>
  <c r="V134" i="2" a="1"/>
  <c r="V134" i="2" s="1"/>
  <c r="V126" i="2" a="1"/>
  <c r="V126" i="2" s="1"/>
  <c r="V118" i="2" a="1"/>
  <c r="V118" i="2" s="1"/>
  <c r="V110" i="2" a="1"/>
  <c r="V110" i="2" s="1"/>
  <c r="V102" i="2" a="1"/>
  <c r="V102" i="2" s="1"/>
  <c r="V94" i="2" a="1"/>
  <c r="V94" i="2" s="1"/>
  <c r="V86" i="2" a="1"/>
  <c r="V86" i="2" s="1"/>
  <c r="V78" i="2" a="1"/>
  <c r="V78" i="2" s="1"/>
  <c r="V70" i="2" a="1"/>
  <c r="V70" i="2" s="1"/>
  <c r="V62" i="2" a="1"/>
  <c r="V62" i="2" s="1"/>
  <c r="V47" i="2" a="1"/>
  <c r="V47" i="2" s="1"/>
  <c r="V39" i="2" a="1"/>
  <c r="V39" i="2" s="1"/>
  <c r="V31" i="2" a="1"/>
  <c r="V31" i="2" s="1"/>
  <c r="V23" i="2" a="1"/>
  <c r="V23" i="2" s="1"/>
  <c r="V6" i="2" a="1"/>
  <c r="V6" i="2" s="1"/>
  <c r="U223" i="2" a="1"/>
  <c r="U223" i="2" s="1"/>
  <c r="U215" i="2" a="1"/>
  <c r="U215" i="2" s="1"/>
  <c r="U207" i="2" a="1"/>
  <c r="U207" i="2" s="1"/>
  <c r="U199" i="2" a="1"/>
  <c r="U199" i="2" s="1"/>
  <c r="U191" i="2" a="1"/>
  <c r="U191" i="2" s="1"/>
  <c r="U183" i="2" a="1"/>
  <c r="U183" i="2" s="1"/>
  <c r="U175" i="2" a="1"/>
  <c r="U175" i="2" s="1"/>
  <c r="U167" i="2" a="1"/>
  <c r="U167" i="2" s="1"/>
  <c r="U159" i="2" a="1"/>
  <c r="U159" i="2" s="1"/>
  <c r="U151" i="2" a="1"/>
  <c r="U151" i="2" s="1"/>
  <c r="U143" i="2" a="1"/>
  <c r="U143" i="2" s="1"/>
  <c r="U135" i="2" a="1"/>
  <c r="U135" i="2" s="1"/>
  <c r="U127" i="2" a="1"/>
  <c r="U127" i="2" s="1"/>
  <c r="U119" i="2" a="1"/>
  <c r="U119" i="2" s="1"/>
  <c r="U111" i="2" a="1"/>
  <c r="U111" i="2" s="1"/>
  <c r="U103" i="2" a="1"/>
  <c r="U103" i="2" s="1"/>
  <c r="U95" i="2" a="1"/>
  <c r="U95" i="2" s="1"/>
  <c r="U87" i="2" a="1"/>
  <c r="U87" i="2" s="1"/>
  <c r="U79" i="2" a="1"/>
  <c r="U79" i="2" s="1"/>
  <c r="U71" i="2" a="1"/>
  <c r="U71" i="2" s="1"/>
  <c r="U63" i="2" a="1"/>
  <c r="U63" i="2" s="1"/>
  <c r="U55" i="2" a="1"/>
  <c r="U55" i="2" s="1"/>
  <c r="U48" i="2" a="1"/>
  <c r="U48" i="2" s="1"/>
  <c r="U40" i="2" a="1"/>
  <c r="U40" i="2" s="1"/>
  <c r="U32" i="2" a="1"/>
  <c r="U32" i="2" s="1"/>
  <c r="U24" i="2" a="1"/>
  <c r="U24" i="2" s="1"/>
  <c r="U15" i="2" a="1"/>
  <c r="U15" i="2" s="1"/>
  <c r="U7" i="2" a="1"/>
  <c r="U7" i="2" s="1"/>
  <c r="U511" i="2" a="1"/>
  <c r="U511" i="2" s="1"/>
  <c r="V503" i="2" a="1"/>
  <c r="V503" i="2" s="1"/>
  <c r="U497" i="2" a="1"/>
  <c r="U497" i="2" s="1"/>
  <c r="V499" i="2" a="1"/>
  <c r="V499" i="2" s="1"/>
  <c r="U484" i="2" a="1"/>
  <c r="U484" i="2" s="1"/>
  <c r="U493" i="2" a="1"/>
  <c r="U493" i="2" s="1"/>
  <c r="V493" i="2" a="1"/>
  <c r="V493" i="2" s="1"/>
  <c r="U479" i="2" a="1"/>
  <c r="U479" i="2" s="1"/>
  <c r="V477" i="2" a="1"/>
  <c r="V477" i="2" s="1"/>
  <c r="V471" i="2" a="1"/>
  <c r="V471" i="2" s="1"/>
  <c r="U467" i="2" a="1"/>
  <c r="U467" i="2" s="1"/>
  <c r="U465" i="2" a="1"/>
  <c r="U465" i="2" s="1"/>
  <c r="V459" i="2" a="1"/>
  <c r="V459" i="2" s="1"/>
  <c r="U449" i="2" a="1"/>
  <c r="U449" i="2" s="1"/>
  <c r="V446" i="2" a="1"/>
  <c r="V446" i="2" s="1"/>
  <c r="V454" i="2" a="1"/>
  <c r="V454" i="2" s="1"/>
  <c r="U441" i="2" a="1"/>
  <c r="U441" i="2" s="1"/>
  <c r="V440" i="2" a="1"/>
  <c r="V440" i="2" s="1"/>
  <c r="U431" i="2" a="1"/>
  <c r="U431" i="2" s="1"/>
  <c r="V427" i="2" a="1"/>
  <c r="V427" i="2" s="1"/>
  <c r="V435" i="2" a="1"/>
  <c r="V435" i="2" s="1"/>
  <c r="U411" i="2" a="1"/>
  <c r="U411" i="2" s="1"/>
  <c r="U419" i="2" a="1"/>
  <c r="U419" i="2" s="1"/>
  <c r="V413" i="2" a="1"/>
  <c r="V413" i="2" s="1"/>
  <c r="V421" i="2" a="1"/>
  <c r="V421" i="2" s="1"/>
  <c r="U401" i="2" a="1"/>
  <c r="U401" i="2" s="1"/>
  <c r="U409" i="2" a="1"/>
  <c r="U409" i="2" s="1"/>
  <c r="V402" i="2" a="1"/>
  <c r="V402" i="2" s="1"/>
  <c r="V410" i="2" a="1"/>
  <c r="V410" i="2" s="1"/>
  <c r="U385" i="2" a="1"/>
  <c r="U385" i="2" s="1"/>
  <c r="U393" i="2" a="1"/>
  <c r="U393" i="2" s="1"/>
  <c r="V384" i="2" a="1"/>
  <c r="V384" i="2" s="1"/>
  <c r="V392" i="2" a="1"/>
  <c r="V392" i="2" s="1"/>
  <c r="U371" i="2" a="1"/>
  <c r="U371" i="2" s="1"/>
  <c r="V369" i="2" a="1"/>
  <c r="V369" i="2" s="1"/>
  <c r="V377" i="2" a="1"/>
  <c r="V377" i="2" s="1"/>
  <c r="U361" i="2" a="1"/>
  <c r="U361" i="2" s="1"/>
  <c r="V358" i="2" a="1"/>
  <c r="V358" i="2" s="1"/>
  <c r="V366" i="2" a="1"/>
  <c r="V366" i="2" s="1"/>
  <c r="U353" i="2" a="1"/>
  <c r="U353" i="2" s="1"/>
  <c r="V352" i="2" a="1"/>
  <c r="V352" i="2" s="1"/>
  <c r="U343" i="2" a="1"/>
  <c r="U343" i="2" s="1"/>
  <c r="V343" i="2" a="1"/>
  <c r="V343" i="2" s="1"/>
  <c r="U333" i="2" a="1"/>
  <c r="U333" i="2" s="1"/>
  <c r="V332" i="2" a="1"/>
  <c r="V332" i="2" s="1"/>
  <c r="V340" i="2" a="1"/>
  <c r="V340" i="2" s="1"/>
  <c r="U321" i="2" a="1"/>
  <c r="U321" i="2" s="1"/>
  <c r="U329" i="2" a="1"/>
  <c r="U329" i="2" s="1"/>
  <c r="V324" i="2" a="1"/>
  <c r="V324" i="2" s="1"/>
  <c r="U309" i="2" a="1"/>
  <c r="U309" i="2" s="1"/>
  <c r="U317" i="2" a="1"/>
  <c r="U317" i="2" s="1"/>
  <c r="V312" i="2" a="1"/>
  <c r="V312" i="2" s="1"/>
  <c r="U292" i="2" a="1"/>
  <c r="U292" i="2" s="1"/>
  <c r="V281" i="2" a="1"/>
  <c r="V281" i="2" s="1"/>
  <c r="U284" i="2" a="1"/>
  <c r="U284" i="2" s="1"/>
  <c r="V289" i="2" a="1"/>
  <c r="V289" i="2" s="1"/>
  <c r="U254" i="2" a="1"/>
  <c r="U254" i="2" s="1"/>
  <c r="V259" i="2" a="1"/>
  <c r="V259" i="2" s="1"/>
  <c r="U262" i="2" a="1"/>
  <c r="U262" i="2" s="1"/>
  <c r="V267" i="2" a="1"/>
  <c r="V267" i="2" s="1"/>
  <c r="U270" i="2" a="1"/>
  <c r="U270" i="2" s="1"/>
  <c r="V275" i="2" a="1"/>
  <c r="V275" i="2" s="1"/>
  <c r="U244" i="2" a="1"/>
  <c r="U244" i="2" s="1"/>
  <c r="U252" i="2" a="1"/>
  <c r="U252" i="2" s="1"/>
  <c r="V249" i="2" a="1"/>
  <c r="V249" i="2" s="1"/>
  <c r="U232" i="2" a="1"/>
  <c r="U232" i="2" s="1"/>
  <c r="U240" i="2" a="1"/>
  <c r="U240" i="2" s="1"/>
  <c r="V233" i="2" a="1"/>
  <c r="V233" i="2" s="1"/>
  <c r="V241" i="2" a="1"/>
  <c r="V241" i="2" s="1"/>
  <c r="V221" i="2" a="1"/>
  <c r="V221" i="2" s="1"/>
  <c r="V213" i="2" a="1"/>
  <c r="V213" i="2" s="1"/>
  <c r="V205" i="2" a="1"/>
  <c r="V205" i="2" s="1"/>
  <c r="V197" i="2" a="1"/>
  <c r="V197" i="2" s="1"/>
  <c r="V189" i="2" a="1"/>
  <c r="V189" i="2" s="1"/>
  <c r="V181" i="2" a="1"/>
  <c r="V181" i="2" s="1"/>
  <c r="V173" i="2" a="1"/>
  <c r="V173" i="2" s="1"/>
  <c r="V165" i="2" a="1"/>
  <c r="V165" i="2" s="1"/>
  <c r="V157" i="2" a="1"/>
  <c r="V157" i="2" s="1"/>
  <c r="V149" i="2" a="1"/>
  <c r="V149" i="2" s="1"/>
  <c r="V141" i="2" a="1"/>
  <c r="V141" i="2" s="1"/>
  <c r="V133" i="2" a="1"/>
  <c r="V133" i="2" s="1"/>
  <c r="V125" i="2" a="1"/>
  <c r="V125" i="2" s="1"/>
  <c r="V117" i="2" a="1"/>
  <c r="V117" i="2" s="1"/>
  <c r="V109" i="2" a="1"/>
  <c r="V109" i="2" s="1"/>
  <c r="V101" i="2" a="1"/>
  <c r="V101" i="2" s="1"/>
  <c r="V93" i="2" a="1"/>
  <c r="V93" i="2" s="1"/>
  <c r="V85" i="2" a="1"/>
  <c r="V85" i="2" s="1"/>
  <c r="V77" i="2" a="1"/>
  <c r="V77" i="2" s="1"/>
  <c r="V69" i="2" a="1"/>
  <c r="V69" i="2" s="1"/>
  <c r="V61" i="2" a="1"/>
  <c r="V61" i="2" s="1"/>
  <c r="V53" i="2" a="1"/>
  <c r="V53" i="2" s="1"/>
  <c r="V46" i="2" a="1"/>
  <c r="V46" i="2" s="1"/>
  <c r="V38" i="2" a="1"/>
  <c r="V38" i="2" s="1"/>
  <c r="V30" i="2" a="1"/>
  <c r="V30" i="2" s="1"/>
  <c r="V22" i="2" a="1"/>
  <c r="V22" i="2" s="1"/>
  <c r="V14" i="2" a="1"/>
  <c r="V14" i="2" s="1"/>
  <c r="V5" i="2" a="1"/>
  <c r="V5" i="2" s="1"/>
  <c r="U222" i="2" a="1"/>
  <c r="U222" i="2" s="1"/>
  <c r="U214" i="2" a="1"/>
  <c r="U214" i="2" s="1"/>
  <c r="U206" i="2" a="1"/>
  <c r="U206" i="2" s="1"/>
  <c r="U198" i="2" a="1"/>
  <c r="U198" i="2" s="1"/>
  <c r="U190" i="2" a="1"/>
  <c r="U190" i="2" s="1"/>
  <c r="U182" i="2" a="1"/>
  <c r="U182" i="2" s="1"/>
  <c r="U174" i="2" a="1"/>
  <c r="U174" i="2" s="1"/>
  <c r="U166" i="2" a="1"/>
  <c r="U166" i="2" s="1"/>
  <c r="U158" i="2" a="1"/>
  <c r="U158" i="2" s="1"/>
  <c r="U150" i="2" a="1"/>
  <c r="U150" i="2" s="1"/>
  <c r="U142" i="2" a="1"/>
  <c r="U142" i="2" s="1"/>
  <c r="U134" i="2" a="1"/>
  <c r="U134" i="2" s="1"/>
  <c r="U126" i="2" a="1"/>
  <c r="U126" i="2" s="1"/>
  <c r="U118" i="2" a="1"/>
  <c r="U118" i="2" s="1"/>
  <c r="U110" i="2" a="1"/>
  <c r="U110" i="2" s="1"/>
  <c r="U102" i="2" a="1"/>
  <c r="U102" i="2" s="1"/>
  <c r="U94" i="2" a="1"/>
  <c r="U94" i="2" s="1"/>
  <c r="U86" i="2" a="1"/>
  <c r="U86" i="2" s="1"/>
  <c r="U78" i="2" a="1"/>
  <c r="U78" i="2" s="1"/>
  <c r="U70" i="2" a="1"/>
  <c r="U70" i="2" s="1"/>
  <c r="U62" i="2" a="1"/>
  <c r="U62" i="2" s="1"/>
  <c r="U47" i="2" a="1"/>
  <c r="U47" i="2" s="1"/>
  <c r="U39" i="2" a="1"/>
  <c r="U39" i="2" s="1"/>
  <c r="U31" i="2" a="1"/>
  <c r="U31" i="2" s="1"/>
  <c r="U23" i="2" a="1"/>
  <c r="U23" i="2" s="1"/>
  <c r="U6" i="2" a="1"/>
  <c r="U6" i="2" s="1"/>
  <c r="V21" i="2" a="1"/>
  <c r="V21" i="2" s="1"/>
  <c r="U181" i="2" a="1"/>
  <c r="U181" i="2" s="1"/>
  <c r="U117" i="2" a="1"/>
  <c r="U117" i="2" s="1"/>
  <c r="U53" i="2" a="1"/>
  <c r="U53" i="2" s="1"/>
  <c r="V76" i="2" a="1"/>
  <c r="V76" i="2" s="1"/>
  <c r="V11" i="2" a="1"/>
  <c r="V11" i="2" s="1"/>
  <c r="U173" i="2" a="1"/>
  <c r="U173" i="2" s="1"/>
  <c r="U109" i="2" a="1"/>
  <c r="U109" i="2" s="1"/>
  <c r="U46" i="2" a="1"/>
  <c r="U46" i="2" s="1"/>
  <c r="V68" i="2" a="1"/>
  <c r="V68" i="2" s="1"/>
  <c r="V4" i="2" a="1"/>
  <c r="V4" i="2" s="1"/>
  <c r="U165" i="2" a="1"/>
  <c r="U165" i="2" s="1"/>
  <c r="U101" i="2" a="1"/>
  <c r="U101" i="2" s="1"/>
  <c r="U38" i="2" a="1"/>
  <c r="U38" i="2" s="1"/>
  <c r="V60" i="2" a="1"/>
  <c r="V60" i="2" s="1"/>
  <c r="U221" i="2" a="1"/>
  <c r="U221" i="2" s="1"/>
  <c r="U157" i="2" a="1"/>
  <c r="U157" i="2" s="1"/>
  <c r="U93" i="2" a="1"/>
  <c r="U93" i="2" s="1"/>
  <c r="U30" i="2" a="1"/>
  <c r="U30" i="2" s="1"/>
  <c r="U213" i="2" a="1"/>
  <c r="U213" i="2" s="1"/>
  <c r="U149" i="2" a="1"/>
  <c r="U149" i="2" s="1"/>
  <c r="U85" i="2" a="1"/>
  <c r="U85" i="2" s="1"/>
  <c r="U22" i="2" a="1"/>
  <c r="U22" i="2" s="1"/>
  <c r="V45" i="2" a="1"/>
  <c r="V45" i="2" s="1"/>
  <c r="U205" i="2" a="1"/>
  <c r="U205" i="2" s="1"/>
  <c r="U141" i="2" a="1"/>
  <c r="U141" i="2" s="1"/>
  <c r="U77" i="2" a="1"/>
  <c r="U77" i="2" s="1"/>
  <c r="U14" i="2" a="1"/>
  <c r="U14" i="2" s="1"/>
  <c r="V37" i="2" a="1"/>
  <c r="V37" i="2" s="1"/>
  <c r="U197" i="2" a="1"/>
  <c r="U197" i="2" s="1"/>
  <c r="U133" i="2" a="1"/>
  <c r="U133" i="2" s="1"/>
  <c r="U69" i="2" a="1"/>
  <c r="U69" i="2" s="1"/>
  <c r="U5" i="2" a="1"/>
  <c r="U5" i="2" s="1"/>
  <c r="V29" i="2" a="1"/>
  <c r="V29" i="2" s="1"/>
  <c r="U189" i="2" a="1"/>
  <c r="U189" i="2" s="1"/>
  <c r="U125" i="2" a="1"/>
  <c r="U125" i="2" s="1"/>
  <c r="U61" i="2" a="1"/>
  <c r="U61" i="2" s="1"/>
  <c r="AD281" i="3"/>
  <c r="AD290" i="3"/>
  <c r="AA283" i="3"/>
  <c r="U293" i="3"/>
  <c r="H293" i="3" s="1"/>
  <c r="L296" i="3" a="1"/>
  <c r="L296" i="3" s="1"/>
  <c r="AD294" i="3"/>
  <c r="K296" i="3" a="1"/>
  <c r="K296" i="3" s="1"/>
  <c r="AB283" i="3"/>
  <c r="AB292" i="3"/>
  <c r="AC285" i="3"/>
  <c r="AB277" i="3"/>
  <c r="C277" i="3" s="1"/>
  <c r="AC290" i="3"/>
  <c r="U259" i="3"/>
  <c r="H259" i="3" s="1"/>
  <c r="K295" i="3" a="1"/>
  <c r="K295" i="3" s="1"/>
  <c r="M295" i="3" a="1"/>
  <c r="M295" i="3" s="1"/>
  <c r="AA261" i="3"/>
  <c r="AC267" i="3"/>
  <c r="AD287" i="3"/>
  <c r="K282" i="3" a="1"/>
  <c r="K282" i="3" s="1"/>
  <c r="L299" i="3" a="1"/>
  <c r="L299" i="3" s="1"/>
  <c r="M299" i="3" a="1"/>
  <c r="M299" i="3" s="1"/>
  <c r="C114" i="3"/>
  <c r="O282" i="3" a="1"/>
  <c r="O282" i="3" s="1"/>
  <c r="M271" i="3" a="1"/>
  <c r="M271" i="3" s="1"/>
  <c r="H282" i="3"/>
  <c r="P282" i="3" s="1" a="1"/>
  <c r="P282" i="3" s="1"/>
  <c r="R282" i="3" s="1"/>
  <c r="N284" i="3" a="1"/>
  <c r="N284" i="3" s="1"/>
  <c r="K271" i="3" a="1"/>
  <c r="K271" i="3" s="1"/>
  <c r="AC287" i="3"/>
  <c r="L289" i="3" a="1"/>
  <c r="L289" i="3" s="1"/>
  <c r="U289" i="3"/>
  <c r="H289" i="3" s="1"/>
  <c r="AB300" i="3"/>
  <c r="Y286" i="3"/>
  <c r="Z286" i="3" s="1"/>
  <c r="Y297" i="3"/>
  <c r="Z297" i="3" s="1"/>
  <c r="N280" i="3" a="1"/>
  <c r="N280" i="3" s="1"/>
  <c r="J282" i="3" a="1"/>
  <c r="J282" i="3" s="1"/>
  <c r="L271" i="3" a="1"/>
  <c r="L271" i="3" s="1"/>
  <c r="K274" i="3" a="1"/>
  <c r="K274" i="3" s="1"/>
  <c r="L282" i="3" a="1"/>
  <c r="L282" i="3" s="1"/>
  <c r="J274" i="3" a="1"/>
  <c r="J274" i="3" s="1"/>
  <c r="O274" i="3" a="1"/>
  <c r="O274" i="3" s="1"/>
  <c r="K299" i="3" a="1"/>
  <c r="K299" i="3" s="1"/>
  <c r="O271" i="3" a="1"/>
  <c r="O271" i="3" s="1"/>
  <c r="AA271" i="3"/>
  <c r="AB293" i="3"/>
  <c r="AD277" i="3"/>
  <c r="AC271" i="3"/>
  <c r="AD289" i="3"/>
  <c r="AA293" i="3"/>
  <c r="AA294" i="3"/>
  <c r="AC276" i="3"/>
  <c r="D276" i="3" s="1"/>
  <c r="O280" i="3" a="1"/>
  <c r="O280" i="3" s="1"/>
  <c r="U272" i="3"/>
  <c r="V272" i="3" s="1"/>
  <c r="AC295" i="3"/>
  <c r="D295" i="3" s="1"/>
  <c r="J284" i="3" a="1"/>
  <c r="J284" i="3" s="1"/>
  <c r="AB281" i="3"/>
  <c r="C281" i="3" s="1"/>
  <c r="AC283" i="3"/>
  <c r="Y302" i="3"/>
  <c r="Z302" i="3" s="1"/>
  <c r="Y277" i="3"/>
  <c r="Z277" i="3" s="1"/>
  <c r="AC299" i="3"/>
  <c r="AB299" i="3"/>
  <c r="D107" i="3"/>
  <c r="AC286" i="3"/>
  <c r="AA284" i="3"/>
  <c r="U260" i="3"/>
  <c r="V260" i="3" s="1"/>
  <c r="AC292" i="3"/>
  <c r="O290" i="3" a="1"/>
  <c r="O290" i="3" s="1"/>
  <c r="C39" i="3"/>
  <c r="M291" i="3" a="1"/>
  <c r="M291" i="3" s="1"/>
  <c r="C52" i="3"/>
  <c r="Z279" i="3"/>
  <c r="M279" i="3" a="1"/>
  <c r="M279" i="3" s="1"/>
  <c r="J279" i="3" a="1"/>
  <c r="J279" i="3" s="1"/>
  <c r="K291" i="3" a="1"/>
  <c r="K291" i="3" s="1"/>
  <c r="K290" i="3" a="1"/>
  <c r="K290" i="3" s="1"/>
  <c r="J297" i="3" a="1"/>
  <c r="J297" i="3" s="1"/>
  <c r="AB284" i="3"/>
  <c r="AB272" i="3"/>
  <c r="U274" i="3"/>
  <c r="V274" i="3" s="1"/>
  <c r="Y296" i="3"/>
  <c r="Z296" i="3" s="1"/>
  <c r="C102" i="3"/>
  <c r="AA291" i="3"/>
  <c r="K289" i="3" a="1"/>
  <c r="K289" i="3" s="1"/>
  <c r="Y274" i="3"/>
  <c r="Z274" i="3" s="1"/>
  <c r="AC294" i="3"/>
  <c r="Y290" i="3"/>
  <c r="Z290" i="3" s="1"/>
  <c r="AB295" i="3"/>
  <c r="Y271" i="3"/>
  <c r="Z271" i="3" s="1"/>
  <c r="V79" i="3"/>
  <c r="D122" i="3"/>
  <c r="V16" i="3"/>
  <c r="V110" i="3"/>
  <c r="AC284" i="3"/>
  <c r="AC298" i="3"/>
  <c r="V93" i="3"/>
  <c r="J298" i="3" a="1"/>
  <c r="J298" i="3" s="1"/>
  <c r="M284" i="3" a="1"/>
  <c r="M284" i="3" s="1"/>
  <c r="M298" i="3" a="1"/>
  <c r="M298" i="3" s="1"/>
  <c r="AC281" i="3"/>
  <c r="AD298" i="3"/>
  <c r="AC288" i="3"/>
  <c r="O270" i="3" a="1"/>
  <c r="O270" i="3" s="1"/>
  <c r="M270" i="3" a="1"/>
  <c r="M270" i="3" s="1"/>
  <c r="Y299" i="3"/>
  <c r="Z299" i="3" s="1"/>
  <c r="N289" i="3" a="1"/>
  <c r="N289" i="3" s="1"/>
  <c r="O289" i="3" a="1"/>
  <c r="O289" i="3" s="1"/>
  <c r="AA299" i="3"/>
  <c r="AD284" i="3"/>
  <c r="AB296" i="3"/>
  <c r="Y285" i="3"/>
  <c r="Z285" i="3" s="1"/>
  <c r="C126" i="3"/>
  <c r="C91" i="3"/>
  <c r="C22" i="3"/>
  <c r="J295" i="3" a="1"/>
  <c r="J295" i="3" s="1"/>
  <c r="J286" i="3" a="1"/>
  <c r="J286" i="3" s="1"/>
  <c r="AD272" i="3"/>
  <c r="AD291" i="3"/>
  <c r="N298" i="3" a="1"/>
  <c r="N298" i="3" s="1"/>
  <c r="O298" i="3" a="1"/>
  <c r="O298" i="3" s="1"/>
  <c r="AC293" i="3"/>
  <c r="AC280" i="3"/>
  <c r="U280" i="3"/>
  <c r="H280" i="3" s="1"/>
  <c r="AD299" i="3"/>
  <c r="AC309" i="3"/>
  <c r="N294" i="3" a="1"/>
  <c r="N294" i="3" s="1"/>
  <c r="M293" i="3" a="1"/>
  <c r="M293" i="3" s="1"/>
  <c r="L294" i="3" a="1"/>
  <c r="L294" i="3" s="1"/>
  <c r="K293" i="3" a="1"/>
  <c r="K293" i="3" s="1"/>
  <c r="AC274" i="3"/>
  <c r="D274" i="3" s="1"/>
  <c r="L272" i="3" a="1"/>
  <c r="L272" i="3" s="1"/>
  <c r="K287" i="3" a="1"/>
  <c r="K287" i="3" s="1"/>
  <c r="N291" i="3" a="1"/>
  <c r="N291" i="3" s="1"/>
  <c r="J309" i="3" a="1"/>
  <c r="J309" i="3" s="1"/>
  <c r="AD308" i="3"/>
  <c r="U284" i="3"/>
  <c r="H284" i="3" s="1"/>
  <c r="K310" i="3" a="1"/>
  <c r="K310" i="3" s="1"/>
  <c r="J310" i="3" a="1"/>
  <c r="J310" i="3" s="1"/>
  <c r="AC310" i="3"/>
  <c r="AB270" i="3"/>
  <c r="Y289" i="3"/>
  <c r="Z289" i="3" s="1"/>
  <c r="L310" i="3" a="1"/>
  <c r="L310" i="3" s="1"/>
  <c r="AB310" i="3"/>
  <c r="AD292" i="3"/>
  <c r="AA298" i="3"/>
  <c r="AB273" i="3"/>
  <c r="O309" i="3" a="1"/>
  <c r="O309" i="3" s="1"/>
  <c r="U310" i="3"/>
  <c r="D67" i="3"/>
  <c r="AB298" i="3"/>
  <c r="K285" i="3" a="1"/>
  <c r="K285" i="3" s="1"/>
  <c r="AB309" i="3"/>
  <c r="U309" i="3"/>
  <c r="N295" i="3" a="1"/>
  <c r="N295" i="3" s="1"/>
  <c r="O273" i="3" a="1"/>
  <c r="O273" i="3" s="1"/>
  <c r="AA270" i="3"/>
  <c r="AD280" i="3"/>
  <c r="AD296" i="3"/>
  <c r="AD286" i="3"/>
  <c r="AB285" i="3"/>
  <c r="AB274" i="3"/>
  <c r="AB280" i="3"/>
  <c r="Y288" i="3"/>
  <c r="Z288" i="3" s="1"/>
  <c r="Y281" i="3"/>
  <c r="Z281" i="3" s="1"/>
  <c r="AD271" i="3"/>
  <c r="AC289" i="3"/>
  <c r="AA296" i="3"/>
  <c r="AD273" i="3"/>
  <c r="D273" i="3" s="1"/>
  <c r="AA295" i="3"/>
  <c r="AA285" i="3"/>
  <c r="C48" i="3"/>
  <c r="AA280" i="3"/>
  <c r="O287" i="3" a="1"/>
  <c r="O287" i="3" s="1"/>
  <c r="U296" i="3"/>
  <c r="H296" i="3" s="1"/>
  <c r="P296" i="3" s="1" a="1"/>
  <c r="P296" i="3" s="1"/>
  <c r="Q296" i="3" s="1"/>
  <c r="Z270" i="3"/>
  <c r="J270" i="3" a="1"/>
  <c r="J270" i="3" s="1"/>
  <c r="AA274" i="3"/>
  <c r="M297" i="3" a="1"/>
  <c r="M297" i="3" s="1"/>
  <c r="V7" i="3"/>
  <c r="V173" i="3"/>
  <c r="O281" i="3" a="1"/>
  <c r="O281" i="3" s="1"/>
  <c r="AD288" i="3"/>
  <c r="L291" i="3" a="1"/>
  <c r="L291" i="3" s="1"/>
  <c r="L270" i="3" a="1"/>
  <c r="L270" i="3" s="1"/>
  <c r="N297" i="3" a="1"/>
  <c r="N297" i="3" s="1"/>
  <c r="N281" i="3" a="1"/>
  <c r="N281" i="3" s="1"/>
  <c r="L281" i="3" a="1"/>
  <c r="L281" i="3" s="1"/>
  <c r="K270" i="3" a="1"/>
  <c r="K270" i="3" s="1"/>
  <c r="M273" i="3" a="1"/>
  <c r="M273" i="3" s="1"/>
  <c r="L273" i="3" a="1"/>
  <c r="L273" i="3" s="1"/>
  <c r="M281" i="3" a="1"/>
  <c r="M281" i="3" s="1"/>
  <c r="N287" i="3" a="1"/>
  <c r="N287" i="3" s="1"/>
  <c r="J291" i="3" a="1"/>
  <c r="J291" i="3" s="1"/>
  <c r="AA272" i="3"/>
  <c r="AA304" i="3"/>
  <c r="AC264" i="3"/>
  <c r="D4" i="3"/>
  <c r="L290" i="3" a="1"/>
  <c r="L290" i="3" s="1"/>
  <c r="Y283" i="3"/>
  <c r="Z283" i="3" s="1"/>
  <c r="J290" i="3" a="1"/>
  <c r="J290" i="3" s="1"/>
  <c r="Y287" i="3"/>
  <c r="Z287" i="3" s="1"/>
  <c r="AC270" i="3"/>
  <c r="AA286" i="3"/>
  <c r="Y273" i="3"/>
  <c r="Z273" i="3" s="1"/>
  <c r="U298" i="3"/>
  <c r="V298" i="3" s="1"/>
  <c r="AA273" i="3"/>
  <c r="Y248" i="3"/>
  <c r="Z248" i="3" s="1"/>
  <c r="M308" i="3" a="1"/>
  <c r="M308" i="3" s="1"/>
  <c r="U290" i="3"/>
  <c r="AA308" i="3"/>
  <c r="Y295" i="3"/>
  <c r="Z295" i="3" s="1"/>
  <c r="C17" i="3"/>
  <c r="K280" i="3" a="1"/>
  <c r="K280" i="3" s="1"/>
  <c r="L284" i="3" a="1"/>
  <c r="L284" i="3" s="1"/>
  <c r="AB287" i="3"/>
  <c r="M285" i="3" a="1"/>
  <c r="M285" i="3" s="1"/>
  <c r="O288" i="3" a="1"/>
  <c r="O288" i="3" s="1"/>
  <c r="M280" i="3" a="1"/>
  <c r="M280" i="3" s="1"/>
  <c r="K288" i="3" a="1"/>
  <c r="K288" i="3" s="1"/>
  <c r="M274" i="3" a="1"/>
  <c r="M274" i="3" s="1"/>
  <c r="N308" i="3" a="1"/>
  <c r="N308" i="3" s="1"/>
  <c r="O264" i="3" a="1"/>
  <c r="O264" i="3" s="1"/>
  <c r="N306" i="3" a="1"/>
  <c r="N306" i="3" s="1"/>
  <c r="O306" i="3" a="1"/>
  <c r="O306" i="3" s="1"/>
  <c r="D31" i="3"/>
  <c r="D156" i="3"/>
  <c r="L288" i="3" a="1"/>
  <c r="L288" i="3" s="1"/>
  <c r="J288" i="3" a="1"/>
  <c r="J288" i="3" s="1"/>
  <c r="J287" i="3" a="1"/>
  <c r="J287" i="3" s="1"/>
  <c r="AC296" i="3"/>
  <c r="O296" i="3" a="1"/>
  <c r="O296" i="3" s="1"/>
  <c r="O285" i="3" a="1"/>
  <c r="O285" i="3" s="1"/>
  <c r="O272" i="3" a="1"/>
  <c r="O272" i="3" s="1"/>
  <c r="AD307" i="3"/>
  <c r="O241" i="3" a="1"/>
  <c r="O241" i="3" s="1"/>
  <c r="M287" i="3" a="1"/>
  <c r="M287" i="3" s="1"/>
  <c r="M288" i="3" a="1"/>
  <c r="M288" i="3" s="1"/>
  <c r="K308" i="3" a="1"/>
  <c r="K308" i="3" s="1"/>
  <c r="AC307" i="3"/>
  <c r="Y308" i="3"/>
  <c r="Z308" i="3" s="1"/>
  <c r="L303" i="3" a="1"/>
  <c r="L303" i="3" s="1"/>
  <c r="K303" i="3" a="1"/>
  <c r="K303" i="3" s="1"/>
  <c r="L308" i="3" a="1"/>
  <c r="L308" i="3" s="1"/>
  <c r="U273" i="3"/>
  <c r="O303" i="3" a="1"/>
  <c r="O303" i="3" s="1"/>
  <c r="M306" i="3" a="1"/>
  <c r="M306" i="3" s="1"/>
  <c r="AA307" i="3"/>
  <c r="N304" i="3" a="1"/>
  <c r="N304" i="3" s="1"/>
  <c r="AC306" i="3"/>
  <c r="K307" i="3" a="1"/>
  <c r="K307" i="3" s="1"/>
  <c r="N303" i="3" a="1"/>
  <c r="N303" i="3" s="1"/>
  <c r="L307" i="3" a="1"/>
  <c r="L307" i="3" s="1"/>
  <c r="U304" i="3"/>
  <c r="V304" i="3" s="1"/>
  <c r="AC308" i="3"/>
  <c r="C10" i="5" s="1"/>
  <c r="U299" i="3"/>
  <c r="AC304" i="3"/>
  <c r="J308" i="3" a="1"/>
  <c r="J308" i="3" s="1"/>
  <c r="AB308" i="3"/>
  <c r="AB305" i="3"/>
  <c r="M304" i="3" a="1"/>
  <c r="M304" i="3" s="1"/>
  <c r="U308" i="3"/>
  <c r="K302" i="3" a="1"/>
  <c r="K302" i="3" s="1"/>
  <c r="J303" i="3" a="1"/>
  <c r="J303" i="3" s="1"/>
  <c r="AD306" i="3"/>
  <c r="AD305" i="3"/>
  <c r="U306" i="3"/>
  <c r="V306" i="3" s="1"/>
  <c r="O302" i="3" a="1"/>
  <c r="O302" i="3" s="1"/>
  <c r="U264" i="3"/>
  <c r="H264" i="3" s="1"/>
  <c r="K305" i="3" a="1"/>
  <c r="K305" i="3" s="1"/>
  <c r="N307" i="3" a="1"/>
  <c r="N307" i="3" s="1"/>
  <c r="AB304" i="3"/>
  <c r="J305" i="3" a="1"/>
  <c r="J305" i="3" s="1"/>
  <c r="U305" i="3"/>
  <c r="N305" i="3" a="1"/>
  <c r="N305" i="3" s="1"/>
  <c r="O307" i="3" a="1"/>
  <c r="O307" i="3" s="1"/>
  <c r="O305" i="3" a="1"/>
  <c r="O305" i="3" s="1"/>
  <c r="Y307" i="3"/>
  <c r="Z307" i="3" s="1"/>
  <c r="U307" i="3"/>
  <c r="H307" i="3" s="1"/>
  <c r="AA306" i="3"/>
  <c r="Y303" i="3"/>
  <c r="Z303" i="3" s="1"/>
  <c r="U270" i="3"/>
  <c r="M307" i="3" a="1"/>
  <c r="M307" i="3" s="1"/>
  <c r="K304" i="3" a="1"/>
  <c r="K304" i="3" s="1"/>
  <c r="AB307" i="3"/>
  <c r="Y306" i="3"/>
  <c r="Z306" i="3" s="1"/>
  <c r="L306" i="3" a="1"/>
  <c r="L306" i="3" s="1"/>
  <c r="J306" i="3" a="1"/>
  <c r="J306" i="3" s="1"/>
  <c r="N302" i="3" a="1"/>
  <c r="N302" i="3" s="1"/>
  <c r="L302" i="3" a="1"/>
  <c r="L302" i="3" s="1"/>
  <c r="Y292" i="3"/>
  <c r="Z292" i="3" s="1"/>
  <c r="J304" i="3" a="1"/>
  <c r="J304" i="3" s="1"/>
  <c r="Y305" i="3"/>
  <c r="Z305" i="3" s="1"/>
  <c r="J302" i="3" a="1"/>
  <c r="J302" i="3" s="1"/>
  <c r="AD264" i="3"/>
  <c r="O304" i="3" a="1"/>
  <c r="O304" i="3" s="1"/>
  <c r="AB306" i="3"/>
  <c r="M305" i="3" a="1"/>
  <c r="M305" i="3" s="1"/>
  <c r="Y304" i="3"/>
  <c r="Z304" i="3" s="1"/>
  <c r="H211" i="3"/>
  <c r="P211" i="3" s="1" a="1"/>
  <c r="P211" i="3" s="1"/>
  <c r="Q211" i="3" s="1"/>
  <c r="L298" i="3" a="1"/>
  <c r="L298" i="3" s="1"/>
  <c r="N290" i="3" a="1"/>
  <c r="N290" i="3" s="1"/>
  <c r="K286" i="3" a="1"/>
  <c r="K286" i="3" s="1"/>
  <c r="M286" i="3" a="1"/>
  <c r="M286" i="3" s="1"/>
  <c r="D62" i="3"/>
  <c r="H300" i="3"/>
  <c r="P300" i="3" s="1" a="1"/>
  <c r="P300" i="3" s="1"/>
  <c r="Q300" i="3" s="1"/>
  <c r="C78" i="3"/>
  <c r="O286" i="3" a="1"/>
  <c r="O286" i="3" s="1"/>
  <c r="J264" i="3" a="1"/>
  <c r="J264" i="3" s="1"/>
  <c r="N264" i="3" a="1"/>
  <c r="N264" i="3" s="1"/>
  <c r="O294" i="3" a="1"/>
  <c r="O294" i="3" s="1"/>
  <c r="E5" i="5"/>
  <c r="G2" i="3" a="1"/>
  <c r="G2" i="3" s="1"/>
  <c r="F2" i="3" a="1"/>
  <c r="F2" i="3" s="1"/>
  <c r="E2" i="3" a="1"/>
  <c r="E2" i="3" s="1"/>
  <c r="X2" i="3" a="1"/>
  <c r="X2" i="3" s="1"/>
  <c r="H6" i="5"/>
  <c r="H6" i="11" s="1"/>
  <c r="W2" i="3" a="1"/>
  <c r="W2" i="3" s="1"/>
  <c r="T2" i="3" a="1"/>
  <c r="T2" i="3" s="1"/>
  <c r="H5" i="5"/>
  <c r="H5" i="11" s="1"/>
  <c r="B2" i="3" a="1"/>
  <c r="B2" i="3" s="1"/>
  <c r="E6" i="5"/>
  <c r="E6" i="11" s="1"/>
  <c r="S2" i="3" a="1"/>
  <c r="S2" i="3" s="1"/>
  <c r="J289" i="3" a="1"/>
  <c r="J289" i="3" s="1"/>
  <c r="M264" i="3" a="1"/>
  <c r="M264" i="3" s="1"/>
  <c r="AB264" i="3"/>
  <c r="M294" i="3" a="1"/>
  <c r="M294" i="3" s="1"/>
  <c r="Y264" i="3"/>
  <c r="Z264" i="3" s="1"/>
  <c r="K264" i="3" a="1"/>
  <c r="K264" i="3" s="1"/>
  <c r="N273" i="3" a="1"/>
  <c r="N273" i="3" s="1"/>
  <c r="K273" i="3" a="1"/>
  <c r="K273" i="3" s="1"/>
  <c r="K294" i="3" a="1"/>
  <c r="K294" i="3" s="1"/>
  <c r="AA264" i="3"/>
  <c r="U292" i="3"/>
  <c r="N292" i="3" a="1"/>
  <c r="N292" i="3" s="1"/>
  <c r="Y291" i="3"/>
  <c r="Z291" i="3" s="1"/>
  <c r="V303" i="3"/>
  <c r="H303" i="3"/>
  <c r="P303" i="3" s="1" a="1"/>
  <c r="P303" i="3" s="1"/>
  <c r="Q303" i="3" s="1"/>
  <c r="C301" i="3"/>
  <c r="H294" i="3"/>
  <c r="V294" i="3"/>
  <c r="H286" i="3"/>
  <c r="V286" i="3"/>
  <c r="V10" i="3"/>
  <c r="C66" i="3"/>
  <c r="C34" i="3"/>
  <c r="V51" i="3"/>
  <c r="C120" i="3"/>
  <c r="D168" i="3"/>
  <c r="V282" i="3"/>
  <c r="H281" i="3"/>
  <c r="V281" i="3"/>
  <c r="D152" i="3"/>
  <c r="V21" i="3"/>
  <c r="V58" i="3"/>
  <c r="D162" i="3"/>
  <c r="D24" i="3"/>
  <c r="C145" i="3"/>
  <c r="H277" i="3"/>
  <c r="P277" i="3" s="1" a="1"/>
  <c r="P277" i="3" s="1"/>
  <c r="Q277" i="3" s="1"/>
  <c r="C278" i="3"/>
  <c r="H278" i="3"/>
  <c r="V278" i="3"/>
  <c r="C43" i="3"/>
  <c r="D148" i="3"/>
  <c r="D65" i="3"/>
  <c r="D130" i="3"/>
  <c r="D263" i="3"/>
  <c r="B10" i="5"/>
  <c r="V265" i="3"/>
  <c r="C276" i="3"/>
  <c r="H258" i="3"/>
  <c r="P258" i="3" s="1" a="1"/>
  <c r="P258" i="3" s="1"/>
  <c r="Q258" i="3" s="1"/>
  <c r="H276" i="3"/>
  <c r="V276" i="3"/>
  <c r="D275" i="3"/>
  <c r="C31" i="3"/>
  <c r="C268" i="3"/>
  <c r="V269" i="3"/>
  <c r="V267" i="3"/>
  <c r="D265" i="3"/>
  <c r="C266" i="3"/>
  <c r="H266" i="3"/>
  <c r="H263" i="3"/>
  <c r="P263" i="3" s="1" a="1"/>
  <c r="P263" i="3" s="1"/>
  <c r="Q263" i="3" s="1"/>
  <c r="D259" i="3"/>
  <c r="V262" i="3"/>
  <c r="C68" i="3"/>
  <c r="C9" i="3"/>
  <c r="D261" i="3"/>
  <c r="C262" i="3"/>
  <c r="C156" i="3"/>
  <c r="C51" i="3"/>
  <c r="C143" i="3"/>
  <c r="V261" i="3"/>
  <c r="D22" i="3"/>
  <c r="C132" i="3"/>
  <c r="C161" i="3"/>
  <c r="C21" i="3"/>
  <c r="D136" i="3"/>
  <c r="D56" i="3"/>
  <c r="C169" i="3"/>
  <c r="D70" i="3"/>
  <c r="C135" i="3"/>
  <c r="H242" i="3"/>
  <c r="P242" i="3" s="1" a="1"/>
  <c r="P242" i="3" s="1"/>
  <c r="Q242" i="3" s="1"/>
  <c r="H254" i="3"/>
  <c r="P254" i="3" s="1" a="1"/>
  <c r="P254" i="3" s="1"/>
  <c r="Q254" i="3" s="1"/>
  <c r="C55" i="3"/>
  <c r="C115" i="3"/>
  <c r="C79" i="3"/>
  <c r="C25" i="3"/>
  <c r="D154" i="3"/>
  <c r="C131" i="3"/>
  <c r="D172" i="3"/>
  <c r="C256" i="3"/>
  <c r="C257" i="3"/>
  <c r="D45" i="3"/>
  <c r="V257" i="3"/>
  <c r="H257" i="3"/>
  <c r="D254" i="3"/>
  <c r="D255" i="3"/>
  <c r="V251" i="3"/>
  <c r="D159" i="3"/>
  <c r="D245" i="3"/>
  <c r="Q251" i="3"/>
  <c r="V82" i="3"/>
  <c r="V152" i="3"/>
  <c r="D48" i="3"/>
  <c r="D95" i="3"/>
  <c r="C250" i="3"/>
  <c r="D57" i="3"/>
  <c r="D253" i="3"/>
  <c r="C246" i="3"/>
  <c r="H243" i="3"/>
  <c r="P243" i="3" s="1" a="1"/>
  <c r="P243" i="3" s="1"/>
  <c r="Q243" i="3" s="1"/>
  <c r="V247" i="3"/>
  <c r="H252" i="3"/>
  <c r="V255" i="3"/>
  <c r="H255" i="3"/>
  <c r="C255" i="3"/>
  <c r="C252" i="3"/>
  <c r="V250" i="3"/>
  <c r="V253" i="3"/>
  <c r="H253" i="3"/>
  <c r="C73" i="3"/>
  <c r="C171" i="3"/>
  <c r="C7" i="3"/>
  <c r="C207" i="3"/>
  <c r="D237" i="3"/>
  <c r="D235" i="3"/>
  <c r="V248" i="3"/>
  <c r="P248" i="3" a="1"/>
  <c r="P248" i="3" s="1"/>
  <c r="Q248" i="3" s="1"/>
  <c r="D246" i="3"/>
  <c r="C241" i="3"/>
  <c r="R244" i="3"/>
  <c r="D242" i="3"/>
  <c r="C239" i="3"/>
  <c r="C244" i="3"/>
  <c r="V245" i="3"/>
  <c r="H245" i="3"/>
  <c r="D240" i="3"/>
  <c r="C242" i="3"/>
  <c r="D244" i="3"/>
  <c r="H239" i="3"/>
  <c r="H237" i="3"/>
  <c r="V228" i="3"/>
  <c r="C238" i="3"/>
  <c r="D236" i="3"/>
  <c r="V238" i="3"/>
  <c r="H238" i="3"/>
  <c r="D106" i="3"/>
  <c r="C45" i="3"/>
  <c r="D52" i="3"/>
  <c r="C86" i="3"/>
  <c r="H231" i="3"/>
  <c r="P231" i="3" s="1" a="1"/>
  <c r="P231" i="3" s="1"/>
  <c r="Q231" i="3" s="1"/>
  <c r="D227" i="3"/>
  <c r="P112" i="3" a="1"/>
  <c r="P112" i="3" s="1"/>
  <c r="Q112" i="3" s="1"/>
  <c r="C228" i="3"/>
  <c r="D133" i="3"/>
  <c r="V224" i="3"/>
  <c r="C157" i="3"/>
  <c r="D41" i="3"/>
  <c r="D19" i="3"/>
  <c r="C53" i="3"/>
  <c r="D98" i="3"/>
  <c r="C167" i="3"/>
  <c r="D38" i="3"/>
  <c r="D112" i="3"/>
  <c r="D86" i="3"/>
  <c r="D78" i="3"/>
  <c r="C226" i="3"/>
  <c r="D233" i="3"/>
  <c r="C237" i="3"/>
  <c r="C47" i="3"/>
  <c r="D220" i="3"/>
  <c r="C16" i="3"/>
  <c r="D234" i="3"/>
  <c r="C236" i="3"/>
  <c r="C231" i="3"/>
  <c r="D231" i="3"/>
  <c r="H233" i="3"/>
  <c r="P233" i="3" s="1" a="1"/>
  <c r="P233" i="3" s="1"/>
  <c r="Q233" i="3" s="1"/>
  <c r="H235" i="3"/>
  <c r="V235" i="3"/>
  <c r="V236" i="3"/>
  <c r="H236" i="3"/>
  <c r="C235" i="3"/>
  <c r="D209" i="3"/>
  <c r="V223" i="3"/>
  <c r="D228" i="3"/>
  <c r="V234" i="3"/>
  <c r="D225" i="3"/>
  <c r="V230" i="3"/>
  <c r="H232" i="3"/>
  <c r="P232" i="3" s="1" a="1"/>
  <c r="P232" i="3" s="1"/>
  <c r="Q232" i="3" s="1"/>
  <c r="C234" i="3"/>
  <c r="C233" i="3"/>
  <c r="P234" i="3" a="1"/>
  <c r="P234" i="3" s="1"/>
  <c r="Q234" i="3" s="1"/>
  <c r="D229" i="3"/>
  <c r="C220" i="3"/>
  <c r="C227" i="3"/>
  <c r="V226" i="3"/>
  <c r="D230" i="3"/>
  <c r="P225" i="3" a="1"/>
  <c r="P225" i="3" s="1"/>
  <c r="Q225" i="3" s="1"/>
  <c r="D226" i="3"/>
  <c r="V227" i="3"/>
  <c r="P230" i="3" a="1"/>
  <c r="P230" i="3" s="1"/>
  <c r="Q230" i="3" s="1"/>
  <c r="C229" i="3"/>
  <c r="V229" i="3"/>
  <c r="H229" i="3"/>
  <c r="C230" i="3"/>
  <c r="C225" i="3"/>
  <c r="V225" i="3"/>
  <c r="D223" i="3"/>
  <c r="P227" i="3" a="1"/>
  <c r="P227" i="3" s="1"/>
  <c r="Q227" i="3" s="1"/>
  <c r="C46" i="3"/>
  <c r="D18" i="3"/>
  <c r="D224" i="3"/>
  <c r="P226" i="3" a="1"/>
  <c r="P226" i="3" s="1"/>
  <c r="Q226" i="3" s="1"/>
  <c r="V4" i="3"/>
  <c r="C88" i="3"/>
  <c r="D222" i="3"/>
  <c r="C224" i="3"/>
  <c r="D221" i="3"/>
  <c r="C223" i="3"/>
  <c r="H221" i="3"/>
  <c r="D218" i="3"/>
  <c r="H220" i="3"/>
  <c r="P220" i="3" s="1" a="1"/>
  <c r="P220" i="3" s="1"/>
  <c r="Q220" i="3" s="1"/>
  <c r="V217" i="3"/>
  <c r="D219" i="3"/>
  <c r="V219" i="3"/>
  <c r="C222" i="3"/>
  <c r="D36" i="3"/>
  <c r="D214" i="3"/>
  <c r="C219" i="3"/>
  <c r="C221" i="3"/>
  <c r="C217" i="3"/>
  <c r="C218" i="3"/>
  <c r="D173" i="3"/>
  <c r="D212" i="3"/>
  <c r="H215" i="3"/>
  <c r="P215" i="3" s="1" a="1"/>
  <c r="P215" i="3" s="1"/>
  <c r="Q215" i="3" s="1"/>
  <c r="C29" i="3"/>
  <c r="C124" i="3"/>
  <c r="V214" i="3"/>
  <c r="C216" i="3"/>
  <c r="D210" i="3"/>
  <c r="D89" i="3"/>
  <c r="D72" i="3"/>
  <c r="C94" i="3"/>
  <c r="D207" i="3"/>
  <c r="H218" i="3"/>
  <c r="V218" i="3"/>
  <c r="V216" i="3"/>
  <c r="P216" i="3" a="1"/>
  <c r="P216" i="3" s="1"/>
  <c r="Q216" i="3" s="1"/>
  <c r="D216" i="3"/>
  <c r="D83" i="3"/>
  <c r="D53" i="3"/>
  <c r="C95" i="3"/>
  <c r="V87" i="3"/>
  <c r="D116" i="3"/>
  <c r="C172" i="3"/>
  <c r="D215" i="3"/>
  <c r="C159" i="3"/>
  <c r="D20" i="3"/>
  <c r="D131" i="3"/>
  <c r="D217" i="3"/>
  <c r="C152" i="3"/>
  <c r="P219" i="3" a="1"/>
  <c r="P219" i="3" s="1"/>
  <c r="Q219" i="3" s="1"/>
  <c r="D213" i="3"/>
  <c r="D211" i="3"/>
  <c r="R214" i="3"/>
  <c r="H210" i="3"/>
  <c r="C210" i="3"/>
  <c r="C214" i="3"/>
  <c r="P217" i="3" a="1"/>
  <c r="P217" i="3" s="1"/>
  <c r="Q217" i="3" s="1"/>
  <c r="C208" i="3"/>
  <c r="D208" i="3"/>
  <c r="C215" i="3"/>
  <c r="C212" i="3"/>
  <c r="D54" i="3"/>
  <c r="C211" i="3"/>
  <c r="V209" i="3"/>
  <c r="P208" i="3" a="1"/>
  <c r="P208" i="3" s="1"/>
  <c r="Q208" i="3" s="1"/>
  <c r="V208" i="3"/>
  <c r="C209" i="3"/>
  <c r="C213" i="3"/>
  <c r="V213" i="3"/>
  <c r="H213" i="3"/>
  <c r="V212" i="3"/>
  <c r="H212" i="3"/>
  <c r="C27" i="3"/>
  <c r="C59" i="3"/>
  <c r="D50" i="3"/>
  <c r="C129" i="3"/>
  <c r="D132" i="3"/>
  <c r="D205" i="3"/>
  <c r="D206" i="3"/>
  <c r="D32" i="3"/>
  <c r="C197" i="3"/>
  <c r="H207" i="3"/>
  <c r="V207" i="3"/>
  <c r="D92" i="3"/>
  <c r="P209" i="3" a="1"/>
  <c r="P209" i="3" s="1"/>
  <c r="Q209" i="3" s="1"/>
  <c r="D44" i="3"/>
  <c r="C30" i="3"/>
  <c r="D25" i="3"/>
  <c r="D13" i="3"/>
  <c r="D137" i="3"/>
  <c r="D99" i="3"/>
  <c r="C75" i="3"/>
  <c r="C139" i="3"/>
  <c r="D79" i="3"/>
  <c r="D166" i="3"/>
  <c r="D171" i="3"/>
  <c r="H204" i="3"/>
  <c r="P204" i="3" s="1" a="1"/>
  <c r="P204" i="3" s="1"/>
  <c r="Q204" i="3" s="1"/>
  <c r="H179" i="3"/>
  <c r="P179" i="3" s="1" a="1"/>
  <c r="P179" i="3" s="1"/>
  <c r="Q179" i="3" s="1"/>
  <c r="H190" i="3"/>
  <c r="P190" i="3" s="1" a="1"/>
  <c r="P190" i="3" s="1"/>
  <c r="Q190" i="3" s="1"/>
  <c r="D73" i="3"/>
  <c r="C155" i="3"/>
  <c r="D26" i="3"/>
  <c r="D157" i="3"/>
  <c r="C23" i="3"/>
  <c r="D87" i="3"/>
  <c r="D69" i="3"/>
  <c r="C122" i="3"/>
  <c r="C60" i="3"/>
  <c r="C85" i="3"/>
  <c r="V138" i="3"/>
  <c r="C107" i="3"/>
  <c r="D140" i="3"/>
  <c r="C14" i="3"/>
  <c r="C125" i="3"/>
  <c r="C162" i="3"/>
  <c r="V80" i="3"/>
  <c r="D39" i="3"/>
  <c r="C74" i="3"/>
  <c r="C97" i="3"/>
  <c r="D103" i="3"/>
  <c r="D82" i="3"/>
  <c r="C112" i="3"/>
  <c r="C4" i="3"/>
  <c r="D145" i="3"/>
  <c r="H203" i="3"/>
  <c r="C118" i="3"/>
  <c r="D134" i="3"/>
  <c r="D165" i="3"/>
  <c r="C61" i="3"/>
  <c r="D77" i="3"/>
  <c r="C105" i="3"/>
  <c r="D115" i="3"/>
  <c r="H180" i="3"/>
  <c r="C89" i="3"/>
  <c r="D59" i="3"/>
  <c r="D129" i="3"/>
  <c r="D123" i="3"/>
  <c r="D35" i="3"/>
  <c r="D61" i="3"/>
  <c r="V198" i="3"/>
  <c r="C144" i="3"/>
  <c r="C173" i="3"/>
  <c r="D81" i="3"/>
  <c r="D113" i="3"/>
  <c r="D204" i="3"/>
  <c r="C205" i="3"/>
  <c r="D37" i="3"/>
  <c r="D202" i="3"/>
  <c r="C203" i="3"/>
  <c r="D201" i="3"/>
  <c r="C204" i="3"/>
  <c r="V201" i="3"/>
  <c r="H205" i="3"/>
  <c r="V205" i="3"/>
  <c r="D203" i="3"/>
  <c r="C206" i="3"/>
  <c r="P203" i="3" a="1"/>
  <c r="P203" i="3" s="1"/>
  <c r="Q203" i="3" s="1"/>
  <c r="V206" i="3"/>
  <c r="H206" i="3"/>
  <c r="D21" i="3"/>
  <c r="V124" i="3"/>
  <c r="C168" i="3"/>
  <c r="C130" i="3"/>
  <c r="C5" i="3"/>
  <c r="V202" i="3"/>
  <c r="V15" i="3"/>
  <c r="D55" i="3"/>
  <c r="C93" i="3"/>
  <c r="D104" i="3"/>
  <c r="D147" i="3"/>
  <c r="D160" i="3"/>
  <c r="D94" i="3"/>
  <c r="D101" i="3"/>
  <c r="D114" i="3"/>
  <c r="D139" i="3"/>
  <c r="C163" i="3"/>
  <c r="D120" i="3"/>
  <c r="C44" i="3"/>
  <c r="C41" i="3"/>
  <c r="C146" i="3"/>
  <c r="D126" i="3"/>
  <c r="D28" i="3"/>
  <c r="D124" i="3"/>
  <c r="D47" i="3"/>
  <c r="V72" i="3"/>
  <c r="C8" i="3"/>
  <c r="D46" i="3"/>
  <c r="C128" i="3"/>
  <c r="C194" i="3"/>
  <c r="D3" i="3"/>
  <c r="D200" i="3"/>
  <c r="C195" i="3"/>
  <c r="C202" i="3"/>
  <c r="V197" i="3"/>
  <c r="P202" i="3" a="1"/>
  <c r="P202" i="3" s="1"/>
  <c r="Q202" i="3" s="1"/>
  <c r="D199" i="3"/>
  <c r="C180" i="3"/>
  <c r="C201" i="3"/>
  <c r="P191" i="3" a="1"/>
  <c r="P191" i="3" s="1"/>
  <c r="Q191" i="3" s="1"/>
  <c r="R198" i="3"/>
  <c r="D193" i="3"/>
  <c r="D198" i="3"/>
  <c r="V194" i="3"/>
  <c r="V191" i="3"/>
  <c r="C69" i="3"/>
  <c r="D7" i="3"/>
  <c r="D111" i="3"/>
  <c r="C149" i="3"/>
  <c r="D66" i="3"/>
  <c r="C153" i="3"/>
  <c r="C196" i="3"/>
  <c r="C82" i="3"/>
  <c r="D179" i="3"/>
  <c r="D192" i="3"/>
  <c r="C200" i="3"/>
  <c r="P201" i="3" a="1"/>
  <c r="P201" i="3" s="1"/>
  <c r="Q201" i="3" s="1"/>
  <c r="P194" i="3" a="1"/>
  <c r="P194" i="3" s="1"/>
  <c r="Q194" i="3" s="1"/>
  <c r="C103" i="3"/>
  <c r="D191" i="3"/>
  <c r="D196" i="3"/>
  <c r="D194" i="3"/>
  <c r="H200" i="3"/>
  <c r="V200" i="3"/>
  <c r="D197" i="3"/>
  <c r="V196" i="3"/>
  <c r="H196" i="3"/>
  <c r="D143" i="3"/>
  <c r="D190" i="3"/>
  <c r="V193" i="3"/>
  <c r="P197" i="3" a="1"/>
  <c r="P197" i="3" s="1"/>
  <c r="Q197" i="3" s="1"/>
  <c r="H199" i="3"/>
  <c r="V199" i="3"/>
  <c r="D195" i="3"/>
  <c r="C199" i="3"/>
  <c r="C193" i="3"/>
  <c r="C198" i="3"/>
  <c r="V195" i="3"/>
  <c r="H195" i="3"/>
  <c r="C81" i="3"/>
  <c r="D146" i="3"/>
  <c r="P193" i="3" a="1"/>
  <c r="P193" i="3" s="1"/>
  <c r="Q193" i="3" s="1"/>
  <c r="D138" i="3"/>
  <c r="C123" i="3"/>
  <c r="D127" i="3"/>
  <c r="D142" i="3"/>
  <c r="D176" i="3"/>
  <c r="D181" i="3"/>
  <c r="D110" i="3"/>
  <c r="C191" i="3"/>
  <c r="D76" i="3"/>
  <c r="C83" i="3"/>
  <c r="D169" i="3"/>
  <c r="C98" i="3"/>
  <c r="C36" i="3"/>
  <c r="C119" i="3"/>
  <c r="C58" i="3"/>
  <c r="D182" i="3"/>
  <c r="D63" i="3"/>
  <c r="C177" i="3"/>
  <c r="D184" i="3"/>
  <c r="C185" i="3"/>
  <c r="D186" i="3"/>
  <c r="D185" i="3"/>
  <c r="C116" i="3"/>
  <c r="C137" i="3"/>
  <c r="C33" i="3"/>
  <c r="D17" i="3"/>
  <c r="D30" i="3"/>
  <c r="C187" i="3"/>
  <c r="D188" i="3"/>
  <c r="C28" i="3"/>
  <c r="C188" i="3"/>
  <c r="D85" i="3"/>
  <c r="D43" i="3"/>
  <c r="D51" i="3"/>
  <c r="C190" i="3"/>
  <c r="D158" i="3"/>
  <c r="D109" i="3"/>
  <c r="C151" i="3"/>
  <c r="D174" i="3"/>
  <c r="D141" i="3"/>
  <c r="C189" i="3"/>
  <c r="C10" i="3"/>
  <c r="H177" i="3"/>
  <c r="C106" i="3"/>
  <c r="D97" i="3"/>
  <c r="D189" i="3"/>
  <c r="D93" i="3"/>
  <c r="D42" i="3"/>
  <c r="D177" i="3"/>
  <c r="C178" i="3"/>
  <c r="D183" i="3"/>
  <c r="C184" i="3"/>
  <c r="D60" i="3"/>
  <c r="D135" i="3"/>
  <c r="C11" i="3"/>
  <c r="C164" i="3"/>
  <c r="D6" i="3"/>
  <c r="D23" i="3"/>
  <c r="D84" i="3"/>
  <c r="D175" i="3"/>
  <c r="C181" i="3"/>
  <c r="D29" i="3"/>
  <c r="D187" i="3"/>
  <c r="C117" i="3"/>
  <c r="H187" i="3"/>
  <c r="V187" i="3"/>
  <c r="H189" i="3"/>
  <c r="V189" i="3"/>
  <c r="H188" i="3"/>
  <c r="V188" i="3"/>
  <c r="C192" i="3"/>
  <c r="C65" i="3"/>
  <c r="D68" i="3"/>
  <c r="C104" i="3"/>
  <c r="C165" i="3"/>
  <c r="D170" i="3"/>
  <c r="H192" i="3"/>
  <c r="V192" i="3"/>
  <c r="C64" i="3"/>
  <c r="C15" i="3"/>
  <c r="C186" i="3"/>
  <c r="V186" i="3"/>
  <c r="H186" i="3"/>
  <c r="C121" i="3"/>
  <c r="C150" i="3"/>
  <c r="D9" i="3"/>
  <c r="D118" i="3"/>
  <c r="C20" i="3"/>
  <c r="C57" i="3"/>
  <c r="C32" i="3"/>
  <c r="C49" i="3"/>
  <c r="C101" i="3"/>
  <c r="D27" i="3"/>
  <c r="C90" i="3"/>
  <c r="C110" i="3"/>
  <c r="C175" i="3"/>
  <c r="C99" i="3"/>
  <c r="D34" i="3"/>
  <c r="D167" i="3"/>
  <c r="C19" i="3"/>
  <c r="C160" i="3"/>
  <c r="D105" i="3"/>
  <c r="C148" i="3"/>
  <c r="D12" i="3"/>
  <c r="V86" i="3"/>
  <c r="D128" i="3"/>
  <c r="D102" i="3"/>
  <c r="C166" i="3"/>
  <c r="D88" i="3"/>
  <c r="D153" i="3"/>
  <c r="C134" i="3"/>
  <c r="D58" i="3"/>
  <c r="D161" i="3"/>
  <c r="D149" i="3"/>
  <c r="D80" i="3"/>
  <c r="C50" i="3"/>
  <c r="C138" i="3"/>
  <c r="C77" i="3"/>
  <c r="C63" i="3"/>
  <c r="C67" i="3"/>
  <c r="D108" i="3"/>
  <c r="C71" i="3"/>
  <c r="C133" i="3"/>
  <c r="D33" i="3"/>
  <c r="C26" i="3"/>
  <c r="C13" i="3"/>
  <c r="C140" i="3"/>
  <c r="D150" i="3"/>
  <c r="C62" i="3"/>
  <c r="D164" i="3"/>
  <c r="D180" i="3"/>
  <c r="C158" i="3"/>
  <c r="C92" i="3"/>
  <c r="D8" i="3"/>
  <c r="C6" i="3"/>
  <c r="C54" i="3"/>
  <c r="C100" i="3"/>
  <c r="C170" i="3"/>
  <c r="C142" i="3"/>
  <c r="D163" i="3"/>
  <c r="D144" i="3"/>
  <c r="D5" i="3"/>
  <c r="C174" i="3"/>
  <c r="D15" i="3"/>
  <c r="D119" i="3"/>
  <c r="D14" i="3"/>
  <c r="C113" i="3"/>
  <c r="D71" i="3"/>
  <c r="C70" i="3"/>
  <c r="C136" i="3"/>
  <c r="D74" i="3"/>
  <c r="C84" i="3"/>
  <c r="D11" i="3"/>
  <c r="C127" i="3"/>
  <c r="D155" i="3"/>
  <c r="D117" i="3"/>
  <c r="C76" i="3"/>
  <c r="C109" i="3"/>
  <c r="C42" i="3"/>
  <c r="C176" i="3"/>
  <c r="C87" i="3"/>
  <c r="C3" i="3"/>
  <c r="C182" i="3"/>
  <c r="C179" i="3"/>
  <c r="C38" i="3"/>
  <c r="C80" i="3"/>
  <c r="D49" i="3"/>
  <c r="C141" i="3"/>
  <c r="D16" i="3"/>
  <c r="C37" i="3"/>
  <c r="D100" i="3"/>
  <c r="D10" i="3"/>
  <c r="D96" i="3"/>
  <c r="D151" i="3"/>
  <c r="D178" i="3"/>
  <c r="C108" i="3"/>
  <c r="D121" i="3"/>
  <c r="C183" i="3"/>
  <c r="C96" i="3"/>
  <c r="D91" i="3"/>
  <c r="C154" i="3"/>
  <c r="D64" i="3"/>
  <c r="C147" i="3"/>
  <c r="C111" i="3"/>
  <c r="C18" i="3"/>
  <c r="C40" i="3"/>
  <c r="C56" i="3"/>
  <c r="V148" i="3"/>
  <c r="V8" i="3"/>
  <c r="V149" i="3"/>
  <c r="V74" i="3"/>
  <c r="H178" i="3"/>
  <c r="V77" i="3"/>
  <c r="V128" i="3"/>
  <c r="V142" i="3"/>
  <c r="V163" i="3"/>
  <c r="H185" i="3"/>
  <c r="V185" i="3"/>
  <c r="H182" i="3"/>
  <c r="V182" i="3"/>
  <c r="H184" i="3"/>
  <c r="V184" i="3"/>
  <c r="H183" i="3"/>
  <c r="V183" i="3"/>
  <c r="V181" i="3"/>
  <c r="H181" i="3"/>
  <c r="H176" i="3"/>
  <c r="V140" i="3"/>
  <c r="V127" i="3"/>
  <c r="V83" i="3"/>
  <c r="V169" i="3"/>
  <c r="V41" i="3"/>
  <c r="V29" i="3"/>
  <c r="V63" i="3"/>
  <c r="V66" i="3"/>
  <c r="V91" i="3"/>
  <c r="V156" i="3"/>
  <c r="V78" i="3"/>
  <c r="V97" i="3"/>
  <c r="V43" i="3"/>
  <c r="P16" i="3" a="1"/>
  <c r="P16" i="3" s="1"/>
  <c r="Q16" i="3" s="1"/>
  <c r="V19" i="3"/>
  <c r="V22" i="3"/>
  <c r="V71" i="3"/>
  <c r="V115" i="3"/>
  <c r="V76" i="3"/>
  <c r="V14" i="3"/>
  <c r="H175" i="3"/>
  <c r="R4" i="3"/>
  <c r="V44" i="3"/>
  <c r="V30" i="3"/>
  <c r="P173" i="3" a="1"/>
  <c r="P173" i="3" s="1"/>
  <c r="Q173" i="3" s="1"/>
  <c r="P174" i="3" a="1"/>
  <c r="P174" i="3" s="1"/>
  <c r="Q174" i="3" s="1"/>
  <c r="P79" i="3" a="1"/>
  <c r="P79" i="3" s="1"/>
  <c r="Q79" i="3" s="1"/>
  <c r="P124" i="3" a="1"/>
  <c r="P124" i="3" s="1"/>
  <c r="Q124" i="3" s="1"/>
  <c r="R172" i="3"/>
  <c r="P30" i="3" a="1"/>
  <c r="P30" i="3" s="1"/>
  <c r="Q30" i="3" s="1"/>
  <c r="R52" i="3"/>
  <c r="R97" i="3"/>
  <c r="R152" i="3"/>
  <c r="R117" i="3"/>
  <c r="P119" i="3" a="1"/>
  <c r="P119" i="3" s="1"/>
  <c r="Q119" i="3" s="1"/>
  <c r="P96" i="3" a="1"/>
  <c r="P96" i="3" s="1"/>
  <c r="Q96" i="3" s="1"/>
  <c r="R116" i="3"/>
  <c r="R68" i="3"/>
  <c r="R140" i="3"/>
  <c r="R57" i="3"/>
  <c r="P69" i="3" a="1"/>
  <c r="P69" i="3" s="1"/>
  <c r="Q69" i="3" s="1"/>
  <c r="R53" i="3"/>
  <c r="R29" i="3"/>
  <c r="R150" i="3"/>
  <c r="R10" i="3"/>
  <c r="P159" i="3" a="1"/>
  <c r="P159" i="3" s="1"/>
  <c r="Q159" i="3" s="1"/>
  <c r="P166" i="3" a="1"/>
  <c r="P166" i="3" s="1"/>
  <c r="Q166" i="3" s="1"/>
  <c r="R51" i="3"/>
  <c r="R19" i="3"/>
  <c r="P100" i="3" a="1"/>
  <c r="P100" i="3" s="1"/>
  <c r="Q100" i="3" s="1"/>
  <c r="R7" i="3"/>
  <c r="R77" i="3"/>
  <c r="P41" i="3" a="1"/>
  <c r="P41" i="3" s="1"/>
  <c r="Q41" i="3" s="1"/>
  <c r="P58" i="3" a="1"/>
  <c r="P58" i="3" s="1"/>
  <c r="Q58" i="3" s="1"/>
  <c r="P138" i="3" a="1"/>
  <c r="P138" i="3" s="1"/>
  <c r="Q138" i="3" s="1"/>
  <c r="R20" i="3"/>
  <c r="P89" i="3" a="1"/>
  <c r="P89" i="3" s="1"/>
  <c r="Q89" i="3" s="1"/>
  <c r="P122" i="3" a="1"/>
  <c r="P122" i="3" s="1"/>
  <c r="Q122" i="3" s="1"/>
  <c r="R56" i="3"/>
  <c r="P147" i="3" a="1"/>
  <c r="P147" i="3" s="1"/>
  <c r="Q147" i="3" s="1"/>
  <c r="R59" i="3"/>
  <c r="R75" i="3"/>
  <c r="R148" i="3"/>
  <c r="R43" i="3"/>
  <c r="R78" i="3"/>
  <c r="R60" i="3"/>
  <c r="R154" i="3"/>
  <c r="R88" i="3"/>
  <c r="P157" i="3" a="1"/>
  <c r="P157" i="3" s="1"/>
  <c r="Q157" i="3" s="1"/>
  <c r="P71" i="3" a="1"/>
  <c r="P71" i="3" s="1"/>
  <c r="Q71" i="3" s="1"/>
  <c r="P127" i="3" a="1"/>
  <c r="P127" i="3" s="1"/>
  <c r="Q127" i="3" s="1"/>
  <c r="P8" i="3" a="1"/>
  <c r="P8" i="3" s="1"/>
  <c r="Q8" i="3" s="1"/>
  <c r="R72" i="3"/>
  <c r="R55" i="3"/>
  <c r="R49" i="3"/>
  <c r="R92" i="3"/>
  <c r="R74" i="3"/>
  <c r="R156" i="3"/>
  <c r="R128" i="3"/>
  <c r="P31" i="3" a="1"/>
  <c r="P31" i="3" s="1"/>
  <c r="Q31" i="3" s="1"/>
  <c r="P14" i="3" a="1"/>
  <c r="P14" i="3" s="1"/>
  <c r="Q14" i="3" s="1"/>
  <c r="P62" i="3" a="1"/>
  <c r="P62" i="3" s="1"/>
  <c r="Q62" i="3" s="1"/>
  <c r="R108" i="3"/>
  <c r="R169" i="3"/>
  <c r="P6" i="3" a="1"/>
  <c r="P6" i="3" s="1"/>
  <c r="Q6" i="3" s="1"/>
  <c r="R137" i="3"/>
  <c r="R66" i="3"/>
  <c r="P13" i="3" a="1"/>
  <c r="P13" i="3" s="1"/>
  <c r="Q13" i="3" s="1"/>
  <c r="R136" i="3"/>
  <c r="R28" i="3"/>
  <c r="P15" i="3" a="1"/>
  <c r="P15" i="3" s="1"/>
  <c r="Q15" i="3" s="1"/>
  <c r="P36" i="3" a="1"/>
  <c r="P36" i="3" s="1"/>
  <c r="Q36" i="3" s="1"/>
  <c r="R87" i="3"/>
  <c r="P145" i="3" a="1"/>
  <c r="P145" i="3" s="1"/>
  <c r="Q145" i="3" s="1"/>
  <c r="P158" i="3" a="1"/>
  <c r="P158" i="3" s="1"/>
  <c r="Q158" i="3" s="1"/>
  <c r="P54" i="3" a="1"/>
  <c r="P54" i="3" s="1"/>
  <c r="Q54" i="3" s="1"/>
  <c r="P98" i="3" a="1"/>
  <c r="P98" i="3" s="1"/>
  <c r="Q98" i="3" s="1"/>
  <c r="P160" i="3" a="1"/>
  <c r="P160" i="3" s="1"/>
  <c r="Q160" i="3" s="1"/>
  <c r="P25" i="3" a="1"/>
  <c r="P25" i="3" s="1"/>
  <c r="Q25" i="3" s="1"/>
  <c r="R94" i="3"/>
  <c r="R105" i="3"/>
  <c r="R80" i="3"/>
  <c r="P118" i="3" a="1"/>
  <c r="P118" i="3" s="1"/>
  <c r="Q118" i="3" s="1"/>
  <c r="R143" i="3"/>
  <c r="P86" i="3" a="1"/>
  <c r="P86" i="3" s="1"/>
  <c r="Q86" i="3" s="1"/>
  <c r="R171" i="3"/>
  <c r="R103" i="3"/>
  <c r="P48" i="3" a="1"/>
  <c r="P48" i="3" s="1"/>
  <c r="Q48" i="3" s="1"/>
  <c r="P132" i="3" a="1"/>
  <c r="P132" i="3" s="1"/>
  <c r="Q132" i="3" s="1"/>
  <c r="R129" i="3"/>
  <c r="P134" i="3" a="1"/>
  <c r="P134" i="3" s="1"/>
  <c r="Q134" i="3" s="1"/>
  <c r="R11" i="3"/>
  <c r="R26" i="3"/>
  <c r="R162" i="3"/>
  <c r="R47" i="3"/>
  <c r="P110" i="3" a="1"/>
  <c r="P110" i="3" s="1"/>
  <c r="Q110" i="3" s="1"/>
  <c r="P123" i="3" a="1"/>
  <c r="P123" i="3" s="1"/>
  <c r="Q123" i="3" s="1"/>
  <c r="R33" i="3"/>
  <c r="R144" i="3"/>
  <c r="P155" i="3" a="1"/>
  <c r="P155" i="3" s="1"/>
  <c r="Q155" i="3" s="1"/>
  <c r="P70" i="3" a="1"/>
  <c r="P70" i="3" s="1"/>
  <c r="Q70" i="3" s="1"/>
  <c r="P102" i="3" a="1"/>
  <c r="P102" i="3" s="1"/>
  <c r="Q102" i="3" s="1"/>
  <c r="P114" i="3" a="1"/>
  <c r="P114" i="3" s="1"/>
  <c r="Q114" i="3" s="1"/>
  <c r="P17" i="3" a="1"/>
  <c r="P17" i="3" s="1"/>
  <c r="Q17" i="3" s="1"/>
  <c r="R82" i="3"/>
  <c r="P27" i="3" a="1"/>
  <c r="P27" i="3" s="1"/>
  <c r="Q27" i="3" s="1"/>
  <c r="R65" i="3"/>
  <c r="P167" i="3" a="1"/>
  <c r="P167" i="3" s="1"/>
  <c r="Q167" i="3" s="1"/>
  <c r="R135" i="3"/>
  <c r="P141" i="3" a="1"/>
  <c r="P141" i="3" s="1"/>
  <c r="Q141" i="3" s="1"/>
  <c r="P91" i="3" a="1"/>
  <c r="P91" i="3" s="1"/>
  <c r="Q91" i="3" s="1"/>
  <c r="R42" i="3"/>
  <c r="P85" i="3" a="1"/>
  <c r="P85" i="3" s="1"/>
  <c r="Q85" i="3" s="1"/>
  <c r="R22" i="3"/>
  <c r="R83" i="3"/>
  <c r="P61" i="3" a="1"/>
  <c r="P61" i="3" s="1"/>
  <c r="Q61" i="3" s="1"/>
  <c r="P40" i="3" a="1"/>
  <c r="P40" i="3" s="1"/>
  <c r="Q40" i="3" s="1"/>
  <c r="R111" i="3"/>
  <c r="P168" i="3" a="1"/>
  <c r="P168" i="3" s="1"/>
  <c r="Q168" i="3" s="1"/>
  <c r="R163" i="3"/>
  <c r="R161" i="3"/>
  <c r="P151" i="3" a="1"/>
  <c r="P151" i="3" s="1"/>
  <c r="Q151" i="3" s="1"/>
  <c r="P5" i="3" a="1"/>
  <c r="P5" i="3" s="1"/>
  <c r="Q5" i="3" s="1"/>
  <c r="P81" i="3" a="1"/>
  <c r="P81" i="3" s="1"/>
  <c r="Q81" i="3" s="1"/>
  <c r="R149" i="3"/>
  <c r="P39" i="3" a="1"/>
  <c r="P39" i="3" s="1"/>
  <c r="Q39" i="3" s="1"/>
  <c r="R23" i="3"/>
  <c r="P126" i="3" a="1"/>
  <c r="P126" i="3" s="1"/>
  <c r="Q126" i="3" s="1"/>
  <c r="R115" i="3"/>
  <c r="P67" i="3" a="1"/>
  <c r="P67" i="3" s="1"/>
  <c r="Q67" i="3" s="1"/>
  <c r="P106" i="3" a="1"/>
  <c r="P106" i="3" s="1"/>
  <c r="Q106" i="3" s="1"/>
  <c r="R44" i="3"/>
  <c r="R131" i="3"/>
  <c r="R142" i="3"/>
  <c r="R120" i="3"/>
  <c r="R73" i="3"/>
  <c r="R45" i="3"/>
  <c r="R76" i="3"/>
  <c r="P93" i="3" a="1"/>
  <c r="P93" i="3" s="1"/>
  <c r="Q93" i="3" s="1"/>
  <c r="P121" i="3" a="1"/>
  <c r="P121" i="3" s="1"/>
  <c r="Q121" i="3" s="1"/>
  <c r="P21" i="3" a="1"/>
  <c r="P21" i="3" s="1"/>
  <c r="Q21" i="3" s="1"/>
  <c r="P3" i="3" a="1"/>
  <c r="P3" i="3" s="1"/>
  <c r="Q3" i="3" s="1"/>
  <c r="P34" i="3" a="1"/>
  <c r="P34" i="3" s="1"/>
  <c r="Q34" i="3" s="1"/>
  <c r="P84" i="3" a="1"/>
  <c r="P84" i="3" s="1"/>
  <c r="Q84" i="3" s="1"/>
  <c r="P170" i="3" a="1"/>
  <c r="P170" i="3" s="1"/>
  <c r="Q170" i="3" s="1"/>
  <c r="P9" i="3" a="1"/>
  <c r="P9" i="3" s="1"/>
  <c r="Q9" i="3" s="1"/>
  <c r="P24" i="3" a="1"/>
  <c r="P24" i="3" s="1"/>
  <c r="Q24" i="3" s="1"/>
  <c r="R109" i="3"/>
  <c r="P153" i="3" a="1"/>
  <c r="P153" i="3" s="1"/>
  <c r="Q153" i="3" s="1"/>
  <c r="R139" i="3"/>
  <c r="P46" i="3" a="1"/>
  <c r="P46" i="3" s="1"/>
  <c r="Q46" i="3" s="1"/>
  <c r="R63" i="3"/>
  <c r="V105" i="3"/>
  <c r="V171" i="3"/>
  <c r="V60" i="3"/>
  <c r="V136" i="3"/>
  <c r="V160" i="3"/>
  <c r="V143" i="3"/>
  <c r="V139" i="3"/>
  <c r="V26" i="3"/>
  <c r="V116" i="3"/>
  <c r="V100" i="3"/>
  <c r="V94" i="3"/>
  <c r="V157" i="3"/>
  <c r="V108" i="3"/>
  <c r="V65" i="3"/>
  <c r="V49" i="3"/>
  <c r="V153" i="3"/>
  <c r="V68" i="3"/>
  <c r="V46" i="3"/>
  <c r="V168" i="3"/>
  <c r="V73" i="3"/>
  <c r="V9" i="3"/>
  <c r="V145" i="3"/>
  <c r="V17" i="3"/>
  <c r="H133" i="3"/>
  <c r="V99" i="3"/>
  <c r="H99" i="3"/>
  <c r="V125" i="3"/>
  <c r="H125" i="3"/>
  <c r="V38" i="3"/>
  <c r="H38" i="3"/>
  <c r="V18" i="3"/>
  <c r="H18" i="3"/>
  <c r="V95" i="3"/>
  <c r="H95" i="3"/>
  <c r="V164" i="3"/>
  <c r="H164" i="3"/>
  <c r="H32" i="3"/>
  <c r="H12" i="3"/>
  <c r="V107" i="3"/>
  <c r="H107" i="3"/>
  <c r="V64" i="3"/>
  <c r="H64" i="3"/>
  <c r="V165" i="3"/>
  <c r="H165" i="3"/>
  <c r="V113" i="3"/>
  <c r="H113" i="3"/>
  <c r="V90" i="3"/>
  <c r="H90" i="3"/>
  <c r="V119" i="3"/>
  <c r="V27" i="3"/>
  <c r="H35" i="3"/>
  <c r="H104" i="3"/>
  <c r="V130" i="3"/>
  <c r="H130" i="3"/>
  <c r="H37" i="3"/>
  <c r="H101" i="3"/>
  <c r="H146" i="3"/>
  <c r="V50" i="3"/>
  <c r="H50" i="3"/>
  <c r="V104" i="3"/>
  <c r="V35" i="3"/>
  <c r="V133" i="3"/>
  <c r="V23" i="3"/>
  <c r="V32" i="3"/>
  <c r="V146" i="3"/>
  <c r="V59" i="3"/>
  <c r="V135" i="3"/>
  <c r="V120" i="3"/>
  <c r="V101" i="3"/>
  <c r="Z21" i="3"/>
  <c r="V37" i="3"/>
  <c r="V131" i="3"/>
  <c r="V106" i="3"/>
  <c r="V88" i="3"/>
  <c r="V25" i="3"/>
  <c r="V55" i="3"/>
  <c r="V62" i="3"/>
  <c r="V172" i="3"/>
  <c r="V167" i="3"/>
  <c r="V162" i="3"/>
  <c r="V42" i="3"/>
  <c r="V126" i="3"/>
  <c r="V54" i="3"/>
  <c r="V147" i="3"/>
  <c r="V166" i="3"/>
  <c r="V31" i="3"/>
  <c r="V98" i="3"/>
  <c r="V102" i="3"/>
  <c r="V117" i="3"/>
  <c r="V151" i="3"/>
  <c r="V155" i="3"/>
  <c r="V34" i="3"/>
  <c r="V75" i="3"/>
  <c r="V134" i="3"/>
  <c r="V96" i="3"/>
  <c r="V161" i="3"/>
  <c r="V123" i="3"/>
  <c r="V47" i="3"/>
  <c r="V5" i="3"/>
  <c r="V69" i="3"/>
  <c r="V53" i="3"/>
  <c r="V137" i="3"/>
  <c r="V6" i="3"/>
  <c r="V57" i="3"/>
  <c r="V103" i="3"/>
  <c r="V141" i="3"/>
  <c r="V40" i="3"/>
  <c r="V85" i="3"/>
  <c r="V122" i="3"/>
  <c r="V11" i="3"/>
  <c r="V158" i="3"/>
  <c r="V159" i="3"/>
  <c r="V84" i="3"/>
  <c r="V129" i="3"/>
  <c r="V13" i="3"/>
  <c r="V114" i="3"/>
  <c r="V174" i="3"/>
  <c r="V132" i="3"/>
  <c r="V154" i="3"/>
  <c r="V45" i="3"/>
  <c r="V48" i="3"/>
  <c r="V81" i="3"/>
  <c r="V70" i="3"/>
  <c r="V92" i="3"/>
  <c r="V3" i="3"/>
  <c r="V144" i="3"/>
  <c r="V39" i="3"/>
  <c r="V109" i="3"/>
  <c r="V111" i="3"/>
  <c r="V170" i="3"/>
  <c r="V150" i="3"/>
  <c r="V112" i="3"/>
  <c r="V36" i="3"/>
  <c r="V24" i="3"/>
  <c r="V121" i="3"/>
  <c r="V61" i="3"/>
  <c r="V52" i="3"/>
  <c r="V118" i="3"/>
  <c r="V56" i="3"/>
  <c r="V89" i="3"/>
  <c r="V67" i="3"/>
  <c r="V33" i="3"/>
  <c r="V20" i="3"/>
  <c r="V28" i="3"/>
  <c r="C413" i="3" l="1"/>
  <c r="H459" i="3"/>
  <c r="C492" i="3"/>
  <c r="V256" i="3"/>
  <c r="C259" i="3"/>
  <c r="C362" i="3"/>
  <c r="C395" i="3"/>
  <c r="C479" i="3"/>
  <c r="V246" i="3"/>
  <c r="E5" i="11"/>
  <c r="D449" i="3"/>
  <c r="C279" i="3"/>
  <c r="D490" i="3"/>
  <c r="H287" i="3"/>
  <c r="D239" i="3"/>
  <c r="H302" i="3"/>
  <c r="D266" i="3"/>
  <c r="H495" i="3"/>
  <c r="P495" i="3" s="1" a="1"/>
  <c r="P495" i="3" s="1"/>
  <c r="Q495" i="3" s="1"/>
  <c r="R251" i="3"/>
  <c r="R495" i="3"/>
  <c r="C429" i="3"/>
  <c r="V489" i="3"/>
  <c r="C483" i="3"/>
  <c r="C455" i="3"/>
  <c r="V488" i="3"/>
  <c r="C473" i="3"/>
  <c r="C453" i="3"/>
  <c r="D462" i="3"/>
  <c r="C261" i="3"/>
  <c r="D398" i="3"/>
  <c r="C459" i="3"/>
  <c r="D468" i="3"/>
  <c r="V492" i="3"/>
  <c r="H492" i="3"/>
  <c r="H500" i="3"/>
  <c r="V500" i="3"/>
  <c r="D14" i="5"/>
  <c r="D11" i="5"/>
  <c r="C475" i="3"/>
  <c r="C282" i="3"/>
  <c r="D417" i="3"/>
  <c r="D461" i="3"/>
  <c r="D481" i="3"/>
  <c r="H498" i="3"/>
  <c r="V498" i="3"/>
  <c r="H497" i="3"/>
  <c r="V497" i="3"/>
  <c r="C447" i="3"/>
  <c r="D471" i="3"/>
  <c r="R496" i="3"/>
  <c r="P496" i="3" a="1"/>
  <c r="P496" i="3" s="1"/>
  <c r="Q496" i="3" s="1"/>
  <c r="C411" i="3"/>
  <c r="V493" i="3"/>
  <c r="H493" i="3"/>
  <c r="R489" i="3"/>
  <c r="P489" i="3" a="1"/>
  <c r="P489" i="3" s="1"/>
  <c r="Q489" i="3" s="1"/>
  <c r="D457" i="3"/>
  <c r="V487" i="3"/>
  <c r="H487" i="3"/>
  <c r="C480" i="3"/>
  <c r="R488" i="3"/>
  <c r="P488" i="3" a="1"/>
  <c r="P488" i="3" s="1"/>
  <c r="Q488" i="3" s="1"/>
  <c r="C254" i="3"/>
  <c r="D247" i="3"/>
  <c r="C448" i="3"/>
  <c r="C275" i="3"/>
  <c r="C379" i="3"/>
  <c r="G14" i="11"/>
  <c r="G15" i="11" s="1"/>
  <c r="H14" i="11"/>
  <c r="H425" i="3"/>
  <c r="C265" i="3"/>
  <c r="H268" i="3"/>
  <c r="P268" i="3" s="1" a="1"/>
  <c r="P268" i="3" s="1"/>
  <c r="Q268" i="3" s="1"/>
  <c r="V291" i="3"/>
  <c r="D272" i="3"/>
  <c r="C397" i="3"/>
  <c r="D300" i="3"/>
  <c r="C267" i="3"/>
  <c r="D421" i="3"/>
  <c r="D458" i="3"/>
  <c r="D251" i="3"/>
  <c r="D297" i="3"/>
  <c r="R222" i="3"/>
  <c r="V283" i="3"/>
  <c r="H295" i="3"/>
  <c r="D257" i="3"/>
  <c r="C243" i="3"/>
  <c r="C269" i="3"/>
  <c r="D243" i="3"/>
  <c r="D249" i="3"/>
  <c r="D435" i="3"/>
  <c r="C248" i="3"/>
  <c r="V241" i="3"/>
  <c r="C359" i="3"/>
  <c r="D442" i="3"/>
  <c r="D434" i="3"/>
  <c r="D454" i="3"/>
  <c r="D437" i="3"/>
  <c r="H477" i="3"/>
  <c r="R477" i="3" s="1"/>
  <c r="V240" i="3"/>
  <c r="D270" i="3"/>
  <c r="C423" i="3"/>
  <c r="C417" i="3"/>
  <c r="C260" i="3"/>
  <c r="D373" i="3"/>
  <c r="C394" i="3"/>
  <c r="D403" i="3"/>
  <c r="H454" i="3"/>
  <c r="R454" i="3" s="1"/>
  <c r="P483" i="3" a="1"/>
  <c r="P483" i="3" s="1"/>
  <c r="Q483" i="3" s="1"/>
  <c r="D352" i="3"/>
  <c r="H275" i="3"/>
  <c r="P275" i="3" s="1" a="1"/>
  <c r="P275" i="3" s="1"/>
  <c r="Q275" i="3" s="1"/>
  <c r="C249" i="3"/>
  <c r="D446" i="3"/>
  <c r="D440" i="3"/>
  <c r="C360" i="3"/>
  <c r="D241" i="3"/>
  <c r="C424" i="3"/>
  <c r="C442" i="3"/>
  <c r="H479" i="3"/>
  <c r="R479" i="3" s="1"/>
  <c r="D267" i="3"/>
  <c r="D451" i="3"/>
  <c r="C432" i="3"/>
  <c r="D377" i="3"/>
  <c r="C366" i="3"/>
  <c r="C245" i="3"/>
  <c r="C428" i="3"/>
  <c r="C407" i="3"/>
  <c r="H301" i="3"/>
  <c r="P301" i="3" s="1" a="1"/>
  <c r="P301" i="3" s="1"/>
  <c r="Q301" i="3" s="1"/>
  <c r="C472" i="3"/>
  <c r="C438" i="3"/>
  <c r="V467" i="3"/>
  <c r="C445" i="3"/>
  <c r="D420" i="3"/>
  <c r="H471" i="3"/>
  <c r="R471" i="3" s="1"/>
  <c r="D383" i="3"/>
  <c r="C467" i="3"/>
  <c r="C288" i="3"/>
  <c r="D232" i="3"/>
  <c r="D395" i="3"/>
  <c r="C302" i="3"/>
  <c r="C436" i="3"/>
  <c r="V483" i="3"/>
  <c r="D427" i="3"/>
  <c r="H435" i="3"/>
  <c r="D460" i="3"/>
  <c r="C471" i="3"/>
  <c r="C365" i="3"/>
  <c r="P445" i="3" a="1"/>
  <c r="P445" i="3" s="1"/>
  <c r="Q445" i="3" s="1"/>
  <c r="C452" i="3"/>
  <c r="D470" i="3"/>
  <c r="P479" i="3" a="1"/>
  <c r="P479" i="3" s="1"/>
  <c r="Q479" i="3" s="1"/>
  <c r="C371" i="3"/>
  <c r="C461" i="3"/>
  <c r="V475" i="3"/>
  <c r="H475" i="3"/>
  <c r="H461" i="3"/>
  <c r="P461" i="3" s="1" a="1"/>
  <c r="P461" i="3" s="1"/>
  <c r="Q461" i="3" s="1"/>
  <c r="H297" i="3"/>
  <c r="D388" i="3"/>
  <c r="D382" i="3"/>
  <c r="D400" i="3"/>
  <c r="C440" i="3"/>
  <c r="V367" i="3"/>
  <c r="V410" i="3"/>
  <c r="C425" i="3"/>
  <c r="C441" i="3"/>
  <c r="H279" i="3"/>
  <c r="P279" i="3" s="1" a="1"/>
  <c r="P279" i="3" s="1"/>
  <c r="Q279" i="3" s="1"/>
  <c r="C287" i="3"/>
  <c r="D380" i="3"/>
  <c r="D399" i="3"/>
  <c r="D404" i="3"/>
  <c r="C468" i="3"/>
  <c r="C446" i="3"/>
  <c r="C356" i="3"/>
  <c r="D369" i="3"/>
  <c r="D357" i="3"/>
  <c r="C363" i="3"/>
  <c r="H473" i="3"/>
  <c r="V473" i="3"/>
  <c r="C399" i="3"/>
  <c r="H480" i="3"/>
  <c r="V480" i="3"/>
  <c r="D425" i="3"/>
  <c r="D445" i="3"/>
  <c r="C368" i="3"/>
  <c r="R419" i="3"/>
  <c r="C457" i="3"/>
  <c r="D428" i="3"/>
  <c r="C370" i="3"/>
  <c r="P469" i="3" a="1"/>
  <c r="P469" i="3" s="1"/>
  <c r="Q469" i="3" s="1"/>
  <c r="R469" i="3"/>
  <c r="C434" i="3"/>
  <c r="V474" i="3"/>
  <c r="H474" i="3"/>
  <c r="V478" i="3"/>
  <c r="H478" i="3"/>
  <c r="V485" i="3"/>
  <c r="H485" i="3"/>
  <c r="V482" i="3"/>
  <c r="H482" i="3"/>
  <c r="H481" i="3"/>
  <c r="V481" i="3"/>
  <c r="V486" i="3"/>
  <c r="H486" i="3"/>
  <c r="V476" i="3"/>
  <c r="H476" i="3"/>
  <c r="V484" i="3"/>
  <c r="H484" i="3"/>
  <c r="P460" i="3" a="1"/>
  <c r="P460" i="3" s="1"/>
  <c r="Q460" i="3" s="1"/>
  <c r="D362" i="3"/>
  <c r="C437" i="3"/>
  <c r="D433" i="3"/>
  <c r="C385" i="3"/>
  <c r="P437" i="3" a="1"/>
  <c r="P437" i="3" s="1"/>
  <c r="Q437" i="3" s="1"/>
  <c r="C456" i="3"/>
  <c r="H397" i="3"/>
  <c r="P397" i="3" s="1" a="1"/>
  <c r="P397" i="3" s="1"/>
  <c r="Q397" i="3" s="1"/>
  <c r="D432" i="3"/>
  <c r="D450" i="3"/>
  <c r="V472" i="3"/>
  <c r="C377" i="3"/>
  <c r="D358" i="3"/>
  <c r="C386" i="3"/>
  <c r="D374" i="3"/>
  <c r="P410" i="3" a="1"/>
  <c r="P410" i="3" s="1"/>
  <c r="Q410" i="3" s="1"/>
  <c r="R472" i="3"/>
  <c r="P472" i="3" a="1"/>
  <c r="P472" i="3" s="1"/>
  <c r="Q472" i="3" s="1"/>
  <c r="D375" i="3"/>
  <c r="V426" i="3"/>
  <c r="C449" i="3"/>
  <c r="D365" i="3"/>
  <c r="C416" i="3"/>
  <c r="D347" i="3"/>
  <c r="D367" i="3"/>
  <c r="C387" i="3"/>
  <c r="D364" i="3"/>
  <c r="C421" i="3"/>
  <c r="D438" i="3"/>
  <c r="V249" i="3"/>
  <c r="C303" i="3"/>
  <c r="D325" i="3"/>
  <c r="C414" i="3"/>
  <c r="V436" i="3"/>
  <c r="H374" i="3"/>
  <c r="P374" i="3" s="1" a="1"/>
  <c r="P374" i="3" s="1"/>
  <c r="Q374" i="3" s="1"/>
  <c r="C376" i="3"/>
  <c r="D282" i="3"/>
  <c r="C300" i="3"/>
  <c r="D384" i="3"/>
  <c r="D423" i="3"/>
  <c r="C384" i="3"/>
  <c r="C454" i="3"/>
  <c r="P433" i="3" a="1"/>
  <c r="P433" i="3" s="1"/>
  <c r="Q433" i="3" s="1"/>
  <c r="P449" i="3" a="1"/>
  <c r="P449" i="3" s="1"/>
  <c r="Q449" i="3" s="1"/>
  <c r="D363" i="3"/>
  <c r="C408" i="3"/>
  <c r="V433" i="3"/>
  <c r="C378" i="3"/>
  <c r="H398" i="3"/>
  <c r="P398" i="3" s="1" a="1"/>
  <c r="P398" i="3" s="1"/>
  <c r="Q398" i="3" s="1"/>
  <c r="C439" i="3"/>
  <c r="C420" i="3"/>
  <c r="D376" i="3"/>
  <c r="D416" i="3"/>
  <c r="D455" i="3"/>
  <c r="P426" i="3" a="1"/>
  <c r="P426" i="3" s="1"/>
  <c r="Q426" i="3" s="1"/>
  <c r="V419" i="3"/>
  <c r="R467" i="3"/>
  <c r="C450" i="3"/>
  <c r="V288" i="3"/>
  <c r="V456" i="3"/>
  <c r="H456" i="3"/>
  <c r="C406" i="3"/>
  <c r="H392" i="3"/>
  <c r="V465" i="3"/>
  <c r="H465" i="3"/>
  <c r="D415" i="3"/>
  <c r="H468" i="3"/>
  <c r="V468" i="3"/>
  <c r="D390" i="3"/>
  <c r="H457" i="3"/>
  <c r="V457" i="3"/>
  <c r="H463" i="3"/>
  <c r="V463" i="3"/>
  <c r="V464" i="3"/>
  <c r="H464" i="3"/>
  <c r="C419" i="3"/>
  <c r="R384" i="3"/>
  <c r="V376" i="3"/>
  <c r="C364" i="3"/>
  <c r="H400" i="3"/>
  <c r="P400" i="3" s="1" a="1"/>
  <c r="P400" i="3" s="1"/>
  <c r="Q400" i="3" s="1"/>
  <c r="V443" i="3"/>
  <c r="H443" i="3"/>
  <c r="H455" i="3"/>
  <c r="V455" i="3"/>
  <c r="C398" i="3"/>
  <c r="H470" i="3"/>
  <c r="V470" i="3"/>
  <c r="V466" i="3"/>
  <c r="H466" i="3"/>
  <c r="D411" i="3"/>
  <c r="V462" i="3"/>
  <c r="H462" i="3"/>
  <c r="V458" i="3"/>
  <c r="H458" i="3"/>
  <c r="D413" i="3"/>
  <c r="D447" i="3"/>
  <c r="D407" i="3"/>
  <c r="D401" i="3"/>
  <c r="R366" i="3"/>
  <c r="H406" i="3"/>
  <c r="P406" i="3" s="1" a="1"/>
  <c r="P406" i="3" s="1"/>
  <c r="Q406" i="3" s="1"/>
  <c r="D409" i="3"/>
  <c r="D429" i="3"/>
  <c r="C350" i="3"/>
  <c r="D360" i="3"/>
  <c r="P436" i="3" a="1"/>
  <c r="P436" i="3" s="1"/>
  <c r="Q436" i="3" s="1"/>
  <c r="D452" i="3"/>
  <c r="H453" i="3"/>
  <c r="V453" i="3"/>
  <c r="H447" i="3"/>
  <c r="V447" i="3"/>
  <c r="V452" i="3"/>
  <c r="H452" i="3"/>
  <c r="V450" i="3"/>
  <c r="H450" i="3"/>
  <c r="H446" i="3"/>
  <c r="V446" i="3"/>
  <c r="C380" i="3"/>
  <c r="C415" i="3"/>
  <c r="P448" i="3" a="1"/>
  <c r="P448" i="3" s="1"/>
  <c r="Q448" i="3" s="1"/>
  <c r="C405" i="3"/>
  <c r="V451" i="3"/>
  <c r="H451" i="3"/>
  <c r="H440" i="3"/>
  <c r="V440" i="3"/>
  <c r="C391" i="3"/>
  <c r="C361" i="3"/>
  <c r="V366" i="3"/>
  <c r="V442" i="3"/>
  <c r="H442" i="3"/>
  <c r="H438" i="3"/>
  <c r="V438" i="3"/>
  <c r="D436" i="3"/>
  <c r="V444" i="3"/>
  <c r="H444" i="3"/>
  <c r="C422" i="3"/>
  <c r="P435" i="3" a="1"/>
  <c r="P435" i="3" s="1"/>
  <c r="Q435" i="3" s="1"/>
  <c r="V396" i="3"/>
  <c r="H434" i="3"/>
  <c r="V434" i="3"/>
  <c r="D393" i="3"/>
  <c r="D419" i="3"/>
  <c r="V441" i="3"/>
  <c r="H441" i="3"/>
  <c r="C344" i="3"/>
  <c r="V439" i="3"/>
  <c r="H439" i="3"/>
  <c r="V432" i="3"/>
  <c r="H432" i="3"/>
  <c r="C392" i="3"/>
  <c r="D394" i="3"/>
  <c r="C418" i="3"/>
  <c r="D430" i="3"/>
  <c r="D405" i="3"/>
  <c r="V408" i="3"/>
  <c r="D406" i="3"/>
  <c r="P403" i="3" a="1"/>
  <c r="P403" i="3" s="1"/>
  <c r="Q403" i="3" s="1"/>
  <c r="C426" i="3"/>
  <c r="C427" i="3"/>
  <c r="D424" i="3"/>
  <c r="V391" i="3"/>
  <c r="H429" i="3"/>
  <c r="P425" i="3" a="1"/>
  <c r="P425" i="3" s="1"/>
  <c r="Q425" i="3" s="1"/>
  <c r="C402" i="3"/>
  <c r="D422" i="3"/>
  <c r="D392" i="3"/>
  <c r="D418" i="3"/>
  <c r="V424" i="3"/>
  <c r="H424" i="3"/>
  <c r="C373" i="3"/>
  <c r="C404" i="3"/>
  <c r="D313" i="3"/>
  <c r="H430" i="3"/>
  <c r="V430" i="3"/>
  <c r="H428" i="3"/>
  <c r="V428" i="3"/>
  <c r="V420" i="3"/>
  <c r="H420" i="3"/>
  <c r="H427" i="3"/>
  <c r="V427" i="3"/>
  <c r="H422" i="3"/>
  <c r="V422" i="3"/>
  <c r="D391" i="3"/>
  <c r="H418" i="3"/>
  <c r="H423" i="3"/>
  <c r="V423" i="3"/>
  <c r="H421" i="3"/>
  <c r="V421" i="3"/>
  <c r="V431" i="3"/>
  <c r="H431" i="3"/>
  <c r="D366" i="3"/>
  <c r="P396" i="3" a="1"/>
  <c r="P396" i="3" s="1"/>
  <c r="Q396" i="3" s="1"/>
  <c r="H364" i="3"/>
  <c r="P364" i="3" s="1" a="1"/>
  <c r="P364" i="3" s="1"/>
  <c r="Q364" i="3" s="1"/>
  <c r="C375" i="3"/>
  <c r="H358" i="3"/>
  <c r="P358" i="3" s="1" a="1"/>
  <c r="P358" i="3" s="1"/>
  <c r="Q358" i="3" s="1"/>
  <c r="V403" i="3"/>
  <c r="C403" i="3"/>
  <c r="V416" i="3"/>
  <c r="H416" i="3"/>
  <c r="H417" i="3"/>
  <c r="V417" i="3"/>
  <c r="H415" i="3"/>
  <c r="V415" i="3"/>
  <c r="D412" i="3"/>
  <c r="H414" i="3"/>
  <c r="V414" i="3"/>
  <c r="C390" i="3"/>
  <c r="C355" i="3"/>
  <c r="D368" i="3"/>
  <c r="H409" i="3"/>
  <c r="H411" i="3"/>
  <c r="V411" i="3"/>
  <c r="D402" i="3"/>
  <c r="C284" i="3"/>
  <c r="V407" i="3"/>
  <c r="C410" i="3"/>
  <c r="P407" i="3" a="1"/>
  <c r="P407" i="3" s="1"/>
  <c r="Q407" i="3" s="1"/>
  <c r="D351" i="3"/>
  <c r="H413" i="3"/>
  <c r="V413" i="3"/>
  <c r="H404" i="3"/>
  <c r="V404" i="3"/>
  <c r="C345" i="3"/>
  <c r="D387" i="3"/>
  <c r="H405" i="3"/>
  <c r="V405" i="3"/>
  <c r="V399" i="3"/>
  <c r="H399" i="3"/>
  <c r="H412" i="3"/>
  <c r="V412" i="3"/>
  <c r="P408" i="3" a="1"/>
  <c r="P408" i="3" s="1"/>
  <c r="Q408" i="3" s="1"/>
  <c r="V390" i="3"/>
  <c r="H390" i="3"/>
  <c r="Q249" i="3"/>
  <c r="C292" i="3"/>
  <c r="C389" i="3"/>
  <c r="H380" i="3"/>
  <c r="V381" i="3"/>
  <c r="C400" i="3"/>
  <c r="C401" i="3"/>
  <c r="D269" i="3"/>
  <c r="D378" i="3"/>
  <c r="H365" i="3"/>
  <c r="C396" i="3"/>
  <c r="P391" i="3" a="1"/>
  <c r="P391" i="3" s="1"/>
  <c r="Q391" i="3" s="1"/>
  <c r="D381" i="3"/>
  <c r="C251" i="3"/>
  <c r="C367" i="3"/>
  <c r="R291" i="3"/>
  <c r="H394" i="3"/>
  <c r="V394" i="3"/>
  <c r="V395" i="3"/>
  <c r="H395" i="3"/>
  <c r="V393" i="3"/>
  <c r="H393" i="3"/>
  <c r="H402" i="3"/>
  <c r="V402" i="3"/>
  <c r="H401" i="3"/>
  <c r="V401" i="3"/>
  <c r="D385" i="3"/>
  <c r="D370" i="3"/>
  <c r="C297" i="3"/>
  <c r="D293" i="3"/>
  <c r="C290" i="3"/>
  <c r="H388" i="3"/>
  <c r="D359" i="3"/>
  <c r="C358" i="3"/>
  <c r="R376" i="3"/>
  <c r="D356" i="3"/>
  <c r="R359" i="3"/>
  <c r="R367" i="3"/>
  <c r="C383" i="3"/>
  <c r="C374" i="3"/>
  <c r="R381" i="3"/>
  <c r="C330" i="3"/>
  <c r="H360" i="3"/>
  <c r="P360" i="3" s="1" a="1"/>
  <c r="P360" i="3" s="1"/>
  <c r="Q360" i="3" s="1"/>
  <c r="H387" i="3"/>
  <c r="D371" i="3"/>
  <c r="C388" i="3"/>
  <c r="H356" i="3"/>
  <c r="P356" i="3" s="1" a="1"/>
  <c r="P356" i="3" s="1"/>
  <c r="Q356" i="3" s="1"/>
  <c r="C354" i="3"/>
  <c r="V389" i="3"/>
  <c r="H389" i="3"/>
  <c r="D334" i="3"/>
  <c r="H373" i="3"/>
  <c r="V355" i="3"/>
  <c r="C381" i="3"/>
  <c r="H383" i="3"/>
  <c r="V383" i="3"/>
  <c r="C382" i="3"/>
  <c r="D277" i="3"/>
  <c r="C352" i="3"/>
  <c r="V354" i="3"/>
  <c r="C294" i="3"/>
  <c r="V386" i="3"/>
  <c r="H386" i="3"/>
  <c r="H378" i="3"/>
  <c r="V378" i="3"/>
  <c r="H385" i="3"/>
  <c r="V385" i="3"/>
  <c r="V382" i="3"/>
  <c r="H382" i="3"/>
  <c r="H377" i="3"/>
  <c r="H379" i="3"/>
  <c r="V379" i="3"/>
  <c r="H372" i="3"/>
  <c r="V372" i="3"/>
  <c r="V368" i="3"/>
  <c r="H368" i="3"/>
  <c r="V271" i="3"/>
  <c r="D341" i="3"/>
  <c r="H375" i="3"/>
  <c r="V375" i="3"/>
  <c r="V362" i="3"/>
  <c r="H362" i="3"/>
  <c r="V370" i="3"/>
  <c r="H370" i="3"/>
  <c r="H363" i="3"/>
  <c r="V363" i="3"/>
  <c r="H369" i="3"/>
  <c r="V369" i="3"/>
  <c r="V371" i="3"/>
  <c r="H371" i="3"/>
  <c r="H361" i="3"/>
  <c r="V361" i="3"/>
  <c r="H357" i="3"/>
  <c r="D346" i="3"/>
  <c r="C357" i="3"/>
  <c r="D354" i="3"/>
  <c r="D305" i="3"/>
  <c r="C353" i="3"/>
  <c r="C326" i="3"/>
  <c r="H344" i="3"/>
  <c r="P344" i="3" s="1" a="1"/>
  <c r="P344" i="3" s="1"/>
  <c r="Q344" i="3" s="1"/>
  <c r="H342" i="3"/>
  <c r="C325" i="3"/>
  <c r="C351" i="3"/>
  <c r="D324" i="3"/>
  <c r="D353" i="3"/>
  <c r="P355" i="3" a="1"/>
  <c r="P355" i="3" s="1"/>
  <c r="Q355" i="3" s="1"/>
  <c r="P354" i="3" a="1"/>
  <c r="P354" i="3" s="1"/>
  <c r="Q354" i="3" s="1"/>
  <c r="D310" i="3"/>
  <c r="D340" i="3"/>
  <c r="V285" i="3"/>
  <c r="D344" i="3"/>
  <c r="C286" i="3"/>
  <c r="C346" i="3"/>
  <c r="C349" i="3"/>
  <c r="C347" i="3"/>
  <c r="V353" i="3"/>
  <c r="H353" i="3"/>
  <c r="D349" i="3"/>
  <c r="C348" i="3"/>
  <c r="D345" i="3"/>
  <c r="D327" i="3"/>
  <c r="V352" i="3"/>
  <c r="P352" i="3" a="1"/>
  <c r="P352" i="3" s="1"/>
  <c r="Q352" i="3" s="1"/>
  <c r="Q282" i="3"/>
  <c r="V293" i="3"/>
  <c r="P345" i="3" a="1"/>
  <c r="P345" i="3" s="1"/>
  <c r="Q345" i="3" s="1"/>
  <c r="H337" i="3"/>
  <c r="P337" i="3" s="1" a="1"/>
  <c r="P337" i="3" s="1"/>
  <c r="Q337" i="3" s="1"/>
  <c r="D348" i="3"/>
  <c r="C342" i="3"/>
  <c r="H343" i="3"/>
  <c r="P343" i="3" s="1" a="1"/>
  <c r="P343" i="3" s="1"/>
  <c r="Q343" i="3" s="1"/>
  <c r="D350" i="3"/>
  <c r="H351" i="3"/>
  <c r="V351" i="3"/>
  <c r="H349" i="3"/>
  <c r="C331" i="3"/>
  <c r="D335" i="3"/>
  <c r="C343" i="3"/>
  <c r="H347" i="3"/>
  <c r="V347" i="3"/>
  <c r="H346" i="3"/>
  <c r="V346" i="3"/>
  <c r="D285" i="3"/>
  <c r="V348" i="3"/>
  <c r="H348" i="3"/>
  <c r="D271" i="3"/>
  <c r="V350" i="3"/>
  <c r="H350" i="3"/>
  <c r="D287" i="3"/>
  <c r="H336" i="3"/>
  <c r="C337" i="3"/>
  <c r="C293" i="3"/>
  <c r="D320" i="3"/>
  <c r="C271" i="3"/>
  <c r="D283" i="3"/>
  <c r="D291" i="3"/>
  <c r="V289" i="3"/>
  <c r="D332" i="3"/>
  <c r="P341" i="3" a="1"/>
  <c r="P341" i="3" s="1"/>
  <c r="Q341" i="3" s="1"/>
  <c r="V341" i="3"/>
  <c r="D337" i="3"/>
  <c r="V335" i="3"/>
  <c r="C341" i="3"/>
  <c r="C340" i="3"/>
  <c r="D339" i="3"/>
  <c r="D331" i="3"/>
  <c r="D304" i="3"/>
  <c r="V259" i="3"/>
  <c r="D338" i="3"/>
  <c r="H340" i="3"/>
  <c r="V340" i="3"/>
  <c r="H333" i="3"/>
  <c r="D336" i="3"/>
  <c r="D281" i="3"/>
  <c r="R271" i="3"/>
  <c r="P339" i="3" a="1"/>
  <c r="P339" i="3" s="1"/>
  <c r="Q339" i="3" s="1"/>
  <c r="V339" i="3"/>
  <c r="D326" i="3"/>
  <c r="R335" i="3"/>
  <c r="C291" i="3"/>
  <c r="C338" i="3"/>
  <c r="H338" i="3"/>
  <c r="V338" i="3"/>
  <c r="C314" i="3"/>
  <c r="C336" i="3"/>
  <c r="C332" i="3"/>
  <c r="C335" i="3"/>
  <c r="V334" i="3"/>
  <c r="D328" i="3"/>
  <c r="D333" i="3"/>
  <c r="D330" i="3"/>
  <c r="V332" i="3"/>
  <c r="P332" i="3" a="1"/>
  <c r="P332" i="3" s="1"/>
  <c r="Q332" i="3" s="1"/>
  <c r="P334" i="3" a="1"/>
  <c r="P334" i="3" s="1"/>
  <c r="Q334" i="3" s="1"/>
  <c r="C310" i="3"/>
  <c r="C333" i="3"/>
  <c r="D329" i="3"/>
  <c r="H274" i="3"/>
  <c r="P274" i="3" s="1" a="1"/>
  <c r="P274" i="3" s="1"/>
  <c r="Q274" i="3" s="1"/>
  <c r="C272" i="3"/>
  <c r="D319" i="3"/>
  <c r="C328" i="3"/>
  <c r="C299" i="3"/>
  <c r="C329" i="3"/>
  <c r="H330" i="3"/>
  <c r="V330" i="3"/>
  <c r="H331" i="3"/>
  <c r="V331" i="3"/>
  <c r="C319" i="3"/>
  <c r="C321" i="3"/>
  <c r="V325" i="3"/>
  <c r="C323" i="3"/>
  <c r="H322" i="3"/>
  <c r="D307" i="3"/>
  <c r="C327" i="3"/>
  <c r="D290" i="3"/>
  <c r="D323" i="3"/>
  <c r="D294" i="3"/>
  <c r="D308" i="3"/>
  <c r="D299" i="3"/>
  <c r="D317" i="3"/>
  <c r="C316" i="3"/>
  <c r="H324" i="3"/>
  <c r="D318" i="3"/>
  <c r="P325" i="3" a="1"/>
  <c r="P325" i="3" s="1"/>
  <c r="Q325" i="3" s="1"/>
  <c r="H328" i="3"/>
  <c r="V329" i="3"/>
  <c r="H329" i="3"/>
  <c r="D321" i="3"/>
  <c r="C324" i="3"/>
  <c r="D322" i="3"/>
  <c r="C322" i="3"/>
  <c r="D312" i="3"/>
  <c r="D311" i="3"/>
  <c r="V323" i="3"/>
  <c r="D315" i="3"/>
  <c r="P312" i="3" a="1"/>
  <c r="P312" i="3" s="1"/>
  <c r="Q312" i="3" s="1"/>
  <c r="H326" i="3"/>
  <c r="V326" i="3"/>
  <c r="H319" i="3"/>
  <c r="V319" i="3"/>
  <c r="V320" i="3"/>
  <c r="H320" i="3"/>
  <c r="H327" i="3"/>
  <c r="V327" i="3"/>
  <c r="P323" i="3" a="1"/>
  <c r="P323" i="3" s="1"/>
  <c r="Q323" i="3" s="1"/>
  <c r="C309" i="3"/>
  <c r="V321" i="3"/>
  <c r="H321" i="3"/>
  <c r="H272" i="3"/>
  <c r="P272" i="3" s="1" a="1"/>
  <c r="P272" i="3" s="1"/>
  <c r="Q272" i="3" s="1"/>
  <c r="C308" i="3"/>
  <c r="D298" i="3"/>
  <c r="C295" i="3"/>
  <c r="D284" i="3"/>
  <c r="H311" i="3"/>
  <c r="C311" i="3"/>
  <c r="D292" i="3"/>
  <c r="C305" i="3"/>
  <c r="C283" i="3"/>
  <c r="C312" i="3"/>
  <c r="D288" i="3"/>
  <c r="P315" i="3" a="1"/>
  <c r="P315" i="3" s="1"/>
  <c r="Q315" i="3" s="1"/>
  <c r="D309" i="3"/>
  <c r="V315" i="3"/>
  <c r="D316" i="3"/>
  <c r="D314" i="3"/>
  <c r="H318" i="3"/>
  <c r="C313" i="3"/>
  <c r="C273" i="3"/>
  <c r="C317" i="3"/>
  <c r="C318" i="3"/>
  <c r="C315" i="3"/>
  <c r="V312" i="3"/>
  <c r="H317" i="3"/>
  <c r="V317" i="3"/>
  <c r="H316" i="3"/>
  <c r="V316" i="3"/>
  <c r="D306" i="3"/>
  <c r="H313" i="3"/>
  <c r="V313" i="3"/>
  <c r="V314" i="3"/>
  <c r="H314" i="3"/>
  <c r="F19" i="5" a="1"/>
  <c r="F19" i="5" s="1"/>
  <c r="V284" i="3"/>
  <c r="D289" i="3"/>
  <c r="V280" i="3"/>
  <c r="V296" i="3"/>
  <c r="D286" i="3"/>
  <c r="D280" i="3"/>
  <c r="H260" i="3"/>
  <c r="P260" i="3" s="1" a="1"/>
  <c r="P260" i="3" s="1"/>
  <c r="Q260" i="3" s="1"/>
  <c r="C298" i="3"/>
  <c r="D296" i="3"/>
  <c r="C285" i="3"/>
  <c r="R296" i="3"/>
  <c r="C304" i="3"/>
  <c r="C274" i="3"/>
  <c r="D264" i="3"/>
  <c r="H298" i="3"/>
  <c r="P298" i="3" s="1" a="1"/>
  <c r="P298" i="3" s="1"/>
  <c r="Q298" i="3" s="1"/>
  <c r="C280" i="3"/>
  <c r="C296" i="3"/>
  <c r="C270" i="3"/>
  <c r="V264" i="3"/>
  <c r="C307" i="3"/>
  <c r="H310" i="3"/>
  <c r="V310" i="3"/>
  <c r="V309" i="3"/>
  <c r="H309" i="3"/>
  <c r="P307" i="3" a="1"/>
  <c r="P307" i="3" s="1"/>
  <c r="Q307" i="3" s="1"/>
  <c r="C306" i="3"/>
  <c r="V307" i="3"/>
  <c r="C264" i="3"/>
  <c r="H304" i="3"/>
  <c r="P304" i="3" s="1" a="1"/>
  <c r="P304" i="3" s="1"/>
  <c r="Q304" i="3" s="1"/>
  <c r="H290" i="3"/>
  <c r="V290" i="3"/>
  <c r="H273" i="3"/>
  <c r="V273" i="3"/>
  <c r="V308" i="3"/>
  <c r="H308" i="3"/>
  <c r="U2" i="3"/>
  <c r="V2" i="3" s="1"/>
  <c r="V299" i="3"/>
  <c r="H299" i="3"/>
  <c r="H306" i="3"/>
  <c r="P306" i="3" s="1" a="1"/>
  <c r="P306" i="3" s="1"/>
  <c r="Q306" i="3" s="1"/>
  <c r="P264" i="3" a="1"/>
  <c r="P264" i="3" s="1"/>
  <c r="Q264" i="3" s="1"/>
  <c r="V305" i="3"/>
  <c r="H305" i="3"/>
  <c r="P289" i="3" a="1"/>
  <c r="P289" i="3" s="1"/>
  <c r="Q289" i="3" s="1"/>
  <c r="V270" i="3"/>
  <c r="H270" i="3"/>
  <c r="AD2" i="3"/>
  <c r="AC2" i="3"/>
  <c r="K2" i="3" a="1"/>
  <c r="K2" i="3" s="1"/>
  <c r="L2" i="3" a="1"/>
  <c r="L2" i="3" s="1"/>
  <c r="O2" i="3" a="1"/>
  <c r="O2" i="3" s="1"/>
  <c r="J2" i="3" a="1"/>
  <c r="J2" i="3" s="1"/>
  <c r="M2" i="3" a="1"/>
  <c r="M2" i="3" s="1"/>
  <c r="N2" i="3" a="1"/>
  <c r="N2" i="3" s="1"/>
  <c r="H14" i="5"/>
  <c r="G14" i="5" s="1"/>
  <c r="H292" i="3"/>
  <c r="V292" i="3"/>
  <c r="Y2" i="3"/>
  <c r="Z2" i="3" s="1"/>
  <c r="AA2" i="3"/>
  <c r="AB2" i="3"/>
  <c r="R303" i="3"/>
  <c r="P302" i="3" a="1"/>
  <c r="P302" i="3" s="1"/>
  <c r="Q302" i="3" s="1"/>
  <c r="R301" i="3"/>
  <c r="R300" i="3"/>
  <c r="P297" i="3" a="1"/>
  <c r="P297" i="3" s="1"/>
  <c r="Q297" i="3" s="1"/>
  <c r="P285" i="3" a="1"/>
  <c r="P285" i="3" s="1"/>
  <c r="Q285" i="3" s="1"/>
  <c r="P288" i="3" a="1"/>
  <c r="P288" i="3" s="1"/>
  <c r="Q288" i="3" s="1"/>
  <c r="P287" i="3" a="1"/>
  <c r="P287" i="3" s="1"/>
  <c r="Q287" i="3" s="1"/>
  <c r="P294" i="3" a="1"/>
  <c r="P294" i="3" s="1"/>
  <c r="Q294" i="3" s="1"/>
  <c r="P295" i="3" a="1"/>
  <c r="P295" i="3" s="1"/>
  <c r="Q295" i="3" s="1"/>
  <c r="P286" i="3" a="1"/>
  <c r="P286" i="3" s="1"/>
  <c r="Q286" i="3" s="1"/>
  <c r="P293" i="3" a="1"/>
  <c r="P293" i="3" s="1"/>
  <c r="Q293" i="3" s="1"/>
  <c r="R283" i="3"/>
  <c r="P284" i="3" a="1"/>
  <c r="P284" i="3" s="1"/>
  <c r="Q284" i="3" s="1"/>
  <c r="R279" i="3"/>
  <c r="P281" i="3" a="1"/>
  <c r="P281" i="3" s="1"/>
  <c r="Q281" i="3" s="1"/>
  <c r="P280" i="3" a="1"/>
  <c r="P280" i="3" s="1"/>
  <c r="Q280" i="3" s="1"/>
  <c r="R275" i="3"/>
  <c r="R24" i="3"/>
  <c r="R46" i="3"/>
  <c r="R262" i="3"/>
  <c r="R277" i="3"/>
  <c r="P278" i="3" a="1"/>
  <c r="P278" i="3" s="1"/>
  <c r="Q278" i="3" s="1"/>
  <c r="R258" i="3"/>
  <c r="P276" i="3" a="1"/>
  <c r="P276" i="3" s="1"/>
  <c r="Q276" i="3" s="1"/>
  <c r="R208" i="3"/>
  <c r="R268" i="3"/>
  <c r="P267" i="3" a="1"/>
  <c r="P267" i="3" s="1"/>
  <c r="Q267" i="3" s="1"/>
  <c r="P269" i="3" a="1"/>
  <c r="P269" i="3" s="1"/>
  <c r="Q269" i="3" s="1"/>
  <c r="R263" i="3"/>
  <c r="R265" i="3"/>
  <c r="R21" i="3"/>
  <c r="P266" i="3" a="1"/>
  <c r="P266" i="3" s="1"/>
  <c r="Q266" i="3" s="1"/>
  <c r="R41" i="3"/>
  <c r="P261" i="3" a="1"/>
  <c r="P261" i="3" s="1"/>
  <c r="Q261" i="3" s="1"/>
  <c r="P259" i="3" a="1"/>
  <c r="P259" i="3" s="1"/>
  <c r="Q259" i="3" s="1"/>
  <c r="R40" i="3"/>
  <c r="R13" i="3"/>
  <c r="R141" i="3"/>
  <c r="R39" i="3"/>
  <c r="R242" i="3"/>
  <c r="R254" i="3"/>
  <c r="R36" i="3"/>
  <c r="P257" i="3" a="1"/>
  <c r="P257" i="3" s="1"/>
  <c r="Q257" i="3" s="1"/>
  <c r="R240" i="3"/>
  <c r="R246" i="3"/>
  <c r="R247" i="3"/>
  <c r="R248" i="3"/>
  <c r="R203" i="3"/>
  <c r="P252" i="3" a="1"/>
  <c r="P252" i="3" s="1"/>
  <c r="Q252" i="3" s="1"/>
  <c r="P253" i="3" a="1"/>
  <c r="P253" i="3" s="1"/>
  <c r="Q253" i="3" s="1"/>
  <c r="P255" i="3" a="1"/>
  <c r="P255" i="3" s="1"/>
  <c r="Q255" i="3" s="1"/>
  <c r="P250" i="3" a="1"/>
  <c r="P250" i="3" s="1"/>
  <c r="Q250" i="3" s="1"/>
  <c r="P256" i="3" a="1"/>
  <c r="P256" i="3" s="1"/>
  <c r="Q256" i="3" s="1"/>
  <c r="R201" i="3"/>
  <c r="R227" i="3"/>
  <c r="R243" i="3"/>
  <c r="R241" i="3"/>
  <c r="P237" i="3" a="1"/>
  <c r="P237" i="3" s="1"/>
  <c r="Q237" i="3" s="1"/>
  <c r="P245" i="3" a="1"/>
  <c r="P245" i="3" s="1"/>
  <c r="Q245" i="3" s="1"/>
  <c r="R34" i="3"/>
  <c r="P239" i="3" a="1"/>
  <c r="P239" i="3" s="1"/>
  <c r="Q239" i="3" s="1"/>
  <c r="R6" i="3"/>
  <c r="R225" i="3"/>
  <c r="R223" i="3"/>
  <c r="R145" i="3"/>
  <c r="R234" i="3"/>
  <c r="P238" i="3" a="1"/>
  <c r="P238" i="3" s="1"/>
  <c r="Q238" i="3" s="1"/>
  <c r="R233" i="3"/>
  <c r="R112" i="3"/>
  <c r="R231" i="3"/>
  <c r="R31" i="3"/>
  <c r="R17" i="3"/>
  <c r="R5" i="3"/>
  <c r="R54" i="3"/>
  <c r="P221" i="3" a="1"/>
  <c r="P221" i="3" s="1"/>
  <c r="Q221" i="3" s="1"/>
  <c r="R216" i="3"/>
  <c r="P236" i="3" a="1"/>
  <c r="P236" i="3" s="1"/>
  <c r="Q236" i="3" s="1"/>
  <c r="R232" i="3"/>
  <c r="P235" i="3" a="1"/>
  <c r="P235" i="3" s="1"/>
  <c r="Q235" i="3" s="1"/>
  <c r="R230" i="3"/>
  <c r="R191" i="3"/>
  <c r="R228" i="3"/>
  <c r="P229" i="3" a="1"/>
  <c r="P229" i="3" s="1"/>
  <c r="Q229" i="3" s="1"/>
  <c r="R226" i="3"/>
  <c r="R224" i="3"/>
  <c r="P210" i="3" a="1"/>
  <c r="P210" i="3" s="1"/>
  <c r="Q210" i="3" s="1"/>
  <c r="R30" i="3"/>
  <c r="R158" i="3"/>
  <c r="R220" i="3"/>
  <c r="R219" i="3"/>
  <c r="P218" i="3" a="1"/>
  <c r="P218" i="3" s="1"/>
  <c r="Q218" i="3" s="1"/>
  <c r="R202" i="3"/>
  <c r="R153" i="3"/>
  <c r="R217" i="3"/>
  <c r="R215" i="3"/>
  <c r="P212" i="3" a="1"/>
  <c r="P212" i="3" s="1"/>
  <c r="Q212" i="3" s="1"/>
  <c r="P213" i="3" a="1"/>
  <c r="P213" i="3" s="1"/>
  <c r="Q213" i="3" s="1"/>
  <c r="R211" i="3"/>
  <c r="R197" i="3"/>
  <c r="P207" i="3" a="1"/>
  <c r="P207" i="3" s="1"/>
  <c r="Q207" i="3" s="1"/>
  <c r="R209" i="3"/>
  <c r="P180" i="3" a="1"/>
  <c r="P180" i="3" s="1"/>
  <c r="Q180" i="3" s="1"/>
  <c r="R204" i="3"/>
  <c r="P205" i="3" a="1"/>
  <c r="P205" i="3" s="1"/>
  <c r="Q205" i="3" s="1"/>
  <c r="P206" i="3" a="1"/>
  <c r="P206" i="3" s="1"/>
  <c r="Q206" i="3" s="1"/>
  <c r="R110" i="3"/>
  <c r="R170" i="3"/>
  <c r="R114" i="3"/>
  <c r="R193" i="3"/>
  <c r="R194" i="3"/>
  <c r="P176" i="3" a="1"/>
  <c r="P176" i="3" s="1"/>
  <c r="Q176" i="3" s="1"/>
  <c r="R123" i="3"/>
  <c r="R134" i="3"/>
  <c r="R118" i="3"/>
  <c r="R138" i="3"/>
  <c r="R3" i="3"/>
  <c r="R168" i="3"/>
  <c r="P177" i="3" a="1"/>
  <c r="P177" i="3" s="1"/>
  <c r="Q177" i="3" s="1"/>
  <c r="P196" i="3" a="1"/>
  <c r="P196" i="3" s="1"/>
  <c r="Q196" i="3" s="1"/>
  <c r="P199" i="3" a="1"/>
  <c r="P199" i="3" s="1"/>
  <c r="Q199" i="3" s="1"/>
  <c r="P195" i="3" a="1"/>
  <c r="P195" i="3" s="1"/>
  <c r="Q195" i="3" s="1"/>
  <c r="P200" i="3" a="1"/>
  <c r="P200" i="3" s="1"/>
  <c r="Q200" i="3" s="1"/>
  <c r="R106" i="3"/>
  <c r="R86" i="3"/>
  <c r="R166" i="3"/>
  <c r="R167" i="3"/>
  <c r="R159" i="3"/>
  <c r="R8" i="3"/>
  <c r="R179" i="3"/>
  <c r="R160" i="3"/>
  <c r="P189" i="3" a="1"/>
  <c r="P189" i="3" s="1"/>
  <c r="Q189" i="3" s="1"/>
  <c r="P187" i="3" a="1"/>
  <c r="P187" i="3" s="1"/>
  <c r="Q187" i="3" s="1"/>
  <c r="R102" i="3"/>
  <c r="P192" i="3" a="1"/>
  <c r="P192" i="3" s="1"/>
  <c r="Q192" i="3" s="1"/>
  <c r="R190" i="3"/>
  <c r="P188" i="3" a="1"/>
  <c r="P188" i="3" s="1"/>
  <c r="Q188" i="3" s="1"/>
  <c r="R100" i="3"/>
  <c r="P186" i="3" a="1"/>
  <c r="P186" i="3" s="1"/>
  <c r="Q186" i="3" s="1"/>
  <c r="R9" i="3"/>
  <c r="R16" i="3"/>
  <c r="R79" i="3"/>
  <c r="R48" i="3"/>
  <c r="P178" i="3" a="1"/>
  <c r="P178" i="3" s="1"/>
  <c r="Q178" i="3" s="1"/>
  <c r="R157" i="3"/>
  <c r="R62" i="3"/>
  <c r="R132" i="3"/>
  <c r="R173" i="3"/>
  <c r="R98" i="3"/>
  <c r="R174" i="3"/>
  <c r="R67" i="3"/>
  <c r="P181" i="3" a="1"/>
  <c r="P181" i="3" s="1"/>
  <c r="Q181" i="3" s="1"/>
  <c r="P184" i="3" a="1"/>
  <c r="P184" i="3" s="1"/>
  <c r="Q184" i="3" s="1"/>
  <c r="P182" i="3" a="1"/>
  <c r="P182" i="3" s="1"/>
  <c r="Q182" i="3" s="1"/>
  <c r="P183" i="3" a="1"/>
  <c r="P183" i="3" s="1"/>
  <c r="Q183" i="3" s="1"/>
  <c r="P185" i="3" a="1"/>
  <c r="P185" i="3" s="1"/>
  <c r="Q185" i="3" s="1"/>
  <c r="R155" i="3"/>
  <c r="R81" i="3"/>
  <c r="R96" i="3"/>
  <c r="R61" i="3"/>
  <c r="R85" i="3"/>
  <c r="R84" i="3"/>
  <c r="R27" i="3"/>
  <c r="R151" i="3"/>
  <c r="R127" i="3"/>
  <c r="R25" i="3"/>
  <c r="P175" i="3" a="1"/>
  <c r="P175" i="3" s="1"/>
  <c r="Q175" i="3" s="1"/>
  <c r="C12" i="5"/>
  <c r="R58" i="3"/>
  <c r="R93" i="3"/>
  <c r="R15" i="3"/>
  <c r="R91" i="3"/>
  <c r="R121" i="3"/>
  <c r="R126" i="3"/>
  <c r="R119" i="3"/>
  <c r="R89" i="3"/>
  <c r="R147" i="3"/>
  <c r="R71" i="3"/>
  <c r="R124" i="3"/>
  <c r="P146" i="3" a="1"/>
  <c r="P146" i="3" s="1"/>
  <c r="Q146" i="3" s="1"/>
  <c r="P64" i="3" a="1"/>
  <c r="P64" i="3" s="1"/>
  <c r="Q64" i="3" s="1"/>
  <c r="P95" i="3" a="1"/>
  <c r="P95" i="3" s="1"/>
  <c r="Q95" i="3" s="1"/>
  <c r="P99" i="3" a="1"/>
  <c r="P99" i="3" s="1"/>
  <c r="Q99" i="3" s="1"/>
  <c r="P101" i="3" a="1"/>
  <c r="P101" i="3" s="1"/>
  <c r="Q101" i="3" s="1"/>
  <c r="P90" i="3" a="1"/>
  <c r="P90" i="3" s="1"/>
  <c r="Q90" i="3" s="1"/>
  <c r="P107" i="3" a="1"/>
  <c r="P107" i="3" s="1"/>
  <c r="Q107" i="3" s="1"/>
  <c r="P18" i="3" a="1"/>
  <c r="P18" i="3" s="1"/>
  <c r="Q18" i="3" s="1"/>
  <c r="P133" i="3" a="1"/>
  <c r="P133" i="3" s="1"/>
  <c r="Q133" i="3" s="1"/>
  <c r="P37" i="3" a="1"/>
  <c r="P37" i="3" s="1"/>
  <c r="Q37" i="3" s="1"/>
  <c r="R14" i="3"/>
  <c r="P32" i="3" a="1"/>
  <c r="P32" i="3" s="1"/>
  <c r="Q32" i="3" s="1"/>
  <c r="R70" i="3"/>
  <c r="P165" i="3" a="1"/>
  <c r="P165" i="3" s="1"/>
  <c r="Q165" i="3" s="1"/>
  <c r="R122" i="3"/>
  <c r="P130" i="3" a="1"/>
  <c r="P130" i="3" s="1"/>
  <c r="Q130" i="3" s="1"/>
  <c r="P113" i="3" a="1"/>
  <c r="P113" i="3" s="1"/>
  <c r="Q113" i="3" s="1"/>
  <c r="P12" i="3" a="1"/>
  <c r="P12" i="3" s="1"/>
  <c r="Q12" i="3" s="1"/>
  <c r="P38" i="3" a="1"/>
  <c r="P38" i="3" s="1"/>
  <c r="Q38" i="3" s="1"/>
  <c r="P104" i="3" a="1"/>
  <c r="P104" i="3" s="1"/>
  <c r="Q104" i="3" s="1"/>
  <c r="P164" i="3" a="1"/>
  <c r="P164" i="3" s="1"/>
  <c r="Q164" i="3" s="1"/>
  <c r="P125" i="3" a="1"/>
  <c r="P125" i="3" s="1"/>
  <c r="Q125" i="3" s="1"/>
  <c r="P50" i="3" a="1"/>
  <c r="P50" i="3" s="1"/>
  <c r="Q50" i="3" s="1"/>
  <c r="P35" i="3" a="1"/>
  <c r="P35" i="3" s="1"/>
  <c r="Q35" i="3" s="1"/>
  <c r="R69" i="3"/>
  <c r="D10" i="5"/>
  <c r="B12" i="5"/>
  <c r="G10" i="11" l="1"/>
  <c r="H10" i="11" s="1"/>
  <c r="P459" i="3" a="1"/>
  <c r="P459" i="3" s="1"/>
  <c r="Q459" i="3" s="1"/>
  <c r="R459" i="3"/>
  <c r="P477" i="3" a="1"/>
  <c r="P477" i="3" s="1"/>
  <c r="Q477" i="3" s="1"/>
  <c r="R448" i="3"/>
  <c r="R449" i="3"/>
  <c r="R445" i="3"/>
  <c r="R437" i="3"/>
  <c r="R436" i="3"/>
  <c r="P492" i="3" a="1"/>
  <c r="P492" i="3" s="1"/>
  <c r="Q492" i="3" s="1"/>
  <c r="R492" i="3"/>
  <c r="R500" i="3"/>
  <c r="P500" i="3" a="1"/>
  <c r="P500" i="3" s="1"/>
  <c r="Q500" i="3" s="1"/>
  <c r="R498" i="3"/>
  <c r="P498" i="3" a="1"/>
  <c r="P498" i="3" s="1"/>
  <c r="Q498" i="3" s="1"/>
  <c r="R487" i="3"/>
  <c r="P487" i="3" a="1"/>
  <c r="P487" i="3" s="1"/>
  <c r="Q487" i="3" s="1"/>
  <c r="R493" i="3"/>
  <c r="P493" i="3" a="1"/>
  <c r="P493" i="3" s="1"/>
  <c r="Q493" i="3" s="1"/>
  <c r="R497" i="3"/>
  <c r="P497" i="3" a="1"/>
  <c r="P497" i="3" s="1"/>
  <c r="Q497" i="3" s="1"/>
  <c r="R425" i="3"/>
  <c r="R435" i="3"/>
  <c r="R426" i="3"/>
  <c r="R433" i="3"/>
  <c r="P454" i="3" a="1"/>
  <c r="P454" i="3" s="1"/>
  <c r="Q454" i="3" s="1"/>
  <c r="H15" i="11"/>
  <c r="P471" i="3" a="1"/>
  <c r="P471" i="3" s="1"/>
  <c r="Q471" i="3" s="1"/>
  <c r="R374" i="3"/>
  <c r="R461" i="3"/>
  <c r="R475" i="3"/>
  <c r="P475" i="3" a="1"/>
  <c r="P475" i="3" s="1"/>
  <c r="Q475" i="3" s="1"/>
  <c r="R473" i="3"/>
  <c r="P473" i="3" a="1"/>
  <c r="P473" i="3" s="1"/>
  <c r="Q473" i="3" s="1"/>
  <c r="R480" i="3"/>
  <c r="P480" i="3" a="1"/>
  <c r="P480" i="3" s="1"/>
  <c r="Q480" i="3" s="1"/>
  <c r="R410" i="3"/>
  <c r="R486" i="3"/>
  <c r="P486" i="3" a="1"/>
  <c r="P486" i="3" s="1"/>
  <c r="Q486" i="3" s="1"/>
  <c r="R396" i="3"/>
  <c r="R478" i="3"/>
  <c r="P478" i="3" a="1"/>
  <c r="P478" i="3" s="1"/>
  <c r="Q478" i="3" s="1"/>
  <c r="R481" i="3"/>
  <c r="P481" i="3" a="1"/>
  <c r="P481" i="3" s="1"/>
  <c r="Q481" i="3" s="1"/>
  <c r="R474" i="3"/>
  <c r="P474" i="3" a="1"/>
  <c r="P474" i="3" s="1"/>
  <c r="Q474" i="3" s="1"/>
  <c r="R406" i="3"/>
  <c r="R484" i="3"/>
  <c r="P484" i="3" a="1"/>
  <c r="P484" i="3" s="1"/>
  <c r="Q484" i="3" s="1"/>
  <c r="R482" i="3"/>
  <c r="P482" i="3" a="1"/>
  <c r="P482" i="3" s="1"/>
  <c r="Q482" i="3" s="1"/>
  <c r="R476" i="3"/>
  <c r="P476" i="3" a="1"/>
  <c r="P476" i="3" s="1"/>
  <c r="Q476" i="3" s="1"/>
  <c r="R485" i="3"/>
  <c r="P485" i="3" a="1"/>
  <c r="P485" i="3" s="1"/>
  <c r="Q485" i="3" s="1"/>
  <c r="R408" i="3"/>
  <c r="R407" i="3"/>
  <c r="R398" i="3"/>
  <c r="R403" i="3"/>
  <c r="R397" i="3"/>
  <c r="R391" i="3"/>
  <c r="P392" i="3" a="1"/>
  <c r="P392" i="3" s="1"/>
  <c r="Q392" i="3" s="1"/>
  <c r="R400" i="3"/>
  <c r="R456" i="3"/>
  <c r="P456" i="3" a="1"/>
  <c r="P456" i="3" s="1"/>
  <c r="Q456" i="3" s="1"/>
  <c r="P457" i="3" a="1"/>
  <c r="P457" i="3" s="1"/>
  <c r="Q457" i="3" s="1"/>
  <c r="R457" i="3"/>
  <c r="P464" i="3" a="1"/>
  <c r="P464" i="3" s="1"/>
  <c r="Q464" i="3" s="1"/>
  <c r="R464" i="3"/>
  <c r="R468" i="3"/>
  <c r="P468" i="3" a="1"/>
  <c r="P468" i="3" s="1"/>
  <c r="Q468" i="3" s="1"/>
  <c r="R465" i="3"/>
  <c r="P465" i="3" a="1"/>
  <c r="P465" i="3" s="1"/>
  <c r="Q465" i="3" s="1"/>
  <c r="R463" i="3"/>
  <c r="P463" i="3" a="1"/>
  <c r="P463" i="3" s="1"/>
  <c r="Q463" i="3" s="1"/>
  <c r="R455" i="3"/>
  <c r="P455" i="3" a="1"/>
  <c r="P455" i="3" s="1"/>
  <c r="Q455" i="3" s="1"/>
  <c r="P443" i="3" a="1"/>
  <c r="P443" i="3" s="1"/>
  <c r="Q443" i="3" s="1"/>
  <c r="P462" i="3" a="1"/>
  <c r="P462" i="3" s="1"/>
  <c r="Q462" i="3" s="1"/>
  <c r="R462" i="3"/>
  <c r="P466" i="3" a="1"/>
  <c r="P466" i="3" s="1"/>
  <c r="Q466" i="3" s="1"/>
  <c r="R466" i="3"/>
  <c r="P458" i="3" a="1"/>
  <c r="P458" i="3" s="1"/>
  <c r="Q458" i="3" s="1"/>
  <c r="R458" i="3"/>
  <c r="P470" i="3" a="1"/>
  <c r="P470" i="3" s="1"/>
  <c r="Q470" i="3" s="1"/>
  <c r="R470" i="3"/>
  <c r="R447" i="3"/>
  <c r="P447" i="3" a="1"/>
  <c r="P447" i="3" s="1"/>
  <c r="Q447" i="3" s="1"/>
  <c r="R453" i="3"/>
  <c r="P453" i="3" a="1"/>
  <c r="P453" i="3" s="1"/>
  <c r="Q453" i="3" s="1"/>
  <c r="P451" i="3" a="1"/>
  <c r="P451" i="3" s="1"/>
  <c r="Q451" i="3" s="1"/>
  <c r="P446" i="3" a="1"/>
  <c r="P446" i="3" s="1"/>
  <c r="Q446" i="3" s="1"/>
  <c r="P450" i="3" a="1"/>
  <c r="P450" i="3" s="1"/>
  <c r="Q450" i="3" s="1"/>
  <c r="R452" i="3"/>
  <c r="P452" i="3" a="1"/>
  <c r="P452" i="3" s="1"/>
  <c r="Q452" i="3" s="1"/>
  <c r="P418" i="3" a="1"/>
  <c r="P418" i="3" s="1"/>
  <c r="Q418" i="3" s="1"/>
  <c r="P429" i="3" a="1"/>
  <c r="P429" i="3" s="1"/>
  <c r="Q429" i="3" s="1"/>
  <c r="R364" i="3"/>
  <c r="P440" i="3" a="1"/>
  <c r="P440" i="3" s="1"/>
  <c r="Q440" i="3" s="1"/>
  <c r="P438" i="3" a="1"/>
  <c r="P438" i="3" s="1"/>
  <c r="Q438" i="3" s="1"/>
  <c r="P442" i="3" a="1"/>
  <c r="P442" i="3" s="1"/>
  <c r="Q442" i="3" s="1"/>
  <c r="R355" i="3"/>
  <c r="R352" i="3"/>
  <c r="R354" i="3"/>
  <c r="P444" i="3" a="1"/>
  <c r="P444" i="3" s="1"/>
  <c r="Q444" i="3" s="1"/>
  <c r="P441" i="3" a="1"/>
  <c r="P441" i="3" s="1"/>
  <c r="Q441" i="3" s="1"/>
  <c r="P377" i="3" a="1"/>
  <c r="P377" i="3" s="1"/>
  <c r="Q377" i="3" s="1"/>
  <c r="P432" i="3" a="1"/>
  <c r="P432" i="3" s="1"/>
  <c r="Q432" i="3" s="1"/>
  <c r="P439" i="3" a="1"/>
  <c r="P439" i="3" s="1"/>
  <c r="Q439" i="3" s="1"/>
  <c r="P434" i="3" a="1"/>
  <c r="P434" i="3" s="1"/>
  <c r="Q434" i="3" s="1"/>
  <c r="R358" i="3"/>
  <c r="R345" i="3"/>
  <c r="P409" i="3" a="1"/>
  <c r="P409" i="3" s="1"/>
  <c r="Q409" i="3" s="1"/>
  <c r="P424" i="3" a="1"/>
  <c r="P424" i="3" s="1"/>
  <c r="Q424" i="3" s="1"/>
  <c r="R339" i="3"/>
  <c r="R341" i="3"/>
  <c r="P421" i="3" a="1"/>
  <c r="P421" i="3" s="1"/>
  <c r="Q421" i="3" s="1"/>
  <c r="P427" i="3" a="1"/>
  <c r="P427" i="3" s="1"/>
  <c r="Q427" i="3" s="1"/>
  <c r="P420" i="3" a="1"/>
  <c r="P420" i="3" s="1"/>
  <c r="Q420" i="3" s="1"/>
  <c r="P423" i="3" a="1"/>
  <c r="P423" i="3" s="1"/>
  <c r="Q423" i="3" s="1"/>
  <c r="P431" i="3" a="1"/>
  <c r="P431" i="3" s="1"/>
  <c r="Q431" i="3" s="1"/>
  <c r="P428" i="3" a="1"/>
  <c r="P428" i="3" s="1"/>
  <c r="Q428" i="3" s="1"/>
  <c r="P422" i="3" a="1"/>
  <c r="P422" i="3" s="1"/>
  <c r="Q422" i="3" s="1"/>
  <c r="P430" i="3" a="1"/>
  <c r="P430" i="3" s="1"/>
  <c r="Q430" i="3" s="1"/>
  <c r="R334" i="3"/>
  <c r="R332" i="3"/>
  <c r="R323" i="3"/>
  <c r="P417" i="3" a="1"/>
  <c r="P417" i="3" s="1"/>
  <c r="Q417" i="3" s="1"/>
  <c r="P416" i="3" a="1"/>
  <c r="P416" i="3" s="1"/>
  <c r="Q416" i="3" s="1"/>
  <c r="R325" i="3"/>
  <c r="P414" i="3" a="1"/>
  <c r="P414" i="3" s="1"/>
  <c r="Q414" i="3" s="1"/>
  <c r="P415" i="3" a="1"/>
  <c r="P415" i="3" s="1"/>
  <c r="Q415" i="3" s="1"/>
  <c r="R315" i="3"/>
  <c r="P342" i="3" a="1"/>
  <c r="P342" i="3" s="1"/>
  <c r="Q342" i="3" s="1"/>
  <c r="P411" i="3" a="1"/>
  <c r="P411" i="3" s="1"/>
  <c r="Q411" i="3" s="1"/>
  <c r="P365" i="3" a="1"/>
  <c r="P365" i="3" s="1"/>
  <c r="Q365" i="3" s="1"/>
  <c r="R307" i="3"/>
  <c r="R312" i="3"/>
  <c r="P380" i="3" a="1"/>
  <c r="P380" i="3" s="1"/>
  <c r="Q380" i="3" s="1"/>
  <c r="P412" i="3" a="1"/>
  <c r="P412" i="3" s="1"/>
  <c r="Q412" i="3" s="1"/>
  <c r="P399" i="3" a="1"/>
  <c r="P399" i="3" s="1"/>
  <c r="Q399" i="3" s="1"/>
  <c r="P404" i="3" a="1"/>
  <c r="P404" i="3" s="1"/>
  <c r="Q404" i="3" s="1"/>
  <c r="P405" i="3" a="1"/>
  <c r="P405" i="3" s="1"/>
  <c r="Q405" i="3" s="1"/>
  <c r="P413" i="3" a="1"/>
  <c r="P413" i="3" s="1"/>
  <c r="Q413" i="3" s="1"/>
  <c r="P390" i="3" a="1"/>
  <c r="P390" i="3" s="1"/>
  <c r="Q390" i="3" s="1"/>
  <c r="P388" i="3" a="1"/>
  <c r="P388" i="3" s="1"/>
  <c r="Q388" i="3" s="1"/>
  <c r="P373" i="3" a="1"/>
  <c r="P373" i="3" s="1"/>
  <c r="Q373" i="3" s="1"/>
  <c r="R289" i="3"/>
  <c r="P402" i="3" a="1"/>
  <c r="P402" i="3" s="1"/>
  <c r="Q402" i="3" s="1"/>
  <c r="P393" i="3" a="1"/>
  <c r="P393" i="3" s="1"/>
  <c r="Q393" i="3" s="1"/>
  <c r="P395" i="3" a="1"/>
  <c r="P395" i="3" s="1"/>
  <c r="Q395" i="3" s="1"/>
  <c r="P401" i="3" a="1"/>
  <c r="P401" i="3" s="1"/>
  <c r="Q401" i="3" s="1"/>
  <c r="P394" i="3" a="1"/>
  <c r="P394" i="3" s="1"/>
  <c r="Q394" i="3" s="1"/>
  <c r="R356" i="3"/>
  <c r="P357" i="3" a="1"/>
  <c r="P357" i="3" s="1"/>
  <c r="Q357" i="3" s="1"/>
  <c r="R280" i="3"/>
  <c r="R360" i="3"/>
  <c r="P387" i="3" a="1"/>
  <c r="P387" i="3" s="1"/>
  <c r="Q387" i="3" s="1"/>
  <c r="P389" i="3" a="1"/>
  <c r="P389" i="3" s="1"/>
  <c r="Q389" i="3" s="1"/>
  <c r="P383" i="3" a="1"/>
  <c r="P383" i="3" s="1"/>
  <c r="Q383" i="3" s="1"/>
  <c r="P386" i="3" a="1"/>
  <c r="P386" i="3" s="1"/>
  <c r="Q386" i="3" s="1"/>
  <c r="P379" i="3" a="1"/>
  <c r="P379" i="3" s="1"/>
  <c r="Q379" i="3" s="1"/>
  <c r="P382" i="3" a="1"/>
  <c r="P382" i="3" s="1"/>
  <c r="Q382" i="3" s="1"/>
  <c r="P385" i="3" a="1"/>
  <c r="P385" i="3" s="1"/>
  <c r="Q385" i="3" s="1"/>
  <c r="P378" i="3" a="1"/>
  <c r="P378" i="3" s="1"/>
  <c r="Q378" i="3" s="1"/>
  <c r="R306" i="3"/>
  <c r="P372" i="3" a="1"/>
  <c r="P372" i="3" s="1"/>
  <c r="Q372" i="3" s="1"/>
  <c r="R264" i="3"/>
  <c r="P368" i="3" a="1"/>
  <c r="P368" i="3" s="1"/>
  <c r="Q368" i="3" s="1"/>
  <c r="B57" i="5"/>
  <c r="C57" i="5" s="1"/>
  <c r="G57" i="5" s="1"/>
  <c r="P363" i="3" a="1"/>
  <c r="P363" i="3" s="1"/>
  <c r="Q363" i="3" s="1"/>
  <c r="P370" i="3" a="1"/>
  <c r="P370" i="3" s="1"/>
  <c r="Q370" i="3" s="1"/>
  <c r="P361" i="3" a="1"/>
  <c r="P361" i="3" s="1"/>
  <c r="Q361" i="3" s="1"/>
  <c r="P371" i="3" a="1"/>
  <c r="P371" i="3" s="1"/>
  <c r="Q371" i="3" s="1"/>
  <c r="P362" i="3" a="1"/>
  <c r="P362" i="3" s="1"/>
  <c r="Q362" i="3" s="1"/>
  <c r="P369" i="3" a="1"/>
  <c r="P369" i="3" s="1"/>
  <c r="Q369" i="3" s="1"/>
  <c r="P375" i="3" a="1"/>
  <c r="P375" i="3" s="1"/>
  <c r="Q375" i="3" s="1"/>
  <c r="R344" i="3"/>
  <c r="P353" i="3" a="1"/>
  <c r="P353" i="3" s="1"/>
  <c r="Q353" i="3" s="1"/>
  <c r="R337" i="3"/>
  <c r="P349" i="3" a="1"/>
  <c r="P349" i="3" s="1"/>
  <c r="Q349" i="3" s="1"/>
  <c r="R343" i="3"/>
  <c r="P351" i="3" a="1"/>
  <c r="P351" i="3" s="1"/>
  <c r="Q351" i="3" s="1"/>
  <c r="P336" i="3" a="1"/>
  <c r="P336" i="3" s="1"/>
  <c r="Q336" i="3" s="1"/>
  <c r="P348" i="3" a="1"/>
  <c r="P348" i="3" s="1"/>
  <c r="Q348" i="3" s="1"/>
  <c r="P350" i="3" a="1"/>
  <c r="P350" i="3" s="1"/>
  <c r="Q350" i="3" s="1"/>
  <c r="P346" i="3" a="1"/>
  <c r="P346" i="3" s="1"/>
  <c r="Q346" i="3" s="1"/>
  <c r="P347" i="3" a="1"/>
  <c r="P347" i="3" s="1"/>
  <c r="Q347" i="3" s="1"/>
  <c r="P333" i="3" a="1"/>
  <c r="P333" i="3" s="1"/>
  <c r="Q333" i="3" s="1"/>
  <c r="R274" i="3"/>
  <c r="P340" i="3" a="1"/>
  <c r="P340" i="3" s="1"/>
  <c r="Q340" i="3" s="1"/>
  <c r="P338" i="3" a="1"/>
  <c r="P338" i="3" s="1"/>
  <c r="Q338" i="3" s="1"/>
  <c r="P322" i="3" a="1"/>
  <c r="P322" i="3" s="1"/>
  <c r="Q322" i="3" s="1"/>
  <c r="P331" i="3" a="1"/>
  <c r="P331" i="3" s="1"/>
  <c r="Q331" i="3" s="1"/>
  <c r="P330" i="3" a="1"/>
  <c r="P330" i="3" s="1"/>
  <c r="Q330" i="3" s="1"/>
  <c r="P324" i="3" a="1"/>
  <c r="P324" i="3" s="1"/>
  <c r="Q324" i="3" s="1"/>
  <c r="P328" i="3" a="1"/>
  <c r="P328" i="3" s="1"/>
  <c r="Q328" i="3" s="1"/>
  <c r="P329" i="3" a="1"/>
  <c r="P329" i="3" s="1"/>
  <c r="Q329" i="3" s="1"/>
  <c r="P311" i="3" a="1"/>
  <c r="P311" i="3" s="1"/>
  <c r="Q311" i="3" s="1"/>
  <c r="R272" i="3"/>
  <c r="P319" i="3" a="1"/>
  <c r="P319" i="3" s="1"/>
  <c r="Q319" i="3" s="1"/>
  <c r="P326" i="3" a="1"/>
  <c r="P326" i="3" s="1"/>
  <c r="Q326" i="3" s="1"/>
  <c r="P327" i="3" a="1"/>
  <c r="P327" i="3" s="1"/>
  <c r="Q327" i="3" s="1"/>
  <c r="P320" i="3" a="1"/>
  <c r="P320" i="3" s="1"/>
  <c r="Q320" i="3" s="1"/>
  <c r="P321" i="3" a="1"/>
  <c r="P321" i="3" s="1"/>
  <c r="Q321" i="3" s="1"/>
  <c r="P318" i="3" a="1"/>
  <c r="P318" i="3" s="1"/>
  <c r="Q318" i="3" s="1"/>
  <c r="P317" i="3" a="1"/>
  <c r="P317" i="3" s="1"/>
  <c r="Q317" i="3" s="1"/>
  <c r="P316" i="3" a="1"/>
  <c r="P316" i="3" s="1"/>
  <c r="Q316" i="3" s="1"/>
  <c r="P314" i="3" a="1"/>
  <c r="P314" i="3" s="1"/>
  <c r="Q314" i="3" s="1"/>
  <c r="P313" i="3" a="1"/>
  <c r="P313" i="3" s="1"/>
  <c r="Q313" i="3" s="1"/>
  <c r="B36" i="5"/>
  <c r="H12" i="5" a="1"/>
  <c r="H12" i="5" s="1"/>
  <c r="G12" i="5" s="1"/>
  <c r="I36" i="5" a="1"/>
  <c r="I36" i="5" s="1"/>
  <c r="R298" i="3"/>
  <c r="P309" i="3" a="1"/>
  <c r="P309" i="3" s="1"/>
  <c r="Q309" i="3" s="1"/>
  <c r="P310" i="3" a="1"/>
  <c r="P310" i="3" s="1"/>
  <c r="Q310" i="3" s="1"/>
  <c r="C2" i="3"/>
  <c r="R304" i="3"/>
  <c r="H2" i="3"/>
  <c r="P2" i="3" s="1" a="1"/>
  <c r="P2" i="3" s="1"/>
  <c r="Q2" i="3" s="1"/>
  <c r="P290" i="3" a="1"/>
  <c r="P290" i="3" s="1"/>
  <c r="Q290" i="3" s="1"/>
  <c r="P273" i="3" a="1"/>
  <c r="P273" i="3" s="1"/>
  <c r="Q273" i="3" s="1"/>
  <c r="D2" i="3"/>
  <c r="P299" i="3" a="1"/>
  <c r="P299" i="3" s="1"/>
  <c r="Q299" i="3" s="1"/>
  <c r="P308" i="3" a="1"/>
  <c r="P308" i="3" s="1"/>
  <c r="Q308" i="3" s="1"/>
  <c r="P305" i="3" a="1"/>
  <c r="P305" i="3" s="1"/>
  <c r="Q305" i="3" s="1"/>
  <c r="P270" i="3" a="1"/>
  <c r="P270" i="3" s="1"/>
  <c r="Q270" i="3" s="1"/>
  <c r="P292" i="3" a="1"/>
  <c r="P292" i="3" s="1"/>
  <c r="Q292" i="3" s="1"/>
  <c r="R302" i="3"/>
  <c r="R297" i="3"/>
  <c r="R286" i="3"/>
  <c r="R288" i="3"/>
  <c r="R294" i="3"/>
  <c r="R293" i="3"/>
  <c r="R287" i="3"/>
  <c r="R295" i="3"/>
  <c r="R285" i="3"/>
  <c r="R281" i="3"/>
  <c r="R284" i="3"/>
  <c r="R32" i="3"/>
  <c r="R260" i="3"/>
  <c r="R35" i="3"/>
  <c r="R261" i="3"/>
  <c r="R278" i="3"/>
  <c r="R12" i="3"/>
  <c r="R276" i="3"/>
  <c r="R267" i="3"/>
  <c r="R269" i="3"/>
  <c r="R266" i="3"/>
  <c r="R259" i="3"/>
  <c r="B27" i="5"/>
  <c r="C27" i="5" s="1" a="1"/>
  <c r="C27" i="5" s="1"/>
  <c r="B20" i="5"/>
  <c r="C20" i="5" s="1" a="1"/>
  <c r="C20" i="5" s="1"/>
  <c r="B23" i="5"/>
  <c r="C23" i="5" s="1" a="1"/>
  <c r="C23" i="5" s="1"/>
  <c r="B26" i="5"/>
  <c r="C26" i="5" s="1" a="1"/>
  <c r="C26" i="5" s="1"/>
  <c r="B19" i="5"/>
  <c r="C19" i="5" s="1" a="1"/>
  <c r="C19" i="5" s="1"/>
  <c r="B29" i="5"/>
  <c r="C29" i="5" s="1" a="1"/>
  <c r="C29" i="5" s="1"/>
  <c r="B22" i="5"/>
  <c r="C22" i="5" s="1" a="1"/>
  <c r="C22" i="5" s="1"/>
  <c r="B25" i="5"/>
  <c r="C25" i="5" s="1" a="1"/>
  <c r="C25" i="5" s="1"/>
  <c r="B28" i="5"/>
  <c r="C28" i="5" s="1" a="1"/>
  <c r="C28" i="5" s="1"/>
  <c r="H11" i="5"/>
  <c r="G11" i="5" s="1"/>
  <c r="B24" i="5"/>
  <c r="C24" i="5" s="1" a="1"/>
  <c r="C24" i="5" s="1"/>
  <c r="B21" i="5"/>
  <c r="C21" i="5" s="1" a="1"/>
  <c r="C21" i="5" s="1"/>
  <c r="H10" i="5" a="1"/>
  <c r="H10" i="5" s="1"/>
  <c r="R245" i="3"/>
  <c r="R218" i="3"/>
  <c r="R253" i="3"/>
  <c r="R255" i="3"/>
  <c r="R256" i="3"/>
  <c r="R257" i="3"/>
  <c r="R37" i="3"/>
  <c r="R38" i="3"/>
  <c r="R252" i="3"/>
  <c r="R237" i="3"/>
  <c r="R238" i="3"/>
  <c r="R250" i="3"/>
  <c r="R236" i="3"/>
  <c r="R239" i="3"/>
  <c r="R221" i="3"/>
  <c r="R18" i="3"/>
  <c r="R206" i="3"/>
  <c r="R229" i="3"/>
  <c r="R235" i="3"/>
  <c r="R196" i="3"/>
  <c r="R192" i="3"/>
  <c r="R212" i="3"/>
  <c r="R210" i="3"/>
  <c r="R207" i="3"/>
  <c r="R205" i="3"/>
  <c r="R165" i="3"/>
  <c r="R146" i="3"/>
  <c r="R213" i="3"/>
  <c r="R180" i="3"/>
  <c r="R177" i="3"/>
  <c r="R107" i="3"/>
  <c r="R195" i="3"/>
  <c r="R176" i="3"/>
  <c r="R181" i="3"/>
  <c r="R133" i="3"/>
  <c r="R164" i="3"/>
  <c r="R185" i="3"/>
  <c r="R200" i="3"/>
  <c r="R187" i="3"/>
  <c r="R199" i="3"/>
  <c r="R186" i="3"/>
  <c r="R188" i="3"/>
  <c r="R178" i="3"/>
  <c r="R189" i="3"/>
  <c r="R113" i="3"/>
  <c r="R64" i="3"/>
  <c r="R50" i="3"/>
  <c r="R101" i="3"/>
  <c r="R175" i="3"/>
  <c r="R184" i="3"/>
  <c r="R130" i="3"/>
  <c r="R182" i="3"/>
  <c r="R183" i="3"/>
  <c r="R99" i="3"/>
  <c r="D12" i="5"/>
  <c r="R104" i="3"/>
  <c r="R95" i="3"/>
  <c r="R90" i="3"/>
  <c r="R125" i="3"/>
  <c r="R446" i="3" l="1"/>
  <c r="R432" i="3"/>
  <c r="R451" i="3"/>
  <c r="R450" i="3"/>
  <c r="R443" i="3"/>
  <c r="R441" i="3"/>
  <c r="R442" i="3"/>
  <c r="R438" i="3"/>
  <c r="R439" i="3"/>
  <c r="R444" i="3"/>
  <c r="R440" i="3"/>
  <c r="R431" i="3"/>
  <c r="R428" i="3"/>
  <c r="R427" i="3"/>
  <c r="R420" i="3"/>
  <c r="R434" i="3"/>
  <c r="R421" i="3"/>
  <c r="R430" i="3"/>
  <c r="R423" i="3"/>
  <c r="R422" i="3"/>
  <c r="R424" i="3"/>
  <c r="R429" i="3"/>
  <c r="R411" i="3"/>
  <c r="R412" i="3"/>
  <c r="R413" i="3"/>
  <c r="R399" i="3"/>
  <c r="R417" i="3"/>
  <c r="R414" i="3"/>
  <c r="R416" i="3"/>
  <c r="R415" i="3"/>
  <c r="R418" i="3"/>
  <c r="R409" i="3"/>
  <c r="R405" i="3"/>
  <c r="R390" i="3"/>
  <c r="R404" i="3"/>
  <c r="R401" i="3"/>
  <c r="R393" i="3"/>
  <c r="R402" i="3"/>
  <c r="R395" i="3"/>
  <c r="R389" i="3"/>
  <c r="R394" i="3"/>
  <c r="R392" i="3"/>
  <c r="R388" i="3"/>
  <c r="R382" i="3"/>
  <c r="R378" i="3"/>
  <c r="R385" i="3"/>
  <c r="R386" i="3"/>
  <c r="R383" i="3"/>
  <c r="R377" i="3"/>
  <c r="R380" i="3"/>
  <c r="R379" i="3"/>
  <c r="R387" i="3"/>
  <c r="R372" i="3"/>
  <c r="R375" i="3"/>
  <c r="R373" i="3"/>
  <c r="R370" i="3"/>
  <c r="R369" i="3"/>
  <c r="R363" i="3"/>
  <c r="R362" i="3"/>
  <c r="R371" i="3"/>
  <c r="R368" i="3"/>
  <c r="R365" i="3"/>
  <c r="R361" i="3"/>
  <c r="R350" i="3"/>
  <c r="R357" i="3"/>
  <c r="R351" i="3"/>
  <c r="R349" i="3"/>
  <c r="R348" i="3"/>
  <c r="R347" i="3"/>
  <c r="R346" i="3"/>
  <c r="R338" i="3"/>
  <c r="R340" i="3"/>
  <c r="R342" i="3"/>
  <c r="R336" i="3"/>
  <c r="R330" i="3"/>
  <c r="R331" i="3"/>
  <c r="R333" i="3"/>
  <c r="R328" i="3"/>
  <c r="R321" i="3"/>
  <c r="R327" i="3"/>
  <c r="R329" i="3"/>
  <c r="R322" i="3"/>
  <c r="R326" i="3"/>
  <c r="R324" i="3"/>
  <c r="R314" i="3"/>
  <c r="R316" i="3"/>
  <c r="R319" i="3"/>
  <c r="R320" i="3"/>
  <c r="R318" i="3"/>
  <c r="R317" i="3"/>
  <c r="R313" i="3"/>
  <c r="R305" i="3"/>
  <c r="R299" i="3"/>
  <c r="R309" i="3"/>
  <c r="R308" i="3"/>
  <c r="R310" i="3"/>
  <c r="R311" i="3"/>
  <c r="R292" i="3"/>
  <c r="R290" i="3"/>
  <c r="R273" i="3"/>
  <c r="R270" i="3"/>
  <c r="R353" i="3"/>
  <c r="C48" i="5"/>
  <c r="C30" i="11" s="1"/>
  <c r="B47" i="5"/>
  <c r="B29" i="11" s="1"/>
  <c r="C40" i="5"/>
  <c r="C22" i="11" s="1"/>
  <c r="C49" i="5"/>
  <c r="C31" i="11" s="1"/>
  <c r="B48" i="5"/>
  <c r="B30" i="11" s="1"/>
  <c r="C41" i="5"/>
  <c r="C23" i="11" s="1"/>
  <c r="B40" i="5"/>
  <c r="B22" i="11" s="1"/>
  <c r="C50" i="5"/>
  <c r="C32" i="11" s="1"/>
  <c r="B49" i="5"/>
  <c r="B31" i="11" s="1"/>
  <c r="C42" i="5"/>
  <c r="C24" i="11" s="1"/>
  <c r="B41" i="5"/>
  <c r="B23" i="11" s="1"/>
  <c r="B50" i="5"/>
  <c r="B32" i="11" s="1"/>
  <c r="C43" i="5"/>
  <c r="C25" i="11" s="1"/>
  <c r="B42" i="5"/>
  <c r="B24" i="11" s="1"/>
  <c r="C44" i="5"/>
  <c r="C26" i="11" s="1"/>
  <c r="B43" i="5"/>
  <c r="B25" i="11" s="1"/>
  <c r="C45" i="5"/>
  <c r="C27" i="11" s="1"/>
  <c r="B44" i="5"/>
  <c r="B26" i="11" s="1"/>
  <c r="D36" i="5"/>
  <c r="C46" i="5"/>
  <c r="C28" i="11" s="1"/>
  <c r="B45" i="5"/>
  <c r="B27" i="11" s="1"/>
  <c r="C47" i="5"/>
  <c r="C29" i="11" s="1"/>
  <c r="B46" i="5"/>
  <c r="B28" i="11" s="1"/>
  <c r="R2" i="3"/>
  <c r="G10" i="5"/>
  <c r="H13" i="5"/>
  <c r="C13" i="5"/>
  <c r="B13" i="5"/>
  <c r="B60" i="5" l="1"/>
  <c r="D37" i="5"/>
  <c r="H36" i="5"/>
  <c r="G13" i="5"/>
  <c r="D13" i="5"/>
  <c r="F37" i="5" l="1"/>
  <c r="F50" i="5" s="1"/>
  <c r="H50" i="5" l="1"/>
  <c r="G32" i="11" s="1"/>
  <c r="E32" i="11"/>
  <c r="F40" i="5"/>
  <c r="D47" i="5"/>
  <c r="F44" i="5"/>
  <c r="F47" i="5"/>
  <c r="D42" i="5"/>
  <c r="D45" i="5"/>
  <c r="F46" i="5"/>
  <c r="D50" i="5"/>
  <c r="F45" i="5"/>
  <c r="D46" i="5"/>
  <c r="D40" i="5"/>
  <c r="F41" i="5"/>
  <c r="F43" i="5"/>
  <c r="D48" i="5"/>
  <c r="F49" i="5"/>
  <c r="D44" i="5"/>
  <c r="D41" i="5"/>
  <c r="F42" i="5"/>
  <c r="D49" i="5"/>
  <c r="F48" i="5"/>
  <c r="D43" i="5"/>
  <c r="G48" i="5" l="1"/>
  <c r="F30" i="11" s="1"/>
  <c r="D30" i="11"/>
  <c r="G45" i="5"/>
  <c r="F27" i="11" s="1"/>
  <c r="D27" i="11"/>
  <c r="G43" i="5"/>
  <c r="F25" i="11" s="1"/>
  <c r="D25" i="11"/>
  <c r="H43" i="5"/>
  <c r="G25" i="11" s="1"/>
  <c r="E25" i="11"/>
  <c r="G42" i="5"/>
  <c r="F24" i="11" s="1"/>
  <c r="D24" i="11"/>
  <c r="H48" i="5"/>
  <c r="G30" i="11" s="1"/>
  <c r="E30" i="11"/>
  <c r="H47" i="5"/>
  <c r="G29" i="11" s="1"/>
  <c r="E29" i="11"/>
  <c r="G40" i="5"/>
  <c r="F22" i="11" s="1"/>
  <c r="D22" i="11"/>
  <c r="H44" i="5"/>
  <c r="G26" i="11" s="1"/>
  <c r="E26" i="11"/>
  <c r="H42" i="5"/>
  <c r="G24" i="11" s="1"/>
  <c r="E24" i="11"/>
  <c r="G46" i="5"/>
  <c r="F28" i="11" s="1"/>
  <c r="D28" i="11"/>
  <c r="G47" i="5"/>
  <c r="F29" i="11" s="1"/>
  <c r="D29" i="11"/>
  <c r="G44" i="5"/>
  <c r="F26" i="11" s="1"/>
  <c r="D26" i="11"/>
  <c r="H41" i="5"/>
  <c r="G23" i="11" s="1"/>
  <c r="E23" i="11"/>
  <c r="G49" i="5"/>
  <c r="F31" i="11" s="1"/>
  <c r="D31" i="11"/>
  <c r="G41" i="5"/>
  <c r="F23" i="11" s="1"/>
  <c r="D23" i="11"/>
  <c r="H45" i="5"/>
  <c r="G27" i="11" s="1"/>
  <c r="E27" i="11"/>
  <c r="H40" i="5"/>
  <c r="H15" i="5" s="1"/>
  <c r="E22" i="11"/>
  <c r="G50" i="5"/>
  <c r="D32" i="11"/>
  <c r="H49" i="5"/>
  <c r="G31" i="11" s="1"/>
  <c r="E31" i="11"/>
  <c r="H46" i="5"/>
  <c r="G28" i="11" s="1"/>
  <c r="E28" i="11"/>
  <c r="I48" i="5" l="1"/>
  <c r="H30" i="11" s="1"/>
  <c r="B58" i="5"/>
  <c r="G58" i="5" s="1"/>
  <c r="I45" i="5"/>
  <c r="H27" i="11" s="1"/>
  <c r="I41" i="5"/>
  <c r="H23" i="11" s="1"/>
  <c r="I46" i="5"/>
  <c r="H28" i="11" s="1"/>
  <c r="I43" i="5"/>
  <c r="H25" i="11" s="1"/>
  <c r="I44" i="5"/>
  <c r="H26" i="11" s="1"/>
  <c r="C51" i="5" a="1"/>
  <c r="C51" i="5" s="1"/>
  <c r="I40" i="5"/>
  <c r="H22" i="11" s="1"/>
  <c r="I49" i="5"/>
  <c r="H31" i="11" s="1"/>
  <c r="I42" i="5"/>
  <c r="H24" i="11" s="1"/>
  <c r="G15" i="5"/>
  <c r="G61" i="5" s="1"/>
  <c r="G51" i="5" a="1"/>
  <c r="G51" i="5" s="1"/>
  <c r="I50" i="5"/>
  <c r="H32" i="11" s="1"/>
  <c r="F32" i="11"/>
  <c r="I47" i="5"/>
  <c r="H29" i="11" s="1"/>
  <c r="G22" i="11"/>
  <c r="G11" i="11"/>
  <c r="B59" i="5" l="1"/>
  <c r="G59" i="5" s="1"/>
  <c r="C58" i="5"/>
  <c r="H11" i="11"/>
  <c r="G16" i="11"/>
  <c r="C59" i="5" l="1"/>
  <c r="B61" i="5"/>
  <c r="G60" i="5" s="1"/>
  <c r="A35" i="11"/>
  <c r="H16" i="11"/>
  <c r="C61"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tc={CE1D117C-17D6-4FD1-BCAF-5E6B5FA3E32E}</author>
    <author>tc={98EDE113-15E2-4DD9-BB78-CE6DC57AA468}</author>
  </authors>
  <commentList>
    <comment ref="G13" authorId="0" shapeId="0" xr:uid="{CE1D117C-17D6-4FD1-BCAF-5E6B5FA3E32E}">
      <text>
        <t>[Comentário encadeado]
Sua versão do Excel permite que você leia este comentário encadeado, no entanto, as edições serão removidas se o arquivo for aberto em uma versão mais recente do Excel. Saiba mais: https://go.microsoft.com/fwlink/?linkid=870924
Comentário:
    REGISTRO PRÉ-JOGO: Linha técnica indicada pelo modelo = Over 2,50.</t>
      </text>
    </comment>
    <comment ref="G15" authorId="1" shapeId="0" xr:uid="{98EDE113-15E2-4DD9-BB78-CE6DC57AA468}">
      <text>
        <t>[Comentário encadeado]
Sua versão do Excel permite que você leia este comentário encadeado, no entanto, as edições serão removidas se o arquivo for aberto em uma versão mais recente do Excel. Saiba mais: https://go.microsoft.com/fwlink/?linkid=870924
Comentário:
    REGISTRO PRÉ-JOGO: Orientação final do modelo = ANALISAR OVER 2,50. Linha conservadora escolhida para o bilhete = Over 2,00 @ 1,13; stake R$ 0,50.</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tc={E930E52A-1A24-4516-9B5C-64B71149D3AF}</author>
  </authors>
  <commentList>
    <comment ref="B34" authorId="0" shapeId="0" xr:uid="{E930E52A-1A24-4516-9B5C-64B71149D3AF}">
      <text>
        <t>[Comentário encadeado]
Sua versão do Excel permite que você leia este comentário encadeado, no entanto, as edições serão removidas se o arquivo for aberto em uma versão mais recente do Excel. Saiba mais: https://go.microsoft.com/fwlink/?linkid=870924
Comentário:
    ANÁLISE REVISADA: A melhor linha operacional foi Over 2,00, não a maior linha vencedora. Com 3 gols, Over 2,00 seria Green e, com exatamente 2, devolveria a stake. A entrada Over 1,50 foi conservadora e vencedora, mas deixou 0,50 linha de eficiência potencial.</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<sst xmlns="http://schemas.openxmlformats.org/spreadsheetml/2006/main" count="20811" uniqueCount="8307">
  <si>
    <t>Liga</t>
  </si>
  <si>
    <t>Perfil da Liga</t>
  </si>
  <si>
    <t>País (aux)</t>
  </si>
  <si>
    <t>Liga (aux)</t>
  </si>
  <si>
    <t>ARG</t>
  </si>
  <si>
    <t>Liga Profesional</t>
  </si>
  <si>
    <t>Primera Nacional</t>
  </si>
  <si>
    <t>AUS</t>
  </si>
  <si>
    <t>NPL Queensland</t>
  </si>
  <si>
    <t>NPL Victoria</t>
  </si>
  <si>
    <t>BOL</t>
  </si>
  <si>
    <t>Div. Profesional</t>
  </si>
  <si>
    <t>BRA</t>
  </si>
  <si>
    <t>Série A</t>
  </si>
  <si>
    <t>Série B</t>
  </si>
  <si>
    <t>CAN</t>
  </si>
  <si>
    <t>CHI</t>
  </si>
  <si>
    <t>ECU</t>
  </si>
  <si>
    <t>FIN</t>
  </si>
  <si>
    <t>Veikkausliiga</t>
  </si>
  <si>
    <t>Ykkösliiga</t>
  </si>
  <si>
    <t>Ykkönen</t>
  </si>
  <si>
    <t>Kakkonen A</t>
  </si>
  <si>
    <t>Kakkonen C</t>
  </si>
  <si>
    <t>ISL</t>
  </si>
  <si>
    <t>MEX</t>
  </si>
  <si>
    <t>Liga MX</t>
  </si>
  <si>
    <t>NOR</t>
  </si>
  <si>
    <t>Eliteserien</t>
  </si>
  <si>
    <t>OBOS-ligaen</t>
  </si>
  <si>
    <t>SWE</t>
  </si>
  <si>
    <t>Allsvenskan</t>
  </si>
  <si>
    <t>Superettan</t>
  </si>
  <si>
    <t>1ª D Norra</t>
  </si>
  <si>
    <t>1ª D Södra</t>
  </si>
  <si>
    <t>2ª D Södra Götaland</t>
  </si>
  <si>
    <t>2ª D Västra Götaland</t>
  </si>
  <si>
    <t>URU</t>
  </si>
  <si>
    <t>Liga AUF</t>
  </si>
  <si>
    <t>USA</t>
  </si>
  <si>
    <t>ID_Bilhete</t>
  </si>
  <si>
    <t>Data</t>
  </si>
  <si>
    <t>Hora</t>
  </si>
  <si>
    <t>País</t>
  </si>
  <si>
    <t>Partida</t>
  </si>
  <si>
    <t>Mandante</t>
  </si>
  <si>
    <t>GM_M</t>
  </si>
  <si>
    <t>GS_M</t>
  </si>
  <si>
    <t>Visitante</t>
  </si>
  <si>
    <t>GM_V</t>
  </si>
  <si>
    <t>GS_V</t>
  </si>
  <si>
    <t>Mercado</t>
  </si>
  <si>
    <t>Linha_Selecao</t>
  </si>
  <si>
    <t>Odd</t>
  </si>
  <si>
    <t>Stake</t>
  </si>
  <si>
    <t>Resultado_Aposta</t>
  </si>
  <si>
    <t>Lucro_Prejuizo</t>
  </si>
  <si>
    <t>Chave_Partida</t>
  </si>
  <si>
    <t>Primeira_Ocorrencia</t>
  </si>
  <si>
    <t>Gols +/-</t>
  </si>
  <si>
    <t>Mais de 2.0</t>
  </si>
  <si>
    <t>Green</t>
  </si>
  <si>
    <t>Cashout</t>
  </si>
  <si>
    <t>00003-NOR</t>
  </si>
  <si>
    <t>00005-NOR</t>
  </si>
  <si>
    <t>Mais de 3.0</t>
  </si>
  <si>
    <t>00006-SWE</t>
  </si>
  <si>
    <t>Varbergs BoIS FC</t>
  </si>
  <si>
    <t>Devolvida</t>
  </si>
  <si>
    <t>00008-SWE</t>
  </si>
  <si>
    <t>BK Häcken 0 vs 0 AIK</t>
  </si>
  <si>
    <t>BK Häcken</t>
  </si>
  <si>
    <t>AIK</t>
  </si>
  <si>
    <t>Red</t>
  </si>
  <si>
    <t>Mais de 1.0</t>
  </si>
  <si>
    <t>00010-ISL</t>
  </si>
  <si>
    <t>Breidablik 1 vs 0 IBV Vestmannaeyjar</t>
  </si>
  <si>
    <t>Breidablik</t>
  </si>
  <si>
    <t>IBV Vestmannaeyjar</t>
  </si>
  <si>
    <t>00012-ISL</t>
  </si>
  <si>
    <t>KA Akureyri</t>
  </si>
  <si>
    <t>00013-BRA</t>
  </si>
  <si>
    <t>CRB 2 vs 0 Vila Nova</t>
  </si>
  <si>
    <t>CRB</t>
  </si>
  <si>
    <t>Vila Nova</t>
  </si>
  <si>
    <t>Mais de 1.0, 1.5</t>
  </si>
  <si>
    <t>00014-BRA</t>
  </si>
  <si>
    <t>Atlético-GO 3 vs 1 Operário-PR</t>
  </si>
  <si>
    <t>Atlético-GO</t>
  </si>
  <si>
    <t>Operário-PR</t>
  </si>
  <si>
    <t>00015-BRA</t>
  </si>
  <si>
    <t>Sport Recife 1 vs 1 Cuiabá</t>
  </si>
  <si>
    <t>Sport Recife</t>
  </si>
  <si>
    <t>Cuiabá</t>
  </si>
  <si>
    <t>00017-ISL</t>
  </si>
  <si>
    <t>Aegir 0 vs 1 Njardvik</t>
  </si>
  <si>
    <t>Aegir</t>
  </si>
  <si>
    <t>Njardvik</t>
  </si>
  <si>
    <t>Mais de 2.0, 2.5</t>
  </si>
  <si>
    <t>00019-BRA</t>
  </si>
  <si>
    <t>Ponte Preta 1 vs 1 Athletic Club-MG</t>
  </si>
  <si>
    <t>Ponte Preta</t>
  </si>
  <si>
    <t>Athletic Club-MG</t>
  </si>
  <si>
    <t>Mais de 0.5</t>
  </si>
  <si>
    <t>00020-BRA</t>
  </si>
  <si>
    <t>Juventude 1 vs 0 Avaí</t>
  </si>
  <si>
    <t>Juventude</t>
  </si>
  <si>
    <t>Avaí</t>
  </si>
  <si>
    <t>00021-ARG</t>
  </si>
  <si>
    <t>Argentinos Jrs 3 vs 0 Estudiantes Rio Cuarto</t>
  </si>
  <si>
    <t>Argentinos Jrs</t>
  </si>
  <si>
    <t>Estudiantes Rio Cuarto</t>
  </si>
  <si>
    <t>00024-ARG</t>
  </si>
  <si>
    <t>Rosario Central 0 vs 0 Racing Club</t>
  </si>
  <si>
    <t>Rosario Central</t>
  </si>
  <si>
    <t>Racing Club</t>
  </si>
  <si>
    <t>00025-CAN</t>
  </si>
  <si>
    <t>Cavalry FC 2 vs 1 Supra du Québec</t>
  </si>
  <si>
    <t>Cavalry FC</t>
  </si>
  <si>
    <t>Supra du Québec</t>
  </si>
  <si>
    <t>Mais de 1.5</t>
  </si>
  <si>
    <t>00026-BRA</t>
  </si>
  <si>
    <t>Fortaleza 1 vs 0 Botafogo SP</t>
  </si>
  <si>
    <t>Fortaleza</t>
  </si>
  <si>
    <t>Botafogo SP</t>
  </si>
  <si>
    <t>00032-ISL</t>
  </si>
  <si>
    <t>Afturelding</t>
  </si>
  <si>
    <t>00033-ARG</t>
  </si>
  <si>
    <t>Defensa y Justicia 2 vs 1 Deportivo Riestra</t>
  </si>
  <si>
    <t>Defensa y Justicia</t>
  </si>
  <si>
    <t>Deportivo Riestra</t>
  </si>
  <si>
    <t>00034-ISL</t>
  </si>
  <si>
    <t>Grindavik</t>
  </si>
  <si>
    <t>00035-BRA</t>
  </si>
  <si>
    <t>Mirassol 2 vs 1 Remo</t>
  </si>
  <si>
    <t>Mirassol</t>
  </si>
  <si>
    <t>Remo</t>
  </si>
  <si>
    <t>00037-ARG</t>
  </si>
  <si>
    <t>Gimnasia LP 1 vs 0 River Plate</t>
  </si>
  <si>
    <t>Gimnasia LP</t>
  </si>
  <si>
    <t>River Plate</t>
  </si>
  <si>
    <t>00038-BRA</t>
  </si>
  <si>
    <t>Internacional 1 vs 1 Flamengo</t>
  </si>
  <si>
    <t>Internacional</t>
  </si>
  <si>
    <t>Flamengo</t>
  </si>
  <si>
    <t>00039-ECU</t>
  </si>
  <si>
    <t>Independiente del Valle</t>
  </si>
  <si>
    <t>Manta FC</t>
  </si>
  <si>
    <t>00040-BRA</t>
  </si>
  <si>
    <t>Vitória 0 vs 4 Palmeiras</t>
  </si>
  <si>
    <t>Vitória</t>
  </si>
  <si>
    <t>Palmeiras</t>
  </si>
  <si>
    <t>Mais de 1.5, 2.0</t>
  </si>
  <si>
    <t>00042-ARG</t>
  </si>
  <si>
    <t>Instituto Córdoba 2 vs 1 Platense</t>
  </si>
  <si>
    <t>Instituto Córdoba</t>
  </si>
  <si>
    <t>Platense</t>
  </si>
  <si>
    <t>Menos de 2.5</t>
  </si>
  <si>
    <t>00044-BRA</t>
  </si>
  <si>
    <t>Fluminense 0 vs 0 Bahia</t>
  </si>
  <si>
    <t>Fluminense</t>
  </si>
  <si>
    <t>Bahia</t>
  </si>
  <si>
    <t>00048-FIN</t>
  </si>
  <si>
    <t>KuPS Akatemia</t>
  </si>
  <si>
    <t>00049-SWE</t>
  </si>
  <si>
    <t>FK Karlskrona 5 vs 1 Nosaby IF</t>
  </si>
  <si>
    <t>FK Karlskrona</t>
  </si>
  <si>
    <t>Nosaby IF</t>
  </si>
  <si>
    <t>Menos de 3.0</t>
  </si>
  <si>
    <t>00054-ARG</t>
  </si>
  <si>
    <t>Independiente Rivadavia 2 vs 1 Huracán</t>
  </si>
  <si>
    <t>Independiente Rivadavia</t>
  </si>
  <si>
    <t>Huracán</t>
  </si>
  <si>
    <t>00056-BRA</t>
  </si>
  <si>
    <t>Corinthians</t>
  </si>
  <si>
    <t>00057-BRA</t>
  </si>
  <si>
    <t>Coritiba 0 vs 1 Cruzeiro</t>
  </si>
  <si>
    <t>Coritiba</t>
  </si>
  <si>
    <t>Cruzeiro</t>
  </si>
  <si>
    <t>00058-BOL</t>
  </si>
  <si>
    <t>The Strongest 1 vs 1 Club Aurora</t>
  </si>
  <si>
    <t>The Strongest</t>
  </si>
  <si>
    <t>Club Aurora</t>
  </si>
  <si>
    <t>00059-URU</t>
  </si>
  <si>
    <t>Montevideo City Torque 0 vs 2 M. Wanderers</t>
  </si>
  <si>
    <t>Montevideo City Torque</t>
  </si>
  <si>
    <t>M. Wanderers</t>
  </si>
  <si>
    <t>00060-BOL</t>
  </si>
  <si>
    <t>Real Tomayapo 1 vs 1 ABB</t>
  </si>
  <si>
    <t>Real Tomayapo</t>
  </si>
  <si>
    <t>ABB</t>
  </si>
  <si>
    <t>00061-USA</t>
  </si>
  <si>
    <t>Toronto FC</t>
  </si>
  <si>
    <t>00062-MEX</t>
  </si>
  <si>
    <t>Puebla 1 vs 1 Chivas Guadalajara</t>
  </si>
  <si>
    <t>Puebla</t>
  </si>
  <si>
    <t>Chivas Guadalajara</t>
  </si>
  <si>
    <t>00063-CAN</t>
  </si>
  <si>
    <t>Pacific FC</t>
  </si>
  <si>
    <t>00064-AUS</t>
  </si>
  <si>
    <t>Western Knights</t>
  </si>
  <si>
    <t>00065-AUS</t>
  </si>
  <si>
    <t>Queensland Lions 1 vs 0 Peninsula Power</t>
  </si>
  <si>
    <t>Queensland Lions</t>
  </si>
  <si>
    <t>Peninsula Power</t>
  </si>
  <si>
    <t>00066-SWE</t>
  </si>
  <si>
    <t>SJK Akatemia</t>
  </si>
  <si>
    <t>Mais de 2.5</t>
  </si>
  <si>
    <t>00067-SWE</t>
  </si>
  <si>
    <t>Torslanda IK</t>
  </si>
  <si>
    <t>00068-FIN</t>
  </si>
  <si>
    <t>Närpes Kraft 3 vs 2 JS Hercules</t>
  </si>
  <si>
    <t>Närpes Kraft</t>
  </si>
  <si>
    <t>JS Hercules</t>
  </si>
  <si>
    <t>00069-SWE</t>
  </si>
  <si>
    <t>FC Järfälla 0 vs 4 FC Stockholm Internazionale</t>
  </si>
  <si>
    <t>FC Järfälla</t>
  </si>
  <si>
    <t>FC Stockholm Internazionale</t>
  </si>
  <si>
    <t>00070-FIN</t>
  </si>
  <si>
    <t>00071-SWE</t>
  </si>
  <si>
    <t>FBK Karlstad</t>
  </si>
  <si>
    <t>00072-CHI</t>
  </si>
  <si>
    <t>Everton de Viña 3 vs 4 Colo-Colo</t>
  </si>
  <si>
    <t>Everton de Viña</t>
  </si>
  <si>
    <t>Colo-Colo</t>
  </si>
  <si>
    <t>00073-BOL</t>
  </si>
  <si>
    <t>Real Oruro 0 vs 3 Independiente Petrolero</t>
  </si>
  <si>
    <t>Real Oruro</t>
  </si>
  <si>
    <t>Independiente Petrolero</t>
  </si>
  <si>
    <t>Vasco da Gama</t>
  </si>
  <si>
    <t>00076-CAN</t>
  </si>
  <si>
    <t>Vancouver FC 3 vs 1 Atlético Ottawa</t>
  </si>
  <si>
    <t>Vancouver FC</t>
  </si>
  <si>
    <t>Atlético Ottawa</t>
  </si>
  <si>
    <t>00078-BOL</t>
  </si>
  <si>
    <t>Blooming</t>
  </si>
  <si>
    <t>00079-USA</t>
  </si>
  <si>
    <t>Columbus Crew</t>
  </si>
  <si>
    <t>00080-USA</t>
  </si>
  <si>
    <t>FC Cincinnati 4 vs 2 San Jose Earthquakes</t>
  </si>
  <si>
    <t>FC Cincinnati</t>
  </si>
  <si>
    <t>San Jose Earthquakes</t>
  </si>
  <si>
    <t>00081-MEX</t>
  </si>
  <si>
    <t>Club León 1 vs 0 Pachuca</t>
  </si>
  <si>
    <t>Club León</t>
  </si>
  <si>
    <t>Pachuca</t>
  </si>
  <si>
    <t>00082-USA</t>
  </si>
  <si>
    <t>Portland Timbers</t>
  </si>
  <si>
    <t>00083-AUS</t>
  </si>
  <si>
    <t>Blacktown City 4 vs 2 Sydney FC NPL</t>
  </si>
  <si>
    <t>Blacktown City</t>
  </si>
  <si>
    <t>Sydney FC NPL</t>
  </si>
  <si>
    <t>00084-AUS</t>
  </si>
  <si>
    <t>South Melbourne 2 vs 0 St Albans Saints</t>
  </si>
  <si>
    <t>South Melbourne</t>
  </si>
  <si>
    <t>St Albans Saints</t>
  </si>
  <si>
    <t>00085-AUS</t>
  </si>
  <si>
    <t>Magic United 0 vs 3 Brisbane Olympic FC</t>
  </si>
  <si>
    <t>Magic United</t>
  </si>
  <si>
    <t>Brisbane Olympic FC</t>
  </si>
  <si>
    <t>00086-AUS</t>
  </si>
  <si>
    <t>Brisbane Roar NPL 2 vs 0 Moreton City Excelsior</t>
  </si>
  <si>
    <t>Brisbane Roar NPL</t>
  </si>
  <si>
    <t>Moreton City Excelsior</t>
  </si>
  <si>
    <t>00087-AUS</t>
  </si>
  <si>
    <t>Sydney Olympic 1 vs 3 Apia L Tigers</t>
  </si>
  <si>
    <t>Sydney Olympic</t>
  </si>
  <si>
    <t>Apia L Tigers</t>
  </si>
  <si>
    <t>00088-AUS</t>
  </si>
  <si>
    <t>Marconi Stallions 0 vs 1 St George City FA</t>
  </si>
  <si>
    <t>Marconi Stallions</t>
  </si>
  <si>
    <t>St George City FA</t>
  </si>
  <si>
    <t>00089-FIN</t>
  </si>
  <si>
    <t>Qviding FIF 3 vs 1 BK Astrio</t>
  </si>
  <si>
    <t>Qviding FIF</t>
  </si>
  <si>
    <t>BK Astrio</t>
  </si>
  <si>
    <t>00090-FIN</t>
  </si>
  <si>
    <t>00092-SWE</t>
  </si>
  <si>
    <t>00093-FIN</t>
  </si>
  <si>
    <t>AFC Eskilstuna 1 vs 0 Umeå FC</t>
  </si>
  <si>
    <t>AFC Eskilstuna</t>
  </si>
  <si>
    <t>Umeå FC</t>
  </si>
  <si>
    <t>00094-NOR</t>
  </si>
  <si>
    <t>00095-SWE</t>
  </si>
  <si>
    <t>Trelleborgs FF 2 vs 2 Lunds BK</t>
  </si>
  <si>
    <t>Trelleborgs FF</t>
  </si>
  <si>
    <t>Lunds BK</t>
  </si>
  <si>
    <t>00096-NOR</t>
  </si>
  <si>
    <t>00097-NOR</t>
  </si>
  <si>
    <t>00098-FIN</t>
  </si>
  <si>
    <t>PPJ</t>
  </si>
  <si>
    <t>00099-NOR</t>
  </si>
  <si>
    <t>Sandnes Ulf</t>
  </si>
  <si>
    <t>EST-00001</t>
  </si>
  <si>
    <t>PuiU</t>
  </si>
  <si>
    <t>EST-00002</t>
  </si>
  <si>
    <t>EST-00003</t>
  </si>
  <si>
    <t>HIFK</t>
  </si>
  <si>
    <t>EST-00004</t>
  </si>
  <si>
    <t>EST-00005</t>
  </si>
  <si>
    <t>MyPa</t>
  </si>
  <si>
    <t>EST-00006</t>
  </si>
  <si>
    <t>PEPO</t>
  </si>
  <si>
    <t>EST-00007</t>
  </si>
  <si>
    <t>Kiffen</t>
  </si>
  <si>
    <t>EST-00008</t>
  </si>
  <si>
    <t>Union Plaani</t>
  </si>
  <si>
    <t>EST-00009</t>
  </si>
  <si>
    <t>HPS</t>
  </si>
  <si>
    <t>EST-00011</t>
  </si>
  <si>
    <t>KTP 1 vs 0 SJK Akatemia</t>
  </si>
  <si>
    <t>KTP</t>
  </si>
  <si>
    <t>EST-00012</t>
  </si>
  <si>
    <t>SJK Akatemia 0 vs 0 Jippo</t>
  </si>
  <si>
    <t>Jippo</t>
  </si>
  <si>
    <t>EST-00013</t>
  </si>
  <si>
    <t>SJK Akatemia 0 vs 2 Haka</t>
  </si>
  <si>
    <t>Haka</t>
  </si>
  <si>
    <t>EST-00014</t>
  </si>
  <si>
    <t>Klubi 04 2 vs 0 SJK Akatemia</t>
  </si>
  <si>
    <t>Klubi 04</t>
  </si>
  <si>
    <t>EST-00015</t>
  </si>
  <si>
    <t>JäPS</t>
  </si>
  <si>
    <t>EST-00016</t>
  </si>
  <si>
    <t>SJK Akatemia 1 vs 1 Mikkeli</t>
  </si>
  <si>
    <t>Mikkeli</t>
  </si>
  <si>
    <t>EST-00017</t>
  </si>
  <si>
    <t>EST-00018</t>
  </si>
  <si>
    <t>EST-00019</t>
  </si>
  <si>
    <t>KTP 2 vs 1 SJK Akatemia</t>
  </si>
  <si>
    <t>EST-00021</t>
  </si>
  <si>
    <t>EST-00022</t>
  </si>
  <si>
    <t>KTP 0 vs 2 Haka</t>
  </si>
  <si>
    <t>EST-00023</t>
  </si>
  <si>
    <t>EST-00024</t>
  </si>
  <si>
    <t>Haka 0 vs 2 KTP</t>
  </si>
  <si>
    <t>EST-00025</t>
  </si>
  <si>
    <t>KTP 3 vs 3 Jippo</t>
  </si>
  <si>
    <t>EST-00026</t>
  </si>
  <si>
    <t>KTP 4 vs 1 JäPS</t>
  </si>
  <si>
    <t>EST-00027</t>
  </si>
  <si>
    <t>KTP 0 vs 1 PK-35</t>
  </si>
  <si>
    <t>PK-35</t>
  </si>
  <si>
    <t>EST-00028</t>
  </si>
  <si>
    <t>Mikkeli 3 vs 3 KTP</t>
  </si>
  <si>
    <t>Equipe</t>
  </si>
  <si>
    <t>País - Liga</t>
  </si>
  <si>
    <t>Média da Liga</t>
  </si>
  <si>
    <t>% Sem Marcar</t>
  </si>
  <si>
    <t>% Over 0.5</t>
  </si>
  <si>
    <t>% Over 1.5</t>
  </si>
  <si>
    <t>% Over 2.5</t>
  </si>
  <si>
    <t>% Over 3.5</t>
  </si>
  <si>
    <t>% BTTS</t>
  </si>
  <si>
    <t>Variância</t>
  </si>
  <si>
    <t>Dispersão</t>
  </si>
  <si>
    <t>Modelo Estatístico</t>
  </si>
  <si>
    <t>GMC</t>
  </si>
  <si>
    <t>GMV</t>
  </si>
  <si>
    <t>TGM</t>
  </si>
  <si>
    <t>MGM</t>
  </si>
  <si>
    <t>GSC</t>
  </si>
  <si>
    <t>GSV</t>
  </si>
  <si>
    <t>TGS</t>
  </si>
  <si>
    <t>MGS</t>
  </si>
  <si>
    <t>EST-00030</t>
  </si>
  <si>
    <t>EST-00031</t>
  </si>
  <si>
    <t>EST-00033</t>
  </si>
  <si>
    <t>PK-35 1 vs 1 Jippo</t>
  </si>
  <si>
    <t>EST-00034</t>
  </si>
  <si>
    <t>PK-35 1 vs 4 Haka</t>
  </si>
  <si>
    <t>EST-00035</t>
  </si>
  <si>
    <t>Union Plaani 0 vs 2 HPS</t>
  </si>
  <si>
    <t>EST-00036</t>
  </si>
  <si>
    <t>HPS 1 vs 2 Kiffen</t>
  </si>
  <si>
    <t>EST-00037</t>
  </si>
  <si>
    <t>EST-00038</t>
  </si>
  <si>
    <t>EST-00039</t>
  </si>
  <si>
    <t>PEPO 2 vs 0 HPS</t>
  </si>
  <si>
    <t>EST-00040</t>
  </si>
  <si>
    <t>HPS 5 vs 2 MyPa</t>
  </si>
  <si>
    <t>EST-00042</t>
  </si>
  <si>
    <t>HPS 5 vs 5 HIFK</t>
  </si>
  <si>
    <t>EST-00043</t>
  </si>
  <si>
    <t>EST-00045</t>
  </si>
  <si>
    <t>EST-00046</t>
  </si>
  <si>
    <t>PPJ 1 vs 2 Kiffen</t>
  </si>
  <si>
    <t>EST-00048</t>
  </si>
  <si>
    <t>Kiffen 2 vs 0 PEPO</t>
  </si>
  <si>
    <t>EST-00049</t>
  </si>
  <si>
    <t>Kiffen 1 vs 1 HIFK</t>
  </si>
  <si>
    <t>EST-00050</t>
  </si>
  <si>
    <t>MyPa 0 vs 0 Kiffen</t>
  </si>
  <si>
    <t>Pacific FC 1 vs 2 Supra du Québec</t>
  </si>
  <si>
    <t>VPS Vaasa</t>
  </si>
  <si>
    <t>PuiU 0 vs 2 HPS</t>
  </si>
  <si>
    <t>Kiffen 2 vs 0 PuiU</t>
  </si>
  <si>
    <t>Alerta / Sugestão Mandante</t>
  </si>
  <si>
    <t>Alerta / Sugestão Visitante</t>
  </si>
  <si>
    <t>TJV</t>
  </si>
  <si>
    <t>FAM</t>
  </si>
  <si>
    <t>FAV</t>
  </si>
  <si>
    <t>TJM</t>
  </si>
  <si>
    <t>TJT</t>
  </si>
  <si>
    <t>VDM</t>
  </si>
  <si>
    <t>VDV</t>
  </si>
  <si>
    <t>Média Golds da Liga</t>
  </si>
  <si>
    <t>Posição</t>
  </si>
  <si>
    <t>Índice Geral</t>
  </si>
  <si>
    <t>Over 2.5</t>
  </si>
  <si>
    <t>Over 3.5</t>
  </si>
  <si>
    <t>BTTS</t>
  </si>
  <si>
    <t>Qualidade da Amostra</t>
  </si>
  <si>
    <t>Decisão</t>
  </si>
  <si>
    <t>SIMULADOR DE CONFRONTO — POTENCIAL DE GOLS</t>
  </si>
  <si>
    <t>SELEÇÃO DA PARTIDA</t>
  </si>
  <si>
    <t>PARÂMETROS DO MODELO</t>
  </si>
  <si>
    <t>Métrica</t>
  </si>
  <si>
    <t>Gols esperados (λ)</t>
  </si>
  <si>
    <t>Jogos na condição</t>
  </si>
  <si>
    <t>Índice de força</t>
  </si>
  <si>
    <t>Modelo da equipe</t>
  </si>
  <si>
    <t>Qualidade da amostra</t>
  </si>
  <si>
    <t>ρ Dixon–Coles</t>
  </si>
  <si>
    <t>0 = Poisson puro; calibrar por liga futuramente</t>
  </si>
  <si>
    <t>Probabilidade</t>
  </si>
  <si>
    <t>Classificação</t>
  </si>
  <si>
    <t>Over 0.5</t>
  </si>
  <si>
    <t>Over 1.5</t>
  </si>
  <si>
    <t>Resultado</t>
  </si>
  <si>
    <t>Potencial de gols</t>
  </si>
  <si>
    <t>Média de Gols por Partida (Input)</t>
  </si>
  <si>
    <t>EST-00051</t>
  </si>
  <si>
    <t>Kakkonen B</t>
  </si>
  <si>
    <t>Honka 2 vs 2 Ilves 2</t>
  </si>
  <si>
    <t>Honka</t>
  </si>
  <si>
    <t>Ilves 2</t>
  </si>
  <si>
    <t>EST-00052</t>
  </si>
  <si>
    <t>Ilves 2 3 vs 2 P-Iirot Rauma</t>
  </si>
  <si>
    <t>P-Iirot Rauma</t>
  </si>
  <si>
    <t>EST-00053</t>
  </si>
  <si>
    <t>MuSa 3 vs 4 Ilves 2</t>
  </si>
  <si>
    <t>MuSa</t>
  </si>
  <si>
    <t>EST-00054</t>
  </si>
  <si>
    <t>Ilves 2 0 vs 0 HJS</t>
  </si>
  <si>
    <t>HJS</t>
  </si>
  <si>
    <t>EST-00055</t>
  </si>
  <si>
    <t>NJS 1 vs 7 Ilves 2</t>
  </si>
  <si>
    <t>NJS</t>
  </si>
  <si>
    <t>EST-00056</t>
  </si>
  <si>
    <t>Ilves 2 3 vs 2 EBK</t>
  </si>
  <si>
    <t>EBK</t>
  </si>
  <si>
    <t>EST-00057</t>
  </si>
  <si>
    <t>Ilves 2 4 vs 2 EPS</t>
  </si>
  <si>
    <t>EPS</t>
  </si>
  <si>
    <t>EST-00058</t>
  </si>
  <si>
    <t>EST-00059</t>
  </si>
  <si>
    <t>Ilves 2 6 vs 2 GrIFK</t>
  </si>
  <si>
    <t>GrIFK</t>
  </si>
  <si>
    <t>EST-00060</t>
  </si>
  <si>
    <t>Ilves 2 2 vs 2 Honka</t>
  </si>
  <si>
    <t>EST-00061</t>
  </si>
  <si>
    <t>P-Iirot Rauma 2 vs 1 Ilves 2</t>
  </si>
  <si>
    <t>Ilves 2 7 vs 0 MuSa</t>
  </si>
  <si>
    <t>EST-00063</t>
  </si>
  <si>
    <t>NJS 0 vs 2 Honka</t>
  </si>
  <si>
    <t>EST-00064</t>
  </si>
  <si>
    <t>Honka 4 vs 0 EBK</t>
  </si>
  <si>
    <t>EST-00065</t>
  </si>
  <si>
    <t>P-Iirot Rauma 1 vs 5 Honka</t>
  </si>
  <si>
    <t>EST-00066</t>
  </si>
  <si>
    <t>EST-00067</t>
  </si>
  <si>
    <t>Honka 7 vs 1 MuSa</t>
  </si>
  <si>
    <t>EST-00068</t>
  </si>
  <si>
    <t>Honka 1 vs 1 HJS</t>
  </si>
  <si>
    <t>EST-00070</t>
  </si>
  <si>
    <t>Honka 2 vs 1 GrIFK</t>
  </si>
  <si>
    <t>EST-00071</t>
  </si>
  <si>
    <t>EPS 3 vs 2 Honka</t>
  </si>
  <si>
    <t>Média de Gols Marcados</t>
  </si>
  <si>
    <t>EST-00073</t>
  </si>
  <si>
    <t>Palmeiras 1 vs 1 Santos</t>
  </si>
  <si>
    <t>Santos</t>
  </si>
  <si>
    <t>EST-00074</t>
  </si>
  <si>
    <t>Remo 1 vs 1 Palmeiras</t>
  </si>
  <si>
    <t>EST-00075</t>
  </si>
  <si>
    <t>Palmeiras 1 vs 1 Cruzeiro</t>
  </si>
  <si>
    <t>EST-00076</t>
  </si>
  <si>
    <t>Flamengo 0 vs 3 Palmeiras</t>
  </si>
  <si>
    <t>EST-00077</t>
  </si>
  <si>
    <t>Palmeiras 1 vs 0 Chapecoense</t>
  </si>
  <si>
    <t>Chapecoense</t>
  </si>
  <si>
    <t>EST-00078</t>
  </si>
  <si>
    <t>Coritiba 1 vs 3 Palmeiras</t>
  </si>
  <si>
    <t>EST-00079</t>
  </si>
  <si>
    <t>Palmeiras 1 vs 2 Atlético-MG</t>
  </si>
  <si>
    <t>Atlético-MG</t>
  </si>
  <si>
    <t>EST-00081</t>
  </si>
  <si>
    <t>Atlético-MG 0 vs 4 Flamengo</t>
  </si>
  <si>
    <t>EST-00082</t>
  </si>
  <si>
    <t>EST-00083</t>
  </si>
  <si>
    <t>Grêmio 0 vs 1 Flamengo</t>
  </si>
  <si>
    <t>Grêmio</t>
  </si>
  <si>
    <t>EST-00084</t>
  </si>
  <si>
    <t>Athletico-PR 1 vs 1 Flamengo</t>
  </si>
  <si>
    <t>Athletico-PR</t>
  </si>
  <si>
    <t>EST-00086</t>
  </si>
  <si>
    <t>Flamengo 3 vs 0 Coritiba</t>
  </si>
  <si>
    <t>EST-00087</t>
  </si>
  <si>
    <t>Chapecoense 0 vs 4 Flamengo</t>
  </si>
  <si>
    <t>EST-00088</t>
  </si>
  <si>
    <t>Flamengo 1 vs 1 São Paulo</t>
  </si>
  <si>
    <t>São Paulo</t>
  </si>
  <si>
    <t>Flamengo 2 vs 2 Vasco da Gama</t>
  </si>
  <si>
    <t>Corinthians 0 vs 0 Athletico-PR</t>
  </si>
  <si>
    <t>EST-00090</t>
  </si>
  <si>
    <t>EST-00091</t>
  </si>
  <si>
    <t>EST-00092</t>
  </si>
  <si>
    <t>EST-00093</t>
  </si>
  <si>
    <t>EST-00094</t>
  </si>
  <si>
    <t>EST-00095</t>
  </si>
  <si>
    <t>EST-00096</t>
  </si>
  <si>
    <t>EST-00097</t>
  </si>
  <si>
    <t>EST-00098</t>
  </si>
  <si>
    <t>EST-00099</t>
  </si>
  <si>
    <t>Botafogo-RJ</t>
  </si>
  <si>
    <t>Chapecoense 1 vs 4 Botafogo-RJ</t>
  </si>
  <si>
    <t>Botafogo-RJ 2 vs 2 Internacional</t>
  </si>
  <si>
    <t>Botafogo-RJ 1 vs 2 Remo</t>
  </si>
  <si>
    <t>Atlético-MG 1 vs 1 Botafogo-RJ</t>
  </si>
  <si>
    <t>Botafogo-RJ 3 vs 1 Corinthians</t>
  </si>
  <si>
    <t>São Paulo 1 vs 1 Botafogo-RJ</t>
  </si>
  <si>
    <t>Bahia 2 vs 1 Botafogo-RJ</t>
  </si>
  <si>
    <t>Botafogo-RJ 2 vs 1 Santos</t>
  </si>
  <si>
    <t>Botafogo-RJ 0 vs 0 Vitória</t>
  </si>
  <si>
    <t>Cruzeiro 0 vs 1 Botafogo-RJ</t>
  </si>
  <si>
    <t>EST-00100</t>
  </si>
  <si>
    <t>EST-00101</t>
  </si>
  <si>
    <t>Haka 1 vs 1 Klubi 04</t>
  </si>
  <si>
    <t>EST-00102</t>
  </si>
  <si>
    <t>SJK Akatemia 0 vs 1 Haka</t>
  </si>
  <si>
    <t>EST-00103</t>
  </si>
  <si>
    <t>Haka 2 vs 1 Jippo</t>
  </si>
  <si>
    <t>EST-00104</t>
  </si>
  <si>
    <t>Haka 1 vs 2 JäPS</t>
  </si>
  <si>
    <t>EST-00108</t>
  </si>
  <si>
    <t>Mikkeli 2 vs 1 Haka</t>
  </si>
  <si>
    <t>EST-00109</t>
  </si>
  <si>
    <t>EST-00110</t>
  </si>
  <si>
    <t>Klubi 04 2 vs 2 Haka</t>
  </si>
  <si>
    <t>EST-00111</t>
  </si>
  <si>
    <t>EST-00113</t>
  </si>
  <si>
    <t>JäPS 1 vs 0 PK-35</t>
  </si>
  <si>
    <t>EST-00114</t>
  </si>
  <si>
    <t>PK-35 3 vs 1 Mikkeli</t>
  </si>
  <si>
    <t>EST-00115</t>
  </si>
  <si>
    <t>EST-00116</t>
  </si>
  <si>
    <t>Jippo 0 vs 1 PK-35</t>
  </si>
  <si>
    <t>EST-00117</t>
  </si>
  <si>
    <t>Klubi 04 0 vs 1 PK-35</t>
  </si>
  <si>
    <t>EST-00118</t>
  </si>
  <si>
    <t>PK-35 1 vs 1 Klubi 04</t>
  </si>
  <si>
    <t>EST-00119</t>
  </si>
  <si>
    <t>JäPS 0 vs 5 PK-35</t>
  </si>
  <si>
    <t>EST-00120</t>
  </si>
  <si>
    <t>PK-35 2 vs 1 Mikkeli</t>
  </si>
  <si>
    <t>EST-00126</t>
  </si>
  <si>
    <t>Närpes Kraft 0 vs 1 JBK</t>
  </si>
  <si>
    <t>JBK</t>
  </si>
  <si>
    <t>EST-00127</t>
  </si>
  <si>
    <t>VPS Akatemia 2 vs 2 Närpes Kraft</t>
  </si>
  <si>
    <t>VPS Akatemia</t>
  </si>
  <si>
    <t>EST-00128</t>
  </si>
  <si>
    <t>FC Vaajakoski 4 vs 5 Närpes Kraft</t>
  </si>
  <si>
    <t>FC Vaajakoski</t>
  </si>
  <si>
    <t>EST-00129</t>
  </si>
  <si>
    <t>Närpes Kraft 6 vs 2 GBK Kokkola</t>
  </si>
  <si>
    <t>GBK Kokkola</t>
  </si>
  <si>
    <t>EST-00130</t>
  </si>
  <si>
    <t>JS Hercules 1 vs 2 Närpes Kraft</t>
  </si>
  <si>
    <t>EST-00131</t>
  </si>
  <si>
    <t>Närpes Kraft 1 vs 2 TP-47</t>
  </si>
  <si>
    <t>TP-47</t>
  </si>
  <si>
    <t>EST-00132</t>
  </si>
  <si>
    <t>SJK Akatemia 2 0 vs 4 Närpes Kraft</t>
  </si>
  <si>
    <t>SJK Akatemia 2</t>
  </si>
  <si>
    <t>EST-00133</t>
  </si>
  <si>
    <t>Närpes Kraft 1 vs 3 Huima / Urho</t>
  </si>
  <si>
    <t>Huima / Urho</t>
  </si>
  <si>
    <t>EST-00134</t>
  </si>
  <si>
    <t>EST-00135</t>
  </si>
  <si>
    <t>JBK 4 vs 2 Närpes Kraft</t>
  </si>
  <si>
    <t>EST-00136</t>
  </si>
  <si>
    <t>Närpes Kraft 3 vs 2 VPS Akatemia</t>
  </si>
  <si>
    <t>EST-00137</t>
  </si>
  <si>
    <t>Närpes Kraft 2 vs 3 FC Vaajakoski</t>
  </si>
  <si>
    <t>EST-00139</t>
  </si>
  <si>
    <t>Huima / Urho 4 vs 4 VPS Akatemia</t>
  </si>
  <si>
    <t>EST-00141</t>
  </si>
  <si>
    <t>VPS Akatemia 2 vs 1 JBK</t>
  </si>
  <si>
    <t>EST-00142</t>
  </si>
  <si>
    <t>SJK Akatemia 2 3 vs 2 VPS Akatemia</t>
  </si>
  <si>
    <t>EST-00143</t>
  </si>
  <si>
    <t>EST-00144</t>
  </si>
  <si>
    <t>VPS Akatemia 2 vs 2 FC Vaajakoski</t>
  </si>
  <si>
    <t>EST-00145</t>
  </si>
  <si>
    <t>JS Hercules 1 vs 5 VPS Akatemia</t>
  </si>
  <si>
    <t>EST-00146</t>
  </si>
  <si>
    <t>VPS Akatemia 3 vs 4 GBK Kokkola</t>
  </si>
  <si>
    <t>EST-00147</t>
  </si>
  <si>
    <t>TP-47 0 vs 3 VPS Akatemia</t>
  </si>
  <si>
    <t>EST-00148</t>
  </si>
  <si>
    <t>VPS Akatemia 3 vs 1 Huima / Urho</t>
  </si>
  <si>
    <t>EST-00150</t>
  </si>
  <si>
    <t>VPS Akatemia 6 vs 2 SJK Akatemia 2</t>
  </si>
  <si>
    <t>EST-00151</t>
  </si>
  <si>
    <t>JBK 2 vs 0 VPS Akatemia</t>
  </si>
  <si>
    <t>EST-00152</t>
  </si>
  <si>
    <t>EST-00153</t>
  </si>
  <si>
    <t>JBK 1 vs 2 GBK Kokkola</t>
  </si>
  <si>
    <t>EST-00154</t>
  </si>
  <si>
    <t>EST-00156</t>
  </si>
  <si>
    <t>GBK Kokkola 4 vs 0 SJK Akatemia 2</t>
  </si>
  <si>
    <t>EST-00157</t>
  </si>
  <si>
    <t>Huima / Urho 1 vs 2 GBK Kokkola</t>
  </si>
  <si>
    <t>EST-00158</t>
  </si>
  <si>
    <t>GBK Kokkola 0 vs 1 FC Vaajakoski</t>
  </si>
  <si>
    <t>EST-00160</t>
  </si>
  <si>
    <t>GBK Kokkola 7 vs 0 JS Hercules</t>
  </si>
  <si>
    <t>EST-00161</t>
  </si>
  <si>
    <t>TP-47 3 vs 4 GBK Kokkola</t>
  </si>
  <si>
    <t>EST-00162</t>
  </si>
  <si>
    <t>GBK Kokkola 2 vs 0 JBK</t>
  </si>
  <si>
    <t>EST-00163</t>
  </si>
  <si>
    <t>GBK Kokkola 6 vs 2 Närpes Kraft</t>
  </si>
  <si>
    <t>EST-00164</t>
  </si>
  <si>
    <t>SJK Akatemia 2 2 vs 4 GBK Kokkola</t>
  </si>
  <si>
    <t>EST-00166</t>
  </si>
  <si>
    <t>JS Hercules 2 vs 1 Huima / Urho</t>
  </si>
  <si>
    <t>EST-00167</t>
  </si>
  <si>
    <t>SJK Akatemia 2 0 vs 1 Huima / Urho</t>
  </si>
  <si>
    <t>EST-00168</t>
  </si>
  <si>
    <t>Huima / Urho 4 vs 2 FC Vaajakoski</t>
  </si>
  <si>
    <t>EST-00169</t>
  </si>
  <si>
    <t>TP-47 4 vs 4 Huima / Urho</t>
  </si>
  <si>
    <t>EST-00171</t>
  </si>
  <si>
    <t>EST-00173</t>
  </si>
  <si>
    <t>Huima / Urho 3 vs 2 JBK</t>
  </si>
  <si>
    <t>EST-00175</t>
  </si>
  <si>
    <t>Huima / Urho 0 vs 0 JS Hercules</t>
  </si>
  <si>
    <t>EST-00176</t>
  </si>
  <si>
    <t>FC Vaajakoski 0 vs 1 Huima / Urho</t>
  </si>
  <si>
    <t>EST-00177</t>
  </si>
  <si>
    <t>Huima / Urho 4 vs 0 SJK Akatemia 2</t>
  </si>
  <si>
    <t>EST-00178</t>
  </si>
  <si>
    <t>Huima / Urho 4 vs 0 TP-47</t>
  </si>
  <si>
    <t>IPM</t>
  </si>
  <si>
    <t>IPV</t>
  </si>
  <si>
    <t>Índice Normalizado</t>
  </si>
  <si>
    <t>Potencial Ajustado</t>
  </si>
  <si>
    <t>RANKING DE EQUIPES — ADERÊNCIA ÀS LINHAS OVER</t>
  </si>
  <si>
    <t>O Over 0.5 funciona como filtro obrigatório de segurança. A ordenação principal utiliza o Over 1.5; Potencial Ajustado e TJT são utilizados como desempates.</t>
  </si>
  <si>
    <t>EST-00179</t>
  </si>
  <si>
    <t>Always Ready 1 vs 0 Oriente Petrolero</t>
  </si>
  <si>
    <t>Always Ready</t>
  </si>
  <si>
    <t>Oriente Petrolero</t>
  </si>
  <si>
    <t>EST-00180</t>
  </si>
  <si>
    <t>Guabirá 1 vs 2 Always Ready</t>
  </si>
  <si>
    <t>Guabirá</t>
  </si>
  <si>
    <t>EST-00181</t>
  </si>
  <si>
    <t>Always Ready 3 vs 1 Nacional Potosí</t>
  </si>
  <si>
    <t>Nacional Potosí</t>
  </si>
  <si>
    <t>EST-00182</t>
  </si>
  <si>
    <t>EST-00183</t>
  </si>
  <si>
    <t>Always Ready 0 vs 1 The Strongest</t>
  </si>
  <si>
    <t>EST-00184</t>
  </si>
  <si>
    <t>EST-00185</t>
  </si>
  <si>
    <t>Real Oruro 0 vs 6 Always Ready</t>
  </si>
  <si>
    <t>EST-00186</t>
  </si>
  <si>
    <t>Always Ready 4 vs 0 Universitario de Vinto</t>
  </si>
  <si>
    <t>Universitario de Vinto</t>
  </si>
  <si>
    <t>EST-00187</t>
  </si>
  <si>
    <t>EST-00188</t>
  </si>
  <si>
    <t>Always Ready 1 vs 0 Bolívar</t>
  </si>
  <si>
    <t>Bolívar</t>
  </si>
  <si>
    <t>Independiente Petrolero 0 vs 0 Always Ready</t>
  </si>
  <si>
    <t>ABB 1 vs 3 Always Ready</t>
  </si>
  <si>
    <t>EST-00189</t>
  </si>
  <si>
    <t>IR Reykjavik</t>
  </si>
  <si>
    <t>EST-00190</t>
  </si>
  <si>
    <t>EST-00191</t>
  </si>
  <si>
    <t>Fylkir 2 vs 1 IR Reykjavik</t>
  </si>
  <si>
    <t>Fylkir</t>
  </si>
  <si>
    <t>EST-00192</t>
  </si>
  <si>
    <t>IR Reykjavik 3 vs 1 Kopavogur</t>
  </si>
  <si>
    <t>Kopavogur</t>
  </si>
  <si>
    <t>EST-00193</t>
  </si>
  <si>
    <t>EST-00194</t>
  </si>
  <si>
    <t>IR Reykjavik 0 vs 1 Vestri</t>
  </si>
  <si>
    <t>Vestri</t>
  </si>
  <si>
    <t>EST-00195</t>
  </si>
  <si>
    <t>EST-00196</t>
  </si>
  <si>
    <t>EST-00197</t>
  </si>
  <si>
    <t>EST-00198</t>
  </si>
  <si>
    <t>Leiknir 2 vs 1 IR Reykjavik</t>
  </si>
  <si>
    <t>Leiknir</t>
  </si>
  <si>
    <t>EST-00199</t>
  </si>
  <si>
    <t>IR Reykjavik 0 vs 1 Afturelding</t>
  </si>
  <si>
    <t>EST-00200</t>
  </si>
  <si>
    <t>EST-00201</t>
  </si>
  <si>
    <t>Kopavogur 5 vs 1 IR Reykjavik</t>
  </si>
  <si>
    <t>EST-00202</t>
  </si>
  <si>
    <t>EST-00203</t>
  </si>
  <si>
    <t>IR Reykjavik 2 vs 0 Fylkir</t>
  </si>
  <si>
    <t>Aegir 4 vs 1 IR Reykjavik</t>
  </si>
  <si>
    <t>EST-00204</t>
  </si>
  <si>
    <t>Aegir 1 vs 2 Vestri</t>
  </si>
  <si>
    <t>EST-00205</t>
  </si>
  <si>
    <t>Njardvik 0 vs 0 Aegir</t>
  </si>
  <si>
    <t>EST-00207</t>
  </si>
  <si>
    <t>Volsungur 2 vs 3 Aegir</t>
  </si>
  <si>
    <t>Volsungur</t>
  </si>
  <si>
    <t>EST-00208</t>
  </si>
  <si>
    <t>Aegir 0 vs 3 Leiknir</t>
  </si>
  <si>
    <t>EST-00209</t>
  </si>
  <si>
    <t>Vestri 3 vs 2 Aegir</t>
  </si>
  <si>
    <t>EST-00210</t>
  </si>
  <si>
    <t>EST-00211</t>
  </si>
  <si>
    <t>Grindavik 0 vs 0 Aegir</t>
  </si>
  <si>
    <t>EST-00212</t>
  </si>
  <si>
    <t>Afturelding 8 vs 1 Aegir</t>
  </si>
  <si>
    <t>EST-00213</t>
  </si>
  <si>
    <t>Aegir 2 vs 4 Fylkir</t>
  </si>
  <si>
    <t>EST-00214</t>
  </si>
  <si>
    <t>Aegir 3 vs 4 Kopavogur</t>
  </si>
  <si>
    <t>EST-00215</t>
  </si>
  <si>
    <t>Grotta 6 vs 1 Aegir</t>
  </si>
  <si>
    <t>Grotta</t>
  </si>
  <si>
    <t>Grindavik 1 vs 0 Leiknir</t>
  </si>
  <si>
    <t>JäPS 1 vs 0 SJK Akatemia</t>
  </si>
  <si>
    <t>IR Reykjavik 2 vs 2 Grindavik</t>
  </si>
  <si>
    <t>Njardvik 5 vs 1 IR Reykjavik</t>
  </si>
  <si>
    <t>IR Reykjavik 2 vs 1 Grotta</t>
  </si>
  <si>
    <t>IR Reykjavik 4 vs 4 Volsungur</t>
  </si>
  <si>
    <t>Grindavik 0 vs 0 IR Reykjavik</t>
  </si>
  <si>
    <t>Placar</t>
  </si>
  <si>
    <t>EST-00217</t>
  </si>
  <si>
    <t>SalPa 2 vs 3 Inter Turku 2</t>
  </si>
  <si>
    <t>SalPa</t>
  </si>
  <si>
    <t>Inter Turku 2</t>
  </si>
  <si>
    <t>EST-00218</t>
  </si>
  <si>
    <t>Inter Turku 2 0 vs 2 Tampere Utd</t>
  </si>
  <si>
    <t>Tampere Utd</t>
  </si>
  <si>
    <t>EST-00219</t>
  </si>
  <si>
    <t>VJS 3 vs 2 Inter Turku 2</t>
  </si>
  <si>
    <t>VJS</t>
  </si>
  <si>
    <t>EST-00220</t>
  </si>
  <si>
    <t>Inter Turku 2 4 vs 2 KuPS Akatemia</t>
  </si>
  <si>
    <t>EST-00221</t>
  </si>
  <si>
    <t>Inter Turku 2 2 vs 1 Keski-Uusimaa</t>
  </si>
  <si>
    <t>Keski-Uusimaa</t>
  </si>
  <si>
    <t>EST-00222</t>
  </si>
  <si>
    <t>KPV 4 vs 2 Inter Turku 2</t>
  </si>
  <si>
    <t>KPV</t>
  </si>
  <si>
    <t>EST-00223</t>
  </si>
  <si>
    <t>TPV 1 vs 1 Inter Turku 2</t>
  </si>
  <si>
    <t>TPV</t>
  </si>
  <si>
    <t>EST-00224</t>
  </si>
  <si>
    <t>Inter Turku 2 1 vs 1 Jazz Pori</t>
  </si>
  <si>
    <t>Jazz Pori</t>
  </si>
  <si>
    <t>EST-00225</t>
  </si>
  <si>
    <t>JJK Jyvaskyla 11 vs 1 Inter Turku 2</t>
  </si>
  <si>
    <t>JJK Jyvaskyla</t>
  </si>
  <si>
    <t>EST-00226</t>
  </si>
  <si>
    <t>OLS Oulu 1 vs 3 Inter Turku 2</t>
  </si>
  <si>
    <t>OLS Oulu</t>
  </si>
  <si>
    <t>EST-00227</t>
  </si>
  <si>
    <t>EST-00228</t>
  </si>
  <si>
    <t>Inter Turku 2 1 vs 2 SalPa</t>
  </si>
  <si>
    <t>EST-00229</t>
  </si>
  <si>
    <t>Tampere Utd 2 vs 2 Inter Turku 2</t>
  </si>
  <si>
    <t>EST-00230</t>
  </si>
  <si>
    <t>Inter Turku 2 1 vs 1 VJS</t>
  </si>
  <si>
    <t>KuPS Akatemia 0 vs 1 Inter Turku 2</t>
  </si>
  <si>
    <t>EST-00233</t>
  </si>
  <si>
    <t>EST-00234</t>
  </si>
  <si>
    <t>Keski-Uusimaa 3 vs 0 KuPS Akatemia</t>
  </si>
  <si>
    <t>EST-00235</t>
  </si>
  <si>
    <t>KuPS Akatemia 4 vs 1 KPV</t>
  </si>
  <si>
    <t>EST-00236</t>
  </si>
  <si>
    <t>SalPa 4 vs 3 KuPS Akatemia</t>
  </si>
  <si>
    <t>EST-00237</t>
  </si>
  <si>
    <t>OLS Oulu 2 vs 2 KuPS Akatemia</t>
  </si>
  <si>
    <t>EST-00238</t>
  </si>
  <si>
    <t>KuPS Akatemia 2 vs 3 Tampere Utd</t>
  </si>
  <si>
    <t>EST-00239</t>
  </si>
  <si>
    <t>JJK Jyvaskyla 4 vs 4 KuPS Akatemia</t>
  </si>
  <si>
    <t>EST-00240</t>
  </si>
  <si>
    <t>TPV 3 vs 1 KuPS Akatemia</t>
  </si>
  <si>
    <t>EST-00241</t>
  </si>
  <si>
    <t>KuPS Akatemia 2 vs 2 VJS</t>
  </si>
  <si>
    <t>Jazz Pori 2 vs 2 KuPS Akatemia</t>
  </si>
  <si>
    <t>0 x 1</t>
  </si>
  <si>
    <t>Motivo</t>
  </si>
  <si>
    <t>Orientação</t>
  </si>
  <si>
    <t>4 x 2</t>
  </si>
  <si>
    <t>2 x 2</t>
  </si>
  <si>
    <t>Sinal</t>
  </si>
  <si>
    <t>Nível</t>
  </si>
  <si>
    <t>Probabilidades</t>
  </si>
  <si>
    <t>Orientação final</t>
  </si>
  <si>
    <t>1 x 3</t>
  </si>
  <si>
    <t>Confronto</t>
  </si>
  <si>
    <t>Gols</t>
  </si>
  <si>
    <t>KuPS Akatemia x Inter Turku 2</t>
  </si>
  <si>
    <t>Atlantis x Reipas</t>
  </si>
  <si>
    <t>PPJ x HPS</t>
  </si>
  <si>
    <t>FF Jaro II x JBK</t>
  </si>
  <si>
    <t>LEITURA RÁPIDA — CONSENSO DE ENTRADA</t>
  </si>
  <si>
    <t>PROBABILIDADES — LINHAS ASIÁTICAS OVER</t>
  </si>
  <si>
    <t>Linha</t>
  </si>
  <si>
    <t>Prob. ajustada</t>
  </si>
  <si>
    <t>Proteção / liquidação</t>
  </si>
  <si>
    <t>Sem proteção</t>
  </si>
  <si>
    <t>½ GREEN com 1 gol</t>
  </si>
  <si>
    <t>PUSH com 1 gol</t>
  </si>
  <si>
    <t>½ RED com 1 gol</t>
  </si>
  <si>
    <t>½ GREEN com 2 gols</t>
  </si>
  <si>
    <t>PUSH com 2 gols</t>
  </si>
  <si>
    <t>½ RED com 2 gols</t>
  </si>
  <si>
    <t>½ GREEN com 3 gols</t>
  </si>
  <si>
    <t>PUSH com 3 gols</t>
  </si>
  <si>
    <t>Probabilidade ajustada pondera GREEN=100%, meio GREEN=75%, PUSH=50%, meio RED=25% e RED=0%.</t>
  </si>
  <si>
    <t>PLACARES MAIS PROVÁVEIS</t>
  </si>
  <si>
    <t>Beijing Guoan x Shenzhen Xinpengcheng</t>
  </si>
  <si>
    <t>4 x 0</t>
  </si>
  <si>
    <t>O0,50</t>
  </si>
  <si>
    <t>O0,75</t>
  </si>
  <si>
    <t>O1,00</t>
  </si>
  <si>
    <t>O1,25</t>
  </si>
  <si>
    <t>O1,50</t>
  </si>
  <si>
    <t>O1,75</t>
  </si>
  <si>
    <t>O2,00</t>
  </si>
  <si>
    <t>O2,25</t>
  </si>
  <si>
    <t>O2,50</t>
  </si>
  <si>
    <t>O2,75</t>
  </si>
  <si>
    <t>O3,00</t>
  </si>
  <si>
    <t>FIN - Ykkönen</t>
  </si>
  <si>
    <t>FIN - Kakkonen C</t>
  </si>
  <si>
    <t>FIN - Kakkonen</t>
  </si>
  <si>
    <t>CHN - Super League</t>
  </si>
  <si>
    <t>Linha técnica</t>
  </si>
  <si>
    <t>Fase por liga</t>
  </si>
  <si>
    <t>Lions FC x Brisbane Roar NPL</t>
  </si>
  <si>
    <t>AUS - NPL Queensland</t>
  </si>
  <si>
    <t>Bolívar x Oriente Petrolero</t>
  </si>
  <si>
    <t>BOL - División Profesional</t>
  </si>
  <si>
    <t>2 x 1</t>
  </si>
  <si>
    <t>Nacional Potosí x The Strongest</t>
  </si>
  <si>
    <t>2 x 3</t>
  </si>
  <si>
    <t>Keflavík x KA Akureyri</t>
  </si>
  <si>
    <t>3 x 0</t>
  </si>
  <si>
    <t>VJS Vantaa x PK Keski-Uusimaa</t>
  </si>
  <si>
    <t>0 x 0</t>
  </si>
  <si>
    <t>SalPa x JJK Jyväskylä</t>
  </si>
  <si>
    <t>RoPS x FC Jazz</t>
  </si>
  <si>
    <t>OLS Oulu x TPV</t>
  </si>
  <si>
    <t>Guabirá x Real Tomayapo</t>
  </si>
  <si>
    <t>Thor Akureyri x Breiðablik</t>
  </si>
  <si>
    <t>1 x 0</t>
  </si>
  <si>
    <t>P/L (R$)</t>
  </si>
  <si>
    <t>Usada</t>
  </si>
  <si>
    <t>Melhor G</t>
  </si>
  <si>
    <t>Δ linha</t>
  </si>
  <si>
    <t>HISTÓRICO — LINHA USADA vs. MELHOR APROVEITAMENTO NOS GREENS</t>
  </si>
  <si>
    <t>Odd M.G.</t>
  </si>
  <si>
    <t>P/L M.G.</t>
  </si>
  <si>
    <t>Fonte odds</t>
  </si>
  <si>
    <t>WinComparator</t>
  </si>
  <si>
    <t>OddStorm</t>
  </si>
  <si>
    <t>OddsFilter</t>
  </si>
  <si>
    <t>Informada</t>
  </si>
  <si>
    <t>ABB x Real Oruro</t>
  </si>
  <si>
    <t>4 x 1</t>
  </si>
  <si>
    <t>Ilves II x MuSa</t>
  </si>
  <si>
    <t>FIN - Kakkonen B</t>
  </si>
  <si>
    <t>7 x 0</t>
  </si>
  <si>
    <t>EST-00245</t>
  </si>
  <si>
    <t>PPJ 2 vs 2 HPS</t>
  </si>
  <si>
    <t>EST-00246</t>
  </si>
  <si>
    <t>EST-00247</t>
  </si>
  <si>
    <t>CHN</t>
  </si>
  <si>
    <t>Super League</t>
  </si>
  <si>
    <t>Beijing Guoan 4 vs 0 Shenzhen Xinpengcheng</t>
  </si>
  <si>
    <t>Beijing Guoan</t>
  </si>
  <si>
    <t>Shenzhen Xinpengcheng</t>
  </si>
  <si>
    <t>EST-00248</t>
  </si>
  <si>
    <t>Lions FC 4 vs 2 Brisbane Roar NPL</t>
  </si>
  <si>
    <t>Lions FC</t>
  </si>
  <si>
    <t>EST-00249</t>
  </si>
  <si>
    <t>Bolívar 2 vs 1 Oriente Petrolero</t>
  </si>
  <si>
    <t>Nacional Potosí 2 vs 3 The Strongest</t>
  </si>
  <si>
    <t>EST-00251</t>
  </si>
  <si>
    <t>Keflavík 3 vs 0 KA Akureyri</t>
  </si>
  <si>
    <t>Keflavík</t>
  </si>
  <si>
    <t>EST-00252</t>
  </si>
  <si>
    <t>VJS 0 vs 0 Keski-Uusimaa</t>
  </si>
  <si>
    <t>EST-00253</t>
  </si>
  <si>
    <t>SalPa 2 vs 1 JJK Jyvaskyla</t>
  </si>
  <si>
    <t>EST-00254</t>
  </si>
  <si>
    <t>OLS Oulu 4 vs 2 TPV</t>
  </si>
  <si>
    <t>EST-00256</t>
  </si>
  <si>
    <t>Guabirá 3 vs 0 Real Tomayapo</t>
  </si>
  <si>
    <t>EST-00257</t>
  </si>
  <si>
    <t>EST-00258</t>
  </si>
  <si>
    <t>ABB 4 vs 1 Real Oruro</t>
  </si>
  <si>
    <t>00100-FIN</t>
  </si>
  <si>
    <t>00101-FIN</t>
  </si>
  <si>
    <t>00102-CHN</t>
  </si>
  <si>
    <t>00103-AUS</t>
  </si>
  <si>
    <t>00104-BOL</t>
  </si>
  <si>
    <t>00105-BOL</t>
  </si>
  <si>
    <t>00106-ISL</t>
  </si>
  <si>
    <t>00107-FIN</t>
  </si>
  <si>
    <t>00108-FIN</t>
  </si>
  <si>
    <t>00109-FIN</t>
  </si>
  <si>
    <t>00110-FIN</t>
  </si>
  <si>
    <t>00111-BOL</t>
  </si>
  <si>
    <t>00112-ISL</t>
  </si>
  <si>
    <t>00113-BOL</t>
  </si>
  <si>
    <t>00114-FIN</t>
  </si>
  <si>
    <t>Delfín SC</t>
  </si>
  <si>
    <t>LDU Quito</t>
  </si>
  <si>
    <t>LDU Quito 2 vs 1 Delfín SC</t>
  </si>
  <si>
    <t>00115-ECU</t>
  </si>
  <si>
    <t>LDU Quito x Delfín SC</t>
  </si>
  <si>
    <t>00116-FIN</t>
  </si>
  <si>
    <t>00117-FIN</t>
  </si>
  <si>
    <t>Deportivo Recoleta x Nacional Asunción</t>
  </si>
  <si>
    <t>PAR - Primera División</t>
  </si>
  <si>
    <t>3 x 2</t>
  </si>
  <si>
    <t>Stjarnan</t>
  </si>
  <si>
    <t>Valur Reykjavik</t>
  </si>
  <si>
    <t>Valur Reykjavik 2 vs 3 Stjarnan</t>
  </si>
  <si>
    <t>00119-ISL</t>
  </si>
  <si>
    <t>Valur Reykjavik x Stjarnan</t>
  </si>
  <si>
    <t>Estoril Praia x FC Famalicão</t>
  </si>
  <si>
    <t>POR - Primeira Liga</t>
  </si>
  <si>
    <t>1 x 1</t>
  </si>
  <si>
    <t>Afturelding 4 vs 1 Grindavik</t>
  </si>
  <si>
    <t>00121-ISL</t>
  </si>
  <si>
    <t>Afturelding x Grindavik</t>
  </si>
  <si>
    <t>GIF Sundsvall</t>
  </si>
  <si>
    <t>Östersunds FK</t>
  </si>
  <si>
    <t>Östersunds FK 1 vs 0 GIF Sundsvall</t>
  </si>
  <si>
    <t>00122-SWE</t>
  </si>
  <si>
    <t>Östersunds FK x GIF Sundsvall</t>
  </si>
  <si>
    <t>SWE - Superettan</t>
  </si>
  <si>
    <t>Galtabäcks BK</t>
  </si>
  <si>
    <t>Galtabäcks BK 1 vs 1 Qviding FIF</t>
  </si>
  <si>
    <t>00123-SWE</t>
  </si>
  <si>
    <t>Meio Red</t>
  </si>
  <si>
    <t>Galtabäcks BK x Qviding FIF</t>
  </si>
  <si>
    <t>SWE - 2ª D Västra Götaland</t>
  </si>
  <si>
    <t>Enköpings SK</t>
  </si>
  <si>
    <t>Karlbergs BK</t>
  </si>
  <si>
    <t>Enköpings SK 2 vs 1 Karlbergs BK</t>
  </si>
  <si>
    <t>00124-SWE</t>
  </si>
  <si>
    <t>Enköpings SK x Karlbergs BK</t>
  </si>
  <si>
    <t>SWE - 1ª D Norra</t>
  </si>
  <si>
    <t>West Adelaide SC</t>
  </si>
  <si>
    <t>West Torrens Birkalla</t>
  </si>
  <si>
    <t>NPL South Australia</t>
  </si>
  <si>
    <t>West Torrens Birkalla 6 vs 1 West Adelaide SC</t>
  </si>
  <si>
    <t>00125-AUS</t>
  </si>
  <si>
    <t>West Torrens Birkalla x West Adelaide SC</t>
  </si>
  <si>
    <t>AUS - NPL South Australia</t>
  </si>
  <si>
    <t>6 x 1</t>
  </si>
  <si>
    <t>Adelaide Comets</t>
  </si>
  <si>
    <t>MetroStars</t>
  </si>
  <si>
    <t>Adelaide Comets 0 vs 1 MetroStars</t>
  </si>
  <si>
    <t>00126-AUS</t>
  </si>
  <si>
    <t>Adelaide Comets x MetroStars</t>
  </si>
  <si>
    <t>Sollentuna FK</t>
  </si>
  <si>
    <t>Vasalunds IF</t>
  </si>
  <si>
    <t>Vasalunds IF 1 vs 1 Sollentuna FK</t>
  </si>
  <si>
    <t>00127-SWE</t>
  </si>
  <si>
    <t>Vasalunds IF x Sollentuna FK</t>
  </si>
  <si>
    <t>00128-NOR</t>
  </si>
  <si>
    <t>Ranheim x Haugesund</t>
  </si>
  <si>
    <t>NOR - OBOS-ligaen</t>
  </si>
  <si>
    <t>3 x 4</t>
  </si>
  <si>
    <t>HJK Helsinki</t>
  </si>
  <si>
    <t>SJK</t>
  </si>
  <si>
    <t>SJK 3 vs 0 HJK Helsinki</t>
  </si>
  <si>
    <t>00129-FIN</t>
  </si>
  <si>
    <t>SJK x HJK Helsinki</t>
  </si>
  <si>
    <t>FIN - Veikkausliiga</t>
  </si>
  <si>
    <t>Halmstads BK</t>
  </si>
  <si>
    <t>IK Sirius</t>
  </si>
  <si>
    <t>Halmstads BK 0 vs 2 IK Sirius</t>
  </si>
  <si>
    <t>00130-SWE</t>
  </si>
  <si>
    <t>Halmstads BK x IK Sirius</t>
  </si>
  <si>
    <t>SWE - Allsvenskan</t>
  </si>
  <si>
    <t>0 x 2</t>
  </si>
  <si>
    <t>P-Iirot Rauma 4 vs 0 MuSa</t>
  </si>
  <si>
    <t>MuSa 0 vs 6 Honka</t>
  </si>
  <si>
    <t>GrIFK 1 vs 1 MuSa</t>
  </si>
  <si>
    <t>MuSa 0 vs 2 HJS</t>
  </si>
  <si>
    <t>EPS 6 vs 1 MuSa</t>
  </si>
  <si>
    <t>MuSa 0 vs 0 NJS</t>
  </si>
  <si>
    <t>EBK 0 vs 2 MuSa</t>
  </si>
  <si>
    <t>MuSa 2 vs 2 P-Iirot Rauma</t>
  </si>
  <si>
    <t>MuSa 3 vs 1 GrIFK</t>
  </si>
  <si>
    <t>HJS 2 vs 1 MuSa</t>
  </si>
  <si>
    <t>MuSa 0 vs 2 EPS</t>
  </si>
  <si>
    <t>EST-00260</t>
  </si>
  <si>
    <t>Inter Turku 2 1 vs 1 OLS Oulu</t>
  </si>
  <si>
    <t>EST-00261</t>
  </si>
  <si>
    <t>OLS Oulu 2 vs 0 Keski-Uusimaa</t>
  </si>
  <si>
    <t>EST-00262</t>
  </si>
  <si>
    <t>KPV 0 vs 4 OLS Oulu</t>
  </si>
  <si>
    <t>EST-00263</t>
  </si>
  <si>
    <t>OLS Oulu 2 vs 1 JJK Jyvaskyla</t>
  </si>
  <si>
    <t>EST-00264</t>
  </si>
  <si>
    <t>TPV 2 vs 2 OLS Oulu</t>
  </si>
  <si>
    <t>EST-00265</t>
  </si>
  <si>
    <t>OLS Oulu 1 vs 2 Jazz Pori</t>
  </si>
  <si>
    <t>EST-00266</t>
  </si>
  <si>
    <t>JJK Jyvaskyla 1 vs 0 OLS Oulu</t>
  </si>
  <si>
    <t>EST-00267</t>
  </si>
  <si>
    <t>EST-00268</t>
  </si>
  <si>
    <t>OLS Oulu 5 vs 0 SalPa</t>
  </si>
  <si>
    <t>EST-00269</t>
  </si>
  <si>
    <t>Tampere Utd 3 vs 0 OLS Oulu</t>
  </si>
  <si>
    <t>EST-00272</t>
  </si>
  <si>
    <t>VJS 4 vs 3 OLS Oulu</t>
  </si>
  <si>
    <t>EST-00273</t>
  </si>
  <si>
    <t>Keski-Uusimaa 1 vs 1 OLS Oulu</t>
  </si>
  <si>
    <t>EST-00274</t>
  </si>
  <si>
    <t>OLS Oulu 2 vs 1 KPV</t>
  </si>
  <si>
    <t>EST-00276</t>
  </si>
  <si>
    <t>EST-00278</t>
  </si>
  <si>
    <t>JJK Jyvaskyla 2 vs 2 SalPa</t>
  </si>
  <si>
    <t>EST-00279</t>
  </si>
  <si>
    <t>Tampere Utd 1 vs 0 JJK Jyvaskyla</t>
  </si>
  <si>
    <t>EST-00281</t>
  </si>
  <si>
    <t>JJK Jyvaskyla 2 vs 2 VJS</t>
  </si>
  <si>
    <t>EST-00282</t>
  </si>
  <si>
    <t>JJK Jyvaskyla 1 vs 3 Keski-Uusimaa</t>
  </si>
  <si>
    <t>EST-00283</t>
  </si>
  <si>
    <t>KPV 2 vs 3 JJK Jyvaskyla</t>
  </si>
  <si>
    <t>EST-00285</t>
  </si>
  <si>
    <t>TPV 1 vs 0 JJK Jyvaskyla</t>
  </si>
  <si>
    <t>EST-00287</t>
  </si>
  <si>
    <t>JJK Jyvaskyla 1 vs 3 Jazz Pori</t>
  </si>
  <si>
    <t>EST-00288</t>
  </si>
  <si>
    <t>_Índice</t>
  </si>
  <si>
    <t>_Ajustado</t>
  </si>
  <si>
    <t>_Chave</t>
  </si>
  <si>
    <t>EST-00290</t>
  </si>
  <si>
    <t>PPJ 0 vs 0 PuiU</t>
  </si>
  <si>
    <t>EST-00291</t>
  </si>
  <si>
    <t>EST-00292</t>
  </si>
  <si>
    <t>PuiU 1 vs 2 PEPO</t>
  </si>
  <si>
    <t>EST-00294</t>
  </si>
  <si>
    <t>PuiU 0 vs 2 HIFK</t>
  </si>
  <si>
    <t>EST-00296</t>
  </si>
  <si>
    <t>PuiU 1 vs 1 MyPa</t>
  </si>
  <si>
    <t>EST-00298</t>
  </si>
  <si>
    <t>Union Plaani 2 vs 1 PuiU</t>
  </si>
  <si>
    <t>EST-00299</t>
  </si>
  <si>
    <t>PuiU 4 vs 1 PPJ</t>
  </si>
  <si>
    <t>EST-00300</t>
  </si>
  <si>
    <t>EST-00301</t>
  </si>
  <si>
    <t>PEPO 3 vs 2 PuiU</t>
  </si>
  <si>
    <t>EST-00304</t>
  </si>
  <si>
    <t>PPJ 1 vs 1 HIFK</t>
  </si>
  <si>
    <t>EST-00305</t>
  </si>
  <si>
    <t>Union Plaani 2 vs 2 PPJ</t>
  </si>
  <si>
    <t>EST-00306</t>
  </si>
  <si>
    <t>EST-00307</t>
  </si>
  <si>
    <t>HPS 2 vs 2 PPJ</t>
  </si>
  <si>
    <t>EST-00308</t>
  </si>
  <si>
    <t>MyPa 1 vs 3 PPJ</t>
  </si>
  <si>
    <t>EST-00310</t>
  </si>
  <si>
    <t>PEPO 2 vs 2 PPJ</t>
  </si>
  <si>
    <t>EST-00313</t>
  </si>
  <si>
    <t>HIFK 1 vs 2 PPJ</t>
  </si>
  <si>
    <t>EST-00314</t>
  </si>
  <si>
    <t>PPJ 0 vs 1 Union Plaani</t>
  </si>
  <si>
    <t>EST-00317</t>
  </si>
  <si>
    <t>EST-00318</t>
  </si>
  <si>
    <t>EST-00319</t>
  </si>
  <si>
    <t>EST-00320</t>
  </si>
  <si>
    <t>EST-00321</t>
  </si>
  <si>
    <t>EST-00322</t>
  </si>
  <si>
    <t>SA Bulo Bulo</t>
  </si>
  <si>
    <t>EST-00323</t>
  </si>
  <si>
    <t>EST-00324</t>
  </si>
  <si>
    <t>EST-00325</t>
  </si>
  <si>
    <t>EST-00326</t>
  </si>
  <si>
    <t>EST-00327</t>
  </si>
  <si>
    <t>EST-00330</t>
  </si>
  <si>
    <t>EST-00331</t>
  </si>
  <si>
    <t>Real Oruro 2 vs 2 Blooming</t>
  </si>
  <si>
    <t>EST-00332</t>
  </si>
  <si>
    <t>SA Bulo Bulo 2 vs 1 Real Oruro</t>
  </si>
  <si>
    <t>EST-00333</t>
  </si>
  <si>
    <t>Real Oruro 2 vs 3 The Strongest</t>
  </si>
  <si>
    <t>EST-00334</t>
  </si>
  <si>
    <t>EST-00335</t>
  </si>
  <si>
    <t>EST-00336</t>
  </si>
  <si>
    <t>Real Oruro 4 vs 1 Universitario de Vinto</t>
  </si>
  <si>
    <t>EST-00337</t>
  </si>
  <si>
    <t>EST-00339</t>
  </si>
  <si>
    <t>EST-00340</t>
  </si>
  <si>
    <t>Always Ready 4 vs 0 Real Tomayapo</t>
  </si>
  <si>
    <t>Real Tomayapo 0 vs 0 The Strongest</t>
  </si>
  <si>
    <t>Oriente Petrolero 3 vs 1 Real Tomayapo</t>
  </si>
  <si>
    <t>Real Tomayapo 1 vs 0 SA Bulo Bulo</t>
  </si>
  <si>
    <t>Blooming 1 vs 0 Real Tomayapo</t>
  </si>
  <si>
    <t>EST-00343</t>
  </si>
  <si>
    <t>Magic United 0 vs 7 Gold Coast Knights</t>
  </si>
  <si>
    <t>Gold Coast Knights</t>
  </si>
  <si>
    <t>EST-00344</t>
  </si>
  <si>
    <t>Queensland Lions 4 vs 0 Magic United</t>
  </si>
  <si>
    <t>EST-00345</t>
  </si>
  <si>
    <t>EST-00346</t>
  </si>
  <si>
    <t>Magic United 0 vs 5 Moreton City Excelsior</t>
  </si>
  <si>
    <t>EST-00347</t>
  </si>
  <si>
    <t>Brisbane City 2 vs 2 Magic United</t>
  </si>
  <si>
    <t>Brisbane City</t>
  </si>
  <si>
    <t>EST-00348</t>
  </si>
  <si>
    <t>Magic United 0 vs 2 Eastern Suburbs</t>
  </si>
  <si>
    <t>Eastern Suburbs</t>
  </si>
  <si>
    <t>EST-00349</t>
  </si>
  <si>
    <t>EST-00350</t>
  </si>
  <si>
    <t>Magic United 1 vs 3 Wynnum Wolves</t>
  </si>
  <si>
    <t>Wynnum Wolves</t>
  </si>
  <si>
    <t>EST-00351</t>
  </si>
  <si>
    <t>EST-00352</t>
  </si>
  <si>
    <t>Magic United 3 vs 5 Queensland Lions</t>
  </si>
  <si>
    <t>EST-00353</t>
  </si>
  <si>
    <t>EST-00354</t>
  </si>
  <si>
    <t>EST-00355</t>
  </si>
  <si>
    <t>Gold Coast Knights 2 vs 1 Magic United</t>
  </si>
  <si>
    <t>EST-00356</t>
  </si>
  <si>
    <t>Magic United 3 vs 5 Brisbane City</t>
  </si>
  <si>
    <t>EST-00357</t>
  </si>
  <si>
    <t>Gold Coast Utd 1 vs 3 Magic United</t>
  </si>
  <si>
    <t>Gold Coast Utd</t>
  </si>
  <si>
    <t>EST-00358</t>
  </si>
  <si>
    <t>Moreton City Excelsior 4 vs 3 Magic United</t>
  </si>
  <si>
    <t>EST-00359</t>
  </si>
  <si>
    <t>Eastern Suburbs 1 vs 4 Magic United</t>
  </si>
  <si>
    <t>Brisbane Roar NPL 0 vs 1 Magic United</t>
  </si>
  <si>
    <t>Brisbane Olympic FC 2 vs 0 Magic United</t>
  </si>
  <si>
    <t>Peninsula Power 3 vs 2 Magic United</t>
  </si>
  <si>
    <t>Rochedale Rovers</t>
  </si>
  <si>
    <t>Rochedale Rovers 4 vs 0 Magic United</t>
  </si>
  <si>
    <t>Magic United 2 vs 1 Brisbane Roar NPL</t>
  </si>
  <si>
    <t>EST-00361</t>
  </si>
  <si>
    <t>EST-00362</t>
  </si>
  <si>
    <t>EST-00363</t>
  </si>
  <si>
    <t>EST-00364</t>
  </si>
  <si>
    <t>EST-00365</t>
  </si>
  <si>
    <t>EST-00366</t>
  </si>
  <si>
    <t>EST-00367</t>
  </si>
  <si>
    <t>EST-00369</t>
  </si>
  <si>
    <t>EST-00370</t>
  </si>
  <si>
    <t>EST-00371</t>
  </si>
  <si>
    <t>EST-00372</t>
  </si>
  <si>
    <t>EST-00373</t>
  </si>
  <si>
    <t>EST-00374</t>
  </si>
  <si>
    <t>EST-00375</t>
  </si>
  <si>
    <t>EST-00376</t>
  </si>
  <si>
    <t>Moreton City Excelsior 3 vs 1 Rochedale Rovers</t>
  </si>
  <si>
    <t>Peninsula Power 3 vs 1 Rochedale Rovers</t>
  </si>
  <si>
    <t>Gold Coast Knights 1 vs 1 Rochedale Rovers</t>
  </si>
  <si>
    <t>Brisbane City 2 vs 2 Rochedale Rovers</t>
  </si>
  <si>
    <t>Eastern Suburbs 6 vs 1 Rochedale Rovers</t>
  </si>
  <si>
    <t>Rochedale Rovers 3 vs 1 Brisbane Olympic FC</t>
  </si>
  <si>
    <t>Gold Coast Utd 4 vs 0 Rochedale Rovers</t>
  </si>
  <si>
    <t>Rochedale Rovers 0 vs 2 Peninsula Power</t>
  </si>
  <si>
    <t>Rochedale Rovers 2 vs 5 Moreton City Excelsior</t>
  </si>
  <si>
    <t>Queensland Lions 2 vs 1 Rochedale Rovers</t>
  </si>
  <si>
    <t>Rochedale Rovers 4 vs 1 Gold Coast Knights</t>
  </si>
  <si>
    <t>Wynnum Wolves 1 vs 1 Rochedale Rovers</t>
  </si>
  <si>
    <t>Brisbane Roar NPL 4 vs 1 Rochedale Rovers</t>
  </si>
  <si>
    <t>Rochedale Rovers 2 vs 3 Brisbane City</t>
  </si>
  <si>
    <t>Rochedale Rovers 2 vs 1 Eastern Suburbs</t>
  </si>
  <si>
    <t>EST-00377</t>
  </si>
  <si>
    <t>EST-00378</t>
  </si>
  <si>
    <t>EST-00379</t>
  </si>
  <si>
    <t>EST-00380</t>
  </si>
  <si>
    <t>EST-00381</t>
  </si>
  <si>
    <t>EST-00384</t>
  </si>
  <si>
    <t>EST-00385</t>
  </si>
  <si>
    <t>EST-00386</t>
  </si>
  <si>
    <t>EST-00387</t>
  </si>
  <si>
    <t>EST-00388</t>
  </si>
  <si>
    <t>EST-00389</t>
  </si>
  <si>
    <t>EST-00390</t>
  </si>
  <si>
    <t>EST-00391</t>
  </si>
  <si>
    <t>EST-00392</t>
  </si>
  <si>
    <t>Brisbane Olympic FC 2 vs 0 Gold Coast Utd</t>
  </si>
  <si>
    <t>Brisbane City 4 vs 4 Brisbane Olympic FC</t>
  </si>
  <si>
    <t>Brisbane Olympic FC 1 vs 0 Gold Coast Knights</t>
  </si>
  <si>
    <t>Brisbane Olympic FC 1 vs 2 Eastern Suburbs</t>
  </si>
  <si>
    <t>Brisbane Roar NPL 1 vs 5 Brisbane Olympic FC</t>
  </si>
  <si>
    <t>Moreton City Excelsior 4 vs 3 Brisbane Olympic FC</t>
  </si>
  <si>
    <t>Wynnum Wolves 2 vs 1 Brisbane Olympic FC</t>
  </si>
  <si>
    <t>Brisbane Olympic FC 2 vs 3 Brisbane City</t>
  </si>
  <si>
    <t>Gold Coast Knights 5 vs 2 Brisbane Olympic FC</t>
  </si>
  <si>
    <t>Brisbane Olympic FC 1 vs 3 Peninsula Power</t>
  </si>
  <si>
    <t>Eastern Suburbs 1 vs 2 Brisbane Olympic FC</t>
  </si>
  <si>
    <t>Queensland Lions 2 vs 0 Brisbane Olympic FC</t>
  </si>
  <si>
    <t>Gold Coast Utd 3 vs 0 Brisbane Olympic FC</t>
  </si>
  <si>
    <t>Brisbane Olympic FC 3 vs 1 Brisbane Roar NPL</t>
  </si>
  <si>
    <t>EST-00394</t>
  </si>
  <si>
    <t>Wynnum Wolves 3 vs 0 Moreton City Excelsior</t>
  </si>
  <si>
    <t>EST-00396</t>
  </si>
  <si>
    <t>Moreton City Excelsior 3 vs 0 Eastern Suburbs</t>
  </si>
  <si>
    <t>EST-00398</t>
  </si>
  <si>
    <t>Moreton City Excelsior 2 vs 1 Gold Coast Utd</t>
  </si>
  <si>
    <t>EST-00399</t>
  </si>
  <si>
    <t>EST-00400</t>
  </si>
  <si>
    <t>EST-00401</t>
  </si>
  <si>
    <t>Queensland Lions 2 vs 0 Moreton City Excelsior</t>
  </si>
  <si>
    <t>EST-00403</t>
  </si>
  <si>
    <t>Moreton City Excelsior 2 vs 5 Brisbane City</t>
  </si>
  <si>
    <t>EST-00404</t>
  </si>
  <si>
    <t>Eastern Suburbs 0 vs 0 Moreton City Excelsior</t>
  </si>
  <si>
    <t>EST-00406</t>
  </si>
  <si>
    <t>Moreton City Excelsior 2 vs 2 Wynnum Wolves</t>
  </si>
  <si>
    <t>EST-00407</t>
  </si>
  <si>
    <t>Gold Coast Utd 0 vs 1 Moreton City Excelsior</t>
  </si>
  <si>
    <t>EST-00408</t>
  </si>
  <si>
    <t>Gold Coast Knights 2 vs 1 Moreton City Excelsior</t>
  </si>
  <si>
    <t>EST-00410</t>
  </si>
  <si>
    <t>Peninsula Power 1 vs 4 Moreton City Excelsior</t>
  </si>
  <si>
    <t>Moreton City Excelsior 6 vs 0 Brisbane Roar NPL</t>
  </si>
  <si>
    <t>Moreton City Excelsior 2 vs 2 Peninsula Power</t>
  </si>
  <si>
    <t>EST-00412</t>
  </si>
  <si>
    <t>Brisbane City 2 vs 4 Gold Coast Knights</t>
  </si>
  <si>
    <t>EST-00414</t>
  </si>
  <si>
    <t>Queensland Lions 2 vs 2 Brisbane City</t>
  </si>
  <si>
    <t>EST-00417</t>
  </si>
  <si>
    <t>Brisbane City 3 vs 0 Wynnum Wolves</t>
  </si>
  <si>
    <t>EST-00418</t>
  </si>
  <si>
    <t>EST-00421</t>
  </si>
  <si>
    <t>Brisbane City 0 vs 4 Queensland Lions</t>
  </si>
  <si>
    <t>EST-00422</t>
  </si>
  <si>
    <t>Gold Coast Utd 0 vs 2 Brisbane City</t>
  </si>
  <si>
    <t>EST-00423</t>
  </si>
  <si>
    <t>Eastern Suburbs 3 vs 1 Brisbane City</t>
  </si>
  <si>
    <t>EST-00425</t>
  </si>
  <si>
    <t>EST-00426</t>
  </si>
  <si>
    <t>Gold Coast Knights 0 vs 0 Brisbane City</t>
  </si>
  <si>
    <t>EST-00428</t>
  </si>
  <si>
    <t>Wynnum Wolves 5 vs 2 Brisbane City</t>
  </si>
  <si>
    <t>EST-00430</t>
  </si>
  <si>
    <t>EST-00431</t>
  </si>
  <si>
    <t>Wynnum Wolves 1 vs 1 Gold Coast Utd</t>
  </si>
  <si>
    <t>EST-00433</t>
  </si>
  <si>
    <t>Queensland Lions 1 vs 0 Gold Coast Utd</t>
  </si>
  <si>
    <t>EST-00434</t>
  </si>
  <si>
    <t>Eastern Suburbs 2 vs 1 Gold Coast Utd</t>
  </si>
  <si>
    <t>EST-00436</t>
  </si>
  <si>
    <t>EST-00437</t>
  </si>
  <si>
    <t>Gold Coast Utd 1 vs 2 Wynnum Wolves</t>
  </si>
  <si>
    <t>EST-00439</t>
  </si>
  <si>
    <t>EST-00443</t>
  </si>
  <si>
    <t>Gold Coast Utd 0 vs 1 Queensland Lions</t>
  </si>
  <si>
    <t>EST-00444</t>
  </si>
  <si>
    <t>Gold Coast Knights 1 vs 1 Gold Coast Utd</t>
  </si>
  <si>
    <t>EST-00445</t>
  </si>
  <si>
    <t>Gold Coast Utd 1 vs 0 Gold Coast Knights</t>
  </si>
  <si>
    <t>Brisbane City 1 vs 4 Peninsula Power</t>
  </si>
  <si>
    <t>Brisbane City 1 vs 1 Brisbane Roar NPL</t>
  </si>
  <si>
    <t>Peninsula Power 4 vs 2 Gold Coast Utd</t>
  </si>
  <si>
    <t>Gold Coast Utd 0 vs 4 Peninsula Power</t>
  </si>
  <si>
    <t>Gold Coast Utd 1 vs 4 Brisbane Roar NPL</t>
  </si>
  <si>
    <t>EST-00446</t>
  </si>
  <si>
    <t>EST-00447</t>
  </si>
  <si>
    <t>Eastern Suburbs 1 vs 3 Queensland Lions</t>
  </si>
  <si>
    <t>EST-00448</t>
  </si>
  <si>
    <t>Eastern Suburbs 1 vs 2 Gold Coast Knights</t>
  </si>
  <si>
    <t>EST-00454</t>
  </si>
  <si>
    <t>EST-00456</t>
  </si>
  <si>
    <t>EST-00457</t>
  </si>
  <si>
    <t>EST-00458</t>
  </si>
  <si>
    <t>EST-00463</t>
  </si>
  <si>
    <t>Queensland Lions 6 vs 2 Wynnum Wolves</t>
  </si>
  <si>
    <t>EST-00464</t>
  </si>
  <si>
    <t>EST-00465</t>
  </si>
  <si>
    <t>Gold Coast Knights 1 vs 2 Wynnum Wolves</t>
  </si>
  <si>
    <t>Eastern Suburbs 3 vs 2 Brisbane Roar NPL</t>
  </si>
  <si>
    <t>Eastern Suburbs 1 vs 3 Peninsula Power</t>
  </si>
  <si>
    <t>Rochedale Rovers 0 vs 3 Wynnum Wolves</t>
  </si>
  <si>
    <t>Brisbane Olympic FC 1 vs 3 Wynnum Wolves</t>
  </si>
  <si>
    <t>Brisbane Roar NPL 3 vs 2 Wynnum Wolves</t>
  </si>
  <si>
    <t>Peninsula Power 0 vs 0 Wynnum Wolves</t>
  </si>
  <si>
    <t>EST-00467</t>
  </si>
  <si>
    <t>EST-00470</t>
  </si>
  <si>
    <t>Gold Coast Knights 4 vs 1 Eastern Suburbs</t>
  </si>
  <si>
    <t>EST-00472</t>
  </si>
  <si>
    <t>Gold Coast Knights 2 vs 1 Queensland Lions</t>
  </si>
  <si>
    <t>EST-00476</t>
  </si>
  <si>
    <t>EST-00477</t>
  </si>
  <si>
    <t>EST-00478</t>
  </si>
  <si>
    <t>EST-00479</t>
  </si>
  <si>
    <t>Gold Coast Knights 3 vs 2 Brisbane Roar NPL</t>
  </si>
  <si>
    <t>Queensland Lions 3 vs 0 Peninsula Power</t>
  </si>
  <si>
    <t>Magic United 0 vs 3 Peninsula Power</t>
  </si>
  <si>
    <t>Wynnum Wolves 2 vs 2 Peninsula Power</t>
  </si>
  <si>
    <t>Brisbane Roar NPL 2 vs 1 Peninsula Power</t>
  </si>
  <si>
    <t>EST-00487</t>
  </si>
  <si>
    <t>Croydon 3 vs 2 Para</t>
  </si>
  <si>
    <t>Croydon</t>
  </si>
  <si>
    <t>Para</t>
  </si>
  <si>
    <t>EST-00488</t>
  </si>
  <si>
    <t>Croydon 0 vs 4 Adelaide City</t>
  </si>
  <si>
    <t>Adelaide City</t>
  </si>
  <si>
    <t>EST-00489</t>
  </si>
  <si>
    <t>EST-00490</t>
  </si>
  <si>
    <t>Croydon 2 vs 2 Adelaide Comets</t>
  </si>
  <si>
    <t>EST-00491</t>
  </si>
  <si>
    <t>Croydon 4 vs 2 West Torrens</t>
  </si>
  <si>
    <t>West Torrens</t>
  </si>
  <si>
    <t>EST-00492</t>
  </si>
  <si>
    <t>Croydon 0 vs 2 FK Beograd</t>
  </si>
  <si>
    <t>FK Beograd</t>
  </si>
  <si>
    <t>EST-00493</t>
  </si>
  <si>
    <t>Croydon 2 vs 3 NE Metrostars</t>
  </si>
  <si>
    <t>NE Metrostars</t>
  </si>
  <si>
    <t>EST-00494</t>
  </si>
  <si>
    <t>Croydon 4 vs 1 Playford Patriots</t>
  </si>
  <si>
    <t>Playford Patriots</t>
  </si>
  <si>
    <t>EST-00495</t>
  </si>
  <si>
    <t>Croydon 3 vs 0 Adelaide United U23</t>
  </si>
  <si>
    <t>Adelaide United U23</t>
  </si>
  <si>
    <t>EST-00496</t>
  </si>
  <si>
    <t>Croydon 2 vs 2 Campbelltown City</t>
  </si>
  <si>
    <t>Campbelltown City</t>
  </si>
  <si>
    <t>EST-00497</t>
  </si>
  <si>
    <t>FK Beograd 1 vs 3 Sturt Lions</t>
  </si>
  <si>
    <t>Sturt Lions</t>
  </si>
  <si>
    <t>EST-00498</t>
  </si>
  <si>
    <t>Para 0 vs 5 Sturt Lions</t>
  </si>
  <si>
    <t>EST-00499</t>
  </si>
  <si>
    <t>Playford Patriots 2 vs 1 Sturt Lions</t>
  </si>
  <si>
    <t>EST-00500</t>
  </si>
  <si>
    <t>Adelaide Comets 2 vs 1 Sturt Lions</t>
  </si>
  <si>
    <t>EST-00501</t>
  </si>
  <si>
    <t>Campbelltown City 2 vs 0 Sturt Lions</t>
  </si>
  <si>
    <t>EST-00502</t>
  </si>
  <si>
    <t>Adelaide City 4 vs 1 Sturt Lions</t>
  </si>
  <si>
    <t>EST-00503</t>
  </si>
  <si>
    <t>NE Metrostars 1 vs 0 Sturt Lions</t>
  </si>
  <si>
    <t>EST-00504</t>
  </si>
  <si>
    <t>West Torrens 4 vs 1 Sturt Lions</t>
  </si>
  <si>
    <t>EST-00505</t>
  </si>
  <si>
    <t>EST-00506</t>
  </si>
  <si>
    <t>Adelaide United U23 2 vs 3 Sturt Lions</t>
  </si>
  <si>
    <t>Muitos Gols</t>
  </si>
  <si>
    <t>Nível no País</t>
  </si>
  <si>
    <t>1ª divisão</t>
  </si>
  <si>
    <t>2ª divisão</t>
  </si>
  <si>
    <t>3ª divisão</t>
  </si>
  <si>
    <t>4ª divisão</t>
  </si>
  <si>
    <t>ARG - Liga Profesional</t>
  </si>
  <si>
    <t>Poucos Gols</t>
  </si>
  <si>
    <t>ARG - Primera Nacional</t>
  </si>
  <si>
    <t>AUS - NPL Victoria</t>
  </si>
  <si>
    <t>Equilibrada</t>
  </si>
  <si>
    <t>BOL - Div. Profesional</t>
  </si>
  <si>
    <t>BRA - Série A</t>
  </si>
  <si>
    <t>BRA - Série B</t>
  </si>
  <si>
    <t>FIN - Ykkösliiga</t>
  </si>
  <si>
    <t>FIN - Kakkonen A</t>
  </si>
  <si>
    <t>MEX - Liga MX</t>
  </si>
  <si>
    <t>NOR - Eliteserien</t>
  </si>
  <si>
    <t>SWE - 1ª D Södra</t>
  </si>
  <si>
    <t>SWE - 2ª D Södra Götaland</t>
  </si>
  <si>
    <t>URU - Liga AUF</t>
  </si>
  <si>
    <t>P/L</t>
  </si>
  <si>
    <t>Status</t>
  </si>
  <si>
    <t>Over 2,50</t>
  </si>
  <si>
    <t>Analisar Over 2,50</t>
  </si>
  <si>
    <t>Over 2,00</t>
  </si>
  <si>
    <t>Escolha conservadora; 2 gols = devolução</t>
  </si>
  <si>
    <t>Over 1,50</t>
  </si>
  <si>
    <t>Analisar Over 1,50</t>
  </si>
  <si>
    <t>λ 4,04 · Over 2,0: 86,8% · Over 2,25: 83,8% · Over 2,5: 80,7%</t>
  </si>
  <si>
    <t>Over 2,0 @ 1,13 | Over 2,25 @ 1,124 | Over 2,5 @ 1,25</t>
  </si>
  <si>
    <t>Over 2,0 @ 1,13</t>
  </si>
  <si>
    <t>Linha conservadora; proteção com devolução em exatamente 2 gols</t>
  </si>
  <si>
    <t>BILHETES — DECISÕES PRÉ E PÓS-JOGO</t>
  </si>
  <si>
    <t>Unidade R$ 0,50 · análise, odds recebidas, escolha e resultado preservados</t>
  </si>
  <si>
    <t>1. Magic United × Rochedale Rovers</t>
  </si>
  <si>
    <t>MODELO</t>
  </si>
  <si>
    <t>Técnica</t>
  </si>
  <si>
    <t>ODDS</t>
  </si>
  <si>
    <t>DECISÃO</t>
  </si>
  <si>
    <t>BILHETE</t>
  </si>
  <si>
    <t>2. Brisbane Olympic FC × Moreton City Excelsior</t>
  </si>
  <si>
    <t>3. Brisbane City × Gold Coast Utd</t>
  </si>
  <si>
    <t>4. Eastern Suburbs × Wynnum Wolves</t>
  </si>
  <si>
    <t>5. Gold Coast Knights × Peninsula Power</t>
  </si>
  <si>
    <t>6. Croydon × Sturt Lions</t>
  </si>
  <si>
    <t>RESUMO DA CARTEIRA</t>
  </si>
  <si>
    <t>P/L Total</t>
  </si>
  <si>
    <t>Finalizados</t>
  </si>
  <si>
    <t>Data/Hora</t>
  </si>
  <si>
    <t>A definir</t>
  </si>
  <si>
    <t>PLACAR</t>
  </si>
  <si>
    <t>Total</t>
  </si>
  <si>
    <t>LIQUIDAÇÃO</t>
  </si>
  <si>
    <t>λ 3,70 · Over 1,75: 84,1% · Over 2,0: 79,9% · Over 2,25: 75,7% · Over 2,5: 71,5%</t>
  </si>
  <si>
    <t>Over 1,75 @ 1,125 | Over 2,0 @ 1,14 | Over 2,25 @ 1,26 | Over 2,5 @ 1,377</t>
  </si>
  <si>
    <t>Bayswater City</t>
  </si>
  <si>
    <t>Sorrento FC</t>
  </si>
  <si>
    <t>EST-00507</t>
  </si>
  <si>
    <t>NPL Western Australia</t>
  </si>
  <si>
    <t>Balcatta</t>
  </si>
  <si>
    <t>EST-00508</t>
  </si>
  <si>
    <t>Armadale</t>
  </si>
  <si>
    <t>EST-00509</t>
  </si>
  <si>
    <t>EST-00510</t>
  </si>
  <si>
    <t>Fremantle City</t>
  </si>
  <si>
    <t>EST-00511</t>
  </si>
  <si>
    <t>Perth Azzurri</t>
  </si>
  <si>
    <t>EST-00512</t>
  </si>
  <si>
    <t>Olympic Kingsway</t>
  </si>
  <si>
    <t>EST-00513</t>
  </si>
  <si>
    <t>Dianella White Eagle</t>
  </si>
  <si>
    <t>EST-00514</t>
  </si>
  <si>
    <t>Perth RedStar</t>
  </si>
  <si>
    <t>EST-00515</t>
  </si>
  <si>
    <t>EST-00516</t>
  </si>
  <si>
    <t>Perth Glory U23</t>
  </si>
  <si>
    <t>EST-00517</t>
  </si>
  <si>
    <t>EST-00518</t>
  </si>
  <si>
    <t>EST-00519</t>
  </si>
  <si>
    <t>EST-00520</t>
  </si>
  <si>
    <t>Stirling Macedonia</t>
  </si>
  <si>
    <t>EST-00521</t>
  </si>
  <si>
    <t>EST-00522</t>
  </si>
  <si>
    <t>AUS - NPL Western Australia</t>
  </si>
  <si>
    <t>Bayswater City 7 vs 0 Balcatta</t>
  </si>
  <si>
    <t>Bayswater City 2 vs 0 Armadale</t>
  </si>
  <si>
    <t>Bayswater City 0 vs 0 Western Knights</t>
  </si>
  <si>
    <t>Bayswater City 3 vs 3 Fremantle City</t>
  </si>
  <si>
    <t>Bayswater City 3 vs 2 Perth Azzurri</t>
  </si>
  <si>
    <t>Bayswater City 3 vs 2 Olympic Kingsway</t>
  </si>
  <si>
    <t>Bayswater City 4 vs 3 Dianella White Eagle</t>
  </si>
  <si>
    <t>Bayswater City 3 vs 0 Perth RedStar</t>
  </si>
  <si>
    <t>Armadale 1 vs 1 Sorrento FC</t>
  </si>
  <si>
    <t>Perth Glory U23 0 vs 1 Sorrento FC</t>
  </si>
  <si>
    <t>Fremantle City 0 vs 1 Sorrento FC</t>
  </si>
  <si>
    <t>Perth RedStar 4 vs 1 Sorrento FC</t>
  </si>
  <si>
    <t>Balcatta 0 vs 3 Sorrento FC</t>
  </si>
  <si>
    <t>Stirling Macedonia 0 vs 1 Sorrento FC</t>
  </si>
  <si>
    <t>Dianella White Eagle 2 vs 1 Sorrento FC</t>
  </si>
  <si>
    <t>Western Knights 2 vs 0 Sorrento FC</t>
  </si>
  <si>
    <t>7. Bayswater City × Sorrento FC</t>
  </si>
  <si>
    <t>λ 3,31 · Over 1,5: 84,3% · Over 1,75: 79,3% · Over 2,0: 74,3%</t>
  </si>
  <si>
    <t>Over 1,5 @ 1,115 | Over 1,75 @ 1,125 | Over 2,0 @ 1,15</t>
  </si>
  <si>
    <t>Over 2,00 @ 1,15</t>
  </si>
  <si>
    <t>Proteção por devolução em 2 gols; λ 3,31 e 64,3% de 3+ gols</t>
  </si>
  <si>
    <t>λ 3,12 · Over 1,5: 81,8% · Over 1,75: 76,4% · Over 2,0: 71,0%</t>
  </si>
  <si>
    <t>Over 1,5 @ 1,10 | Over 1,75 @ 1,11 | Over 2,0 @ 1,125</t>
  </si>
  <si>
    <t>Over 2,00 @ 1,125</t>
  </si>
  <si>
    <t>Proteção por devolução em 2 gols; diferença pequena de odd para linhas inferiores</t>
  </si>
  <si>
    <t>λ 3,61 · Over 1,5: 87,5% · Over 1,75: 83,1% · Over 2,0: 78,7% · Over 2,25: 74,3% · Over 2,5: 69,9%</t>
  </si>
  <si>
    <t>Over 1,5 @ 1,115 | Over 1,75 @ 1,13 | Over 2,0 @ 1,15 | Over 2,25 @ 1,1275 | Over 2,5 @ 1,40</t>
  </si>
  <si>
    <t>Revisão operacional: preserva a projeção de 3+ gols, com devolução se houver exatamente 2</t>
  </si>
  <si>
    <t>Over 2,25 @ 1,26</t>
  </si>
  <si>
    <t>Revisão moderada: mantém exposição a 3+ gols e reduz o dano com exatamente 2 gols para meio red</t>
  </si>
  <si>
    <t>Over 2,25</t>
  </si>
  <si>
    <t>λ 3,75 · Over 1,5: 88,8% · Over 1,75: 84,7% · Over 2,0: 80,6% · Over 2,25: 76,4% · Over 2,5: 72,3%</t>
  </si>
  <si>
    <t>Over 1,5 @ 1,125 | Over 1,75 @ 1,14 | Over 2,0 @ 1,16 | Over 2,25 @ 1,30 | Over 2,5 @ 1,425</t>
  </si>
  <si>
    <t>Over 2,25 @ 1,30</t>
  </si>
  <si>
    <t>Faixa moderada: 3+ gols = green; exatamente 2 = meio red; preserva parte do ganho de odd</t>
  </si>
  <si>
    <t>λ 3,33 · Over 1,5: 84,5% · Over 1,75: 79,6% · Over 2,0: 74,6% · Over 2,25: 69,7%</t>
  </si>
  <si>
    <t>Revisão consistente com técnica Over 1,5: exatamente 2 gols devolvem a stake</t>
  </si>
  <si>
    <t>Over 1,5 @ 1,15 | Over 1,75 @ 1,17 | Over 2,0 @ 1,22 | Over 2,25 @ 1,35</t>
  </si>
  <si>
    <t>Over 2,00 @ 1,22</t>
  </si>
  <si>
    <t>PLACAR: digite os gols nas células azul-claro</t>
  </si>
  <si>
    <t>Real Tomayapo x Real Oruro</t>
  </si>
  <si>
    <t>1 x 2</t>
  </si>
  <si>
    <t>ANÁLISE REVISADA: A melhor linha operacional foi Over 2,00, não a maior linha vencedora. Com 3 gols, Over 2,00 seria Green e, com exatamente 2, devolveria a stake. A entrada Over 1,50 foi conservadora e vencedora, mas deixou 0,50 linha de eficiência potencial.</t>
  </si>
  <si>
    <t>Análise da Entrada</t>
  </si>
  <si>
    <t>EST-00523</t>
  </si>
  <si>
    <t>EST-00524</t>
  </si>
  <si>
    <t>EST-00525</t>
  </si>
  <si>
    <t>EST-00526</t>
  </si>
  <si>
    <t>EST-00527</t>
  </si>
  <si>
    <t>EST-00528</t>
  </si>
  <si>
    <t>EST-00529</t>
  </si>
  <si>
    <t>AIFK</t>
  </si>
  <si>
    <t>AIFK 1 vs 1 Ilves 2</t>
  </si>
  <si>
    <t>AIFK 0 vs 1 Honka</t>
  </si>
  <si>
    <t>AIFK 4 vs 2 MuSa</t>
  </si>
  <si>
    <t>Honka 1 vs 1 AIFK</t>
  </si>
  <si>
    <t>Ilves 2 1 vs 2 AIFK</t>
  </si>
  <si>
    <t>HJS 1 vs 1 AIFK</t>
  </si>
  <si>
    <t>EPS 1 vs 2 AIFK</t>
  </si>
  <si>
    <t>EBK 1 vs 6 AIFK</t>
  </si>
  <si>
    <t>GrIFK 0 vs 1 AIFK</t>
  </si>
  <si>
    <t>NJS 1 vs 2 AIFK</t>
  </si>
  <si>
    <t>8. MuSa × AIFK</t>
  </si>
  <si>
    <t>λ 3,13 · Over 1,5: 81,9% · Over 1,75: 76,5% · Over 2,0: 71,1% · Over 2,25: 65,8% · Over 2,5: 60,4%</t>
  </si>
  <si>
    <t>Over 1,75 @ 1,10 | Over 2,0 @ 1,11 | Over 2,25 @ 1,21 | Over 2,5 @ 1,325</t>
  </si>
  <si>
    <t>Over 2,00 @ 1,11</t>
  </si>
  <si>
    <t>Faixa moderada e inteira: exatamente 2 gols devolvem; mantém proximidade da técnica Over 1,5</t>
  </si>
  <si>
    <t>EST-00537</t>
  </si>
  <si>
    <t>HIFK 5 vs 1 Union Plaani</t>
  </si>
  <si>
    <t>EST-00538</t>
  </si>
  <si>
    <t>EST-00539</t>
  </si>
  <si>
    <t>HIFK 3 vs 3 Kiffen</t>
  </si>
  <si>
    <t>EST-00540</t>
  </si>
  <si>
    <t>HIFK 0 vs 2 HPS</t>
  </si>
  <si>
    <t>EST-00541</t>
  </si>
  <si>
    <t>HIFK 2 vs 1 PEPO</t>
  </si>
  <si>
    <t>EST-00542</t>
  </si>
  <si>
    <t>HIFK 4 vs 0 MyPa</t>
  </si>
  <si>
    <t>EST-00544</t>
  </si>
  <si>
    <t>HPS 1 vs 3 PuiU</t>
  </si>
  <si>
    <t>9. HIFK × PuiU</t>
  </si>
  <si>
    <t>λ 3,79 · Over 2,0: 81,0% · Over 2,25: 77,0% · Over 2,5: 72,9% · Over 2,75: 67,9%</t>
  </si>
  <si>
    <t>Over 2,0 @ 1,10 | Over 2,25 @ 1,19 | Over 2,5 @ 1,30 | Over 2,75 @ 1,325</t>
  </si>
  <si>
    <t>Over 2,25 @ 1,19</t>
  </si>
  <si>
    <t>Faixa moderada abaixo da técnica: 3+ gols = green; exatamente 2 = meio red</t>
  </si>
  <si>
    <t>EST-00552</t>
  </si>
  <si>
    <t>P-Iirot Rauma 2 vs 1 EPS</t>
  </si>
  <si>
    <t>EST-00553</t>
  </si>
  <si>
    <t>P-Iirot Rauma 1 vs 0 EBK</t>
  </si>
  <si>
    <t>EST-00554</t>
  </si>
  <si>
    <t>P-Iirot Rauma 5 vs 0 NJS</t>
  </si>
  <si>
    <t>EST-00556</t>
  </si>
  <si>
    <t>P-Iirot Rauma 3 vs 0 HJS</t>
  </si>
  <si>
    <t>EST-00558</t>
  </si>
  <si>
    <t>NJS 0 vs 1 GrIFK</t>
  </si>
  <si>
    <t>EST-00559</t>
  </si>
  <si>
    <t>EST-00560</t>
  </si>
  <si>
    <t>EBK 1 vs 0 GrIFK</t>
  </si>
  <si>
    <t>EST-00561</t>
  </si>
  <si>
    <t>EPS 1 vs 3 GrIFK</t>
  </si>
  <si>
    <t>AIFK 3 vs 1 GrIFK</t>
  </si>
  <si>
    <t>10. P-Iirot Rauma × GrIFK</t>
  </si>
  <si>
    <t>λ 3,57 · Over 1,5: 87,1% · Over 1,75: 82,6% · Over 2,0: 78,2% · Over 2,25: 73,7% · Over 2,5: 69,2%</t>
  </si>
  <si>
    <t>Over 1,5 @ 1,115 | Over 1,75 @ 1,13 | Over 2,0 @ 1,15 | Over 2,25 @ 1,275</t>
  </si>
  <si>
    <t>Linha inteira moderada; exatamente 2 gols devolvem e 3+ confirmam o cenário central</t>
  </si>
  <si>
    <t>11. GBK Kokkola × Huima / Urho</t>
  </si>
  <si>
    <t>λ 3,75 · Over 2,25: 76,4% · Over 2,5: 72,3% · Over 2,75: 67,1% · Over 3,0: 62,0%</t>
  </si>
  <si>
    <t>Over 2,25 @ 1,18 | Over 2,5 @ 1,275 | Over 2,75 @ 1,325 | Over 3,0 @ 1,375</t>
  </si>
  <si>
    <t>Over 2,50 @ 1,275</t>
  </si>
  <si>
    <t>Over 2,25 @ 1,18</t>
  </si>
  <si>
    <t>Revisão defensiva: 3+ gols = green; exatamente 2 = meio red; reduz risco de armadilha</t>
  </si>
  <si>
    <t>EST-00565</t>
  </si>
  <si>
    <t>TP-47 2 vs 2 SJK Akatemia 2</t>
  </si>
  <si>
    <t>EST-00566</t>
  </si>
  <si>
    <t>EST-00568</t>
  </si>
  <si>
    <t>TP-47 1 vs 1 JBK</t>
  </si>
  <si>
    <t>EST-00571</t>
  </si>
  <si>
    <t>EST-00572</t>
  </si>
  <si>
    <t>TP-47 0 vs 1 JS Hercules</t>
  </si>
  <si>
    <t>12. TP-47 × Närpes Kraft</t>
  </si>
  <si>
    <t>λ 5,29 · Over 2,25: 91,5% · Over 2,5: 89,7% · Over 2,75: 86,6% · Over 3,0: 83,5%</t>
  </si>
  <si>
    <t>Over 3,00</t>
  </si>
  <si>
    <t>Analisar Over 3,00</t>
  </si>
  <si>
    <t>Escolha conservadora abaixo da técnica Over 3,0; 3+ gols confirmam o bilhete</t>
  </si>
  <si>
    <t>Western Knights 2 vs 2 Perth Glory U23</t>
  </si>
  <si>
    <t>Bolívar 6 vs 0 Real Tomayapo</t>
  </si>
  <si>
    <t>Nacional Potosí 4 vs 1 Real Tomayapo</t>
  </si>
  <si>
    <t>Bolívar 5 vs 2 Real Oruro</t>
  </si>
  <si>
    <t>Nacional Potosí 1 vs 4 Real Oruro</t>
  </si>
  <si>
    <t>Guabirá 4 vs 1 Real Oruro</t>
  </si>
  <si>
    <t>Croydon 1 vs 2 West Adelaide SC</t>
  </si>
  <si>
    <t>West Adelaide SC 0 vs 0 Sturt Lions</t>
  </si>
  <si>
    <t>Equipes</t>
  </si>
  <si>
    <t>Outros</t>
  </si>
  <si>
    <t>FF Jaro</t>
  </si>
  <si>
    <t>Binomial Negativa</t>
  </si>
  <si>
    <t>EST-00579</t>
  </si>
  <si>
    <t>The Strongest 3 vs 2 SA Bulo Bulo</t>
  </si>
  <si>
    <t>EST-00580</t>
  </si>
  <si>
    <t>EST-00581</t>
  </si>
  <si>
    <t>EST-00582</t>
  </si>
  <si>
    <t>EST-00583</t>
  </si>
  <si>
    <t>The Strongest 2 vs 1 Oriente Petrolero</t>
  </si>
  <si>
    <t>EST-00585</t>
  </si>
  <si>
    <t>EST-00586</t>
  </si>
  <si>
    <t>EST-00587</t>
  </si>
  <si>
    <t>EST-00589</t>
  </si>
  <si>
    <t>Real Potosí</t>
  </si>
  <si>
    <t>Real Tomayapo 1 vs 1 Real Potosí</t>
  </si>
  <si>
    <t>Real Tomayapo 0 vs 2 Club Aurora</t>
  </si>
  <si>
    <t>Real Tomayapo 2 vs 1 Independiente Petrolero</t>
  </si>
  <si>
    <t>Real Potosí 1 vs 2 Real Oruro</t>
  </si>
  <si>
    <t>Club Aurora 1 vs 1 Real Oruro</t>
  </si>
  <si>
    <t>The Strongest 3 vs 1 ABB</t>
  </si>
  <si>
    <t>The Strongest 0 vs 0 Real Potosí</t>
  </si>
  <si>
    <t>The Strongest 1 vs 1 Bolívar</t>
  </si>
  <si>
    <t>Guabirá 2 vs 2 Independiente Petrolero</t>
  </si>
  <si>
    <t>Bolívar 1 vs 2 Independiente Petrolero</t>
  </si>
  <si>
    <t>ABB 3 vs 1 Independiente Petrolero</t>
  </si>
  <si>
    <t>EST-00591</t>
  </si>
  <si>
    <t>EST-00592</t>
  </si>
  <si>
    <t>EST-00593</t>
  </si>
  <si>
    <t>EST-00595</t>
  </si>
  <si>
    <t>EST-00596</t>
  </si>
  <si>
    <t>EST-00597</t>
  </si>
  <si>
    <t>EST-00598</t>
  </si>
  <si>
    <t>EST-00599</t>
  </si>
  <si>
    <t>EST-00600</t>
  </si>
  <si>
    <t>GV San José</t>
  </si>
  <si>
    <t>GV San José 3 vs 2 Real Tomayapo</t>
  </si>
  <si>
    <t>Real Oruro 3 vs 1 GV San José</t>
  </si>
  <si>
    <t>Club Aurora 1 vs 1 Always Ready</t>
  </si>
  <si>
    <t>Club Aurora 4 vs 2 Guabirá</t>
  </si>
  <si>
    <t>Club Aurora 2 vs 2 Oriente Petrolero</t>
  </si>
  <si>
    <t>Club Aurora 3 vs 2 ABB</t>
  </si>
  <si>
    <t>ABB 0 vs 2 Bolívar</t>
  </si>
  <si>
    <t>GV San José 1 vs 2 Bolívar</t>
  </si>
  <si>
    <t>Blooming 0 vs 0 Bolívar</t>
  </si>
  <si>
    <t>Universitario de Vinto 3 vs 2 Bolívar</t>
  </si>
  <si>
    <t>EST-00603</t>
  </si>
  <si>
    <t>SA Bulo Bulo 2 vs 0 Oriente Petrolero</t>
  </si>
  <si>
    <t>EST-00606</t>
  </si>
  <si>
    <t>SA Bulo Bulo 0 vs 2 Universitario de Vinto</t>
  </si>
  <si>
    <t>EST-00607</t>
  </si>
  <si>
    <t>EST-00608</t>
  </si>
  <si>
    <t>SA Bulo Bulo 2 vs 0 Blooming</t>
  </si>
  <si>
    <t>EST-00610</t>
  </si>
  <si>
    <t>EST-00611</t>
  </si>
  <si>
    <t>EST-00613</t>
  </si>
  <si>
    <t>EST-00614</t>
  </si>
  <si>
    <t>EST-00615</t>
  </si>
  <si>
    <t>EST-00616</t>
  </si>
  <si>
    <t>Independiente Petrolero 0 vs 3 Nacional Potosí</t>
  </si>
  <si>
    <t>Blooming 2 vs 1 Nacional Potosí</t>
  </si>
  <si>
    <t>Bolívar 1 vs 1 Nacional Potosí</t>
  </si>
  <si>
    <t>Guabirá 2 vs 1 Nacional Potosí</t>
  </si>
  <si>
    <t>Real Potosí 1 vs 1 Nacional Potosí</t>
  </si>
  <si>
    <t>Oriente Petrolero 1 vs 0 Nacional Potosí</t>
  </si>
  <si>
    <t>Always Ready 3 vs 1 SA Bulo Bulo</t>
  </si>
  <si>
    <t>SA Bulo Bulo 2 vs 2 Independiente Petrolero</t>
  </si>
  <si>
    <t>Club Aurora 3 vs 1 SA Bulo Bulo</t>
  </si>
  <si>
    <t>SA Bulo Bulo 1 vs 2 Guabirá</t>
  </si>
  <si>
    <t>SA Bulo Bulo 2 vs 1 ABB</t>
  </si>
  <si>
    <t>13. SA Bulo Bulo × Nacional Potosí</t>
  </si>
  <si>
    <t>08/08/26 16:00 · São Paulo</t>
  </si>
  <si>
    <t>14. The Strongest × Independiente Petrolero</t>
  </si>
  <si>
    <t>08/08/26 18:15 · São Paulo</t>
  </si>
  <si>
    <t>15. Club Aurora × Bolívar</t>
  </si>
  <si>
    <t>08/08/26 20:30 · São Paulo</t>
  </si>
  <si>
    <t>λ 2,64 · Over 1,25: 78,8% · Over 1,5: 74,1% · Over 1,75: 67,9% · Over 2,0: 61,7%</t>
  </si>
  <si>
    <t>Over 1,25 @ 1,105 | Over 1,5 @ 1,175 | Over 1,75 @ 1,20 | Over 2,0 @ 1,24</t>
  </si>
  <si>
    <t>Over 1,50 @ 1,175</t>
  </si>
  <si>
    <t>Escolha alinhada à técnica Over 1,50; 2+ gols confirmam o bilhete</t>
  </si>
  <si>
    <t>λ 3,08 · Over 1,5: 81,3% · Over 1,75: 75,9% · Over 2,0: 70,4% · Over 2,25: 65,0%</t>
  </si>
  <si>
    <t>Over 1,5 @ 1,10 | Over 1,75 @ 1,115 | Over 2,0 @ 1,13 | Over 2,25 @ 1,24</t>
  </si>
  <si>
    <t>Over 1,50 @ 1,10</t>
  </si>
  <si>
    <t>λ 3,00 · Over 1,25: 83,8% · Over 1,5: 80,1% · Over 1,75: 74,5% · Over 2,0: 68,9%</t>
  </si>
  <si>
    <t>Over 1,25 @ 1,10 | Over 1,5 @ 1,175 | Over 1,75 @ 1,20 | Over 2,0 @ 1,24</t>
  </si>
  <si>
    <t>Over 1,50 @ 1,18</t>
  </si>
  <si>
    <t>EST-00617</t>
  </si>
  <si>
    <t>Blooming 0 vs 0 Always Ready</t>
  </si>
  <si>
    <t>EST-00618</t>
  </si>
  <si>
    <t>Universitario de Vinto 1 vs 2 The Strongest</t>
  </si>
  <si>
    <t>EST-00619</t>
  </si>
  <si>
    <t>GV San José 0 vs 0 The Strongest</t>
  </si>
  <si>
    <t>EST-00620</t>
  </si>
  <si>
    <t>Blooming 1 vs 1 The Strongest</t>
  </si>
  <si>
    <t>EST-00621</t>
  </si>
  <si>
    <t>Bolívar 4 vs 0 Guabirá</t>
  </si>
  <si>
    <t>EST-00622</t>
  </si>
  <si>
    <t>Bolívar 2 vs 1 Real Potosí</t>
  </si>
  <si>
    <t>EST-00623</t>
  </si>
  <si>
    <t>Real Potosí 0 vs 0 Club Aurora</t>
  </si>
  <si>
    <t>EST-00624</t>
  </si>
  <si>
    <t>GV San José 1 vs 1 Club Aurora</t>
  </si>
  <si>
    <t>EST-00625</t>
  </si>
  <si>
    <t>Universitario de Vinto 1 vs 2 Club Aurora</t>
  </si>
  <si>
    <t>EST-00626</t>
  </si>
  <si>
    <t>Nacional Potosí 2 vs 0 Club Aurora</t>
  </si>
  <si>
    <t>EST-00627</t>
  </si>
  <si>
    <t>Independiente Petrolero 1 vs 1 Club Aurora</t>
  </si>
  <si>
    <t>EST-00628</t>
  </si>
  <si>
    <t>Blooming 5 vs 0 Guabirá</t>
  </si>
  <si>
    <t>EST-00629</t>
  </si>
  <si>
    <t>Real Potosí 3 vs 0 Guabirá</t>
  </si>
  <si>
    <t>EST-00630</t>
  </si>
  <si>
    <t>Guabirá 3 vs 0 GV San José</t>
  </si>
  <si>
    <t>EST-00631</t>
  </si>
  <si>
    <t>Oriente Petrolero 2 vs 2 Guabirá</t>
  </si>
  <si>
    <t>EST-00632</t>
  </si>
  <si>
    <t>Universitario de Vinto 1 vs 1 Guabirá</t>
  </si>
  <si>
    <t>EST-00633</t>
  </si>
  <si>
    <t>Real Tomayapo 1 vs 2 Real Oruro</t>
  </si>
  <si>
    <t>EST-00634</t>
  </si>
  <si>
    <t>GV San José 1 vs 2 ABB</t>
  </si>
  <si>
    <t>EST-00635</t>
  </si>
  <si>
    <t>Universitario de Vinto 5 vs 2 ABB</t>
  </si>
  <si>
    <t>EST-00636</t>
  </si>
  <si>
    <t>ABB 3 vs 2 Blooming</t>
  </si>
  <si>
    <t>EST-00637</t>
  </si>
  <si>
    <t>ABB 3 vs 1 Oriente Petrolero</t>
  </si>
  <si>
    <t>EST-00638</t>
  </si>
  <si>
    <t>Real Potosí 3 vs 1 ABB</t>
  </si>
  <si>
    <t>EST-00639</t>
  </si>
  <si>
    <t>ABB 0 vs 1 Guabirá</t>
  </si>
  <si>
    <t>EST-00640</t>
  </si>
  <si>
    <t>Real Potosí 5 vs 0 SA Bulo Bulo</t>
  </si>
  <si>
    <t>EST-00641</t>
  </si>
  <si>
    <t>GV San José 0 vs 0 SA Bulo Bulo</t>
  </si>
  <si>
    <t>EST-00642</t>
  </si>
  <si>
    <t>Independiente Petrolero 2 vs 1 Universitario de Vinto</t>
  </si>
  <si>
    <t>EST-00643</t>
  </si>
  <si>
    <t>Independiente Petrolero 3 vs 1 Blooming</t>
  </si>
  <si>
    <t>EST-00644</t>
  </si>
  <si>
    <t>Independiente Petrolero 1 vs 2 Real Potosí</t>
  </si>
  <si>
    <t>EST-00645</t>
  </si>
  <si>
    <t>Independiente Petrolero 1 vs 2 Oriente Petrolero</t>
  </si>
  <si>
    <t>EST-00646</t>
  </si>
  <si>
    <t>Nacional Potosí 1 vs 0 Universitario de Vinto</t>
  </si>
  <si>
    <t>EST-00647</t>
  </si>
  <si>
    <t>Nacional Potosí 1 vs 1 GV San José</t>
  </si>
  <si>
    <t>EST-00648</t>
  </si>
  <si>
    <t>Bahia 1 vs 2 Palmeiras</t>
  </si>
  <si>
    <t>EST-00649</t>
  </si>
  <si>
    <t>Corinthians 0 vs 0 Palmeiras</t>
  </si>
  <si>
    <t>EST-00650</t>
  </si>
  <si>
    <t>Palmeiras 1 vs 0 Athletico-PR</t>
  </si>
  <si>
    <t>EST-00651</t>
  </si>
  <si>
    <t>Red Bull Bragantino 0 vs 1 Palmeiras</t>
  </si>
  <si>
    <t>Red Bull Bragantino</t>
  </si>
  <si>
    <t>EST-00652</t>
  </si>
  <si>
    <t>Flamengo 3 vs 1 Santos</t>
  </si>
  <si>
    <t>EST-00653</t>
  </si>
  <si>
    <t>Fluminense 1 vs 2 Flamengo</t>
  </si>
  <si>
    <t>EST-00654</t>
  </si>
  <si>
    <t>Flamengo 2 vs 0 Bahia</t>
  </si>
  <si>
    <t>EST-00655</t>
  </si>
  <si>
    <t>Vasco da Gama 1 vs 2 Botafogo-RJ</t>
  </si>
  <si>
    <t>EST-00656</t>
  </si>
  <si>
    <t>Botafogo-RJ 2 vs 2 Coritiba</t>
  </si>
  <si>
    <t>EST-00657</t>
  </si>
  <si>
    <t>Coritiba 1 vs 1 Fluminense</t>
  </si>
  <si>
    <t>EST-00658</t>
  </si>
  <si>
    <t>Santos 2 vs 3 Fluminense</t>
  </si>
  <si>
    <t>EST-00659</t>
  </si>
  <si>
    <t>Fluminense 2 vs 1 Chapecoense</t>
  </si>
  <si>
    <t>EST-00660</t>
  </si>
  <si>
    <t>Internacional 2 vs 0 Fluminense</t>
  </si>
  <si>
    <t>EST-00661</t>
  </si>
  <si>
    <t>Fluminense 2 vs 2 Vitória</t>
  </si>
  <si>
    <t>EST-00662</t>
  </si>
  <si>
    <t>Fluminense 2 vs 1 São Paulo</t>
  </si>
  <si>
    <t>EST-00663</t>
  </si>
  <si>
    <t>Mirassol 1 vs 0 Fluminense</t>
  </si>
  <si>
    <t>EST-00664</t>
  </si>
  <si>
    <t>Cruzeiro 1 vs 1 Fluminense</t>
  </si>
  <si>
    <t>EST-00665</t>
  </si>
  <si>
    <t>Fluminense 1 vs 1 Red Bull Bragantino</t>
  </si>
  <si>
    <t>EST-00666</t>
  </si>
  <si>
    <t>Grêmio 1 vs 1 Fluminense</t>
  </si>
  <si>
    <t>EST-00675</t>
  </si>
  <si>
    <t>Palmeiras 2 vs 1 Grêmio</t>
  </si>
  <si>
    <t>EST-00676</t>
  </si>
  <si>
    <t>Grêmio 0 vs 0 Remo</t>
  </si>
  <si>
    <t>EST-00667</t>
  </si>
  <si>
    <t>Internacional 0 vs 0 Grêmio</t>
  </si>
  <si>
    <t>EST-00668</t>
  </si>
  <si>
    <t>Cruzeiro 2 vs 0 Grêmio</t>
  </si>
  <si>
    <t>EST-00669</t>
  </si>
  <si>
    <t>Grêmio 1 vs 0 Coritiba</t>
  </si>
  <si>
    <t>EST-00670</t>
  </si>
  <si>
    <t>Athletico-PR 0 vs 0 Grêmio</t>
  </si>
  <si>
    <t>EST-00671</t>
  </si>
  <si>
    <t>Bahia 1 vs 1 Grêmio</t>
  </si>
  <si>
    <t>EST-00672</t>
  </si>
  <si>
    <t>Grêmio 3 vs 2 Santos</t>
  </si>
  <si>
    <t>EST-00673</t>
  </si>
  <si>
    <t>Grêmio 1 vs 3 Corinthians</t>
  </si>
  <si>
    <t>EST-00674</t>
  </si>
  <si>
    <t>Mirassol 2 vs 1 Grêmio</t>
  </si>
  <si>
    <t>EST-00677</t>
  </si>
  <si>
    <t>Internacional 1 vs 1 São Paulo</t>
  </si>
  <si>
    <t>EST-00678</t>
  </si>
  <si>
    <t>São Paulo 4 vs 1 Cruzeiro</t>
  </si>
  <si>
    <t>EST-00679</t>
  </si>
  <si>
    <t>Vitória 2 vs 0 São Paulo</t>
  </si>
  <si>
    <t>EST-00680</t>
  </si>
  <si>
    <t>Vasco da Gama 2 vs 1 São Paulo</t>
  </si>
  <si>
    <t>EST-00681</t>
  </si>
  <si>
    <t>São Paulo 1 vs 0 Mirassol</t>
  </si>
  <si>
    <t>EST-00682</t>
  </si>
  <si>
    <t>São Paulo 2 vs 2 Bahia</t>
  </si>
  <si>
    <t>EST-00683</t>
  </si>
  <si>
    <t>Corinthians 3 vs 2 São Paulo</t>
  </si>
  <si>
    <t>EST-00684</t>
  </si>
  <si>
    <t>Remo 1 vs 0 São Paulo</t>
  </si>
  <si>
    <t>EST-00685</t>
  </si>
  <si>
    <t>São Paulo 1 vs 2 Athletico-PR</t>
  </si>
  <si>
    <t>EST-00686</t>
  </si>
  <si>
    <t>Coritiba 2 vs 0 Atlético-MG</t>
  </si>
  <si>
    <t>EST-00687</t>
  </si>
  <si>
    <t>Vitória 4 vs 1 Coritiba</t>
  </si>
  <si>
    <t>EST-00688</t>
  </si>
  <si>
    <t>Coritiba 2 vs 2 Internacional</t>
  </si>
  <si>
    <t>EST-00689</t>
  </si>
  <si>
    <t>Santos 0 vs 3 Coritiba</t>
  </si>
  <si>
    <t>EST-00690</t>
  </si>
  <si>
    <t>Coritiba 3 vs 2 Bahia</t>
  </si>
  <si>
    <t>EST-00691</t>
  </si>
  <si>
    <t>Red Bull Bragantino 0 vs 0 Coritiba</t>
  </si>
  <si>
    <t>EST-00692</t>
  </si>
  <si>
    <t>Athletico-PR 2 vs 0 Chapecoense</t>
  </si>
  <si>
    <t>EST-00693</t>
  </si>
  <si>
    <t>Chapecoense 1 vs 2 Red Bull Bragantino</t>
  </si>
  <si>
    <t>EST-00694</t>
  </si>
  <si>
    <t>Mirassol 1 vs 1 Chapecoense</t>
  </si>
  <si>
    <t>EST-00695</t>
  </si>
  <si>
    <t>Chapecoense 2 vs 3 Remo</t>
  </si>
  <si>
    <t>EST-00696</t>
  </si>
  <si>
    <t>Cruzeiro 2 vs 1 Chapecoense</t>
  </si>
  <si>
    <t>EST-00697</t>
  </si>
  <si>
    <t>Bahia 2 vs 0 Chapecoense</t>
  </si>
  <si>
    <t>EST-00698</t>
  </si>
  <si>
    <t>Santos 2 vs 2 Chapecoense</t>
  </si>
  <si>
    <t>EST-00699</t>
  </si>
  <si>
    <t>Chapecoense 1 vs 1 Vitória</t>
  </si>
  <si>
    <t>EST-00700</t>
  </si>
  <si>
    <t>Remo 1 vs 1 Vasco da Gama</t>
  </si>
  <si>
    <t>EST-00701</t>
  </si>
  <si>
    <t>Red Bull Bragantino 4 vs 2 Remo</t>
  </si>
  <si>
    <t>EST-00702</t>
  </si>
  <si>
    <t>Remo 0 vs 1 Cruzeiro</t>
  </si>
  <si>
    <t>EST-00703</t>
  </si>
  <si>
    <t>Remo 1 vs 2 Athletico-PR</t>
  </si>
  <si>
    <t>EST-00704</t>
  </si>
  <si>
    <t>Corinthians 3 vs 0 Remo</t>
  </si>
  <si>
    <t>EST-00705</t>
  </si>
  <si>
    <t>Remo 2 vs 0 Vitória</t>
  </si>
  <si>
    <t>EST-00706</t>
  </si>
  <si>
    <t>Chapecoense 0 vs 4 Atlético-MG</t>
  </si>
  <si>
    <t>EST-00707</t>
  </si>
  <si>
    <t>Atlético-MG 2 vs 1 Athletico-PR</t>
  </si>
  <si>
    <t>EST-00708</t>
  </si>
  <si>
    <t>Santos 1 vs 0 Atlético-MG</t>
  </si>
  <si>
    <t>EST-00709</t>
  </si>
  <si>
    <t>Cruzeiro 1 vs 3 Atlético-MG</t>
  </si>
  <si>
    <t>EST-00710</t>
  </si>
  <si>
    <t>Atlético-MG 3 vs 1 Mirassol</t>
  </si>
  <si>
    <t>EST-00711</t>
  </si>
  <si>
    <t>Corinthians 1 vs 0 Atlético-MG</t>
  </si>
  <si>
    <t>EST-00712</t>
  </si>
  <si>
    <t>Vasco da Gama 0 vs 1 Atlético-MG</t>
  </si>
  <si>
    <t>EST-00713</t>
  </si>
  <si>
    <t>Atlético-MG 1 vs 1 Bahia</t>
  </si>
  <si>
    <t>16. Grêmio × São Paulo</t>
  </si>
  <si>
    <t>λ 2,37 · Over 0,75: 85,1% · Over 1,0: 79,6% · Over 1,25: 74,0% · Over 1,5: 68,5%</t>
  </si>
  <si>
    <t>Over 0,50</t>
  </si>
  <si>
    <t>Analisar Over 0,50</t>
  </si>
  <si>
    <t>Over 0,75 @ 1,11 | Over 1,0 @ 1,13 | Over 1,25 @ 1,275 | Over 1,5 @ 1,425</t>
  </si>
  <si>
    <t>Over 1,00 @ 1,13</t>
  </si>
  <si>
    <t>Escolha conservadora; exatamente 1 gol devolve a stake e 2+ gols confirmam o bilhete</t>
  </si>
  <si>
    <t>Over 1,00</t>
  </si>
  <si>
    <t>17. Remo × Atlético-MG</t>
  </si>
  <si>
    <t>08/08/26 18:30 · São Paulo</t>
  </si>
  <si>
    <t>λ 2,06 · Over 1,0: 74,1% · Over 1,25: 67,6% · Over 1,5: 61,0% · Over 1,75: 54,2%</t>
  </si>
  <si>
    <t>Over 1,0 @ 1,11 | Over 1,25 @ 1,24 | Over 1,5 @ 1,375 | Over 1,75 @ 1,475</t>
  </si>
  <si>
    <t>Over 1,00 @ 1,11</t>
  </si>
  <si>
    <t>18. Coritiba × Chapecoense</t>
  </si>
  <si>
    <t>λ 2,71 · Over 1,25: 79,9% · Over 1,5: 75,4% · Over 1,75: 69,3% · Over 2,0: 63,2%</t>
  </si>
  <si>
    <t>Over 1,25 @ 1,20 | Over 1,5 @ 1,325 | Over 1,75 @ 1,40 | Over 2,0 @ 1,50</t>
  </si>
  <si>
    <t>Over 1,25 @ 1,20</t>
  </si>
  <si>
    <t>Escolha conservadora com foco em acerto; 1 gol = meio red e 2+ gols confirmam o bilhete</t>
  </si>
  <si>
    <t>Over 1,25</t>
  </si>
  <si>
    <t>EST-00714</t>
  </si>
  <si>
    <t>Vila Nova 2 vs 0 Avaí</t>
  </si>
  <si>
    <t>EST-00715</t>
  </si>
  <si>
    <t>América-MG 1 vs 2 Vila Nova</t>
  </si>
  <si>
    <t>América-MG</t>
  </si>
  <si>
    <t>EST-00716</t>
  </si>
  <si>
    <t>Londrina 0 vs 1 Vila Nova</t>
  </si>
  <si>
    <t>Londrina</t>
  </si>
  <si>
    <t>EST-00717</t>
  </si>
  <si>
    <t>EST-00718</t>
  </si>
  <si>
    <t>Cuiabá 1 vs 0 Vila Nova</t>
  </si>
  <si>
    <t>EST-00719</t>
  </si>
  <si>
    <t>Vila Nova 4 vs 3 Náutico</t>
  </si>
  <si>
    <t>Náutico</t>
  </si>
  <si>
    <t>EST-00720</t>
  </si>
  <si>
    <t>Novorizontino 2 vs 1 Vila Nova</t>
  </si>
  <si>
    <t>Novorizontino</t>
  </si>
  <si>
    <t>EST-00721</t>
  </si>
  <si>
    <t>Vila Nova 2 vs 1 São Bernardo</t>
  </si>
  <si>
    <t>São Bernardo</t>
  </si>
  <si>
    <t>EST-00722</t>
  </si>
  <si>
    <t>Juventude 1 vs 0 Vila Nova</t>
  </si>
  <si>
    <t>EST-00723</t>
  </si>
  <si>
    <t>Criciúma 2 vs 0 Vila Nova</t>
  </si>
  <si>
    <t>Criciúma</t>
  </si>
  <si>
    <t>EST-00724</t>
  </si>
  <si>
    <t>Vila Nova 2 vs 1 Fortaleza</t>
  </si>
  <si>
    <t>EST-00725</t>
  </si>
  <si>
    <t>Sport Recife 1 vs 2 CRB</t>
  </si>
  <si>
    <t>EST-00726</t>
  </si>
  <si>
    <t>Juventude 0 vs 1 Sport Recife</t>
  </si>
  <si>
    <t>EST-00727</t>
  </si>
  <si>
    <t>Sport Recife 2 vs 0 Náutico</t>
  </si>
  <si>
    <t>EST-00728</t>
  </si>
  <si>
    <t>EST-00729</t>
  </si>
  <si>
    <t>São Bernardo 0 vs 0 Sport Recife</t>
  </si>
  <si>
    <t>EST-00730</t>
  </si>
  <si>
    <t>Sport Recife 1 vs 1 Atlético-GO</t>
  </si>
  <si>
    <t>EST-00731</t>
  </si>
  <si>
    <t>Fortaleza 2 vs 1 Sport Recife</t>
  </si>
  <si>
    <t>EST-00732</t>
  </si>
  <si>
    <t>Criciúma 1 vs 0 Sport Recife</t>
  </si>
  <si>
    <t>EST-00733</t>
  </si>
  <si>
    <t>EST-00734</t>
  </si>
  <si>
    <t>EST-00735</t>
  </si>
  <si>
    <t>Goiás 1 vs 1 Sport Recife</t>
  </si>
  <si>
    <t>Goiás</t>
  </si>
  <si>
    <t>19. Vila Nova × Sport Recife</t>
  </si>
  <si>
    <t>λ 2,30 · Over 1,0: 78,4% · Over 1,25: 72,7% · Over 1,5: 66,9% · Over 1,75: 60,3%</t>
  </si>
  <si>
    <t>Over 1,0 @ 1,105 | Over 1,25 @ 1,23 | Over 1,5 @ 1,375 | Over 1,75 @ 1,45</t>
  </si>
  <si>
    <t>Over 1,00 @ 1,105</t>
  </si>
  <si>
    <t>Grêmio x São Paulo</t>
  </si>
  <si>
    <t>Green no Over 1,00: três gols confirmaram a entrada. Entre as linhas cotadas, Over 1,50 @ 1,425 também seria Green e elevaria o lucro de R$ 0,065 para R$ 0,2125.</t>
  </si>
  <si>
    <t>Partidas Únicas</t>
  </si>
  <si>
    <t>Média Efetiva da Liga</t>
  </si>
  <si>
    <t>Ceará</t>
  </si>
  <si>
    <t>EST-00736</t>
  </si>
  <si>
    <t>Criciúma 0 vs 0 Náutico</t>
  </si>
  <si>
    <t>EST-00737</t>
  </si>
  <si>
    <t>Novorizontino 0 vs 1 Criciúma</t>
  </si>
  <si>
    <t>EST-00738</t>
  </si>
  <si>
    <t>Ponte Preta 1 vs 2 Criciúma</t>
  </si>
  <si>
    <t>EST-00739</t>
  </si>
  <si>
    <t>Criciúma 1 vs 0 São Bernardo</t>
  </si>
  <si>
    <t>EST-00740</t>
  </si>
  <si>
    <t>América-MG 0 vs 1 Criciúma</t>
  </si>
  <si>
    <t>EST-00741</t>
  </si>
  <si>
    <t>Criciúma 1 vs 1 Ceará</t>
  </si>
  <si>
    <t>EST-00742</t>
  </si>
  <si>
    <t>Criciúma 1 vs 0 Londrina</t>
  </si>
  <si>
    <t>EST-00743</t>
  </si>
  <si>
    <t>Avaí 1 vs 2 Criciúma</t>
  </si>
  <si>
    <t>EST-00744</t>
  </si>
  <si>
    <t>Operário-PR 1 vs 1 Criciúma</t>
  </si>
  <si>
    <t>EST-00745</t>
  </si>
  <si>
    <t>Criciúma 1 vs 1 Atlético-GO</t>
  </si>
  <si>
    <t>EST-00746</t>
  </si>
  <si>
    <t>Juventude 0 vs 0 Criciúma</t>
  </si>
  <si>
    <t>EST-00747</t>
  </si>
  <si>
    <t>Cuiabá 1 vs 1 Criciúma</t>
  </si>
  <si>
    <t>EST-00748</t>
  </si>
  <si>
    <t>Botafogo SP 4 vs 2 Juventude</t>
  </si>
  <si>
    <t>EST-00749</t>
  </si>
  <si>
    <t>Juventude 2 vs 0 Cuiabá</t>
  </si>
  <si>
    <t>EST-00750</t>
  </si>
  <si>
    <t>Náutico 0 vs 0 Juventude</t>
  </si>
  <si>
    <t>EST-00751</t>
  </si>
  <si>
    <t>Juventude 2 vs 0 Ceará</t>
  </si>
  <si>
    <t>EST-00752</t>
  </si>
  <si>
    <t>São Bernardo 0 vs 1 Juventude</t>
  </si>
  <si>
    <t>EST-00753</t>
  </si>
  <si>
    <t>Juventude 3 vs 0 Ponte Preta</t>
  </si>
  <si>
    <t>EST-00754</t>
  </si>
  <si>
    <t>Operário-PR 2 vs 1 Juventude</t>
  </si>
  <si>
    <t>EST-00755</t>
  </si>
  <si>
    <t>Juventude 3 vs 0 América-MG</t>
  </si>
  <si>
    <t>EST-00756</t>
  </si>
  <si>
    <t>Athletic Club-MG 1 vs 1 Juventude</t>
  </si>
  <si>
    <t>EST-00757</t>
  </si>
  <si>
    <t>Atlético-GO 0 vs 0 Juventude</t>
  </si>
  <si>
    <t>Sport Recife 2 vs 2 Operário-PR</t>
  </si>
  <si>
    <t>EST-00758</t>
  </si>
  <si>
    <t>Operário-PR 1 vs 3 São Bernardo</t>
  </si>
  <si>
    <t>EST-00759</t>
  </si>
  <si>
    <t>Operário-PR 3 vs 2 Ponte Preta</t>
  </si>
  <si>
    <t>EST-00760</t>
  </si>
  <si>
    <t>Operário-PR 2 vs 1 Novorizontino</t>
  </si>
  <si>
    <t>EST-00761</t>
  </si>
  <si>
    <t>Athletic Club-MG 0 vs 1 Operário-PR</t>
  </si>
  <si>
    <t>EST-00762</t>
  </si>
  <si>
    <t>Operário-PR 1 vs 0 América-MG</t>
  </si>
  <si>
    <t>EST-00763</t>
  </si>
  <si>
    <t>Goiás 0 vs 3 Operário-PR</t>
  </si>
  <si>
    <t>EST-00764</t>
  </si>
  <si>
    <t>Botafogo SP 2 vs 1 Operário-PR</t>
  </si>
  <si>
    <t>EST-00765</t>
  </si>
  <si>
    <t>Ceará 1 vs 2 Operário-PR</t>
  </si>
  <si>
    <t>EST-00766</t>
  </si>
  <si>
    <t>Operário-PR 2 vs 6 Náutico</t>
  </si>
  <si>
    <t>EST-00767</t>
  </si>
  <si>
    <t>CRB 3 vs 0 Operário-PR</t>
  </si>
  <si>
    <t>EST-00768</t>
  </si>
  <si>
    <t>Fortaleza 1 vs 0 Novorizontino</t>
  </si>
  <si>
    <t>EST-00769</t>
  </si>
  <si>
    <t>Atlético-GO 1 vs 0 Fortaleza</t>
  </si>
  <si>
    <t>EST-00770</t>
  </si>
  <si>
    <t>Fortaleza 2 vs 0 Ponte Preta</t>
  </si>
  <si>
    <t>EST-00771</t>
  </si>
  <si>
    <t>CRB 1 vs 1 Fortaleza</t>
  </si>
  <si>
    <t>EST-00772</t>
  </si>
  <si>
    <t>Fortaleza 0 vs 3 América-MG</t>
  </si>
  <si>
    <t>EST-00773</t>
  </si>
  <si>
    <t>Náutico 0 vs 1 Fortaleza</t>
  </si>
  <si>
    <t>EST-00774</t>
  </si>
  <si>
    <t>Athletic Club-MG 1 vs 0 Fortaleza</t>
  </si>
  <si>
    <t>EST-00775</t>
  </si>
  <si>
    <t>Fortaleza 3 vs 0 Londrina</t>
  </si>
  <si>
    <t>EST-00776</t>
  </si>
  <si>
    <t>Ceará 2 vs 1 Fortaleza</t>
  </si>
  <si>
    <t>EST-00777</t>
  </si>
  <si>
    <t>Avaí 0 vs 0 Fortaleza</t>
  </si>
  <si>
    <t>EST-00778</t>
  </si>
  <si>
    <t>Fortaleza 4 vs 1 Goiás</t>
  </si>
  <si>
    <t>EST-00779</t>
  </si>
  <si>
    <t>Londrina 1 vs 4 Novorizontino</t>
  </si>
  <si>
    <t>EST-00780</t>
  </si>
  <si>
    <t>Novorizontino 3 vs 0 Atlético-GO</t>
  </si>
  <si>
    <t>EST-00781</t>
  </si>
  <si>
    <t>Ponte Preta 0 vs 2 Novorizontino</t>
  </si>
  <si>
    <t>EST-00782</t>
  </si>
  <si>
    <t>Novorizontino 2 vs 2 Náutico</t>
  </si>
  <si>
    <t>EST-00783</t>
  </si>
  <si>
    <t>Goiás 0 vs 4 Novorizontino</t>
  </si>
  <si>
    <t>EST-00784</t>
  </si>
  <si>
    <t>São Bernardo 1 vs 1 Novorizontino</t>
  </si>
  <si>
    <t>EST-00785</t>
  </si>
  <si>
    <t>Novorizontino 2 vs 1 Ceará</t>
  </si>
  <si>
    <t>EST-00786</t>
  </si>
  <si>
    <t>Cuiabá 0 vs 0 Novorizontino</t>
  </si>
  <si>
    <t>EST-00787</t>
  </si>
  <si>
    <t>Novorizontino 1 vs 0 Botafogo SP</t>
  </si>
  <si>
    <t>EST-00788</t>
  </si>
  <si>
    <t>Avaí 3 vs 3 Novorizontino</t>
  </si>
  <si>
    <t>EST-00789</t>
  </si>
  <si>
    <t>Cuiabá 0 vs 1 Atlético-GO</t>
  </si>
  <si>
    <t>EST-00790</t>
  </si>
  <si>
    <t>Atlético-GO 0 vs 0 Athletic Club-MG</t>
  </si>
  <si>
    <t>EST-00791</t>
  </si>
  <si>
    <t>Atlético-GO 2 vs 0 Ponte Preta</t>
  </si>
  <si>
    <t>EST-00792</t>
  </si>
  <si>
    <t>Atlético-GO 3 vs 3 CRB</t>
  </si>
  <si>
    <t>EST-00793</t>
  </si>
  <si>
    <t>América-MG 1 vs 2 Atlético-GO</t>
  </si>
  <si>
    <t>EST-00794</t>
  </si>
  <si>
    <t>Atlético-GO 1 vs 1 Goiás</t>
  </si>
  <si>
    <t>EST-00795</t>
  </si>
  <si>
    <t>Atlético-GO 0 vs 1 São Bernardo</t>
  </si>
  <si>
    <t>EST-00796</t>
  </si>
  <si>
    <t>Ceará 0 vs 1 Atlético-GO</t>
  </si>
  <si>
    <t>EST-00797</t>
  </si>
  <si>
    <t>Ceará 0 vs 1 CRB</t>
  </si>
  <si>
    <t>EST-00798</t>
  </si>
  <si>
    <t>CRB 2 vs 1 Náutico</t>
  </si>
  <si>
    <t>EST-00799</t>
  </si>
  <si>
    <t>CRB 2 vs 2 Goiás</t>
  </si>
  <si>
    <t>EST-00800</t>
  </si>
  <si>
    <t>Londrina 5 vs 0 CRB</t>
  </si>
  <si>
    <t>EST-00801</t>
  </si>
  <si>
    <t>Botafogo SP 0 vs 1 CRB</t>
  </si>
  <si>
    <t>EST-00802</t>
  </si>
  <si>
    <t>CRB 2 vs 3 São Bernardo</t>
  </si>
  <si>
    <t>EST-00803</t>
  </si>
  <si>
    <t>Cuiabá 2 vs 0 CRB</t>
  </si>
  <si>
    <t>EST-00804</t>
  </si>
  <si>
    <t>CRB 4 vs 2 Ponte Preta</t>
  </si>
  <si>
    <t>EST-00805</t>
  </si>
  <si>
    <t>América-MG 1 vs 2 CRB</t>
  </si>
  <si>
    <t>Sport Recife 1 vs 1 Athletic Club-MG</t>
  </si>
  <si>
    <t>EST-00806</t>
  </si>
  <si>
    <t>Athletic Club-MG 2 vs 1 São Bernardo</t>
  </si>
  <si>
    <t>EST-00807</t>
  </si>
  <si>
    <t>Ceará 0 vs 0 Athletic Club-MG</t>
  </si>
  <si>
    <t>EST-00808</t>
  </si>
  <si>
    <t>Athletic Club-MG 1 vs 0 Avaí</t>
  </si>
  <si>
    <t>EST-00809</t>
  </si>
  <si>
    <t>Londrina 2 vs 0 Athletic Club-MG</t>
  </si>
  <si>
    <t>EST-00810</t>
  </si>
  <si>
    <t>Athletic Club-MG 1 vs 1 Goiás</t>
  </si>
  <si>
    <t>EST-00811</t>
  </si>
  <si>
    <t>Botafogo SP 1 vs 2 Athletic Club-MG</t>
  </si>
  <si>
    <t>EST-00812</t>
  </si>
  <si>
    <t>Athletic Club-MG 0 vs 0 Cuiabá</t>
  </si>
  <si>
    <t>EST-00813</t>
  </si>
  <si>
    <t>Vila Nova 1 vs 1 Athletic Club-MG</t>
  </si>
  <si>
    <t>EST-00814</t>
  </si>
  <si>
    <t>Náutico 2 vs 1 Londrina</t>
  </si>
  <si>
    <t>EST-00815</t>
  </si>
  <si>
    <t>Avaí 2 vs 0 Náutico</t>
  </si>
  <si>
    <t>EST-00816</t>
  </si>
  <si>
    <t>Náutico 0 vs 1 Goiás</t>
  </si>
  <si>
    <t>EST-00817</t>
  </si>
  <si>
    <t>Náutico 1 vs 0 Cuiabá</t>
  </si>
  <si>
    <t>EST-00818</t>
  </si>
  <si>
    <t>Náutico 4 vs 0 América-MG</t>
  </si>
  <si>
    <t>EST-00819</t>
  </si>
  <si>
    <t>Botafogo SP 1 vs 1 Náutico</t>
  </si>
  <si>
    <t>Vila Nova 1 vs 0 Botafogo SP</t>
  </si>
  <si>
    <t>Sport Recife 3 vs 3 Botafogo SP</t>
  </si>
  <si>
    <t>EST-00820</t>
  </si>
  <si>
    <t>Londrina 0 vs 0 Botafogo SP</t>
  </si>
  <si>
    <t>EST-00821</t>
  </si>
  <si>
    <t>Botafogo SP 3 vs 1 Avaí</t>
  </si>
  <si>
    <t>EST-00822</t>
  </si>
  <si>
    <t>Ceará 0 vs 1 Botafogo SP</t>
  </si>
  <si>
    <t>EST-00823</t>
  </si>
  <si>
    <t>Ponte Preta 0 vs 0 Botafogo SP</t>
  </si>
  <si>
    <t>EST-00824</t>
  </si>
  <si>
    <t>Goiás 1 vs 0 Botafogo SP</t>
  </si>
  <si>
    <t>EST-00825</t>
  </si>
  <si>
    <t>Ceará 2 vs 0 Ponte Preta</t>
  </si>
  <si>
    <t>EST-00826</t>
  </si>
  <si>
    <t>São Bernardo 3 vs 4 Ceará</t>
  </si>
  <si>
    <t>EST-00827</t>
  </si>
  <si>
    <t>América-MG 1 vs 1 Ceará</t>
  </si>
  <si>
    <t>EST-00828</t>
  </si>
  <si>
    <t>Goiás 2 vs 0 Ceará</t>
  </si>
  <si>
    <t>EST-00829</t>
  </si>
  <si>
    <t>Ceará 2 vs 1 Avaí</t>
  </si>
  <si>
    <t>EST-00830</t>
  </si>
  <si>
    <t>São Bernardo 2 vs 2 Cuiabá</t>
  </si>
  <si>
    <t>EST-00831</t>
  </si>
  <si>
    <t>Cuiabá 1 vs 0 América-MG</t>
  </si>
  <si>
    <t>EST-00832</t>
  </si>
  <si>
    <t>Cuiabá 2 vs 2 Londrina</t>
  </si>
  <si>
    <t>EST-00833</t>
  </si>
  <si>
    <t>Avaí 1 vs 0 Cuiabá</t>
  </si>
  <si>
    <t>EST-00834</t>
  </si>
  <si>
    <t>Ponte Preta 1 vs 2 Cuiabá</t>
  </si>
  <si>
    <t>EST-00835</t>
  </si>
  <si>
    <t>América-MG 1 vs 1 Londrina</t>
  </si>
  <si>
    <t>EST-00836</t>
  </si>
  <si>
    <t>Londrina 3 vs 2 Avaí</t>
  </si>
  <si>
    <t>EST-00837</t>
  </si>
  <si>
    <t>Ponte Preta 1 vs 4 Londrina</t>
  </si>
  <si>
    <t>EST-00838</t>
  </si>
  <si>
    <t>Londrina 1 vs 3 São Bernardo</t>
  </si>
  <si>
    <t>EST-00839</t>
  </si>
  <si>
    <t>Operário-PR 3 vs 0 Londrina</t>
  </si>
  <si>
    <t>EST-00840</t>
  </si>
  <si>
    <t>Avaí 2 vs 1 América-MG</t>
  </si>
  <si>
    <t>EST-00841</t>
  </si>
  <si>
    <t>São Bernardo 1 vs 1 Avaí</t>
  </si>
  <si>
    <t>EST-00842</t>
  </si>
  <si>
    <t>Avaí 0 vs 2 Goiás</t>
  </si>
  <si>
    <t>EST-00843</t>
  </si>
  <si>
    <t>América-MG 1 vs 0 Goiás</t>
  </si>
  <si>
    <t>EST-00844</t>
  </si>
  <si>
    <t>São Bernardo 1 vs 1 América-MG</t>
  </si>
  <si>
    <t>EST-00845</t>
  </si>
  <si>
    <t>Ponte Preta 1 vs 2 Goiás</t>
  </si>
  <si>
    <t>EST-00846</t>
  </si>
  <si>
    <t>Ponte Preta 1 vs 3 Sport Recife</t>
  </si>
  <si>
    <t>EST-00847</t>
  </si>
  <si>
    <t>Bahia 1 vs 1 Corinthians</t>
  </si>
  <si>
    <t>EST-00848</t>
  </si>
  <si>
    <t>Bahia 1 vs 2 Cruzeiro</t>
  </si>
  <si>
    <t>EST-00849</t>
  </si>
  <si>
    <t>Bahia 2 vs 2 Santos</t>
  </si>
  <si>
    <t>EST-00850</t>
  </si>
  <si>
    <t>Internacional 1 vs 2 Cruzeiro</t>
  </si>
  <si>
    <t>EST-00851</t>
  </si>
  <si>
    <t>Cruzeiro 2 vs 1 Red Bull Bragantino</t>
  </si>
  <si>
    <t>EST-00852</t>
  </si>
  <si>
    <t>Athletico-PR 2 vs 0 Internacional</t>
  </si>
  <si>
    <t>EST-00853</t>
  </si>
  <si>
    <t>Athletico-PR 1 vs 0 Mirassol</t>
  </si>
  <si>
    <t>EST-00854</t>
  </si>
  <si>
    <t>Vasco da Gama 1 vs 0 Athletico-PR</t>
  </si>
  <si>
    <t>EST-00855</t>
  </si>
  <si>
    <t>Athletico-PR 3 vs 1 Vitória</t>
  </si>
  <si>
    <t>EST-00856</t>
  </si>
  <si>
    <t>Santos 3 vs 1 Vitória</t>
  </si>
  <si>
    <t>EST-00857</t>
  </si>
  <si>
    <t>Santos 2 vs 0 Red Bull Bragantino</t>
  </si>
  <si>
    <t>EST-00858</t>
  </si>
  <si>
    <t>Santos 2 vs 0 Remo</t>
  </si>
  <si>
    <t>EST-00859</t>
  </si>
  <si>
    <t>Mirassol 2 vs 1 Corinthians</t>
  </si>
  <si>
    <t>EST-00860</t>
  </si>
  <si>
    <t>Corinthians 1 vs 0 Vasco da Gama</t>
  </si>
  <si>
    <t>EST-00861</t>
  </si>
  <si>
    <t>Vitória 0 vs 0 Corinthians</t>
  </si>
  <si>
    <t>EST-00862</t>
  </si>
  <si>
    <t>Corinthians 0 vs 1 Internacional</t>
  </si>
  <si>
    <t>EST-00863</t>
  </si>
  <si>
    <t>Vitória 1 vs 0 Vasco da Gama</t>
  </si>
  <si>
    <t>EST-00864</t>
  </si>
  <si>
    <t>Vitória 2 vs 0 Internacional</t>
  </si>
  <si>
    <t>EST-00865</t>
  </si>
  <si>
    <t>Red Bull Bragantino 3 vs 1 Internacional</t>
  </si>
  <si>
    <t>EST-00866</t>
  </si>
  <si>
    <t>Internacional 4 vs 1 Vasco da Gama</t>
  </si>
  <si>
    <t>EST-00867</t>
  </si>
  <si>
    <t>Vasco da Gama 1 vs 1 Mirassol</t>
  </si>
  <si>
    <t>EST-00868</t>
  </si>
  <si>
    <t>Internacional 1 vs 2 Mirassol</t>
  </si>
  <si>
    <t>EST-00869</t>
  </si>
  <si>
    <t>Mirassol 1 vs 2 Bahia</t>
  </si>
  <si>
    <t>EST-00870</t>
  </si>
  <si>
    <t>Mirassol 0 vs 1 Red Bull Bragantino</t>
  </si>
  <si>
    <t>EST-00871</t>
  </si>
  <si>
    <t>Vasco da Gama 0 vs 3 Red Bull Bragantino</t>
  </si>
  <si>
    <t>EST-00872</t>
  </si>
  <si>
    <t>Red Bull Bragantino 2 vs 0 Vitória</t>
  </si>
  <si>
    <t>EST-00873</t>
  </si>
  <si>
    <t>Red Bull Bragantino 3 vs 0 Flamengo</t>
  </si>
  <si>
    <t>EST-00874</t>
  </si>
  <si>
    <t>Coritiba 1 vs 1 Vasco da Gama</t>
  </si>
  <si>
    <t>Manly United</t>
  </si>
  <si>
    <t>SD Raiders</t>
  </si>
  <si>
    <t>Sydney United</t>
  </si>
  <si>
    <t>Western Sydney Youth</t>
  </si>
  <si>
    <t>St George Saints</t>
  </si>
  <si>
    <t>UNSW</t>
  </si>
  <si>
    <t>Wollongong Wolves</t>
  </si>
  <si>
    <t>Rockdale Ilinden</t>
  </si>
  <si>
    <t>EST-00875</t>
  </si>
  <si>
    <t>Manly United 3 vs 1 Marconi Stallions</t>
  </si>
  <si>
    <t>EST-00876</t>
  </si>
  <si>
    <t>SD Raiders 2 vs 1 Marconi Stallions</t>
  </si>
  <si>
    <t>EST-00877</t>
  </si>
  <si>
    <t>Marconi Stallions 0 vs 1 Sydney United</t>
  </si>
  <si>
    <t>EST-00878</t>
  </si>
  <si>
    <t>Marconi Stallions 3 vs 0 Western Sydney Youth</t>
  </si>
  <si>
    <t>EST-00879</t>
  </si>
  <si>
    <t>Marconi Stallions 2 vs 0 St George Saints</t>
  </si>
  <si>
    <t>EST-00880</t>
  </si>
  <si>
    <t>Marconi Stallions 2 vs 0 Blacktown City</t>
  </si>
  <si>
    <t>EST-00881</t>
  </si>
  <si>
    <t>Marconi Stallions 1 vs 0 UNSW</t>
  </si>
  <si>
    <t>EST-00882</t>
  </si>
  <si>
    <t>Marconi Stallions 0 vs 0 Sydney FC NPL</t>
  </si>
  <si>
    <t>EST-00883</t>
  </si>
  <si>
    <t>Marconi Stallions 1 vs 0 Wollongong Wolves</t>
  </si>
  <si>
    <t>EST-00884</t>
  </si>
  <si>
    <t>Marconi Stallions 1 vs 1 Rockdale Ilinden</t>
  </si>
  <si>
    <t>EST-00885</t>
  </si>
  <si>
    <t>Apia L Tigers 1 vs 1 Marconi Stallions</t>
  </si>
  <si>
    <t>Sutherland Sharks</t>
  </si>
  <si>
    <t>NWS Spirit</t>
  </si>
  <si>
    <t>EST-00886</t>
  </si>
  <si>
    <t>St George Saints 0 vs 0 Apia L Tigers</t>
  </si>
  <si>
    <t>EST-00887</t>
  </si>
  <si>
    <t>Apia L Tigers 4 vs 1 UNSW</t>
  </si>
  <si>
    <t>EST-00888</t>
  </si>
  <si>
    <t>Western Sydney Youth 3 vs 5 Apia L Tigers</t>
  </si>
  <si>
    <t>EST-00889</t>
  </si>
  <si>
    <t>Apia L Tigers 2 vs 1 Sydney FC NPL</t>
  </si>
  <si>
    <t>EST-00890</t>
  </si>
  <si>
    <t>Sutherland Sharks 3 vs 2 Apia L Tigers</t>
  </si>
  <si>
    <t>EST-00891</t>
  </si>
  <si>
    <t>Apia L Tigers 0 vs 2 Rockdale Ilinden</t>
  </si>
  <si>
    <t>EST-00892</t>
  </si>
  <si>
    <t>Blacktown City 1 vs 3 Apia L Tigers</t>
  </si>
  <si>
    <t>EST-00893</t>
  </si>
  <si>
    <t>Wollongong Wolves 0 vs 2 Apia L Tigers</t>
  </si>
  <si>
    <t>EST-00894</t>
  </si>
  <si>
    <t>Apia L Tigers 2 vs 0 Manly United</t>
  </si>
  <si>
    <t>EST-00895</t>
  </si>
  <si>
    <t>NWS Spirit 1 vs 2 Apia L Tigers</t>
  </si>
  <si>
    <t>NPL New South Wales</t>
  </si>
  <si>
    <t>AUS - NPL New South Wales</t>
  </si>
  <si>
    <t>EST-00896</t>
  </si>
  <si>
    <t>Sydney United 2 vs 0 NWS Spirit</t>
  </si>
  <si>
    <t>EST-00897</t>
  </si>
  <si>
    <t>St George City FA 1 vs 0 Sydney United</t>
  </si>
  <si>
    <t>EST-00898</t>
  </si>
  <si>
    <t>Sydney United 1 vs 0 Rockdale Ilinden</t>
  </si>
  <si>
    <t>EST-00899</t>
  </si>
  <si>
    <t>Blacktown City 0 vs 0 Sydney United</t>
  </si>
  <si>
    <t>EST-00900</t>
  </si>
  <si>
    <t>Sydney FC NPL 1 vs 0 Sydney United</t>
  </si>
  <si>
    <t>EST-00901</t>
  </si>
  <si>
    <t>Sydney United 1 vs 0 SD Raiders</t>
  </si>
  <si>
    <t>EST-00902</t>
  </si>
  <si>
    <t>Manly United 1 vs 1 Sydney United</t>
  </si>
  <si>
    <t>EST-00903</t>
  </si>
  <si>
    <t>Western Sydney Youth 0 vs 2 Sydney United</t>
  </si>
  <si>
    <t>EST-00904</t>
  </si>
  <si>
    <t>Sydney United 0 vs 1 Sutherland Sharks</t>
  </si>
  <si>
    <t>EST-00905</t>
  </si>
  <si>
    <t>UNSW 2 vs 0 Sydney United</t>
  </si>
  <si>
    <t>EST-00906</t>
  </si>
  <si>
    <t>St George Saints 1 vs 3 Sydney United</t>
  </si>
  <si>
    <t>EST-00907</t>
  </si>
  <si>
    <t>Sutherland Sharks 1 vs 1 Sydney FC NPL</t>
  </si>
  <si>
    <t>EST-00908</t>
  </si>
  <si>
    <t>Sutherland Sharks 2 vs 1 Wollongong Wolves</t>
  </si>
  <si>
    <t>EST-00909</t>
  </si>
  <si>
    <t>Rockdale Ilinden 1 vs 3 Sutherland Sharks</t>
  </si>
  <si>
    <t>EST-00910</t>
  </si>
  <si>
    <t>Sutherland Sharks 1 vs 1 Sydney Olympic</t>
  </si>
  <si>
    <t>EST-00911</t>
  </si>
  <si>
    <t>Manly United 2 vs 1 Sutherland Sharks</t>
  </si>
  <si>
    <t>EST-00912</t>
  </si>
  <si>
    <t>UNSW 1 vs 3 Sutherland Sharks</t>
  </si>
  <si>
    <t>EST-00913</t>
  </si>
  <si>
    <t>Western Sydney Youth 0 vs 3 Sutherland Sharks</t>
  </si>
  <si>
    <t>EST-00914</t>
  </si>
  <si>
    <t>Sutherland Sharks 1 vs 2 Blacktown City</t>
  </si>
  <si>
    <t>EST-00915</t>
  </si>
  <si>
    <t>St George Saints 1 vs 2 Sutherland Sharks</t>
  </si>
  <si>
    <t>EST-00916</t>
  </si>
  <si>
    <t>Sutherland Sharks 1 vs 0 NWS Spirit</t>
  </si>
  <si>
    <t>EST-00917</t>
  </si>
  <si>
    <t>St George City FA 1 vs 0 Rockdale Ilinden</t>
  </si>
  <si>
    <t>EST-00918</t>
  </si>
  <si>
    <t>Rockdale Ilinden 1 vs 1 Manly United</t>
  </si>
  <si>
    <t>EST-00919</t>
  </si>
  <si>
    <t>St George Saints 1 vs 6 Rockdale Ilinden</t>
  </si>
  <si>
    <t>EST-00920</t>
  </si>
  <si>
    <t>Rockdale Ilinden 1 vs 1 NWS Spirit</t>
  </si>
  <si>
    <t>EST-00921</t>
  </si>
  <si>
    <t>Sydney Olympic 0 vs 4 Rockdale Ilinden</t>
  </si>
  <si>
    <t>EST-00922</t>
  </si>
  <si>
    <t>Rockdale Ilinden 0 vs 1 SD Raiders</t>
  </si>
  <si>
    <t>EST-00923</t>
  </si>
  <si>
    <t>Blacktown City 1 vs 2 Rockdale Ilinden</t>
  </si>
  <si>
    <t>EST-00924</t>
  </si>
  <si>
    <t>Rockdale Ilinden 0 vs 5 Western Sydney Youth</t>
  </si>
  <si>
    <t>EST-00925</t>
  </si>
  <si>
    <t>Manly United 4 vs 0 Sydney Olympic</t>
  </si>
  <si>
    <t>EST-00926</t>
  </si>
  <si>
    <t>Sydney FC NPL 0 vs 0 Manly United</t>
  </si>
  <si>
    <t>EST-00927</t>
  </si>
  <si>
    <t>Manly United 1 vs 0 SD Raiders</t>
  </si>
  <si>
    <t>EST-00928</t>
  </si>
  <si>
    <t>Western Sydney Youth 3 vs 3 Manly United</t>
  </si>
  <si>
    <t>EST-00929</t>
  </si>
  <si>
    <t>Manly United 2 vs 0 St George Saints</t>
  </si>
  <si>
    <t>EST-00930</t>
  </si>
  <si>
    <t>Manly United 0 vs 0 Blacktown City</t>
  </si>
  <si>
    <t>EST-00931</t>
  </si>
  <si>
    <t>St George City FA 1 vs 2 Manly United</t>
  </si>
  <si>
    <t>EST-00932</t>
  </si>
  <si>
    <t>SD Raiders 3 vs 0 Western Sydney Youth</t>
  </si>
  <si>
    <t>EST-00933</t>
  </si>
  <si>
    <t>St George Saints 2 vs 3 SD Raiders</t>
  </si>
  <si>
    <t>EST-00934</t>
  </si>
  <si>
    <t>Wollongong Wolves 2 vs 3 SD Raiders</t>
  </si>
  <si>
    <t>EST-00935</t>
  </si>
  <si>
    <t>SD Raiders 1 vs 3 Blacktown City</t>
  </si>
  <si>
    <t>EST-00936</t>
  </si>
  <si>
    <t>SD Raiders 0 vs 1 Sydney FC NPL</t>
  </si>
  <si>
    <t>EST-00937</t>
  </si>
  <si>
    <t>SD Raiders 3 vs 1 St George City FA</t>
  </si>
  <si>
    <t>EST-00938</t>
  </si>
  <si>
    <t>Sydney Olympic 1 vs 1 SD Raiders</t>
  </si>
  <si>
    <t>EST-00939</t>
  </si>
  <si>
    <t>SD Raiders 2 vs 0 UNSW</t>
  </si>
  <si>
    <t>EST-00940</t>
  </si>
  <si>
    <t>St George Saints 0 vs 0 Sydney FC NPL</t>
  </si>
  <si>
    <t>EST-00941</t>
  </si>
  <si>
    <t>UNSW 3 vs 2 Sydney FC NPL</t>
  </si>
  <si>
    <t>EST-00942</t>
  </si>
  <si>
    <t>Wollongong Wolves 2 vs 3 Sydney FC NPL</t>
  </si>
  <si>
    <t>EST-00943</t>
  </si>
  <si>
    <t>Sydney FC NPL 1 vs 0 NWS Spirit</t>
  </si>
  <si>
    <t>EST-00944</t>
  </si>
  <si>
    <t>Sydney FC NPL 0 vs 6 Western Sydney Youth</t>
  </si>
  <si>
    <t>EST-00945</t>
  </si>
  <si>
    <t>Western Sydney Youth 2 vs 1 UNSW</t>
  </si>
  <si>
    <t>EST-00946</t>
  </si>
  <si>
    <t>NWS Spirit 0 vs 4 Western Sydney Youth</t>
  </si>
  <si>
    <t>EST-00947</t>
  </si>
  <si>
    <t>Western Sydney Youth 2 vs 1 Sydney Olympic</t>
  </si>
  <si>
    <t>EST-00948</t>
  </si>
  <si>
    <t>Western Sydney Youth 1 vs 1 St George City FA</t>
  </si>
  <si>
    <t>EST-00949</t>
  </si>
  <si>
    <t>NWS Spirit 3 vs 1 Blacktown City</t>
  </si>
  <si>
    <t>EST-00950</t>
  </si>
  <si>
    <t>UNSW 3 vs 1 NWS Spirit</t>
  </si>
  <si>
    <t>EST-00951</t>
  </si>
  <si>
    <t>NWS Spirit 3 vs 1 St George Saints</t>
  </si>
  <si>
    <t>EST-00952</t>
  </si>
  <si>
    <t>NWS Spirit 2 vs 0 Wollongong Wolves</t>
  </si>
  <si>
    <t>EST-00953</t>
  </si>
  <si>
    <t>St George City FA 1 vs 0 NWS Spirit</t>
  </si>
  <si>
    <t>EST-00954</t>
  </si>
  <si>
    <t>NWS Spirit 3 vs 0 Sydney Olympic</t>
  </si>
  <si>
    <t>EST-00955</t>
  </si>
  <si>
    <t>Blacktown City 3 vs 0 St George City FA</t>
  </si>
  <si>
    <t>EST-00956</t>
  </si>
  <si>
    <t>St George City FA 0 vs 2 UNSW</t>
  </si>
  <si>
    <t>EST-00957</t>
  </si>
  <si>
    <t>Wollongong Wolves 3 vs 3 St George City FA</t>
  </si>
  <si>
    <t>EST-00958</t>
  </si>
  <si>
    <t>St George City FA 1 vs 1 Sydney Olympic</t>
  </si>
  <si>
    <t>EST-00959</t>
  </si>
  <si>
    <t>St George Saints 0 vs 1 St George City FA</t>
  </si>
  <si>
    <t>EST-00960</t>
  </si>
  <si>
    <t>Wollongong Wolves 0 vs 2 Blacktown City</t>
  </si>
  <si>
    <t>EST-00961</t>
  </si>
  <si>
    <t>Sydney Olympic 3 vs 2 Wollongong Wolves</t>
  </si>
  <si>
    <t>EST-00962</t>
  </si>
  <si>
    <t>UNSW 1 vs 0 Wollongong Wolves</t>
  </si>
  <si>
    <t>EST-00963</t>
  </si>
  <si>
    <t>Wollongong Wolves 2 vs 0 St George Saints</t>
  </si>
  <si>
    <t>EST-00964</t>
  </si>
  <si>
    <t>Manly United 0 vs 1 Wollongong Wolves</t>
  </si>
  <si>
    <t>EST-00965</t>
  </si>
  <si>
    <t>Blacktown City 0 vs 2 Sydney Olympic</t>
  </si>
  <si>
    <t>EST-00966</t>
  </si>
  <si>
    <t>UNSW 1 vs 3 Sydney Olympic</t>
  </si>
  <si>
    <t>EST-00967</t>
  </si>
  <si>
    <t>UNSW 1 vs 4 St George Saints</t>
  </si>
  <si>
    <t>EST-00968</t>
  </si>
  <si>
    <t>St George Saints 1 vs 2 Sydney Olympic</t>
  </si>
  <si>
    <t>Oakleigh Cannons</t>
  </si>
  <si>
    <t>Bentleigh Greens</t>
  </si>
  <si>
    <t>Hume City</t>
  </si>
  <si>
    <t>Avondale FC</t>
  </si>
  <si>
    <t>Caroline Springs George Cross</t>
  </si>
  <si>
    <t>Heidelberg United</t>
  </si>
  <si>
    <t>Melbourne City U21</t>
  </si>
  <si>
    <t>Altona Magic</t>
  </si>
  <si>
    <t>Preston Lions</t>
  </si>
  <si>
    <t>Dandenong City</t>
  </si>
  <si>
    <t>Dandenong Thunder</t>
  </si>
  <si>
    <t>EST-00969</t>
  </si>
  <si>
    <t>Bentleigh Greens 0 vs 0 Oakleigh Cannons</t>
  </si>
  <si>
    <t>EST-00970</t>
  </si>
  <si>
    <t>Oakleigh Cannons 1 vs 2 South Melbourne</t>
  </si>
  <si>
    <t>EST-00971</t>
  </si>
  <si>
    <t>Hume City 0 vs 1 Oakleigh Cannons</t>
  </si>
  <si>
    <t>EST-00972</t>
  </si>
  <si>
    <t>Oakleigh Cannons 2 vs 0 Avondale FC</t>
  </si>
  <si>
    <t>EST-00973</t>
  </si>
  <si>
    <t>Caroline Springs George Cross 1 vs 1 Oakleigh Cannons</t>
  </si>
  <si>
    <t>EST-00974</t>
  </si>
  <si>
    <t>Heidelberg United 0 vs 1 Oakleigh Cannons</t>
  </si>
  <si>
    <t>EST-00975</t>
  </si>
  <si>
    <t>Oakleigh Cannons 3 vs 1 Melbourne City U21</t>
  </si>
  <si>
    <t>EST-00976</t>
  </si>
  <si>
    <t>Oakleigh Cannons 2 vs 2 St Albans Saints</t>
  </si>
  <si>
    <t>EST-00977</t>
  </si>
  <si>
    <t>Altona Magic 0 vs 2 Oakleigh Cannons</t>
  </si>
  <si>
    <t>EST-00978</t>
  </si>
  <si>
    <t>Preston Lions 0 vs 1 Oakleigh Cannons</t>
  </si>
  <si>
    <t>EST-00979</t>
  </si>
  <si>
    <t>Dandenong City 1 vs 1 Oakleigh Cannons</t>
  </si>
  <si>
    <t>EST-00980</t>
  </si>
  <si>
    <t>Oakleigh Cannons 2 vs 0 Dandenong Thunder</t>
  </si>
  <si>
    <t>Green Gully</t>
  </si>
  <si>
    <t>EST-00981</t>
  </si>
  <si>
    <t>Hume City 1 vs 0 Melbourne City U21</t>
  </si>
  <si>
    <t>EST-00982</t>
  </si>
  <si>
    <t>St Albans Saints 3 vs 2 Hume City</t>
  </si>
  <si>
    <t>EST-00983</t>
  </si>
  <si>
    <t>Preston Lions 2 vs 1 Hume City</t>
  </si>
  <si>
    <t>EST-00984</t>
  </si>
  <si>
    <t>Hume City 0 vs 0 Dandenong City</t>
  </si>
  <si>
    <t>EST-00985</t>
  </si>
  <si>
    <t>Dandenong Thunder 1 vs 3 Hume City</t>
  </si>
  <si>
    <t>EST-00986</t>
  </si>
  <si>
    <t>Hume City 3 vs 2 Green Gully</t>
  </si>
  <si>
    <t>EST-00987</t>
  </si>
  <si>
    <t>Bentleigh Greens 1 vs 5 Hume City</t>
  </si>
  <si>
    <t>EST-00988</t>
  </si>
  <si>
    <t>Hume City 1 vs 1 South Melbourne</t>
  </si>
  <si>
    <t>EST-00989</t>
  </si>
  <si>
    <t>Altona Magic 1 vs 3 Hume City</t>
  </si>
  <si>
    <t>EST-00990</t>
  </si>
  <si>
    <t>Caroline Springs George Cross 2 vs 4 Hume City</t>
  </si>
  <si>
    <t>EST-00991</t>
  </si>
  <si>
    <t>Hume City 2 vs 1 Heidelberg United</t>
  </si>
  <si>
    <t>EST-00992</t>
  </si>
  <si>
    <t>Avondale FC 2 vs 1 Heidelberg United</t>
  </si>
  <si>
    <t>EST-00993</t>
  </si>
  <si>
    <t>Melbourne City U21 2 vs 3 Avondale FC</t>
  </si>
  <si>
    <t>EST-00994</t>
  </si>
  <si>
    <t>Avondale FC 1 vs 1 St Albans Saints</t>
  </si>
  <si>
    <t>EST-00995</t>
  </si>
  <si>
    <t>Avondale FC 2 vs 3 Preston Lions</t>
  </si>
  <si>
    <t>EST-00996</t>
  </si>
  <si>
    <t>Dandenong City 3 vs 1 Avondale FC</t>
  </si>
  <si>
    <t>EST-00997</t>
  </si>
  <si>
    <t>Avondale FC 11 vs 0 Dandenong Thunder</t>
  </si>
  <si>
    <t>EST-00998</t>
  </si>
  <si>
    <t>Green Gully 0 vs 2 Avondale FC</t>
  </si>
  <si>
    <t>EST-00999</t>
  </si>
  <si>
    <t>Avondale FC 4 vs 0 Bentleigh Greens</t>
  </si>
  <si>
    <t>EST-01000</t>
  </si>
  <si>
    <t>South Melbourne 0 vs 4 Avondale FC</t>
  </si>
  <si>
    <t>EST-01001</t>
  </si>
  <si>
    <t>Hume City 3 vs 0 Avondale FC</t>
  </si>
  <si>
    <t>EST-01002</t>
  </si>
  <si>
    <t>Avondale FC 5 vs 1 Altona Magic</t>
  </si>
  <si>
    <t>EST-01003</t>
  </si>
  <si>
    <t>South Melbourne 0 vs 0 Preston Lions</t>
  </si>
  <si>
    <t>EST-01004</t>
  </si>
  <si>
    <t>Dandenong City 0 vs 2 South Melbourne</t>
  </si>
  <si>
    <t>EST-01005</t>
  </si>
  <si>
    <t>South Melbourne 1 vs 0 Dandenong Thunder</t>
  </si>
  <si>
    <t>EST-01006</t>
  </si>
  <si>
    <t>South Melbourne 1 vs 2 Green Gully</t>
  </si>
  <si>
    <t>EST-01007</t>
  </si>
  <si>
    <t>Bentleigh Greens 1 vs 5 South Melbourne</t>
  </si>
  <si>
    <t>EST-01008</t>
  </si>
  <si>
    <t>South Melbourne 2 vs 3 Altona Magic</t>
  </si>
  <si>
    <t>EST-01009</t>
  </si>
  <si>
    <t>South Melbourne 0 vs 4 Caroline Springs George Cross</t>
  </si>
  <si>
    <t>EST-01010</t>
  </si>
  <si>
    <t>Heidelberg United 4 vs 0 South Melbourne</t>
  </si>
  <si>
    <t>EST-01011</t>
  </si>
  <si>
    <t>Preston Lions 2 vs 2 Green Gully</t>
  </si>
  <si>
    <t>EST-01012</t>
  </si>
  <si>
    <t>Preston Lions 1 vs 0 Bentleigh Greens</t>
  </si>
  <si>
    <t>EST-01013</t>
  </si>
  <si>
    <t>Caroline Springs George Cross 0 vs 2 Preston Lions</t>
  </si>
  <si>
    <t>EST-01014</t>
  </si>
  <si>
    <t>Heidelberg United 0 vs 1 Preston Lions</t>
  </si>
  <si>
    <t>EST-01015</t>
  </si>
  <si>
    <t>St Albans Saints 0 vs 1 Preston Lions</t>
  </si>
  <si>
    <t>EST-01016</t>
  </si>
  <si>
    <t>Altona Magic 1 vs 0 Preston Lions</t>
  </si>
  <si>
    <t>EST-01017</t>
  </si>
  <si>
    <t>Preston Lions 1 vs 0 Dandenong City</t>
  </si>
  <si>
    <t>EST-01018</t>
  </si>
  <si>
    <t>Dandenong Thunder 0 vs 1 Preston Lions</t>
  </si>
  <si>
    <t>EST-01019</t>
  </si>
  <si>
    <t>Heidelberg United 0 vs 0 Caroline Springs George Cross</t>
  </si>
  <si>
    <t>EST-01020</t>
  </si>
  <si>
    <t>Altona Magic 0 vs 0 Heidelberg United</t>
  </si>
  <si>
    <t>EST-01021</t>
  </si>
  <si>
    <t>Melbourne City U21 2 vs 2 Heidelberg United</t>
  </si>
  <si>
    <t>EST-01022</t>
  </si>
  <si>
    <t>Heidelberg United 1 vs 1 St Albans Saints</t>
  </si>
  <si>
    <t>EST-01023</t>
  </si>
  <si>
    <t>Dandenong City 4 vs 1 Heidelberg United</t>
  </si>
  <si>
    <t>EST-01024</t>
  </si>
  <si>
    <t>Heidelberg United 4 vs 2 Dandenong Thunder</t>
  </si>
  <si>
    <t>EST-01025</t>
  </si>
  <si>
    <t>Green Gully 0 vs 1 Heidelberg United</t>
  </si>
  <si>
    <t>EST-01026</t>
  </si>
  <si>
    <t>Bentleigh Greens 2 vs 2 Heidelberg United</t>
  </si>
  <si>
    <t>EST-01027</t>
  </si>
  <si>
    <t>Altona Magic 1 vs 1 Caroline Springs George Cross</t>
  </si>
  <si>
    <t>EST-01028</t>
  </si>
  <si>
    <t>Caroline Springs George Cross 1 vs 0 Melbourne City U21</t>
  </si>
  <si>
    <t>EST-01029</t>
  </si>
  <si>
    <t>St Albans Saints 2 vs 2 Caroline Springs George Cross</t>
  </si>
  <si>
    <t>EST-01030</t>
  </si>
  <si>
    <t>Caroline Springs George Cross 3 vs 2 Dandenong City</t>
  </si>
  <si>
    <t>EST-01031</t>
  </si>
  <si>
    <t>Dandenong Thunder 2 vs 3 Caroline Springs George Cross</t>
  </si>
  <si>
    <t>EST-01032</t>
  </si>
  <si>
    <t>Caroline Springs George Cross 0 vs 0 Green Gully</t>
  </si>
  <si>
    <t>EST-01033</t>
  </si>
  <si>
    <t>Bentleigh Greens 0 vs 0 Caroline Springs George Cross</t>
  </si>
  <si>
    <t>EST-01034</t>
  </si>
  <si>
    <t>Altona Magic 0 vs 3 Melbourne City U21</t>
  </si>
  <si>
    <t>EST-01035</t>
  </si>
  <si>
    <t>St Albans Saints 0 vs 2 Melbourne City U21</t>
  </si>
  <si>
    <t>EST-01036</t>
  </si>
  <si>
    <t>Melbourne City U21 0 vs 1 Dandenong City</t>
  </si>
  <si>
    <t>EST-01037</t>
  </si>
  <si>
    <t>Melbourne City U21 2 vs 0 Dandenong Thunder</t>
  </si>
  <si>
    <t>EST-01038</t>
  </si>
  <si>
    <t>Green Gully 1 vs 3 Melbourne City U21</t>
  </si>
  <si>
    <t>EST-01039</t>
  </si>
  <si>
    <t>Bentleigh Greens 0 vs 7 Melbourne City U21</t>
  </si>
  <si>
    <t>EST-01040</t>
  </si>
  <si>
    <t>South Melbourne 1 vs 2 Melbourne City U21</t>
  </si>
  <si>
    <t>EST-01041</t>
  </si>
  <si>
    <t>Dandenong Thunder 0 vs 2 Altona Magic</t>
  </si>
  <si>
    <t>EST-01042</t>
  </si>
  <si>
    <t>Green Gully 1 vs 3 Altona Magic</t>
  </si>
  <si>
    <t>EST-01043</t>
  </si>
  <si>
    <t>Bentleigh Greens 0 vs 1 Altona Magic</t>
  </si>
  <si>
    <t>EST-01044</t>
  </si>
  <si>
    <t>St Albans Saints 2 vs 1 Altona Magic</t>
  </si>
  <si>
    <t>EST-01045</t>
  </si>
  <si>
    <t>Dandenong City 2 vs 1 St Albans Saints</t>
  </si>
  <si>
    <t>EST-01046</t>
  </si>
  <si>
    <t>Dandenong Thunder 2 vs 2 St Albans Saints</t>
  </si>
  <si>
    <t>EST-01047</t>
  </si>
  <si>
    <t>St Albans Saints 1 vs 0 Green Gully</t>
  </si>
  <si>
    <t>EST-01048</t>
  </si>
  <si>
    <t>Dandenong Thunder 0 vs 3 Dandenong City</t>
  </si>
  <si>
    <t>EST-01049</t>
  </si>
  <si>
    <t>Green Gully 0 vs 0 Dandenong City</t>
  </si>
  <si>
    <t>EST-01050</t>
  </si>
  <si>
    <t>Bentleigh Greens 2 vs 1 Dandenong City</t>
  </si>
  <si>
    <t>EST-01051</t>
  </si>
  <si>
    <t>Dandenong Thunder 2 vs 1 Bentleigh Greens</t>
  </si>
  <si>
    <t>EST-01052</t>
  </si>
  <si>
    <t>Green Gully 3 vs 0 Bentleigh Greens</t>
  </si>
  <si>
    <t>EST-01053</t>
  </si>
  <si>
    <t>Green Gully 3 vs 1 Dandenong Thunder</t>
  </si>
  <si>
    <t>EST-01054</t>
  </si>
  <si>
    <t>Blooming 1 vs 1 GV San José</t>
  </si>
  <si>
    <t>EST-01055</t>
  </si>
  <si>
    <t>Oriente Petrolero 0 vs 1 Blooming</t>
  </si>
  <si>
    <t>EST-01056</t>
  </si>
  <si>
    <t>Real Potosí 0 vs 0 GV San José</t>
  </si>
  <si>
    <t>EST-01057</t>
  </si>
  <si>
    <t>GV San José 2 vs 1 Universitario de Vinto</t>
  </si>
  <si>
    <t>EST-01058</t>
  </si>
  <si>
    <t>Oriente Petrolero 2 vs 0 Real Potosí</t>
  </si>
  <si>
    <t>EST-01059</t>
  </si>
  <si>
    <t>Oriente Petrolero 2 vs 1 GV San José</t>
  </si>
  <si>
    <t>EST-01060</t>
  </si>
  <si>
    <t>Universitario de Vinto 1 vs 1 Blooming</t>
  </si>
  <si>
    <t>Premier League</t>
  </si>
  <si>
    <t>CAN - Premier League</t>
  </si>
  <si>
    <t>Forge FC</t>
  </si>
  <si>
    <t>HFX Wanderers</t>
  </si>
  <si>
    <t>Inter Toronto</t>
  </si>
  <si>
    <t>EST-01061</t>
  </si>
  <si>
    <t>Forge FC 0 vs 1 Vancouver FC</t>
  </si>
  <si>
    <t>EST-01062</t>
  </si>
  <si>
    <t>HFX Wanderers 0 vs 0 Forge FC</t>
  </si>
  <si>
    <t>EST-01063</t>
  </si>
  <si>
    <t>Inter Toronto 1 vs 3 Forge FC</t>
  </si>
  <si>
    <t>EST-01064</t>
  </si>
  <si>
    <t>Supra du Québec 1 vs 2 Forge FC</t>
  </si>
  <si>
    <t>EST-01065</t>
  </si>
  <si>
    <t>Forge FC 3 vs 2 Vancouver FC</t>
  </si>
  <si>
    <t>EST-01066</t>
  </si>
  <si>
    <t>Forge FC 1 vs 0 HFX Wanderers</t>
  </si>
  <si>
    <t>EST-01067</t>
  </si>
  <si>
    <t>Inter Toronto 1 vs 4 Forge FC</t>
  </si>
  <si>
    <t>EST-01068</t>
  </si>
  <si>
    <t>Forge FC 1 vs 0 Cavalry FC</t>
  </si>
  <si>
    <t>EST-01069</t>
  </si>
  <si>
    <t>Atlético Ottawa 2 vs 1 Forge FC</t>
  </si>
  <si>
    <t>EST-01070</t>
  </si>
  <si>
    <t>Forge FC 1 vs 0 Supra du Québec</t>
  </si>
  <si>
    <t>EST-01071</t>
  </si>
  <si>
    <t>HFX Wanderers 1 vs 3 Forge FC</t>
  </si>
  <si>
    <t>EST-01072</t>
  </si>
  <si>
    <t>Pacific FC 0 vs 1 Forge FC</t>
  </si>
  <si>
    <t>EST-01073</t>
  </si>
  <si>
    <t>Cavalry FC 5 vs 0 Inter Toronto</t>
  </si>
  <si>
    <t>EST-01074</t>
  </si>
  <si>
    <t>Vancouver FC 1 vs 0 Cavalry FC</t>
  </si>
  <si>
    <t>EST-01075</t>
  </si>
  <si>
    <t>Cavalry FC 1 vs 1 HFX Wanderers</t>
  </si>
  <si>
    <t>EST-01076</t>
  </si>
  <si>
    <t>Atlético Ottawa 0 vs 3 Cavalry FC</t>
  </si>
  <si>
    <t>EST-01077</t>
  </si>
  <si>
    <t>Inter Toronto 1 vs 5 Cavalry FC</t>
  </si>
  <si>
    <t>EST-01078</t>
  </si>
  <si>
    <t>Cavalry FC 2 vs 0 HFX Wanderers</t>
  </si>
  <si>
    <t>EST-01079</t>
  </si>
  <si>
    <t>Cavalry FC 3 vs 0 Pacific FC</t>
  </si>
  <si>
    <t>EST-01080</t>
  </si>
  <si>
    <t>Vancouver FC 0 vs 2 Cavalry FC</t>
  </si>
  <si>
    <t>EST-01081</t>
  </si>
  <si>
    <t>Supra du Québec 0 vs 1 Cavalry FC</t>
  </si>
  <si>
    <t>EST-01082</t>
  </si>
  <si>
    <t>Cavalry FC 1 vs 1 Inter Toronto</t>
  </si>
  <si>
    <t>EST-01083</t>
  </si>
  <si>
    <t>Supra du Québec 1 vs 5 Vancouver FC</t>
  </si>
  <si>
    <t>EST-01084</t>
  </si>
  <si>
    <t>Vancouver FC 4 vs 0 Inter Toronto</t>
  </si>
  <si>
    <t>EST-01085</t>
  </si>
  <si>
    <t>Vancouver FC 2 vs 1 Pacific FC</t>
  </si>
  <si>
    <t>EST-01086</t>
  </si>
  <si>
    <t>Vancouver FC 2 vs 1 Atlético Ottawa</t>
  </si>
  <si>
    <t>EST-01087</t>
  </si>
  <si>
    <t>HFX Wanderers 1 vs 0 Vancouver FC</t>
  </si>
  <si>
    <t>EST-01088</t>
  </si>
  <si>
    <t>Vancouver FC 1 vs 1 Supra du Québec</t>
  </si>
  <si>
    <t>EST-01089</t>
  </si>
  <si>
    <t>Pacific FC 1 vs 3 Vancouver FC</t>
  </si>
  <si>
    <t>EST-01090</t>
  </si>
  <si>
    <t>Atlético Ottawa 2 vs 1 HFX Wanderers</t>
  </si>
  <si>
    <t>EST-01091</t>
  </si>
  <si>
    <t>Atlético Ottawa 3 vs 2 Pacific FC</t>
  </si>
  <si>
    <t>EST-01092</t>
  </si>
  <si>
    <t>Atlético Ottawa 1 vs 1 Inter Toronto</t>
  </si>
  <si>
    <t>EST-01093</t>
  </si>
  <si>
    <t>HFX Wanderers 1 vs 3 Atlético Ottawa</t>
  </si>
  <si>
    <t>EST-01094</t>
  </si>
  <si>
    <t>Atlético Ottawa 5 vs 3 Supra du Québec</t>
  </si>
  <si>
    <t>EST-01095</t>
  </si>
  <si>
    <t>Pacific FC 2 vs 2 Atlético Ottawa</t>
  </si>
  <si>
    <t>EST-01096</t>
  </si>
  <si>
    <t>Atlético Ottawa 1 vs 0 HFX Wanderers</t>
  </si>
  <si>
    <t>EST-01097</t>
  </si>
  <si>
    <t>Inter Toronto 4 vs 1 Atlético Ottawa</t>
  </si>
  <si>
    <t>EST-01098</t>
  </si>
  <si>
    <t>HFX Wanderers 2 vs 3 Supra du Québec</t>
  </si>
  <si>
    <t>EST-01099</t>
  </si>
  <si>
    <t>Supra du Québec 1 vs 1 Pacific FC</t>
  </si>
  <si>
    <t>EST-01100</t>
  </si>
  <si>
    <t>Supra du Québec 3 vs 1 Inter Toronto</t>
  </si>
  <si>
    <t>EST-01101</t>
  </si>
  <si>
    <t>Supra du Québec 2 vs 1 HFX Wanderers</t>
  </si>
  <si>
    <t>EST-01102</t>
  </si>
  <si>
    <t>Pacific FC 1 vs 2 HFX Wanderers</t>
  </si>
  <si>
    <t>EST-01103</t>
  </si>
  <si>
    <t>HFX Wanderers 5 vs 2 Pacific FC</t>
  </si>
  <si>
    <t>EST-01104</t>
  </si>
  <si>
    <t>HFX Wanderers 1 vs 1 Inter Toronto</t>
  </si>
  <si>
    <t>EST-01105</t>
  </si>
  <si>
    <t>Pacific FC 1 vs 1 Inter Toronto</t>
  </si>
  <si>
    <t>EST-01106</t>
  </si>
  <si>
    <t>Pacific FC 0 vs 1 Inter Toronto</t>
  </si>
  <si>
    <t>KuPS</t>
  </si>
  <si>
    <t>IF Gnistan</t>
  </si>
  <si>
    <t>Ilves</t>
  </si>
  <si>
    <t>TPS</t>
  </si>
  <si>
    <t>Inter Turku</t>
  </si>
  <si>
    <t>FC Lahti</t>
  </si>
  <si>
    <t>IFK Mariehamn</t>
  </si>
  <si>
    <t>EST-01107</t>
  </si>
  <si>
    <t>IF Gnistan 0 vs 1 KuPS</t>
  </si>
  <si>
    <t>EST-01108</t>
  </si>
  <si>
    <t>KuPS 3 vs 1 VPS Vaasa</t>
  </si>
  <si>
    <t>EST-01109</t>
  </si>
  <si>
    <t>SJK 0 vs 2 KuPS</t>
  </si>
  <si>
    <t>EST-01110</t>
  </si>
  <si>
    <t>HJK Helsinki 0 vs 4 KuPS</t>
  </si>
  <si>
    <t>EST-01111</t>
  </si>
  <si>
    <t>KuPS 4 vs 3 Ilves</t>
  </si>
  <si>
    <t>EST-01112</t>
  </si>
  <si>
    <t>TPS 1 vs 2 KuPS</t>
  </si>
  <si>
    <t>EST-01113</t>
  </si>
  <si>
    <t>VPS Vaasa 1 vs 1 KuPS</t>
  </si>
  <si>
    <t>EST-01114</t>
  </si>
  <si>
    <t>KuPS 1 vs 1 Inter Turku</t>
  </si>
  <si>
    <t>EST-01115</t>
  </si>
  <si>
    <t>KuPS 2 vs 1 FC Lahti</t>
  </si>
  <si>
    <t>EST-01116</t>
  </si>
  <si>
    <t>KuPS 3 vs 0 FF Jaro</t>
  </si>
  <si>
    <t>EST-01117</t>
  </si>
  <si>
    <t>IFK Mariehamn 1 vs 1 KuPS</t>
  </si>
  <si>
    <t>EST-01118</t>
  </si>
  <si>
    <t>KuPS 0 vs 0 SJK</t>
  </si>
  <si>
    <t>AC Oulu</t>
  </si>
  <si>
    <t>EST-01119</t>
  </si>
  <si>
    <t>TPS 3 vs 0 IFK Mariehamn</t>
  </si>
  <si>
    <t>EST-01120</t>
  </si>
  <si>
    <t>HJK Helsinki 1 vs 0 TPS</t>
  </si>
  <si>
    <t>EST-01121</t>
  </si>
  <si>
    <t>TPS 1 vs 3 Ilves</t>
  </si>
  <si>
    <t>EST-01122</t>
  </si>
  <si>
    <t>TPS 3 vs 0 AC Oulu</t>
  </si>
  <si>
    <t>EST-01123</t>
  </si>
  <si>
    <t>SJK 3 vs 1 TPS</t>
  </si>
  <si>
    <t>EST-01124</t>
  </si>
  <si>
    <t>TPS 3 vs 2 FF Jaro</t>
  </si>
  <si>
    <t>EST-01125</t>
  </si>
  <si>
    <t>FC Lahti 0 vs 0 TPS</t>
  </si>
  <si>
    <t>EST-01126</t>
  </si>
  <si>
    <t>Ilves 1 vs 0 TPS</t>
  </si>
  <si>
    <t>EST-01127</t>
  </si>
  <si>
    <t>TPS 1 vs 0 VPS Vaasa</t>
  </si>
  <si>
    <t>EST-01128</t>
  </si>
  <si>
    <t>Inter Turku 2 vs 1 TPS</t>
  </si>
  <si>
    <t>EST-01129</t>
  </si>
  <si>
    <t>AC Oulu 1 vs 0 TPS</t>
  </si>
  <si>
    <t>VPS Vaasa 0 vs 1 Inter Turku</t>
  </si>
  <si>
    <t>EST-01131</t>
  </si>
  <si>
    <t>Inter Turku 1 vs 2 IF Gnistan</t>
  </si>
  <si>
    <t>EST-01132</t>
  </si>
  <si>
    <t>FF Jaro 0 vs 0 Inter Turku</t>
  </si>
  <si>
    <t>EST-01133</t>
  </si>
  <si>
    <t>IFK Mariehamn 0 vs 2 Inter Turku</t>
  </si>
  <si>
    <t>EST-01134</t>
  </si>
  <si>
    <t>HJK Helsinki 3 vs 3 Inter Turku</t>
  </si>
  <si>
    <t>EST-01135</t>
  </si>
  <si>
    <t>Inter Turku 0 vs 0 AC Oulu</t>
  </si>
  <si>
    <t>EST-01136</t>
  </si>
  <si>
    <t>Ilves 1 vs 3 Inter Turku</t>
  </si>
  <si>
    <t>EST-01137</t>
  </si>
  <si>
    <t>SJK 1 vs 3 Inter Turku</t>
  </si>
  <si>
    <t>EST-01138</t>
  </si>
  <si>
    <t>IF Gnistan 2 vs 0 Inter Turku</t>
  </si>
  <si>
    <t>EST-01139</t>
  </si>
  <si>
    <t>Inter Turku 1 vs 1 HJK Helsinki</t>
  </si>
  <si>
    <t>EST-01140</t>
  </si>
  <si>
    <t>FC Lahti 2 vs 0 FF Jaro</t>
  </si>
  <si>
    <t>EST-01141</t>
  </si>
  <si>
    <t>Ilves 1 vs 0 FC Lahti</t>
  </si>
  <si>
    <t>EST-01142</t>
  </si>
  <si>
    <t>IFK Mariehamn 0 vs 2 FC Lahti</t>
  </si>
  <si>
    <t>EST-01143</t>
  </si>
  <si>
    <t>FC Lahti 2 vs 0 HJK Helsinki</t>
  </si>
  <si>
    <t>EST-01144</t>
  </si>
  <si>
    <t>FC Lahti 1 vs 0 IF Gnistan</t>
  </si>
  <si>
    <t>EST-01145</t>
  </si>
  <si>
    <t>AC Oulu 1 vs 1 FC Lahti</t>
  </si>
  <si>
    <t>EST-01146</t>
  </si>
  <si>
    <t>IF Gnistan 1 vs 0 FC Lahti</t>
  </si>
  <si>
    <t>EST-01147</t>
  </si>
  <si>
    <t>FC Lahti 2 vs 3 SJK</t>
  </si>
  <si>
    <t>EST-01148</t>
  </si>
  <si>
    <t>FC Lahti 5 vs 0 Ilves</t>
  </si>
  <si>
    <t>EST-01149</t>
  </si>
  <si>
    <t>FC Lahti 1 vs 1 VPS Vaasa</t>
  </si>
  <si>
    <t>EST-01150</t>
  </si>
  <si>
    <t>AC Oulu 1 vs 0 Ilves</t>
  </si>
  <si>
    <t>EST-01151</t>
  </si>
  <si>
    <t>FF Jaro 2 vs 1 Ilves</t>
  </si>
  <si>
    <t>EST-01152</t>
  </si>
  <si>
    <t>Ilves 2 vs 2 SJK</t>
  </si>
  <si>
    <t>EST-01153</t>
  </si>
  <si>
    <t>Ilves 5 vs 0 FF Jaro</t>
  </si>
  <si>
    <t>EST-01154</t>
  </si>
  <si>
    <t>Ilves 2 vs 0 IF Gnistan</t>
  </si>
  <si>
    <t>EST-01155</t>
  </si>
  <si>
    <t>HJK Helsinki 2 vs 2 Ilves</t>
  </si>
  <si>
    <t>EST-01156</t>
  </si>
  <si>
    <t>IFK Mariehamn 1 vs 1 AC Oulu</t>
  </si>
  <si>
    <t>EST-01157</t>
  </si>
  <si>
    <t>IF Gnistan 4 vs 2 IFK Mariehamn</t>
  </si>
  <si>
    <t>EST-01158</t>
  </si>
  <si>
    <t>VPS Vaasa 4 vs 0 IFK Mariehamn</t>
  </si>
  <si>
    <t>EST-01159</t>
  </si>
  <si>
    <t>IFK Mariehamn 0 vs 4 HJK Helsinki</t>
  </si>
  <si>
    <t>EST-01160</t>
  </si>
  <si>
    <t>AC Oulu 2 vs 1 IFK Mariehamn</t>
  </si>
  <si>
    <t>EST-01161</t>
  </si>
  <si>
    <t>IFK Mariehamn 0 vs 3 IF Gnistan</t>
  </si>
  <si>
    <t>EST-01162</t>
  </si>
  <si>
    <t>HJK Helsinki 1 vs 0 IFK Mariehamn</t>
  </si>
  <si>
    <t>EST-01163</t>
  </si>
  <si>
    <t>FF Jaro 3 vs 0 IFK Mariehamn</t>
  </si>
  <si>
    <t>EST-01164</t>
  </si>
  <si>
    <t>AC Oulu 0 vs 2 IF Gnistan</t>
  </si>
  <si>
    <t>EST-01165</t>
  </si>
  <si>
    <t>VPS Vaasa 5 vs 1 AC Oulu</t>
  </si>
  <si>
    <t>EST-01166</t>
  </si>
  <si>
    <t>AC Oulu 2 vs 1 FF Jaro</t>
  </si>
  <si>
    <t>EST-01167</t>
  </si>
  <si>
    <t>SJK 0 vs 1 AC Oulu</t>
  </si>
  <si>
    <t>EST-01168</t>
  </si>
  <si>
    <t>Ilves 1 vs 0 AC Oulu</t>
  </si>
  <si>
    <t>EST-01169</t>
  </si>
  <si>
    <t>HJK Helsinki 2 vs 1 VPS Vaasa</t>
  </si>
  <si>
    <t>EST-01170</t>
  </si>
  <si>
    <t>FF Jaro 2 vs 5 HJK Helsinki</t>
  </si>
  <si>
    <t>EST-01171</t>
  </si>
  <si>
    <t>VPS Vaasa 2 vs 1 HJK Helsinki</t>
  </si>
  <si>
    <t>EST-01172</t>
  </si>
  <si>
    <t>VPS Vaasa 1 vs 0 SJK</t>
  </si>
  <si>
    <t>EST-01173</t>
  </si>
  <si>
    <t>IF Gnistan 1 vs 1 VPS Vaasa</t>
  </si>
  <si>
    <t>EST-01174</t>
  </si>
  <si>
    <t>SJK 1 vs 2 VPS Vaasa</t>
  </si>
  <si>
    <t>EST-01175</t>
  </si>
  <si>
    <t>FF Jaro 2 vs 1 SJK</t>
  </si>
  <si>
    <t>EST-01176</t>
  </si>
  <si>
    <t>FF Jaro 1 vs 1 IF Gnistan</t>
  </si>
  <si>
    <t>EST-01177</t>
  </si>
  <si>
    <t>IF Gnistan 5 vs 0 FF Jaro</t>
  </si>
  <si>
    <t>EST-01178</t>
  </si>
  <si>
    <t>SJK 2 vs 2 IF Gnistan</t>
  </si>
  <si>
    <t>Ekenas</t>
  </si>
  <si>
    <t>KaPa</t>
  </si>
  <si>
    <t>EST-01179</t>
  </si>
  <si>
    <t>Ekenas 2 vs 0 Klubi 04</t>
  </si>
  <si>
    <t>EST-01180</t>
  </si>
  <si>
    <t>EST-01181</t>
  </si>
  <si>
    <t>KaPa 0 vs 2 Klubi 04</t>
  </si>
  <si>
    <t>EST-01182</t>
  </si>
  <si>
    <t>Klubi 04 0 vs 2 Jippo</t>
  </si>
  <si>
    <t>EST-01183</t>
  </si>
  <si>
    <t>Mikkeli 2 vs 2 Klubi 04</t>
  </si>
  <si>
    <t>EST-01184</t>
  </si>
  <si>
    <t>Klubi 04 0 vs 1 KTP</t>
  </si>
  <si>
    <t>EST-01185</t>
  </si>
  <si>
    <t>Jippo 1 vs 1 Klubi 04</t>
  </si>
  <si>
    <t>EST-01186</t>
  </si>
  <si>
    <t>SJK Akatemia 0 vs 3 PK-35</t>
  </si>
  <si>
    <t>EST-01187</t>
  </si>
  <si>
    <t>JäPS 0 vs 1 KTP</t>
  </si>
  <si>
    <t>EST-01188</t>
  </si>
  <si>
    <t>Haka 3 vs 0 Jippo</t>
  </si>
  <si>
    <t>EST-01189</t>
  </si>
  <si>
    <t>EST-01190</t>
  </si>
  <si>
    <t>Jippo 3 vs 1 Mikkeli</t>
  </si>
  <si>
    <t>EST-01191</t>
  </si>
  <si>
    <t>Jippo 1 vs 1 Ekenas</t>
  </si>
  <si>
    <t>EST-01192</t>
  </si>
  <si>
    <t>Jippo 3 vs 0 KaPa</t>
  </si>
  <si>
    <t>JäPS 2 vs 0 Klubi 04</t>
  </si>
  <si>
    <t>Jippo 1 vs 0 JäPS</t>
  </si>
  <si>
    <t>EST-01193</t>
  </si>
  <si>
    <t>JäPS 1 vs 0 Mikkeli</t>
  </si>
  <si>
    <t>EST-01194</t>
  </si>
  <si>
    <t>Ekenas 0 vs 1 JäPS</t>
  </si>
  <si>
    <t>EST-01195</t>
  </si>
  <si>
    <t>KaPa 3 vs 1 JäPS</t>
  </si>
  <si>
    <t>EST-01196</t>
  </si>
  <si>
    <t>KaPa 2 vs 1 JäPS</t>
  </si>
  <si>
    <t>EST-01197</t>
  </si>
  <si>
    <t>JäPS 0 vs 2 Mikkeli</t>
  </si>
  <si>
    <t>SJK Akatemia 0 vs 0 Ekenas</t>
  </si>
  <si>
    <t>KTP 5 vs 1 Ekenas</t>
  </si>
  <si>
    <t>Ekenas 0 vs 3 PK-35</t>
  </si>
  <si>
    <t>Haka 4 vs 3 Ekenas</t>
  </si>
  <si>
    <t>Haka 3 vs 1 Ekenas</t>
  </si>
  <si>
    <t>EST-01198</t>
  </si>
  <si>
    <t>KaPa 0 vs 1 Ekenas</t>
  </si>
  <si>
    <t>EST-01199</t>
  </si>
  <si>
    <t>Ekenas 1 vs 0 Mikkeli</t>
  </si>
  <si>
    <t>EST-01200</t>
  </si>
  <si>
    <t>Mikkeli 1 vs 0 Ekenas</t>
  </si>
  <si>
    <t>EST-01201</t>
  </si>
  <si>
    <t>Ekenas 1 vs 0 KaPa</t>
  </si>
  <si>
    <t>EST-01202</t>
  </si>
  <si>
    <t>Mikkeli 2 vs 1 KaPa</t>
  </si>
  <si>
    <t>KaPa 2 vs 2 SJK Akatemia</t>
  </si>
  <si>
    <t>KaPa 1 vs 2 KTP</t>
  </si>
  <si>
    <t>PK-35 3 vs 1 KaPa</t>
  </si>
  <si>
    <t>Haka 3 vs 1 KaPa</t>
  </si>
  <si>
    <t>KaPa 0 vs 0 PK-35</t>
  </si>
  <si>
    <t>EST-01203</t>
  </si>
  <si>
    <t>Ekenas 3 vs 0 SJK Akatemia</t>
  </si>
  <si>
    <t>EST-01204</t>
  </si>
  <si>
    <t>Tampere Utd 6 vs 0 KPV</t>
  </si>
  <si>
    <t>EST-01205</t>
  </si>
  <si>
    <t>KPV 3 vs 0 SalPa</t>
  </si>
  <si>
    <t>EST-01206</t>
  </si>
  <si>
    <t>EST-01207</t>
  </si>
  <si>
    <t>KPV 1 vs 3 TPV</t>
  </si>
  <si>
    <t>EST-01208</t>
  </si>
  <si>
    <t>Jazz Pori 0 vs 1 KPV</t>
  </si>
  <si>
    <t>EST-01209</t>
  </si>
  <si>
    <t>KPV 1 vs 3 Keski-Uusimaa</t>
  </si>
  <si>
    <t>EST-01210</t>
  </si>
  <si>
    <t>VJS 5 vs 0 KPV</t>
  </si>
  <si>
    <t>EST-01211</t>
  </si>
  <si>
    <t>Keski-Uusimaa 1 vs 3 VJS</t>
  </si>
  <si>
    <t>EST-01212</t>
  </si>
  <si>
    <t>VJS 0 vs 1 Tampere Utd</t>
  </si>
  <si>
    <t>EST-01213</t>
  </si>
  <si>
    <t>SalPa 2 vs 2 VJS</t>
  </si>
  <si>
    <t>EST-01214</t>
  </si>
  <si>
    <t>VJS 2 vs 1 TPV</t>
  </si>
  <si>
    <t>EST-01215</t>
  </si>
  <si>
    <t>EST-01216</t>
  </si>
  <si>
    <t>Jazz Pori 4 vs 0 TPV</t>
  </si>
  <si>
    <t>EST-01217</t>
  </si>
  <si>
    <t>Keski-Uusimaa 2 vs 1 Jazz Pori</t>
  </si>
  <si>
    <t>EST-01218</t>
  </si>
  <si>
    <t>Jazz Pori 0 vs 1 Tampere Utd</t>
  </si>
  <si>
    <t>EST-01219</t>
  </si>
  <si>
    <t>Jazz Pori 1 vs 2 SalPa</t>
  </si>
  <si>
    <t>EST-01220</t>
  </si>
  <si>
    <t>EST-01221</t>
  </si>
  <si>
    <t>KuPS Akatemia 1 vs 2 Jazz Pori</t>
  </si>
  <si>
    <t>EST-01222</t>
  </si>
  <si>
    <t>Keski-Uusimaa 4 vs 4 Tampere Utd</t>
  </si>
  <si>
    <t>EST-01223</t>
  </si>
  <si>
    <t>Tampere Utd 0 vs 1 SalPa</t>
  </si>
  <si>
    <t>EST-01224</t>
  </si>
  <si>
    <t>EST-01225</t>
  </si>
  <si>
    <t>TPV 0 vs 3 Tampere Utd</t>
  </si>
  <si>
    <t>EST-01226</t>
  </si>
  <si>
    <t>SalPa 0 vs 1 Keski-Uusimaa</t>
  </si>
  <si>
    <t>EST-01227</t>
  </si>
  <si>
    <t>RoPS (Rovaniemi)</t>
  </si>
  <si>
    <t>Inter Turku 2 0 vs 2 RoPS (Rovaniemi)</t>
  </si>
  <si>
    <t>KuPS Akatemia 0 vs 1 RoPS (Rovaniemi)</t>
  </si>
  <si>
    <t>RoPS (Rovaniemi) 2 vs 2 Jazz Pori</t>
  </si>
  <si>
    <t>RoPS (Rovaniemi) 1 vs 1 OLS Oulu</t>
  </si>
  <si>
    <t>JJK Jyvaskyla 3 vs 3 RoPS (Rovaniemi)</t>
  </si>
  <si>
    <t>RoPS (Rovaniemi) 4 vs 0 JJK Jyvaskyla</t>
  </si>
  <si>
    <t>KPV 1 vs 1 RoPS (Rovaniemi)</t>
  </si>
  <si>
    <t>VJS 0 vs 2 RoPS (Rovaniemi)</t>
  </si>
  <si>
    <t>Jazz Pori 2 vs 1 RoPS (Rovaniemi)</t>
  </si>
  <si>
    <t>RoPS (Rovaniemi) 0 vs 1 Tampere Utd</t>
  </si>
  <si>
    <t>RoPS (Rovaniemi) 2 vs 2 SalPa</t>
  </si>
  <si>
    <t>EST-01228</t>
  </si>
  <si>
    <t>TPV 6 vs 3 RoPS (Rovaniemi)</t>
  </si>
  <si>
    <t>EST-01229</t>
  </si>
  <si>
    <t>RoPS (Rovaniemi) 4 vs 3 Keski-Uusimaa</t>
  </si>
  <si>
    <t>EST-01230</t>
  </si>
  <si>
    <t>Keski-Uusimaa 2 vs 2 TPV</t>
  </si>
  <si>
    <t>EST-01231</t>
  </si>
  <si>
    <t>SalPa 4 vs 2 TPV</t>
  </si>
  <si>
    <t>Jaro 2</t>
  </si>
  <si>
    <t>EST-01232</t>
  </si>
  <si>
    <t>JS Hercules 5 vs 3 JBK</t>
  </si>
  <si>
    <t>EST-01233</t>
  </si>
  <si>
    <t>JS Hercules 2 vs 2 FC Vaajakoski</t>
  </si>
  <si>
    <t>EST-01234</t>
  </si>
  <si>
    <t>Jaro 2 2 vs 1 JS Hercules</t>
  </si>
  <si>
    <t>EST-01235</t>
  </si>
  <si>
    <t>SJK Akatemia 2 3 vs 0 JS Hercules</t>
  </si>
  <si>
    <t>EST-01236</t>
  </si>
  <si>
    <t>FC Vaajakoski 3 vs 5 JS Hercules</t>
  </si>
  <si>
    <t>EST-01237</t>
  </si>
  <si>
    <t>Jaro 2 2 vs 3 SJK Akatemia 2</t>
  </si>
  <si>
    <t>EST-01238</t>
  </si>
  <si>
    <t>SJK Akatemia 2 3 vs 0 FC Vaajakoski</t>
  </si>
  <si>
    <t>EST-01239</t>
  </si>
  <si>
    <t>JBK 3 vs 0 SJK Akatemia 2</t>
  </si>
  <si>
    <t>EST-01240</t>
  </si>
  <si>
    <t>JBK 4 vs 0 FC Vaajakoski</t>
  </si>
  <si>
    <t>EST-01241</t>
  </si>
  <si>
    <t>FC Vaajakoski 5 vs 2 Jaro 2</t>
  </si>
  <si>
    <t>EST-01242</t>
  </si>
  <si>
    <t>FC Vaajakoski 3 vs 2 TP-47</t>
  </si>
  <si>
    <t>Närpes Kraft 8 vs 0 Jaro 2</t>
  </si>
  <si>
    <t>Jaro 2 2 vs 1 VPS Akatemia</t>
  </si>
  <si>
    <t>VPS Akatemia 5 vs 0 Jaro 2</t>
  </si>
  <si>
    <t>GBK Kokkola 0 vs 2 Jaro 2</t>
  </si>
  <si>
    <t>Jaro 2 1 vs 1 GBK Kokkola</t>
  </si>
  <si>
    <t>Huima / Urho 7 vs 1 Jaro 2</t>
  </si>
  <si>
    <t>Jaro 2 1 vs 3 JBK</t>
  </si>
  <si>
    <t>TP-47 3 vs 1 Jaro 2</t>
  </si>
  <si>
    <t>Jaro 2 6 vs 5 Närpes Kraft</t>
  </si>
  <si>
    <t>EST-01243</t>
  </si>
  <si>
    <t>Jaro 2 2 vs 0 TP-47</t>
  </si>
  <si>
    <t>EST-01244</t>
  </si>
  <si>
    <t>SJK Akatemia 2 0 vs 0 TP-47</t>
  </si>
  <si>
    <t>EST-01245</t>
  </si>
  <si>
    <t>GBK Kokkola 0 vs 3 Huima / Urho</t>
  </si>
  <si>
    <t>Atlantis FC</t>
  </si>
  <si>
    <t>PuiU 2 vs 2 Atlantis FC</t>
  </si>
  <si>
    <t>Atlantis FC 8 vs 0 PuiU</t>
  </si>
  <si>
    <t>Reipas (Lahden Reipas)</t>
  </si>
  <si>
    <t>Reipas (Lahden Reipas) 1 vs 0 Atlantis FC</t>
  </si>
  <si>
    <t>Atlantis FC 3 vs 2 HIFK</t>
  </si>
  <si>
    <t>PPJ 3 vs 3 Atlantis FC</t>
  </si>
  <si>
    <t>MyPa 1 vs 2 Atlantis FC</t>
  </si>
  <si>
    <t>Atlantis FC 5 vs 1 PEPO</t>
  </si>
  <si>
    <t>Atlantis FC 3 vs 5 Kiffen</t>
  </si>
  <si>
    <t>Union Plaani 3 vs 6 Atlantis FC</t>
  </si>
  <si>
    <t>Atlantis FC 5 vs 3 HPS</t>
  </si>
  <si>
    <t>Atlantis FC 4 vs 2 Reipas (Lahden Reipas)</t>
  </si>
  <si>
    <t>EST-01246</t>
  </si>
  <si>
    <t>HPS 4 vs 3 Atlantis FC</t>
  </si>
  <si>
    <t>Reipas (Lahden Reipas) 3 vs 1 PuiU</t>
  </si>
  <si>
    <t>PuiU 4 vs 1 Reipas (Lahden Reipas)</t>
  </si>
  <si>
    <t>PPJ 3 vs 0 Reipas (Lahden Reipas)</t>
  </si>
  <si>
    <t>Reipas (Lahden Reipas) 2 vs 1 PPJ</t>
  </si>
  <si>
    <t>HIFK 2 vs 1 Reipas (Lahden Reipas)</t>
  </si>
  <si>
    <t>EST-01247</t>
  </si>
  <si>
    <t>HIFK 2 vs 2 PuiU</t>
  </si>
  <si>
    <t>HPS 3 vs 2 Reipas (Lahden Reipas)</t>
  </si>
  <si>
    <t>Kiffen 3 vs 1 Reipas (Lahden Reipas)</t>
  </si>
  <si>
    <t>EST-01248</t>
  </si>
  <si>
    <t>Kiffen 1 vs 0 Union Plaani</t>
  </si>
  <si>
    <t>EST-01249</t>
  </si>
  <si>
    <t>Kiffen 3 vs 1 MyPa</t>
  </si>
  <si>
    <t>EST-01250</t>
  </si>
  <si>
    <t>PEPO 2 vs 1 Kiffen</t>
  </si>
  <si>
    <t>EST-01251</t>
  </si>
  <si>
    <t>PEPO 4 vs 1 MyPa</t>
  </si>
  <si>
    <t>EST-01252</t>
  </si>
  <si>
    <t>Reipas (Lahden Reipas) 4 vs 2 MyPa</t>
  </si>
  <si>
    <t>EST-01253</t>
  </si>
  <si>
    <t>MyPa 2 vs 0 Union Plaani</t>
  </si>
  <si>
    <t>EST-01254</t>
  </si>
  <si>
    <t>MyPa 0 vs 0 PEPO</t>
  </si>
  <si>
    <t>EST-01255</t>
  </si>
  <si>
    <t>MyPa 0 vs 5 Reipas (Lahden Reipas)</t>
  </si>
  <si>
    <t>EST-01256</t>
  </si>
  <si>
    <t>Union Plaani 0 vs 2 PEPO</t>
  </si>
  <si>
    <t>EST-01257</t>
  </si>
  <si>
    <t>PEPO 2 vs 1 Reipas (Lahden Reipas)</t>
  </si>
  <si>
    <t>EST-01258</t>
  </si>
  <si>
    <t>Reipas (Lahden Reipas) 4 vs 2 Union Plaani</t>
  </si>
  <si>
    <t>EST-01259</t>
  </si>
  <si>
    <t>PEPO 1 vs 1 Union Plaani</t>
  </si>
  <si>
    <t>EST-01260</t>
  </si>
  <si>
    <t>Union Plaani 0 vs 2 Kiffen</t>
  </si>
  <si>
    <t>20. KPV × VJS</t>
  </si>
  <si>
    <t>21. JS Hercules × SJK Akatemia 2</t>
  </si>
  <si>
    <t>09/08/26 08:00 · GMT-3</t>
  </si>
  <si>
    <t>λ 3,80 · Over 2,00: 73,1% Green + 16,2% Push · proteção 89,3%</t>
  </si>
  <si>
    <t>Analisar Over 2,00</t>
  </si>
  <si>
    <t>Linha técnica aprovada: 73,1% de Green e 16,2% de devolução; 89,3% sem Red</t>
  </si>
  <si>
    <t>λ 4,73 · Over 2,75: 85,1% positivo · 69,8% Green + 15,3% Meio Green</t>
  </si>
  <si>
    <t>Over 2,75</t>
  </si>
  <si>
    <t>Analisar Over 2,75</t>
  </si>
  <si>
    <t>09/08/26 10:00 · GMT-3</t>
  </si>
  <si>
    <t>Over 1,5 @ 1,10 | Over 1,75 @ 1,11 | Over 2,0 @ 1,125 | Over 2,25 @ 1,24 | Placar exato 1 × 2 @ 9,00</t>
  </si>
  <si>
    <t>Over 2,25 @ 1,125 | Over 2,5 @ 1,20 | Over 2,75 @ 1,22 | Over 3,0 @ 1,25</t>
  </si>
  <si>
    <t>Over 2,25 @ 1,125</t>
  </si>
  <si>
    <t>Prioridade operacional: proteção antes do retorno; 3+ gols = Green e exatamente 2 = meio Red</t>
  </si>
  <si>
    <t>22. Jazz Pori × OLS Oulu</t>
  </si>
  <si>
    <t>09/08/26 · Horário a informar</t>
  </si>
  <si>
    <t>λ 2,90 · Over 2,00: 55,4% Green + 23,1% Push · proteção 78,5%</t>
  </si>
  <si>
    <t>Over 2,00 @ 1,13</t>
  </si>
  <si>
    <t>Prioridade operacional: proteção antes do retorno; exatamente 2 gols devolvem e 3+ gols geram Green</t>
  </si>
  <si>
    <t>Over 1,5 @ 1,105 | Over 1,75 @ 1,12 | Over 2,0 @ 1,13 | Over 2,25 @ 1,25</t>
  </si>
  <si>
    <t>Cashout antecipado · retorno obtido R$ 0,55</t>
  </si>
  <si>
    <t>Vila Nova x Sport Recife</t>
  </si>
  <si>
    <t>Cashout antecipado antes do encerramento: retorno bruto de R$ 0,55 sobre stake de R$ 0,50, resultando em lucro líquido de R$ 0,05. O placar final de 1 x 0 teria devolvido a stake no Over 1,00.</t>
  </si>
  <si>
    <t>λ total</t>
  </si>
  <si>
    <t>Parâmetro r</t>
  </si>
  <si>
    <t>Amostra combinada</t>
  </si>
  <si>
    <t>Diagnóstico</t>
  </si>
  <si>
    <t>Green Poisson</t>
  </si>
  <si>
    <t>Sem Red Poisson</t>
  </si>
  <si>
    <t>Green consenso</t>
  </si>
  <si>
    <t>Proteção consenso</t>
  </si>
  <si>
    <t>Leitura</t>
  </si>
  <si>
    <t>Critério</t>
  </si>
  <si>
    <t>COMPARAÇÃO DE LINHAS — POISSON × BINOMIAL NEGATIVA</t>
  </si>
  <si>
    <t>Atualiza automaticamente para qualquer confronto selecionado em B5 e B6</t>
  </si>
  <si>
    <t>Variância usada</t>
  </si>
  <si>
    <t>Modelo alternativo</t>
  </si>
  <si>
    <t>Probabilidade p</t>
  </si>
  <si>
    <t>Faixa ≥75%</t>
  </si>
  <si>
    <t>Green até</t>
  </si>
  <si>
    <t>Proteção até</t>
  </si>
  <si>
    <t>Green Binomial Neg.</t>
  </si>
  <si>
    <t>Sem Red Binomial Neg.</t>
  </si>
  <si>
    <t>Odds entram depois</t>
  </si>
  <si>
    <t>Placares Top 8</t>
  </si>
  <si>
    <t>Projeção probabilística, consenso de linhas asiáticas e comparação entre modelos</t>
  </si>
  <si>
    <t>Magic United x Rochedale Rovers</t>
  </si>
  <si>
    <t>Brisbane Olympic FC x Moreton City Excelsior</t>
  </si>
  <si>
    <t>Brisbane City x Gold Coast Utd</t>
  </si>
  <si>
    <t>2 x 0</t>
  </si>
  <si>
    <t>Eastern Suburbs x Wynnum Wolves</t>
  </si>
  <si>
    <t>Gold Coast Knights x Peninsula Power</t>
  </si>
  <si>
    <t>Croydon x Sturt Lions</t>
  </si>
  <si>
    <t>Bayswater City x Sorrento FC</t>
  </si>
  <si>
    <t>7 x 1</t>
  </si>
  <si>
    <t>MuSa x AIFK</t>
  </si>
  <si>
    <t>HIFK x PuiU</t>
  </si>
  <si>
    <t>P-Iirot Rauma x GrIFK</t>
  </si>
  <si>
    <t>GBK Kokkola x Huima / Urho</t>
  </si>
  <si>
    <t>0 x 3</t>
  </si>
  <si>
    <t>TP-47 x Närpes Kraft</t>
  </si>
  <si>
    <t>SA Bulo Bulo x Nacional Potosí</t>
  </si>
  <si>
    <t>The Strongest x Independiente Petrolero</t>
  </si>
  <si>
    <t>Club Aurora x Bolívar</t>
  </si>
  <si>
    <t>2 x 4</t>
  </si>
  <si>
    <t>Remo x Atlético-MG</t>
  </si>
  <si>
    <t>Coritiba x Chapecoense</t>
  </si>
  <si>
    <t>Green no Over 2,00 @ 1,130: o placar 2 x 1 (3 gols) confirmou a entrada e gerou R$ 0,0650 de lucro. Entre as linhas cotadas, Over 2,50 @ 1,250 teria produzido R$ 0,1250 de lucro, R$ 0,0600 acima do resultado realizado. A entrada foi conservadora e deixou 0,50 linha de eficiência potencial.</t>
  </si>
  <si>
    <t>Green no Over 2,00 @ 1,125: o placar 1 x 2 (3 gols) confirmou a entrada e gerou R$ 0,0625 de lucro. A linha usada já foi o melhor aproveitamento entre as cotações informadas; não houve eficiência adicional disponível.</t>
  </si>
  <si>
    <t>Devolvida no Over 2,00 @ 1,150: o placar 2 x 0 (2 gols) igualou a linha e devolveu integralmente a stake. Entre as linhas cotadas, Over 1,50 @ 1,115 teria produzido R$ 0,0575 de lucro, R$ 0,0575 acima do resultado realizado. A linha usada foi agressiva para o total ocorrido; a alternativa inferior teria protegido melhor o capital.</t>
  </si>
  <si>
    <t>Red no Over 2,25 @ 1,300: o placar 0 x 0 (0 gols) não alcançou a linha e resultou em perda de R$ 0,5000. Nenhuma das linhas cotadas teria produzido resultado positivo; o ponto principal é revisar a seleção da partida, não apenas reduzir a linha.</t>
  </si>
  <si>
    <t>Green no Over 2,00 @ 1,220: o placar 2 x 2 (4 gols) confirmou a entrada e gerou R$ 0,1100 de lucro. Entre as linhas cotadas, Over 2,25 @ 1,350 teria produzido R$ 0,1750 de lucro, R$ 0,0650 acima do resultado realizado. A entrada foi conservadora e deixou 0,25 linha de eficiência potencial.</t>
  </si>
  <si>
    <t>Meio Red no Over 2,25 @ 1,260: o placar 1 x 1 (2 gols) ficou exatamente no degrau de meia perda, limitando o prejuízo a R$ 0,2500. Entre as linhas cotadas, Over 1,75 @ 1,125 teria produzido R$ 0,0313 de lucro, R$ 0,2813 acima do resultado realizado. A linha usada foi agressiva para o total ocorrido; a alternativa inferior teria protegido melhor o capital.</t>
  </si>
  <si>
    <t>Green no Over 2,00 @ 1,150: o placar 7 x 1 (8 gols) confirmou a entrada e gerou R$ 0,0750 de lucro. A linha usada já foi o melhor aproveitamento entre as cotações informadas; não houve eficiência adicional disponível.</t>
  </si>
  <si>
    <t>Green no Over 2,00 @ 1,110: o placar 1 x 2 (3 gols) confirmou a entrada e gerou R$ 0,0550 de lucro. Entre as linhas cotadas, Over 2,50 @ 1,325 teria produzido R$ 0,1625 de lucro, R$ 0,1075 acima do resultado realizado. A entrada foi conservadora e deixou 0,50 linha de eficiência potencial.</t>
  </si>
  <si>
    <t>Green no Over 2,25 @ 1,190: o placar 2 x 2 (4 gols) confirmou a entrada e gerou R$ 0,0950 de lucro. Entre as linhas cotadas, Over 2,75 @ 1,325 teria produzido R$ 0,1625 de lucro, R$ 0,0675 acima do resultado realizado. A entrada foi conservadora e deixou 0,50 linha de eficiência potencial.</t>
  </si>
  <si>
    <t>Green no Over 2,25 @ 1,180: o placar 0 x 3 (3 gols) confirmou a entrada e gerou R$ 0,0900 de lucro. Entre as linhas cotadas, Over 2,50 @ 1,275 teria produzido R$ 0,1375 de lucro, R$ 0,0475 acima do resultado realizado. A entrada foi conservadora e deixou 0,25 linha de eficiência potencial.</t>
  </si>
  <si>
    <t>Green no Over 2,50 @ 1,275: o placar 2 x 1 (3 gols) confirmou a entrada e gerou R$ 0,1375 de lucro. A linha usada já foi o melhor aproveitamento entre as cotações informadas; não houve eficiência adicional disponível.</t>
  </si>
  <si>
    <t>Green no Over 1,50 @ 1,175: o placar 2 x 1 (3 gols) confirmou a entrada e gerou R$ 0,0875 de lucro. Entre as linhas cotadas, Over 2,00 @ 1,240 teria produzido R$ 0,1200 de lucro, R$ 0,0325 acima do resultado realizado. A entrada foi conservadora e deixou 0,50 linha de eficiência potencial.</t>
  </si>
  <si>
    <t>Green no Over 1,50 @ 1,100: o placar 1 x 2 (3 gols) confirmou a entrada e gerou R$ 0,0500 de lucro. Entre as linhas cotadas, Over 2,25 @ 1,240 teria produzido R$ 0,1200 de lucro, R$ 0,0700 acima do resultado realizado. A entrada foi conservadora e deixou 0,75 linha de eficiência potencial.</t>
  </si>
  <si>
    <t>Green no Over 1,50 @ 1,180: o placar 2 x 4 (6 gols) confirmou a entrada e gerou R$ 0,0900 de lucro. Entre as linhas cotadas, Over 2,00 @ 1,240 teria produzido R$ 0,1200 de lucro, R$ 0,0300 acima do resultado realizado. A entrada foi conservadora e deixou 0,50 linha de eficiência potencial.</t>
  </si>
  <si>
    <t>Green no Over 1,00 @ 1,110: o placar 2 x 2 (4 gols) confirmou a entrada e gerou R$ 0,0550 de lucro. Entre as linhas cotadas, Over 1,75 @ 1,475 teria produzido R$ 0,2375 de lucro, R$ 0,1825 acima do resultado realizado. A entrada foi conservadora e deixou 0,75 linha de eficiência potencial.</t>
  </si>
  <si>
    <t>Green no Over 1,25 @ 1,200: o placar 2 x 1 (3 gols) confirmou a entrada e gerou R$ 0,1000 de lucro. Entre as linhas cotadas, Over 2,00 @ 1,500 teria produzido R$ 0,2500 de lucro, R$ 0,1500 acima do resultado realizado. A entrada foi conservadora e deixou 0,75 linha de eficiência potencial.</t>
  </si>
  <si>
    <t>MEMÓRIA OPERACIONAL — PROCEDIMENTO DA ABA BACKTEST</t>
  </si>
  <si>
    <t>Manual permanente para transcrição, liquidação, comparação de linhas e controle visual dos registros. Última atualização: 09/08/2026.</t>
  </si>
  <si>
    <t>REGRA-MESTRA</t>
  </si>
  <si>
    <t>Antes de alterar o Backtest, ler esta aba. Cada bilhete finalizado deve ser registrado uma única vez na tblCalibracao. Conferir Bilhetes, odds informadas, observação em Y e linha usada em H. Não inventar odds, linhas ou resultados.</t>
  </si>
  <si>
    <t>FLUXO OBRIGATÓRIO — PASSO A PASSO</t>
  </si>
  <si>
    <t>Identificar o bilhete</t>
  </si>
  <si>
    <t>Localizar em Bilhetes: data, confronto, liga, placar, linha apostada, odd, stake, resultado e P/L.</t>
  </si>
  <si>
    <t>Evitar duplicidade</t>
  </si>
  <si>
    <t>Normalizar “×” e “x” e confirmar que o confronto ainda não existe na coluna B da tblCalibracao.</t>
  </si>
  <si>
    <t>Preencher dados-base</t>
  </si>
  <si>
    <t>Preencher A:E, G:H e L. A=Data; B=Confronto; C=Liga; D=Placar; E=Odd; G=Gols; H=Usada; L=Fonte odds.</t>
  </si>
  <si>
    <t>Calcular P/L usado</t>
  </si>
  <si>
    <t>F deve ser fórmula viva de liquidação asiática com stake unitária de R$ 0,50. Exceção: cashout usa o lucro líquido real informado.</t>
  </si>
  <si>
    <t>Encontrar melhor aproveitamento</t>
  </si>
  <si>
    <t>Comparar somente as linhas e odds realmente informadas no bilhete. Preencher I=Melhor G, J=Odd M.G. e K=P/L M.G. com a alternativa de maior P/L positivo.</t>
  </si>
  <si>
    <t>Sem alternativa positiva</t>
  </si>
  <si>
    <t>Se nenhuma linha cotada produzir lucro positivo, deixar I:K vazias. Não preencher uma linha hipotética.</t>
  </si>
  <si>
    <t>Calcular delta</t>
  </si>
  <si>
    <t>M = diferença não negativa entre Melhor G e Usada. Se I estiver vazia, M deve ficar vazia.</t>
  </si>
  <si>
    <t>Classificar faixas</t>
  </si>
  <si>
    <t>N:X devem conter fórmulas para O0,50 a O3,00, usando G, ½G, P, ½R ou R.</t>
  </si>
  <si>
    <t>Marcar linha usada</t>
  </si>
  <si>
    <t>Ler H e a observação Y. Marcar somente a célula correspondente em N:X com borda azul-escura espessa e negrito. Remover qualquer outra marcação incorreta na mesma linha.</t>
  </si>
  <si>
    <t>Escrever análise</t>
  </si>
  <si>
    <t>Y deve explicar resultado, linha/odd usada, placar, P/L, melhor alternativa cotada, diferença financeira e aprendizado operacional. Usar o padrão de Y35.</t>
  </si>
  <si>
    <t>Registrar P/L líquido real; explicar retorno bruto e stake; manter em H a linha original; marcar em N:X o desfecho que teria ocorrido pelo placar final.</t>
  </si>
  <si>
    <t>Verificar</t>
  </si>
  <si>
    <t>Confirmar fórmulas, formatos, ausência de erros, nenhuma duplicidade e todos os campos obrigatórios preenchidos.</t>
  </si>
  <si>
    <t>MAPA DAS COLUNAS DA tblCalibracao</t>
  </si>
  <si>
    <t>Coluna</t>
  </si>
  <si>
    <t>Campo</t>
  </si>
  <si>
    <t>Tipo</t>
  </si>
  <si>
    <t>Regra de preenchimento</t>
  </si>
  <si>
    <t>A</t>
  </si>
  <si>
    <t>Entrada</t>
  </si>
  <si>
    <t>Data da partida, formato dd/mm/aa.</t>
  </si>
  <si>
    <t>B</t>
  </si>
  <si>
    <t>Mandante x Visitante; manter nome reconhecível e sem numeração.</t>
  </si>
  <si>
    <t>C</t>
  </si>
  <si>
    <t>País - Liga.</t>
  </si>
  <si>
    <t>D</t>
  </si>
  <si>
    <t>Mandante x Visitante.</t>
  </si>
  <si>
    <t>E</t>
  </si>
  <si>
    <t>Odd da linha usada, preferencialmente 0,000.</t>
  </si>
  <si>
    <t>F</t>
  </si>
  <si>
    <t>Fórmula / exceção</t>
  </si>
  <si>
    <t>Liquidação asiática com stake R$ 0,50; cashout recebe lucro líquido real.</t>
  </si>
  <si>
    <t>G</t>
  </si>
  <si>
    <t>Soma dos gols do placar.</t>
  </si>
  <si>
    <t>H</t>
  </si>
  <si>
    <t>Linha Over realmente apostada. Controla a marcação visual em N:X.</t>
  </si>
  <si>
    <t>I</t>
  </si>
  <si>
    <t>Análise</t>
  </si>
  <si>
    <t>Linha cotada que produziria maior P/L positivo.</t>
  </si>
  <si>
    <t>J</t>
  </si>
  <si>
    <t>Entrada histórica</t>
  </si>
  <si>
    <t>Odd informada da Melhor G. Nunca inventar.</t>
  </si>
  <si>
    <t>K</t>
  </si>
  <si>
    <t>Fórmula</t>
  </si>
  <si>
    <t>Liquidação da melhor linha com stake R$ 0,50.</t>
  </si>
  <si>
    <t>L</t>
  </si>
  <si>
    <t>Ex.: Informada ou WinComparator.</t>
  </si>
  <si>
    <t>M</t>
  </si>
  <si>
    <t>MAX(0; Melhor G − Usada); vazio quando não houver Melhor G.</t>
  </si>
  <si>
    <t>N:X</t>
  </si>
  <si>
    <t>O0,50 a O3,00</t>
  </si>
  <si>
    <t>Fórmulas</t>
  </si>
  <si>
    <t>Classificação de cada linha: G, ½G, P, ½R ou R.</t>
  </si>
  <si>
    <t>Y</t>
  </si>
  <si>
    <t>Texto analítico</t>
  </si>
  <si>
    <t>Narrativa completa seguindo o padrão da linha 35.</t>
  </si>
  <si>
    <t>LIQUIDAÇÃO DAS LINHAS ASIÁTICAS OVER</t>
  </si>
  <si>
    <t>Tipo de linha</t>
  </si>
  <si>
    <t>Exemplo</t>
  </si>
  <si>
    <t>Liquidação</t>
  </si>
  <si>
    <t>Regra</t>
  </si>
  <si>
    <t>Inteira</t>
  </si>
  <si>
    <t>Green / Push / Red</t>
  </si>
  <si>
    <t>Total &gt; linha = Green; total = linha = Push; total &lt; linha = Red.</t>
  </si>
  <si>
    <t>Meia</t>
  </si>
  <si>
    <t>Green / Red</t>
  </si>
  <si>
    <t>Total &gt; linha = Green; caso contrário = Red.</t>
  </si>
  <si>
    <t>Quarto .25</t>
  </si>
  <si>
    <t>Green / ½ Red / Red</t>
  </si>
  <si>
    <t>3+ = Green; exatamente 2 = ½ Red; 0–1 = Red.</t>
  </si>
  <si>
    <t>Quarto .75</t>
  </si>
  <si>
    <t>Green / ½ Green / Red</t>
  </si>
  <si>
    <t>4+ = Green; exatamente 3 = ½ Green; 0–2 = Red.</t>
  </si>
  <si>
    <t>FÓRMULAS-BASE</t>
  </si>
  <si>
    <t>Fórmula / lógica</t>
  </si>
  <si>
    <t>F — P/L usado</t>
  </si>
  <si>
    <t>FÓRMULA: =IF(OR([@Odd]="",[@Usada]=""),"",LET(t,[@Gols],l,[@Usada],o,[@Odd],n,INT(l),f,ROUND(MOD(l,1),2),IF(f=0,IF(t&gt;l,0.5*(o-1),IF(t=l,0,-0.5)),IF(f=0.5,IF(t&gt;l,0.5*(o-1),-0.5),IF(f=0.25,IF(t&gt;=n+1,0.5*(o-1),IF(t=n,-0.25,-0.5)),IF(f=0.75,IF(t&gt;=n+2,0.5*(o-1),IF(t=n+1,0.25*(o-1),-0.5)),""))))))</t>
  </si>
  <si>
    <t>K — P/L melhor linha</t>
  </si>
  <si>
    <t>Mesma lógica de F, substituindo Usada por Melhor G e Odd por Odd M.G.</t>
  </si>
  <si>
    <t>M — Delta</t>
  </si>
  <si>
    <t>FÓRMULA: =IF(OR([@Usada]="",[@[Melhor G]]=""),"",MAX(0,[@[Melhor G]]-[@Usada]))</t>
  </si>
  <si>
    <t>N:X — classificação</t>
  </si>
  <si>
    <t>Aplicar a regra asiática correspondente ao cabeçalho e aos gols em G; resultado permitido: G, ½G, P, ½R ou R.</t>
  </si>
  <si>
    <t>PADRÃO OBRIGATÓRIO DA OBSERVAÇÃO EM Y</t>
  </si>
  <si>
    <t>Estrutura: “[Resultado] no Over [linha] @ [odd]: o placar [placar] ([gols] gols) [liquidação] e gerou/perdeu R$ [valor]. Entre as linhas cotadas, Over [melhor] @ [odd] teria produzido R$ [valor], R$ [diferença] acima/abaixo do realizado. Conclusão sobre proteção, agressividade ou eficiência potencial.”</t>
  </si>
  <si>
    <t>Referência: Backtest!Y35. Se nenhuma linha cotada produzir lucro, declarar que o problema foi a seleção da partida, não apenas a linha. Para cashout, informar retorno bruto, stake, lucro líquido e desfecho teórico pelo placar final.</t>
  </si>
  <si>
    <t>MARCAÇÃO VISUAL DA LINHA USADA</t>
  </si>
  <si>
    <t>Valor em H</t>
  </si>
  <si>
    <t>Coluna marcada</t>
  </si>
  <si>
    <t>Estilo</t>
  </si>
  <si>
    <t>N</t>
  </si>
  <si>
    <t>Borda #17365D espessa nos 4 lados + negrito</t>
  </si>
  <si>
    <t>O</t>
  </si>
  <si>
    <t>Mesmo estilo</t>
  </si>
  <si>
    <t>P</t>
  </si>
  <si>
    <t>Q</t>
  </si>
  <si>
    <t>R</t>
  </si>
  <si>
    <t>S</t>
  </si>
  <si>
    <t>T</t>
  </si>
  <si>
    <t>U</t>
  </si>
  <si>
    <t>V</t>
  </si>
  <si>
    <t>W</t>
  </si>
  <si>
    <t>X</t>
  </si>
  <si>
    <t>CHECKLIST FINAL</t>
  </si>
  <si>
    <t>□</t>
  </si>
  <si>
    <t>Confronto não duplicado</t>
  </si>
  <si>
    <t>A:E, G:H e L preenchidos</t>
  </si>
  <si>
    <t>F, K, M e N:X com fórmulas quando aplicável</t>
  </si>
  <si>
    <t>I:K baseados somente em odds informadas</t>
  </si>
  <si>
    <t>Y analítica no padrão da linha 35</t>
  </si>
  <si>
    <t>Somente a linha usada marcada em N:X</t>
  </si>
  <si>
    <t>Cashout preserva P/L real</t>
  </si>
  <si>
    <t>Sem #REF!, #DIV/0!, #NOME?, #VALOR! ou #SPILL!</t>
  </si>
  <si>
    <t>PROCEDIMENTO DA ABA DADOS — COLETA E INPUT</t>
  </si>
  <si>
    <t>Objetivo: obter cobertura integral de uma liga, trabalhando clube por clube e registrando as 12 partidas mais recentes de 2026, com deduplicação e horários convertidos para GMT−3.</t>
  </si>
  <si>
    <t>Etapa</t>
  </si>
  <si>
    <t>Ação</t>
  </si>
  <si>
    <t>Regra obrigatória</t>
  </si>
  <si>
    <t>Resultado esperado</t>
  </si>
  <si>
    <t>Definir a liga</t>
  </si>
  <si>
    <t>Informar país e competição no padrão “PAÍS - Liga”.</t>
  </si>
  <si>
    <t>Escopo único de coleta.</t>
  </si>
  <si>
    <t>Solicitar o primeiro clube</t>
  </si>
  <si>
    <t>Trabalhar um clube por vez até cobrir todos os participantes da liga.</t>
  </si>
  <si>
    <t>Lista sequencial de clubes.</t>
  </si>
  <si>
    <t>Coletar o histórico</t>
  </si>
  <si>
    <t>Buscar as 12 partidas mais recentes do clube disputadas em 2026.</t>
  </si>
  <si>
    <t>Até 12 jogos válidos por clube.</t>
  </si>
  <si>
    <t>Cobertura integral</t>
  </si>
  <si>
    <t>Repetir o processo para todos os clubes da liga, sem selecionar somente equipes de interesse.</t>
  </si>
  <si>
    <t>Liga integralmente coberta.</t>
  </si>
  <si>
    <t>Padronizar horário</t>
  </si>
  <si>
    <t>Converter cada horário para GMT−3 antes do input.</t>
  </si>
  <si>
    <t>Coluna Hora comparável e consistente.</t>
  </si>
  <si>
    <t>Padronizar nomes</t>
  </si>
  <si>
    <t>Usar o nome cadastrado em CadastroEquipes; corrigir variações antes de consolidar.</t>
  </si>
  <si>
    <t>Sem alertas indevidos em U:V.</t>
  </si>
  <si>
    <t>Montar o registro</t>
  </si>
  <si>
    <t>Preencher ID, Data, Hora, País, Liga, Partida, Mandante, gols e Visitante em A:L.</t>
  </si>
  <si>
    <t>Linha-base completa na tblDados.</t>
  </si>
  <si>
    <t>Deduplicar</t>
  </si>
  <si>
    <t>Usar Chave_Partida e Primeira_Ocorrencia; manter somente a primeira ocorrência estatística.</t>
  </si>
  <si>
    <t>Partidas repetidas não contam duas vezes.</t>
  </si>
  <si>
    <t>Dados de aposta</t>
  </si>
  <si>
    <t>Preencher M:R apenas quando a partida tiver aposta vinculada.</t>
  </si>
  <si>
    <t>Histórico esportivo separado do histórico de apostas.</t>
  </si>
  <si>
    <t>Validar o lote</t>
  </si>
  <si>
    <t>Confirmar ano 2026, máximo de 12 partidas por clube, liga correta, GMT−3, placares e nomes.</t>
  </si>
  <si>
    <t>Lote pronto para alimentar Equipes e o simulador.</t>
  </si>
  <si>
    <t>Avançar ao próximo clube</t>
  </si>
  <si>
    <t>Após validar o clube atual, solicitar o próximo até concluir a liga.</t>
  </si>
  <si>
    <t>Processo rastreável e sem lacunas.</t>
  </si>
  <si>
    <t>FRASE-PADRÃO DE INÍCIO</t>
  </si>
  <si>
    <t>“Vamos para a [LIGA], mantendo o padrão: cobertura integral, 12 partidas mais recentes de 2026, deduplicação e horários em GMT−3. Envie o primeiro clube.”</t>
  </si>
  <si>
    <t>CHECKLIST DO LOTE DE DADOS</t>
  </si>
  <si>
    <t>Liga e país corretos</t>
  </si>
  <si>
    <t>Até 12 partidas mais recentes de 2026 por clube</t>
  </si>
  <si>
    <t>Horários em GMT−3</t>
  </si>
  <si>
    <t>Nomes reconhecidos em CadastroEquipes</t>
  </si>
  <si>
    <t>Deduplicação validada por Chave_Partida / Primeira_Ocorrencia</t>
  </si>
  <si>
    <t>23. Bahia × Vasco da Gama</t>
  </si>
  <si>
    <t>09/08/26 16:00 · GMT-3</t>
  </si>
  <si>
    <t>λ 2,61 · Over 1,25: 73,4% Green + 19,2% Meio Red · 92,6% sem Red completo</t>
  </si>
  <si>
    <t>Analisar Over 1,25</t>
  </si>
  <si>
    <t>Over 1,25 @ 1,175 | Over 1,5 @ 1,275 | Over 1,75 @ 1,35</t>
  </si>
  <si>
    <t>Over 1,25 @ 1,125</t>
  </si>
  <si>
    <t>Prioridade operacional: proteção antes do retorno; odd efetivamente obtida 1,125; 2+ gols = Green e exatamente 1 gol = meio Red</t>
  </si>
  <si>
    <t>24. Palmeiras × Internacional</t>
  </si>
  <si>
    <t>λ 2,42 · Over 1,25: 69,5% Green + 21,6% Meio Red · 91,1% sem Red completo</t>
  </si>
  <si>
    <t>Over 1,25 @ 1,14 | Over 1,5 @ 1,23 | Over 1,75 @ 1,275 | Over 2,0 @ 1,35</t>
  </si>
  <si>
    <t>Over 1,50 @ 1,23</t>
  </si>
  <si>
    <t>Escolha baseada na convicção de 2+ gols; dois gols já geram Green completo</t>
  </si>
  <si>
    <t>25. Náutico × Atlético-GO</t>
  </si>
  <si>
    <t>λ 1,83 · Over 0,50: 84,0% Green · linha de máxima proteção disponível</t>
  </si>
  <si>
    <t>Over 0,5 @ 1,10 | Over 0,75 @ 1,115 | Over 1,0 @ 1,14 | Over 1,25 @ 1,14</t>
  </si>
  <si>
    <t>Over 0,50 @ 1,10</t>
  </si>
  <si>
    <t>Escolha de máxima proteção; qualquer gol na partida gera Green</t>
  </si>
  <si>
    <t>26. Novorizontino × Juventude</t>
  </si>
  <si>
    <t>λ 2,25 · Over 0,50: 89,5% Green · linha de máxima proteção disponível</t>
  </si>
  <si>
    <t>Over 0,5 @ 1,11 | Over 0,75 @ 1,13 | Over 1,0 @ 1,16 | Over 1,25 @ 1,32</t>
  </si>
  <si>
    <t>Over 0,50 @ 1,11</t>
  </si>
  <si>
    <t>Over 1,00 @ 1,16</t>
  </si>
  <si>
    <t>Proteção antes do retorno: risco de Red permanece no 0–0; exatamente 1 gol devolve e 2+ gols geram Green</t>
  </si>
  <si>
    <t>DIRETRIZ DE PRIORIZAÇÃO — ETAPA ATUAL DO PROJETO</t>
  </si>
  <si>
    <t>Nesta etapa do projeto, EV não é o critério prioritário. A decisão deve priorizar a consistência dos acertos e a preservação da taxa de acerto; somente depois deve buscar melhorar o ganho entre as linhas compatíveis com acertos consistentes. Não rejeitar automaticamente uma entrada apenas por EV negativo.</t>
  </si>
  <si>
    <t>27. Cuiabá × Fortaleza</t>
  </si>
  <si>
    <t>09/08/26 17:00 · GMT-3</t>
  </si>
  <si>
    <t>λ 1,57 · Over 0,50: 76,6% Green no consenso · amostra em formação</t>
  </si>
  <si>
    <t>Over 0,5 @ 1,14 | Over 0,75 @ 1,17 | Over 1,0 @ 1,21 | Over 1,25 @ 1,40 | Over 1,5 @ 1,60</t>
  </si>
  <si>
    <t>Over 0,50 @ 1,14</t>
  </si>
  <si>
    <t>Prioriza consistência de acerto: qualquer gol gera Green; ganho otimizado dentro da linha de máxima proteção</t>
  </si>
  <si>
    <t>28. Real Potosí × Blooming</t>
  </si>
  <si>
    <t>λ 2,71 · Over 1,50: 74,4% Green no consenso · amostra em formação</t>
  </si>
  <si>
    <t>Over 1,25 @ 1,14 | Over 1,5 @ 1,225 | Over 1,75 @ 1,275 | Over 2,0 @ 1,325</t>
  </si>
  <si>
    <t>Over 1,50 @ 1,225</t>
  </si>
  <si>
    <t>Decisão da usuária: busca Green com 2+ gols; projeção de 2 ou mais gols em 75,4% pelo modelo Poisson</t>
  </si>
  <si>
    <t>29. Red Bull Bragantino × Corinthians</t>
  </si>
  <si>
    <t>09/08/26 18:00 · GMT-3</t>
  </si>
  <si>
    <t>λ 2,63 · Over 0,50: 92,0% Green no consenso · amostra em formação</t>
  </si>
  <si>
    <t>Over 0,5 @ 1,11 | Over 0,75 @ 1,13 | Over 1,0 @ 1,16 | Over 1,25 @ 1,325</t>
  </si>
  <si>
    <t>Decisão registrada com foco em consistência: qualquer gol gera Green; consenso de 92,0% para Over 0,50</t>
  </si>
  <si>
    <t>30. Santos × Athletico-PR</t>
  </si>
  <si>
    <t>λ 2,42 · Over 1,00: 68,4% Green + 22,0% Push · proteção de 90,4% no consenso</t>
  </si>
  <si>
    <t>Decisão registrada com foco em proteção: exatamente 1 gol devolve; 2+ gols geram Green; consenso sem Red de 90,4%</t>
  </si>
  <si>
    <t>PADRÃO VISUAL OBRIGATÓRIO DOS BILHETES</t>
  </si>
  <si>
    <t>Todo novo bilhete deve replicar integralmente a aparência do último bloco aprovado na aba Bilhetes. São obrigatórios: mesmas células mescladas, preenchimentos, cores de fonte, negrito, tamanhos, bordas, alinhamentos, quebra de texto, formatos numéricos, larguras de coluna, alturas de linha e espaçamento. Copiar apenas formatos não basta quando as novas linhas possuem formatação residual: reaplicar o bloco completo e comparar célula a célula com o modelo. Preservar os dados e usar fórmulas de status, total, liquidação e P/L adequadas à linha asiática escolhida. Antes de concluir, confirmar que não existem diferenças visuais nem erros de fórmula.</t>
  </si>
  <si>
    <t>31. Flamengo × Vitória</t>
  </si>
  <si>
    <t>λ 2,79 · Over 1,50: 75,3% Green no consenso · amostra em formação</t>
  </si>
  <si>
    <t>Over 1,25 @ 1,105 | Over 1,5 @ 1,18 | Over 1,75 @ 1,21 | Over 2,0 @ 1,26</t>
  </si>
  <si>
    <t>Mesma frequência estimada de Green do Over 1,25, com ganho superior; 2+ gols confirmam o bilhete</t>
  </si>
  <si>
    <t>32. Oriente Petrolero × Universitario de Vinto</t>
  </si>
  <si>
    <t>λ 2,75 · Over 2,00: 50,2% Green + 24,2% Push · proteção 74,4% no consenso</t>
  </si>
  <si>
    <t>Over 1,25 @ 1,10 | Over 1,5 @ 1,17 | Over 1,75 @ 1,20 | Over 2,0 @ 1,24</t>
  </si>
  <si>
    <t>Over 2,00 @ 1,24</t>
  </si>
  <si>
    <t>Preferência por linha inteira: exatamente 2 gols devolvem a stake; 3+ gols geram Green; teste de margem com proteção de 74,4% no consenso</t>
  </si>
  <si>
    <t>EST-01261</t>
  </si>
  <si>
    <t>Colo-Colo 3 vs 1 Deportes Limache</t>
  </si>
  <si>
    <t>Deportes Limache</t>
  </si>
  <si>
    <t>2026-07-24|Colo-Colo|Deportes Limache</t>
  </si>
  <si>
    <t>EST-01262</t>
  </si>
  <si>
    <t>Colo-Colo 3 vs 0 Cobresal</t>
  </si>
  <si>
    <t>Cobresal</t>
  </si>
  <si>
    <t>2026-06-13|Colo-Colo|Cobresal</t>
  </si>
  <si>
    <t>EST-01263</t>
  </si>
  <si>
    <t>Deportes La Serena 2 vs 4 Colo-Colo</t>
  </si>
  <si>
    <t>Deportes La Serena</t>
  </si>
  <si>
    <t>2026-05-30|Deportes La Serena|Colo-Colo</t>
  </si>
  <si>
    <t>EST-01264</t>
  </si>
  <si>
    <t>Universidad Católica 1 vs 2 Colo-Colo</t>
  </si>
  <si>
    <t>Universidad Católica</t>
  </si>
  <si>
    <t>2026-05-24|Universidad Católica|Colo-Colo</t>
  </si>
  <si>
    <t>EST-01265</t>
  </si>
  <si>
    <t>Colo-Colo 6 vs 2 Ñublense</t>
  </si>
  <si>
    <t>Ñublense</t>
  </si>
  <si>
    <t>2026-05-17|Colo-Colo|Ñublense</t>
  </si>
  <si>
    <t>EST-01266</t>
  </si>
  <si>
    <t>Colo-Colo 3 vs 1 Coquimbo Unido</t>
  </si>
  <si>
    <t>Coquimbo Unido</t>
  </si>
  <si>
    <t>2026-05-03|Colo-Colo|Coquimbo Unido</t>
  </si>
  <si>
    <t>EST-01267</t>
  </si>
  <si>
    <t>Universidad de Concepción 1 vs 2 Colo-Colo</t>
  </si>
  <si>
    <t>Universidad de Concepción</t>
  </si>
  <si>
    <t>2026-04-26|Universidad de Concepción|Colo-Colo</t>
  </si>
  <si>
    <t>EST-01268</t>
  </si>
  <si>
    <t>Colo-Colo 0 vs 1 Palestino</t>
  </si>
  <si>
    <t>Palestino</t>
  </si>
  <si>
    <t>2026-04-19|Colo-Colo|Palestino</t>
  </si>
  <si>
    <t>EST-01269</t>
  </si>
  <si>
    <t>Deportes Concepción 0 vs 1 Colo-Colo</t>
  </si>
  <si>
    <t>Deportes Concepción</t>
  </si>
  <si>
    <t>2026-04-05|Deportes Concepción|Colo-Colo</t>
  </si>
  <si>
    <t>EST-01270</t>
  </si>
  <si>
    <t>Colo-Colo 2 vs 0 Huachipato</t>
  </si>
  <si>
    <t>Huachipato</t>
  </si>
  <si>
    <t>2026-03-16|Colo-Colo|Huachipato</t>
  </si>
  <si>
    <t>EST-01271</t>
  </si>
  <si>
    <t>Audax Italiano 0 vs 1 Colo-Colo</t>
  </si>
  <si>
    <t>Audax Italiano</t>
  </si>
  <si>
    <t>2026-03-07|Audax Italiano|Colo-Colo</t>
  </si>
  <si>
    <t>EST-01272</t>
  </si>
  <si>
    <t>Universidad Católica 2 vs 0 Cobresal</t>
  </si>
  <si>
    <t>2026-08-07|Universidad Católica|Cobresal</t>
  </si>
  <si>
    <t>EST-01273</t>
  </si>
  <si>
    <t>Deportes Concepción 3 vs 0 Universidad Católica</t>
  </si>
  <si>
    <t>2026-08-02|Deportes Concepción|Universidad Católica</t>
  </si>
  <si>
    <t>EST-01274</t>
  </si>
  <si>
    <t>Universidad Católica 3 vs 3 Deportes La Serena</t>
  </si>
  <si>
    <t>2026-07-25|Universidad Católica|Deportes La Serena</t>
  </si>
  <si>
    <t>EST-01275</t>
  </si>
  <si>
    <t>Universidad Católica 5 vs 1 Universidad de Concepción</t>
  </si>
  <si>
    <t>2026-06-14|Universidad Católica|Universidad de Concepción</t>
  </si>
  <si>
    <t>EST-01276</t>
  </si>
  <si>
    <t>Huachipato 0 vs 3 Universidad Católica</t>
  </si>
  <si>
    <t>2026-05-31|Huachipato|Universidad Católica</t>
  </si>
  <si>
    <t>EST-01277</t>
  </si>
  <si>
    <t>Deportes Limache 0 vs 2 Universidad Católica</t>
  </si>
  <si>
    <t>2026-05-16|Deportes Limache|Universidad Católica</t>
  </si>
  <si>
    <t>EST-01278</t>
  </si>
  <si>
    <t>Universidad de Chile 1 vs 0 Universidad Católica</t>
  </si>
  <si>
    <t>Universidad de Chile</t>
  </si>
  <si>
    <t>2026-04-25|Universidad de Chile|Universidad Católica</t>
  </si>
  <si>
    <t>EST-01279</t>
  </si>
  <si>
    <t>Universidad Católica 1 vs 2 Unión La Calera</t>
  </si>
  <si>
    <t>Unión La Calera</t>
  </si>
  <si>
    <t>2026-04-20|Universidad Católica|Unión La Calera</t>
  </si>
  <si>
    <t>EST-01280</t>
  </si>
  <si>
    <t>Audax Italiano 3 vs 4 Universidad Católica</t>
  </si>
  <si>
    <t>2026-04-11|Audax Italiano|Universidad Católica</t>
  </si>
  <si>
    <t>EST-01281</t>
  </si>
  <si>
    <t>Universidad Católica 6 vs 1 Palestino</t>
  </si>
  <si>
    <t>2026-04-02|Universidad Católica|Palestino</t>
  </si>
  <si>
    <t>EST-01282</t>
  </si>
  <si>
    <t>Universidad Católica 2 vs 2 Everton de Viña</t>
  </si>
  <si>
    <t>2026-03-14|Universidad Católica|Everton de Viña</t>
  </si>
  <si>
    <t>Liga de Primera</t>
  </si>
  <si>
    <t>CHI - Liga de Primera</t>
  </si>
  <si>
    <t>EST-01283</t>
  </si>
  <si>
    <t>Universidad de Chile 2 vs 0 Huachipato</t>
  </si>
  <si>
    <t>2026-08-02|Universidad de Chile|Huachipato</t>
  </si>
  <si>
    <t>EST-01284</t>
  </si>
  <si>
    <t>Audax Italiano 1 vs 2 Universidad de Chile</t>
  </si>
  <si>
    <t>2026-07-26|Audax Italiano|Universidad de Chile</t>
  </si>
  <si>
    <t>EST-01285</t>
  </si>
  <si>
    <t>Universidad de Chile 2 vs 0 O'Higgins</t>
  </si>
  <si>
    <t>O'Higgins</t>
  </si>
  <si>
    <t>2026-06-18|Universidad de Chile|O'Higgins</t>
  </si>
  <si>
    <t>EST-01286</t>
  </si>
  <si>
    <t>Unión La Calera 2 vs 2 Universidad de Chile</t>
  </si>
  <si>
    <t>2026-06-14|Unión La Calera|Universidad de Chile</t>
  </si>
  <si>
    <t>EST-01287</t>
  </si>
  <si>
    <t>Universidad de Chile 2 vs 1 Deportes Concepción</t>
  </si>
  <si>
    <t>2026-05-30|Universidad de Chile|Deportes Concepción</t>
  </si>
  <si>
    <t>EST-01288</t>
  </si>
  <si>
    <t>Cobresal 1 vs 0 Universidad de Chile</t>
  </si>
  <si>
    <t>2026-05-17|Cobresal|Universidad de Chile</t>
  </si>
  <si>
    <t>EST-01289</t>
  </si>
  <si>
    <t>Everton de Viña 0 vs 0 Universidad de Chile</t>
  </si>
  <si>
    <t>2026-04-18|Everton de Viña|Universidad de Chile</t>
  </si>
  <si>
    <t>EST-01290</t>
  </si>
  <si>
    <t>Ñublense 1 vs 0 Universidad de Chile</t>
  </si>
  <si>
    <t>2026-04-12|Ñublense|Universidad de Chile</t>
  </si>
  <si>
    <t>EST-01291</t>
  </si>
  <si>
    <t>Universidad de Chile 4 vs 0 Deportes La Serena</t>
  </si>
  <si>
    <t>2026-04-05|Universidad de Chile|Deportes La Serena</t>
  </si>
  <si>
    <t>EST-01292</t>
  </si>
  <si>
    <t>Coquimbo Unido 0 vs 1 Universidad de Chile</t>
  </si>
  <si>
    <t>2026-03-14|Coquimbo Unido|Universidad de Chile</t>
  </si>
  <si>
    <t>EST-01293</t>
  </si>
  <si>
    <t>Universidad de Chile 1 vs 1 Universidad de Concepción</t>
  </si>
  <si>
    <t>2026-03-09|Universidad de Chile|Universidad de Concepción</t>
  </si>
  <si>
    <t>EST-01294</t>
  </si>
  <si>
    <t>Palestino 2 vs 1 Coquimbo Unido</t>
  </si>
  <si>
    <t>2026-08-01|Palestino|Coquimbo Unido</t>
  </si>
  <si>
    <t>EST-01295</t>
  </si>
  <si>
    <t>Ñublense 2 vs 0 Palestino</t>
  </si>
  <si>
    <t>2026-07-26|Ñublense|Palestino</t>
  </si>
  <si>
    <t>EST-01296</t>
  </si>
  <si>
    <t>Everton de Viña 1 vs 2 Palestino</t>
  </si>
  <si>
    <t>2026-06-13|Everton de Viña|Palestino</t>
  </si>
  <si>
    <t>EST-01297</t>
  </si>
  <si>
    <t>Palestino 0 vs 0 Audax Italiano</t>
  </si>
  <si>
    <t>2026-05-31|Palestino|Audax Italiano</t>
  </si>
  <si>
    <t>EST-01298</t>
  </si>
  <si>
    <t>Unión La Calera 1 vs 2 Palestino</t>
  </si>
  <si>
    <t>2026-05-23|Unión La Calera|Palestino</t>
  </si>
  <si>
    <t>EST-01299</t>
  </si>
  <si>
    <t>Palestino 5 vs 1 Deportes La Serena</t>
  </si>
  <si>
    <t>2026-05-15|Palestino|Deportes La Serena</t>
  </si>
  <si>
    <t>EST-01300</t>
  </si>
  <si>
    <t>Palestino 0 vs 1 Deportes Concepción</t>
  </si>
  <si>
    <t>2026-04-23|Palestino|Deportes Concepción</t>
  </si>
  <si>
    <t>EST-01301</t>
  </si>
  <si>
    <t>Palestino 1 vs 0 Deportes Limache</t>
  </si>
  <si>
    <t>2026-04-11|Palestino|Deportes Limache</t>
  </si>
  <si>
    <t>EST-01302</t>
  </si>
  <si>
    <t>Universidad de Concepción 1 vs 0 Palestino</t>
  </si>
  <si>
    <t>2026-03-15|Universidad de Concepción|Palestino</t>
  </si>
  <si>
    <t>EST-01303</t>
  </si>
  <si>
    <t>Palestino 4 vs 2 Cobresal</t>
  </si>
  <si>
    <t>2026-03-08|Palestino|Cobresal</t>
  </si>
  <si>
    <t>EST-01304</t>
  </si>
  <si>
    <t>Huachipato 1 vs 4 Everton de Viña</t>
  </si>
  <si>
    <t>2026-08-08|Huachipato|Everton de Viña</t>
  </si>
  <si>
    <t>EST-01305</t>
  </si>
  <si>
    <t>Unión La Calera 1 vs 1 Everton de Viña</t>
  </si>
  <si>
    <t>2026-07-27|Unión La Calera|Everton de Viña</t>
  </si>
  <si>
    <t>EST-01306</t>
  </si>
  <si>
    <t>O'Higgins 2 vs 3 Everton de Viña</t>
  </si>
  <si>
    <t>2026-05-31|O'Higgins|Everton de Viña</t>
  </si>
  <si>
    <t>EST-01307</t>
  </si>
  <si>
    <t>Everton de Viña 1 vs 1 Coquimbo Unido</t>
  </si>
  <si>
    <t>2026-05-22|Everton de Viña|Coquimbo Unido</t>
  </si>
  <si>
    <t>EST-01308</t>
  </si>
  <si>
    <t>Deportes Concepción 0 vs 2 Everton de Viña</t>
  </si>
  <si>
    <t>2026-05-17|Deportes Concepción|Everton de Viña</t>
  </si>
  <si>
    <t>EST-01309</t>
  </si>
  <si>
    <t>Everton de Viña 3 vs 1 Cobresal</t>
  </si>
  <si>
    <t>2026-04-26|Everton de Viña|Cobresal</t>
  </si>
  <si>
    <t>EST-01310</t>
  </si>
  <si>
    <t>Deportes La Serena 1 vs 0 Everton de Viña</t>
  </si>
  <si>
    <t>2026-04-11|Deportes La Serena|Everton de Viña</t>
  </si>
  <si>
    <t>EST-01311</t>
  </si>
  <si>
    <t>Everton de Viña 0 vs 0 Ñublense</t>
  </si>
  <si>
    <t>2026-04-04|Everton de Viña|Ñublense</t>
  </si>
  <si>
    <t>EST-01312</t>
  </si>
  <si>
    <t>Coquimbo Unido 1 vs 1 Deportes La Serena</t>
  </si>
  <si>
    <t>2026-08-08|Coquimbo Unido|Deportes La Serena</t>
  </si>
  <si>
    <t>EST-01313</t>
  </si>
  <si>
    <t>Coquimbo Unido 0 vs 0 O'Higgins</t>
  </si>
  <si>
    <t>2026-06-13|Coquimbo Unido|O'Higgins</t>
  </si>
  <si>
    <t>EST-01314</t>
  </si>
  <si>
    <t>Deportes Limache 2 vs 3 Coquimbo Unido</t>
  </si>
  <si>
    <t>2026-05-31|Deportes Limache|Coquimbo Unido</t>
  </si>
  <si>
    <t>EST-01315</t>
  </si>
  <si>
    <t>Coquimbo Unido 3 vs 0 Audax Italiano</t>
  </si>
  <si>
    <t>2026-05-15|Coquimbo Unido|Audax Italiano</t>
  </si>
  <si>
    <t>EST-01316</t>
  </si>
  <si>
    <t>Unión La Calera 1 vs 2 Coquimbo Unido</t>
  </si>
  <si>
    <t>2026-04-24|Unión La Calera|Coquimbo Unido</t>
  </si>
  <si>
    <t>EST-01317</t>
  </si>
  <si>
    <t>Coquimbo Unido 1 vs 1 Ñublense</t>
  </si>
  <si>
    <t>2026-04-19|Coquimbo Unido|Ñublense</t>
  </si>
  <si>
    <t>EST-01318</t>
  </si>
  <si>
    <t>Coquimbo Unido 3 vs 2 Cobresal</t>
  </si>
  <si>
    <t>2026-04-03|Coquimbo Unido|Cobresal</t>
  </si>
  <si>
    <t>EST-01319</t>
  </si>
  <si>
    <t>Huachipato 1 vs 3 Coquimbo Unido</t>
  </si>
  <si>
    <t>2026-03-07|Huachipato|Coquimbo Unido</t>
  </si>
  <si>
    <t>EST-01320</t>
  </si>
  <si>
    <t>Ñublense 2 vs 2 Huachipato</t>
  </si>
  <si>
    <t>2026-06-13|Ñublense|Huachipato</t>
  </si>
  <si>
    <t>EST-01321</t>
  </si>
  <si>
    <t>Cobresal 0 vs 1 Ñublense</t>
  </si>
  <si>
    <t>2026-05-29|Cobresal|Ñublense</t>
  </si>
  <si>
    <t>EST-01322</t>
  </si>
  <si>
    <t>Ñublense 2 vs 2 Universidad de Concepción</t>
  </si>
  <si>
    <t>2026-05-23|Ñublense|Universidad de Concepción</t>
  </si>
  <si>
    <t>EST-01323</t>
  </si>
  <si>
    <t>Ñublense 0 vs 2 O'Higgins</t>
  </si>
  <si>
    <t>2026-04-25|Ñublense|O'Higgins</t>
  </si>
  <si>
    <t>EST-01324</t>
  </si>
  <si>
    <t>Ñublense 2 vs 2 Deportes La Serena</t>
  </si>
  <si>
    <t>2026-03-15|Ñublense|Deportes La Serena</t>
  </si>
  <si>
    <t>EST-01325</t>
  </si>
  <si>
    <t>Deportes Concepción 0 vs 2 Ñublense</t>
  </si>
  <si>
    <t>2026-03-06|Deportes Concepción|Ñublense</t>
  </si>
  <si>
    <t>EST-01326</t>
  </si>
  <si>
    <t>Ñublense 1 vs 2 Universidad Católica</t>
  </si>
  <si>
    <t>2026-03-01|Ñublense|Universidad Católica</t>
  </si>
  <si>
    <t>EST-01327</t>
  </si>
  <si>
    <t>Huachipato 3 vs 3 Cobresal</t>
  </si>
  <si>
    <t>2026-07-25|Huachipato|Cobresal</t>
  </si>
  <si>
    <t>EST-01328</t>
  </si>
  <si>
    <t>Deportes Concepción 2 vs 0 Huachipato</t>
  </si>
  <si>
    <t>2026-05-24|Deportes Concepción|Huachipato</t>
  </si>
  <si>
    <t>EST-01329</t>
  </si>
  <si>
    <t>Huachipato 3 vs 1 Unión La Calera</t>
  </si>
  <si>
    <t>2026-05-17|Huachipato|Unión La Calera</t>
  </si>
  <si>
    <t>EST-01330</t>
  </si>
  <si>
    <t>Deportes La Serena 0 vs 0 Huachipato</t>
  </si>
  <si>
    <t>2026-04-26|Deportes La Serena|Huachipato</t>
  </si>
  <si>
    <t>EST-01331</t>
  </si>
  <si>
    <t>Huachipato 3 vs 2 Audax Italiano</t>
  </si>
  <si>
    <t>2026-04-19|Huachipato|Audax Italiano</t>
  </si>
  <si>
    <t>EST-01332</t>
  </si>
  <si>
    <t>O'Higgins 0 vs 2 Huachipato</t>
  </si>
  <si>
    <t>2026-04-10|O'Higgins|Huachipato</t>
  </si>
  <si>
    <t>EST-01333</t>
  </si>
  <si>
    <t>Huachipato 5 vs 1 Universidad de Concepción</t>
  </si>
  <si>
    <t>2026-04-06|Huachipato|Universidad de Concepción</t>
  </si>
  <si>
    <t>EST-01334</t>
  </si>
  <si>
    <t>Deportes La Serena 1 vs 2 O'Higgins</t>
  </si>
  <si>
    <t>2026-08-02|Deportes La Serena|O'Higgins</t>
  </si>
  <si>
    <t>EST-01335</t>
  </si>
  <si>
    <t>Deportes Concepción 2 vs 0 O'Higgins</t>
  </si>
  <si>
    <t>2026-07-26|Deportes Concepción|O'Higgins</t>
  </si>
  <si>
    <t>EST-01336</t>
  </si>
  <si>
    <t>O'Higgins 0 vs 1 Universidad de Concepción</t>
  </si>
  <si>
    <t>2026-05-16|O'Higgins|Universidad de Concepción</t>
  </si>
  <si>
    <t>EST-01337</t>
  </si>
  <si>
    <t>Cobresal 2 vs 3 O'Higgins</t>
  </si>
  <si>
    <t>2026-04-19|Cobresal|O'Higgins</t>
  </si>
  <si>
    <t>EST-01338</t>
  </si>
  <si>
    <t>O'Higgins 2 vs 1 Audax Italiano</t>
  </si>
  <si>
    <t>2026-04-03|O'Higgins|Audax Italiano</t>
  </si>
  <si>
    <t>EST-01339</t>
  </si>
  <si>
    <t>Unión La Calera 3 vs 3 O'Higgins</t>
  </si>
  <si>
    <t>2026-03-16|Unión La Calera|O'Higgins</t>
  </si>
  <si>
    <t>EST-01340</t>
  </si>
  <si>
    <t>O'Higgins 1 vs 0 Universidad Católica</t>
  </si>
  <si>
    <t>2026-03-07|O'Higgins|Universidad Católica</t>
  </si>
  <si>
    <t>EST-01341</t>
  </si>
  <si>
    <t>Deportes Concepción 3 vs 2 Deportes Limache</t>
  </si>
  <si>
    <t>2026-06-14|Deportes Concepción|Deportes Limache</t>
  </si>
  <si>
    <t>EST-01342</t>
  </si>
  <si>
    <t>Deportes La Serena 4 vs 1 Deportes Limache</t>
  </si>
  <si>
    <t>2026-05-24|Deportes La Serena|Deportes Limache</t>
  </si>
  <si>
    <t>EST-01343</t>
  </si>
  <si>
    <t>Audax Italiano 2 vs 2 Deportes Limache</t>
  </si>
  <si>
    <t>2026-04-24|Audax Italiano|Deportes Limache</t>
  </si>
  <si>
    <t>EST-01344</t>
  </si>
  <si>
    <t>Deportes Limache 3 vs 0 Universidad de Concepción</t>
  </si>
  <si>
    <t>2026-04-17|Deportes Limache|Universidad de Concepción</t>
  </si>
  <si>
    <t>EST-01345</t>
  </si>
  <si>
    <t>Deportes Limache 4 vs 0 Unión La Calera</t>
  </si>
  <si>
    <t>2026-04-04|Deportes Limache|Unión La Calera</t>
  </si>
  <si>
    <t>EST-01346</t>
  </si>
  <si>
    <t>Cobresal 2 vs 5 Deportes Limache</t>
  </si>
  <si>
    <t>2026-03-15|Cobresal|Deportes Limache</t>
  </si>
  <si>
    <t>EST-01347</t>
  </si>
  <si>
    <t>Everton de Viña 1 vs 0 Deportes Limache</t>
  </si>
  <si>
    <t>2026-03-07|Everton de Viña|Deportes Limache</t>
  </si>
  <si>
    <t>EST-01348</t>
  </si>
  <si>
    <t>Deportes Limache 3 vs 0 Huachipato</t>
  </si>
  <si>
    <t>2026-02-28|Deportes Limache|Huachipato</t>
  </si>
  <si>
    <t>EST-01349</t>
  </si>
  <si>
    <t>Deportes Concepción 3 vs 3 Deportes La Serena</t>
  </si>
  <si>
    <t>2026-04-18|Deportes Concepción|Deportes La Serena</t>
  </si>
  <si>
    <t>EST-01350</t>
  </si>
  <si>
    <t>Unión La Calera 1 vs 0 Deportes Concepción</t>
  </si>
  <si>
    <t>2026-04-13|Unión La Calera|Deportes Concepción</t>
  </si>
  <si>
    <t>EST-01351</t>
  </si>
  <si>
    <t>Audax Italiano 3 vs 0 Deportes Concepción</t>
  </si>
  <si>
    <t>2026-03-13|Audax Italiano|Deportes Concepción</t>
  </si>
  <si>
    <t>EST-01352</t>
  </si>
  <si>
    <t>Audax Italiano 1 vs 1 Deportes La Serena</t>
  </si>
  <si>
    <t>2026-06-12|Audax Italiano|Deportes La Serena</t>
  </si>
  <si>
    <t>EST-01353</t>
  </si>
  <si>
    <t>Universidad de Concepción 0 vs 1 Audax Italiano</t>
  </si>
  <si>
    <t>2026-07-31|Universidad de Concepción|Audax Italiano</t>
  </si>
  <si>
    <t>EST-01354</t>
  </si>
  <si>
    <t>Audax Italiano 2 vs 1 Cobresal</t>
  </si>
  <si>
    <t>2026-05-23|Audax Italiano|Cobresal</t>
  </si>
  <si>
    <t>EST-01355</t>
  </si>
  <si>
    <t>Deportes Concepción 1 vs 0 Universidad de Concepción</t>
  </si>
  <si>
    <t>2026-08-09|Deportes Concepción|Universidad de Concepción</t>
  </si>
  <si>
    <t>EST-01356</t>
  </si>
  <si>
    <t>Universidad de Concepción 0 vs 0 Unión La Calera</t>
  </si>
  <si>
    <t>2026-05-29|Universidad de Concepción|Unión La Calera</t>
  </si>
  <si>
    <t>EST-01357</t>
  </si>
  <si>
    <t>Universidad de Concepción 1 vs 0 Cobresal</t>
  </si>
  <si>
    <t>2026-04-12|Universidad de Concepción|Cobresal</t>
  </si>
  <si>
    <t>EST-01358</t>
  </si>
  <si>
    <t>Cobresal 4 vs 0 Unión La Calera</t>
  </si>
  <si>
    <t>2026-08-01|Cobresal|Unión La Calera</t>
  </si>
  <si>
    <t>EST-01359</t>
  </si>
  <si>
    <t>Deportes La Serena 3 vs 0 Unión La Calera</t>
  </si>
  <si>
    <t>2026-03-06|Deportes La Serena|Unión La Calera</t>
  </si>
  <si>
    <t>MLS-East</t>
  </si>
  <si>
    <t>MLS-Cross</t>
  </si>
  <si>
    <t>MLS-West</t>
  </si>
  <si>
    <t>USA - MLS-East</t>
  </si>
  <si>
    <t>USA - MLS-West</t>
  </si>
  <si>
    <t>USA - MLS-Cross</t>
  </si>
  <si>
    <t>ORDEM OBRIGATÓRIA DA COLETA MLS</t>
  </si>
  <si>
    <t>EST-01371</t>
  </si>
  <si>
    <t>Chicago Fire FC 1 vs 0 Atlanta United FC</t>
  </si>
  <si>
    <t>Chicago Fire FC</t>
  </si>
  <si>
    <t>Atlanta United FC</t>
  </si>
  <si>
    <t>EST-01370</t>
  </si>
  <si>
    <t>Atlanta United FC 0 vs 2 Nashville SC</t>
  </si>
  <si>
    <t>Nashville SC</t>
  </si>
  <si>
    <t>EST-01369</t>
  </si>
  <si>
    <t>Atlanta United FC 1 vs 2 New England Revolution</t>
  </si>
  <si>
    <t>New England Revolution</t>
  </si>
  <si>
    <t>EST-01368</t>
  </si>
  <si>
    <t>Toronto FC 1 vs 2 Atlanta United FC</t>
  </si>
  <si>
    <t>EST-01367</t>
  </si>
  <si>
    <t>Atlanta United FC 3 vs 1 CF Montréal</t>
  </si>
  <si>
    <t>CF Montréal</t>
  </si>
  <si>
    <t>EST-01365</t>
  </si>
  <si>
    <t>Orlando City SC 1 vs 1 Atlanta United FC</t>
  </si>
  <si>
    <t>Orlando City SC</t>
  </si>
  <si>
    <t>EST-01364</t>
  </si>
  <si>
    <t>Columbus Crew 2 vs 0 Atlanta United FC</t>
  </si>
  <si>
    <t>EST-01363</t>
  </si>
  <si>
    <t>Nashville SC 1 vs 0 Atlanta United FC</t>
  </si>
  <si>
    <t>EST-01362</t>
  </si>
  <si>
    <t>Charlotte FC 2 vs 2 Atlanta United FC</t>
  </si>
  <si>
    <t>Charlotte FC</t>
  </si>
  <si>
    <t>EST-01361</t>
  </si>
  <si>
    <t>New England Revolution 4 vs 1 Atlanta United FC</t>
  </si>
  <si>
    <t>EST-01360</t>
  </si>
  <si>
    <t>Philadelphia Union 3 vs 2 Atlanta United FC</t>
  </si>
  <si>
    <t>Philadelphia Union</t>
  </si>
  <si>
    <t>EST-01366</t>
  </si>
  <si>
    <t>Atlanta United FC 1 vs 2 LA Galaxy</t>
  </si>
  <si>
    <t>LA Galaxy</t>
  </si>
  <si>
    <t>EST-01382</t>
  </si>
  <si>
    <t>Charlotte FC 1 vs 2 Nashville SC</t>
  </si>
  <si>
    <t>EST-01381</t>
  </si>
  <si>
    <t>New York City FC 1 vs 2 Charlotte FC</t>
  </si>
  <si>
    <t>New York City FC</t>
  </si>
  <si>
    <t>EST-01380</t>
  </si>
  <si>
    <t>Orlando City SC 4 vs 1 Charlotte FC</t>
  </si>
  <si>
    <t>EST-01379</t>
  </si>
  <si>
    <t>Nashville SC 4 vs 2 Charlotte FC</t>
  </si>
  <si>
    <t>EST-01378</t>
  </si>
  <si>
    <t>New England Revolution 1 vs 0 Charlotte FC</t>
  </si>
  <si>
    <t>EST-01377</t>
  </si>
  <si>
    <t>Charlotte FC 2 vs 2 FC Cincinnati</t>
  </si>
  <si>
    <t>EST-01376</t>
  </si>
  <si>
    <t>Charlotte FC 0 vs 1 New York City FC</t>
  </si>
  <si>
    <t>EST-01375</t>
  </si>
  <si>
    <t>Charlotte FC 3 vs 1 Toronto FC</t>
  </si>
  <si>
    <t>EST-01374</t>
  </si>
  <si>
    <t>Charlotte FC 1 vs 0 New England Revolution</t>
  </si>
  <si>
    <t>EST-01373</t>
  </si>
  <si>
    <t>New York Red Bulls 0 vs 2 Charlotte FC</t>
  </si>
  <si>
    <t>New York Red Bulls</t>
  </si>
  <si>
    <t>EST-01372</t>
  </si>
  <si>
    <t>Chicago Fire FC 2 vs 1 Charlotte FC</t>
  </si>
  <si>
    <t>Na aba Dados, organizar somente os novos registros estatísticos com ID EST- em três blocos sequenciais: primeiro MLS-East, depois MLS-West e, por último, MLS-Cross. Jogos entre conferências devem ser classificados exclusivamente como MLS-Cross. Registros históricos ou de apostas com IDs originais (por exemplo, 00082-USA) nunca devem ser deslocados de suas posições existentes. Não misturar partidas Cross nas médias internas de East ou West.</t>
  </si>
  <si>
    <t>EST-01392</t>
  </si>
  <si>
    <t>Chicago Fire FC 1 vs 0 Nashville SC</t>
  </si>
  <si>
    <t>EST-01391</t>
  </si>
  <si>
    <t>FC Cincinnati 3 vs 3 Chicago Fire FC</t>
  </si>
  <si>
    <t>EST-01389</t>
  </si>
  <si>
    <t>Chicago Fire FC 2 vs 3 FC Cincinnati</t>
  </si>
  <si>
    <t>EST-01388</t>
  </si>
  <si>
    <t>Chicago Fire FC 1 vs 3 New York Red Bulls</t>
  </si>
  <si>
    <t>EST-01387</t>
  </si>
  <si>
    <t>D.C. United 1 vs 3 Chicago Fire FC</t>
  </si>
  <si>
    <t>D.C. United</t>
  </si>
  <si>
    <t>EST-01386</t>
  </si>
  <si>
    <t>CF Montréal 0 vs 2 Chicago Fire FC</t>
  </si>
  <si>
    <t>EST-01385</t>
  </si>
  <si>
    <t>Chicago Fire FC 2 vs 1 Toronto FC</t>
  </si>
  <si>
    <t>EST-01384</t>
  </si>
  <si>
    <t>Inter Miami CF 3 vs 2 Chicago Fire FC</t>
  </si>
  <si>
    <t>Inter Miami CF</t>
  </si>
  <si>
    <t>EST-01383</t>
  </si>
  <si>
    <t>New York City FC 3 vs 1 Chicago Fire FC</t>
  </si>
  <si>
    <t>EST-01390</t>
  </si>
  <si>
    <t>Chicago Fire FC 5 vs 0 Sporting Kansas City</t>
  </si>
  <si>
    <t>Sporting Kansas City</t>
  </si>
  <si>
    <t>EST-01400</t>
  </si>
  <si>
    <t>Toronto FC 1 vs 1 FC Cincinnati</t>
  </si>
  <si>
    <t>EST-01399</t>
  </si>
  <si>
    <t>New York City FC 4 vs 4 FC Cincinnati</t>
  </si>
  <si>
    <t>EST-01398</t>
  </si>
  <si>
    <t>FC Cincinnati 2 vs 0 New York Red Bulls</t>
  </si>
  <si>
    <t>EST-01397</t>
  </si>
  <si>
    <t>FC Cincinnati 3 vs 5 Inter Miami CF</t>
  </si>
  <si>
    <t>EST-01395</t>
  </si>
  <si>
    <t>FC Cincinnati 6 vs 2 Orlando City SC</t>
  </si>
  <si>
    <t>EST-01393</t>
  </si>
  <si>
    <t>Columbus Crew 2 vs 1 FC Cincinnati</t>
  </si>
  <si>
    <t>EST-01396</t>
  </si>
  <si>
    <t>San Diego FC 3 vs 3 FC Cincinnati</t>
  </si>
  <si>
    <t>San Diego FC</t>
  </si>
  <si>
    <t>EST-01394</t>
  </si>
  <si>
    <t>FC Cincinnati 4 vs 3 Vancouver Whitecaps FC</t>
  </si>
  <si>
    <t>Vancouver Whitecaps FC</t>
  </si>
  <si>
    <t>EST-01401</t>
  </si>
  <si>
    <t>Columbus Crew 1 vs 2 New York City FC</t>
  </si>
  <si>
    <t>EST-01402</t>
  </si>
  <si>
    <t>Philadelphia Union 1 vs 1 Columbus Crew</t>
  </si>
  <si>
    <t>EST-01403</t>
  </si>
  <si>
    <t>New York Red Bulls 3 vs 2 Columbus Crew</t>
  </si>
  <si>
    <t>EST-01404</t>
  </si>
  <si>
    <t>New York City FC 3 vs 0 Columbus Crew</t>
  </si>
  <si>
    <t>EST-01405</t>
  </si>
  <si>
    <t>Columbus Crew 2 vs 3 Minnesota United FC</t>
  </si>
  <si>
    <t>Minnesota United FC</t>
  </si>
  <si>
    <t>EST-01406</t>
  </si>
  <si>
    <t>Columbus Crew 2 vs 0 Philadelphia Union</t>
  </si>
  <si>
    <t>EST-01407</t>
  </si>
  <si>
    <t>Columbus Crew 2 vs 1 LA Galaxy</t>
  </si>
  <si>
    <t>EST-01408</t>
  </si>
  <si>
    <t>New England Revolution 2 vs 1 Columbus Crew</t>
  </si>
  <si>
    <t>EST-01409</t>
  </si>
  <si>
    <t>Columbus Crew 1 vs 1 Orlando City SC</t>
  </si>
  <si>
    <t>EST-01410</t>
  </si>
  <si>
    <t>D.C. United 2 vs 2 Nashville SC</t>
  </si>
  <si>
    <t>EST-01411</t>
  </si>
  <si>
    <t>D.C. United 2 vs 1 Toronto FC</t>
  </si>
  <si>
    <t>EST-01412</t>
  </si>
  <si>
    <t>Houston Dynamo FC 1 vs 1 D.C. United</t>
  </si>
  <si>
    <t>Houston Dynamo FC</t>
  </si>
  <si>
    <t>EST-01413</t>
  </si>
  <si>
    <t>D.C. United 4 vs 4 CF Montréal</t>
  </si>
  <si>
    <t>EST-01414</t>
  </si>
  <si>
    <t>D.C. United 1 vs 1 St. Louis CITY SC</t>
  </si>
  <si>
    <t>St. Louis CITY SC</t>
  </si>
  <si>
    <t>EST-01415</t>
  </si>
  <si>
    <t>Nashville SC 2 vs 2 D.C. United</t>
  </si>
  <si>
    <t>EST-01416</t>
  </si>
  <si>
    <t>New York City FC 0 vs 2 D.C. United</t>
  </si>
  <si>
    <t>EST-01417</t>
  </si>
  <si>
    <t>D.C. United 3 vs 2 Orlando City SC</t>
  </si>
  <si>
    <t>EST-01418</t>
  </si>
  <si>
    <t>New York Red Bulls 4 vs 4 D.C. United</t>
  </si>
  <si>
    <t>EST-01419</t>
  </si>
  <si>
    <t>Philadelphia Union 0 vs 0 D.C. United</t>
  </si>
  <si>
    <t>EST-01420</t>
  </si>
  <si>
    <t>New England Revolution 1 vs 0 D.C. United</t>
  </si>
  <si>
    <t>Inter Miami CF 2 vs 2 Columbus Crew</t>
  </si>
  <si>
    <t>EST-01421</t>
  </si>
  <si>
    <t>CF Montréal 0 vs 1 Inter Miami CF</t>
  </si>
  <si>
    <t>EST-01422</t>
  </si>
  <si>
    <t>Inter Miami CF 6 vs 4 Philadelphia Union</t>
  </si>
  <si>
    <t>EST-01423</t>
  </si>
  <si>
    <t>Inter Miami CF 2 vs 0 Portland Timbers</t>
  </si>
  <si>
    <t>EST-01424</t>
  </si>
  <si>
    <t>Toronto FC 2 vs 4 Inter Miami CF</t>
  </si>
  <si>
    <t>EST-01425</t>
  </si>
  <si>
    <t>Inter Miami CF 3 vs 4 Orlando City SC</t>
  </si>
  <si>
    <t>EST-01426</t>
  </si>
  <si>
    <t>Inter Miami CF 1 vs 1 New England Revolution</t>
  </si>
  <si>
    <t>EST-01427</t>
  </si>
  <si>
    <t>Real Salt Lake 0 vs 2 Inter Miami CF</t>
  </si>
  <si>
    <t>Real Salt Lake</t>
  </si>
  <si>
    <t>EST-01428</t>
  </si>
  <si>
    <t>Colorado Rapids 2 vs 3 Inter Miami CF</t>
  </si>
  <si>
    <t>Colorado Rapids</t>
  </si>
  <si>
    <t>EST-01429</t>
  </si>
  <si>
    <t>Inter Miami CF 2 vs 2 New York Red Bulls</t>
  </si>
  <si>
    <t>EST-01430</t>
  </si>
  <si>
    <t>Orlando City SC 1 vs 0 Nashville SC</t>
  </si>
  <si>
    <t>EST-01431</t>
  </si>
  <si>
    <t>Nashville SC 1 vs 0 CF Montréal</t>
  </si>
  <si>
    <t>EST-01432</t>
  </si>
  <si>
    <t>Nashville SC 2 vs 1 New York City FC</t>
  </si>
  <si>
    <t>EST-01433</t>
  </si>
  <si>
    <t>Nashville SC 3 vs 2 Los Angeles FC</t>
  </si>
  <si>
    <t>Los Angeles FC</t>
  </si>
  <si>
    <t>EST-01434</t>
  </si>
  <si>
    <t>New England Revolution 0 vs 3 Nashville SC</t>
  </si>
  <si>
    <t>EST-01435</t>
  </si>
  <si>
    <t>Philadelphia Union 0 vs 0 Nashville SC</t>
  </si>
  <si>
    <t>EST-01436</t>
  </si>
  <si>
    <t>New England Revolution 0 vs 2 Houston Dynamo FC</t>
  </si>
  <si>
    <t>EST-01437</t>
  </si>
  <si>
    <t>CF Montréal 2 vs 2 New England Revolution</t>
  </si>
  <si>
    <t>EST-01438</t>
  </si>
  <si>
    <t>New England Revolution 0 vs 0 Toronto FC</t>
  </si>
  <si>
    <t>EST-01439</t>
  </si>
  <si>
    <t>New England Revolution 2 vs 1 Minnesota United FC</t>
  </si>
  <si>
    <t>EST-01440</t>
  </si>
  <si>
    <t>New England Revolution 2 vs 1 Philadelphia Union</t>
  </si>
  <si>
    <t>EST-01441</t>
  </si>
  <si>
    <t>CF Montréal 0 vs 0 Toronto FC</t>
  </si>
  <si>
    <t>EST-01442</t>
  </si>
  <si>
    <t>CF Montréal 2 vs 2 Portland Timbers</t>
  </si>
  <si>
    <t>EST-01443</t>
  </si>
  <si>
    <t>CF Montréal 2 vs 0 Orlando City SC</t>
  </si>
  <si>
    <t>EST-01444</t>
  </si>
  <si>
    <t>CF Montréal 1 vs 0 New York City FC</t>
  </si>
  <si>
    <t>EST-01445</t>
  </si>
  <si>
    <t>CF Montréal 4 vs 1 New York Red Bulls</t>
  </si>
  <si>
    <t>EST-01446</t>
  </si>
  <si>
    <t>CF Montréal 1 vs 2 Philadelphia Union</t>
  </si>
  <si>
    <t>New York City FC 1 vs 1 Toronto FC</t>
  </si>
  <si>
    <t>EST-01447</t>
  </si>
  <si>
    <t>New York Red Bulls 1 vs 1 New York City FC</t>
  </si>
  <si>
    <t>EST-01448</t>
  </si>
  <si>
    <t>Vancouver Whitecaps FC 2 vs 0 New York City FC</t>
  </si>
  <si>
    <t>EST-01449</t>
  </si>
  <si>
    <t>New York Red Bulls 3 vs 2 Orlando City SC</t>
  </si>
  <si>
    <t>EST-01450</t>
  </si>
  <si>
    <t>Philadelphia Union 3 vs 1 New York Red Bulls</t>
  </si>
  <si>
    <t>EST-01451</t>
  </si>
  <si>
    <t>Sporting Kansas City 1 vs 2 New York Red Bulls</t>
  </si>
  <si>
    <t>EST-01452</t>
  </si>
  <si>
    <t>New York Red Bulls 0 vs 2 FC Dallas</t>
  </si>
  <si>
    <t>FC Dallas</t>
  </si>
  <si>
    <t>EST-01453</t>
  </si>
  <si>
    <t>San Jose Earthquakes 0 vs 4 Orlando City SC</t>
  </si>
  <si>
    <t>EST-01454</t>
  </si>
  <si>
    <t>Orlando City SC 4 vs 3 Philadelphia Union</t>
  </si>
  <si>
    <t>EST-01455</t>
  </si>
  <si>
    <t>Orlando City SC 0 vs 1 Houston Dynamo FC</t>
  </si>
  <si>
    <t>EST-01456</t>
  </si>
  <si>
    <t>Philadelphia Union 1 vs 0 Seattle Sounders FC</t>
  </si>
  <si>
    <t>Seattle Sounders FC</t>
  </si>
  <si>
    <t>EST-01457</t>
  </si>
  <si>
    <t>Toronto FC 3 vs 3 Philadelphia Union</t>
  </si>
  <si>
    <t>EST-01458</t>
  </si>
  <si>
    <t>Toronto FC 1 vs 1 San Jose Earthquakes</t>
  </si>
  <si>
    <t>EST-01459</t>
  </si>
  <si>
    <t>Toronto FC 3 vs 3 Austin FC</t>
  </si>
  <si>
    <t>Austin FC</t>
  </si>
  <si>
    <t>EST-01460</t>
  </si>
  <si>
    <t>Colorado Rapids 1 vs 0 Austin FC</t>
  </si>
  <si>
    <t>EST-01461</t>
  </si>
  <si>
    <t>Houston Dynamo FC 3 vs 0 Austin FC</t>
  </si>
  <si>
    <t>EST-01462</t>
  </si>
  <si>
    <t>Austin FC 3 vs 1 Seattle Sounders FC</t>
  </si>
  <si>
    <t>EST-01463</t>
  </si>
  <si>
    <t>St. Louis CITY SC 3 vs 0 Austin FC</t>
  </si>
  <si>
    <t>EST-01464</t>
  </si>
  <si>
    <t>Austin FC 1 vs 2 Sporting Kansas City</t>
  </si>
  <si>
    <t>EST-01465</t>
  </si>
  <si>
    <t>San Diego FC 5 vs 0 Austin FC</t>
  </si>
  <si>
    <t>EST-01466</t>
  </si>
  <si>
    <t>Minnesota United FC 2 vs 2 Austin FC</t>
  </si>
  <si>
    <t>EST-01467</t>
  </si>
  <si>
    <t>Austin FC 2 vs 0 St. Louis CITY SC</t>
  </si>
  <si>
    <t>EST-01468</t>
  </si>
  <si>
    <t>Austin FC 2 vs 0 Houston Dynamo FC</t>
  </si>
  <si>
    <t>EST-01469</t>
  </si>
  <si>
    <t>San Jose Earthquakes 5 vs 1 Austin FC</t>
  </si>
  <si>
    <t>EST-01470</t>
  </si>
  <si>
    <t>Inter Miami CF 2 vs 2 Austin FC</t>
  </si>
  <si>
    <t>EST-01471</t>
  </si>
  <si>
    <t>St. Louis CITY SC 1 vs 0 Colorado Rapids</t>
  </si>
  <si>
    <t>EST-01472</t>
  </si>
  <si>
    <t>Colorado Rapids 1 vs 0 San Diego FC</t>
  </si>
  <si>
    <t>EST-01473</t>
  </si>
  <si>
    <t>Colorado Rapids 1 vs 2 FC Dallas</t>
  </si>
  <si>
    <t>EST-01474</t>
  </si>
  <si>
    <t>Real Salt Lake 2 vs 1 Colorado Rapids</t>
  </si>
  <si>
    <t>EST-01475</t>
  </si>
  <si>
    <t>Minnesota United FC 0 vs 1 Colorado Rapids</t>
  </si>
  <si>
    <t>EST-01476</t>
  </si>
  <si>
    <t>Colorado Rapids 0 vs 1 St. Louis CITY SC</t>
  </si>
  <si>
    <t>EST-01477</t>
  </si>
  <si>
    <t>Houston Dynamo FC 1 vs 0 Colorado Rapids</t>
  </si>
  <si>
    <t>EST-01478</t>
  </si>
  <si>
    <t>Vancouver Whitecaps FC 3 vs 1 Colorado Rapids</t>
  </si>
  <si>
    <t>EST-01479</t>
  </si>
  <si>
    <t>Los Angeles FC 0 vs 0 Colorado Rapids</t>
  </si>
  <si>
    <t>EST-01480</t>
  </si>
  <si>
    <t>Colorado Rapids 6 vs 2 Houston Dynamo FC</t>
  </si>
  <si>
    <t>EST-01481</t>
  </si>
  <si>
    <t>LA Galaxy 0 vs 0 FC Dallas</t>
  </si>
  <si>
    <t>EST-01482</t>
  </si>
  <si>
    <t>San Diego FC 1 vs 0 FC Dallas</t>
  </si>
  <si>
    <t>EST-01483</t>
  </si>
  <si>
    <t>Portland Timbers 2 vs 2 FC Dallas</t>
  </si>
  <si>
    <t>EST-01484</t>
  </si>
  <si>
    <t>San Jose Earthquakes 2 vs 3 FC Dallas</t>
  </si>
  <si>
    <t>EST-01485</t>
  </si>
  <si>
    <t>FC Dallas 2 vs 3 Vancouver Whitecaps FC</t>
  </si>
  <si>
    <t>EST-01486</t>
  </si>
  <si>
    <t>FC Dallas 3 vs 1 Real Salt Lake</t>
  </si>
  <si>
    <t>EST-01487</t>
  </si>
  <si>
    <t>Seattle Sounders FC 2 vs 1 FC Dallas</t>
  </si>
  <si>
    <t>EST-01488</t>
  </si>
  <si>
    <t>FC Dallas 0 vs 1 Minnesota United FC</t>
  </si>
  <si>
    <t>EST-01489</t>
  </si>
  <si>
    <t>FC Dallas 2 vs 2 LA Galaxy</t>
  </si>
  <si>
    <t>EST-01490</t>
  </si>
  <si>
    <t>FC Dallas 1 vs 1 St. Louis CITY SC</t>
  </si>
  <si>
    <t>EST-01491</t>
  </si>
  <si>
    <t>Sporting Kansas City 0 vs 2 Houston Dynamo FC</t>
  </si>
  <si>
    <t>EST-01492</t>
  </si>
  <si>
    <t>LA Galaxy 1 vs 1 Houston Dynamo FC</t>
  </si>
  <si>
    <t>EST-01493</t>
  </si>
  <si>
    <t>Houston Dynamo FC 1 vs 0 Vancouver Whitecaps FC</t>
  </si>
  <si>
    <t>EST-01494</t>
  </si>
  <si>
    <t>Real Salt Lake 3 vs 0 Houston Dynamo FC</t>
  </si>
  <si>
    <t>EST-01495</t>
  </si>
  <si>
    <t>Los Angeles FC 1 vs 4 Houston Dynamo FC</t>
  </si>
  <si>
    <t>EST-01496</t>
  </si>
  <si>
    <t>Houston Dynamo FC 1 vs 0 San Diego FC</t>
  </si>
  <si>
    <t>EST-01497</t>
  </si>
  <si>
    <t>San Jose Earthquakes 1 vs 1 LA Galaxy</t>
  </si>
  <si>
    <t>EST-01498</t>
  </si>
  <si>
    <t>LA Galaxy 1 vs 3 St. Louis CITY SC</t>
  </si>
  <si>
    <t>EST-01499</t>
  </si>
  <si>
    <t>LA Galaxy 0 vs 3 Los Angeles FC</t>
  </si>
  <si>
    <t>EST-01500</t>
  </si>
  <si>
    <t>Seattle Sounders FC 0 vs 2 LA Galaxy</t>
  </si>
  <si>
    <t>EST-01501</t>
  </si>
  <si>
    <t>Sporting Kansas City 3 vs 1 LA Galaxy</t>
  </si>
  <si>
    <t>EST-01502</t>
  </si>
  <si>
    <t>LA Galaxy 1 vs 1 Vancouver Whitecaps FC</t>
  </si>
  <si>
    <t>EST-01503</t>
  </si>
  <si>
    <t>LA Galaxy 2 vs 1 Real Salt Lake</t>
  </si>
  <si>
    <t>EST-01504</t>
  </si>
  <si>
    <t>Vancouver Whitecaps FC 1 vs 1 Los Angeles FC</t>
  </si>
  <si>
    <t>EST-01505</t>
  </si>
  <si>
    <t>Los Angeles FC 4 vs 0 Sporting Kansas City</t>
  </si>
  <si>
    <t>EST-01506</t>
  </si>
  <si>
    <t>Los Angeles FC 3 vs 1 Real Salt Lake</t>
  </si>
  <si>
    <t>EST-01507</t>
  </si>
  <si>
    <t>Los Angeles FC 1 vs 0 Seattle Sounders FC</t>
  </si>
  <si>
    <t>EST-01508</t>
  </si>
  <si>
    <t>St. Louis CITY SC 2 vs 1 Los Angeles FC</t>
  </si>
  <si>
    <t>EST-01509</t>
  </si>
  <si>
    <t>San Diego FC 2 vs 2 Los Angeles FC</t>
  </si>
  <si>
    <t>EST-01510</t>
  </si>
  <si>
    <t>Minnesota United FC 0 vs 1 Los Angeles FC</t>
  </si>
  <si>
    <t>EST-01511</t>
  </si>
  <si>
    <t>Los Angeles FC 1 vs 4 San Jose Earthquakes</t>
  </si>
  <si>
    <t>EST-01512</t>
  </si>
  <si>
    <t>Minnesota United FC 1 vs 1 San Diego FC</t>
  </si>
  <si>
    <t>EST-01513</t>
  </si>
  <si>
    <t>Minnesota United FC 0 vs 0 Vancouver Whitecaps FC</t>
  </si>
  <si>
    <t>EST-01514</t>
  </si>
  <si>
    <t>Sporting Kansas City 2 vs 1 Minnesota United FC</t>
  </si>
  <si>
    <t>EST-01515</t>
  </si>
  <si>
    <t>Minnesota United FC 1 vs 1 Real Salt Lake</t>
  </si>
  <si>
    <t>EST-01516</t>
  </si>
  <si>
    <t>Minnesota United FC 2 vs 0 Portland Timbers</t>
  </si>
  <si>
    <t>EST-01517</t>
  </si>
  <si>
    <t>San Diego FC 1 vs 2 Minnesota United FC</t>
  </si>
  <si>
    <t>Portland Timbers 2 vs 1 Seattle Sounders FC</t>
  </si>
  <si>
    <t>EST-01518</t>
  </si>
  <si>
    <t>Portland Timbers 2 vs 1 Real Salt Lake</t>
  </si>
  <si>
    <t>EST-01519</t>
  </si>
  <si>
    <t>Seattle Sounders FC 1 vs 5 Portland Timbers</t>
  </si>
  <si>
    <t>EST-01520</t>
  </si>
  <si>
    <t>Portland Timbers 1 vs 3 San Jose Earthquakes</t>
  </si>
  <si>
    <t>EST-01521</t>
  </si>
  <si>
    <t>Portland Timbers 6 vs 0 Sporting Kansas City</t>
  </si>
  <si>
    <t>EST-01522</t>
  </si>
  <si>
    <t>Real Salt Lake 2 vs 0 Portland Timbers</t>
  </si>
  <si>
    <t>EST-01523</t>
  </si>
  <si>
    <t>San Diego FC 1 vs 2 Portland Timbers</t>
  </si>
  <si>
    <t>EST-01524</t>
  </si>
  <si>
    <t>Portland Timbers 2 vs 1 Los Angeles FC</t>
  </si>
  <si>
    <t>EST-01525</t>
  </si>
  <si>
    <t>St. Louis CITY SC 1 vs 1 Real Salt Lake</t>
  </si>
  <si>
    <t>EST-01526</t>
  </si>
  <si>
    <t>Real Salt Lake 4 vs 2 San Diego FC</t>
  </si>
  <si>
    <t>EST-01527</t>
  </si>
  <si>
    <t>Real Salt Lake 3 vs 1 Sporting Kansas City</t>
  </si>
  <si>
    <t>EST-01528</t>
  </si>
  <si>
    <t>San Diego FC 2 vs 4 Vancouver Whitecaps FC</t>
  </si>
  <si>
    <t>EST-01529</t>
  </si>
  <si>
    <t>Seattle Sounders FC 1 vs 1 San Diego FC</t>
  </si>
  <si>
    <t>EST-01530</t>
  </si>
  <si>
    <t>Seattle Sounders FC 3 vs 2 San Jose Earthquakes</t>
  </si>
  <si>
    <t>EST-01531</t>
  </si>
  <si>
    <t>San Jose Earthquakes 1 vs 1 Vancouver Whitecaps FC</t>
  </si>
  <si>
    <t>EST-01532</t>
  </si>
  <si>
    <t>St. Louis CITY SC 2 vs 3 San Jose Earthquakes</t>
  </si>
  <si>
    <t>EST-01533</t>
  </si>
  <si>
    <t>Sporting Kansas City 1 vs 3 San Jose Earthquakes</t>
  </si>
  <si>
    <t>EST-01534</t>
  </si>
  <si>
    <t>Sporting Kansas City 1 vs 1 Seattle Sounders FC</t>
  </si>
  <si>
    <t>EST-01535</t>
  </si>
  <si>
    <t>Seattle Sounders FC 4 vs 1 St. Louis CITY SC</t>
  </si>
  <si>
    <t>EST-01536</t>
  </si>
  <si>
    <t>Houston Dynamo FC 0 vs 1 Seattle Sounders FC</t>
  </si>
  <si>
    <t>EST-01537</t>
  </si>
  <si>
    <t>St. Louis CITY SC 3 vs 2 Sporting Kansas City</t>
  </si>
  <si>
    <t>EST-01538</t>
  </si>
  <si>
    <t>Vancouver Whitecaps FC 3 vs 0 Sporting Kansas City</t>
  </si>
  <si>
    <t>EST-01539</t>
  </si>
  <si>
    <t>Vancouver Whitecaps FC 3 vs 2 Portland Timbers</t>
  </si>
  <si>
    <t>ECU - LigaPro Serie A</t>
  </si>
  <si>
    <t>LigaPro Serie A</t>
  </si>
  <si>
    <t>Independiente del Valle 4 vs 0 Manta FC</t>
  </si>
  <si>
    <t>EST-01540</t>
  </si>
  <si>
    <t>LDU Quito 0 vs 2 Independiente del Valle</t>
  </si>
  <si>
    <t>EST-01541</t>
  </si>
  <si>
    <t>Independiente del Valle 1 vs 0 Deportivo Cuenca</t>
  </si>
  <si>
    <t>Deportivo Cuenca</t>
  </si>
  <si>
    <t>EST-01542</t>
  </si>
  <si>
    <t>Orense 2 vs 3 Independiente del Valle</t>
  </si>
  <si>
    <t>Orense</t>
  </si>
  <si>
    <t>EST-01543</t>
  </si>
  <si>
    <t>Independiente del Valle 3 vs 0 Técnico Universitario</t>
  </si>
  <si>
    <t>Técnico Universitario</t>
  </si>
  <si>
    <t>EST-01544</t>
  </si>
  <si>
    <t>Independiente del Valle 6 vs 1 Emelec</t>
  </si>
  <si>
    <t>Emelec</t>
  </si>
  <si>
    <t>EST-01545</t>
  </si>
  <si>
    <t>Aucas 0 vs 3 Independiente del Valle</t>
  </si>
  <si>
    <t>Aucas</t>
  </si>
  <si>
    <t>EST-01546</t>
  </si>
  <si>
    <t>Mushuc Runa 1 vs 4 Independiente del Valle</t>
  </si>
  <si>
    <t>Mushuc Runa</t>
  </si>
  <si>
    <t>EST-01547</t>
  </si>
  <si>
    <t>Guayaquil City FC 2 vs 4 Independiente del Valle</t>
  </si>
  <si>
    <t>Guayaquil City FC</t>
  </si>
  <si>
    <t>EST-01548</t>
  </si>
  <si>
    <t>EST-01549</t>
  </si>
  <si>
    <t>Macará 0 vs 3 Independiente del Valle</t>
  </si>
  <si>
    <t>Macará</t>
  </si>
  <si>
    <t>EST-01550</t>
  </si>
  <si>
    <t>Independiente del Valle 1 vs 0 Barcelona SC</t>
  </si>
  <si>
    <t>Barcelona SC</t>
  </si>
  <si>
    <t>EST-01551</t>
  </si>
  <si>
    <t>Universidad Católica (Quito) 5 vs 0 Técnico Universitario</t>
  </si>
  <si>
    <t>Universidad Católica (Quito)</t>
  </si>
  <si>
    <t>EST-01552</t>
  </si>
  <si>
    <t>Guayaquil City FC 0 vs 0 Universidad Católica (Quito)</t>
  </si>
  <si>
    <t>EST-01553</t>
  </si>
  <si>
    <t>Universidad Católica (Quito) 2 vs 1 Barcelona SC</t>
  </si>
  <si>
    <t>EST-01554</t>
  </si>
  <si>
    <t>Deportivo Cuenca 0 vs 2 Universidad Católica (Quito)</t>
  </si>
  <si>
    <t>EST-01555</t>
  </si>
  <si>
    <t>Universidad Católica (Quito) 1 vs 0 LDU Quito</t>
  </si>
  <si>
    <t>EST-01556</t>
  </si>
  <si>
    <t>Leones del Norte 1 vs 0 Universidad Católica (Quito)</t>
  </si>
  <si>
    <t>Leones del Norte</t>
  </si>
  <si>
    <t>EST-01557</t>
  </si>
  <si>
    <t>Universidad Católica (Quito) 2 vs 3 Mushuc Runa</t>
  </si>
  <si>
    <t>EST-01558</t>
  </si>
  <si>
    <t>Emelec 1 vs 0 Universidad Católica (Quito)</t>
  </si>
  <si>
    <t>EST-01559</t>
  </si>
  <si>
    <t>Orense 1 vs 2 Universidad Católica (Quito)</t>
  </si>
  <si>
    <t>EST-01560</t>
  </si>
  <si>
    <t>Universidad Católica (Quito) 2 vs 2 Delfín SC</t>
  </si>
  <si>
    <t>EST-01561</t>
  </si>
  <si>
    <t>Aucas 2 vs 1 Universidad Católica (Quito)</t>
  </si>
  <si>
    <t>EST-01562</t>
  </si>
  <si>
    <t>Universidad Católica (Quito) 2 vs 3 Independiente del Valle</t>
  </si>
  <si>
    <t>EST-01563</t>
  </si>
  <si>
    <t>Barcelona SC 1 vs 2 Macará</t>
  </si>
  <si>
    <t>EST-01564</t>
  </si>
  <si>
    <t>Macará 2 vs 1 Guayaquil City FC</t>
  </si>
  <si>
    <t>EST-01565</t>
  </si>
  <si>
    <t>Aucas 1 vs 4 Macará</t>
  </si>
  <si>
    <t>EST-01566</t>
  </si>
  <si>
    <t>Macará 3 vs 0 Deportivo Cuenca</t>
  </si>
  <si>
    <t>EST-01567</t>
  </si>
  <si>
    <t>Delfín SC 2 vs 1 Macará</t>
  </si>
  <si>
    <t>EST-01568</t>
  </si>
  <si>
    <t>Macará 2 vs 1 Mushuc Runa</t>
  </si>
  <si>
    <t>EST-01569</t>
  </si>
  <si>
    <t>Técnico Universitario 0 vs 2 Macará</t>
  </si>
  <si>
    <t>EST-01570</t>
  </si>
  <si>
    <t>Macará 1 vs 0 LDU Quito</t>
  </si>
  <si>
    <t>EST-01571</t>
  </si>
  <si>
    <t>Leones del Norte 1 vs 1 Macará</t>
  </si>
  <si>
    <t>EST-01572</t>
  </si>
  <si>
    <t>Emelec 2 vs 0 Macará</t>
  </si>
  <si>
    <t>EST-01573</t>
  </si>
  <si>
    <t>Manta FC 0 vs 1 Macará</t>
  </si>
  <si>
    <t>EST-01574</t>
  </si>
  <si>
    <t>Aucas 3 vs 0 Leones del Norte</t>
  </si>
  <si>
    <t>EST-01575</t>
  </si>
  <si>
    <t>Emelec 0 vs 2 Aucas</t>
  </si>
  <si>
    <t>EST-01576</t>
  </si>
  <si>
    <t>Orense 2 vs 1 Aucas</t>
  </si>
  <si>
    <t>EST-01577</t>
  </si>
  <si>
    <t>Técnico Universitario 0 vs 1 Aucas</t>
  </si>
  <si>
    <t>EST-01578</t>
  </si>
  <si>
    <t>Deportivo Cuenca 0 vs 1 Aucas</t>
  </si>
  <si>
    <t>EST-01579</t>
  </si>
  <si>
    <t>Aucas 1 vs 0 Guayaquil City FC</t>
  </si>
  <si>
    <t>EST-01580</t>
  </si>
  <si>
    <t>Mushuc Runa 0 vs 0 Aucas</t>
  </si>
  <si>
    <t>EST-01581</t>
  </si>
  <si>
    <t>Aucas 3 vs 1 Manta FC</t>
  </si>
  <si>
    <t>EST-01582</t>
  </si>
  <si>
    <t>Barcelona SC 3 vs 0 Aucas</t>
  </si>
  <si>
    <t>EST-01583</t>
  </si>
  <si>
    <t>Leones del Norte 1 vs 1 Barcelona SC</t>
  </si>
  <si>
    <t>EST-01584</t>
  </si>
  <si>
    <t>Barcelona SC 0 vs 1 LDU Quito</t>
  </si>
  <si>
    <t>EST-01585</t>
  </si>
  <si>
    <t>EST-01586</t>
  </si>
  <si>
    <t>Barcelona SC 1 vs 1 Guayaquil City FC</t>
  </si>
  <si>
    <t>EST-01587</t>
  </si>
  <si>
    <t>Emelec 0 vs 0 Barcelona SC</t>
  </si>
  <si>
    <t>EST-01588</t>
  </si>
  <si>
    <t>Barcelona SC 2 vs 0 Deportivo Cuenca</t>
  </si>
  <si>
    <t>EST-01589</t>
  </si>
  <si>
    <t>Técnico Universitario 1 vs 0 Barcelona SC</t>
  </si>
  <si>
    <t>EST-01590</t>
  </si>
  <si>
    <t>Delfín SC 1 vs 2 Barcelona SC</t>
  </si>
  <si>
    <t>EST-01591</t>
  </si>
  <si>
    <t>Manta FC 1 vs 1 LDU Quito</t>
  </si>
  <si>
    <t>EST-01592</t>
  </si>
  <si>
    <t>LDU Quito 0 vs 1 Leones del Norte</t>
  </si>
  <si>
    <t>EST-01593</t>
  </si>
  <si>
    <t>LDU Quito 3 vs 0 Orense</t>
  </si>
  <si>
    <t>EST-01594</t>
  </si>
  <si>
    <t>Deportivo Cuenca 1 vs 1 LDU Quito</t>
  </si>
  <si>
    <t>EST-01595</t>
  </si>
  <si>
    <t>LDU Quito 2 vs 1 Técnico Universitario</t>
  </si>
  <si>
    <t>EST-01596</t>
  </si>
  <si>
    <t>Mushuc Runa 1 vs 3 LDU Quito</t>
  </si>
  <si>
    <t>EST-01597</t>
  </si>
  <si>
    <t>LDU Quito 1 vs 0 Guayaquil City FC</t>
  </si>
  <si>
    <t>EST-01598</t>
  </si>
  <si>
    <t>Delfín SC 0 vs 1 Leones del Norte</t>
  </si>
  <si>
    <t>EST-01599</t>
  </si>
  <si>
    <t>Leones del Norte 1 vs 1 Guayaquil City FC</t>
  </si>
  <si>
    <t>EST-01600</t>
  </si>
  <si>
    <t>Leones del Norte 1 vs 1 Deportivo Cuenca</t>
  </si>
  <si>
    <t>EST-01601</t>
  </si>
  <si>
    <t>EST-01602</t>
  </si>
  <si>
    <t>Técnico Universitario 2 vs 1 Leones del Norte</t>
  </si>
  <si>
    <t>EST-01603</t>
  </si>
  <si>
    <t>Leones del Norte 3 vs 1 Mushuc Runa</t>
  </si>
  <si>
    <t>EST-01604</t>
  </si>
  <si>
    <t>Orense 2 vs 0 Leones del Norte</t>
  </si>
  <si>
    <t>EST-01605</t>
  </si>
  <si>
    <t>Deportivo Cuenca 2 vs 1 Emelec</t>
  </si>
  <si>
    <t>EST-01606</t>
  </si>
  <si>
    <t>Deportivo Cuenca 1 vs 0 Delfín SC</t>
  </si>
  <si>
    <t>EST-01607</t>
  </si>
  <si>
    <t>EST-01608</t>
  </si>
  <si>
    <t>Guayaquil City FC 0 vs 1 Deportivo Cuenca</t>
  </si>
  <si>
    <t>EST-01609</t>
  </si>
  <si>
    <t>Deportivo Cuenca 2 vs 1 Técnico Universitario</t>
  </si>
  <si>
    <t>Independiente del Valle 2 vs 3 Libertad (Ecuador)</t>
  </si>
  <si>
    <t>Libertad (Ecuador)</t>
  </si>
  <si>
    <t>Barcelona SC 1 vs 0 Libertad (Ecuador)</t>
  </si>
  <si>
    <t>Libertad (Ecuador) 1 vs 3 Leones del Norte</t>
  </si>
  <si>
    <t>Libertad (Ecuador) 0 vs 1 Deportivo Cuenca</t>
  </si>
  <si>
    <t>EST-01610</t>
  </si>
  <si>
    <t>Libertad (Ecuador) 3 vs 0 Orense</t>
  </si>
  <si>
    <t>EST-01611</t>
  </si>
  <si>
    <t>Mushuc Runa 0 vs 2 Libertad (Ecuador)</t>
  </si>
  <si>
    <t>EST-01612</t>
  </si>
  <si>
    <t>Libertad (Ecuador) 1 vs 0 Delfín SC</t>
  </si>
  <si>
    <t>EST-01613</t>
  </si>
  <si>
    <t>Libertad (Ecuador) 1 vs 0 Técnico Universitario</t>
  </si>
  <si>
    <t>EST-01614</t>
  </si>
  <si>
    <t>LDU Quito 0 vs 0 Libertad (Ecuador)</t>
  </si>
  <si>
    <t>EST-01615</t>
  </si>
  <si>
    <t>Manta FC 2 vs 1 Libertad (Ecuador)</t>
  </si>
  <si>
    <t>EST-01616</t>
  </si>
  <si>
    <t>Emelec 1 vs 1 Libertad (Ecuador)</t>
  </si>
  <si>
    <t>EST-01617</t>
  </si>
  <si>
    <t>Libertad (Ecuador) 3 vs 2 Aucas</t>
  </si>
  <si>
    <t>EST-01618</t>
  </si>
  <si>
    <t>Manta FC 1 vs 2 Mushuc Runa</t>
  </si>
  <si>
    <t>EST-01619</t>
  </si>
  <si>
    <t>Emelec 1 vs 1 Mushuc Runa</t>
  </si>
  <si>
    <t>EST-01620</t>
  </si>
  <si>
    <t>Mushuc Runa 2 vs 1 Orense</t>
  </si>
  <si>
    <t>EST-01621</t>
  </si>
  <si>
    <t>Mushuc Runa 2 vs 2 Guayaquil City FC</t>
  </si>
  <si>
    <t>EST-01622</t>
  </si>
  <si>
    <t>Delfín SC 1 vs 0 Mushuc Runa</t>
  </si>
  <si>
    <t>EST-01623</t>
  </si>
  <si>
    <t>Guayaquil City FC 1 vs 0 Manta FC</t>
  </si>
  <si>
    <t>EST-01624</t>
  </si>
  <si>
    <t>Guayaquil City FC 2 vs 1 Delfín SC</t>
  </si>
  <si>
    <t>EST-01625</t>
  </si>
  <si>
    <t>Guayaquil City FC 0 vs 1 Orense</t>
  </si>
  <si>
    <t>EST-01626</t>
  </si>
  <si>
    <t>Guayaquil City FC 0 vs 0 Emelec</t>
  </si>
  <si>
    <t>EST-01627</t>
  </si>
  <si>
    <t>Orense 0 vs 2 Emelec</t>
  </si>
  <si>
    <t>EST-01628</t>
  </si>
  <si>
    <t>Delfín SC 1 vs 1 Emelec</t>
  </si>
  <si>
    <t>EST-01629</t>
  </si>
  <si>
    <t>Manta FC 0 vs 0 Emelec</t>
  </si>
  <si>
    <t>EST-01630</t>
  </si>
  <si>
    <t>Manta FC 0 vs 1 Delfín SC</t>
  </si>
  <si>
    <t>EST-01631</t>
  </si>
  <si>
    <t>Técnico Universitario 4 vs 0 Delfín SC</t>
  </si>
  <si>
    <t>EST-01632</t>
  </si>
  <si>
    <t>Técnico Universitario 1 vs 0 Manta FC</t>
  </si>
  <si>
    <t>EST-01633</t>
  </si>
  <si>
    <t>Orense 1 vs 2 Técnico Universitario</t>
  </si>
  <si>
    <t>EST-01634</t>
  </si>
  <si>
    <t>Delfín SC 1 vs 1 Orense</t>
  </si>
  <si>
    <t>EST-01635</t>
  </si>
  <si>
    <t>Manta FC 0 vs 0 Orense</t>
  </si>
  <si>
    <t>EST-01636</t>
  </si>
  <si>
    <t>Barcelona SC 1 vs 1 Manta FC</t>
  </si>
  <si>
    <t>Cashout antecipado · retorno integral R$ 0,56 · lucro líquido R$ 0,06</t>
  </si>
  <si>
    <t>Finalizado</t>
  </si>
  <si>
    <t>33. GV San José × Always Ready</t>
  </si>
  <si>
    <t>Não informado</t>
  </si>
  <si>
    <t>Over 1,5 @ 1,17</t>
  </si>
  <si>
    <t>Over 1,50 @ 1,17</t>
  </si>
  <si>
    <t>Bilhete informado pela usuária; linha e odd preservadas conforme registro</t>
  </si>
  <si>
    <t>Over 1,50 @ 1,17 confirmado pelo placar 2 × 3 (5 gols)</t>
  </si>
  <si>
    <t>Greens</t>
  </si>
  <si>
    <t>Devolvidas</t>
  </si>
  <si>
    <t>Reds</t>
  </si>
  <si>
    <t>Percentual de acerto</t>
  </si>
  <si>
    <t>Cashouts integrais</t>
  </si>
  <si>
    <t>DESEMPENHO DOS BILHETES</t>
  </si>
  <si>
    <t>Apostas contabilizadas</t>
  </si>
  <si>
    <t>Apostas não contabilizadas</t>
  </si>
  <si>
    <t>Acerto integral</t>
  </si>
  <si>
    <t>Acerto integral resgatado antecipadamente</t>
  </si>
  <si>
    <t>Equivale a 0,5 Green</t>
  </si>
  <si>
    <t>Resultado negativo</t>
  </si>
  <si>
    <t>Fora do cálculo de aproveitamento</t>
  </si>
  <si>
    <t>Greens + Cashouts + Meio Red + Reds</t>
  </si>
  <si>
    <t>Acertos equivalentes ÷ apostas contabilizadas</t>
  </si>
  <si>
    <t>LEGENDA — Cashout integral conta como 1 acerto; Meio Red conta como 0,5 Green; devolvidas não entram no cálculo.</t>
  </si>
  <si>
    <t>Besta-deild karla (PL)</t>
  </si>
  <si>
    <t>Lengjudeildin (1ªD)</t>
  </si>
  <si>
    <t>ISL - Besta-deild karla (PL)</t>
  </si>
  <si>
    <t>ISL - Lengjudeildin (1ªD)</t>
  </si>
  <si>
    <t>Throttur (Þróttur) 4 vs 1 Afturelding</t>
  </si>
  <si>
    <t>Throttur (Þróttur)</t>
  </si>
  <si>
    <t>Throttur (Þróttur) 3 vs 1 IR Reykjavik</t>
  </si>
  <si>
    <t>IR Reykjavik 1 vs 1 Throttur (Þróttur)</t>
  </si>
  <si>
    <t>Aegir 1 vs 3 Throttur (Þróttur)</t>
  </si>
  <si>
    <t>EST-01637</t>
  </si>
  <si>
    <t>Grotta 1 vs 1 Throttur (Þróttur)</t>
  </si>
  <si>
    <t>EST-01638</t>
  </si>
  <si>
    <t>Leiknir 1 vs 5 Throttur (Þróttur)</t>
  </si>
  <si>
    <t>EST-01639</t>
  </si>
  <si>
    <t>Throttur (Þróttur) 1 vs 0 Volsungur</t>
  </si>
  <si>
    <t>EST-01640</t>
  </si>
  <si>
    <t>Njardvik 1 vs 0 Throttur (Þróttur)</t>
  </si>
  <si>
    <t>EST-01641</t>
  </si>
  <si>
    <t>Throttur (Þróttur) 1 vs 1 Vestri</t>
  </si>
  <si>
    <t>EST-01642</t>
  </si>
  <si>
    <t>Throttur (Þróttur) 2 vs 0 Kopavogur</t>
  </si>
  <si>
    <t>EST-01643</t>
  </si>
  <si>
    <t>Fylkir 1 vs 3 Throttur (Þróttur)</t>
  </si>
  <si>
    <t>EST-01644</t>
  </si>
  <si>
    <t>Throttur (Þróttur) 2 vs 0 Grindavik</t>
  </si>
  <si>
    <t>EST-01645</t>
  </si>
  <si>
    <t>Throttur (Þróttur) 2 vs 3 Grotta</t>
  </si>
  <si>
    <t>EST-01646</t>
  </si>
  <si>
    <t>Leiknir 3 vs 0 Fylkir</t>
  </si>
  <si>
    <t>EST-01647</t>
  </si>
  <si>
    <t>Fylkir 3 vs 1 Volsungur</t>
  </si>
  <si>
    <t>EST-01648</t>
  </si>
  <si>
    <t>Fylkir 4 vs 1 Njardvik</t>
  </si>
  <si>
    <t>EST-01649</t>
  </si>
  <si>
    <t>Vestri 2 vs 5 Fylkir</t>
  </si>
  <si>
    <t>EST-01650</t>
  </si>
  <si>
    <t>Fylkir 0 vs 2 Kopavogur</t>
  </si>
  <si>
    <t>EST-01651</t>
  </si>
  <si>
    <t>Grotta 2 vs 5 Fylkir</t>
  </si>
  <si>
    <t>EST-01652</t>
  </si>
  <si>
    <t>Grindavik 0 vs 1 Fylkir</t>
  </si>
  <si>
    <t>EST-01653</t>
  </si>
  <si>
    <t>Afturelding 5 vs 1 Fylkir</t>
  </si>
  <si>
    <t>EST-01654</t>
  </si>
  <si>
    <t>Fylkir 3 vs 0 Leiknir</t>
  </si>
  <si>
    <t>EST-01655</t>
  </si>
  <si>
    <t>Afturelding 3 vs 2 Leiknir</t>
  </si>
  <si>
    <t>EST-01656</t>
  </si>
  <si>
    <t>Volsungur 1 vs 6 Afturelding</t>
  </si>
  <si>
    <t>EST-01657</t>
  </si>
  <si>
    <t>Afturelding 2 vs 0 Njardvik</t>
  </si>
  <si>
    <t>EST-01658</t>
  </si>
  <si>
    <t>Vestri 2 vs 0 Afturelding</t>
  </si>
  <si>
    <t>EST-01659</t>
  </si>
  <si>
    <t>Kopavogur 2 vs 1 Afturelding</t>
  </si>
  <si>
    <t>EST-01660</t>
  </si>
  <si>
    <t>Grindavik 1 vs 3 Afturelding</t>
  </si>
  <si>
    <t>EST-01661</t>
  </si>
  <si>
    <t>Afturelding 4 vs 3 Throttur (Þróttur)</t>
  </si>
  <si>
    <t>EST-01662</t>
  </si>
  <si>
    <t>Volsungur 3 vs 2 Kopavogur</t>
  </si>
  <si>
    <t>EST-01663</t>
  </si>
  <si>
    <t>Njardvik 3 vs 2 Kopavogur</t>
  </si>
  <si>
    <t>EST-01664</t>
  </si>
  <si>
    <t>Kopavogur 6 vs 2 Vestri</t>
  </si>
  <si>
    <t>EST-01665</t>
  </si>
  <si>
    <t>Grotta 2 vs 1 Kopavogur</t>
  </si>
  <si>
    <t>EST-01666</t>
  </si>
  <si>
    <t>Kopavogur 2 vs 2 Grindavik</t>
  </si>
  <si>
    <t>EST-01667</t>
  </si>
  <si>
    <t>Leiknir 4 vs 1 Kopavogur</t>
  </si>
  <si>
    <t>EST-01668</t>
  </si>
  <si>
    <t>Kopavogur 1 vs 0 Volsungur</t>
  </si>
  <si>
    <t>EST-01669</t>
  </si>
  <si>
    <t>Njardvik 3 vs 1 Vestri</t>
  </si>
  <si>
    <t>EST-01670</t>
  </si>
  <si>
    <t>Njardvik 5 vs 4 Grindavik</t>
  </si>
  <si>
    <t>EST-01671</t>
  </si>
  <si>
    <t>Njardvik 1 vs 0 Leiknir</t>
  </si>
  <si>
    <t>EST-01672</t>
  </si>
  <si>
    <t>Volsungur 2 vs 1 Njardvik</t>
  </si>
  <si>
    <t>EST-01673</t>
  </si>
  <si>
    <t>Vestri 0 vs 3 Njardvik</t>
  </si>
  <si>
    <t>EST-01674</t>
  </si>
  <si>
    <t>Vestri 0 vs 3 Grotta</t>
  </si>
  <si>
    <t>EST-01675</t>
  </si>
  <si>
    <t>Grotta 1 vs 2 Grindavik</t>
  </si>
  <si>
    <t>EST-01676</t>
  </si>
  <si>
    <t>Leiknir 0 vs 1 Grotta</t>
  </si>
  <si>
    <t>EST-01677</t>
  </si>
  <si>
    <t>Volsungur 2 vs 2 Grotta</t>
  </si>
  <si>
    <t>EST-01678</t>
  </si>
  <si>
    <t>Njardvik 1 vs 2 Grotta</t>
  </si>
  <si>
    <t>EST-01679</t>
  </si>
  <si>
    <t>Grotta 5 vs 3 Vestri</t>
  </si>
  <si>
    <t>EST-01680</t>
  </si>
  <si>
    <t>Vestri 4 vs 3 Kopavogur</t>
  </si>
  <si>
    <t>EST-01681</t>
  </si>
  <si>
    <t>Leiknir 3 vs 3 Volsungur</t>
  </si>
  <si>
    <t>EST-01682</t>
  </si>
  <si>
    <t>Leiknir 1 vs 0 Vestri</t>
  </si>
  <si>
    <t>EST-01683</t>
  </si>
  <si>
    <t>Leiknir 0 vs 0 Grindavik</t>
  </si>
  <si>
    <t>EST-01684</t>
  </si>
  <si>
    <t>IR Reykjavik 3 vs 2 Aegir</t>
  </si>
  <si>
    <t>EST-01685</t>
  </si>
  <si>
    <t>Volsungur 2 vs 0 Grindavik</t>
  </si>
  <si>
    <t>EST-01686</t>
  </si>
  <si>
    <t>Vestri 5 vs 1 Volsungur</t>
  </si>
  <si>
    <t>Vikingur Reykjavik (Víkingur Reykjavík)</t>
  </si>
  <si>
    <t>Fram Reykjavik (Fram Reykjavík)</t>
  </si>
  <si>
    <t>KR Reykjavik (KR Reykjavík)</t>
  </si>
  <si>
    <t>Akranes (ÍA Akranes)</t>
  </si>
  <si>
    <t>Hafnarfjordur (FH Hafnarfjörður)</t>
  </si>
  <si>
    <t>EST-01687</t>
  </si>
  <si>
    <t>Vikingur Reykjavik (Víkingur Reykjavík) 2 vs 2 IBV Vestmannaeyjar</t>
  </si>
  <si>
    <t>EST-01688</t>
  </si>
  <si>
    <t>Akranes (ÍA Akranes) 2 vs 2 Vikingur Reykjavik (Víkingur Reykjavík)</t>
  </si>
  <si>
    <t>EST-01689</t>
  </si>
  <si>
    <t>Vikingur Reykjavik (Víkingur Reykjavík) 5 vs 1 Keflavík</t>
  </si>
  <si>
    <t>EST-01690</t>
  </si>
  <si>
    <t>EST-01691</t>
  </si>
  <si>
    <t>Vikingur Reykjavik (Víkingur Reykjavík) 3 vs 2 KA Akureyri</t>
  </si>
  <si>
    <t>EST-01692</t>
  </si>
  <si>
    <t>Breidablik 1 vs 4 Vikingur Reykjavik (Víkingur Reykjavík)</t>
  </si>
  <si>
    <t>EST-01693</t>
  </si>
  <si>
    <t>Fram Reykjavik (Fram Reykjavík) 0 vs 5 Vikingur Reykjavik (Víkingur Reykjavík)</t>
  </si>
  <si>
    <t>EST-01694</t>
  </si>
  <si>
    <t>Vikingur Reykjavik (Víkingur Reykjavík) 2 vs 0 KR Reykjavik (KR Reykjavík)</t>
  </si>
  <si>
    <t>EST-01695</t>
  </si>
  <si>
    <t>Valur Reykjavik 1 vs 5 Vikingur Reykjavik (Víkingur Reykjavík)</t>
  </si>
  <si>
    <t>EST-01696</t>
  </si>
  <si>
    <t>Stjarnan 1 vs 3 Vikingur Reykjavik (Víkingur Reykjavík)</t>
  </si>
  <si>
    <t>EST-01697</t>
  </si>
  <si>
    <t>Vikingur Reykjavik (Víkingur Reykjavík) 5 vs 0 Hafnarfjordur (FH Hafnarfjörður)</t>
  </si>
  <si>
    <t>EST-01698</t>
  </si>
  <si>
    <t>IBV Vestmannaeyjar 0 vs 2 Vikingur Reykjavik (Víkingur Reykjavík)</t>
  </si>
  <si>
    <t>EST-01699</t>
  </si>
  <si>
    <t>IBV Vestmannaeyjar 1 vs 2 Fram Reykjavik (Fram Reykjavík)</t>
  </si>
  <si>
    <t>EST-01700</t>
  </si>
  <si>
    <t>Fram Reykjavik (Fram Reykjavík) 0 vs 0 Hafnarfjordur (FH Hafnarfjörður)</t>
  </si>
  <si>
    <t>EST-01701</t>
  </si>
  <si>
    <t>Valur Reykjavik 2 vs 3 Fram Reykjavik (Fram Reykjavík)</t>
  </si>
  <si>
    <t>EST-01702</t>
  </si>
  <si>
    <t>EST-01703</t>
  </si>
  <si>
    <t>Keflavík 1 vs 1 Fram Reykjavik (Fram Reykjavík)</t>
  </si>
  <si>
    <t>EST-01704</t>
  </si>
  <si>
    <t>Akranes (ÍA Akranes) 0 vs 2 Fram Reykjavik (Fram Reykjavík)</t>
  </si>
  <si>
    <t>EST-01705</t>
  </si>
  <si>
    <t>KA Akureyri 3 vs 4 Fram Reykjavik (Fram Reykjavík)</t>
  </si>
  <si>
    <t>EST-01706</t>
  </si>
  <si>
    <t>Fram Reykjavik (Fram Reykjavík) 4 vs 3 Breidablik</t>
  </si>
  <si>
    <t>EST-01707</t>
  </si>
  <si>
    <t>Stjarnan 0 vs 1 Fram Reykjavik (Fram Reykjavík)</t>
  </si>
  <si>
    <t>EST-01708</t>
  </si>
  <si>
    <t>KR Reykjavik (KR Reykjavík) 2 vs 2 Fram Reykjavik (Fram Reykjavík)</t>
  </si>
  <si>
    <t>EST-01709</t>
  </si>
  <si>
    <t>Fram Reykjavik (Fram Reykjavík) 3 vs 2 Valur Reykjavik</t>
  </si>
  <si>
    <t>EST-01710</t>
  </si>
  <si>
    <t>Hafnarfjordur (FH Hafnarfjörður) 1 vs 1 KR Reykjavik (KR Reykjavík)</t>
  </si>
  <si>
    <t>EST-01711</t>
  </si>
  <si>
    <t>KR Reykjavik (KR Reykjavík) 5 vs 0 Stjarnan</t>
  </si>
  <si>
    <t>EST-01712</t>
  </si>
  <si>
    <t>KR Reykjavik (KR Reykjavík) 5 vs 2 IBV Vestmannaeyjar</t>
  </si>
  <si>
    <t>EST-01713</t>
  </si>
  <si>
    <t>EST-01714</t>
  </si>
  <si>
    <t>Keflavík 3 vs 2 KR Reykjavik (KR Reykjavík)</t>
  </si>
  <si>
    <t>EST-01715</t>
  </si>
  <si>
    <t>KR Reykjavik (KR Reykjavík) 5 vs 3 Akranes (ÍA Akranes)</t>
  </si>
  <si>
    <t>EST-01716</t>
  </si>
  <si>
    <t>KR Reykjavik (KR Reykjavík) 5 vs 3 KA Akureyri</t>
  </si>
  <si>
    <t>EST-01717</t>
  </si>
  <si>
    <t>KR Reykjavik (KR Reykjavík) 3 vs 1 Valur Reykjavik</t>
  </si>
  <si>
    <t>EST-01718</t>
  </si>
  <si>
    <t>Breidablik 6 vs 3 KR Reykjavik (KR Reykjavík)</t>
  </si>
  <si>
    <t>EST-01719</t>
  </si>
  <si>
    <t>Stjarnan 2 vs 3 KR Reykjavik (KR Reykjavík)</t>
  </si>
  <si>
    <t>EST-01720</t>
  </si>
  <si>
    <t>Breidablik 1 vs 3 Valur Reykjavik</t>
  </si>
  <si>
    <t>EST-01721</t>
  </si>
  <si>
    <t>Hafnarfjordur (FH Hafnarfjörður) 0 vs 0 Breidablik</t>
  </si>
  <si>
    <t>EST-01722</t>
  </si>
  <si>
    <t>Breidablik 2 vs 1 Keflavík</t>
  </si>
  <si>
    <t>EST-01723</t>
  </si>
  <si>
    <t>Akranes (ÍA Akranes) 1 vs 2 Breidablik</t>
  </si>
  <si>
    <t>EST-01724</t>
  </si>
  <si>
    <t>Breidablik 3 vs 1 KA Akureyri</t>
  </si>
  <si>
    <t>EST-01725</t>
  </si>
  <si>
    <t>Stjarnan 4 vs 4 Breidablik</t>
  </si>
  <si>
    <t>EST-01726</t>
  </si>
  <si>
    <t>Valur Reykjavik 3 vs 2 Breidablik</t>
  </si>
  <si>
    <t>EST-01727</t>
  </si>
  <si>
    <t>Hafnarfjordur (FH Hafnarfjörður) 2 vs 0 Valur Reykjavik</t>
  </si>
  <si>
    <t>EST-01728</t>
  </si>
  <si>
    <t>IBV Vestmannaeyjar 1 vs 0 Valur Reykjavik</t>
  </si>
  <si>
    <t>EST-01729</t>
  </si>
  <si>
    <t>EST-01730</t>
  </si>
  <si>
    <t>Valur Reykjavik 1 vs 1 Keflavík</t>
  </si>
  <si>
    <t>EST-01731</t>
  </si>
  <si>
    <t>Akranes (ÍA Akranes) 1 vs 0 Valur Reykjavik</t>
  </si>
  <si>
    <t>EST-01732</t>
  </si>
  <si>
    <t>KA Akureyri 0 vs 1 Valur Reykjavik</t>
  </si>
  <si>
    <t>EST-01733</t>
  </si>
  <si>
    <t>Stjarnan 1 vs 0 Keflavík</t>
  </si>
  <si>
    <t>EST-01734</t>
  </si>
  <si>
    <t>Akranes (ÍA Akranes) 5 vs 1 Stjarnan</t>
  </si>
  <si>
    <t>EST-01735</t>
  </si>
  <si>
    <t>Hafnarfjordur (FH Hafnarfjörður) 2 vs 2 Stjarnan</t>
  </si>
  <si>
    <t>EST-01736</t>
  </si>
  <si>
    <t>Stjarnan 3 vs 1 KA Akureyri</t>
  </si>
  <si>
    <t>EST-01737</t>
  </si>
  <si>
    <t>IBV Vestmannaeyjar 2 vs 1 Stjarnan</t>
  </si>
  <si>
    <t>EST-01738</t>
  </si>
  <si>
    <t>EST-01739</t>
  </si>
  <si>
    <t>Keflavík 1 vs 1 Stjarnan</t>
  </si>
  <si>
    <t>EST-01740</t>
  </si>
  <si>
    <t>KA Akureyri 0 vs 1 Hafnarfjordur (FH Hafnarfjörður)</t>
  </si>
  <si>
    <t>EST-01741</t>
  </si>
  <si>
    <t>IBV Vestmannaeyjar 2 vs 2 KA Akureyri</t>
  </si>
  <si>
    <t>EST-01742</t>
  </si>
  <si>
    <t>KA Akureyri 3 vs 2 Akranes (ÍA Akranes)</t>
  </si>
  <si>
    <t>EST-01743</t>
  </si>
  <si>
    <t>Hafnarfjordur (FH Hafnarfjörður) 1 vs 2 KA Akureyri</t>
  </si>
  <si>
    <t>EST-01744</t>
  </si>
  <si>
    <t>Keflavík 5 vs 2 Akranes (ÍA Akranes)</t>
  </si>
  <si>
    <t>EST-01745</t>
  </si>
  <si>
    <t>Keflavík 1 vs 2 Hafnarfjordur (FH Hafnarfjörður)</t>
  </si>
  <si>
    <t>EST-01746</t>
  </si>
  <si>
    <t>IBV Vestmannaeyjar 6 vs 1 Keflavík</t>
  </si>
  <si>
    <t>EST-01747</t>
  </si>
  <si>
    <t>EST-01748</t>
  </si>
  <si>
    <t>Hafnarfjordur (FH Hafnarfjörður) 1 vs 1 IBV Vestmannaeyjar</t>
  </si>
  <si>
    <t>EST-01749</t>
  </si>
  <si>
    <t>EST-01750</t>
  </si>
  <si>
    <t>Akranes (ÍA Akranes) 2 vs 2 IBV Vestmannaeyjar</t>
  </si>
  <si>
    <t>EST-01751</t>
  </si>
  <si>
    <t>EST-01752</t>
  </si>
  <si>
    <t>EST-01753</t>
  </si>
  <si>
    <t>EST-01754</t>
  </si>
  <si>
    <t>Hafnarfjordur (FH Hafnarfjörður) 0 vs 1 Akranes (ÍA Akranes)</t>
  </si>
  <si>
    <t>KA Akureyri 0 vs 0 Thor Akureyri (Þór Akureyri)</t>
  </si>
  <si>
    <t>Thor Akureyri (Þór Akureyri)</t>
  </si>
  <si>
    <t>Thor Akureyri (Þór Akureyri) 1 vs 0 Breidablik</t>
  </si>
  <si>
    <t>Thor Akureyri (Þór Akureyri) 2 vs 1 Vikingur Reykjavik (Víkingur Reykjavík)</t>
  </si>
  <si>
    <t>Fram Reykjavik (Fram Reykjavík) 6 vs 1 Thor Akureyri (Þór Akureyri)</t>
  </si>
  <si>
    <t>Thor Akureyri (Þór Akureyri) 3 vs 3 KR Reykjavik (KR Reykjavík)</t>
  </si>
  <si>
    <t>Thor Akureyri (Þór Akureyri) 2 vs 4 Valur Reykjavik</t>
  </si>
  <si>
    <t>Thor Akureyri (Þór Akureyri) 1 vs 3 Stjarnan</t>
  </si>
  <si>
    <t>Keflavík 1 vs 0 Thor Akureyri (Þór Akureyri)</t>
  </si>
  <si>
    <t>Thor Akureyri (Þór Akureyri) 1 vs 4 IBV Vestmannaeyjar</t>
  </si>
  <si>
    <t>Akranes (ÍA Akranes) 2 vs 0 Thor Akureyri (Þór Akureyri)</t>
  </si>
  <si>
    <t>Hafnarfjordur (FH Hafnarfjörður) 1 vs 1 Thor Akureyri (Þór Akureyri)</t>
  </si>
  <si>
    <t>Thor Akureyri (Þór Akureyri) 1 vs 2 Akranes (ÍA Akranes)</t>
  </si>
  <si>
    <t>34. Fram Reykjavik (Fram Reykjavík) × KR Reykjavik (KR Reykjavík)</t>
  </si>
  <si>
    <t>10/08/26 16:15 · GMT-3</t>
  </si>
  <si>
    <t>λ 4,82 · Over 2,50: 83,9% Green no consenso · proteção 83,9% · amostra em formação</t>
  </si>
  <si>
    <t>Proteção prioritária: mesma chance estimada sem Red de 83,9% das linhas 2,75 e 3,00; com exatamente 3 gols, o Over 2,50 é Green integral</t>
  </si>
  <si>
    <t>Proteção priorizada; 3+ gols confirmam o Green integral</t>
  </si>
  <si>
    <t>Over 2,5 @ 1,15 | Over 2,75 @ 1,17 | Over 3,0 @ 1,19 | Over 3,25 @ 1,30</t>
  </si>
  <si>
    <t>Over 2,50 @ 1,15</t>
  </si>
  <si>
    <t>35. Goiás × Londrina</t>
  </si>
  <si>
    <t>10/08/26 19:30 · GMT-3</t>
  </si>
  <si>
    <t>λ 2,70 · Over 0,75: 73,5% Green + 19,0% meio Green · proteção 92,5% no consenso</t>
  </si>
  <si>
    <t>Over 0,75 @ 1,10 | Over 1,0 @ 1,12 | Over 1,25 @ 1,16 | Over 1,5 @ 1,40</t>
  </si>
  <si>
    <t>Over 1,00 @ 1,12</t>
  </si>
  <si>
    <t>Mesma exposição ao Red do Over 0,75: somente 0 gol perde; exatamente 1 gol devolve a stake e 2+ gols geram Green com retorno superior</t>
  </si>
  <si>
    <t>1 gol = meio Red; 2+ gols = Green integral</t>
  </si>
  <si>
    <t>Série C</t>
  </si>
  <si>
    <t>Anápolis</t>
  </si>
  <si>
    <t>Figueirense</t>
  </si>
  <si>
    <t>EST-01756</t>
  </si>
  <si>
    <t>Ferroviária 1 vs 0 Anápolis</t>
  </si>
  <si>
    <t>Ferroviária</t>
  </si>
  <si>
    <t>EST-01757</t>
  </si>
  <si>
    <t>Paysandu 2 vs 1 Anápolis</t>
  </si>
  <si>
    <t>Paysandu</t>
  </si>
  <si>
    <t>EST-01758</t>
  </si>
  <si>
    <t>Anápolis 1 vs 1 Barra FC</t>
  </si>
  <si>
    <t>Barra FC</t>
  </si>
  <si>
    <t>EST-01759</t>
  </si>
  <si>
    <t>Brusque 1 vs 0 Anápolis</t>
  </si>
  <si>
    <t>Brusque</t>
  </si>
  <si>
    <t>EST-01760</t>
  </si>
  <si>
    <t>Anápolis 0 vs 0 Maranhão</t>
  </si>
  <si>
    <t>Maranhão</t>
  </si>
  <si>
    <t>EST-01761</t>
  </si>
  <si>
    <t>Amazonas 1 vs 0 Anápolis</t>
  </si>
  <si>
    <t>Amazonas</t>
  </si>
  <si>
    <t>EST-01762</t>
  </si>
  <si>
    <t>Anápolis 2 vs 0 Itabaiana</t>
  </si>
  <si>
    <t>Itabaiana</t>
  </si>
  <si>
    <t>EST-01763</t>
  </si>
  <si>
    <t>Caxias 1 vs 1 Anápolis</t>
  </si>
  <si>
    <t>Caxias</t>
  </si>
  <si>
    <t>EST-01764</t>
  </si>
  <si>
    <t>Anápolis 0 vs 2 Botafogo-PB</t>
  </si>
  <si>
    <t>Botafogo-PB</t>
  </si>
  <si>
    <t>EST-01765</t>
  </si>
  <si>
    <t>Anápolis 0 vs 1 Maringá</t>
  </si>
  <si>
    <t>Maringá</t>
  </si>
  <si>
    <t>EST-01766</t>
  </si>
  <si>
    <t>Volta Redonda 1 vs 4 Anápolis</t>
  </si>
  <si>
    <t>Volta Redonda</t>
  </si>
  <si>
    <t>Guarani</t>
  </si>
  <si>
    <t>EST-01768</t>
  </si>
  <si>
    <t>Guarani 1 vs 0 Santa Cruz</t>
  </si>
  <si>
    <t>Santa Cruz</t>
  </si>
  <si>
    <t>EST-01769</t>
  </si>
  <si>
    <t>Maringá 0 vs 5 Guarani</t>
  </si>
  <si>
    <t>EST-01770</t>
  </si>
  <si>
    <t>Guarani 1 vs 3 Ituano</t>
  </si>
  <si>
    <t>Ituano</t>
  </si>
  <si>
    <t>EST-01771</t>
  </si>
  <si>
    <t>Barra FC 0 vs 2 Guarani</t>
  </si>
  <si>
    <t>EST-01772</t>
  </si>
  <si>
    <t>Guarani 5 vs 0 Amazonas</t>
  </si>
  <si>
    <t>EST-01773</t>
  </si>
  <si>
    <t>Guarani 2 vs 1 Caxias</t>
  </si>
  <si>
    <t>EST-01774</t>
  </si>
  <si>
    <t>Confiança 2 vs 0 Guarani</t>
  </si>
  <si>
    <t>Confiança</t>
  </si>
  <si>
    <t>EST-01775</t>
  </si>
  <si>
    <t>Figueirense 1 vs 1 Guarani</t>
  </si>
  <si>
    <t>EST-01776</t>
  </si>
  <si>
    <t>Guarani 0 vs 0 Floresta</t>
  </si>
  <si>
    <t>Floresta</t>
  </si>
  <si>
    <t>EST-01777</t>
  </si>
  <si>
    <t>Paysandu 3 vs 2 Guarani</t>
  </si>
  <si>
    <t>EST-01778</t>
  </si>
  <si>
    <t>Guarani 3 vs 1 Inter de Limeira</t>
  </si>
  <si>
    <t>Inter de Limeira</t>
  </si>
  <si>
    <t>EST-01780</t>
  </si>
  <si>
    <t>Paysandu 4 vs 2 Botafogo-PB</t>
  </si>
  <si>
    <t>EST-01781</t>
  </si>
  <si>
    <t>Caxias 2 vs 0 Paysandu</t>
  </si>
  <si>
    <t>EST-01782</t>
  </si>
  <si>
    <t>Paysandu 2 vs 1 Floresta</t>
  </si>
  <si>
    <t>EST-01783</t>
  </si>
  <si>
    <t>Figueirense 2 vs 1 Paysandu</t>
  </si>
  <si>
    <t>EST-01784</t>
  </si>
  <si>
    <t>Paysandu 1 vs 2 Inter de Limeira</t>
  </si>
  <si>
    <t>EST-01785</t>
  </si>
  <si>
    <t>Maranhão 0 vs 1 Paysandu</t>
  </si>
  <si>
    <t>EST-01786</t>
  </si>
  <si>
    <t>Paysandu 1 vs 3 Santa Cruz</t>
  </si>
  <si>
    <t>EST-01787</t>
  </si>
  <si>
    <t>Ypiranga-RS 1 vs 0 Paysandu</t>
  </si>
  <si>
    <t>Ypiranga-RS</t>
  </si>
  <si>
    <t>EST-01788</t>
  </si>
  <si>
    <t>Amazonas 2 vs 1 Paysandu</t>
  </si>
  <si>
    <t>EST-01790</t>
  </si>
  <si>
    <t>Confiança 0 vs 1 Inter de Limeira</t>
  </si>
  <si>
    <t>EST-01791</t>
  </si>
  <si>
    <t>Ituano 3 vs 1 Confiança</t>
  </si>
  <si>
    <t>EST-01792</t>
  </si>
  <si>
    <t>Confiança 2 vs 1 Maranhão</t>
  </si>
  <si>
    <t>EST-01793</t>
  </si>
  <si>
    <t>Confiança 0 vs 2 Figueirense</t>
  </si>
  <si>
    <t>EST-01794</t>
  </si>
  <si>
    <t>Floresta 2 vs 1 Confiança</t>
  </si>
  <si>
    <t>EST-01795</t>
  </si>
  <si>
    <t>Volta Redonda 3 vs 1 Confiança</t>
  </si>
  <si>
    <t>EST-01796</t>
  </si>
  <si>
    <t>Ypiranga-RS 1 vs 1 Confiança</t>
  </si>
  <si>
    <t>EST-01797</t>
  </si>
  <si>
    <t>Confiança 1 vs 3 Barra FC</t>
  </si>
  <si>
    <t>EST-01798</t>
  </si>
  <si>
    <t>EST-01799</t>
  </si>
  <si>
    <t>Confiança 1 vs 1 Itabaiana</t>
  </si>
  <si>
    <t>BRA - Série C</t>
  </si>
  <si>
    <t>36. Paysandu × Confiança</t>
  </si>
  <si>
    <t>10/08/26 20:00 · GMT-3</t>
  </si>
  <si>
    <t>λ 3,58 · Over 1,25: 86,3% Green + 10,6% meio Red · proteção 96,9% contra Red integral</t>
  </si>
  <si>
    <t>Over 1,25 @ 1,17 | Over 1,5 @ 1,275 | Over 1,75 @ 1,325 | Over 2,0 @ 1,40</t>
  </si>
  <si>
    <t>Over 1,25 @ 1,17</t>
  </si>
  <si>
    <t>Proteção prioritária: apenas 0 gol gera Red integral; exatamente 1 gol limita a perda a meia stake, enquanto Over 1,50 sofreria Red integral</t>
  </si>
  <si>
    <t>DIRETRIZ PROVISÓRIA — AJUSTE DE LINHA POR λ E RISCO DE 0×0</t>
  </si>
  <si>
    <t>Base: 30 bilhetes contabilizados, 29 com λ · regra experimental até nova calibração</t>
  </si>
  <si>
    <t>Valor</t>
  </si>
  <si>
    <t>Aplicação</t>
  </si>
  <si>
    <t>Estado</t>
  </si>
  <si>
    <t>Observação</t>
  </si>
  <si>
    <t>Risco 0×0 consenso</t>
  </si>
  <si>
    <t>Ajuste provisório</t>
  </si>
  <si>
    <t>Linha operacional</t>
  </si>
  <si>
    <t>Mediana técnica atual</t>
  </si>
  <si>
    <t>Corte provisório</t>
  </si>
  <si>
    <t>Filtro de cauda</t>
  </si>
  <si>
    <t>Somente λ 2,50–3,49</t>
  </si>
  <si>
    <t>Base do simulador</t>
  </si>
  <si>
    <t>Limitada a Over 3,00</t>
  </si>
  <si>
    <t>Regime de λ</t>
  </si>
  <si>
    <t>Filtro 0×0</t>
  </si>
  <si>
    <t>Ajuste de linha</t>
  </si>
  <si>
    <t>Linha sugerida</t>
  </si>
  <si>
    <t>Provisório</t>
  </si>
  <si>
    <t>Dinâmico</t>
  </si>
  <si>
    <t>Ativo</t>
  </si>
  <si>
    <t>29 bilhetes com λ</t>
  </si>
  <si>
    <t>≤5% baixo · 5–10% atenção · &gt;10% impeditivo</t>
  </si>
  <si>
    <t>+0,50 se 0×0 &lt;7,5%; senão +0,25</t>
  </si>
  <si>
    <t>λ ≥3,50 não avança automaticamente</t>
  </si>
  <si>
    <t>Odds entram depois da triagem</t>
  </si>
  <si>
    <t>DIRETRIZ PROVISÓRIA — λ, RISCO DE 0×0 E AVANÇO DE LINHA</t>
  </si>
  <si>
    <t>Regra experimental baseada em 30 bilhetes contabilizados, dos quais 29 possuem λ registrado. Prioridade: proteção, seguida de lucro. Reavaliar quando a amostra aumentar.</t>
  </si>
  <si>
    <t>Faixa / filtro</t>
  </si>
  <si>
    <t>Condição adicional</t>
  </si>
  <si>
    <t>λ &lt; 2,50</t>
  </si>
  <si>
    <t>Não avançar linha</t>
  </si>
  <si>
    <t>Usar máxima proteção disponível</t>
  </si>
  <si>
    <t>Manter linha técnica/conservadora</t>
  </si>
  <si>
    <t>λ 2,50–3,49</t>
  </si>
  <si>
    <t>Avançar +0,25</t>
  </si>
  <si>
    <t>Se risco de 0×0 estiver entre 7,5% e 10%</t>
  </si>
  <si>
    <t>Melhorar retorno sem abandonar proteção</t>
  </si>
  <si>
    <t>Avançar até +0,50</t>
  </si>
  <si>
    <t>Somente se risco de 0×0 for inferior a 7,5%</t>
  </si>
  <si>
    <t>Faixa em que gols reais superaram λ em 0,48</t>
  </si>
  <si>
    <t>λ ≥ 3,50</t>
  </si>
  <si>
    <t>Sem avanço automático</t>
  </si>
  <si>
    <t>Exigir consenso dos modelos e leitura das odds</t>
  </si>
  <si>
    <t>Histórico mostrou superestimação nesta faixa</t>
  </si>
  <si>
    <t>FILTRO DE 0×0 E LIMITAÇÕES</t>
  </si>
  <si>
    <t>Risco de 0×0: até 5% = baixo; acima de 5% até 10% = atenção; acima de 10% = impeditivo pré-jogo. Placares finais isolados não bastam para recalibrar: distinguir 0×0 sem criação de 0×0 com volume ofensivo. Evidência qualitativa disponível: Palmeiras × Internacional e Bahia × Vasco tiveram volume/chances; Eastern Suburbs × Wynnum Wolves permanece sem avaliação qualitativa.</t>
  </si>
  <si>
    <t>KPV x VJS</t>
  </si>
  <si>
    <t>Green no Over 2,00 @ 1,125: o placar 2 x 1 (3 gols) confirmou a entrada e gerou R$ 0,0625 de lucro. Entre as linhas cotadas, Over 2,25 @ 1,240 teria produzido R$ 0,1200 de lucro, R$ 0,0575 acima do resultado realizado. A entrada deixou 0,25 linha de eficiência potencial.</t>
  </si>
  <si>
    <t>JS Hercules x SJK Akatemia 2</t>
  </si>
  <si>
    <t>Green no Over 2,25 @ 1,125: o placar 2 x 2 (4 gols) confirmou a entrada e gerou R$ 0,0625 de lucro. Entre as linhas cotadas, Over 3,00 @ 1,250 teria produzido R$ 0,1250 de lucro, R$ 0,0625 acima do resultado realizado. A entrada deixou 0,75 linha de eficiência potencial.</t>
  </si>
  <si>
    <t>Jazz Pori x OLS Oulu</t>
  </si>
  <si>
    <t>Devolvida no Over 2,00 @ 1,130: o placar 1 x 1 (2 gols) igualou a linha e devolveu integralmente a stake. Entre as linhas cotadas, Over 1,50 @ 1,105 teria produzido R$ 0,0525 de lucro, R$ 0,0525 acima do resultado realizado. A alternativa inferior teria convertido a proteção em ganho.</t>
  </si>
  <si>
    <t>Bahia x Vasco da Gama</t>
  </si>
  <si>
    <t>Red no Over 1,25 @ 1,125: o placar 0 x 0 (0 gols) não atingiu a linha e gerou perda de R$ 0,5000. Nenhuma das linhas realmente cotadas produziria lucro positivo, portanto Melhor G, Odd M.G. e P/L M.G. permanecem vazios. Apesar do 0 x 0, houve quatro gols anulados corretamente; o volume ofensivo existiu, mas não se converteu em gol válido.</t>
  </si>
  <si>
    <t>Palmeiras x Internacional</t>
  </si>
  <si>
    <t>Red no Over 1,50 @ 1,230: o placar 0 x 0 (0 gols) não atingiu a linha e gerou perda de R$ 0,5000. Nenhuma das linhas realmente cotadas produziria lucro positivo, portanto Melhor G, Odd M.G. e P/L M.G. permanecem vazios. O 0 x 0 foi circunstancial: Palmeiras pressionou no campo adversário, acertou a trave e o Internacional finalizou apenas três vezes, priorizando não perder.</t>
  </si>
  <si>
    <t>Náutico x Atlético-GO</t>
  </si>
  <si>
    <t>Green no Over 0,50 @ 1,100: o placar 1 x 1 (2 gols) confirmou a entrada e gerou R$ 0,0500 de lucro. Entre as linhas cotadas, Over 1,25 @ 1,140 teria produzido R$ 0,0700 de lucro, R$ 0,0200 acima do resultado realizado. A entrada deixou 0,75 linha de eficiência potencial.</t>
  </si>
  <si>
    <t>Novorizontino x Juventude</t>
  </si>
  <si>
    <t>Cashout integral no Over 1,00 @ 1,160: retorno bruto de R$ 0,56 sobre stake de R$ 0,50, gerando lucro líquido real de R$ 0,06. O placar final 1 x 0 (1 gol) produziria devolução na linha original Over 1,00. Entre as linhas cotadas, Over 0,50 @ 1,110 teria gerado R$ 0,0550; o cashout realizado foi R$ 0,0050 superior e preservou o acerto integral.</t>
  </si>
  <si>
    <t>Cuiabá x Fortaleza</t>
  </si>
  <si>
    <t>Green no Over 0,50 @ 1,140: o placar 1 x 1 (2 gols) confirmou a entrada e gerou R$ 0,0700 de lucro. Entre as linhas cotadas, Over 1,50 @ 1,600 teria produzido R$ 0,3000 de lucro, R$ 0,2300 acima do resultado realizado. A entrada deixou 1,00 linha de eficiência potencial.</t>
  </si>
  <si>
    <t>Real Potosí x Blooming</t>
  </si>
  <si>
    <t>Green no Over 1,50 @ 1,225: o placar 2 x 0 (2 gols) confirmou a entrada e gerou R$ 0,1125 de lucro. A linha usada já foi o melhor aproveitamento entre as cotações informadas; não houve eficiência adicional disponível.</t>
  </si>
  <si>
    <t>Red Bull Bragantino x Corinthians</t>
  </si>
  <si>
    <t>Green no Over 0,50 @ 1,110: o placar 0 x 2 (2 gols) confirmou a entrada e gerou R$ 0,0550 de lucro. Entre as linhas cotadas, Over 1,25 @ 1,325 teria produzido R$ 0,1625 de lucro, R$ 0,1075 acima do resultado realizado. A entrada deixou 0,75 linha de eficiência potencial.</t>
  </si>
  <si>
    <t>Santos x Athletico-PR</t>
  </si>
  <si>
    <t>Green no Over 1,00 @ 1,105: o placar 0 x 2 (2 gols) confirmou a entrada e gerou R$ 0,0525 de lucro. Entre as linhas cotadas, Over 1,50 @ 1,375 teria produzido R$ 0,1875 de lucro, R$ 0,1350 acima do resultado realizado. A entrada deixou 0,50 linha de eficiência potencial.</t>
  </si>
  <si>
    <t>Flamengo x Vitória</t>
  </si>
  <si>
    <t>Green no Over 1,50 @ 1,180: o placar 2 x 0 (2 gols) confirmou a entrada e gerou R$ 0,0900 de lucro. A linha usada já foi o melhor aproveitamento entre as cotações informadas; não houve eficiência adicional disponível.</t>
  </si>
  <si>
    <t>Oriente Petrolero x Universitario de Vinto</t>
  </si>
  <si>
    <t>5 x 0</t>
  </si>
  <si>
    <t>Green no Over 2,00 @ 1,240: o placar 5 x 0 (5 gols) confirmou a entrada e gerou R$ 0,1200 de lucro. A linha usada já foi o melhor aproveitamento entre as cotações informadas; não houve eficiência adicional disponível.</t>
  </si>
  <si>
    <t>GV San José x Always Ready</t>
  </si>
  <si>
    <t>Green no Over 1,50 @ 1,170: o placar 2 x 3 (5 gols) confirmou a entrada e gerou R$ 0,0850 de lucro. A linha usada já foi o melhor aproveitamento entre as cotações informadas; não houve eficiência adicional disponível.</t>
  </si>
  <si>
    <t>EST-01800</t>
  </si>
  <si>
    <t>Örgryte IS 3 vs 4 AIK</t>
  </si>
  <si>
    <t>Örgryte IS</t>
  </si>
  <si>
    <t>EST-01801</t>
  </si>
  <si>
    <t>AIK 0 vs 3 Örgryte IS</t>
  </si>
  <si>
    <t>EST-01802</t>
  </si>
  <si>
    <t>AIK 2 vs 0 GAIS</t>
  </si>
  <si>
    <t>GAIS</t>
  </si>
  <si>
    <t>EST-01803</t>
  </si>
  <si>
    <t>Mjällby AIF 1 vs 2 AIK</t>
  </si>
  <si>
    <t>Mjällby AIF</t>
  </si>
  <si>
    <t>EST-01804</t>
  </si>
  <si>
    <t>IFK Göteborg 1 vs 2 AIK</t>
  </si>
  <si>
    <t>IFK Göteborg</t>
  </si>
  <si>
    <t>EST-01805</t>
  </si>
  <si>
    <t>AIK 0 vs 3 IK Sirius</t>
  </si>
  <si>
    <t>EST-01806</t>
  </si>
  <si>
    <t>Hammarby IF 1 vs 2 AIK</t>
  </si>
  <si>
    <t>Hammarby IF</t>
  </si>
  <si>
    <t>EST-01807</t>
  </si>
  <si>
    <t>Västerås SK 1 vs 1 AIK</t>
  </si>
  <si>
    <t>Västerås SK</t>
  </si>
  <si>
    <t>EST-01808</t>
  </si>
  <si>
    <t>AIK 2 vs 4 Djurgårdens IF</t>
  </si>
  <si>
    <t>Djurgårdens IF</t>
  </si>
  <si>
    <t>EST-01809</t>
  </si>
  <si>
    <t>IF Elfsborg 1 vs 1 AIK</t>
  </si>
  <si>
    <t>IF Elfsborg</t>
  </si>
  <si>
    <t>EST-01810</t>
  </si>
  <si>
    <t>AIK 0 vs 1 Malmö FF</t>
  </si>
  <si>
    <t>Malmö FF</t>
  </si>
  <si>
    <t>EST-01811</t>
  </si>
  <si>
    <t>Hammarby IF 3 vs 0 BK Häcken</t>
  </si>
  <si>
    <t>EST-01812</t>
  </si>
  <si>
    <t>BK Häcken 1 vs 1 Kalmar FF</t>
  </si>
  <si>
    <t>Kalmar FF</t>
  </si>
  <si>
    <t>EST-01813</t>
  </si>
  <si>
    <t>Halmstads BK 0 vs 2 BK Häcken</t>
  </si>
  <si>
    <t>EST-01814</t>
  </si>
  <si>
    <t>Örgryte IS 4 vs 3 BK Häcken</t>
  </si>
  <si>
    <t>EST-01815</t>
  </si>
  <si>
    <t>BK Häcken 2 vs 4 Djurgårdens IF</t>
  </si>
  <si>
    <t>EST-01816</t>
  </si>
  <si>
    <t>BK Häcken 3 vs 2 Hammarby IF</t>
  </si>
  <si>
    <t>EST-01817</t>
  </si>
  <si>
    <t>IF Elfsborg 1 vs 1 BK Häcken</t>
  </si>
  <si>
    <t>EST-01818</t>
  </si>
  <si>
    <t>Mjällby AIF 0 vs 1 BK Häcken</t>
  </si>
  <si>
    <t>EST-01819</t>
  </si>
  <si>
    <t>BK Häcken 3 vs 2 Malmö FF</t>
  </si>
  <si>
    <t>EST-01820</t>
  </si>
  <si>
    <t>Degerfors IF 1 vs 1 BK Häcken</t>
  </si>
  <si>
    <t>Degerfors IF</t>
  </si>
  <si>
    <t>EST-01821</t>
  </si>
  <si>
    <t>BK Häcken 2 vs 2 IK Sirius</t>
  </si>
  <si>
    <t>EST-01822</t>
  </si>
  <si>
    <t>Malmö FF 1 vs 2 Degerfors IF</t>
  </si>
  <si>
    <t>EST-01823</t>
  </si>
  <si>
    <t>IFK Göteborg 2 vs 0 Degerfors IF</t>
  </si>
  <si>
    <t>EST-01824</t>
  </si>
  <si>
    <t>Degerfors IF 0 vs 1 Djurgårdens IF</t>
  </si>
  <si>
    <t>EST-01825</t>
  </si>
  <si>
    <t>Hammarby IF 4 vs 0 Degerfors IF</t>
  </si>
  <si>
    <t>EST-01826</t>
  </si>
  <si>
    <t>Västerås SK 2 vs 0 Degerfors IF</t>
  </si>
  <si>
    <t>EST-01827</t>
  </si>
  <si>
    <t>Degerfors IF 0 vs 1 Malmö FF</t>
  </si>
  <si>
    <t>EST-01828</t>
  </si>
  <si>
    <t>Degerfors IF 2 vs 2 IF Brommapojkarna</t>
  </si>
  <si>
    <t>IF Brommapojkarna</t>
  </si>
  <si>
    <t>EST-01829</t>
  </si>
  <si>
    <t>Kalmar FF 2 vs 1 Degerfors IF</t>
  </si>
  <si>
    <t>EST-01830</t>
  </si>
  <si>
    <t>GAIS 1 vs 1 Degerfors IF</t>
  </si>
  <si>
    <t>EST-01831</t>
  </si>
  <si>
    <t>Degerfors IF 1 vs 4 Mjällby AIF</t>
  </si>
  <si>
    <t>EST-01832</t>
  </si>
  <si>
    <t>Örgryte IS 1 vs 1 Degerfors IF</t>
  </si>
  <si>
    <t>EST-01833</t>
  </si>
  <si>
    <t>Djurgårdens IF 6 vs 0 Västerås SK</t>
  </si>
  <si>
    <t>EST-01834</t>
  </si>
  <si>
    <t>Örgryte IS 0 vs 0 Djurgårdens IF</t>
  </si>
  <si>
    <t>EST-01835</t>
  </si>
  <si>
    <t>Djurgårdens IF 3 vs 0 Halmstads BK</t>
  </si>
  <si>
    <t>EST-01836</t>
  </si>
  <si>
    <t>Djurgårdens IF 1 vs 2 IF Brommapojkarna</t>
  </si>
  <si>
    <t>EST-01837</t>
  </si>
  <si>
    <t>Djurgårdens IF 2 vs 3 IK Sirius</t>
  </si>
  <si>
    <t>EST-01838</t>
  </si>
  <si>
    <t>Djurgårdens IF 6 vs 0 IFK Göteborg</t>
  </si>
  <si>
    <t>EST-01839</t>
  </si>
  <si>
    <t>Djurgårdens IF 1 vs 1 Hammarby IF</t>
  </si>
  <si>
    <t>EST-01840</t>
  </si>
  <si>
    <t>IF Elfsborg 2 vs 1 Djurgårdens IF</t>
  </si>
  <si>
    <t>EST-01841</t>
  </si>
  <si>
    <t>Djurgårdens IF 0 vs 1 Malmö FF</t>
  </si>
  <si>
    <t>EST-01842</t>
  </si>
  <si>
    <t>Halmstads BK 0 vs 2 GAIS</t>
  </si>
  <si>
    <t>EST-01843</t>
  </si>
  <si>
    <t>GAIS 1 vs 1 Halmstads BK</t>
  </si>
  <si>
    <t>EST-01844</t>
  </si>
  <si>
    <t>GAIS 1 vs 0 IF Elfsborg</t>
  </si>
  <si>
    <t>EST-01845</t>
  </si>
  <si>
    <t>IF Brommapojkarna 1 vs 1 GAIS</t>
  </si>
  <si>
    <t>EST-01846</t>
  </si>
  <si>
    <t>GAIS 3 vs 0 Kalmar FF</t>
  </si>
  <si>
    <t>EST-01847</t>
  </si>
  <si>
    <t>IK Sirius 2 vs 1 GAIS</t>
  </si>
  <si>
    <t>EST-01848</t>
  </si>
  <si>
    <t>GAIS 2 vs 0 Hammarby IF</t>
  </si>
  <si>
    <t>EST-01849</t>
  </si>
  <si>
    <t>Västerås SK 0 vs 1 GAIS</t>
  </si>
  <si>
    <t>EST-01850</t>
  </si>
  <si>
    <t>GAIS 4 vs 0 Örgryte IS</t>
  </si>
  <si>
    <t>EST-01851</t>
  </si>
  <si>
    <t>IFK Göteborg 2 vs 2 GAIS</t>
  </si>
  <si>
    <t>EST-01852</t>
  </si>
  <si>
    <t>Halmstads BK 1 vs 3 Västerås SK</t>
  </si>
  <si>
    <t>2026-07-04|Halmstads BK|Västerås SK</t>
  </si>
  <si>
    <t>EST-01853</t>
  </si>
  <si>
    <t>Malmö FF 5 vs 2 Halmstads BK</t>
  </si>
  <si>
    <t>2026-05-30|Malmö FF|Halmstads BK</t>
  </si>
  <si>
    <t>EST-01854</t>
  </si>
  <si>
    <t>Halmstads BK 2 vs 0 Örgryte IS</t>
  </si>
  <si>
    <t>2026-05-23|Halmstads BK|Örgryte IS</t>
  </si>
  <si>
    <t>EST-01855</t>
  </si>
  <si>
    <t>Halmstads BK 1 vs 1 IF Elfsborg</t>
  </si>
  <si>
    <t>2026-05-16|Halmstads BK|IF Elfsborg</t>
  </si>
  <si>
    <t>EST-01856</t>
  </si>
  <si>
    <t>Kalmar FF 2 vs 0 Halmstads BK</t>
  </si>
  <si>
    <t>2026-05-10|Kalmar FF|Halmstads BK</t>
  </si>
  <si>
    <t>EST-01857</t>
  </si>
  <si>
    <t>Halmstads BK 1 vs 3 IF Brommapojkarna</t>
  </si>
  <si>
    <t>2026-05-04|Halmstads BK|IF Brommapojkarna</t>
  </si>
  <si>
    <t>EST-01858</t>
  </si>
  <si>
    <t>Mjällby AIF 2 vs 0 Halmstads BK</t>
  </si>
  <si>
    <t>2026-04-27|Mjällby AIF|Halmstads BK</t>
  </si>
  <si>
    <t>EST-01859</t>
  </si>
  <si>
    <t>IF Brommapojkarna 1 vs 1 Hammarby IF</t>
  </si>
  <si>
    <t>2026-07-26|IF Brommapojkarna|Hammarby IF</t>
  </si>
  <si>
    <t>EST-01860</t>
  </si>
  <si>
    <t>Hammarby IF 2 vs 0 Kalmar FF</t>
  </si>
  <si>
    <t>2026-07-12|Hammarby IF|Kalmar FF</t>
  </si>
  <si>
    <t>EST-01861</t>
  </si>
  <si>
    <t>IF Elfsborg 1 vs 2 Hammarby IF</t>
  </si>
  <si>
    <t>2026-07-05|IF Elfsborg|Hammarby IF</t>
  </si>
  <si>
    <t>EST-01862</t>
  </si>
  <si>
    <t>Hammarby IF 4 vs 1 Malmö FF</t>
  </si>
  <si>
    <t>2026-05-17|Hammarby IF|Malmö FF</t>
  </si>
  <si>
    <t>EST-01863</t>
  </si>
  <si>
    <t>IFK Göteborg 0 vs 1 Hammarby IF</t>
  </si>
  <si>
    <t>2026-05-09|IFK Göteborg|Hammarby IF</t>
  </si>
  <si>
    <t>EST-01864</t>
  </si>
  <si>
    <t>Hammarby IF 3 vs 0 Västerås SK</t>
  </si>
  <si>
    <t>2026-05-03|Hammarby IF|Västerås SK</t>
  </si>
  <si>
    <t>EST-01865</t>
  </si>
  <si>
    <t>IK Sirius 2 vs 2 IF Brommapojkarna</t>
  </si>
  <si>
    <t>2026-08-10|IK Sirius|IF Brommapojkarna</t>
  </si>
  <si>
    <t>EST-01866</t>
  </si>
  <si>
    <t>IF Brommapojkarna 1 vs 2 Malmö FF</t>
  </si>
  <si>
    <t>2026-08-02|IF Brommapojkarna|Malmö FF</t>
  </si>
  <si>
    <t>EST-01867</t>
  </si>
  <si>
    <t>IFK Göteborg 2 vs 1 IF Brommapojkarna</t>
  </si>
  <si>
    <t>2026-07-17|IFK Göteborg|IF Brommapojkarna</t>
  </si>
  <si>
    <t>EST-01868</t>
  </si>
  <si>
    <t>IF Brommapojkarna 1 vs 2 IK Sirius</t>
  </si>
  <si>
    <t>2026-07-12|IF Brommapojkarna|IK Sirius</t>
  </si>
  <si>
    <t>EST-01869</t>
  </si>
  <si>
    <t>IF Brommapojkarna 1 vs 0 Kalmar FF</t>
  </si>
  <si>
    <t>2026-05-17|IF Brommapojkarna|Kalmar FF</t>
  </si>
  <si>
    <t>EST-01870</t>
  </si>
  <si>
    <t>IF Elfsborg 2 vs 0 IF Brommapojkarna</t>
  </si>
  <si>
    <t>2026-05-08|IF Elfsborg|IF Brommapojkarna</t>
  </si>
  <si>
    <t>EST-01871</t>
  </si>
  <si>
    <t>IF Brommapojkarna 1 vs 2 Västerås SK</t>
  </si>
  <si>
    <t>2026-04-26|IF Brommapojkarna|Västerås SK</t>
  </si>
  <si>
    <t>EST-01872</t>
  </si>
  <si>
    <t>Mjällby AIF 0 vs 1 IF Elfsborg</t>
  </si>
  <si>
    <t>2026-08-08|Mjällby AIF|IF Elfsborg</t>
  </si>
  <si>
    <t>EST-01873</t>
  </si>
  <si>
    <t>Malmö FF 1 vs 2 IF Elfsborg</t>
  </si>
  <si>
    <t>2026-07-26|Malmö FF|IF Elfsborg</t>
  </si>
  <si>
    <t>EST-01874</t>
  </si>
  <si>
    <t>IF Elfsborg 1 vs 3 IK Sirius</t>
  </si>
  <si>
    <t>2026-07-19|IF Elfsborg|IK Sirius</t>
  </si>
  <si>
    <t>EST-01875</t>
  </si>
  <si>
    <t>Örgryte IS 2 vs 2 IF Elfsborg</t>
  </si>
  <si>
    <t>2026-05-29|Örgryte IS|IF Elfsborg</t>
  </si>
  <si>
    <t>EST-01876</t>
  </si>
  <si>
    <t>IF Elfsborg 1 vs 1 Mjällby AIF</t>
  </si>
  <si>
    <t>2026-05-21|IF Elfsborg|Mjällby AIF</t>
  </si>
  <si>
    <t>EST-01877</t>
  </si>
  <si>
    <t>IFK Göteborg 3 vs 2 Kalmar FF</t>
  </si>
  <si>
    <t>2026-08-09|IFK Göteborg|Kalmar FF</t>
  </si>
  <si>
    <t>EST-01878</t>
  </si>
  <si>
    <t>IK Sirius 4 vs 1 IFK Göteborg</t>
  </si>
  <si>
    <t>2026-07-26|IK Sirius|IFK Göteborg</t>
  </si>
  <si>
    <t>EST-01879</t>
  </si>
  <si>
    <t>Malmö FF 4 vs 0 IFK Göteborg</t>
  </si>
  <si>
    <t>2026-07-12|Malmö FF|IFK Göteborg</t>
  </si>
  <si>
    <t>EST-01880</t>
  </si>
  <si>
    <t>Västerås SK 4 vs 5 IFK Göteborg</t>
  </si>
  <si>
    <t>2026-05-31|Västerås SK|IFK Göteborg</t>
  </si>
  <si>
    <t>EST-01881</t>
  </si>
  <si>
    <t>IFK Göteborg 1 vs 1 Mjällby AIF</t>
  </si>
  <si>
    <t>2026-05-25|IFK Göteborg|Mjällby AIF</t>
  </si>
  <si>
    <t>EST-01882</t>
  </si>
  <si>
    <t>Örgryte IS 2 vs 3 IFK Göteborg</t>
  </si>
  <si>
    <t>2026-05-19|Örgryte IS|IFK Göteborg</t>
  </si>
  <si>
    <t>EST-01883</t>
  </si>
  <si>
    <t>IK Sirius 4 vs 4 Mjällby AIF</t>
  </si>
  <si>
    <t>2026-07-03|IK Sirius|Mjällby AIF</t>
  </si>
  <si>
    <t>EST-01884</t>
  </si>
  <si>
    <t>IK Sirius 2 vs 0 Örgryte IS</t>
  </si>
  <si>
    <t>2026-05-11|IK Sirius|Örgryte IS</t>
  </si>
  <si>
    <t>EST-01885</t>
  </si>
  <si>
    <t>IK Sirius 3 vs 2 Kalmar FF</t>
  </si>
  <si>
    <t>2026-05-02|IK Sirius|Kalmar FF</t>
  </si>
  <si>
    <t>EST-01886</t>
  </si>
  <si>
    <t>Kalmar FF 2 vs 1 Mjällby AIF</t>
  </si>
  <si>
    <t>2026-07-25|Kalmar FF|Mjällby AIF</t>
  </si>
  <si>
    <t>EST-01887</t>
  </si>
  <si>
    <t>Kalmar FF 2 vs 2 Malmö FF</t>
  </si>
  <si>
    <t>2026-07-20|Kalmar FF|Malmö FF</t>
  </si>
  <si>
    <t>EST-01888</t>
  </si>
  <si>
    <t>Kalmar FF 3 vs 0 Örgryte IS</t>
  </si>
  <si>
    <t>2026-07-05|Kalmar FF|Örgryte IS</t>
  </si>
  <si>
    <t>EST-01889</t>
  </si>
  <si>
    <t>Kalmar FF 2 vs 1 IF Elfsborg</t>
  </si>
  <si>
    <t>2026-04-27|Kalmar FF|IF Elfsborg</t>
  </si>
  <si>
    <t>EST-01890</t>
  </si>
  <si>
    <t>Malmö FF 2 vs 3 Västerås SK</t>
  </si>
  <si>
    <t>2026-05-24|Malmö FF|Västerås SK</t>
  </si>
  <si>
    <t>EST-01891</t>
  </si>
  <si>
    <t>Mjällby AIF 0 vs 0 Västerås SK</t>
  </si>
  <si>
    <t>2026-07-17|Mjällby AIF|Västerås SK</t>
  </si>
  <si>
    <t>EST-01892</t>
  </si>
  <si>
    <t>Malmö FF 2 vs 3 Mjällby AIF</t>
  </si>
  <si>
    <t>2026-05-03|Malmö FF|Mjällby AIF</t>
  </si>
  <si>
    <t>EST-01893</t>
  </si>
  <si>
    <t>GAIS 0 vs 0 Mjällby AIF</t>
  </si>
  <si>
    <t>2026-04-23|GAIS|Mjällby AIF</t>
  </si>
  <si>
    <t>EST-01894</t>
  </si>
  <si>
    <t>Västerås SK 2 vs 0 Örgryte IS</t>
  </si>
  <si>
    <t>2026-07-24|Västerås SK|Örgryte IS</t>
  </si>
  <si>
    <t>EST-01895</t>
  </si>
  <si>
    <t>Västerås SK 1 vs 0 Djurgårdens IF</t>
  </si>
  <si>
    <t>2026-08-10|Västerås SK|Djurgårdens IF</t>
  </si>
  <si>
    <t>EST-01896</t>
  </si>
  <si>
    <t>Falkenbergs FF 1 vs 1 Nordic United</t>
  </si>
  <si>
    <t>Falkenbergs FF</t>
  </si>
  <si>
    <t>Nordic United</t>
  </si>
  <si>
    <t>2026-08-08|Falkenbergs FF|Nordic United</t>
  </si>
  <si>
    <t>EST-01897</t>
  </si>
  <si>
    <t>Varbergs BoIS FC 2 vs 1 Falkenbergs FF</t>
  </si>
  <si>
    <t>2026-08-01|Varbergs BoIS FC|Falkenbergs FF</t>
  </si>
  <si>
    <t>EST-01898</t>
  </si>
  <si>
    <t>GIF Sundsvall 1 vs 2 Falkenbergs FF</t>
  </si>
  <si>
    <t>2026-07-26|GIF Sundsvall|Falkenbergs FF</t>
  </si>
  <si>
    <t>EST-01899</t>
  </si>
  <si>
    <t>Falkenbergs FF 2 vs 3 Helsingborgs IF</t>
  </si>
  <si>
    <t>Helsingborgs IF</t>
  </si>
  <si>
    <t>2026-07-21|Falkenbergs FF|Helsingborgs IF</t>
  </si>
  <si>
    <t>EST-01900</t>
  </si>
  <si>
    <t>IK Brage 2 vs 4 Falkenbergs FF</t>
  </si>
  <si>
    <t>IK Brage</t>
  </si>
  <si>
    <t>2026-06-26|IK Brage|Falkenbergs FF</t>
  </si>
  <si>
    <t>EST-01901</t>
  </si>
  <si>
    <t>Östers IF 1 vs 3 Falkenbergs FF</t>
  </si>
  <si>
    <t>Östers IF</t>
  </si>
  <si>
    <t>2026-06-21|Östers IF|Falkenbergs FF</t>
  </si>
  <si>
    <t>EST-01902</t>
  </si>
  <si>
    <t>Falkenbergs FF 1 vs 1 Örebro SK</t>
  </si>
  <si>
    <t>Örebro SK</t>
  </si>
  <si>
    <t>2026-06-14|Falkenbergs FF|Örebro SK</t>
  </si>
  <si>
    <t>EST-01903</t>
  </si>
  <si>
    <t>Sandvikens IF 4 vs 2 Falkenbergs FF</t>
  </si>
  <si>
    <t>Sandvikens IF</t>
  </si>
  <si>
    <t>2026-06-09|Sandvikens IF|Falkenbergs FF</t>
  </si>
  <si>
    <t>EST-01904</t>
  </si>
  <si>
    <t>Falkenbergs FF 2 vs 1 IK Oddevold</t>
  </si>
  <si>
    <t>IK Oddevold</t>
  </si>
  <si>
    <t>2026-05-30|Falkenbergs FF|IK Oddevold</t>
  </si>
  <si>
    <t>EST-01905</t>
  </si>
  <si>
    <t>Falkenbergs FF 3 vs 1 IFK Värnamo</t>
  </si>
  <si>
    <t>IFK Värnamo</t>
  </si>
  <si>
    <t>2026-05-23|Falkenbergs FF|IFK Värnamo</t>
  </si>
  <si>
    <t>EST-01906</t>
  </si>
  <si>
    <t>Nordic United 1 vs 4 Falkenbergs FF</t>
  </si>
  <si>
    <t>2026-05-17|Nordic United|Falkenbergs FF</t>
  </si>
  <si>
    <t>EST-01907</t>
  </si>
  <si>
    <t>Falkenbergs FF 0 vs 3 Varbergs BoIS FC</t>
  </si>
  <si>
    <t>2026-05-13|Falkenbergs FF|Varbergs BoIS FC</t>
  </si>
  <si>
    <t>EST-01908</t>
  </si>
  <si>
    <t>Sandvikens IF 5 vs 0 GIF Sundsvall</t>
  </si>
  <si>
    <t>2026-08-01|Sandvikens IF|GIF Sundsvall</t>
  </si>
  <si>
    <t>EST-01909</t>
  </si>
  <si>
    <t>Norrby IF 3 vs 1 GIF Sundsvall</t>
  </si>
  <si>
    <t>Norrby IF</t>
  </si>
  <si>
    <t>2026-07-20|Norrby IF|GIF Sundsvall</t>
  </si>
  <si>
    <t>EST-01910</t>
  </si>
  <si>
    <t>GIF Sundsvall 0 vs 2 Östersunds FK</t>
  </si>
  <si>
    <t>2026-06-27|GIF Sundsvall|Östersunds FK</t>
  </si>
  <si>
    <t>EST-01911</t>
  </si>
  <si>
    <t>Helsingborgs IF 5 vs 2 GIF Sundsvall</t>
  </si>
  <si>
    <t>2026-06-21|Helsingborgs IF|GIF Sundsvall</t>
  </si>
  <si>
    <t>EST-01912</t>
  </si>
  <si>
    <t>GIF Sundsvall 0 vs 4 Östers IF</t>
  </si>
  <si>
    <t>2026-06-15|GIF Sundsvall|Östers IF</t>
  </si>
  <si>
    <t>EST-01913</t>
  </si>
  <si>
    <t>Örebro SK 0 vs 1 GIF Sundsvall</t>
  </si>
  <si>
    <t>2026-06-10|Örebro SK|GIF Sundsvall</t>
  </si>
  <si>
    <t>EST-01914</t>
  </si>
  <si>
    <t>GIF Sundsvall 0 vs 3 Sandvikens IF</t>
  </si>
  <si>
    <t>2026-05-30|GIF Sundsvall|Sandvikens IF</t>
  </si>
  <si>
    <t>EST-01915</t>
  </si>
  <si>
    <t>Varbergs BoIS FC 1 vs 0 GIF Sundsvall</t>
  </si>
  <si>
    <t>2026-05-24|Varbergs BoIS FC|GIF Sundsvall</t>
  </si>
  <si>
    <t>EST-01916</t>
  </si>
  <si>
    <t>GIF Sundsvall 2 vs 1 Landskrona BoIS</t>
  </si>
  <si>
    <t>Landskrona BoIS</t>
  </si>
  <si>
    <t>2026-05-18|GIF Sundsvall|Landskrona BoIS</t>
  </si>
  <si>
    <t>EST-01917</t>
  </si>
  <si>
    <t>Ljungskile SK 1 vs 0 GIF Sundsvall</t>
  </si>
  <si>
    <t>Ljungskile SK</t>
  </si>
  <si>
    <t>2026-05-14|Ljungskile SK|GIF Sundsvall</t>
  </si>
  <si>
    <t>EST-01918</t>
  </si>
  <si>
    <t>IFK Norrköping 2 vs 0 Helsingborgs IF</t>
  </si>
  <si>
    <t>IFK Norrköping</t>
  </si>
  <si>
    <t>2026-08-01|IFK Norrköping|Helsingborgs IF</t>
  </si>
  <si>
    <t>EST-01919</t>
  </si>
  <si>
    <t>Helsingborgs IF 1 vs 1 Nordic United</t>
  </si>
  <si>
    <t>2026-07-28|Helsingborgs IF|Nordic United</t>
  </si>
  <si>
    <t>EST-01920</t>
  </si>
  <si>
    <t>Sandvikens IF 4 vs 2 Helsingborgs IF</t>
  </si>
  <si>
    <t>2026-06-28|Sandvikens IF|Helsingborgs IF</t>
  </si>
  <si>
    <t>EST-01921</t>
  </si>
  <si>
    <t>IFK Värnamo 0 vs 1 Helsingborgs IF</t>
  </si>
  <si>
    <t>2026-06-16|IFK Värnamo|Helsingborgs IF</t>
  </si>
  <si>
    <t>EST-01922</t>
  </si>
  <si>
    <t>Helsingborgs IF 0 vs 3 Landskrona BoIS</t>
  </si>
  <si>
    <t>2026-06-11|Helsingborgs IF|Landskrona BoIS</t>
  </si>
  <si>
    <t>EST-01923</t>
  </si>
  <si>
    <t>Helsingborgs IF 0 vs 2 IFK Norrköping</t>
  </si>
  <si>
    <t>2026-05-31|Helsingborgs IF|IFK Norrköping</t>
  </si>
  <si>
    <t>EST-01924</t>
  </si>
  <si>
    <t>Örebro SK 1 vs 2 Helsingborgs IF</t>
  </si>
  <si>
    <t>2026-05-26|Örebro SK|Helsingborgs IF</t>
  </si>
  <si>
    <t>EST-01925</t>
  </si>
  <si>
    <t>Helsingborgs IF 1 vs 3 Varbergs BoIS FC</t>
  </si>
  <si>
    <t>2026-05-19|Helsingborgs IF|Varbergs BoIS FC</t>
  </si>
  <si>
    <t>EST-01926</t>
  </si>
  <si>
    <t>Helsingborgs IF 2 vs 2 IK Oddevold</t>
  </si>
  <si>
    <t>2026-05-13|Helsingborgs IF|IK Oddevold</t>
  </si>
  <si>
    <t>EST-01927</t>
  </si>
  <si>
    <t>Norrby IF 3 vs 3 Helsingborgs IF</t>
  </si>
  <si>
    <t>2026-05-09|Norrby IF|Helsingborgs IF</t>
  </si>
  <si>
    <t>EST-01928</t>
  </si>
  <si>
    <t>IFK Norrköping 3 vs 0 IK Brage</t>
  </si>
  <si>
    <t>2026-08-08|IFK Norrköping|IK Brage</t>
  </si>
  <si>
    <t>EST-01929</t>
  </si>
  <si>
    <t>Landskrona BoIS 0 vs 1 IFK Norrköping</t>
  </si>
  <si>
    <t>2026-07-28|Landskrona BoIS|IFK Norrköping</t>
  </si>
  <si>
    <t>EST-01930</t>
  </si>
  <si>
    <t>IFK Norrköping 3 vs 0 Sandvikens IF</t>
  </si>
  <si>
    <t>2026-07-19|IFK Norrköping|Sandvikens IF</t>
  </si>
  <si>
    <t>EST-01931</t>
  </si>
  <si>
    <t>IFK Norrköping 0 vs 1 Norrby IF</t>
  </si>
  <si>
    <t>2026-06-28|IFK Norrköping|Norrby IF</t>
  </si>
  <si>
    <t>EST-01932</t>
  </si>
  <si>
    <t>Östersunds FK 0 vs 2 IFK Norrköping</t>
  </si>
  <si>
    <t>2026-06-21|Östersunds FK|IFK Norrköping</t>
  </si>
  <si>
    <t>EST-01933</t>
  </si>
  <si>
    <t>IFK Norrköping 2 vs 0 Varbergs BoIS FC</t>
  </si>
  <si>
    <t>2026-06-15|IFK Norrköping|Varbergs BoIS FC</t>
  </si>
  <si>
    <t>EST-01934</t>
  </si>
  <si>
    <t>IK Oddevold 1 vs 2 IFK Norrköping</t>
  </si>
  <si>
    <t>2026-06-09|IK Oddevold|IFK Norrköping</t>
  </si>
  <si>
    <t>EST-01935</t>
  </si>
  <si>
    <t>IFK Norrköping 2 vs 0 Östers IF</t>
  </si>
  <si>
    <t>2026-05-25|IFK Norrköping|Östers IF</t>
  </si>
  <si>
    <t>EST-01936</t>
  </si>
  <si>
    <t>IK Brage 0 vs 0 IFK Norrköping</t>
  </si>
  <si>
    <t>2026-05-16|IK Brage|IFK Norrköping</t>
  </si>
  <si>
    <t>EST-01937</t>
  </si>
  <si>
    <t>IFK Norrköping 1 vs 1 Nordic United</t>
  </si>
  <si>
    <t>2026-05-13|IFK Norrköping|Nordic United</t>
  </si>
  <si>
    <t>EST-01938</t>
  </si>
  <si>
    <t>Örebro SK 1 vs 3 IFK Värnamo</t>
  </si>
  <si>
    <t>2026-08-03|Örebro SK|IFK Värnamo</t>
  </si>
  <si>
    <t>EST-01939</t>
  </si>
  <si>
    <t>IFK Värnamo 0 vs 0 IK Brage</t>
  </si>
  <si>
    <t>2026-07-25|IFK Värnamo|IK Brage</t>
  </si>
  <si>
    <t>EST-01940</t>
  </si>
  <si>
    <t>IFK Värnamo 2 vs 3 Ljungskile SK</t>
  </si>
  <si>
    <t>2026-07-19|IFK Värnamo|Ljungskile SK</t>
  </si>
  <si>
    <t>EST-01941</t>
  </si>
  <si>
    <t>Landskrona BoIS 1 vs 0 IFK Värnamo</t>
  </si>
  <si>
    <t>2026-06-28|Landskrona BoIS|IFK Värnamo</t>
  </si>
  <si>
    <t>EST-01942</t>
  </si>
  <si>
    <t>IK Brage 5 vs 1 IFK Värnamo</t>
  </si>
  <si>
    <t>2026-06-21|IK Brage|IFK Värnamo</t>
  </si>
  <si>
    <t>EST-01943</t>
  </si>
  <si>
    <t>Östers IF 3 vs 0 IFK Värnamo</t>
  </si>
  <si>
    <t>2026-06-09|Östers IF|IFK Värnamo</t>
  </si>
  <si>
    <t>EST-01944</t>
  </si>
  <si>
    <t>IFK Värnamo 0 vs 2 Nordic United</t>
  </si>
  <si>
    <t>2026-05-31|IFK Värnamo|Nordic United</t>
  </si>
  <si>
    <t>EST-01945</t>
  </si>
  <si>
    <t>IFK Värnamo 2 vs 2 Norrby IF</t>
  </si>
  <si>
    <t>2026-05-17|IFK Värnamo|Norrby IF</t>
  </si>
  <si>
    <t>EST-01946</t>
  </si>
  <si>
    <t>IFK Värnamo 0 vs 1 Örebro SK</t>
  </si>
  <si>
    <t>2026-05-12|IFK Värnamo|Örebro SK</t>
  </si>
  <si>
    <t>EST-01947</t>
  </si>
  <si>
    <t>Varbergs BoIS FC 3 vs 2 IFK Värnamo</t>
  </si>
  <si>
    <t>2026-05-08|Varbergs BoIS FC|IFK Värnamo</t>
  </si>
  <si>
    <t>EST-01948</t>
  </si>
  <si>
    <t>IK Brage 2 vs 1 Landskrona BoIS</t>
  </si>
  <si>
    <t>2026-08-01|IK Brage|Landskrona BoIS</t>
  </si>
  <si>
    <t>EST-01949</t>
  </si>
  <si>
    <t>Östers IF 3 vs 2 IK Brage</t>
  </si>
  <si>
    <t>2026-07-18|Östers IF|IK Brage</t>
  </si>
  <si>
    <t>EST-01950</t>
  </si>
  <si>
    <t>Sandvikens IF 3 vs 2 IK Brage</t>
  </si>
  <si>
    <t>2026-06-14|Sandvikens IF|IK Brage</t>
  </si>
  <si>
    <t>EST-01951</t>
  </si>
  <si>
    <t>IK Brage 2 vs 2 Ljungskile SK</t>
  </si>
  <si>
    <t>2026-06-09|IK Brage|Ljungskile SK</t>
  </si>
  <si>
    <t>EST-01952</t>
  </si>
  <si>
    <t>Landskrona BoIS 2 vs 2 IK Brage</t>
  </si>
  <si>
    <t>2026-05-30|Landskrona BoIS|IK Brage</t>
  </si>
  <si>
    <t>EST-01953</t>
  </si>
  <si>
    <t>Nordic United 1 vs 0 IK Brage</t>
  </si>
  <si>
    <t>2026-05-23|Nordic United|IK Brage</t>
  </si>
  <si>
    <t>EST-01954</t>
  </si>
  <si>
    <t>IK Brage 2 vs 4 Östersunds FK</t>
  </si>
  <si>
    <t>2026-05-13|IK Brage|Östersunds FK</t>
  </si>
  <si>
    <t>EST-01955</t>
  </si>
  <si>
    <t>Ljungskile SK 0 vs 1 IK Oddevold</t>
  </si>
  <si>
    <t>2026-08-08|Ljungskile SK|IK Oddevold</t>
  </si>
  <si>
    <t>EST-01956</t>
  </si>
  <si>
    <t>IK Oddevold 0 vs 0 Norrby IF</t>
  </si>
  <si>
    <t>2026-07-31|IK Oddevold|Norrby IF</t>
  </si>
  <si>
    <t>EST-01957</t>
  </si>
  <si>
    <t>Örebro SK 0 vs 0 IK Oddevold</t>
  </si>
  <si>
    <t>2026-07-27|Örebro SK|IK Oddevold</t>
  </si>
  <si>
    <t>EST-01958</t>
  </si>
  <si>
    <t>IK Oddevold 2 vs 4 Varbergs BoIS FC</t>
  </si>
  <si>
    <t>2026-07-18|IK Oddevold|Varbergs BoIS FC</t>
  </si>
  <si>
    <t>EST-01959</t>
  </si>
  <si>
    <t>Nordic United 3 vs 3 IK Oddevold</t>
  </si>
  <si>
    <t>2026-06-27|Nordic United|IK Oddevold</t>
  </si>
  <si>
    <t>EST-01960</t>
  </si>
  <si>
    <t>IK Oddevold 0 vs 0 Ljungskile SK</t>
  </si>
  <si>
    <t>2026-06-22|IK Oddevold|Ljungskile SK</t>
  </si>
  <si>
    <t>EST-01961</t>
  </si>
  <si>
    <t>Norrby IF 0 vs 2 IK Oddevold</t>
  </si>
  <si>
    <t>2026-06-14|Norrby IF|IK Oddevold</t>
  </si>
  <si>
    <t>EST-01962</t>
  </si>
  <si>
    <t>IK Oddevold 1 vs 0 Östersunds FK</t>
  </si>
  <si>
    <t>2026-05-23|IK Oddevold|Östersunds FK</t>
  </si>
  <si>
    <t>EST-01963</t>
  </si>
  <si>
    <t>IK Oddevold 4 vs 1 Örebro SK</t>
  </si>
  <si>
    <t>2026-05-18|IK Oddevold|Örebro SK</t>
  </si>
  <si>
    <t>EST-01964</t>
  </si>
  <si>
    <t>Östers IF 0 vs 1 Landskrona BoIS</t>
  </si>
  <si>
    <t>2026-08-08|Östers IF|Landskrona BoIS</t>
  </si>
  <si>
    <t>EST-01965</t>
  </si>
  <si>
    <t>Östersunds FK 2 vs 0 Landskrona BoIS</t>
  </si>
  <si>
    <t>2026-07-18|Östersunds FK|Landskrona BoIS</t>
  </si>
  <si>
    <t>EST-01966</t>
  </si>
  <si>
    <t>Varbergs BoIS FC 2 vs 3 Landskrona BoIS</t>
  </si>
  <si>
    <t>2026-06-22|Varbergs BoIS FC|Landskrona BoIS</t>
  </si>
  <si>
    <t>EST-01967</t>
  </si>
  <si>
    <t>Landskrona BoIS 2 vs 0 Nordic United</t>
  </si>
  <si>
    <t>2026-06-16|Landskrona BoIS|Nordic United</t>
  </si>
  <si>
    <t>EST-01968</t>
  </si>
  <si>
    <t>Sandvikens IF 0 vs 1 Landskrona BoIS</t>
  </si>
  <si>
    <t>2026-05-24|Sandvikens IF|Landskrona BoIS</t>
  </si>
  <si>
    <t>EST-01969</t>
  </si>
  <si>
    <t>IK Oddevold 1 vs 1 Landskrona BoIS</t>
  </si>
  <si>
    <t>2026-05-09|IK Oddevold|Landskrona BoIS</t>
  </si>
  <si>
    <t>EST-01970</t>
  </si>
  <si>
    <t>Nordic United 2 vs 2 Ljungskile SK</t>
  </si>
  <si>
    <t>2026-08-02|Nordic United|Ljungskile SK</t>
  </si>
  <si>
    <t>EST-01971</t>
  </si>
  <si>
    <t>Ljungskile SK 2 vs 1 Sandvikens IF</t>
  </si>
  <si>
    <t>2026-07-26|Ljungskile SK|Sandvikens IF</t>
  </si>
  <si>
    <t>EST-01972</t>
  </si>
  <si>
    <t>Ljungskile SK 3 vs 2 Örebro SK</t>
  </si>
  <si>
    <t>2026-06-27|Ljungskile SK|Örebro SK</t>
  </si>
  <si>
    <t>EST-01973</t>
  </si>
  <si>
    <t>Ljungskile SK 1 vs 1 Östersunds FK</t>
  </si>
  <si>
    <t>2026-06-14|Ljungskile SK|Östersunds FK</t>
  </si>
  <si>
    <t>EST-01974</t>
  </si>
  <si>
    <t>Ljungskile SK 1 vs 3 Varbergs BoIS FC</t>
  </si>
  <si>
    <t>2026-05-30|Ljungskile SK|Varbergs BoIS FC</t>
  </si>
  <si>
    <t>EST-01975</t>
  </si>
  <si>
    <t>Norrby IF 2 vs 1 Ljungskile SK</t>
  </si>
  <si>
    <t>2026-05-23|Norrby IF|Ljungskile SK</t>
  </si>
  <si>
    <t>EST-01976</t>
  </si>
  <si>
    <t>Östers IF 1 vs 4 Ljungskile SK</t>
  </si>
  <si>
    <t>2026-05-17|Östers IF|Ljungskile SK</t>
  </si>
  <si>
    <t>EST-01977</t>
  </si>
  <si>
    <t>Nordic United 2 vs 0 Örebro SK</t>
  </si>
  <si>
    <t>2026-07-19|Nordic United|Örebro SK</t>
  </si>
  <si>
    <t>EST-01978</t>
  </si>
  <si>
    <t>Norrby IF 0 vs 0 Nordic United</t>
  </si>
  <si>
    <t>2026-06-21|Norrby IF|Nordic United</t>
  </si>
  <si>
    <t>EST-01979</t>
  </si>
  <si>
    <t>Nordic United 1 vs 1 Östersunds FK</t>
  </si>
  <si>
    <t>2026-06-09|Nordic United|Östersunds FK</t>
  </si>
  <si>
    <t>EST-01980</t>
  </si>
  <si>
    <t>Norrby IF 3 vs 1 Örebro SK</t>
  </si>
  <si>
    <t>2026-08-10|Norrby IF|Örebro SK</t>
  </si>
  <si>
    <t>EST-01981</t>
  </si>
  <si>
    <t>Norrby IF 2 vs 2 Östersunds FK</t>
  </si>
  <si>
    <t>2026-07-26|Norrby IF|Östersunds FK</t>
  </si>
  <si>
    <t>EST-01982</t>
  </si>
  <si>
    <t>Varbergs BoIS FC 2 vs 0 Norrby IF</t>
  </si>
  <si>
    <t>2026-06-10|Varbergs BoIS FC|Norrby IF</t>
  </si>
  <si>
    <t>EST-01983</t>
  </si>
  <si>
    <t>Östers IF 2 vs 1 Norrby IF</t>
  </si>
  <si>
    <t>2026-05-30|Östers IF|Norrby IF</t>
  </si>
  <si>
    <t>EST-01984</t>
  </si>
  <si>
    <t>Landskrona BoIS 1 vs 1 Norrby IF</t>
  </si>
  <si>
    <t>2026-05-12|Landskrona BoIS|Norrby IF</t>
  </si>
  <si>
    <t>EST-01985</t>
  </si>
  <si>
    <t>Varbergs BoIS FC 0 vs 1 Sandvikens IF</t>
  </si>
  <si>
    <t>2026-08-09|Varbergs BoIS FC|Sandvikens IF</t>
  </si>
  <si>
    <t>EST-01986</t>
  </si>
  <si>
    <t>Örebro SK 1 vs 1 Sandvikens IF</t>
  </si>
  <si>
    <t>2026-06-22|Örebro SK|Sandvikens IF</t>
  </si>
  <si>
    <t>EST-01987</t>
  </si>
  <si>
    <t>Östersunds FK 2 vs 1 Sandvikens IF</t>
  </si>
  <si>
    <t>2026-05-17|Östersunds FK|Sandvikens IF</t>
  </si>
  <si>
    <t>EST-01988</t>
  </si>
  <si>
    <t>Östers IF 1 vs 0 Sandvikens IF</t>
  </si>
  <si>
    <t>2026-05-13|Östers IF|Sandvikens IF</t>
  </si>
  <si>
    <t>Östers IF 3 vs 0 Varbergs BoIS FC</t>
  </si>
  <si>
    <t>EST-01989</t>
  </si>
  <si>
    <t>Östersunds FK 1 vs 0 Östers IF</t>
  </si>
  <si>
    <t>2026-08-01|Östersunds FK|Östers IF</t>
  </si>
  <si>
    <t>EST-01990</t>
  </si>
  <si>
    <t>Varbergs BoIS FC 2 vs 1 Östers IF</t>
  </si>
  <si>
    <t>2026-06-27|Varbergs BoIS FC|Östers IF</t>
  </si>
  <si>
    <t>EST-01991</t>
  </si>
  <si>
    <t>Östersunds FK 3 vs 2 Örebro SK</t>
  </si>
  <si>
    <t>2026-05-31|Östersunds FK|Örebro SK</t>
  </si>
  <si>
    <t>2026-07-27|Östers IF|Varbergs BoIS FC</t>
  </si>
  <si>
    <t>FC Rosengård 4 vs 2 Jönköpings Södra IF</t>
  </si>
  <si>
    <t>FC Rosengård</t>
  </si>
  <si>
    <t>Jönköpings Södra IF</t>
  </si>
  <si>
    <t>2026-08-02|FC Rosengård|Jönköpings Södra IF</t>
  </si>
  <si>
    <t>EST-01992</t>
  </si>
  <si>
    <t>AFC Malmö 1 vs 2 Trelleborgs FF</t>
  </si>
  <si>
    <t>AFC Malmö</t>
  </si>
  <si>
    <t>2026-08-08|AFC Malmö|Trelleborgs FF</t>
  </si>
  <si>
    <t>EST-01993</t>
  </si>
  <si>
    <t>Ängelholms FF 2 vs 2 AFC Malmö</t>
  </si>
  <si>
    <t>Ängelholms FF</t>
  </si>
  <si>
    <t>2026-08-01|Ängelholms FF|AFC Malmö</t>
  </si>
  <si>
    <t>EST-01994</t>
  </si>
  <si>
    <t>AFC Malmö 1 vs 0 Jönköpings Södra IF</t>
  </si>
  <si>
    <t>2026-06-27|AFC Malmö|Jönköpings Södra IF</t>
  </si>
  <si>
    <t>EST-01995</t>
  </si>
  <si>
    <t>AFC Malmö 1 vs 2 BK Olympic</t>
  </si>
  <si>
    <t>BK Olympic</t>
  </si>
  <si>
    <t>2026-06-21|AFC Malmö|BK Olympic</t>
  </si>
  <si>
    <t>EST-01996</t>
  </si>
  <si>
    <t>Lunds BK 1 vs 4 AFC Malmö</t>
  </si>
  <si>
    <t>2026-06-12|Lunds BK|AFC Malmö</t>
  </si>
  <si>
    <t>EST-01997</t>
  </si>
  <si>
    <t>AFC Malmö 2 vs 1 Eskilsminne IF</t>
  </si>
  <si>
    <t>Eskilsminne IF</t>
  </si>
  <si>
    <t>2026-06-07|AFC Malmö|Eskilsminne IF</t>
  </si>
  <si>
    <t>EST-01998</t>
  </si>
  <si>
    <t>AFC Malmö 4 vs 2 Laholms FK</t>
  </si>
  <si>
    <t>Laholms FK</t>
  </si>
  <si>
    <t>2026-05-30|AFC Malmö|Laholms FK</t>
  </si>
  <si>
    <t>EST-01999</t>
  </si>
  <si>
    <t>Skövde AIK 0 vs 4 AFC Malmö</t>
  </si>
  <si>
    <t>Skövde AIK</t>
  </si>
  <si>
    <t>2026-05-23|Skövde AIK|AFC Malmö</t>
  </si>
  <si>
    <t>EST-02000</t>
  </si>
  <si>
    <t>AFC Malmö 0 vs 1 Tvååkers IF</t>
  </si>
  <si>
    <t>Tvååkers IF</t>
  </si>
  <si>
    <t>2026-05-18|AFC Malmö|Tvååkers IF</t>
  </si>
  <si>
    <t>EST-02001</t>
  </si>
  <si>
    <t>FC Trollhättan 0 vs 2 AFC Malmö</t>
  </si>
  <si>
    <t>FC Trollhättan</t>
  </si>
  <si>
    <t>2026-05-14|FC Trollhättan|AFC Malmö</t>
  </si>
  <si>
    <t>EST-02002</t>
  </si>
  <si>
    <t>AFC Malmö 3 vs 2 Hässleholms IF</t>
  </si>
  <si>
    <t>Hässleholms IF</t>
  </si>
  <si>
    <t>2026-05-08|AFC Malmö|Hässleholms IF</t>
  </si>
  <si>
    <t>EST-02003</t>
  </si>
  <si>
    <t>Utsiktens BK 0 vs 3 AFC Malmö</t>
  </si>
  <si>
    <t>Utsiktens BK</t>
  </si>
  <si>
    <t>2026-05-02|Utsiktens BK|AFC Malmö</t>
  </si>
  <si>
    <t>EST-02004</t>
  </si>
  <si>
    <t>Jönköpings Södra IF 2 vs 0 BK Olympic</t>
  </si>
  <si>
    <t>2026-08-09|Jönköpings Södra IF|BK Olympic</t>
  </si>
  <si>
    <t>EST-02005</t>
  </si>
  <si>
    <t>BK Olympic 3 vs 1 Skövde AIK</t>
  </si>
  <si>
    <t>2026-08-01|BK Olympic|Skövde AIK</t>
  </si>
  <si>
    <t>EST-02006</t>
  </si>
  <si>
    <t>BK Olympic 2 vs 1 Eskilsminne IF</t>
  </si>
  <si>
    <t>2026-06-28|BK Olympic|Eskilsminne IF</t>
  </si>
  <si>
    <t>EST-02007</t>
  </si>
  <si>
    <t>BK Olympic 3 vs 2 Laholms FK</t>
  </si>
  <si>
    <t>2026-06-13|BK Olympic|Laholms FK</t>
  </si>
  <si>
    <t>EST-02008</t>
  </si>
  <si>
    <t>Ängelholms FF 1 vs 1 BK Olympic</t>
  </si>
  <si>
    <t>2026-06-08|Ängelholms FF|BK Olympic</t>
  </si>
  <si>
    <t>EST-02009</t>
  </si>
  <si>
    <t>BK Olympic 1 vs 3 Lunds BK</t>
  </si>
  <si>
    <t>2026-06-03|BK Olympic|Lunds BK</t>
  </si>
  <si>
    <t>EST-02010</t>
  </si>
  <si>
    <t>FC Rosengård 2 vs 1 BK Olympic</t>
  </si>
  <si>
    <t>2026-05-23|FC Rosengård|BK Olympic</t>
  </si>
  <si>
    <t>EST-02011</t>
  </si>
  <si>
    <t>BK Olympic 2 vs 3 Åtvidabergs FF</t>
  </si>
  <si>
    <t>Åtvidabergs FF</t>
  </si>
  <si>
    <t>2026-05-17|BK Olympic|Åtvidabergs FF</t>
  </si>
  <si>
    <t>EST-02012</t>
  </si>
  <si>
    <t>Tvååkers IF 1 vs 0 BK Olympic</t>
  </si>
  <si>
    <t>2026-05-14|Tvååkers IF|BK Olympic</t>
  </si>
  <si>
    <t>EST-02013</t>
  </si>
  <si>
    <t>BK Olympic 2 vs 0 Kristianstad FC</t>
  </si>
  <si>
    <t>Kristianstad FC</t>
  </si>
  <si>
    <t>2026-05-09|BK Olympic|Kristianstad FC</t>
  </si>
  <si>
    <t>EST-02014</t>
  </si>
  <si>
    <t>Trelleborgs FF 2 vs 1 BK Olympic</t>
  </si>
  <si>
    <t>2026-05-02|Trelleborgs FF|BK Olympic</t>
  </si>
  <si>
    <t>EST-02015</t>
  </si>
  <si>
    <t>Eskilsminne IF 0 vs 0 FC Rosengård</t>
  </si>
  <si>
    <t>2026-08-08|Eskilsminne IF|FC Rosengård</t>
  </si>
  <si>
    <t>EST-02016</t>
  </si>
  <si>
    <t>Eskilsminne IF 3 vs 2 Kristianstad FC</t>
  </si>
  <si>
    <t>2026-07-01|Eskilsminne IF|Kristianstad FC</t>
  </si>
  <si>
    <t>EST-02017</t>
  </si>
  <si>
    <t>Eskilsminne IF 2 vs 0 FC Trollhättan</t>
  </si>
  <si>
    <t>2026-06-18|Eskilsminne IF|FC Trollhättan</t>
  </si>
  <si>
    <t>EST-02018</t>
  </si>
  <si>
    <t>Åtvidabergs FF 4 vs 0 Eskilsminne IF</t>
  </si>
  <si>
    <t>2026-06-13|Åtvidabergs FF|Eskilsminne IF</t>
  </si>
  <si>
    <t>EST-02019</t>
  </si>
  <si>
    <t>Eskilsminne IF 2 vs 3 Trelleborgs FF</t>
  </si>
  <si>
    <t>2026-05-30|Eskilsminne IF|Trelleborgs FF</t>
  </si>
  <si>
    <t>EST-02020</t>
  </si>
  <si>
    <t>Lunds BK 4 vs 2 Eskilsminne IF</t>
  </si>
  <si>
    <t>2026-05-22|Lunds BK|Eskilsminne IF</t>
  </si>
  <si>
    <t>EST-02021</t>
  </si>
  <si>
    <t>Eskilsminne IF 1 vs 1 Skövde AIK</t>
  </si>
  <si>
    <t>2026-05-17|Eskilsminne IF|Skövde AIK</t>
  </si>
  <si>
    <t>EST-02022</t>
  </si>
  <si>
    <t>Hässleholms IF 1 vs 3 Eskilsminne IF</t>
  </si>
  <si>
    <t>2026-05-13|Hässleholms IF|Eskilsminne IF</t>
  </si>
  <si>
    <t>EST-02023</t>
  </si>
  <si>
    <t>Eskilsminne IF 4 vs 0 Utsiktens BK</t>
  </si>
  <si>
    <t>2026-05-09|Eskilsminne IF|Utsiktens BK</t>
  </si>
  <si>
    <t>EST-02024</t>
  </si>
  <si>
    <t>Eskilsminne IF 0 vs 6 Ängelholms FF</t>
  </si>
  <si>
    <t>2026-05-01|Eskilsminne IF|Ängelholms FF</t>
  </si>
  <si>
    <t>EST-02025</t>
  </si>
  <si>
    <t>Åtvidabergs FF 3 vs 3 FC Rosengård</t>
  </si>
  <si>
    <t>2026-06-27|Åtvidabergs FF|FC Rosengård</t>
  </si>
  <si>
    <t>EST-02026</t>
  </si>
  <si>
    <t>Trelleborgs FF 3 vs 2 FC Rosengård</t>
  </si>
  <si>
    <t>2026-06-18|Trelleborgs FF|FC Rosengård</t>
  </si>
  <si>
    <t>EST-02027</t>
  </si>
  <si>
    <t>FC Rosengård 3 vs 0 Skövde AIK</t>
  </si>
  <si>
    <t>2026-06-14|FC Rosengård|Skövde AIK</t>
  </si>
  <si>
    <t>EST-02028</t>
  </si>
  <si>
    <t>Utsiktens BK 0 vs 1 FC Rosengård</t>
  </si>
  <si>
    <t>2026-06-08|Utsiktens BK|FC Rosengård</t>
  </si>
  <si>
    <t>EST-02029</t>
  </si>
  <si>
    <t>FC Rosengård 1 vs 2 Ängelholms FF</t>
  </si>
  <si>
    <t>2026-06-02|FC Rosengård|Ängelholms FF</t>
  </si>
  <si>
    <t>EST-02030</t>
  </si>
  <si>
    <t>Laholms FK 1 vs 3 FC Rosengård</t>
  </si>
  <si>
    <t>2026-05-18|Laholms FK|FC Rosengård</t>
  </si>
  <si>
    <t>EST-02031</t>
  </si>
  <si>
    <t>Kristianstad FC 1 vs 2 FC Rosengård</t>
  </si>
  <si>
    <t>2026-05-13|Kristianstad FC|FC Rosengård</t>
  </si>
  <si>
    <t>EST-02032</t>
  </si>
  <si>
    <t>FC Rosengård 0 vs 1 Tvååkers IF</t>
  </si>
  <si>
    <t>2026-05-09|FC Rosengård|Tvååkers IF</t>
  </si>
  <si>
    <t>EST-02033</t>
  </si>
  <si>
    <t>FC Trollhättan 0 vs 2 FC Rosengård</t>
  </si>
  <si>
    <t>2026-05-02|FC Trollhättan|FC Rosengård</t>
  </si>
  <si>
    <t>EST-02034</t>
  </si>
  <si>
    <t>FC Trollhättan 0 vs 1 Laholms FK</t>
  </si>
  <si>
    <t>2026-08-08|FC Trollhättan|Laholms FK</t>
  </si>
  <si>
    <t>EST-02035</t>
  </si>
  <si>
    <t>Laholms FK 0 vs 1 FC Trollhättan</t>
  </si>
  <si>
    <t>2026-08-01|Laholms FK|FC Trollhättan</t>
  </si>
  <si>
    <t>EST-02036</t>
  </si>
  <si>
    <t>FC Trollhättan 1 vs 1 Ängelholms FF</t>
  </si>
  <si>
    <t>2026-06-27|FC Trollhättan|Ängelholms FF</t>
  </si>
  <si>
    <t>EST-02037</t>
  </si>
  <si>
    <t>FC Trollhättan 1 vs 1 Kristianstad FC</t>
  </si>
  <si>
    <t>2026-06-13|FC Trollhättan|Kristianstad FC</t>
  </si>
  <si>
    <t>EST-02038</t>
  </si>
  <si>
    <t>Jönköpings Södra IF 4 vs 1 FC Trollhättan</t>
  </si>
  <si>
    <t>2026-06-06|Jönköpings Södra IF|FC Trollhättan</t>
  </si>
  <si>
    <t>EST-02039</t>
  </si>
  <si>
    <t>FC Trollhättan 3 vs 3 Åtvidabergs FF</t>
  </si>
  <si>
    <t>2026-05-30|FC Trollhättan|Åtvidabergs FF</t>
  </si>
  <si>
    <t>EST-02040</t>
  </si>
  <si>
    <t>Tvååkers IF 1 vs 1 FC Trollhättan</t>
  </si>
  <si>
    <t>2026-05-23|Tvååkers IF|FC Trollhättan</t>
  </si>
  <si>
    <t>EST-02041</t>
  </si>
  <si>
    <t>Trelleborgs FF 2 vs 2 FC Trollhättan</t>
  </si>
  <si>
    <t>2026-05-17|Trelleborgs FF|FC Trollhättan</t>
  </si>
  <si>
    <t>EST-02042</t>
  </si>
  <si>
    <t>FC Trollhättan 1 vs 1 Lunds BK</t>
  </si>
  <si>
    <t>2026-05-09|FC Trollhättan|Lunds BK</t>
  </si>
  <si>
    <t>EST-02043</t>
  </si>
  <si>
    <t>Utsiktens BK 0 vs 2 Hässleholms IF</t>
  </si>
  <si>
    <t>2026-08-08|Utsiktens BK|Hässleholms IF</t>
  </si>
  <si>
    <t>EST-02044</t>
  </si>
  <si>
    <t>Hässleholms IF 2 vs 0 Åtvidabergs FF</t>
  </si>
  <si>
    <t>2026-08-01|Hässleholms IF|Åtvidabergs FF</t>
  </si>
  <si>
    <t>EST-02045</t>
  </si>
  <si>
    <t>Hässleholms IF 4 vs 2 Tvååkers IF</t>
  </si>
  <si>
    <t>2026-06-26|Hässleholms IF|Tvååkers IF</t>
  </si>
  <si>
    <t>EST-02046</t>
  </si>
  <si>
    <t>Skövde AIK 2 vs 2 Hässleholms IF</t>
  </si>
  <si>
    <t>2026-06-18|Skövde AIK|Hässleholms IF</t>
  </si>
  <si>
    <t>EST-02047</t>
  </si>
  <si>
    <t>Hässleholms IF 0 vs 2 Trelleborgs FF</t>
  </si>
  <si>
    <t>2026-06-14|Hässleholms IF|Trelleborgs FF</t>
  </si>
  <si>
    <t>EST-02048</t>
  </si>
  <si>
    <t>Laholms FK 1 vs 2 Hässleholms IF</t>
  </si>
  <si>
    <t>2026-06-04|Laholms FK|Hässleholms IF</t>
  </si>
  <si>
    <t>EST-02049</t>
  </si>
  <si>
    <t>Hässleholms IF 3 vs 0 Utsiktens BK</t>
  </si>
  <si>
    <t>2026-05-30|Hässleholms IF|Utsiktens BK</t>
  </si>
  <si>
    <t>EST-02050</t>
  </si>
  <si>
    <t>Kristianstad FC 1 vs 3 Hässleholms IF</t>
  </si>
  <si>
    <t>2026-05-22|Kristianstad FC|Hässleholms IF</t>
  </si>
  <si>
    <t>EST-02051</t>
  </si>
  <si>
    <t>Jönköpings Södra IF 2 vs 0 Hässleholms IF</t>
  </si>
  <si>
    <t>2026-05-17|Jönköpings Södra IF|Hässleholms IF</t>
  </si>
  <si>
    <t>EST-02052</t>
  </si>
  <si>
    <t>Hässleholms IF 0 vs 1 Lunds BK</t>
  </si>
  <si>
    <t>2026-05-01|Hässleholms IF|Lunds BK</t>
  </si>
  <si>
    <t>EST-02053</t>
  </si>
  <si>
    <t>Jönköpings Södra IF 0 vs 0 Lunds BK</t>
  </si>
  <si>
    <t>2026-06-18|Jönköpings Södra IF|Lunds BK</t>
  </si>
  <si>
    <t>EST-02054</t>
  </si>
  <si>
    <t>Tvååkers IF 2 vs 1 Jönköpings Södra IF</t>
  </si>
  <si>
    <t>2026-06-13|Tvååkers IF|Jönköpings Södra IF</t>
  </si>
  <si>
    <t>EST-02055</t>
  </si>
  <si>
    <t>Skövde AIK 1 vs 0 Jönköpings Södra IF</t>
  </si>
  <si>
    <t>2026-06-01|Skövde AIK|Jönköpings Södra IF</t>
  </si>
  <si>
    <t>EST-02056</t>
  </si>
  <si>
    <t>Jönköpings Södra IF 3 vs 0 Ängelholms FF</t>
  </si>
  <si>
    <t>2026-05-24|Jönköpings Södra IF|Ängelholms FF</t>
  </si>
  <si>
    <t>EST-02057</t>
  </si>
  <si>
    <t>Trelleborgs FF 1 vs 1 Jönköpings Södra IF</t>
  </si>
  <si>
    <t>2026-05-14|Trelleborgs FF|Jönköpings Södra IF</t>
  </si>
  <si>
    <t>EST-02058</t>
  </si>
  <si>
    <t>Jönköpings Södra IF 2 vs 1 Laholms FK</t>
  </si>
  <si>
    <t>2026-05-10|Jönköpings Södra IF|Laholms FK</t>
  </si>
  <si>
    <t>EST-02059</t>
  </si>
  <si>
    <t>Jönköpings Södra IF 3 vs 0 Kristianstad FC</t>
  </si>
  <si>
    <t>2026-05-02|Jönköpings Södra IF|Kristianstad FC</t>
  </si>
  <si>
    <t>EST-02060</t>
  </si>
  <si>
    <t>Kristianstad FC 1 vs 0 Ängelholms FF</t>
  </si>
  <si>
    <t>2026-08-07|Kristianstad FC|Ängelholms FF</t>
  </si>
  <si>
    <t>EST-02061</t>
  </si>
  <si>
    <t>Kristianstad FC 0 vs 0 Trelleborgs FF</t>
  </si>
  <si>
    <t>2026-06-26|Kristianstad FC|Trelleborgs FF</t>
  </si>
  <si>
    <t>EST-02062</t>
  </si>
  <si>
    <t>Kristianstad FC 0 vs 3 Laholms FK</t>
  </si>
  <si>
    <t>2026-06-21|Kristianstad FC|Laholms FK</t>
  </si>
  <si>
    <t>EST-02063</t>
  </si>
  <si>
    <t>Kristianstad FC 1 vs 1 Lunds BK</t>
  </si>
  <si>
    <t>2026-06-07|Kristianstad FC|Lunds BK</t>
  </si>
  <si>
    <t>EST-02064</t>
  </si>
  <si>
    <t>Tvååkers IF 1 vs 2 Kristianstad FC</t>
  </si>
  <si>
    <t>2026-05-30|Tvååkers IF|Kristianstad FC</t>
  </si>
  <si>
    <t>EST-02065</t>
  </si>
  <si>
    <t>Ängelholms FF 0 vs 1 Kristianstad FC</t>
  </si>
  <si>
    <t>2026-05-18|Ängelholms FF|Kristianstad FC</t>
  </si>
  <si>
    <t>EST-02066</t>
  </si>
  <si>
    <t>Laholms FK 3 vs 1 Utsiktens BK</t>
  </si>
  <si>
    <t>2026-06-27|Laholms FK|Utsiktens BK</t>
  </si>
  <si>
    <t>EST-02067</t>
  </si>
  <si>
    <t>Åtvidabergs FF 3 vs 1 Laholms FK</t>
  </si>
  <si>
    <t>2026-05-24|Åtvidabergs FF|Laholms FK</t>
  </si>
  <si>
    <t>EST-02068</t>
  </si>
  <si>
    <t>Laholms FK 4 vs 3 Lunds BK</t>
  </si>
  <si>
    <t>2026-05-13|Laholms FK|Lunds BK</t>
  </si>
  <si>
    <t>EST-02069</t>
  </si>
  <si>
    <t>Tvååkers IF 1 vs 2 Laholms FK</t>
  </si>
  <si>
    <t>2026-05-02|Tvååkers IF|Laholms FK</t>
  </si>
  <si>
    <t>EST-02070</t>
  </si>
  <si>
    <t>Skövde AIK 1 vs 1 Lunds BK</t>
  </si>
  <si>
    <t>2026-08-08|Skövde AIK|Lunds BK</t>
  </si>
  <si>
    <t>EST-02071</t>
  </si>
  <si>
    <t>Lunds BK 2 vs 1 Skövde AIK</t>
  </si>
  <si>
    <t>2026-06-27|Lunds BK|Skövde AIK</t>
  </si>
  <si>
    <t>EST-02072</t>
  </si>
  <si>
    <t>Lunds BK 5 vs 0 Utsiktens BK</t>
  </si>
  <si>
    <t>2026-05-17|Lunds BK|Utsiktens BK</t>
  </si>
  <si>
    <t>EST-02073</t>
  </si>
  <si>
    <t>Trelleborgs FF 4 vs 0 Skövde AIK</t>
  </si>
  <si>
    <t>2026-06-07|Trelleborgs FF|Skövde AIK</t>
  </si>
  <si>
    <t>EST-02074</t>
  </si>
  <si>
    <t>Utsiktens BK 2 vs 3 Skövde AIK</t>
  </si>
  <si>
    <t>2026-05-13|Utsiktens BK|Skövde AIK</t>
  </si>
  <si>
    <t>EST-02075</t>
  </si>
  <si>
    <t>Skövde AIK 1 vs 1 Ängelholms FF</t>
  </si>
  <si>
    <t>2026-05-09|Skövde AIK|Ängelholms FF</t>
  </si>
  <si>
    <t>EST-02076</t>
  </si>
  <si>
    <t>Skövde AIK 0 vs 0 Åtvidabergs FF</t>
  </si>
  <si>
    <t>2026-05-02|Skövde AIK|Åtvidabergs FF</t>
  </si>
  <si>
    <t>EST-02077</t>
  </si>
  <si>
    <t>Utsiktens BK 0 vs 0 Trelleborgs FF</t>
  </si>
  <si>
    <t>2026-05-23|Utsiktens BK|Trelleborgs FF</t>
  </si>
  <si>
    <t>EST-02078</t>
  </si>
  <si>
    <t>Åtvidabergs FF 1 vs 2 Trelleborgs FF</t>
  </si>
  <si>
    <t>2026-05-10|Åtvidabergs FF|Trelleborgs FF</t>
  </si>
  <si>
    <t>EST-02079</t>
  </si>
  <si>
    <t>Tvååkers IF 1 vs 2 Åtvidabergs FF</t>
  </si>
  <si>
    <t>2026-08-08|Tvååkers IF|Åtvidabergs FF</t>
  </si>
  <si>
    <t>EST-02080</t>
  </si>
  <si>
    <t>Tvååkers IF 2 vs 2 Utsiktens BK</t>
  </si>
  <si>
    <t>2026-08-01|Tvååkers IF|Utsiktens BK</t>
  </si>
  <si>
    <t>EST-02081</t>
  </si>
  <si>
    <t>Tvååkers IF 3 vs 2 Ängelholms FF</t>
  </si>
  <si>
    <t>2026-06-18|Tvååkers IF|Ängelholms FF</t>
  </si>
  <si>
    <t>EST-02082</t>
  </si>
  <si>
    <t>Utsiktens BK 0 vs 3 Åtvidabergs FF</t>
  </si>
  <si>
    <t>2026-06-17|Utsiktens BK|Åtvidabergs FF</t>
  </si>
  <si>
    <t>EST-02083</t>
  </si>
  <si>
    <t>Ängelholms FF 4 vs 2 Utsiktens BK</t>
  </si>
  <si>
    <t>2026-06-13|Ängelholms FF|Utsiktens BK</t>
  </si>
  <si>
    <t>EST-02084</t>
  </si>
  <si>
    <t>Åtvidabergs FF 2 vs 2 Tvååkers IF</t>
  </si>
  <si>
    <t>2026-06-07|Åtvidabergs FF|Tvååkers IF</t>
  </si>
  <si>
    <t>EST-02085</t>
  </si>
  <si>
    <t>Ängelholms FF 2 vs 2 Åtvidabergs FF</t>
  </si>
  <si>
    <t>2026-05-14|Ängelholms FF|Åtvidabergs FF</t>
  </si>
  <si>
    <t>FBK Karlstad 0 vs 2 Assyriska FF</t>
  </si>
  <si>
    <t>Assyriska FF</t>
  </si>
  <si>
    <t>2026-08-01|FBK Karlstad|Assyriska FF</t>
  </si>
  <si>
    <t>EST-02086</t>
  </si>
  <si>
    <t>Umeå FC 1 vs 3 AFC Eskilstuna</t>
  </si>
  <si>
    <t>2026-08-09|Umeå FC|AFC Eskilstuna</t>
  </si>
  <si>
    <t>EST-02087</t>
  </si>
  <si>
    <t>Sollentuna FK 1 vs 4 AFC Eskilstuna</t>
  </si>
  <si>
    <t>2026-06-26|Sollentuna FK|AFC Eskilstuna</t>
  </si>
  <si>
    <t>EST-02088</t>
  </si>
  <si>
    <t>Piteå IF 2 vs 2 AFC Eskilstuna</t>
  </si>
  <si>
    <t>Piteå IF</t>
  </si>
  <si>
    <t>2026-06-21|Piteå IF|AFC Eskilstuna</t>
  </si>
  <si>
    <t>EST-02089</t>
  </si>
  <si>
    <t>AFC Eskilstuna 1 vs 0 Assyriska FF</t>
  </si>
  <si>
    <t>2026-06-14|AFC Eskilstuna|Assyriska FF</t>
  </si>
  <si>
    <t>EST-02090</t>
  </si>
  <si>
    <t>AFC Eskilstuna 3 vs 2 Karlbergs BK</t>
  </si>
  <si>
    <t>2026-06-04|AFC Eskilstuna|Karlbergs BK</t>
  </si>
  <si>
    <t>EST-02091</t>
  </si>
  <si>
    <t>Hammarby TFF 1 vs 2 AFC Eskilstuna</t>
  </si>
  <si>
    <t>Hammarby TFF</t>
  </si>
  <si>
    <t>2026-05-30|Hammarby TFF|AFC Eskilstuna</t>
  </si>
  <si>
    <t>EST-02092</t>
  </si>
  <si>
    <t>AFC Eskilstuna 0 vs 3 Vasalunds IF</t>
  </si>
  <si>
    <t>2026-05-24|AFC Eskilstuna|Vasalunds IF</t>
  </si>
  <si>
    <t>EST-02093</t>
  </si>
  <si>
    <t>AFC Eskilstuna 0 vs 0 FC Arlanda</t>
  </si>
  <si>
    <t>FC Arlanda</t>
  </si>
  <si>
    <t>2026-05-18|AFC Eskilstuna|FC Arlanda</t>
  </si>
  <si>
    <t>EST-02094</t>
  </si>
  <si>
    <t>FC Stockholm Internazionale 0 vs 2 AFC Eskilstuna</t>
  </si>
  <si>
    <t>2026-05-13|FC Stockholm Internazionale|AFC Eskilstuna</t>
  </si>
  <si>
    <t>EST-02095</t>
  </si>
  <si>
    <t>Enköpings SK 2 vs 1 AFC Eskilstuna</t>
  </si>
  <si>
    <t>2026-05-08|Enköpings SK|AFC Eskilstuna</t>
  </si>
  <si>
    <t>EST-02096</t>
  </si>
  <si>
    <t>AFC Eskilstuna 0 vs 2 FBK Karlstad</t>
  </si>
  <si>
    <t>2026-05-02|AFC Eskilstuna|FBK Karlstad</t>
  </si>
  <si>
    <t>EST-02097</t>
  </si>
  <si>
    <t>Assyriska FF 3 vs 0 Sollentuna FK</t>
  </si>
  <si>
    <t>2026-08-09|Assyriska FF|Sollentuna FK</t>
  </si>
  <si>
    <t>EST-02098</t>
  </si>
  <si>
    <t>Assyriska FF 3 vs 1 Vasalunds IF</t>
  </si>
  <si>
    <t>2026-06-26|Assyriska FF|Vasalunds IF</t>
  </si>
  <si>
    <t>EST-02099</t>
  </si>
  <si>
    <t>Assyriska FF 2 vs 2 IF Karlstad Fotboll</t>
  </si>
  <si>
    <t>IF Karlstad Fotboll</t>
  </si>
  <si>
    <t>2026-06-21|Assyriska FF|IF Karlstad Fotboll</t>
  </si>
  <si>
    <t>EST-02100</t>
  </si>
  <si>
    <t>FC Arlanda 2 vs 0 Assyriska FF</t>
  </si>
  <si>
    <t>2026-06-07|FC Arlanda|Assyriska FF</t>
  </si>
  <si>
    <t>EST-02101</t>
  </si>
  <si>
    <t>Assyriska FF 4 vs 2 Enköpings SK</t>
  </si>
  <si>
    <t>2026-06-02|Assyriska FF|Enköpings SK</t>
  </si>
  <si>
    <t>EST-02102</t>
  </si>
  <si>
    <t>IFK Stocksund 3 vs 3 Assyriska FF</t>
  </si>
  <si>
    <t>IFK Stocksund</t>
  </si>
  <si>
    <t>2026-05-23|IFK Stocksund|Assyriska FF</t>
  </si>
  <si>
    <t>EST-02103</t>
  </si>
  <si>
    <t>Gefle IF 0 vs 0 Assyriska FF</t>
  </si>
  <si>
    <t>Gefle IF</t>
  </si>
  <si>
    <t>2026-05-17|Gefle IF|Assyriska FF</t>
  </si>
  <si>
    <t>EST-02104</t>
  </si>
  <si>
    <t>Assyriska FF 1 vs 5 Umeå FC</t>
  </si>
  <si>
    <t>2026-05-14|Assyriska FF|Umeå FC</t>
  </si>
  <si>
    <t>EST-02105</t>
  </si>
  <si>
    <t>Hammarby TFF 4 vs 0 Assyriska FF</t>
  </si>
  <si>
    <t>2026-05-09|Hammarby TFF|Assyriska FF</t>
  </si>
  <si>
    <t>EST-02106</t>
  </si>
  <si>
    <t>Assyriska FF 3 vs 3 FC Järfälla</t>
  </si>
  <si>
    <t>2026-05-03|Assyriska FF|FC Järfälla</t>
  </si>
  <si>
    <t>EST-02107</t>
  </si>
  <si>
    <t>IF Karlstad Fotboll 2 vs 1 Enköpings SK</t>
  </si>
  <si>
    <t>2026-08-02|IF Karlstad Fotboll|Enköpings SK</t>
  </si>
  <si>
    <t>EST-02108</t>
  </si>
  <si>
    <t>FC Stockholm Internazionale 2 vs 0 Enköpings SK</t>
  </si>
  <si>
    <t>2026-06-27|FC Stockholm Internazionale|Enköpings SK</t>
  </si>
  <si>
    <t>EST-02109</t>
  </si>
  <si>
    <t>Enköpings SK 3 vs 1 Umeå FC</t>
  </si>
  <si>
    <t>2026-06-21|Enköpings SK|Umeå FC</t>
  </si>
  <si>
    <t>EST-02110</t>
  </si>
  <si>
    <t>Enköpings SK 1 vs 1 Vasalunds IF</t>
  </si>
  <si>
    <t>2026-06-14|Enköpings SK|Vasalunds IF</t>
  </si>
  <si>
    <t>EST-02111</t>
  </si>
  <si>
    <t>Piteå IF 0 vs 2 Enköpings SK</t>
  </si>
  <si>
    <t>2026-06-07|Piteå IF|Enköpings SK</t>
  </si>
  <si>
    <t>EST-02112</t>
  </si>
  <si>
    <t>Enköpings SK 0 vs 1 Hammarby TFF</t>
  </si>
  <si>
    <t>2026-05-23|Enköpings SK|Hammarby TFF</t>
  </si>
  <si>
    <t>EST-02113</t>
  </si>
  <si>
    <t>Enköpings SK 1 vs 0 Sollentuna FK</t>
  </si>
  <si>
    <t>2026-05-17|Enköpings SK|Sollentuna FK</t>
  </si>
  <si>
    <t>EST-02114</t>
  </si>
  <si>
    <t>FC Järfälla 0 vs 3 Enköpings SK</t>
  </si>
  <si>
    <t>2026-05-13|FC Järfälla|Enköpings SK</t>
  </si>
  <si>
    <t>EST-02115</t>
  </si>
  <si>
    <t>Gefle IF 2 vs 1 Enköpings SK</t>
  </si>
  <si>
    <t>2026-05-02|Gefle IF|Enköpings SK</t>
  </si>
  <si>
    <t>EST-02116</t>
  </si>
  <si>
    <t>Hammarby TFF 1 vs 1 FBK Karlstad</t>
  </si>
  <si>
    <t>2026-08-09|Hammarby TFF|FBK Karlstad</t>
  </si>
  <si>
    <t>EST-02117</t>
  </si>
  <si>
    <t>FBK Karlstad 0 vs 7 Hammarby TFF</t>
  </si>
  <si>
    <t>2026-06-26|FBK Karlstad|Hammarby TFF</t>
  </si>
  <si>
    <t>EST-02118</t>
  </si>
  <si>
    <t>Sollentuna FK 0 vs 2 FBK Karlstad</t>
  </si>
  <si>
    <t>2026-06-18|Sollentuna FK|FBK Karlstad</t>
  </si>
  <si>
    <t>EST-02119</t>
  </si>
  <si>
    <t>FC Stockholm Internazionale 3 vs 1 FBK Karlstad</t>
  </si>
  <si>
    <t>2026-06-14|FC Stockholm Internazionale|FBK Karlstad</t>
  </si>
  <si>
    <t>EST-02120</t>
  </si>
  <si>
    <t>FBK Karlstad 2 vs 3 IF Karlstad Fotboll</t>
  </si>
  <si>
    <t>2026-06-05|FBK Karlstad|IF Karlstad Fotboll</t>
  </si>
  <si>
    <t>EST-02121</t>
  </si>
  <si>
    <t>Karlbergs BK 1 vs 1 FBK Karlstad</t>
  </si>
  <si>
    <t>2026-05-31|Karlbergs BK|FBK Karlstad</t>
  </si>
  <si>
    <t>EST-02122</t>
  </si>
  <si>
    <t>FBK Karlstad 0 vs 0 FC Arlanda</t>
  </si>
  <si>
    <t>2026-05-23|FBK Karlstad|FC Arlanda</t>
  </si>
  <si>
    <t>EST-02123</t>
  </si>
  <si>
    <t>FBK Karlstad 1 vs 1 Umeå FC</t>
  </si>
  <si>
    <t>2026-05-17|FBK Karlstad|Umeå FC</t>
  </si>
  <si>
    <t>EST-02124</t>
  </si>
  <si>
    <t>Piteå IF 1 vs 5 FBK Karlstad</t>
  </si>
  <si>
    <t>2026-05-14|Piteå IF|FBK Karlstad</t>
  </si>
  <si>
    <t>EST-02125</t>
  </si>
  <si>
    <t>FBK Karlstad 2 vs 0 FC Järfälla</t>
  </si>
  <si>
    <t>2026-05-09|FBK Karlstad|FC Järfälla</t>
  </si>
  <si>
    <t>EST-02126</t>
  </si>
  <si>
    <t>FC Arlanda 0 vs 0 Piteå IF</t>
  </si>
  <si>
    <t>2026-08-09|FC Arlanda|Piteå IF</t>
  </si>
  <si>
    <t>EST-02127</t>
  </si>
  <si>
    <t>Hammarby TFF 5 vs 1 FC Arlanda</t>
  </si>
  <si>
    <t>2026-08-03|Hammarby TFF|FC Arlanda</t>
  </si>
  <si>
    <t>EST-02128</t>
  </si>
  <si>
    <t>FC Arlanda 1 vs 0 IF Karlstad Fotboll</t>
  </si>
  <si>
    <t>2026-06-27|FC Arlanda|IF Karlstad Fotboll</t>
  </si>
  <si>
    <t>EST-02129</t>
  </si>
  <si>
    <t>FC Arlanda 1 vs 0 IFK Stocksund</t>
  </si>
  <si>
    <t>2026-06-18|FC Arlanda|IFK Stocksund</t>
  </si>
  <si>
    <t>EST-02130</t>
  </si>
  <si>
    <t>FC Järfälla 2 vs 3 FC Arlanda</t>
  </si>
  <si>
    <t>2026-06-13|FC Järfälla|FC Arlanda</t>
  </si>
  <si>
    <t>EST-02131</t>
  </si>
  <si>
    <t>FC Arlanda 2 vs 3 Gefle IF</t>
  </si>
  <si>
    <t>2026-06-01|FC Arlanda|Gefle IF</t>
  </si>
  <si>
    <t>EST-02132</t>
  </si>
  <si>
    <t>FC Arlanda 1 vs 1 Karlbergs BK</t>
  </si>
  <si>
    <t>2026-05-13|FC Arlanda|Karlbergs BK</t>
  </si>
  <si>
    <t>EST-02133</t>
  </si>
  <si>
    <t>FC Arlanda 1 vs 1 Sollentuna FK</t>
  </si>
  <si>
    <t>2026-05-09|FC Arlanda|Sollentuna FK</t>
  </si>
  <si>
    <t>EST-02134</t>
  </si>
  <si>
    <t>Piteå IF 1 vs 2 FC Arlanda</t>
  </si>
  <si>
    <t>2026-05-03|Piteå IF|FC Arlanda</t>
  </si>
  <si>
    <t>EST-02135</t>
  </si>
  <si>
    <t>FC Järfälla 1 vs 4 IF Karlstad Fotboll</t>
  </si>
  <si>
    <t>2026-08-08|FC Järfälla|IF Karlstad Fotboll</t>
  </si>
  <si>
    <t>EST-02136</t>
  </si>
  <si>
    <t>Umeå FC 1 vs 3 FC Järfälla</t>
  </si>
  <si>
    <t>2026-06-28|Umeå FC|FC Järfälla</t>
  </si>
  <si>
    <t>EST-02137</t>
  </si>
  <si>
    <t>Hammarby TFF 1 vs 1 FC Järfälla</t>
  </si>
  <si>
    <t>2026-06-18|Hammarby TFF|FC Järfälla</t>
  </si>
  <si>
    <t>EST-02138</t>
  </si>
  <si>
    <t>FC Järfälla 1 vs 6 IFK Stocksund</t>
  </si>
  <si>
    <t>2026-06-08|FC Järfälla|IFK Stocksund</t>
  </si>
  <si>
    <t>EST-02139</t>
  </si>
  <si>
    <t>Vasalunds IF 3 vs 1 FC Järfälla</t>
  </si>
  <si>
    <t>2026-06-03|Vasalunds IF|FC Järfälla</t>
  </si>
  <si>
    <t>EST-02140</t>
  </si>
  <si>
    <t>FC Järfälla 4 vs 0 Gefle IF</t>
  </si>
  <si>
    <t>2026-05-23|FC Järfälla|Gefle IF</t>
  </si>
  <si>
    <t>EST-02141</t>
  </si>
  <si>
    <t>Karlbergs BK 1 vs 3 FC Järfälla</t>
  </si>
  <si>
    <t>2026-05-16|Karlbergs BK|FC Järfälla</t>
  </si>
  <si>
    <t>EST-02142</t>
  </si>
  <si>
    <t>Vasalunds IF 2 vs 0 FC Stockholm Internazionale</t>
  </si>
  <si>
    <t>2026-08-09|Vasalunds IF|FC Stockholm Internazionale</t>
  </si>
  <si>
    <t>EST-02143</t>
  </si>
  <si>
    <t>Gefle IF 0 vs 2 FC Stockholm Internazionale</t>
  </si>
  <si>
    <t>2026-06-18|Gefle IF|FC Stockholm Internazionale</t>
  </si>
  <si>
    <t>EST-02144</t>
  </si>
  <si>
    <t>FC Stockholm Internazionale 4 vs 1 Vasalunds IF</t>
  </si>
  <si>
    <t>2026-06-08|FC Stockholm Internazionale|Vasalunds IF</t>
  </si>
  <si>
    <t>EST-02145</t>
  </si>
  <si>
    <t>FC Stockholm Internazionale 2 vs 1 Karlbergs BK</t>
  </si>
  <si>
    <t>2026-05-23|FC Stockholm Internazionale|Karlbergs BK</t>
  </si>
  <si>
    <t>EST-02146</t>
  </si>
  <si>
    <t>Hammarby TFF 3 vs 1 FC Stockholm Internazionale</t>
  </si>
  <si>
    <t>2026-05-16|Hammarby TFF|FC Stockholm Internazionale</t>
  </si>
  <si>
    <t>EST-02147</t>
  </si>
  <si>
    <t>IFK Stocksund 1 vs 6 FC Stockholm Internazionale</t>
  </si>
  <si>
    <t>2026-05-09|IFK Stocksund|FC Stockholm Internazionale</t>
  </si>
  <si>
    <t>EST-02148</t>
  </si>
  <si>
    <t>FC Stockholm Internazionale 1 vs 1 Sollentuna FK</t>
  </si>
  <si>
    <t>2026-05-03|FC Stockholm Internazionale|Sollentuna FK</t>
  </si>
  <si>
    <t>EST-02149</t>
  </si>
  <si>
    <t>FC Arlanda 0 vs 0 FC Stockholm Internazionale</t>
  </si>
  <si>
    <t>2026-04-18|FC Arlanda|FC Stockholm Internazionale</t>
  </si>
  <si>
    <t>EST-02150</t>
  </si>
  <si>
    <t>IFK Stocksund 5 vs 0 Gefle IF</t>
  </si>
  <si>
    <t>2026-08-08|IFK Stocksund|Gefle IF</t>
  </si>
  <si>
    <t>EST-02151</t>
  </si>
  <si>
    <t>Piteå IF 0 vs 2 Gefle IF</t>
  </si>
  <si>
    <t>2026-08-01|Piteå IF|Gefle IF</t>
  </si>
  <si>
    <t>EST-02152</t>
  </si>
  <si>
    <t>Gefle IF 2 vs 1 IFK Stocksund</t>
  </si>
  <si>
    <t>2026-06-27|Gefle IF|IFK Stocksund</t>
  </si>
  <si>
    <t>EST-02153</t>
  </si>
  <si>
    <t>IF Karlstad Fotboll 2 vs 0 Gefle IF</t>
  </si>
  <si>
    <t>2026-06-13|IF Karlstad Fotboll|Gefle IF</t>
  </si>
  <si>
    <t>EST-02154</t>
  </si>
  <si>
    <t>Gefle IF 0 vs 4 Hammarby TFF</t>
  </si>
  <si>
    <t>2026-06-06|Gefle IF|Hammarby TFF</t>
  </si>
  <si>
    <t>EST-02155</t>
  </si>
  <si>
    <t>Vasalunds IF 1 vs 0 Gefle IF</t>
  </si>
  <si>
    <t>2026-05-14|Vasalunds IF|Gefle IF</t>
  </si>
  <si>
    <t>EST-02156</t>
  </si>
  <si>
    <t>Umeå FC 2 vs 2 Gefle IF</t>
  </si>
  <si>
    <t>2026-05-09|Umeå FC|Gefle IF</t>
  </si>
  <si>
    <t>EST-02157</t>
  </si>
  <si>
    <t>Karlbergs BK 0 vs 2 Hammarby TFF</t>
  </si>
  <si>
    <t>2026-06-14|Karlbergs BK|Hammarby TFF</t>
  </si>
  <si>
    <t>EST-02158</t>
  </si>
  <si>
    <t>Sollentuna FK 0 vs 2 Hammarby TFF</t>
  </si>
  <si>
    <t>2026-05-13|Sollentuna FK|Hammarby TFF</t>
  </si>
  <si>
    <t>EST-02159</t>
  </si>
  <si>
    <t>IF Karlstad Fotboll 0 vs 2 Hammarby TFF</t>
  </si>
  <si>
    <t>2026-05-02|IF Karlstad Fotboll|Hammarby TFF</t>
  </si>
  <si>
    <t>EST-02160</t>
  </si>
  <si>
    <t>IF Karlstad Fotboll 0 vs 0 Sollentuna FK</t>
  </si>
  <si>
    <t>2026-05-30|IF Karlstad Fotboll|Sollentuna FK</t>
  </si>
  <si>
    <t>EST-02161</t>
  </si>
  <si>
    <t>Umeå FC 0 vs 2 IF Karlstad Fotboll</t>
  </si>
  <si>
    <t>2026-05-24|Umeå FC|IF Karlstad Fotboll</t>
  </si>
  <si>
    <t>EST-02162</t>
  </si>
  <si>
    <t>IF Karlstad Fotboll 5 vs 0 Vasalunds IF</t>
  </si>
  <si>
    <t>2026-05-17|IF Karlstad Fotboll|Vasalunds IF</t>
  </si>
  <si>
    <t>EST-02163</t>
  </si>
  <si>
    <t>IF Karlstad Fotboll 1 vs 0 IFK Stocksund</t>
  </si>
  <si>
    <t>2026-05-14|IF Karlstad Fotboll|IFK Stocksund</t>
  </si>
  <si>
    <t>EST-02164</t>
  </si>
  <si>
    <t>Karlbergs BK 0 vs 0 IF Karlstad Fotboll</t>
  </si>
  <si>
    <t>2026-05-09|Karlbergs BK|IF Karlstad Fotboll</t>
  </si>
  <si>
    <t>EST-02165</t>
  </si>
  <si>
    <t>IFK Stocksund 0 vs 2 Karlbergs BK</t>
  </si>
  <si>
    <t>2026-08-01|IFK Stocksund|Karlbergs BK</t>
  </si>
  <si>
    <t>EST-02166</t>
  </si>
  <si>
    <t>IFK Stocksund 3 vs 3 Sollentuna FK</t>
  </si>
  <si>
    <t>2026-06-13|IFK Stocksund|Sollentuna FK</t>
  </si>
  <si>
    <t>EST-02167</t>
  </si>
  <si>
    <t>Umeå FC 2 vs 2 IFK Stocksund</t>
  </si>
  <si>
    <t>2026-05-31|Umeå FC|IFK Stocksund</t>
  </si>
  <si>
    <t>EST-02168</t>
  </si>
  <si>
    <t>IFK Stocksund 2 vs 3 Piteå IF</t>
  </si>
  <si>
    <t>2026-05-17|IFK Stocksund|Piteå IF</t>
  </si>
  <si>
    <t>EST-02169</t>
  </si>
  <si>
    <t>IFK Stocksund 2 vs 2 Vasalunds IF</t>
  </si>
  <si>
    <t>2026-05-01|IFK Stocksund|Vasalunds IF</t>
  </si>
  <si>
    <t>EST-02170</t>
  </si>
  <si>
    <t>Karlbergs BK 3 vs 1 Piteå IF</t>
  </si>
  <si>
    <t>2026-06-24|Karlbergs BK|Piteå IF</t>
  </si>
  <si>
    <t>EST-02171</t>
  </si>
  <si>
    <t>Vasalunds IF 0 vs 4 Karlbergs BK</t>
  </si>
  <si>
    <t>2026-06-18|Vasalunds IF|Karlbergs BK</t>
  </si>
  <si>
    <t>EST-02172</t>
  </si>
  <si>
    <t>Umeå FC 2 vs 1 Karlbergs BK</t>
  </si>
  <si>
    <t>2026-05-03|Umeå FC|Karlbergs BK</t>
  </si>
  <si>
    <t>EST-02173</t>
  </si>
  <si>
    <t>Umeå FC 2 vs 0 Piteå IF</t>
  </si>
  <si>
    <t>2026-06-12|Umeå FC|Piteå IF</t>
  </si>
  <si>
    <t>EST-02174</t>
  </si>
  <si>
    <t>Sollentuna FK 1 vs 1 Umeå FC</t>
  </si>
  <si>
    <t>2026-06-07|Sollentuna FK|Umeå FC</t>
  </si>
  <si>
    <t>EST-02175</t>
  </si>
  <si>
    <t>Piteå IF 2 vs 2 FC Stockholm Internazionale</t>
  </si>
  <si>
    <t>2026-05-31|Piteå IF|FC Stockholm Internazionale</t>
  </si>
  <si>
    <t>EST-02176</t>
  </si>
  <si>
    <t>Sollentuna FK 2 vs 2 Piteå IF</t>
  </si>
  <si>
    <t>2026-05-24|Sollentuna FK|Piteå IF</t>
  </si>
  <si>
    <t>EST-02177</t>
  </si>
  <si>
    <t>Vasalunds IF 1 vs 2 Piteå IF</t>
  </si>
  <si>
    <t>2026-05-10|Vasalunds IF|Piteå IF</t>
  </si>
  <si>
    <t>EST-02178</t>
  </si>
  <si>
    <t>FK Karlskrona 5 vs 0 Torns IF</t>
  </si>
  <si>
    <t>Torns IF</t>
  </si>
  <si>
    <t>2026-08-08|FK Karlskrona|Torns IF</t>
  </si>
  <si>
    <t>EST-02179</t>
  </si>
  <si>
    <t>Österlen FF 0 vs 3 FK Karlskrona</t>
  </si>
  <si>
    <t>Österlen FF</t>
  </si>
  <si>
    <t>2026-06-27|Österlen FF|FK Karlskrona</t>
  </si>
  <si>
    <t>EST-02180</t>
  </si>
  <si>
    <t>FK Karlskrona 3 vs 1 IFK Karlshamn</t>
  </si>
  <si>
    <t>IFK Karlshamn</t>
  </si>
  <si>
    <t>2026-06-18|FK Karlskrona|IFK Karlshamn</t>
  </si>
  <si>
    <t>EST-02181</t>
  </si>
  <si>
    <t>Linero IF 2 vs 4 FK Karlskrona</t>
  </si>
  <si>
    <t>Linero IF</t>
  </si>
  <si>
    <t>2026-06-14|Linero IF|FK Karlskrona</t>
  </si>
  <si>
    <t>EST-02182</t>
  </si>
  <si>
    <t>Nosaby IF 3 vs 1 FK Karlskrona</t>
  </si>
  <si>
    <t>2026-06-06|Nosaby IF|FK Karlskrona</t>
  </si>
  <si>
    <t>EST-02183</t>
  </si>
  <si>
    <t>FK Karlskrona 1 vs 1 Lilla Torg FF</t>
  </si>
  <si>
    <t>Lilla Torg FF</t>
  </si>
  <si>
    <t>2026-05-31|FK Karlskrona|Lilla Torg FF</t>
  </si>
  <si>
    <t>EST-02184</t>
  </si>
  <si>
    <t>Oskarshamns AIK 0 vs 3 FK Karlskrona</t>
  </si>
  <si>
    <t>Oskarshamns AIK</t>
  </si>
  <si>
    <t>2026-05-24|Oskarshamns AIK|FK Karlskrona</t>
  </si>
  <si>
    <t>EST-02185</t>
  </si>
  <si>
    <t>FK Karlskrona 1 vs 1 Staffanstorp United</t>
  </si>
  <si>
    <t>Staffanstorp United</t>
  </si>
  <si>
    <t>2026-05-16|FK Karlskrona|Staffanstorp United</t>
  </si>
  <si>
    <t>EST-02186</t>
  </si>
  <si>
    <t>Räppe GoIF 1 vs 2 FK Karlskrona</t>
  </si>
  <si>
    <t>Räppe GoIF</t>
  </si>
  <si>
    <t>2026-05-08|Räppe GoIF|FK Karlskrona</t>
  </si>
  <si>
    <t>EST-02187</t>
  </si>
  <si>
    <t>FK Karlskrona 1 vs 0 Sölvesborgs GoIF</t>
  </si>
  <si>
    <t>Sölvesborgs GoIF</t>
  </si>
  <si>
    <t>2026-05-01|FK Karlskrona|Sölvesborgs GoIF</t>
  </si>
  <si>
    <t>EST-02188</t>
  </si>
  <si>
    <t>Växjö Norra IF 4 vs 0 FK Karlskrona</t>
  </si>
  <si>
    <t>Växjö Norra IF</t>
  </si>
  <si>
    <t>2026-04-25|Växjö Norra IF|FK Karlskrona</t>
  </si>
  <si>
    <t>EST-02189</t>
  </si>
  <si>
    <t>Oskarshamns AIK 5 vs 0 IFK Karlshamn</t>
  </si>
  <si>
    <t>2026-08-08|Oskarshamns AIK|IFK Karlshamn</t>
  </si>
  <si>
    <t>EST-02190</t>
  </si>
  <si>
    <t>Lilla Torg FF 2 vs 3 Oskarshamns AIK</t>
  </si>
  <si>
    <t>2026-08-02|Lilla Torg FF|Oskarshamns AIK</t>
  </si>
  <si>
    <t>EST-02191</t>
  </si>
  <si>
    <t>Sölvesborgs GoIF 1 vs 0 Oskarshamns AIK</t>
  </si>
  <si>
    <t>2026-06-27|Sölvesborgs GoIF|Oskarshamns AIK</t>
  </si>
  <si>
    <t>EST-02192</t>
  </si>
  <si>
    <t>Oskarshamns AIK 2 vs 0 Växjö Norra IF</t>
  </si>
  <si>
    <t>2026-06-17|Oskarshamns AIK|Växjö Norra IF</t>
  </si>
  <si>
    <t>EST-02193</t>
  </si>
  <si>
    <t>Räppe GoIF 1 vs 0 Oskarshamns AIK</t>
  </si>
  <si>
    <t>2026-06-12|Räppe GoIF|Oskarshamns AIK</t>
  </si>
  <si>
    <t>EST-02194</t>
  </si>
  <si>
    <t>Oskarshamns AIK 1 vs 1 Österlen FF</t>
  </si>
  <si>
    <t>2026-06-07|Oskarshamns AIK|Österlen FF</t>
  </si>
  <si>
    <t>EST-02195</t>
  </si>
  <si>
    <t>IFK Trelleborg 1 vs 1 Oskarshamns AIK</t>
  </si>
  <si>
    <t>IFK Trelleborg</t>
  </si>
  <si>
    <t>2026-05-30|IFK Trelleborg|Oskarshamns AIK</t>
  </si>
  <si>
    <t>EST-02196</t>
  </si>
  <si>
    <t>IFK Karlshamn 1 vs 5 Oskarshamns AIK</t>
  </si>
  <si>
    <t>2026-05-14|IFK Karlshamn|Oskarshamns AIK</t>
  </si>
  <si>
    <t>EST-02197</t>
  </si>
  <si>
    <t>Oskarshamns AIK 6 vs 1 Torns IF</t>
  </si>
  <si>
    <t>2026-05-09|Oskarshamns AIK|Torns IF</t>
  </si>
  <si>
    <t>EST-02198</t>
  </si>
  <si>
    <t>Nosaby IF 4 vs 0 Oskarshamns AIK</t>
  </si>
  <si>
    <t>2026-05-01|Nosaby IF|Oskarshamns AIK</t>
  </si>
  <si>
    <t>EST-02199</t>
  </si>
  <si>
    <t>IFK Berga 1 vs 1 Oskarshamns AIK</t>
  </si>
  <si>
    <t>IFK Berga</t>
  </si>
  <si>
    <t>2026-04-24|IFK Berga|Oskarshamns AIK</t>
  </si>
  <si>
    <t>EST-02200</t>
  </si>
  <si>
    <t>Räppe GoIF 0 vs 3 IFK Berga</t>
  </si>
  <si>
    <t>2026-08-07|Räppe GoIF|IFK Berga</t>
  </si>
  <si>
    <t>EST-02201</t>
  </si>
  <si>
    <t>IFK Berga 3 vs 1 IFK Trelleborg</t>
  </si>
  <si>
    <t>2026-08-02|IFK Berga|IFK Trelleborg</t>
  </si>
  <si>
    <t>EST-02202</t>
  </si>
  <si>
    <t>IFK Berga 3 vs 1 Växjö Norra IF</t>
  </si>
  <si>
    <t>2026-06-26|IFK Berga|Växjö Norra IF</t>
  </si>
  <si>
    <t>EST-02203</t>
  </si>
  <si>
    <t>IFK Trelleborg 2 vs 1 IFK Berga</t>
  </si>
  <si>
    <t>2026-06-17|IFK Trelleborg|IFK Berga</t>
  </si>
  <si>
    <t>EST-02204</t>
  </si>
  <si>
    <t>IFK Berga 4 vs 1 Torns IF</t>
  </si>
  <si>
    <t>2026-06-13|IFK Berga|Torns IF</t>
  </si>
  <si>
    <t>EST-02205</t>
  </si>
  <si>
    <t>Linero IF 1 vs 0 IFK Berga</t>
  </si>
  <si>
    <t>2026-06-06|Linero IF|IFK Berga</t>
  </si>
  <si>
    <t>EST-02206</t>
  </si>
  <si>
    <t>IFK Berga 3 vs 2 Sölvesborgs GoIF</t>
  </si>
  <si>
    <t>2026-05-29|IFK Berga|Sölvesborgs GoIF</t>
  </si>
  <si>
    <t>EST-02207</t>
  </si>
  <si>
    <t>Lilla Torg FF 2 vs 1 IFK Berga</t>
  </si>
  <si>
    <t>2026-05-24|Lilla Torg FF|IFK Berga</t>
  </si>
  <si>
    <t>EST-02208</t>
  </si>
  <si>
    <t>IFK Berga 6 vs 0 Räppe GoIF</t>
  </si>
  <si>
    <t>2026-05-14|IFK Berga|Räppe GoIF</t>
  </si>
  <si>
    <t>EST-02209</t>
  </si>
  <si>
    <t>Österlen FF 1 vs 2 IFK Berga</t>
  </si>
  <si>
    <t>2026-05-09|Österlen FF|IFK Berga</t>
  </si>
  <si>
    <t>EST-02210</t>
  </si>
  <si>
    <t>Växjö Norra IF 1 vs 1 IFK Berga</t>
  </si>
  <si>
    <t>2026-05-01|Växjö Norra IF|IFK Berga</t>
  </si>
  <si>
    <t>EST-02211</t>
  </si>
  <si>
    <t>IFK Trelleborg 4 vs 0 Växjö Norra IF</t>
  </si>
  <si>
    <t>2026-08-09|IFK Trelleborg|Växjö Norra IF</t>
  </si>
  <si>
    <t>EST-02212</t>
  </si>
  <si>
    <t>Växjö Norra IF 1 vs 1 IFK Trelleborg</t>
  </si>
  <si>
    <t>2026-06-13|Växjö Norra IF|IFK Trelleborg</t>
  </si>
  <si>
    <t>EST-02213</t>
  </si>
  <si>
    <t>Räppe GoIF 0 vs 1 IFK Trelleborg</t>
  </si>
  <si>
    <t>2026-06-06|Räppe GoIF|IFK Trelleborg</t>
  </si>
  <si>
    <t>EST-02214</t>
  </si>
  <si>
    <t>Linero IF 2 vs 1 IFK Trelleborg</t>
  </si>
  <si>
    <t>2026-05-22|Linero IF|IFK Trelleborg</t>
  </si>
  <si>
    <t>EST-02215</t>
  </si>
  <si>
    <t>IFK Trelleborg 1 vs 1 Österlen FF</t>
  </si>
  <si>
    <t>2026-05-16|IFK Trelleborg|Österlen FF</t>
  </si>
  <si>
    <t>EST-02216</t>
  </si>
  <si>
    <t>Sölvesborgs GoIF 0 vs 1 IFK Trelleborg</t>
  </si>
  <si>
    <t>2026-05-10|Sölvesborgs GoIF|IFK Trelleborg</t>
  </si>
  <si>
    <t>EST-02217</t>
  </si>
  <si>
    <t>IFK Trelleborg 5 vs 1 Torns IF</t>
  </si>
  <si>
    <t>2026-05-04|IFK Trelleborg|Torns IF</t>
  </si>
  <si>
    <t>EST-02218</t>
  </si>
  <si>
    <t>IFK Trelleborg 2 vs 1 IFK Karlshamn</t>
  </si>
  <si>
    <t>2026-04-25|IFK Trelleborg|IFK Karlshamn</t>
  </si>
  <si>
    <t>EST-02219</t>
  </si>
  <si>
    <t>Lilla Torg FF 1 vs 0 IFK Trelleborg</t>
  </si>
  <si>
    <t>2026-04-17|Lilla Torg FF|IFK Trelleborg</t>
  </si>
  <si>
    <t>EST-02220</t>
  </si>
  <si>
    <t>Nosaby IF 4 vs 0 Linero IF</t>
  </si>
  <si>
    <t>2026-08-08|Nosaby IF|Linero IF</t>
  </si>
  <si>
    <t>EST-02221</t>
  </si>
  <si>
    <t>Linero IF 0 vs 2 Österlen FF</t>
  </si>
  <si>
    <t>2026-08-01|Linero IF|Österlen FF</t>
  </si>
  <si>
    <t>EST-02222</t>
  </si>
  <si>
    <t>Linero IF 3 vs 1 IFK Karlshamn</t>
  </si>
  <si>
    <t>2026-06-28|Linero IF|IFK Karlshamn</t>
  </si>
  <si>
    <t>EST-02223</t>
  </si>
  <si>
    <t>Staffanstorp United 3 vs 3 Linero IF</t>
  </si>
  <si>
    <t>2026-06-18|Staffanstorp United|Linero IF</t>
  </si>
  <si>
    <t>EST-02224</t>
  </si>
  <si>
    <t>Torns IF 2 vs 1 Linero IF</t>
  </si>
  <si>
    <t>2026-05-29|Torns IF|Linero IF</t>
  </si>
  <si>
    <t>EST-02225</t>
  </si>
  <si>
    <t>Växjö Norra IF 2 vs 1 Linero IF</t>
  </si>
  <si>
    <t>2026-05-14|Växjö Norra IF|Linero IF</t>
  </si>
  <si>
    <t>EST-02226</t>
  </si>
  <si>
    <t>Linero IF 3 vs 0 Nosaby IF</t>
  </si>
  <si>
    <t>2026-05-10|Linero IF|Nosaby IF</t>
  </si>
  <si>
    <t>EST-02227</t>
  </si>
  <si>
    <t>IFK Karlshamn 1 vs 2 Linero IF</t>
  </si>
  <si>
    <t>2026-05-02|IFK Karlshamn|Linero IF</t>
  </si>
  <si>
    <t>EST-02228</t>
  </si>
  <si>
    <t>Linero IF 4 vs 0 Lilla Torg FF</t>
  </si>
  <si>
    <t>2026-04-25|Linero IF|Lilla Torg FF</t>
  </si>
  <si>
    <t>EST-02229</t>
  </si>
  <si>
    <t>Österlen FF 4 vs 1 Sölvesborgs GoIF</t>
  </si>
  <si>
    <t>2026-08-07|Österlen FF|Sölvesborgs GoIF</t>
  </si>
  <si>
    <t>EST-02230</t>
  </si>
  <si>
    <t>Torns IF 2 vs 3 Österlen FF</t>
  </si>
  <si>
    <t>2026-06-17|Torns IF|Österlen FF</t>
  </si>
  <si>
    <t>EST-02231</t>
  </si>
  <si>
    <t>Österlen FF 2 vs 1 Nosaby IF</t>
  </si>
  <si>
    <t>2026-06-12|Österlen FF|Nosaby IF</t>
  </si>
  <si>
    <t>EST-02232</t>
  </si>
  <si>
    <t>Österlen FF 3 vs 1 Staffanstorp United</t>
  </si>
  <si>
    <t>2026-05-30|Österlen FF|Staffanstorp United</t>
  </si>
  <si>
    <t>EST-02233</t>
  </si>
  <si>
    <t>Sölvesborgs GoIF 2 vs 1 Österlen FF</t>
  </si>
  <si>
    <t>2026-05-22|Sölvesborgs GoIF|Österlen FF</t>
  </si>
  <si>
    <t>EST-02234</t>
  </si>
  <si>
    <t>Lilla Torg FF 0 vs 0 Österlen FF</t>
  </si>
  <si>
    <t>2026-04-30|Lilla Torg FF|Österlen FF</t>
  </si>
  <si>
    <t>EST-02235</t>
  </si>
  <si>
    <t>Österlen FF 2 vs 1 Räppe GoIF</t>
  </si>
  <si>
    <t>2026-04-26|Österlen FF|Räppe GoIF</t>
  </si>
  <si>
    <t>EST-02236</t>
  </si>
  <si>
    <t>Nosaby IF 3 vs 3 Lilla Torg FF</t>
  </si>
  <si>
    <t>2026-06-17|Nosaby IF|Lilla Torg FF</t>
  </si>
  <si>
    <t>EST-02237</t>
  </si>
  <si>
    <t>Nosaby IF 2 vs 2 IFK Karlshamn</t>
  </si>
  <si>
    <t>2026-05-30|Nosaby IF|IFK Karlshamn</t>
  </si>
  <si>
    <t>EST-02238</t>
  </si>
  <si>
    <t>Staffanstorp United 5 vs 0 Nosaby IF</t>
  </si>
  <si>
    <t>2026-05-22|Staffanstorp United|Nosaby IF</t>
  </si>
  <si>
    <t>EST-02239</t>
  </si>
  <si>
    <t>Nosaby IF 2 vs 0 Sölvesborgs GoIF</t>
  </si>
  <si>
    <t>2026-05-16|Nosaby IF|Sölvesborgs GoIF</t>
  </si>
  <si>
    <t>EST-02240</t>
  </si>
  <si>
    <t>Torns IF 1 vs 3 Nosaby IF</t>
  </si>
  <si>
    <t>2026-04-24|Torns IF|Nosaby IF</t>
  </si>
  <si>
    <t>EST-02241</t>
  </si>
  <si>
    <t>Nosaby IF 0 vs 0 Växjö Norra IF</t>
  </si>
  <si>
    <t>2026-04-18|Nosaby IF|Växjö Norra IF</t>
  </si>
  <si>
    <t>EST-02242</t>
  </si>
  <si>
    <t>Staffanstorp United 2 vs 2 Växjö Norra IF</t>
  </si>
  <si>
    <t>2026-06-07|Staffanstorp United|Växjö Norra IF</t>
  </si>
  <si>
    <t>EST-02243</t>
  </si>
  <si>
    <t>Växjö Norra IF 0 vs 2 Räppe GoIF</t>
  </si>
  <si>
    <t>2026-05-29|Växjö Norra IF|Räppe GoIF</t>
  </si>
  <si>
    <t>EST-02244</t>
  </si>
  <si>
    <t>IFK Karlshamn 1 vs 2 Växjö Norra IF</t>
  </si>
  <si>
    <t>2026-05-22|IFK Karlshamn|Växjö Norra IF</t>
  </si>
  <si>
    <t>EST-02245</t>
  </si>
  <si>
    <t>Lilla Torg FF 1 vs 1 Växjö Norra IF</t>
  </si>
  <si>
    <t>2026-05-09|Lilla Torg FF|Växjö Norra IF</t>
  </si>
  <si>
    <t>EST-02246</t>
  </si>
  <si>
    <t>Staffanstorp United 1 vs 1 Lilla Torg FF</t>
  </si>
  <si>
    <t>2026-08-08|Staffanstorp United|Lilla Torg FF</t>
  </si>
  <si>
    <t>EST-02247</t>
  </si>
  <si>
    <t>Torns IF 2 vs 0 Staffanstorp United</t>
  </si>
  <si>
    <t>2026-08-03|Torns IF|Staffanstorp United</t>
  </si>
  <si>
    <t>EST-02248</t>
  </si>
  <si>
    <t>Räppe GoIF 1 vs 4 Staffanstorp United</t>
  </si>
  <si>
    <t>2026-06-27|Räppe GoIF|Staffanstorp United</t>
  </si>
  <si>
    <t>EST-02249</t>
  </si>
  <si>
    <t>Lilla Torg FF 4 vs 0 Torns IF</t>
  </si>
  <si>
    <t>2026-06-24|Lilla Torg FF|Torns IF</t>
  </si>
  <si>
    <t>EST-02250</t>
  </si>
  <si>
    <t>Sölvesborgs GoIF 1 vs 1 Räppe GoIF</t>
  </si>
  <si>
    <t>2026-06-18|Sölvesborgs GoIF|Räppe GoIF</t>
  </si>
  <si>
    <t>EST-02251</t>
  </si>
  <si>
    <t>IFK Karlshamn 0 vs 2 Sölvesborgs GoIF</t>
  </si>
  <si>
    <t>2026-06-12|IFK Karlshamn|Sölvesborgs GoIF</t>
  </si>
  <si>
    <t>EST-02252</t>
  </si>
  <si>
    <t>Lilla Torg FF 0 vs 0 Staffanstorp United</t>
  </si>
  <si>
    <t>2026-06-12|Lilla Torg FF|Staffanstorp United</t>
  </si>
  <si>
    <t>EST-02253</t>
  </si>
  <si>
    <t>IFK Karlshamn 2 vs 0 Lilla Torg FF</t>
  </si>
  <si>
    <t>2026-06-07|IFK Karlshamn|Lilla Torg FF</t>
  </si>
  <si>
    <t>EST-02254</t>
  </si>
  <si>
    <t>Sölvesborgs GoIF 1 vs 3 Torns IF</t>
  </si>
  <si>
    <t>2026-06-04|Sölvesborgs GoIF|Torns IF</t>
  </si>
  <si>
    <t>EST-02255</t>
  </si>
  <si>
    <t>Räppe GoIF 1 vs 2 Torns IF</t>
  </si>
  <si>
    <t>2026-05-23|Räppe GoIF|Torns IF</t>
  </si>
  <si>
    <t>EST-02256</t>
  </si>
  <si>
    <t>Torns IF 0 vs 2 Lilla Torg FF</t>
  </si>
  <si>
    <t>2026-05-13|Torns IF|Lilla Torg FF</t>
  </si>
  <si>
    <t>EST-02257</t>
  </si>
  <si>
    <t>Staffanstorp United 1 vs 2 IFK Karlshamn</t>
  </si>
  <si>
    <t>2026-05-10|Staffanstorp United|IFK Karlshamn</t>
  </si>
  <si>
    <t>EST-02258</t>
  </si>
  <si>
    <t>Staffanstorp United 2 vs 1 Räppe GoIF</t>
  </si>
  <si>
    <t>2026-05-02|Staffanstorp United|Räppe GoIF</t>
  </si>
  <si>
    <t>EST-02259</t>
  </si>
  <si>
    <t>Sölvesborgs GoIF 2 vs 3 Staffanstorp United</t>
  </si>
  <si>
    <t>2026-04-25|Sölvesborgs GoIF|Staffanstorp United</t>
  </si>
  <si>
    <t>EST-02260</t>
  </si>
  <si>
    <t>Oskarshamns AIK 4 vs 2 Sölvesborgs GoIF</t>
  </si>
  <si>
    <t>2026-04-18|Oskarshamns AIK|Sölvesborgs GoIF</t>
  </si>
  <si>
    <t>EST-02261</t>
  </si>
  <si>
    <t>IFK Karlshamn 2 vs 2 Räppe GoIF</t>
  </si>
  <si>
    <t>2026-07-31|IFK Karlshamn|Räppe GoIF</t>
  </si>
  <si>
    <t>SWE - 2ª D Norra Götaland</t>
  </si>
  <si>
    <t>2ª D Norra Götaland</t>
  </si>
  <si>
    <t>EST-02262</t>
  </si>
  <si>
    <t>Motala AIF 0 vs 1 Husqvarna FF</t>
  </si>
  <si>
    <t>Motala AIF</t>
  </si>
  <si>
    <t>Husqvarna FF</t>
  </si>
  <si>
    <t>2026-08-09|Motala AIF|Husqvarna FF</t>
  </si>
  <si>
    <t>EST-02263</t>
  </si>
  <si>
    <t>Husqvarna FF 0 vs 0 Lidköpings IF</t>
  </si>
  <si>
    <t>Lidköpings IF</t>
  </si>
  <si>
    <t>2026-07-01|Husqvarna FF|Lidköpings IF</t>
  </si>
  <si>
    <t>EST-02264</t>
  </si>
  <si>
    <t>Husqvarna FF 3 vs 1 IF Karlstad B</t>
  </si>
  <si>
    <t>IF Karlstad B</t>
  </si>
  <si>
    <t>2026-06-27|Husqvarna FF|IF Karlstad B</t>
  </si>
  <si>
    <t>EST-02265</t>
  </si>
  <si>
    <t>Lidköpings IF 1 vs 2 Husqvarna FF</t>
  </si>
  <si>
    <t>2026-06-18|Lidköpings IF|Husqvarna FF</t>
  </si>
  <si>
    <t>EST-02266</t>
  </si>
  <si>
    <t>Husqvarna FF 3 vs 1 Vänersborgs FK</t>
  </si>
  <si>
    <t>Vänersborgs FK</t>
  </si>
  <si>
    <t>2026-06-14|Husqvarna FF|Vänersborgs FK</t>
  </si>
  <si>
    <t>EST-02267</t>
  </si>
  <si>
    <t>Grebbestads IF 1 vs 2 Husqvarna FF</t>
  </si>
  <si>
    <t>Grebbestads IF</t>
  </si>
  <si>
    <t>2026-06-05|Grebbestads IF|Husqvarna FF</t>
  </si>
  <si>
    <t>EST-02268</t>
  </si>
  <si>
    <t>Husqvarna FF 3 vs 1 Stenungsunds IF</t>
  </si>
  <si>
    <t>Stenungsunds IF</t>
  </si>
  <si>
    <t>2026-05-31|Husqvarna FF|Stenungsunds IF</t>
  </si>
  <si>
    <t>EST-02269</t>
  </si>
  <si>
    <t>Vänersborgs IF 0 vs 4 Husqvarna FF</t>
  </si>
  <si>
    <t>Vänersborgs IF</t>
  </si>
  <si>
    <t>2026-05-22|Vänersborgs IF|Husqvarna FF</t>
  </si>
  <si>
    <t>EST-02270</t>
  </si>
  <si>
    <t>Husqvarna FF 1 vs 1 IK Tord</t>
  </si>
  <si>
    <t>IK Tord</t>
  </si>
  <si>
    <t>2026-05-15|Husqvarna FF|IK Tord</t>
  </si>
  <si>
    <t>EST-02271</t>
  </si>
  <si>
    <t>Skara FC 1 vs 1 Husqvarna FF</t>
  </si>
  <si>
    <t>Skara FC</t>
  </si>
  <si>
    <t>2026-05-09|Skara FC|Husqvarna FF</t>
  </si>
  <si>
    <t>EST-02272</t>
  </si>
  <si>
    <t>Husqvarna FF 3 vs 1 IFK Kumla</t>
  </si>
  <si>
    <t>IFK Kumla</t>
  </si>
  <si>
    <t>2026-05-01|Husqvarna FF|IFK Kumla</t>
  </si>
  <si>
    <t>EST-02273</t>
  </si>
  <si>
    <t>IF Karlstad B 0 vs 2 Husqvarna FF</t>
  </si>
  <si>
    <t>2026-04-25|IF Karlstad B|Husqvarna FF</t>
  </si>
  <si>
    <t>EST-02274</t>
  </si>
  <si>
    <t>Skara FC 4 vs 0 Vänersborgs FK</t>
  </si>
  <si>
    <t>2026-08-07|Skara FC|Vänersborgs FK</t>
  </si>
  <si>
    <t>EST-02275</t>
  </si>
  <si>
    <t>Stenungsunds IF 1 vs 1 Skara FC</t>
  </si>
  <si>
    <t>2026-07-31|Stenungsunds IF|Skara FC</t>
  </si>
  <si>
    <t>EST-02276</t>
  </si>
  <si>
    <t>Skara FC 2 vs 0 Herrestads AIF</t>
  </si>
  <si>
    <t>Herrestads AIF</t>
  </si>
  <si>
    <t>2026-06-26|Skara FC|Herrestads AIF</t>
  </si>
  <si>
    <t>EST-02277</t>
  </si>
  <si>
    <t>Ahlafors IF 1 vs 1 Skara FC</t>
  </si>
  <si>
    <t>Ahlafors IF</t>
  </si>
  <si>
    <t>2026-06-18|Ahlafors IF|Skara FC</t>
  </si>
  <si>
    <t>EST-02278</t>
  </si>
  <si>
    <t>Skara FC 4 vs 2 Lidköpings IF</t>
  </si>
  <si>
    <t>2026-06-13|Skara FC|Lidköpings IF</t>
  </si>
  <si>
    <t>EST-02279</t>
  </si>
  <si>
    <t>Vänersborgs FK 1 vs 3 Skara FC</t>
  </si>
  <si>
    <t>2026-06-05|Vänersborgs FK|Skara FC</t>
  </si>
  <si>
    <t>EST-02280</t>
  </si>
  <si>
    <t>Skara FC 1 vs 0 IFK Skövde FK</t>
  </si>
  <si>
    <t>IFK Skövde FK</t>
  </si>
  <si>
    <t>2026-05-29|Skara FC|IFK Skövde FK</t>
  </si>
  <si>
    <t>EST-02281</t>
  </si>
  <si>
    <t>IK Tord 1 vs 2 Skara FC</t>
  </si>
  <si>
    <t>2026-05-21|IK Tord|Skara FC</t>
  </si>
  <si>
    <t>EST-02282</t>
  </si>
  <si>
    <t>IFK Kumla 0 vs 2 Skara FC</t>
  </si>
  <si>
    <t>2026-05-14|IFK Kumla|Skara FC</t>
  </si>
  <si>
    <t>EST-02283</t>
  </si>
  <si>
    <t>Skara FC 3 vs 1 Grebbestads IF</t>
  </si>
  <si>
    <t>2026-05-01|Skara FC|Grebbestads IF</t>
  </si>
  <si>
    <t>EST-02284</t>
  </si>
  <si>
    <t>Vänersborgs IF 1 vs 2 Skara FC</t>
  </si>
  <si>
    <t>2026-04-24|Vänersborgs IF|Skara FC</t>
  </si>
  <si>
    <t>EST-02285</t>
  </si>
  <si>
    <t>Grebbestads IF 1 vs 1 IFK Skövde FK</t>
  </si>
  <si>
    <t>2026-08-08|Grebbestads IF|IFK Skövde FK</t>
  </si>
  <si>
    <t>EST-02286</t>
  </si>
  <si>
    <t>IFK Skövde FK 0 vs 0 Ahlafors IF</t>
  </si>
  <si>
    <t>2026-07-31|IFK Skövde FK|Ahlafors IF</t>
  </si>
  <si>
    <t>EST-02287</t>
  </si>
  <si>
    <t>IFK Skövde FK 1 vs 2 Lidköpings IF</t>
  </si>
  <si>
    <t>2026-06-25|IFK Skövde FK|Lidköpings IF</t>
  </si>
  <si>
    <t>EST-02288</t>
  </si>
  <si>
    <t>Herrestads AIF 1 vs 2 IFK Skövde FK</t>
  </si>
  <si>
    <t>2026-06-18|Herrestads AIF|IFK Skövde FK</t>
  </si>
  <si>
    <t>EST-02289</t>
  </si>
  <si>
    <t>IFK Skövde FK 0 vs 4 Grebbestads IF</t>
  </si>
  <si>
    <t>2026-06-12|IFK Skövde FK|Grebbestads IF</t>
  </si>
  <si>
    <t>EST-02290</t>
  </si>
  <si>
    <t>IF Karlstad B 0 vs 2 IFK Skövde FK</t>
  </si>
  <si>
    <t>2026-06-07|IF Karlstad B|IFK Skövde FK</t>
  </si>
  <si>
    <t>EST-02291</t>
  </si>
  <si>
    <t>IFK Skövde FK 2 vs 1 IFK Kumla</t>
  </si>
  <si>
    <t>2026-05-22|IFK Skövde FK|IFK Kumla</t>
  </si>
  <si>
    <t>EST-02292</t>
  </si>
  <si>
    <t>IFK Skövde FK 6 vs 2 Vänersborgs IF</t>
  </si>
  <si>
    <t>2026-05-15|IFK Skövde FK|Vänersborgs IF</t>
  </si>
  <si>
    <t>EST-02293</t>
  </si>
  <si>
    <t>Motala AIF 0 vs 4 IFK Skövde FK</t>
  </si>
  <si>
    <t>2026-05-09|Motala AIF|IFK Skövde FK</t>
  </si>
  <si>
    <t>EST-02294</t>
  </si>
  <si>
    <t>Ahlafors IF 2 vs 3 IFK Skövde FK</t>
  </si>
  <si>
    <t>2026-05-01|Ahlafors IF|IFK Skövde FK</t>
  </si>
  <si>
    <t>EST-02295</t>
  </si>
  <si>
    <t>IFK Skövde FK 2 vs 0 Stenungsunds IF</t>
  </si>
  <si>
    <t>2026-04-25|IFK Skövde FK|Stenungsunds IF</t>
  </si>
  <si>
    <t>EST-02296</t>
  </si>
  <si>
    <t>IF Karlstad B 1 vs 2 Grebbestads IF</t>
  </si>
  <si>
    <t>2026-07-31|IF Karlstad B|Grebbestads IF</t>
  </si>
  <si>
    <t>EST-02297</t>
  </si>
  <si>
    <t>Grebbestads IF 2 vs 1 IFK Kumla</t>
  </si>
  <si>
    <t>2026-06-24|Grebbestads IF|IFK Kumla</t>
  </si>
  <si>
    <t>EST-02298</t>
  </si>
  <si>
    <t>Grebbestads IF 4 vs 3 Vänersborgs IF</t>
  </si>
  <si>
    <t>2026-06-18|Grebbestads IF|Vänersborgs IF</t>
  </si>
  <si>
    <t>EST-02299</t>
  </si>
  <si>
    <t>Vänersborgs FK 2 vs 3 Grebbestads IF</t>
  </si>
  <si>
    <t>2026-05-29|Vänersborgs FK|Grebbestads IF</t>
  </si>
  <si>
    <t>EST-02300</t>
  </si>
  <si>
    <t>Grebbestads IF 2 vs 0 Motala AIF</t>
  </si>
  <si>
    <t>2026-05-23|Grebbestads IF|Motala AIF</t>
  </si>
  <si>
    <t>EST-02301</t>
  </si>
  <si>
    <t>Lidköpings IF 1 vs 3 Grebbestads IF</t>
  </si>
  <si>
    <t>2026-05-14|Lidköpings IF|Grebbestads IF</t>
  </si>
  <si>
    <t>EST-02302</t>
  </si>
  <si>
    <t>Grebbestads IF 0 vs 2 Ahlafors IF</t>
  </si>
  <si>
    <t>2026-05-09|Grebbestads IF|Ahlafors IF</t>
  </si>
  <si>
    <t>EST-02303</t>
  </si>
  <si>
    <t>Grebbestads IF 3 vs 0 IK Tord</t>
  </si>
  <si>
    <t>2026-04-25|Grebbestads IF|IK Tord</t>
  </si>
  <si>
    <t>EST-02304</t>
  </si>
  <si>
    <t>Ahlafors IF 2 vs 0 IF Karlstad B</t>
  </si>
  <si>
    <t>2026-08-08|Ahlafors IF|IF Karlstad B</t>
  </si>
  <si>
    <t>EST-02305</t>
  </si>
  <si>
    <t>IK Tord 2 vs 2 Ahlafors IF</t>
  </si>
  <si>
    <t>2026-06-27|IK Tord|Ahlafors IF</t>
  </si>
  <si>
    <t>EST-02306</t>
  </si>
  <si>
    <t>Stenungsunds IF 0 vs 4 Ahlafors IF</t>
  </si>
  <si>
    <t>2026-06-12|Stenungsunds IF|Ahlafors IF</t>
  </si>
  <si>
    <t>EST-02307</t>
  </si>
  <si>
    <t>IFK Kumla 1 vs 1 Ahlafors IF</t>
  </si>
  <si>
    <t>2026-06-07|IFK Kumla|Ahlafors IF</t>
  </si>
  <si>
    <t>EST-02308</t>
  </si>
  <si>
    <t>Ahlafors IF 1 vs 2 IK Tord</t>
  </si>
  <si>
    <t>2026-05-30|Ahlafors IF|IK Tord</t>
  </si>
  <si>
    <t>EST-02309</t>
  </si>
  <si>
    <t>IF Karlstad B 1 vs 4 Ahlafors IF</t>
  </si>
  <si>
    <t>2026-05-23|IF Karlstad B|Ahlafors IF</t>
  </si>
  <si>
    <t>EST-02310</t>
  </si>
  <si>
    <t>Ahlafors IF 5 vs 0 Herrestads AIF</t>
  </si>
  <si>
    <t>2026-05-13|Ahlafors IF|Herrestads AIF</t>
  </si>
  <si>
    <t>EST-02311</t>
  </si>
  <si>
    <t>Motala AIF 3 vs 2 Ahlafors IF</t>
  </si>
  <si>
    <t>2026-04-26|Motala AIF|Ahlafors IF</t>
  </si>
  <si>
    <t>EST-02312</t>
  </si>
  <si>
    <t>Herrestads AIF 3 vs 2 IK Tord</t>
  </si>
  <si>
    <t>2026-08-09|Herrestads AIF|IK Tord</t>
  </si>
  <si>
    <t>EST-02313</t>
  </si>
  <si>
    <t>Vänersborgs FK 2 vs 4 Herrestads AIF</t>
  </si>
  <si>
    <t>2026-07-31|Vänersborgs FK|Herrestads AIF</t>
  </si>
  <si>
    <t>EST-02314</t>
  </si>
  <si>
    <t>Vänersborgs IF 2 vs 2 Herrestads AIF</t>
  </si>
  <si>
    <t>2026-06-15|Vänersborgs IF|Herrestads AIF</t>
  </si>
  <si>
    <t>EST-02315</t>
  </si>
  <si>
    <t>Herrestads AIF 1 vs 0 Motala AIF</t>
  </si>
  <si>
    <t>2026-06-07|Herrestads AIF|Motala AIF</t>
  </si>
  <si>
    <t>EST-02316</t>
  </si>
  <si>
    <t>IFK Kumla 1 vs 2 Herrestads AIF</t>
  </si>
  <si>
    <t>2026-05-30|IFK Kumla|Herrestads AIF</t>
  </si>
  <si>
    <t>EST-02317</t>
  </si>
  <si>
    <t>Herrestads AIF 1 vs 1 Vänersborgs FK</t>
  </si>
  <si>
    <t>2026-05-22|Herrestads AIF|Vänersborgs FK</t>
  </si>
  <si>
    <t>EST-02318</t>
  </si>
  <si>
    <t>Herrestads AIF 4 vs 0 Stenungsunds IF</t>
  </si>
  <si>
    <t>2026-05-08|Herrestads AIF|Stenungsunds IF</t>
  </si>
  <si>
    <t>EST-02319</t>
  </si>
  <si>
    <t>IK Tord 2 vs 2 Herrestads AIF</t>
  </si>
  <si>
    <t>2026-05-01|IK Tord|Herrestads AIF</t>
  </si>
  <si>
    <t>EST-02320</t>
  </si>
  <si>
    <t>Herrestads AIF 3 vs 1 Lidköpings IF</t>
  </si>
  <si>
    <t>2026-04-26|Herrestads AIF|Lidköpings IF</t>
  </si>
  <si>
    <t>EST-02321</t>
  </si>
  <si>
    <t>Lidköpings IF 1 vs 2 Stenungsunds IF</t>
  </si>
  <si>
    <t>2026-08-08|Lidköpings IF|Stenungsunds IF</t>
  </si>
  <si>
    <t>EST-02322</t>
  </si>
  <si>
    <t>Vänersborgs IF 1 vs 0 Stenungsunds IF</t>
  </si>
  <si>
    <t>2026-06-26|Vänersborgs IF|Stenungsunds IF</t>
  </si>
  <si>
    <t>EST-02323</t>
  </si>
  <si>
    <t>Vänersborgs FK 2 vs 4 Stenungsunds IF</t>
  </si>
  <si>
    <t>2026-06-18|Vänersborgs FK|Stenungsunds IF</t>
  </si>
  <si>
    <t>EST-02324</t>
  </si>
  <si>
    <t>Stenungsunds IF 5 vs 0 Vänersborgs IF</t>
  </si>
  <si>
    <t>2026-06-04|Stenungsunds IF|Vänersborgs IF</t>
  </si>
  <si>
    <t>EST-02325</t>
  </si>
  <si>
    <t>Stenungsunds IF 6 vs 0 Lidköpings IF</t>
  </si>
  <si>
    <t>2026-05-23|Stenungsunds IF|Lidköpings IF</t>
  </si>
  <si>
    <t>EST-02326</t>
  </si>
  <si>
    <t>Stenungsunds IF 1 vs 1 Motala AIF</t>
  </si>
  <si>
    <t>2026-05-17|Stenungsunds IF|Motala AIF</t>
  </si>
  <si>
    <t>EST-02327</t>
  </si>
  <si>
    <t>Stenungsunds IF 2 vs 0 IF Karlstad B</t>
  </si>
  <si>
    <t>2026-05-03|Stenungsunds IF|IF Karlstad B</t>
  </si>
  <si>
    <t>EST-02328</t>
  </si>
  <si>
    <t>Vänersborgs IF 3 vs 3 Motala AIF</t>
  </si>
  <si>
    <t>2026-08-01|Vänersborgs IF|Motala AIF</t>
  </si>
  <si>
    <t>EST-02329</t>
  </si>
  <si>
    <t>Motala AIF 0 vs 1 Vänersborgs FK</t>
  </si>
  <si>
    <t>2026-06-27|Motala AIF|Vänersborgs FK</t>
  </si>
  <si>
    <t>EST-02330</t>
  </si>
  <si>
    <t>IF Karlstad B 1 vs 3 Motala AIF</t>
  </si>
  <si>
    <t>2026-06-21|IF Karlstad B|Motala AIF</t>
  </si>
  <si>
    <t>EST-02331</t>
  </si>
  <si>
    <t>Motala AIF 0 vs 0 IFK Kumla</t>
  </si>
  <si>
    <t>2026-06-11|Motala AIF|IFK Kumla</t>
  </si>
  <si>
    <t>EST-02332</t>
  </si>
  <si>
    <t>Motala AIF 2 vs 0 Vänersborgs IF</t>
  </si>
  <si>
    <t>2026-05-31|Motala AIF|Vänersborgs IF</t>
  </si>
  <si>
    <t>EST-02333</t>
  </si>
  <si>
    <t>Lidköpings IF 0 vs 3 Motala AIF</t>
  </si>
  <si>
    <t>2026-05-01|Lidköpings IF|Motala AIF</t>
  </si>
  <si>
    <t>EST-02334</t>
  </si>
  <si>
    <t>IFK Kumla 2 vs 1 Vänersborgs IF</t>
  </si>
  <si>
    <t>2026-08-08|IFK Kumla|Vänersborgs IF</t>
  </si>
  <si>
    <t>EST-02335</t>
  </si>
  <si>
    <t>IK Tord 2 vs 0 IFK Kumla</t>
  </si>
  <si>
    <t>2026-07-31|IK Tord|IFK Kumla</t>
  </si>
  <si>
    <t>EST-02336</t>
  </si>
  <si>
    <t>IFK Kumla 1 vs 0 IK Tord</t>
  </si>
  <si>
    <t>2026-06-18|IFK Kumla|IK Tord</t>
  </si>
  <si>
    <t>EST-02337</t>
  </si>
  <si>
    <t>IK Tord 1 vs 1 IF Karlstad B</t>
  </si>
  <si>
    <t>2026-06-13|IK Tord|IF Karlstad B</t>
  </si>
  <si>
    <t>EST-02338</t>
  </si>
  <si>
    <t>IK Tord 0 vs 1 Lidköpings IF</t>
  </si>
  <si>
    <t>2026-06-06|IK Tord|Lidköpings IF</t>
  </si>
  <si>
    <t>EST-02339</t>
  </si>
  <si>
    <t>Lidköpings IF 0 vs 2 IF Karlstad B</t>
  </si>
  <si>
    <t>2026-05-29|Lidköpings IF|IF Karlstad B</t>
  </si>
  <si>
    <t>EST-02340</t>
  </si>
  <si>
    <t>Vänersborgs FK 3 vs 2 IF Karlstad B</t>
  </si>
  <si>
    <t>2026-05-14|Vänersborgs FK|IF Karlstad B</t>
  </si>
  <si>
    <t>EST-02341</t>
  </si>
  <si>
    <t>IK Tord 2 vs 2 Vänersborgs FK</t>
  </si>
  <si>
    <t>2026-05-10|IK Tord|Vänersborgs FK</t>
  </si>
  <si>
    <t>EST-02342</t>
  </si>
  <si>
    <t>Vänersborgs IF 0 vs 1 Lidköpings IF</t>
  </si>
  <si>
    <t>2026-05-08|Vänersborgs IF|Lidköpings IF</t>
  </si>
  <si>
    <t>EST-02343</t>
  </si>
  <si>
    <t>IF Karlstad B 1 vs 1 IFK Kumla</t>
  </si>
  <si>
    <t>2026-05-08|IF Karlstad B|IFK Kumla</t>
  </si>
  <si>
    <t>EST-02344</t>
  </si>
  <si>
    <t>IFK Kumla 0 vs 0 Vänersborgs FK</t>
  </si>
  <si>
    <t>2026-04-25|IFK Kumla|Vänersborgs FK</t>
  </si>
  <si>
    <t>EST-02345</t>
  </si>
  <si>
    <t>Vänersborgs FK 1 vs 2 Vänersborgs IF</t>
  </si>
  <si>
    <t>2026-05-01|Vänersborgs FK|Vänersborgs IF</t>
  </si>
  <si>
    <t>EST-02346</t>
  </si>
  <si>
    <t>Jonsereds IF 2 vs 2 Landvetter IS</t>
  </si>
  <si>
    <t>Jonsereds IF</t>
  </si>
  <si>
    <t>Landvetter IS</t>
  </si>
  <si>
    <t>2026-08-09|Jonsereds IF|Landvetter IS</t>
  </si>
  <si>
    <t>EST-02347</t>
  </si>
  <si>
    <t>Landvetter IS 1 vs 0 Dalstorps IF</t>
  </si>
  <si>
    <t>Dalstorps IF</t>
  </si>
  <si>
    <t>2026-08-02|Landvetter IS|Dalstorps IF</t>
  </si>
  <si>
    <t>EST-02348</t>
  </si>
  <si>
    <t>Onsala BK 2 vs 4 Landvetter IS</t>
  </si>
  <si>
    <t>Onsala BK</t>
  </si>
  <si>
    <t>2026-06-26|Onsala BK|Landvetter IS</t>
  </si>
  <si>
    <t>EST-02349</t>
  </si>
  <si>
    <t>Landvetter IS 1 vs 0 Jonsereds IF</t>
  </si>
  <si>
    <t>2026-06-17|Landvetter IS|Jonsereds IF</t>
  </si>
  <si>
    <t>EST-02350</t>
  </si>
  <si>
    <t>Åstorps FF 0 vs 2 Landvetter IS</t>
  </si>
  <si>
    <t>Åstorps FF</t>
  </si>
  <si>
    <t>2026-06-14|Åstorps FF|Landvetter IS</t>
  </si>
  <si>
    <t>EST-02351</t>
  </si>
  <si>
    <t>Landvetter IS 3 vs 0 Västra Frölunda IF</t>
  </si>
  <si>
    <t>Västra Frölunda IF</t>
  </si>
  <si>
    <t>2026-06-05|Landvetter IS|Västra Frölunda IF</t>
  </si>
  <si>
    <t>EST-02352</t>
  </si>
  <si>
    <t>Landvetter IS 2 vs 1 Qviding FIF</t>
  </si>
  <si>
    <t>2026-05-29|Landvetter IS|Qviding FIF</t>
  </si>
  <si>
    <t>EST-02353</t>
  </si>
  <si>
    <t>BK Astrio 0 vs 2 Landvetter IS</t>
  </si>
  <si>
    <t>2026-05-24|BK Astrio|Landvetter IS</t>
  </si>
  <si>
    <t>EST-02354</t>
  </si>
  <si>
    <t>Landvetter IS 0 vs 1 IF Böljan</t>
  </si>
  <si>
    <t>IF Böljan</t>
  </si>
  <si>
    <t>2026-05-14|Landvetter IS|IF Böljan</t>
  </si>
  <si>
    <t>EST-02355</t>
  </si>
  <si>
    <t>Dalstorps IF 1 vs 0 Landvetter IS</t>
  </si>
  <si>
    <t>2026-05-08|Dalstorps IF|Landvetter IS</t>
  </si>
  <si>
    <t>EST-02356</t>
  </si>
  <si>
    <t>IK Kongahälla 1 vs 1 Landvetter IS</t>
  </si>
  <si>
    <t>IK Kongahälla</t>
  </si>
  <si>
    <t>2026-05-01|IK Kongahälla|Landvetter IS</t>
  </si>
  <si>
    <t>EST-02357</t>
  </si>
  <si>
    <t>Landvetter IS 2 vs 0 Hestrafors IF</t>
  </si>
  <si>
    <t>Hestrafors IF</t>
  </si>
  <si>
    <t>2026-04-24|Landvetter IS|Hestrafors IF</t>
  </si>
  <si>
    <t>EST-02358</t>
  </si>
  <si>
    <t>Lindome GIF 2 vs 3 Jonsereds IF</t>
  </si>
  <si>
    <t>Lindome GIF</t>
  </si>
  <si>
    <t>2026-07-31|Lindome GIF|Jonsereds IF</t>
  </si>
  <si>
    <t>EST-02359</t>
  </si>
  <si>
    <t>Jonsereds IF 1 vs 0 IK Kongahälla</t>
  </si>
  <si>
    <t>2026-06-28|Jonsereds IF|IK Kongahälla</t>
  </si>
  <si>
    <t>EST-02360</t>
  </si>
  <si>
    <t>Jonsereds IF 2 vs 2 Qviding FIF</t>
  </si>
  <si>
    <t>2026-06-13|Jonsereds IF|Qviding FIF</t>
  </si>
  <si>
    <t>EST-02361</t>
  </si>
  <si>
    <t>Jonsereds IF 4 vs 2 Galtabäcks BK</t>
  </si>
  <si>
    <t>2026-06-05|Jonsereds IF|Galtabäcks BK</t>
  </si>
  <si>
    <t>EST-02362</t>
  </si>
  <si>
    <t>Torslanda IK 0 vs 1 Jonsereds IF</t>
  </si>
  <si>
    <t>2026-05-31|Torslanda IK|Jonsereds IF</t>
  </si>
  <si>
    <t>EST-02363</t>
  </si>
  <si>
    <t>Hestrafors IF 5 vs 1 Jonsereds IF</t>
  </si>
  <si>
    <t>2026-05-22|Hestrafors IF|Jonsereds IF</t>
  </si>
  <si>
    <t>EST-02364</t>
  </si>
  <si>
    <t>Jonsereds IF 0 vs 5 Lindome GIF</t>
  </si>
  <si>
    <t>2026-05-17|Jonsereds IF|Lindome GIF</t>
  </si>
  <si>
    <t>EST-02365</t>
  </si>
  <si>
    <t>IK Kongahälla 1 vs 0 Jonsereds IF</t>
  </si>
  <si>
    <t>2026-05-08|IK Kongahälla|Jonsereds IF</t>
  </si>
  <si>
    <t>EST-02366</t>
  </si>
  <si>
    <t>Jonsereds IF 1 vs 1 Dalstorps IF</t>
  </si>
  <si>
    <t>2026-05-01|Jonsereds IF|Dalstorps IF</t>
  </si>
  <si>
    <t>EST-02367</t>
  </si>
  <si>
    <t>Onsala BK 2 vs 3 Jonsereds IF</t>
  </si>
  <si>
    <t>2026-04-26|Onsala BK|Jonsereds IF</t>
  </si>
  <si>
    <t>EST-02368</t>
  </si>
  <si>
    <t>Västra Frölunda IF 3 vs 3 Hestrafors IF</t>
  </si>
  <si>
    <t>2026-08-08|Västra Frölunda IF|Hestrafors IF</t>
  </si>
  <si>
    <t>EST-02369</t>
  </si>
  <si>
    <t>IF Böljan 2 vs 1 Västra Frölunda IF</t>
  </si>
  <si>
    <t>2026-07-31|IF Böljan|Västra Frölunda IF</t>
  </si>
  <si>
    <t>EST-02370</t>
  </si>
  <si>
    <t>Västra Frölunda IF 5 vs 0 Qviding FIF</t>
  </si>
  <si>
    <t>2026-06-24|Västra Frölunda IF|Qviding FIF</t>
  </si>
  <si>
    <t>EST-02371</t>
  </si>
  <si>
    <t>Torslanda IK 1 vs 1 Västra Frölunda IF</t>
  </si>
  <si>
    <t>2026-06-18|Torslanda IK|Västra Frölunda IF</t>
  </si>
  <si>
    <t>EST-02372</t>
  </si>
  <si>
    <t>Västra Frölunda IF 1 vs 1 IF Böljan</t>
  </si>
  <si>
    <t>2026-06-14|Västra Frölunda IF|IF Böljan</t>
  </si>
  <si>
    <t>EST-02373</t>
  </si>
  <si>
    <t>Västra Frölunda IF 1 vs 1 Dalstorps IF</t>
  </si>
  <si>
    <t>2026-05-31|Västra Frölunda IF|Dalstorps IF</t>
  </si>
  <si>
    <t>EST-02374</t>
  </si>
  <si>
    <t>Åstorps FF 0 vs 3 Västra Frölunda IF</t>
  </si>
  <si>
    <t>2026-05-24|Åstorps FF|Västra Frölunda IF</t>
  </si>
  <si>
    <t>EST-02375</t>
  </si>
  <si>
    <t>Västra Frölunda IF 4 vs 0 IK Kongahälla</t>
  </si>
  <si>
    <t>2026-05-14|Västra Frölunda IF|IK Kongahälla</t>
  </si>
  <si>
    <t>EST-02376</t>
  </si>
  <si>
    <t>Västra Frölunda IF 5 vs 3 BK Astrio</t>
  </si>
  <si>
    <t>2026-05-09|Västra Frölunda IF|BK Astrio</t>
  </si>
  <si>
    <t>EST-02377</t>
  </si>
  <si>
    <t>Hestrafors IF 2 vs 4 Västra Frölunda IF</t>
  </si>
  <si>
    <t>2026-05-01|Hestrafors IF|Västra Frölunda IF</t>
  </si>
  <si>
    <t>EST-02378</t>
  </si>
  <si>
    <t>Västra Frölunda IF 0 vs 2 Lindome GIF</t>
  </si>
  <si>
    <t>2026-04-26|Västra Frölunda IF|Lindome GIF</t>
  </si>
  <si>
    <t>EST-02379</t>
  </si>
  <si>
    <t>Dalstorps IF 4 vs 1 IK Kongahälla</t>
  </si>
  <si>
    <t>2026-08-09|Dalstorps IF|IK Kongahälla</t>
  </si>
  <si>
    <t>EST-02380</t>
  </si>
  <si>
    <t>Dalstorps IF 2 vs 2 Lindome GIF</t>
  </si>
  <si>
    <t>2026-06-26|Dalstorps IF|Lindome GIF</t>
  </si>
  <si>
    <t>EST-02381</t>
  </si>
  <si>
    <t>Dalstorps IF 4 vs 0 BK Astrio</t>
  </si>
  <si>
    <t>2026-06-18|Dalstorps IF|BK Astrio</t>
  </si>
  <si>
    <t>EST-02382</t>
  </si>
  <si>
    <t>Hestrafors IF 2 vs 3 Dalstorps IF</t>
  </si>
  <si>
    <t>2026-06-11|Hestrafors IF|Dalstorps IF</t>
  </si>
  <si>
    <t>EST-02383</t>
  </si>
  <si>
    <t>Dalstorps IF 3 vs 1 Onsala BK</t>
  </si>
  <si>
    <t>2026-06-07|Dalstorps IF|Onsala BK</t>
  </si>
  <si>
    <t>EST-02384</t>
  </si>
  <si>
    <t>IK Kongahälla 1 vs 3 Dalstorps IF</t>
  </si>
  <si>
    <t>2026-05-23|IK Kongahälla|Dalstorps IF</t>
  </si>
  <si>
    <t>EST-02385</t>
  </si>
  <si>
    <t>Dalstorps IF 2 vs 4 Åstorps FF</t>
  </si>
  <si>
    <t>2026-05-16|Dalstorps IF|Åstorps FF</t>
  </si>
  <si>
    <t>EST-02386</t>
  </si>
  <si>
    <t>Dalstorps IF 1 vs 0 Galtabäcks BK</t>
  </si>
  <si>
    <t>2026-04-25|Dalstorps IF|Galtabäcks BK</t>
  </si>
  <si>
    <t>Torslanda IK 2 vs 1 Galtabäcks BK</t>
  </si>
  <si>
    <t>2026-08-01|Torslanda IK|Galtabäcks BK</t>
  </si>
  <si>
    <t>EST-02387</t>
  </si>
  <si>
    <t>Hestrafors IF 2 vs 1 Åstorps FF</t>
  </si>
  <si>
    <t>2026-08-01|Hestrafors IF|Åstorps FF</t>
  </si>
  <si>
    <t>EST-02388</t>
  </si>
  <si>
    <t>BK Astrio 1 vs 2 Hestrafors IF</t>
  </si>
  <si>
    <t>2026-06-27|BK Astrio|Hestrafors IF</t>
  </si>
  <si>
    <t>EST-02389</t>
  </si>
  <si>
    <t>IK Kongahälla 0 vs 3 Hestrafors IF</t>
  </si>
  <si>
    <t>2026-06-17|IK Kongahälla|Hestrafors IF</t>
  </si>
  <si>
    <t>EST-02390</t>
  </si>
  <si>
    <t>Torslanda IK 2 vs 2 Hestrafors IF</t>
  </si>
  <si>
    <t>2026-06-06|Torslanda IK|Hestrafors IF</t>
  </si>
  <si>
    <t>EST-02391</t>
  </si>
  <si>
    <t>Hestrafors IF 3 vs 1 IF Böljan</t>
  </si>
  <si>
    <t>2026-05-29|Hestrafors IF|IF Böljan</t>
  </si>
  <si>
    <t>EST-02392</t>
  </si>
  <si>
    <t>Onsala BK 5 vs 1 Hestrafors IF</t>
  </si>
  <si>
    <t>2026-05-16|Onsala BK|Hestrafors IF</t>
  </si>
  <si>
    <t>EST-02393</t>
  </si>
  <si>
    <t>Lindome GIF 2 vs 3 Hestrafors IF</t>
  </si>
  <si>
    <t>2026-05-08|Lindome GIF|Hestrafors IF</t>
  </si>
  <si>
    <t>EST-02394</t>
  </si>
  <si>
    <t>Onsala BK 3 vs 0 IF Böljan</t>
  </si>
  <si>
    <t>2026-08-08|Onsala BK|IF Böljan</t>
  </si>
  <si>
    <t>EST-02395</t>
  </si>
  <si>
    <t>Galtabäcks BK 0 vs 0 IF Böljan</t>
  </si>
  <si>
    <t>2026-06-25|Galtabäcks BK|IF Böljan</t>
  </si>
  <si>
    <t>EST-02396</t>
  </si>
  <si>
    <t>IF Böljan 1 vs 2 Onsala BK</t>
  </si>
  <si>
    <t>2026-06-18|IF Böljan|Onsala BK</t>
  </si>
  <si>
    <t>EST-02397</t>
  </si>
  <si>
    <t>IF Böljan 3 vs 1 BK Astrio</t>
  </si>
  <si>
    <t>2026-06-05|IF Böljan|BK Astrio</t>
  </si>
  <si>
    <t>EST-02398</t>
  </si>
  <si>
    <t>IF Böljan 2 vs 0 Galtabäcks BK</t>
  </si>
  <si>
    <t>2026-05-23|IF Böljan|Galtabäcks BK</t>
  </si>
  <si>
    <t>EST-02399</t>
  </si>
  <si>
    <t>Qviding FIF 2 vs 2 IF Böljan</t>
  </si>
  <si>
    <t>2026-05-08|Qviding FIF|IF Böljan</t>
  </si>
  <si>
    <t>EST-02400</t>
  </si>
  <si>
    <t>IF Böljan 2 vs 2 Torslanda IK</t>
  </si>
  <si>
    <t>2026-05-01|IF Böljan|Torslanda IK</t>
  </si>
  <si>
    <t>EST-02401</t>
  </si>
  <si>
    <t>Åstorps FF 1 vs 1 IF Böljan</t>
  </si>
  <si>
    <t>2026-04-26|Åstorps FF|IF Böljan</t>
  </si>
  <si>
    <t>EST-02402</t>
  </si>
  <si>
    <t>Åstorps FF 0 vs 2 Lindome GIF</t>
  </si>
  <si>
    <t>2026-08-07|Åstorps FF|Lindome GIF</t>
  </si>
  <si>
    <t>EST-02403</t>
  </si>
  <si>
    <t>Lindome GIF 3 vs 0 Åstorps FF</t>
  </si>
  <si>
    <t>2026-06-18|Lindome GIF|Åstorps FF</t>
  </si>
  <si>
    <t>EST-02404</t>
  </si>
  <si>
    <t>BK Astrio 1 vs 2 Lindome GIF</t>
  </si>
  <si>
    <t>2026-06-11|BK Astrio|Lindome GIF</t>
  </si>
  <si>
    <t>EST-02405</t>
  </si>
  <si>
    <t>Lindome GIF 2 vs 2 IK Kongahälla</t>
  </si>
  <si>
    <t>2026-06-05|Lindome GIF|IK Kongahälla</t>
  </si>
  <si>
    <t>EST-02406</t>
  </si>
  <si>
    <t>Galtabäcks BK 1 vs 1 Lindome GIF</t>
  </si>
  <si>
    <t>2026-05-29|Galtabäcks BK|Lindome GIF</t>
  </si>
  <si>
    <t>EST-02407</t>
  </si>
  <si>
    <t>Lindome GIF 2 vs 1 Torslanda IK</t>
  </si>
  <si>
    <t>2026-05-22|Lindome GIF|Torslanda IK</t>
  </si>
  <si>
    <t>EST-02408</t>
  </si>
  <si>
    <t>Lindome GIF 0 vs 2 Onsala BK</t>
  </si>
  <si>
    <t>2026-05-01|Lindome GIF|Onsala BK</t>
  </si>
  <si>
    <t>EST-02409</t>
  </si>
  <si>
    <t>BK Astrio 0 vs 6 Torslanda IK</t>
  </si>
  <si>
    <t>2026-08-09|BK Astrio|Torslanda IK</t>
  </si>
  <si>
    <t>EST-02410</t>
  </si>
  <si>
    <t>Åstorps FF 1 vs 1 Torslanda IK</t>
  </si>
  <si>
    <t>2026-06-27|Åstorps FF|Torslanda IK</t>
  </si>
  <si>
    <t>EST-02411</t>
  </si>
  <si>
    <t>Onsala BK 1 vs 1 Torslanda IK</t>
  </si>
  <si>
    <t>2026-06-14|Onsala BK|Torslanda IK</t>
  </si>
  <si>
    <t>EST-02412</t>
  </si>
  <si>
    <t>Torslanda IK 1 vs 2 Qviding FIF</t>
  </si>
  <si>
    <t>2026-05-14|Torslanda IK|Qviding FIF</t>
  </si>
  <si>
    <t>EST-02413</t>
  </si>
  <si>
    <t>Galtabäcks BK 1 vs 2 Torslanda IK</t>
  </si>
  <si>
    <t>2026-05-08|Galtabäcks BK|Torslanda IK</t>
  </si>
  <si>
    <t>EST-02414</t>
  </si>
  <si>
    <t>Torslanda IK 2 vs 0 BK Astrio</t>
  </si>
  <si>
    <t>2026-04-26|Torslanda IK|BK Astrio</t>
  </si>
  <si>
    <t>EST-02415</t>
  </si>
  <si>
    <t>IK Kongahälla 0 vs 0 Onsala BK</t>
  </si>
  <si>
    <t>2026-07-31|IK Kongahälla|Onsala BK</t>
  </si>
  <si>
    <t>EST-02416</t>
  </si>
  <si>
    <t>Qviding FIF 3 vs 2 Galtabäcks BK</t>
  </si>
  <si>
    <t>2026-06-18|Qviding FIF|Galtabäcks BK</t>
  </si>
  <si>
    <t>EST-02417</t>
  </si>
  <si>
    <t>Galtabäcks BK 1 vs 2 IK Kongahälla</t>
  </si>
  <si>
    <t>2026-06-13|Galtabäcks BK|IK Kongahälla</t>
  </si>
  <si>
    <t>EST-02418</t>
  </si>
  <si>
    <t>Qviding FIF 2 vs 2 Åstorps FF</t>
  </si>
  <si>
    <t>2026-06-06|Qviding FIF|Åstorps FF</t>
  </si>
  <si>
    <t>EST-02419</t>
  </si>
  <si>
    <t>IK Kongahälla 1 vs 2 Åstorps FF</t>
  </si>
  <si>
    <t>2026-05-30|IK Kongahälla|Åstorps FF</t>
  </si>
  <si>
    <t>EST-02420</t>
  </si>
  <si>
    <t>Onsala BK 0 vs 0 BK Astrio</t>
  </si>
  <si>
    <t>2026-05-30|Onsala BK|BK Astrio</t>
  </si>
  <si>
    <t>EST-02421</t>
  </si>
  <si>
    <t>Qviding FIF 1 vs 2 Onsala BK</t>
  </si>
  <si>
    <t>2026-05-22|Qviding FIF|Onsala BK</t>
  </si>
  <si>
    <t>EST-02422</t>
  </si>
  <si>
    <t>Åstorps FF 1 vs 1 Onsala BK</t>
  </si>
  <si>
    <t>2026-05-10|Åstorps FF|Onsala BK</t>
  </si>
  <si>
    <t>EST-02423</t>
  </si>
  <si>
    <t>BK Astrio 0 vs 3 Qviding FIF</t>
  </si>
  <si>
    <t>2026-05-03|BK Astrio|Qviding FIF</t>
  </si>
  <si>
    <t>EST-02424</t>
  </si>
  <si>
    <t>Galtabäcks BK 2 vs 2 Åstorps FF</t>
  </si>
  <si>
    <t>2026-04-30|Galtabäcks BK|Åstorps FF</t>
  </si>
  <si>
    <t>EST-02425</t>
  </si>
  <si>
    <t>Qviding FIF 3 vs 1 IK Kongahälla</t>
  </si>
  <si>
    <t>2026-04-25|Qviding FIF|IK Kongahälla</t>
  </si>
  <si>
    <t>EST-02426</t>
  </si>
  <si>
    <t>BK Astrio 2 vs 1 Galtabäcks BK</t>
  </si>
  <si>
    <t>2026-05-17|BK Astrio|Galtabäcks BK</t>
  </si>
  <si>
    <t>EST-02427</t>
  </si>
  <si>
    <t>Aalesunds FK 2 vs 6 Tromsø IL</t>
  </si>
  <si>
    <t>Aalesunds FK</t>
  </si>
  <si>
    <t>Tromsø IL</t>
  </si>
  <si>
    <t>2026-08-02|Aalesunds FK|Tromsø IL</t>
  </si>
  <si>
    <t>EST-02428</t>
  </si>
  <si>
    <t>Hamarkameratene 1 vs 4 Tromsø IL</t>
  </si>
  <si>
    <t>Hamarkameratene</t>
  </si>
  <si>
    <t>2026-07-18|Hamarkameratene|Tromsø IL</t>
  </si>
  <si>
    <t>EST-02429</t>
  </si>
  <si>
    <t>Tromsø IL 4 vs 0 Vålerenga Fotball</t>
  </si>
  <si>
    <t>Vålerenga Fotball</t>
  </si>
  <si>
    <t>2026-07-11|Tromsø IL|Vålerenga Fotball</t>
  </si>
  <si>
    <t>EST-02430</t>
  </si>
  <si>
    <t>KFUM-Kameratene Oslo 0 vs 0 Tromsø IL</t>
  </si>
  <si>
    <t>KFUM-Kameratene Oslo</t>
  </si>
  <si>
    <t>2026-05-29|KFUM-Kameratene Oslo|Tromsø IL</t>
  </si>
  <si>
    <t>EST-02431</t>
  </si>
  <si>
    <t>Tromsø IL 1 vs 1 Aalesunds FK</t>
  </si>
  <si>
    <t>2026-05-25|Tromsø IL|Aalesunds FK</t>
  </si>
  <si>
    <t>EST-02432</t>
  </si>
  <si>
    <t>FK Bodø/Glimt 5 vs 0 Tromsø IL</t>
  </si>
  <si>
    <t>FK Bodø/Glimt</t>
  </si>
  <si>
    <t>2026-05-16|FK Bodø/Glimt|Tromsø IL</t>
  </si>
  <si>
    <t>EST-02433</t>
  </si>
  <si>
    <t>Tromsø IL 2 vs 0 Molde FK</t>
  </si>
  <si>
    <t>Molde FK</t>
  </si>
  <si>
    <t>2026-05-10|Tromsø IL|Molde FK</t>
  </si>
  <si>
    <t>EST-02434</t>
  </si>
  <si>
    <t>IK Start 1 vs 1 Tromsø IL</t>
  </si>
  <si>
    <t>IK Start</t>
  </si>
  <si>
    <t>2026-05-03|IK Start|Tromsø IL</t>
  </si>
  <si>
    <t>EST-02435</t>
  </si>
  <si>
    <t>Tromsø IL 0 vs 5 SK Brann</t>
  </si>
  <si>
    <t>SK Brann</t>
  </si>
  <si>
    <t>2026-04-29|Tromsø IL|SK Brann</t>
  </si>
  <si>
    <t>EST-02436</t>
  </si>
  <si>
    <t>Tromsø IL 3 vs 1 Sandefjord Fotball</t>
  </si>
  <si>
    <t>Sandefjord Fotball</t>
  </si>
  <si>
    <t>2026-04-26|Tromsø IL|Sandefjord Fotball</t>
  </si>
  <si>
    <t>EST-02437</t>
  </si>
  <si>
    <t>Sarpsborg 08 FF 0 vs 1 Tromsø IL</t>
  </si>
  <si>
    <t>Sarpsborg 08 FF</t>
  </si>
  <si>
    <t>2026-04-19|Sarpsborg 08 FF|Tromsø IL</t>
  </si>
  <si>
    <t>EST-02438</t>
  </si>
  <si>
    <t>Tromsø IL 0 vs 0 Lillestrøm SK</t>
  </si>
  <si>
    <t>Lillestrøm SK</t>
  </si>
  <si>
    <t>2026-04-15|Tromsø IL|Lillestrøm SK</t>
  </si>
  <si>
    <t>EST-02439</t>
  </si>
  <si>
    <t>Viking FK 2 vs 1 Sarpsborg 08 FF</t>
  </si>
  <si>
    <t>Viking FK</t>
  </si>
  <si>
    <t>2026-08-08|Viking FK|Sarpsborg 08 FF</t>
  </si>
  <si>
    <t>EST-02440</t>
  </si>
  <si>
    <t>IK Start 0 vs 3 Viking FK</t>
  </si>
  <si>
    <t>2026-08-01|IK Start|Viking FK</t>
  </si>
  <si>
    <t>EST-02441</t>
  </si>
  <si>
    <t>Aalesunds FK 1 vs 1 Viking FK</t>
  </si>
  <si>
    <t>2026-07-26|Aalesunds FK|Viking FK</t>
  </si>
  <si>
    <t>EST-02442</t>
  </si>
  <si>
    <t>Lillestrøm SK 1 vs 2 Viking FK</t>
  </si>
  <si>
    <t>2026-07-22|Lillestrøm SK|Viking FK</t>
  </si>
  <si>
    <t>EST-02443</t>
  </si>
  <si>
    <t>Viking FK 2 vs 1 Sandefjord Fotball</t>
  </si>
  <si>
    <t>2026-07-18|Viking FK|Sandefjord Fotball</t>
  </si>
  <si>
    <t>EST-02444</t>
  </si>
  <si>
    <t>Sarpsborg 08 FF 1 vs 0 Viking FK</t>
  </si>
  <si>
    <t>2026-07-12|Sarpsborg 08 FF|Viking FK</t>
  </si>
  <si>
    <t>EST-02445</t>
  </si>
  <si>
    <t>Kristiansund BK 1 vs 2 Viking FK</t>
  </si>
  <si>
    <t>Kristiansund BK</t>
  </si>
  <si>
    <t>2026-05-24|Kristiansund BK|Viking FK</t>
  </si>
  <si>
    <t>EST-02446</t>
  </si>
  <si>
    <t>Viking FK 6 vs 3 IK Start</t>
  </si>
  <si>
    <t>2026-05-16|Viking FK|IK Start</t>
  </si>
  <si>
    <t>EST-02447</t>
  </si>
  <si>
    <t>KFUM-Kameratene Oslo 0 vs 2 Viking FK</t>
  </si>
  <si>
    <t>2026-05-10|KFUM-Kameratene Oslo|Viking FK</t>
  </si>
  <si>
    <t>EST-02448</t>
  </si>
  <si>
    <t>Viking FK 3 vs 0 Rosenborg BK</t>
  </si>
  <si>
    <t>Rosenborg BK</t>
  </si>
  <si>
    <t>2026-05-01|Viking FK|Rosenborg BK</t>
  </si>
  <si>
    <t>EST-02449</t>
  </si>
  <si>
    <t>Fredrikstad FK 1 vs 2 Viking FK</t>
  </si>
  <si>
    <t>Fredrikstad FK</t>
  </si>
  <si>
    <t>2026-04-25|Fredrikstad FK|Viking FK</t>
  </si>
  <si>
    <t>EST-02450</t>
  </si>
  <si>
    <t>Viking FK 3 vs 2 SK Brann</t>
  </si>
  <si>
    <t>2026-04-18|Viking FK|SK Brann</t>
  </si>
  <si>
    <t>EST-02451</t>
  </si>
  <si>
    <t>Vålerenga Fotball 1 vs 2 FK Bodø/Glimt</t>
  </si>
  <si>
    <t>2026-08-08|Vålerenga Fotball|FK Bodø/Glimt</t>
  </si>
  <si>
    <t>EST-02452</t>
  </si>
  <si>
    <t>FK Bodø/Glimt 4 vs 0 Lillestrøm SK</t>
  </si>
  <si>
    <t>2026-07-31|FK Bodø/Glimt|Lillestrøm SK</t>
  </si>
  <si>
    <t>EST-02453</t>
  </si>
  <si>
    <t>Sandefjord Fotball 0 vs 3 FK Bodø/Glimt</t>
  </si>
  <si>
    <t>2026-07-26|Sandefjord Fotball|FK Bodø/Glimt</t>
  </si>
  <si>
    <t>EST-02454</t>
  </si>
  <si>
    <t>FK Bodø/Glimt 3 vs 0 Hamarkameratene</t>
  </si>
  <si>
    <t>2026-07-22|FK Bodø/Glimt|Hamarkameratene</t>
  </si>
  <si>
    <t>EST-02455</t>
  </si>
  <si>
    <t>FK Bodø/Glimt 1 vs 0 Fredrikstad FK</t>
  </si>
  <si>
    <t>2026-07-17|FK Bodø/Glimt|Fredrikstad FK</t>
  </si>
  <si>
    <t>EST-02456</t>
  </si>
  <si>
    <t>KFUM-Kameratene Oslo 0 vs 2 FK Bodø/Glimt</t>
  </si>
  <si>
    <t>2026-07-12|KFUM-Kameratene Oslo|FK Bodø/Glimt</t>
  </si>
  <si>
    <t>EST-02457</t>
  </si>
  <si>
    <t>Rosenborg BK 2 vs 2 FK Bodø/Glimt</t>
  </si>
  <si>
    <t>2026-05-29|Rosenborg BK|FK Bodø/Glimt</t>
  </si>
  <si>
    <t>EST-02458</t>
  </si>
  <si>
    <t>FK Bodø/Glimt 3 vs 1 SK Brann</t>
  </si>
  <si>
    <t>2026-05-24|FK Bodø/Glimt|SK Brann</t>
  </si>
  <si>
    <t>EST-02459</t>
  </si>
  <si>
    <t>IK Start 1 vs 4 FK Bodø/Glimt</t>
  </si>
  <si>
    <t>2026-05-20|IK Start|FK Bodø/Glimt</t>
  </si>
  <si>
    <t>EST-02460</t>
  </si>
  <si>
    <t>FK Bodø/Glimt 0 vs 1 Molde FK</t>
  </si>
  <si>
    <t>2026-05-04|FK Bodø/Glimt|Molde FK</t>
  </si>
  <si>
    <t>EST-02461</t>
  </si>
  <si>
    <t>FK Bodø/Glimt 5 vs 0 IK Start</t>
  </si>
  <si>
    <t>2026-04-30|FK Bodø/Glimt|IK Start</t>
  </si>
  <si>
    <t>EST-02462</t>
  </si>
  <si>
    <t>Lillestrøm SK 0 vs 2 Rosenborg BK</t>
  </si>
  <si>
    <t>2026-08-09|Lillestrøm SK|Rosenborg BK</t>
  </si>
  <si>
    <t>EST-02463</t>
  </si>
  <si>
    <t>Lillestrøm SK 2 vs 1 KFUM-Kameratene Oslo</t>
  </si>
  <si>
    <t>2026-07-18|Lillestrøm SK|KFUM-Kameratene Oslo</t>
  </si>
  <si>
    <t>EST-02464</t>
  </si>
  <si>
    <t>Fredrikstad FK 0 vs 2 Lillestrøm SK</t>
  </si>
  <si>
    <t>2026-07-11|Fredrikstad FK|Lillestrøm SK</t>
  </si>
  <si>
    <t>EST-02465</t>
  </si>
  <si>
    <t>Hamarkameratene 2 vs 0 Lillestrøm SK</t>
  </si>
  <si>
    <t>2026-05-25|Hamarkameratene|Lillestrøm SK</t>
  </si>
  <si>
    <t>EST-02466</t>
  </si>
  <si>
    <t>Lillestrøm SK 1 vs 2 Kristiansund BK</t>
  </si>
  <si>
    <t>2026-05-20|Lillestrøm SK|Kristiansund BK</t>
  </si>
  <si>
    <t>EST-02467</t>
  </si>
  <si>
    <t>Lillestrøm SK 3 vs 1 Sandefjord Fotball</t>
  </si>
  <si>
    <t>2026-05-16|Lillestrøm SK|Sandefjord Fotball</t>
  </si>
  <si>
    <t>EST-02468</t>
  </si>
  <si>
    <t>Rosenborg BK 2 vs 0 Lillestrøm SK</t>
  </si>
  <si>
    <t>2026-05-10|Rosenborg BK|Lillestrøm SK</t>
  </si>
  <si>
    <t>EST-02469</t>
  </si>
  <si>
    <t>Lillestrøm SK 4 vs 0 Sarpsborg 08 FF</t>
  </si>
  <si>
    <t>2026-05-03|Lillestrøm SK|Sarpsborg 08 FF</t>
  </si>
  <si>
    <t>EST-02470</t>
  </si>
  <si>
    <t>Lillestrøm SK 0 vs 2 FK Bodø/Glimt</t>
  </si>
  <si>
    <t>2026-04-26|Lillestrøm SK|FK Bodø/Glimt</t>
  </si>
  <si>
    <t>EST-02471</t>
  </si>
  <si>
    <t>Vålerenga Fotball 0 vs 2 Lillestrøm SK</t>
  </si>
  <si>
    <t>2026-04-19|Vålerenga Fotball|Lillestrøm SK</t>
  </si>
  <si>
    <t>EST-02472</t>
  </si>
  <si>
    <t>Kristiansund BK 2 vs 1 Molde FK</t>
  </si>
  <si>
    <t>2026-08-09|Kristiansund BK|Molde FK</t>
  </si>
  <si>
    <t>EST-02473</t>
  </si>
  <si>
    <t>Molde FK 3 vs 3 Sarpsborg 08 FF</t>
  </si>
  <si>
    <t>2026-08-02|Molde FK|Sarpsborg 08 FF</t>
  </si>
  <si>
    <t>EST-02474</t>
  </si>
  <si>
    <t>KFUM-Kameratene Oslo 2 vs 4 Molde FK</t>
  </si>
  <si>
    <t>2026-07-26|KFUM-Kameratene Oslo|Molde FK</t>
  </si>
  <si>
    <t>EST-02475</t>
  </si>
  <si>
    <t>Molde FK 1 vs 2 SK Brann</t>
  </si>
  <si>
    <t>2026-07-18|Molde FK|SK Brann</t>
  </si>
  <si>
    <t>EST-02476</t>
  </si>
  <si>
    <t>Aalesunds FK 2 vs 2 Molde FK</t>
  </si>
  <si>
    <t>2026-07-11|Aalesunds FK|Molde FK</t>
  </si>
  <si>
    <t>EST-02477</t>
  </si>
  <si>
    <t>Molde FK 2 vs 1 Sandefjord Fotball</t>
  </si>
  <si>
    <t>2026-05-30|Molde FK|Sandefjord Fotball</t>
  </si>
  <si>
    <t>EST-02478</t>
  </si>
  <si>
    <t>Sarpsborg 08 FF 2 vs 1 Molde FK</t>
  </si>
  <si>
    <t>2026-05-25|Sarpsborg 08 FF|Molde FK</t>
  </si>
  <si>
    <t>EST-02479</t>
  </si>
  <si>
    <t>Molde FK 1 vs 0 Kristiansund BK</t>
  </si>
  <si>
    <t>2026-05-16|Molde FK|Kristiansund BK</t>
  </si>
  <si>
    <t>EST-02480</t>
  </si>
  <si>
    <t>Molde FK 5 vs 1 Vålerenga Fotball</t>
  </si>
  <si>
    <t>2026-04-26|Molde FK|Vålerenga Fotball</t>
  </si>
  <si>
    <t>EST-02481</t>
  </si>
  <si>
    <t>IK Start 1 vs 1 Molde FK</t>
  </si>
  <si>
    <t>2026-04-19|IK Start|Molde FK</t>
  </si>
  <si>
    <t>EST-02482</t>
  </si>
  <si>
    <t>Hamarkameratene 1 vs 1 Aalesunds FK</t>
  </si>
  <si>
    <t>2026-08-09|Hamarkameratene|Aalesunds FK</t>
  </si>
  <si>
    <t>EST-02483</t>
  </si>
  <si>
    <t>Vålerenga Fotball 0 vs 3 Hamarkameratene</t>
  </si>
  <si>
    <t>2026-07-31|Vålerenga Fotball|Hamarkameratene</t>
  </si>
  <si>
    <t>EST-02484</t>
  </si>
  <si>
    <t>Sarpsborg 08 FF 1 vs 0 Hamarkameratene</t>
  </si>
  <si>
    <t>2026-07-26|Sarpsborg 08 FF|Hamarkameratene</t>
  </si>
  <si>
    <t>EST-02485</t>
  </si>
  <si>
    <t>Sandefjord Fotball 2 vs 2 Hamarkameratene</t>
  </si>
  <si>
    <t>2026-07-12|Sandefjord Fotball|Hamarkameratene</t>
  </si>
  <si>
    <t>EST-02486</t>
  </si>
  <si>
    <t>Aalesunds FK 2 vs 2 Hamarkameratene</t>
  </si>
  <si>
    <t>2026-05-29|Aalesunds FK|Hamarkameratene</t>
  </si>
  <si>
    <t>EST-02487</t>
  </si>
  <si>
    <t>Fredrikstad FK 2 vs 1 Hamarkameratene</t>
  </si>
  <si>
    <t>2026-05-16|Fredrikstad FK|Hamarkameratene</t>
  </si>
  <si>
    <t>EST-02488</t>
  </si>
  <si>
    <t>Hamarkameratene 1 vs 0 Vålerenga Fotball</t>
  </si>
  <si>
    <t>2026-05-08|Hamarkameratene|Vålerenga Fotball</t>
  </si>
  <si>
    <t>EST-02489</t>
  </si>
  <si>
    <t>Kristiansund BK 1 vs 1 Hamarkameratene</t>
  </si>
  <si>
    <t>2026-05-03|Kristiansund BK|Hamarkameratene</t>
  </si>
  <si>
    <t>EST-02490</t>
  </si>
  <si>
    <t>Hamarkameratene 2 vs 1 IK Start</t>
  </si>
  <si>
    <t>2026-04-26|Hamarkameratene|IK Start</t>
  </si>
  <si>
    <t>EST-02491</t>
  </si>
  <si>
    <t>Kristiansund BK 0 vs 0 Sarpsborg 08 FF</t>
  </si>
  <si>
    <t>2026-07-18|Kristiansund BK|Sarpsborg 08 FF</t>
  </si>
  <si>
    <t>EST-02492</t>
  </si>
  <si>
    <t>SK Brann 1 vs 2 Sarpsborg 08 FF</t>
  </si>
  <si>
    <t>2026-05-29|SK Brann|Sarpsborg 08 FF</t>
  </si>
  <si>
    <t>EST-02493</t>
  </si>
  <si>
    <t>Vålerenga Fotball 3 vs 2 Sarpsborg 08 FF</t>
  </si>
  <si>
    <t>2026-05-16|Vålerenga Fotball|Sarpsborg 08 FF</t>
  </si>
  <si>
    <t>EST-02494</t>
  </si>
  <si>
    <t>Sarpsborg 08 FF 2 vs 1 Fredrikstad FK</t>
  </si>
  <si>
    <t>2026-05-09|Sarpsborg 08 FF|Fredrikstad FK</t>
  </si>
  <si>
    <t>EST-02495</t>
  </si>
  <si>
    <t>KFUM-Kameratene Oslo 1 vs 0 Sarpsborg 08 FF</t>
  </si>
  <si>
    <t>2026-04-26|KFUM-Kameratene Oslo|Sarpsborg 08 FF</t>
  </si>
  <si>
    <t>EST-02496</t>
  </si>
  <si>
    <t>SK Brann 3 vs 2 Rosenborg BK</t>
  </si>
  <si>
    <t>2026-08-02|SK Brann|Rosenborg BK</t>
  </si>
  <si>
    <t>EST-02497</t>
  </si>
  <si>
    <t>SK Brann 2 vs 3 Vålerenga Fotball</t>
  </si>
  <si>
    <t>2026-07-26|SK Brann|Vålerenga Fotball</t>
  </si>
  <si>
    <t>EST-02498</t>
  </si>
  <si>
    <t>SK Brann 2 vs 1 IK Start</t>
  </si>
  <si>
    <t>2026-07-12|SK Brann|IK Start</t>
  </si>
  <si>
    <t>EST-02499</t>
  </si>
  <si>
    <t>Aalesunds FK 2 vs 1 SK Brann</t>
  </si>
  <si>
    <t>2026-05-20|Aalesunds FK|SK Brann</t>
  </si>
  <si>
    <t>EST-02500</t>
  </si>
  <si>
    <t>SK Brann 2 vs 1 KFUM-Kameratene Oslo</t>
  </si>
  <si>
    <t>2026-05-16|SK Brann|KFUM-Kameratene Oslo</t>
  </si>
  <si>
    <t>EST-02501</t>
  </si>
  <si>
    <t>SK Brann 3 vs 1 Fredrikstad FK</t>
  </si>
  <si>
    <t>2026-05-02|SK Brann|Fredrikstad FK</t>
  </si>
  <si>
    <t>EST-02502</t>
  </si>
  <si>
    <t>Rosenborg BK 1 vs 1 SK Brann</t>
  </si>
  <si>
    <t>2026-04-25|Rosenborg BK|SK Brann</t>
  </si>
  <si>
    <t>EST-02503</t>
  </si>
  <si>
    <t>Sandefjord Fotball 0 vs 1 KFUM-Kameratene Oslo</t>
  </si>
  <si>
    <t>2026-08-07|Sandefjord Fotball|KFUM-Kameratene Oslo</t>
  </si>
  <si>
    <t>EST-02504</t>
  </si>
  <si>
    <t>Fredrikstad FK 1 vs 0 Sandefjord Fotball</t>
  </si>
  <si>
    <t>2026-08-01|Fredrikstad FK|Sandefjord Fotball</t>
  </si>
  <si>
    <t>EST-02505</t>
  </si>
  <si>
    <t>Sandefjord Fotball 1 vs 1 Fredrikstad FK</t>
  </si>
  <si>
    <t>2026-05-25|Sandefjord Fotball|Fredrikstad FK</t>
  </si>
  <si>
    <t>EST-02506</t>
  </si>
  <si>
    <t>Sandefjord Fotball 2 vs 0 Kristiansund BK</t>
  </si>
  <si>
    <t>2026-05-10|Sandefjord Fotball|Kristiansund BK</t>
  </si>
  <si>
    <t>EST-02507</t>
  </si>
  <si>
    <t>Sandefjord Fotball 1 vs 0 Aalesunds FK</t>
  </si>
  <si>
    <t>2026-05-03|Sandefjord Fotball|Aalesunds FK</t>
  </si>
  <si>
    <t>EST-02508</t>
  </si>
  <si>
    <t>Sandefjord Fotball 0 vs 0 Rosenborg BK</t>
  </si>
  <si>
    <t>2026-04-18|Sandefjord Fotball|Rosenborg BK</t>
  </si>
  <si>
    <t>EST-02509</t>
  </si>
  <si>
    <t>IK Start 0 vs 1 Fredrikstad FK</t>
  </si>
  <si>
    <t>2026-08-08|IK Start|Fredrikstad FK</t>
  </si>
  <si>
    <t>Rosenborg BK 4 vs 0 Fredrikstad FK</t>
  </si>
  <si>
    <t>2026-07-27|Rosenborg BK|Fredrikstad FK</t>
  </si>
  <si>
    <t>EST-02511</t>
  </si>
  <si>
    <t>Fredrikstad FK 2 vs 1 IK Start</t>
  </si>
  <si>
    <t>2026-05-29|Fredrikstad FK|IK Start</t>
  </si>
  <si>
    <t>EST-02512</t>
  </si>
  <si>
    <t>Kristiansund BK 2 vs 0 Fredrikstad FK</t>
  </si>
  <si>
    <t>2026-04-19|Kristiansund BK|Fredrikstad FK</t>
  </si>
  <si>
    <t>EST-02513</t>
  </si>
  <si>
    <t>Vålerenga Fotball 6 vs 1 Aalesunds FK</t>
  </si>
  <si>
    <t>2026-07-16|Vålerenga Fotball|Aalesunds FK</t>
  </si>
  <si>
    <t>EST-02514</t>
  </si>
  <si>
    <t>Vålerenga Fotball 3 vs 1 Kristiansund BK</t>
  </si>
  <si>
    <t>2026-05-29|Vålerenga Fotball|Kristiansund BK</t>
  </si>
  <si>
    <t>EST-02515</t>
  </si>
  <si>
    <t>IK Start 2 vs 0 Vålerenga Fotball</t>
  </si>
  <si>
    <t>2026-05-25|IK Start|Vålerenga Fotball</t>
  </si>
  <si>
    <t>EST-02516</t>
  </si>
  <si>
    <t>Vålerenga Fotball 2 vs 2 KFUM-Kameratene Oslo</t>
  </si>
  <si>
    <t>2026-05-03|Vålerenga Fotball|KFUM-Kameratene Oslo</t>
  </si>
  <si>
    <t>EST-02517</t>
  </si>
  <si>
    <t>Rosenborg BK 2 vs 3 Aalesunds FK</t>
  </si>
  <si>
    <t>2026-05-16|Rosenborg BK|Aalesunds FK</t>
  </si>
  <si>
    <t>EST-02518</t>
  </si>
  <si>
    <t>Aalesunds FK 1 vs 1 Kristiansund BK</t>
  </si>
  <si>
    <t>2026-04-26|Aalesunds FK|Kristiansund BK</t>
  </si>
  <si>
    <t>EST-02519</t>
  </si>
  <si>
    <t>FK Bodø/Glimt 3 vs 0 Aalesunds FK</t>
  </si>
  <si>
    <t>2026-04-18|FK Bodø/Glimt|Aalesunds FK</t>
  </si>
  <si>
    <t>EST-02520</t>
  </si>
  <si>
    <t>KFUM-Kameratene Oslo 2 vs 1 Kristiansund BK</t>
  </si>
  <si>
    <t>2026-08-02|KFUM-Kameratene Oslo|Kristiansund BK</t>
  </si>
  <si>
    <t>EST-02521</t>
  </si>
  <si>
    <t>Kristiansund BK 1 vs 2 IK Start</t>
  </si>
  <si>
    <t>2026-07-25|Kristiansund BK|IK Start</t>
  </si>
  <si>
    <t>EST-02522</t>
  </si>
  <si>
    <t>IK Start 0 vs 3 Rosenborg BK</t>
  </si>
  <si>
    <t>2026-07-18|IK Start|Rosenborg BK</t>
  </si>
  <si>
    <t>EST-02523</t>
  </si>
  <si>
    <t>Rosenborg BK 3 vs 0 Kristiansund BK</t>
  </si>
  <si>
    <t>2026-07-12|Rosenborg BK|Kristiansund BK</t>
  </si>
  <si>
    <t>EST-02524</t>
  </si>
  <si>
    <t>KFUM-Kameratene Oslo 2 vs 0 Rosenborg BK</t>
  </si>
  <si>
    <t>2026-05-25|KFUM-Kameratene Oslo|Rosenborg BK</t>
  </si>
  <si>
    <t>EST-02525</t>
  </si>
  <si>
    <t>Hamarkameratene 4 vs 0 KFUM-Kameratene Oslo</t>
  </si>
  <si>
    <t>2026-04-19|Hamarkameratene|KFUM-Kameratene Oslo</t>
  </si>
  <si>
    <t>Stabæk Fotball 6 vs 0 IL Hødd</t>
  </si>
  <si>
    <t>Stabæk Fotball</t>
  </si>
  <si>
    <t>IL Hødd</t>
  </si>
  <si>
    <t>2026-07-27|Stabæk Fotball|IL Hødd</t>
  </si>
  <si>
    <t>Odds BK 4 vs 1 Åsane Fotball</t>
  </si>
  <si>
    <t>Odds BK</t>
  </si>
  <si>
    <t>Åsane Fotball</t>
  </si>
  <si>
    <t>2026-08-02|Odds BK|Åsane Fotball</t>
  </si>
  <si>
    <t>Lyn 1896 FK 3 vs 2 Sogndal Fotball</t>
  </si>
  <si>
    <t>Lyn 1896 FK</t>
  </si>
  <si>
    <t>Sogndal Fotball</t>
  </si>
  <si>
    <t>2026-08-02|Lyn 1896 FK|Sogndal Fotball</t>
  </si>
  <si>
    <t>Kongsvinger IL</t>
  </si>
  <si>
    <t>Egersunds IK 2 vs 0 Sandnes Ulf</t>
  </si>
  <si>
    <t>Egersunds IK</t>
  </si>
  <si>
    <t>2026-08-02|Egersunds IK|Sandnes Ulf</t>
  </si>
  <si>
    <t>Ranheim Fotball 3 vs 4 FK Haugesund</t>
  </si>
  <si>
    <t>Ranheim Fotball</t>
  </si>
  <si>
    <t>FK Haugesund</t>
  </si>
  <si>
    <t>2026-08-03|Ranheim Fotball|FK Haugesund</t>
  </si>
  <si>
    <t>Kongsvinger IL 1 vs 3 Strømmen IF</t>
  </si>
  <si>
    <t>Strømmen IF</t>
  </si>
  <si>
    <t>2026-08-02|Kongsvinger IL|Strømmen IF</t>
  </si>
  <si>
    <t>EST-02526</t>
  </si>
  <si>
    <t>FK Haugesund 7 vs 2 Raufoss Fotball</t>
  </si>
  <si>
    <t>Raufoss Fotball</t>
  </si>
  <si>
    <t>2026-08-09|FK Haugesund|Raufoss Fotball</t>
  </si>
  <si>
    <t>EST-02527</t>
  </si>
  <si>
    <t>FK Haugesund 1 vs 2 Bryne FK</t>
  </si>
  <si>
    <t>Bryne FK</t>
  </si>
  <si>
    <t>2026-07-25|FK Haugesund|Bryne FK</t>
  </si>
  <si>
    <t>EST-02528</t>
  </si>
  <si>
    <t>Odds BK 1 vs 3 FK Haugesund</t>
  </si>
  <si>
    <t>2026-07-05|Odds BK|FK Haugesund</t>
  </si>
  <si>
    <t>EST-02529</t>
  </si>
  <si>
    <t>FK Haugesund 4 vs 2 Kongsvinger IL</t>
  </si>
  <si>
    <t>2026-06-27|FK Haugesund|Kongsvinger IL</t>
  </si>
  <si>
    <t>EST-02530</t>
  </si>
  <si>
    <t>Egersunds IK 5 vs 2 FK Haugesund</t>
  </si>
  <si>
    <t>2026-06-21|Egersunds IK|FK Haugesund</t>
  </si>
  <si>
    <t>EST-02531</t>
  </si>
  <si>
    <t>FK Haugesund 4 vs 1 Ranheim Fotball</t>
  </si>
  <si>
    <t>2026-06-14|FK Haugesund|Ranheim Fotball</t>
  </si>
  <si>
    <t>EST-02532</t>
  </si>
  <si>
    <t>Raufoss Fotball 3 vs 4 FK Haugesund</t>
  </si>
  <si>
    <t>2026-05-31|Raufoss Fotball|FK Haugesund</t>
  </si>
  <si>
    <t>EST-02533</t>
  </si>
  <si>
    <t>FK Haugesund 3 vs 1 Moss FK</t>
  </si>
  <si>
    <t>Moss FK</t>
  </si>
  <si>
    <t>2026-05-25|FK Haugesund|Moss FK</t>
  </si>
  <si>
    <t>EST-02534</t>
  </si>
  <si>
    <t>Strømmen IF 0 vs 7 FK Haugesund</t>
  </si>
  <si>
    <t>2026-05-20|Strømmen IF|FK Haugesund</t>
  </si>
  <si>
    <t>EST-02535</t>
  </si>
  <si>
    <t>FK Haugesund 1 vs 1 Åsane Fotball</t>
  </si>
  <si>
    <t>2026-05-16|FK Haugesund|Åsane Fotball</t>
  </si>
  <si>
    <t>EST-02536</t>
  </si>
  <si>
    <t>Sogndal Fotball 5 vs 1 FK Haugesund</t>
  </si>
  <si>
    <t>2026-05-10|Sogndal Fotball|FK Haugesund</t>
  </si>
  <si>
    <t>EST-02537</t>
  </si>
  <si>
    <t>Stabæk Fotball 4 vs 3 Lyn 1896 FK</t>
  </si>
  <si>
    <t>2026-08-08|Stabæk Fotball|Lyn 1896 FK</t>
  </si>
  <si>
    <t>EST-02538</t>
  </si>
  <si>
    <t>Raufoss Fotball 0 vs 2 Stabæk Fotball</t>
  </si>
  <si>
    <t>2026-08-02|Raufoss Fotball|Stabæk Fotball</t>
  </si>
  <si>
    <t>EST-02539</t>
  </si>
  <si>
    <t>Ranheim Fotball 2 vs 5 Stabæk Fotball</t>
  </si>
  <si>
    <t>2026-07-03|Ranheim Fotball|Stabæk Fotball</t>
  </si>
  <si>
    <t>EST-02540</t>
  </si>
  <si>
    <t>Stabæk Fotball 2 vs 0 Bryne FK</t>
  </si>
  <si>
    <t>2026-06-27|Stabæk Fotball|Bryne FK</t>
  </si>
  <si>
    <t>EST-02541</t>
  </si>
  <si>
    <t>Strømmen IF 1 vs 0 Stabæk Fotball</t>
  </si>
  <si>
    <t>2026-06-21|Strømmen IF|Stabæk Fotball</t>
  </si>
  <si>
    <t>EST-02542</t>
  </si>
  <si>
    <t>Stabæk Fotball 3 vs 1 Egersunds IK</t>
  </si>
  <si>
    <t>2026-06-14|Stabæk Fotball|Egersunds IK</t>
  </si>
  <si>
    <t>EST-02543</t>
  </si>
  <si>
    <t>Moss FK 2 vs 2 Stabæk Fotball</t>
  </si>
  <si>
    <t>2026-05-30|Moss FK|Stabæk Fotball</t>
  </si>
  <si>
    <t>EST-02544</t>
  </si>
  <si>
    <t>Stabæk Fotball 2 vs 0 Kongsvinger IL</t>
  </si>
  <si>
    <t>2026-05-25|Stabæk Fotball|Kongsvinger IL</t>
  </si>
  <si>
    <t>EST-02545</t>
  </si>
  <si>
    <t>Sogndal Fotball 2 vs 2 Stabæk Fotball</t>
  </si>
  <si>
    <t>2026-05-20|Sogndal Fotball|Stabæk Fotball</t>
  </si>
  <si>
    <t>EST-02546</t>
  </si>
  <si>
    <t>Stabæk Fotball 1 vs 2 Raufoss Fotball</t>
  </si>
  <si>
    <t>2026-05-16|Stabæk Fotball|Raufoss Fotball</t>
  </si>
  <si>
    <t>EST-02547</t>
  </si>
  <si>
    <t>Sandnes Ulf 0 vs 1 Stabæk Fotball</t>
  </si>
  <si>
    <t>2026-05-10|Sandnes Ulf|Stabæk Fotball</t>
  </si>
  <si>
    <t>EST-02548</t>
  </si>
  <si>
    <t>Åsane Fotball 1 vs 2 Kongsvinger IL</t>
  </si>
  <si>
    <t>2026-08-09|Åsane Fotball|Kongsvinger IL</t>
  </si>
  <si>
    <t>EST-02549</t>
  </si>
  <si>
    <t>Sandnes Ulf 1 vs 6 Kongsvinger IL</t>
  </si>
  <si>
    <t>2026-07-26|Sandnes Ulf|Kongsvinger IL</t>
  </si>
  <si>
    <t>EST-02550</t>
  </si>
  <si>
    <t>Kongsvinger IL 5 vs 1 Sogndal Fotball</t>
  </si>
  <si>
    <t>2026-07-03|Kongsvinger IL|Sogndal Fotball</t>
  </si>
  <si>
    <t>EST-02551</t>
  </si>
  <si>
    <t>Kongsvinger IL 4 vs 4 Strømsgodset IF</t>
  </si>
  <si>
    <t>Strømsgodset IF</t>
  </si>
  <si>
    <t>2026-06-21|Kongsvinger IL|Strømsgodset IF</t>
  </si>
  <si>
    <t>EST-02552</t>
  </si>
  <si>
    <t>IL Hødd 1 vs 2 Kongsvinger IL</t>
  </si>
  <si>
    <t>2026-06-14|IL Hødd|Kongsvinger IL</t>
  </si>
  <si>
    <t>EST-02553</t>
  </si>
  <si>
    <t>Kongsvinger IL 3 vs 1 Åsane Fotball</t>
  </si>
  <si>
    <t>2026-05-31|Kongsvinger IL|Åsane Fotball</t>
  </si>
  <si>
    <t>EST-02554</t>
  </si>
  <si>
    <t>Kongsvinger IL 4 vs 2 Odds BK</t>
  </si>
  <si>
    <t>2026-05-20|Kongsvinger IL|Odds BK</t>
  </si>
  <si>
    <t>EST-02555</t>
  </si>
  <si>
    <t>Lyn 1896 FK 0 vs 3 Kongsvinger IL</t>
  </si>
  <si>
    <t>2026-05-16|Lyn 1896 FK|Kongsvinger IL</t>
  </si>
  <si>
    <t>EST-02556</t>
  </si>
  <si>
    <t>Ranheim Fotball 1 vs 1 Kongsvinger IL</t>
  </si>
  <si>
    <t>2026-05-08|Ranheim Fotball|Kongsvinger IL</t>
  </si>
  <si>
    <t>EST-02557</t>
  </si>
  <si>
    <t>Strømsgodset IF 0 vs 2 Egersunds IK</t>
  </si>
  <si>
    <t>2026-08-09|Strømsgodset IF|Egersunds IK</t>
  </si>
  <si>
    <t>EST-02558</t>
  </si>
  <si>
    <t>Bryne FK 0 vs 2 Strømsgodset IF</t>
  </si>
  <si>
    <t>2026-08-01|Bryne FK|Strømsgodset IF</t>
  </si>
  <si>
    <t>EST-02559</t>
  </si>
  <si>
    <t>Strømsgodset IF 1 vs 1 Lyn 1896 FK</t>
  </si>
  <si>
    <t>2026-07-25|Strømsgodset IF|Lyn 1896 FK</t>
  </si>
  <si>
    <t>EST-02560</t>
  </si>
  <si>
    <t>IL Hødd 4 vs 3 Strømsgodset IF</t>
  </si>
  <si>
    <t>2026-07-04|IL Hødd|Strømsgodset IF</t>
  </si>
  <si>
    <t>EST-02561</t>
  </si>
  <si>
    <t>Strømsgodset IF 2 vs 2 Odds BK</t>
  </si>
  <si>
    <t>2026-06-27|Strømsgodset IF|Odds BK</t>
  </si>
  <si>
    <t>EST-02562</t>
  </si>
  <si>
    <t>Strømsgodset IF 6 vs 1 Raufoss Fotball</t>
  </si>
  <si>
    <t>2026-06-14|Strømsgodset IF|Raufoss Fotball</t>
  </si>
  <si>
    <t>EST-02563</t>
  </si>
  <si>
    <t>Egersunds IK 0 vs 5 Strømsgodset IF</t>
  </si>
  <si>
    <t>2026-05-31|Egersunds IK|Strømsgodset IF</t>
  </si>
  <si>
    <t>EST-02564</t>
  </si>
  <si>
    <t>Strømsgodset IF 1 vs 0 Bryne FK</t>
  </si>
  <si>
    <t>2026-05-25|Strømsgodset IF|Bryne FK</t>
  </si>
  <si>
    <t>EST-02565</t>
  </si>
  <si>
    <t>Moss FK 1 vs 1 Strømsgodset IF</t>
  </si>
  <si>
    <t>2026-05-20|Moss FK|Strømsgodset IF</t>
  </si>
  <si>
    <t>EST-02566</t>
  </si>
  <si>
    <t>Strømsgodset IF 5 vs 4 Ranheim Fotball</t>
  </si>
  <si>
    <t>2026-05-16|Strømsgodset IF|Ranheim Fotball</t>
  </si>
  <si>
    <t>EST-02567</t>
  </si>
  <si>
    <t>Åsane Fotball 0 vs 3 Strømsgodset IF</t>
  </si>
  <si>
    <t>2026-05-10|Åsane Fotball|Strømsgodset IF</t>
  </si>
  <si>
    <t>EST-02568</t>
  </si>
  <si>
    <t>Moss FK 3 vs 3 Odds BK</t>
  </si>
  <si>
    <t>2026-08-10|Moss FK|Odds BK</t>
  </si>
  <si>
    <t>EST-02569</t>
  </si>
  <si>
    <t>Strømmen IF 0 vs 0 Odds BK</t>
  </si>
  <si>
    <t>2026-07-26|Strømmen IF|Odds BK</t>
  </si>
  <si>
    <t>EST-02570</t>
  </si>
  <si>
    <t>Odds BK 0 vs 0 IL Hødd</t>
  </si>
  <si>
    <t>2026-06-21|Odds BK|IL Hødd</t>
  </si>
  <si>
    <t>EST-02571</t>
  </si>
  <si>
    <t>Åsane Fotball 2 vs 1 Odds BK</t>
  </si>
  <si>
    <t>2026-06-14|Åsane Fotball|Odds BK</t>
  </si>
  <si>
    <t>EST-02572</t>
  </si>
  <si>
    <t>Odds BK 3 vs 0 Lyn 1896 FK</t>
  </si>
  <si>
    <t>2026-05-30|Odds BK|Lyn 1896 FK</t>
  </si>
  <si>
    <t>EST-02573</t>
  </si>
  <si>
    <t>Odds BK 3 vs 1 Ranheim Fotball</t>
  </si>
  <si>
    <t>2026-05-25|Odds BK|Ranheim Fotball</t>
  </si>
  <si>
    <t>EST-02574</t>
  </si>
  <si>
    <t>Odds BK 2 vs 3 Moss FK</t>
  </si>
  <si>
    <t>2026-05-16|Odds BK|Moss FK</t>
  </si>
  <si>
    <t>EST-02575</t>
  </si>
  <si>
    <t>Egersunds IK 0 vs 1 Odds BK</t>
  </si>
  <si>
    <t>2026-05-11|Egersunds IK|Odds BK</t>
  </si>
  <si>
    <t>EST-02576</t>
  </si>
  <si>
    <t>Sandnes Ulf 3 vs 4 IL Hødd</t>
  </si>
  <si>
    <t>2026-08-09|Sandnes Ulf|IL Hødd</t>
  </si>
  <si>
    <t>EST-02577</t>
  </si>
  <si>
    <t>IL Hødd 2 vs 1 Moss FK</t>
  </si>
  <si>
    <t>2026-08-02|IL Hødd|Moss FK</t>
  </si>
  <si>
    <t>EST-02578</t>
  </si>
  <si>
    <t>Lyn 1896 FK 1 vs 4 IL Hødd</t>
  </si>
  <si>
    <t>2026-06-27|Lyn 1896 FK|IL Hødd</t>
  </si>
  <si>
    <t>EST-02579</t>
  </si>
  <si>
    <t>Bryne FK 1 vs 0 IL Hødd</t>
  </si>
  <si>
    <t>2026-05-31|Bryne FK|IL Hødd</t>
  </si>
  <si>
    <t>EST-02580</t>
  </si>
  <si>
    <t>IL Hødd 3 vs 1 Egersunds IK</t>
  </si>
  <si>
    <t>2026-05-25|IL Hødd|Egersunds IK</t>
  </si>
  <si>
    <t>EST-02581</t>
  </si>
  <si>
    <t>Ranheim Fotball 3 vs 2 IL Hødd</t>
  </si>
  <si>
    <t>2026-05-20|Ranheim Fotball|IL Hødd</t>
  </si>
  <si>
    <t>EST-02582</t>
  </si>
  <si>
    <t>IL Hødd 2 vs 2 Sogndal Fotball</t>
  </si>
  <si>
    <t>2026-05-16|IL Hødd|Sogndal Fotball</t>
  </si>
  <si>
    <t>EST-02583</t>
  </si>
  <si>
    <t>Strømmen IF 1 vs 2 IL Hødd</t>
  </si>
  <si>
    <t>2026-05-10|Strømmen IF|IL Hødd</t>
  </si>
  <si>
    <t>EST-02584</t>
  </si>
  <si>
    <t>Åsane Fotball 3 vs 3 Egersunds IK</t>
  </si>
  <si>
    <t>2026-07-26|Åsane Fotball|Egersunds IK</t>
  </si>
  <si>
    <t>EST-02585</t>
  </si>
  <si>
    <t>Egersunds IK 3 vs 0 Moss FK</t>
  </si>
  <si>
    <t>2026-07-04|Egersunds IK|Moss FK</t>
  </si>
  <si>
    <t>EST-02586</t>
  </si>
  <si>
    <t>Sogndal Fotball 4 vs 2 Egersunds IK</t>
  </si>
  <si>
    <t>2026-06-27|Sogndal Fotball|Egersunds IK</t>
  </si>
  <si>
    <t>EST-02587</t>
  </si>
  <si>
    <t>Egersunds IK 0 vs 0 Lyn 1896 FK</t>
  </si>
  <si>
    <t>2026-05-20|Egersunds IK|Lyn 1896 FK</t>
  </si>
  <si>
    <t>EST-02588</t>
  </si>
  <si>
    <t>Sandnes Ulf 4 vs 2 Egersunds IK</t>
  </si>
  <si>
    <t>2026-05-15|Sandnes Ulf|Egersunds IK</t>
  </si>
  <si>
    <t>EST-02589</t>
  </si>
  <si>
    <t>Strømmen IF 1 vs 4 Ranheim Fotball</t>
  </si>
  <si>
    <t>2026-08-09|Strømmen IF|Ranheim Fotball</t>
  </si>
  <si>
    <t>EST-02590</t>
  </si>
  <si>
    <t>Sogndal Fotball 3 vs 2 Ranheim Fotball</t>
  </si>
  <si>
    <t>2026-07-26|Sogndal Fotball|Ranheim Fotball</t>
  </si>
  <si>
    <t>EST-02591</t>
  </si>
  <si>
    <t>Åsane Fotball 3 vs 0 Ranheim Fotball</t>
  </si>
  <si>
    <t>2026-06-27|Åsane Fotball|Ranheim Fotball</t>
  </si>
  <si>
    <t>EST-02592</t>
  </si>
  <si>
    <t>Ranheim Fotball 3 vs 2 Lyn 1896 FK</t>
  </si>
  <si>
    <t>2026-06-19|Ranheim Fotball|Lyn 1896 FK</t>
  </si>
  <si>
    <t>EST-02593</t>
  </si>
  <si>
    <t>Ranheim Fotball 5 vs 1 Sandnes Ulf</t>
  </si>
  <si>
    <t>2026-05-31|Ranheim Fotball|Sandnes Ulf</t>
  </si>
  <si>
    <t>EST-02594</t>
  </si>
  <si>
    <t>Sogndal Fotball 0 vs 2 Bryne FK</t>
  </si>
  <si>
    <t>2026-08-09|Sogndal Fotball|Bryne FK</t>
  </si>
  <si>
    <t>EST-02595</t>
  </si>
  <si>
    <t>Bryne FK 1 vs 1 Sandnes Ulf</t>
  </si>
  <si>
    <t>2026-07-04|Bryne FK|Sandnes Ulf</t>
  </si>
  <si>
    <t>EST-02596</t>
  </si>
  <si>
    <t>Bryne FK 1 vs 0 Åsane Fotball</t>
  </si>
  <si>
    <t>2026-06-21|Bryne FK|Åsane Fotball</t>
  </si>
  <si>
    <t>EST-02597</t>
  </si>
  <si>
    <t>Lyn 1896 FK 0 vs 3 Bryne FK</t>
  </si>
  <si>
    <t>2026-06-14|Lyn 1896 FK|Bryne FK</t>
  </si>
  <si>
    <t>EST-02598</t>
  </si>
  <si>
    <t>Raufoss Fotball 3 vs 0 Bryne FK</t>
  </si>
  <si>
    <t>2026-05-20|Raufoss Fotball|Bryne FK</t>
  </si>
  <si>
    <t>EST-02599</t>
  </si>
  <si>
    <t>Bryne FK 4 vs 2 Strømmen IF</t>
  </si>
  <si>
    <t>2026-05-16|Bryne FK|Strømmen IF</t>
  </si>
  <si>
    <t>EST-02600</t>
  </si>
  <si>
    <t>Moss FK 2 vs 3 Bryne FK</t>
  </si>
  <si>
    <t>2026-05-10|Moss FK|Bryne FK</t>
  </si>
  <si>
    <t>EST-02601</t>
  </si>
  <si>
    <t>Sandnes Ulf 3 vs 0 Raufoss Fotball</t>
  </si>
  <si>
    <t>2026-06-27|Sandnes Ulf|Raufoss Fotball</t>
  </si>
  <si>
    <t>EST-02602</t>
  </si>
  <si>
    <t>Moss FK 1 vs 4 Sandnes Ulf</t>
  </si>
  <si>
    <t>2026-06-21|Moss FK|Sandnes Ulf</t>
  </si>
  <si>
    <t>EST-02603</t>
  </si>
  <si>
    <t>Sandnes Ulf 2 vs 0 Strømmen IF</t>
  </si>
  <si>
    <t>2026-06-14|Sandnes Ulf|Strømmen IF</t>
  </si>
  <si>
    <t>EST-02604</t>
  </si>
  <si>
    <t>Sandnes Ulf 2 vs 0 Sogndal Fotball</t>
  </si>
  <si>
    <t>2026-05-25|Sandnes Ulf|Sogndal Fotball</t>
  </si>
  <si>
    <t>EST-02605</t>
  </si>
  <si>
    <t>Åsane Fotball 2 vs 0 Sandnes Ulf</t>
  </si>
  <si>
    <t>2026-05-20|Åsane Fotball|Sandnes Ulf</t>
  </si>
  <si>
    <t>EST-02606</t>
  </si>
  <si>
    <t>Moss FK 1 vs 2 Raufoss Fotball</t>
  </si>
  <si>
    <t>2026-07-26|Moss FK|Raufoss Fotball</t>
  </si>
  <si>
    <t>EST-02607</t>
  </si>
  <si>
    <t>Strømmen IF 3 vs 2 Moss FK</t>
  </si>
  <si>
    <t>2026-06-27|Strømmen IF|Moss FK</t>
  </si>
  <si>
    <t>EST-02608</t>
  </si>
  <si>
    <t>Sogndal Fotball 2 vs 4 Moss FK</t>
  </si>
  <si>
    <t>2026-06-14|Sogndal Fotball|Moss FK</t>
  </si>
  <si>
    <t>EST-02609</t>
  </si>
  <si>
    <t>Raufoss Fotball 3 vs 1 Sogndal Fotball</t>
  </si>
  <si>
    <t>2026-06-21|Raufoss Fotball|Sogndal Fotball</t>
  </si>
  <si>
    <t>EST-02610</t>
  </si>
  <si>
    <t>Strømmen IF 2 vs 3 Sogndal Fotball</t>
  </si>
  <si>
    <t>2026-05-31|Strømmen IF|Sogndal Fotball</t>
  </si>
  <si>
    <t>EST-02611</t>
  </si>
  <si>
    <t>Lyn 1896 FK 6 vs 2 Åsane Fotball</t>
  </si>
  <si>
    <t>2026-07-02|Lyn 1896 FK|Åsane Fotball</t>
  </si>
  <si>
    <t>EST-02612</t>
  </si>
  <si>
    <t>Raufoss Fotball 1 vs 0 Strømmen IF</t>
  </si>
  <si>
    <t>2026-07-03|Raufoss Fotball|Strømmen IF</t>
  </si>
  <si>
    <t>EST-02613</t>
  </si>
  <si>
    <t>Åsane Fotball 3 vs 0 Raufoss Fotball</t>
  </si>
  <si>
    <t>2026-05-25|Åsane Fotball|Raufoss Fotball</t>
  </si>
  <si>
    <t>EST-02614</t>
  </si>
  <si>
    <t>Lyn 1896 FK 1 vs 0 Strømmen IF</t>
  </si>
  <si>
    <t>2026-05-25|Lyn 1896 FK|Strømmen IF</t>
  </si>
  <si>
    <t>EST-02615</t>
  </si>
  <si>
    <t>Raufoss Fotball 0 vs 1 Lyn 1896 FK</t>
  </si>
  <si>
    <t>2026-05-10|Raufoss Fotball|Lyn 1896 FK</t>
  </si>
  <si>
    <t>EST-02616</t>
  </si>
  <si>
    <t>Yunnan Yukun 1 vs 0 Chengdu Rongcheng</t>
  </si>
  <si>
    <t>Yunnan Yukun</t>
  </si>
  <si>
    <t>Chengdu Rongcheng</t>
  </si>
  <si>
    <t>2026-08-08|Yunnan Yukun|Chengdu Rongcheng</t>
  </si>
  <si>
    <t>EST-02617</t>
  </si>
  <si>
    <t>Chengdu Rongcheng 1 vs 1 Wuhan Three Towns</t>
  </si>
  <si>
    <t>Wuhan Three Towns</t>
  </si>
  <si>
    <t>2026-08-01|Chengdu Rongcheng|Wuhan Three Towns</t>
  </si>
  <si>
    <t>EST-02618</t>
  </si>
  <si>
    <t>Chengdu Rongcheng 2 vs 2 Beijing Guoan</t>
  </si>
  <si>
    <t>2026-07-26|Chengdu Rongcheng|Beijing Guoan</t>
  </si>
  <si>
    <t>EST-02619</t>
  </si>
  <si>
    <t>Qingdao West Coast 1 vs 1 Chengdu Rongcheng</t>
  </si>
  <si>
    <t>Qingdao West Coast</t>
  </si>
  <si>
    <t>2026-07-17|Qingdao West Coast|Chengdu Rongcheng</t>
  </si>
  <si>
    <t>EST-02620</t>
  </si>
  <si>
    <t>Chengdu Rongcheng 1 vs 1 Chongqing Tonglianglong</t>
  </si>
  <si>
    <t>Chongqing Tonglianglong</t>
  </si>
  <si>
    <t>2026-07-11|Chengdu Rongcheng|Chongqing Tonglianglong</t>
  </si>
  <si>
    <t>EST-02621</t>
  </si>
  <si>
    <t>Qingdao Hainiu 1 vs 1 Chengdu Rongcheng</t>
  </si>
  <si>
    <t>Qingdao Hainiu</t>
  </si>
  <si>
    <t>2026-07-05|Qingdao Hainiu|Chengdu Rongcheng</t>
  </si>
  <si>
    <t>EST-02622</t>
  </si>
  <si>
    <t>Shenzhen Xinpengcheng 2 vs 3 Chengdu Rongcheng</t>
  </si>
  <si>
    <t>2026-06-27|Shenzhen Xinpengcheng|Chengdu Rongcheng</t>
  </si>
  <si>
    <t>EST-02623</t>
  </si>
  <si>
    <t>Chengdu Rongcheng 1 vs 0 Shandong Taishan</t>
  </si>
  <si>
    <t>Shandong Taishan</t>
  </si>
  <si>
    <t>2026-05-30|Chengdu Rongcheng|Shandong Taishan</t>
  </si>
  <si>
    <t>EST-02624</t>
  </si>
  <si>
    <t>Dalian Yingbo 2 vs 0 Chengdu Rongcheng</t>
  </si>
  <si>
    <t>Dalian Yingbo</t>
  </si>
  <si>
    <t>2026-05-23|Dalian Yingbo|Chengdu Rongcheng</t>
  </si>
  <si>
    <t>EST-02625</t>
  </si>
  <si>
    <t>Chengdu Rongcheng 0 vs 1 Shanghai Port</t>
  </si>
  <si>
    <t>Shanghai Port</t>
  </si>
  <si>
    <t>2026-05-19|Chengdu Rongcheng|Shanghai Port</t>
  </si>
  <si>
    <t>EST-02626</t>
  </si>
  <si>
    <t>Tianjin Jinmen Tiger 1 vs 2 Chengdu Rongcheng</t>
  </si>
  <si>
    <t>Tianjin Jinmen Tiger</t>
  </si>
  <si>
    <t>2026-05-15|Tianjin Jinmen Tiger|Chengdu Rongcheng</t>
  </si>
  <si>
    <t>EST-02627</t>
  </si>
  <si>
    <t>Chengdu Rongcheng 3 vs 0 Henan FC</t>
  </si>
  <si>
    <t>Henan FC</t>
  </si>
  <si>
    <t>2026-05-09|Chengdu Rongcheng|Henan FC</t>
  </si>
  <si>
    <t>EST-02628</t>
  </si>
  <si>
    <t>Henan FC 0 vs 0 Qingdao West Coast</t>
  </si>
  <si>
    <t>2026-08-09|Henan FC|Qingdao West Coast</t>
  </si>
  <si>
    <t>EST-02629</t>
  </si>
  <si>
    <t>Qingdao West Coast 2 vs 0 Qingdao Hainiu</t>
  </si>
  <si>
    <t>2026-08-02|Qingdao West Coast|Qingdao Hainiu</t>
  </si>
  <si>
    <t>EST-02630</t>
  </si>
  <si>
    <t>Liaoning Tieren 0 vs 1 Qingdao West Coast</t>
  </si>
  <si>
    <t>Liaoning Tieren</t>
  </si>
  <si>
    <t>2026-07-25|Liaoning Tieren|Qingdao West Coast</t>
  </si>
  <si>
    <t>EST-02631</t>
  </si>
  <si>
    <t>Shenzhen Xinpengcheng 3 vs 0 Qingdao West Coast</t>
  </si>
  <si>
    <t>2026-07-11|Shenzhen Xinpengcheng|Qingdao West Coast</t>
  </si>
  <si>
    <t>EST-02632</t>
  </si>
  <si>
    <t>Qingdao West Coast 2 vs 1 Shanghai Port</t>
  </si>
  <si>
    <t>2026-07-04|Qingdao West Coast|Shanghai Port</t>
  </si>
  <si>
    <t>EST-02633</t>
  </si>
  <si>
    <t>Qingdao West Coast 3 vs 1 Zhejiang Professional FC</t>
  </si>
  <si>
    <t>Zhejiang Professional FC</t>
  </si>
  <si>
    <t>2026-06-28|Qingdao West Coast|Zhejiang Professional FC</t>
  </si>
  <si>
    <t>EST-02634</t>
  </si>
  <si>
    <t>Qingdao West Coast 2 vs 2 Shanghai Shenhua</t>
  </si>
  <si>
    <t>Shanghai Shenhua</t>
  </si>
  <si>
    <t>2026-05-30|Qingdao West Coast|Shanghai Shenhua</t>
  </si>
  <si>
    <t>EST-02635</t>
  </si>
  <si>
    <t>Yunnan Yukun 2 vs 3 Qingdao West Coast</t>
  </si>
  <si>
    <t>2026-05-24|Yunnan Yukun|Qingdao West Coast</t>
  </si>
  <si>
    <t>EST-02636</t>
  </si>
  <si>
    <t>Qingdao West Coast 1 vs 1 Beijing Guoan</t>
  </si>
  <si>
    <t>2026-05-19|Qingdao West Coast|Beijing Guoan</t>
  </si>
  <si>
    <t>EST-02637</t>
  </si>
  <si>
    <t>Dalian Yingbo 2 vs 3 Qingdao West Coast</t>
  </si>
  <si>
    <t>2026-05-15|Dalian Yingbo|Qingdao West Coast</t>
  </si>
  <si>
    <t>EST-02638</t>
  </si>
  <si>
    <t>Qingdao West Coast 1 vs 1 Wuhan Three Towns</t>
  </si>
  <si>
    <t>2026-05-10|Qingdao West Coast|Wuhan Three Towns</t>
  </si>
  <si>
    <t>EST-02639</t>
  </si>
  <si>
    <t>Dalian Yingbo 1 vs 0 Liaoning Tieren</t>
  </si>
  <si>
    <t>2026-08-08|Dalian Yingbo|Liaoning Tieren</t>
  </si>
  <si>
    <t>EST-02640</t>
  </si>
  <si>
    <t>Henan FC 1 vs 1 Dalian Yingbo</t>
  </si>
  <si>
    <t>2026-07-31|Henan FC|Dalian Yingbo</t>
  </si>
  <si>
    <t>EST-02641</t>
  </si>
  <si>
    <t>Zhejiang Professional FC 3 vs 2 Dalian Yingbo</t>
  </si>
  <si>
    <t>2026-07-26|Zhejiang Professional FC|Dalian Yingbo</t>
  </si>
  <si>
    <t>EST-02642</t>
  </si>
  <si>
    <t>Dalian Yingbo 3 vs 1 Shandong Taishan</t>
  </si>
  <si>
    <t>2026-07-18|Dalian Yingbo|Shandong Taishan</t>
  </si>
  <si>
    <t>EST-02643</t>
  </si>
  <si>
    <t>Dalian Yingbo 3 vs 2 Wuhan Three Towns</t>
  </si>
  <si>
    <t>2026-07-04|Dalian Yingbo|Wuhan Three Towns</t>
  </si>
  <si>
    <t>EST-02644</t>
  </si>
  <si>
    <t>Dalian Yingbo 1 vs 4 Shanghai Shenhua</t>
  </si>
  <si>
    <t>2026-06-28|Dalian Yingbo|Shanghai Shenhua</t>
  </si>
  <si>
    <t>EST-02645</t>
  </si>
  <si>
    <t>Tianjin Jinmen Tiger 1 vs 0 Dalian Yingbo</t>
  </si>
  <si>
    <t>2026-05-31|Tianjin Jinmen Tiger|Dalian Yingbo</t>
  </si>
  <si>
    <t>EST-02646</t>
  </si>
  <si>
    <t>Shenzhen Xinpengcheng 1 vs 1 Dalian Yingbo</t>
  </si>
  <si>
    <t>2026-05-19|Shenzhen Xinpengcheng|Dalian Yingbo</t>
  </si>
  <si>
    <t>EST-02647</t>
  </si>
  <si>
    <t>Qingdao Hainiu 3 vs 1 Dalian Yingbo</t>
  </si>
  <si>
    <t>2026-05-10|Qingdao Hainiu|Dalian Yingbo</t>
  </si>
  <si>
    <t>EST-02648</t>
  </si>
  <si>
    <t>Beijing Guoan 3 vs 0 Dalian Yingbo</t>
  </si>
  <si>
    <t>2026-05-06|Beijing Guoan|Dalian Yingbo</t>
  </si>
  <si>
    <t>EST-02649</t>
  </si>
  <si>
    <t>Tianjin Jinmen Tiger 3 vs 2 Yunnan Yukun</t>
  </si>
  <si>
    <t>2026-08-01|Tianjin Jinmen Tiger|Yunnan Yukun</t>
  </si>
  <si>
    <t>EST-02650</t>
  </si>
  <si>
    <t>Yunnan Yukun 4 vs 3 Shenzhen Xinpengcheng</t>
  </si>
  <si>
    <t>2026-07-26|Yunnan Yukun|Shenzhen Xinpengcheng</t>
  </si>
  <si>
    <t>EST-02651</t>
  </si>
  <si>
    <t>Yunnan Yukun 2 vs 2 Shanghai Port</t>
  </si>
  <si>
    <t>2026-07-17|Yunnan Yukun|Shanghai Port</t>
  </si>
  <si>
    <t>EST-02652</t>
  </si>
  <si>
    <t>Shandong Taishan 4 vs 3 Yunnan Yukun</t>
  </si>
  <si>
    <t>2026-07-10|Shandong Taishan|Yunnan Yukun</t>
  </si>
  <si>
    <t>EST-02653</t>
  </si>
  <si>
    <t>Yunnan Yukun 2 vs 1 Henan FC</t>
  </si>
  <si>
    <t>2026-07-03|Yunnan Yukun|Henan FC</t>
  </si>
  <si>
    <t>EST-02654</t>
  </si>
  <si>
    <t>Qingdao Hainiu 4 vs 2 Yunnan Yukun</t>
  </si>
  <si>
    <t>2026-06-26|Qingdao Hainiu|Yunnan Yukun</t>
  </si>
  <si>
    <t>EST-02655</t>
  </si>
  <si>
    <t>Wuhan Three Towns 1 vs 1 Yunnan Yukun</t>
  </si>
  <si>
    <t>2026-05-31|Wuhan Three Towns|Yunnan Yukun</t>
  </si>
  <si>
    <t>EST-02656</t>
  </si>
  <si>
    <t>Chongqing Tonglianglong 0 vs 0 Yunnan Yukun</t>
  </si>
  <si>
    <t>2026-05-20|Chongqing Tonglianglong|Yunnan Yukun</t>
  </si>
  <si>
    <t>EST-02657</t>
  </si>
  <si>
    <t>Yunnan Yukun 1 vs 0 Shanghai Shenhua</t>
  </si>
  <si>
    <t>2026-05-16|Yunnan Yukun|Shanghai Shenhua</t>
  </si>
  <si>
    <t>EST-02658</t>
  </si>
  <si>
    <t>Liaoning Tieren 1 vs 2 Yunnan Yukun</t>
  </si>
  <si>
    <t>2026-05-10|Liaoning Tieren|Yunnan Yukun</t>
  </si>
  <si>
    <t>EST-02692</t>
  </si>
  <si>
    <t>Shandong Taishan 4 vs 1 Shanghai Shenhua</t>
  </si>
  <si>
    <t>2026-05-05|Shandong Taishan|Shanghai Shenhua</t>
  </si>
  <si>
    <t>EST-02693</t>
  </si>
  <si>
    <t>Chongqing Tonglianglong 1 vs 1 Henan FC</t>
  </si>
  <si>
    <t>2026-05-05|Chongqing Tonglianglong|Henan FC</t>
  </si>
  <si>
    <t>EST-02694</t>
  </si>
  <si>
    <t>Yunnan Yukun 1 vs 2 Zhejiang Professional FC</t>
  </si>
  <si>
    <t>2026-05-06|Yunnan Yukun|Zhejiang Professional FC</t>
  </si>
  <si>
    <t>EST-02695</t>
  </si>
  <si>
    <t>Shanghai Shenhua 2 vs 2 Chongqing Tonglianglong</t>
  </si>
  <si>
    <t>2026-05-09|Shanghai Shenhua|Chongqing Tonglianglong</t>
  </si>
  <si>
    <t>EST-02696</t>
  </si>
  <si>
    <t>Shenzhen Xinpengcheng 1 vs 2 Shandong Taishan</t>
  </si>
  <si>
    <t>2026-05-10|Shenzhen Xinpengcheng|Shandong Taishan</t>
  </si>
  <si>
    <t>EST-02697</t>
  </si>
  <si>
    <t>Zhejiang Professional FC 1 vs 1 Tianjin Jinmen Tiger</t>
  </si>
  <si>
    <t>2026-05-10|Zhejiang Professional FC|Tianjin Jinmen Tiger</t>
  </si>
  <si>
    <t>EST-02698</t>
  </si>
  <si>
    <t>Beijing Guoan 2 vs 2 Shanghai Port</t>
  </si>
  <si>
    <t>2026-05-10|Beijing Guoan|Shanghai Port</t>
  </si>
  <si>
    <t>EST-02699</t>
  </si>
  <si>
    <t>Shanghai Port 2 vs 2 Zhejiang Professional FC</t>
  </si>
  <si>
    <t>2026-05-15|Shanghai Port|Zhejiang Professional FC</t>
  </si>
  <si>
    <t>EST-02700</t>
  </si>
  <si>
    <t>Beijing Guoan 4 vs 2 Qingdao Hainiu</t>
  </si>
  <si>
    <t>2026-05-15|Beijing Guoan|Qingdao Hainiu</t>
  </si>
  <si>
    <t>EST-02701</t>
  </si>
  <si>
    <t>Shandong Taishan 3 vs 1 Chongqing Tonglianglong</t>
  </si>
  <si>
    <t>2026-05-16|Shandong Taishan|Chongqing Tonglianglong</t>
  </si>
  <si>
    <t>EST-02702</t>
  </si>
  <si>
    <t>Zhejiang Professional FC 4 vs 1 Shandong Taishan</t>
  </si>
  <si>
    <t>2026-05-20|Zhejiang Professional FC|Shandong Taishan</t>
  </si>
  <si>
    <t>EST-02703</t>
  </si>
  <si>
    <t>Beijing Guoan 1 vs 2 Henan FC</t>
  </si>
  <si>
    <t>2026-05-23|Beijing Guoan|Henan FC</t>
  </si>
  <si>
    <t>EST-02704</t>
  </si>
  <si>
    <t>Qingdao Hainiu 0 vs 1 Chongqing Tonglianglong</t>
  </si>
  <si>
    <t>2026-05-24|Qingdao Hainiu|Chongqing Tonglianglong</t>
  </si>
  <si>
    <t>EST-02705</t>
  </si>
  <si>
    <t>Zhejiang Professional FC 0 vs 5 Liaoning Tieren</t>
  </si>
  <si>
    <t>2026-05-24|Zhejiang Professional FC|Liaoning Tieren</t>
  </si>
  <si>
    <t>EST-02706</t>
  </si>
  <si>
    <t>Shandong Taishan 3 vs 3 Wuhan Three Towns</t>
  </si>
  <si>
    <t>2026-05-24|Shandong Taishan|Wuhan Three Towns</t>
  </si>
  <si>
    <t>EST-02707</t>
  </si>
  <si>
    <t>Henan FC 0 vs 2 Zhejiang Professional FC</t>
  </si>
  <si>
    <t>2026-05-30|Henan FC|Zhejiang Professional FC</t>
  </si>
  <si>
    <t>EST-02708</t>
  </si>
  <si>
    <t>Chongqing Tonglianglong 2 vs 3 Beijing Guoan</t>
  </si>
  <si>
    <t>2026-05-30|Chongqing Tonglianglong|Beijing Guoan</t>
  </si>
  <si>
    <t>EST-02709</t>
  </si>
  <si>
    <t>Liaoning Tieren 1 vs 5 Shandong Taishan</t>
  </si>
  <si>
    <t>2026-06-27|Liaoning Tieren|Shandong Taishan</t>
  </si>
  <si>
    <t>EST-02710</t>
  </si>
  <si>
    <t>Chongqing Tonglianglong 1 vs 0 Tianjin Jinmen Tiger</t>
  </si>
  <si>
    <t>2026-06-27|Chongqing Tonglianglong|Tianjin Jinmen Tiger</t>
  </si>
  <si>
    <t>EST-02711</t>
  </si>
  <si>
    <t>Beijing Guoan 1 vs 0 Wuhan Three Towns</t>
  </si>
  <si>
    <t>2026-06-27|Beijing Guoan|Wuhan Three Towns</t>
  </si>
  <si>
    <t>EST-02712</t>
  </si>
  <si>
    <t>Liaoning Tieren 3 vs 1 Chongqing Tonglianglong</t>
  </si>
  <si>
    <t>2026-07-04|Liaoning Tieren|Chongqing Tonglianglong</t>
  </si>
  <si>
    <t>EST-02713</t>
  </si>
  <si>
    <t>Beijing Guoan 2 vs 0 Shandong Taishan</t>
  </si>
  <si>
    <t>2026-07-04|Beijing Guoan|Shandong Taishan</t>
  </si>
  <si>
    <t>EST-02714</t>
  </si>
  <si>
    <t>Shanghai Shenhua 3 vs 2 Zhejiang Professional FC</t>
  </si>
  <si>
    <t>2026-07-05|Shanghai Shenhua|Zhejiang Professional FC</t>
  </si>
  <si>
    <t>EST-02715</t>
  </si>
  <si>
    <t>Zhejiang Professional FC 3 vs 2 Qingdao Hainiu</t>
  </si>
  <si>
    <t>2026-07-14|Zhejiang Professional FC|Qingdao Hainiu</t>
  </si>
  <si>
    <t>EST-02716</t>
  </si>
  <si>
    <t>Beijing Guoan 1 vs 1 Liaoning Tieren</t>
  </si>
  <si>
    <t>2026-07-17|Beijing Guoan|Liaoning Tieren</t>
  </si>
  <si>
    <t>EST-02717</t>
  </si>
  <si>
    <t>Chongqing Tonglianglong 1 vs 1 Zhejiang Professional FC</t>
  </si>
  <si>
    <t>2026-07-18|Chongqing Tonglianglong|Zhejiang Professional FC</t>
  </si>
  <si>
    <t>EST-02718</t>
  </si>
  <si>
    <t>Wuhan Three Towns 1 vs 0 Chongqing Tonglianglong</t>
  </si>
  <si>
    <t>2026-07-25|Wuhan Three Towns|Chongqing Tonglianglong</t>
  </si>
  <si>
    <t>EST-02719</t>
  </si>
  <si>
    <t>Shandong Taishan 1 vs 2 Henan FC</t>
  </si>
  <si>
    <t>2026-07-26|Shandong Taishan|Henan FC</t>
  </si>
  <si>
    <t>EST-02720</t>
  </si>
  <si>
    <t>Beijing Guoan 2 vs 1 Zhejiang Professional FC</t>
  </si>
  <si>
    <t>2026-08-01|Beijing Guoan|Zhejiang Professional FC</t>
  </si>
  <si>
    <t>EST-02721</t>
  </si>
  <si>
    <t>Shanghai Port 0 vs 1 Shandong Taishan</t>
  </si>
  <si>
    <t>2026-08-01|Shanghai Port|Shandong Taishan</t>
  </si>
  <si>
    <t>EST-02722</t>
  </si>
  <si>
    <t>Shenzhen Xinpengcheng 2 vs 0 Chongqing Tonglianglong</t>
  </si>
  <si>
    <t>2026-08-02|Shenzhen Xinpengcheng|Chongqing Tonglianglong</t>
  </si>
  <si>
    <t>EST-02723</t>
  </si>
  <si>
    <t>Chongqing Tonglianglong 2 vs 3 Shanghai Port</t>
  </si>
  <si>
    <t>2026-08-09|Chongqing Tonglianglong|Shanghai Port</t>
  </si>
  <si>
    <t>EST-02724</t>
  </si>
  <si>
    <t>Shandong Taishan 2 vs 1 Tianjin Jinmen Tiger</t>
  </si>
  <si>
    <t>2026-08-09|Shandong Taishan|Tianjin Jinmen Tiger</t>
  </si>
  <si>
    <t>EST-02749</t>
  </si>
  <si>
    <t>Liaoning Tieren 0 vs 1 Chengdu Rongcheng</t>
  </si>
  <si>
    <t>2026-05-05|Liaoning Tieren|Chengdu Rongcheng</t>
  </si>
  <si>
    <t>EST-02750</t>
  </si>
  <si>
    <t>Shanghai Port 1 vs 1 Shenzhen Xinpengcheng</t>
  </si>
  <si>
    <t>2026-05-06|Shanghai Port|Shenzhen Xinpengcheng</t>
  </si>
  <si>
    <t>EST-02751</t>
  </si>
  <si>
    <t>Henan FC 1 vs 0 Shenzhen Xinpengcheng</t>
  </si>
  <si>
    <t>2026-05-15|Henan FC|Shenzhen Xinpengcheng</t>
  </si>
  <si>
    <t>EST-02752</t>
  </si>
  <si>
    <t>Wuhan Three Towns 2 vs 2 Liaoning Tieren</t>
  </si>
  <si>
    <t>2026-05-16|Wuhan Three Towns|Liaoning Tieren</t>
  </si>
  <si>
    <t>EST-02753</t>
  </si>
  <si>
    <t>Tianjin Jinmen Tiger 1 vs 2 Henan FC</t>
  </si>
  <si>
    <t>2026-05-19|Tianjin Jinmen Tiger|Henan FC</t>
  </si>
  <si>
    <t>EST-02754</t>
  </si>
  <si>
    <t>Liaoning Tieren 2 vs 1 Qingdao Hainiu</t>
  </si>
  <si>
    <t>2026-05-20|Liaoning Tieren|Qingdao Hainiu</t>
  </si>
  <si>
    <t>EST-02755</t>
  </si>
  <si>
    <t>Shanghai Port 1 vs 1 Tianjin Jinmen Tiger</t>
  </si>
  <si>
    <t>2026-05-23|Shanghai Port|Tianjin Jinmen Tiger</t>
  </si>
  <si>
    <t>EST-02756</t>
  </si>
  <si>
    <t>Shanghai Shenhua 1 vs 2 Shenzhen Xinpengcheng</t>
  </si>
  <si>
    <t>2026-05-24|Shanghai Shenhua|Shenzhen Xinpengcheng</t>
  </si>
  <si>
    <t>EST-02757</t>
  </si>
  <si>
    <t>Liaoning Tieren 3 vs 2 Shanghai Port</t>
  </si>
  <si>
    <t>2026-05-29|Liaoning Tieren|Shanghai Port</t>
  </si>
  <si>
    <t>EST-02758</t>
  </si>
  <si>
    <t>Shenzhen Xinpengcheng 3 vs 2 Qingdao Hainiu</t>
  </si>
  <si>
    <t>2026-05-30|Shenzhen Xinpengcheng|Qingdao Hainiu</t>
  </si>
  <si>
    <t>EST-02759</t>
  </si>
  <si>
    <t>Henan FC 1 vs 2 Shanghai Port</t>
  </si>
  <si>
    <t>2026-06-27|Henan FC|Shanghai Port</t>
  </si>
  <si>
    <t>EST-02760</t>
  </si>
  <si>
    <t>Tianjin Jinmen Tiger 3 vs 0 Shenzhen Xinpengcheng</t>
  </si>
  <si>
    <t>2026-07-04|Tianjin Jinmen Tiger|Shenzhen Xinpengcheng</t>
  </si>
  <si>
    <t>EST-02761</t>
  </si>
  <si>
    <t>Henan FC 5 vs 1 Qingdao Hainiu</t>
  </si>
  <si>
    <t>2026-07-17|Henan FC|Qingdao Hainiu</t>
  </si>
  <si>
    <t>EST-02762</t>
  </si>
  <si>
    <t>Wuhan Three Towns 2 vs 0 Shenzhen Xinpengcheng</t>
  </si>
  <si>
    <t>2026-07-18|Wuhan Three Towns|Shenzhen Xinpengcheng</t>
  </si>
  <si>
    <t>EST-02763</t>
  </si>
  <si>
    <t>Shanghai Port 2 vs 0 Shanghai Shenhua</t>
  </si>
  <si>
    <t>2026-07-25|Shanghai Port|Shanghai Shenhua</t>
  </si>
  <si>
    <t>EST-02764</t>
  </si>
  <si>
    <t>Liaoning Tieren 3 vs 1 Shanghai Shenhua</t>
  </si>
  <si>
    <t>2026-08-02|Liaoning Tieren|Shanghai Shenhua</t>
  </si>
  <si>
    <t>EST-02775</t>
  </si>
  <si>
    <t>Tianjin Jinmen Tiger 2 vs 2 Wuhan Three Towns</t>
  </si>
  <si>
    <t>2026-05-01|Tianjin Jinmen Tiger|Wuhan Three Towns</t>
  </si>
  <si>
    <t>EST-02777</t>
  </si>
  <si>
    <t>Qingdao West Coast 1 vs 1 Tianjin Jinmen Tiger</t>
  </si>
  <si>
    <t>2026-05-05|Qingdao West Coast|Tianjin Jinmen Tiger</t>
  </si>
  <si>
    <t>EST-02778</t>
  </si>
  <si>
    <t>Wuhan Three Towns 1 vs 3 Qingdao Hainiu</t>
  </si>
  <si>
    <t>2026-05-06|Wuhan Three Towns|Qingdao Hainiu</t>
  </si>
  <si>
    <t>EST-02779</t>
  </si>
  <si>
    <t>Shanghai Shenhua 2 vs 2 Wuhan Three Towns</t>
  </si>
  <si>
    <t>2026-05-20|Shanghai Shenhua|Wuhan Three Towns</t>
  </si>
  <si>
    <t>EST-02780</t>
  </si>
  <si>
    <t>Shanghai Shenhua 0 vs 2 Tianjin Jinmen Tiger</t>
  </si>
  <si>
    <t>2026-07-18|Shanghai Shenhua|Tianjin Jinmen Tiger</t>
  </si>
  <si>
    <t>EST-02781</t>
  </si>
  <si>
    <t>Qingdao Hainiu 0 vs 2 Tianjin Jinmen Tiger</t>
  </si>
  <si>
    <t>2026-07-25|Qingdao Hainiu|Tianjin Jinmen Tiger</t>
  </si>
  <si>
    <t>EST-02782</t>
  </si>
  <si>
    <t>Qingdao Hainiu 0 vs 1 Shanghai Shenhua</t>
  </si>
  <si>
    <t>2026-08-08|Qingdao Hainiu|Shanghai Shenhua</t>
  </si>
  <si>
    <t>EST-02783</t>
  </si>
  <si>
    <t>EST-02784</t>
  </si>
  <si>
    <t>EST-02785</t>
  </si>
  <si>
    <t>Cashout integral: retorno bruto R$ 0,56; stake R$ 0,50; lucro líquido R$ 0,06. Placar final 1 x 0.</t>
  </si>
  <si>
    <t>PROVA REAL — DIAGNÓSTICO ROBUSTO DA PARTIDA</t>
  </si>
  <si>
    <t>Condição casa/fora · recência · distribuição empírica · convergência dos modelos · prioridade: acerto</t>
  </si>
  <si>
    <t>SELEÇÃO E CONTEXTO</t>
  </si>
  <si>
    <t>País — Liga</t>
  </si>
  <si>
    <t>Histórico</t>
  </si>
  <si>
    <t>CONDIÇÃO ESPECÍFICA — MANDANTE EM CASA × VISITANTE FORA</t>
  </si>
  <si>
    <t>Mandante em casa</t>
  </si>
  <si>
    <t>Visitante fora</t>
  </si>
  <si>
    <t>Leitura combinada</t>
  </si>
  <si>
    <t>Gols marcados / jogo</t>
  </si>
  <si>
    <t>Gols sofridos / jogo</t>
  </si>
  <si>
    <t>Gols totais / jogo</t>
  </si>
  <si>
    <t>Exatamente 1 gol</t>
  </si>
  <si>
    <t>2+ gols</t>
  </si>
  <si>
    <t>Últimos 5 — gols/jogo</t>
  </si>
  <si>
    <t>Indicador</t>
  </si>
  <si>
    <t>Risco</t>
  </si>
  <si>
    <t>Interpretação</t>
  </si>
  <si>
    <t>Poisson direto</t>
  </si>
  <si>
    <t>Conservador (pior modelo)</t>
  </si>
  <si>
    <t>Empírico mandante/casa</t>
  </si>
  <si>
    <t>Empírico visitante/fora</t>
  </si>
  <si>
    <t>Taxa da liga</t>
  </si>
  <si>
    <t>Empírico ajustado</t>
  </si>
  <si>
    <t>Confirmação dupla</t>
  </si>
  <si>
    <t>DISTRIBUIÇÃO E PROTEÇÃO DAS LINHAS</t>
  </si>
  <si>
    <t>Green alternativo</t>
  </si>
  <si>
    <t>Sem Red alternativo</t>
  </si>
  <si>
    <t>CONCLUSÃO TÉCNICA</t>
  </si>
  <si>
    <t>Regra operacional</t>
  </si>
  <si>
    <t>A linha e a odd disponíveis devem ser informadas antes da decisão final. Odd/EV entram somente após a aprovação técnica por probabilidade de acerto.</t>
  </si>
  <si>
    <t>CONVERGÊNCIA DO RISCO DE 0 x 0</t>
  </si>
  <si>
    <t>League One</t>
  </si>
  <si>
    <t>Wuxi Wugou 2 vs 3 Dalian K'un City</t>
  </si>
  <si>
    <t>Wuxi Wugou</t>
  </si>
  <si>
    <t>Dalian K'un City</t>
  </si>
  <si>
    <t>2026-04-19|Wuxi Wugou|Dalian K'un City</t>
  </si>
  <si>
    <t>Meizhou Hakka 0 vs 3 Ningbo Professional</t>
  </si>
  <si>
    <t>Meizhou Hakka</t>
  </si>
  <si>
    <t>Ningbo Professional</t>
  </si>
  <si>
    <t>2026-04-25|Meizhou Hakka|Ningbo Professional</t>
  </si>
  <si>
    <t>Guangxi Hengchen 1 vs 0 Nanjing City</t>
  </si>
  <si>
    <t>Guangxi Hengchen</t>
  </si>
  <si>
    <t>Nanjing City</t>
  </si>
  <si>
    <t>2026-04-25|Guangxi Hengchen|Nanjing City</t>
  </si>
  <si>
    <t>EST-02786</t>
  </si>
  <si>
    <t>Wuxi Wugou 0 vs 0 Shijiazhuang Gongfu FC</t>
  </si>
  <si>
    <t>Shijiazhuang Gongfu FC</t>
  </si>
  <si>
    <t>2026-04-26|Wuxi Wugou|Shijiazhuang Gongfu FC</t>
  </si>
  <si>
    <t>EST-02787</t>
  </si>
  <si>
    <t>Changchun Yatai 1 vs 2 Guangdong GZ-Power</t>
  </si>
  <si>
    <t>Changchun Yatai</t>
  </si>
  <si>
    <t>Guangdong GZ-Power</t>
  </si>
  <si>
    <t>2026-04-26|Changchun Yatai|Guangdong GZ-Power</t>
  </si>
  <si>
    <t>EST-02788</t>
  </si>
  <si>
    <t>Nantong Zhiyun 1 vs 0 Dalian K'un City</t>
  </si>
  <si>
    <t>Nantong Zhiyun</t>
  </si>
  <si>
    <t>2026-04-26|Nantong Zhiyun|Dalian K'un City</t>
  </si>
  <si>
    <t>EST-02789</t>
  </si>
  <si>
    <t>Dalian K'un City 2 vs 2 Foshan Nanshi</t>
  </si>
  <si>
    <t>Foshan Nanshi</t>
  </si>
  <si>
    <t>2026-05-02|Dalian K'un City|Foshan Nanshi</t>
  </si>
  <si>
    <t>EST-02790</t>
  </si>
  <si>
    <t>Yanbian Longding 1 vs 1 Wuxi Wugou</t>
  </si>
  <si>
    <t>Yanbian Longding</t>
  </si>
  <si>
    <t>2026-05-02|Yanbian Longding|Wuxi Wugou</t>
  </si>
  <si>
    <t>EST-02791</t>
  </si>
  <si>
    <t>Jiangxi Dingnan United 1 vs 1 Shaanxi Union</t>
  </si>
  <si>
    <t>Jiangxi Dingnan United</t>
  </si>
  <si>
    <t>Shaanxi Union</t>
  </si>
  <si>
    <t>2026-05-02|Jiangxi Dingnan United|Shaanxi Union</t>
  </si>
  <si>
    <t>EST-02792</t>
  </si>
  <si>
    <t>Guangdong GZ-Power 3 vs 1 Nantong Zhiyun</t>
  </si>
  <si>
    <t>2026-05-02|Guangdong GZ-Power|Nantong Zhiyun</t>
  </si>
  <si>
    <t>EST-02793</t>
  </si>
  <si>
    <t>Shijiazhuang Gongfu FC 0 vs 3 Guangxi Hengchen</t>
  </si>
  <si>
    <t>2026-05-02|Shijiazhuang Gongfu FC|Guangxi Hengchen</t>
  </si>
  <si>
    <t>EST-02794</t>
  </si>
  <si>
    <t>Ningbo Professional 3 vs 1 Changchun Yatai</t>
  </si>
  <si>
    <t>2026-05-03|Ningbo Professional|Changchun Yatai</t>
  </si>
  <si>
    <t>EST-02795</t>
  </si>
  <si>
    <t>Meizhou Hakka 1 vs 4 Shenzhen Juniors</t>
  </si>
  <si>
    <t>Shenzhen Juniors</t>
  </si>
  <si>
    <t>2026-05-03|Meizhou Hakka|Shenzhen Juniors</t>
  </si>
  <si>
    <t>EST-02796</t>
  </si>
  <si>
    <t>Nanjing City 1 vs 0 Suzhou Dongwu</t>
  </si>
  <si>
    <t>Suzhou Dongwu</t>
  </si>
  <si>
    <t>2026-05-03|Nanjing City|Suzhou Dongwu</t>
  </si>
  <si>
    <t>EST-02797</t>
  </si>
  <si>
    <t>Jiangxi Dingnan United 2 vs 3 Changchun Yatai</t>
  </si>
  <si>
    <t>2026-05-09|Jiangxi Dingnan United|Changchun Yatai</t>
  </si>
  <si>
    <t>EST-02798</t>
  </si>
  <si>
    <t>Nanjing City 2 vs 0 Meizhou Hakka</t>
  </si>
  <si>
    <t>2026-05-09|Nanjing City|Meizhou Hakka</t>
  </si>
  <si>
    <t>EST-02799</t>
  </si>
  <si>
    <t>Dalian K'un City 1 vs 1 Guangdong GZ-Power</t>
  </si>
  <si>
    <t>2026-05-10|Dalian K'un City|Guangdong GZ-Power</t>
  </si>
  <si>
    <t>EST-02800</t>
  </si>
  <si>
    <t>Yanbian Longding 1 vs 1 Guangxi Hengchen</t>
  </si>
  <si>
    <t>2026-05-10|Yanbian Longding|Guangxi Hengchen</t>
  </si>
  <si>
    <t>EST-02801</t>
  </si>
  <si>
    <t>Shaanxi Union 1 vs 1 Ningbo Professional</t>
  </si>
  <si>
    <t>2026-05-10|Shaanxi Union|Ningbo Professional</t>
  </si>
  <si>
    <t>EST-02802</t>
  </si>
  <si>
    <t>Shenzhen Juniors 2 vs 0 Shijiazhuang Gongfu FC</t>
  </si>
  <si>
    <t>2026-05-10|Shenzhen Juniors|Shijiazhuang Gongfu FC</t>
  </si>
  <si>
    <t>EST-02803</t>
  </si>
  <si>
    <t>Foshan Nanshi 1 vs 1 Suzhou Dongwu</t>
  </si>
  <si>
    <t>2026-05-10|Foshan Nanshi|Suzhou Dongwu</t>
  </si>
  <si>
    <t>EST-02804</t>
  </si>
  <si>
    <t>Nantong Zhiyun 1 vs 0 Wuxi Wugou</t>
  </si>
  <si>
    <t>2026-05-10|Nantong Zhiyun|Wuxi Wugou</t>
  </si>
  <si>
    <t>EST-02805</t>
  </si>
  <si>
    <t>Ningbo Professional 1 vs 0 Dalian K'un City</t>
  </si>
  <si>
    <t>2026-05-23|Ningbo Professional|Dalian K'un City</t>
  </si>
  <si>
    <t>EST-02806</t>
  </si>
  <si>
    <t>Wuxi Wugou 1 vs 1 Nanjing City</t>
  </si>
  <si>
    <t>2026-05-23|Wuxi Wugou|Nanjing City</t>
  </si>
  <si>
    <t>EST-02807</t>
  </si>
  <si>
    <t>Foshan Nanshi 1 vs 1 Jiangxi Dingnan United</t>
  </si>
  <si>
    <t>2026-05-23|Foshan Nanshi|Jiangxi Dingnan United</t>
  </si>
  <si>
    <t>EST-02808</t>
  </si>
  <si>
    <t>Guangxi Hengchen 0 vs 0 Nantong Zhiyun</t>
  </si>
  <si>
    <t>2026-05-23|Guangxi Hengchen|Nantong Zhiyun</t>
  </si>
  <si>
    <t>EST-02809</t>
  </si>
  <si>
    <t>Changchun Yatai 0 vs 4 Shenzhen Juniors</t>
  </si>
  <si>
    <t>2026-05-24|Changchun Yatai|Shenzhen Juniors</t>
  </si>
  <si>
    <t>EST-02810</t>
  </si>
  <si>
    <t>Suzhou Dongwu 0 vs 3 Shaanxi Union</t>
  </si>
  <si>
    <t>2026-05-24|Suzhou Dongwu|Shaanxi Union</t>
  </si>
  <si>
    <t>EST-02811</t>
  </si>
  <si>
    <t>Guangdong GZ-Power 3 vs 4 Yanbian Longding</t>
  </si>
  <si>
    <t>2026-05-24|Guangdong GZ-Power|Yanbian Longding</t>
  </si>
  <si>
    <t>EST-02812</t>
  </si>
  <si>
    <t>Shijiazhuang Gongfu FC 0 vs 1 Meizhou Hakka</t>
  </si>
  <si>
    <t>2026-05-24|Shijiazhuang Gongfu FC|Meizhou Hakka</t>
  </si>
  <si>
    <t>EST-02813</t>
  </si>
  <si>
    <t>Shaanxi Union 0 vs 1 Nanjing City</t>
  </si>
  <si>
    <t>2026-05-29|Shaanxi Union|Nanjing City</t>
  </si>
  <si>
    <t>EST-02814</t>
  </si>
  <si>
    <t>Ningbo Professional 1 vs 1 Nantong Zhiyun</t>
  </si>
  <si>
    <t>2026-05-29|Ningbo Professional|Nantong Zhiyun</t>
  </si>
  <si>
    <t>EST-02815</t>
  </si>
  <si>
    <t>Guangdong GZ-Power 0 vs 0 Shenzhen Juniors</t>
  </si>
  <si>
    <t>2026-05-29|Guangdong GZ-Power|Shenzhen Juniors</t>
  </si>
  <si>
    <t>EST-02816</t>
  </si>
  <si>
    <t>Yanbian Longding 2 vs 2 Changchun Yatai</t>
  </si>
  <si>
    <t>2026-05-30|Yanbian Longding|Changchun Yatai</t>
  </si>
  <si>
    <t>EST-02817</t>
  </si>
  <si>
    <t>Dalian K'un City 0 vs 0 Shijiazhuang Gongfu FC</t>
  </si>
  <si>
    <t>2026-05-30|Dalian K'un City|Shijiazhuang Gongfu FC</t>
  </si>
  <si>
    <t>EST-02818</t>
  </si>
  <si>
    <t>Suzhou Dongwu 1 vs 3 Wuxi Wugou</t>
  </si>
  <si>
    <t>2026-05-30|Suzhou Dongwu|Wuxi Wugou</t>
  </si>
  <si>
    <t>EST-02819</t>
  </si>
  <si>
    <t>Guangxi Hengchen 3 vs 3 Foshan Nanshi</t>
  </si>
  <si>
    <t>2026-05-30|Guangxi Hengchen|Foshan Nanshi</t>
  </si>
  <si>
    <t>EST-02820</t>
  </si>
  <si>
    <t>Meizhou Hakka 2 vs 2 Jiangxi Dingnan United</t>
  </si>
  <si>
    <t>2026-05-30|Meizhou Hakka|Jiangxi Dingnan United</t>
  </si>
  <si>
    <t>EST-02821</t>
  </si>
  <si>
    <t>Changchun Yatai 2 vs 1 Dalian K'un City</t>
  </si>
  <si>
    <t>2026-06-13|Changchun Yatai|Dalian K'un City</t>
  </si>
  <si>
    <t>EST-02822</t>
  </si>
  <si>
    <t>Nanjing City 1 vs 2 Ningbo Professional</t>
  </si>
  <si>
    <t>2026-06-13|Nanjing City|Ningbo Professional</t>
  </si>
  <si>
    <t>EST-02823</t>
  </si>
  <si>
    <t>Shijiazhuang Gongfu FC 1 vs 1 Suzhou Dongwu</t>
  </si>
  <si>
    <t>2026-06-13|Shijiazhuang Gongfu FC|Suzhou Dongwu</t>
  </si>
  <si>
    <t>EST-02824</t>
  </si>
  <si>
    <t>Jiangxi Dingnan United 1 vs 3 Guangdong GZ-Power</t>
  </si>
  <si>
    <t>2026-06-13|Jiangxi Dingnan United|Guangdong GZ-Power</t>
  </si>
  <si>
    <t>EST-02825</t>
  </si>
  <si>
    <t>Shenzhen Juniors 1 vs 1 Guangxi Hengchen</t>
  </si>
  <si>
    <t>2026-06-14|Shenzhen Juniors|Guangxi Hengchen</t>
  </si>
  <si>
    <t>EST-02826</t>
  </si>
  <si>
    <t>Wuxi Wugou 1 vs 1 Meizhou Hakka</t>
  </si>
  <si>
    <t>2026-06-14|Wuxi Wugou|Meizhou Hakka</t>
  </si>
  <si>
    <t>EST-02827</t>
  </si>
  <si>
    <t>Foshan Nanshi 0 vs 5 Shaanxi Union</t>
  </si>
  <si>
    <t>2026-06-14|Foshan Nanshi|Shaanxi Union</t>
  </si>
  <si>
    <t>EST-02828</t>
  </si>
  <si>
    <t>Nantong Zhiyun 2 vs 0 Yanbian Longding</t>
  </si>
  <si>
    <t>2026-06-14|Nantong Zhiyun|Yanbian Longding</t>
  </si>
  <si>
    <t>EST-02829</t>
  </si>
  <si>
    <t>Changchun Yatai 1 vs 2 Guangxi Hengchen</t>
  </si>
  <si>
    <t>2026-06-27|Changchun Yatai|Guangxi Hengchen</t>
  </si>
  <si>
    <t>EST-02830</t>
  </si>
  <si>
    <t>Dalian K'un City 5 vs 4 Shenzhen Juniors</t>
  </si>
  <si>
    <t>2026-06-27|Dalian K'un City|Shenzhen Juniors</t>
  </si>
  <si>
    <t>EST-02831</t>
  </si>
  <si>
    <t>Foshan Nanshi 0 vs 2 Yanbian Longding</t>
  </si>
  <si>
    <t>2026-06-27|Foshan Nanshi|Yanbian Longding</t>
  </si>
  <si>
    <t>EST-02832</t>
  </si>
  <si>
    <t>Guangdong GZ-Power 2 vs 1 Shaanxi Union</t>
  </si>
  <si>
    <t>2026-06-27|Guangdong GZ-Power|Shaanxi Union</t>
  </si>
  <si>
    <t>EST-02833</t>
  </si>
  <si>
    <t>Nantong Zhiyun 1 vs 3 Meizhou Hakka</t>
  </si>
  <si>
    <t>2026-06-27|Nantong Zhiyun|Meizhou Hakka</t>
  </si>
  <si>
    <t>EST-02834</t>
  </si>
  <si>
    <t>Shijiazhuang Gongfu FC 2 vs 1 Nanjing City</t>
  </si>
  <si>
    <t>2026-06-27|Shijiazhuang Gongfu FC|Nanjing City</t>
  </si>
  <si>
    <t>EST-02835</t>
  </si>
  <si>
    <t>Suzhou Dongwu 1 vs 2 Ningbo Professional</t>
  </si>
  <si>
    <t>2026-06-28|Suzhou Dongwu|Ningbo Professional</t>
  </si>
  <si>
    <t>EST-02836</t>
  </si>
  <si>
    <t>Jiangxi Dingnan United 3 vs 3 Wuxi Wugou</t>
  </si>
  <si>
    <t>2026-06-28|Jiangxi Dingnan United|Wuxi Wugou</t>
  </si>
  <si>
    <t>EST-02837</t>
  </si>
  <si>
    <t>Yanbian Longding 3 vs 0 Jiangxi Dingnan United</t>
  </si>
  <si>
    <t>2026-07-04|Yanbian Longding|Jiangxi Dingnan United</t>
  </si>
  <si>
    <t>EST-02838</t>
  </si>
  <si>
    <t>Ningbo Professional 2 vs 1 Shijiazhuang Gongfu FC</t>
  </si>
  <si>
    <t>2026-07-04|Ningbo Professional|Shijiazhuang Gongfu FC</t>
  </si>
  <si>
    <t>EST-02839</t>
  </si>
  <si>
    <t>Shaanxi Union 2 vs 1 Wuxi Wugou</t>
  </si>
  <si>
    <t>2026-07-04|Shaanxi Union|Wuxi Wugou</t>
  </si>
  <si>
    <t>EST-02840</t>
  </si>
  <si>
    <t>Shenzhen Juniors 0 vs 0 Nantong Zhiyun</t>
  </si>
  <si>
    <t>2026-07-04|Shenzhen Juniors|Nantong Zhiyun</t>
  </si>
  <si>
    <t>EST-02841</t>
  </si>
  <si>
    <t>Suzhou Dongwu 2 vs 2 Guangdong GZ-Power</t>
  </si>
  <si>
    <t>2026-07-04|Suzhou Dongwu|Guangdong GZ-Power</t>
  </si>
  <si>
    <t>EST-02842</t>
  </si>
  <si>
    <t>Guangxi Hengchen 3 vs 1 Dalian K'un City</t>
  </si>
  <si>
    <t>2026-07-05|Guangxi Hengchen|Dalian K'un City</t>
  </si>
  <si>
    <t>EST-02843</t>
  </si>
  <si>
    <t>Meizhou Hakka 1 vs 3 Changchun Yatai</t>
  </si>
  <si>
    <t>2026-07-05|Meizhou Hakka|Changchun Yatai</t>
  </si>
  <si>
    <t>EST-02844</t>
  </si>
  <si>
    <t>Nanjing City 3 vs 1 Foshan Nanshi</t>
  </si>
  <si>
    <t>2026-07-05|Nanjing City|Foshan Nanshi</t>
  </si>
  <si>
    <t>EST-02845</t>
  </si>
  <si>
    <t>Yanbian Longding 3 vs 1 Suzhou Dongwu</t>
  </si>
  <si>
    <t>2026-07-11|Yanbian Longding|Suzhou Dongwu</t>
  </si>
  <si>
    <t>EST-02846</t>
  </si>
  <si>
    <t>Dalian K'un City 2 vs 0 Nanjing City</t>
  </si>
  <si>
    <t>2026-07-11|Dalian K'un City|Nanjing City</t>
  </si>
  <si>
    <t>EST-02847</t>
  </si>
  <si>
    <t>Shaanxi Union 4 vs 0 Meizhou Hakka</t>
  </si>
  <si>
    <t>2026-07-11|Shaanxi Union|Meizhou Hakka</t>
  </si>
  <si>
    <t>EST-02848</t>
  </si>
  <si>
    <t>Guangdong GZ-Power 2 vs 0 Shijiazhuang Gongfu FC</t>
  </si>
  <si>
    <t>2026-07-11|Guangdong GZ-Power|Shijiazhuang Gongfu FC</t>
  </si>
  <si>
    <t>EST-02849</t>
  </si>
  <si>
    <t>Shenzhen Juniors 3 vs 3 Jiangxi Dingnan United</t>
  </si>
  <si>
    <t>2026-07-12|Shenzhen Juniors|Jiangxi Dingnan United</t>
  </si>
  <si>
    <t>EST-02850</t>
  </si>
  <si>
    <t>Ningbo Professional 1 vs 0 Foshan Nanshi</t>
  </si>
  <si>
    <t>2026-07-13|Ningbo Professional|Foshan Nanshi</t>
  </si>
  <si>
    <t>EST-02851</t>
  </si>
  <si>
    <t>Changchun Yatai 1 vs 5 Wuxi Wugou</t>
  </si>
  <si>
    <t>2026-07-17|Changchun Yatai|Wuxi Wugou</t>
  </si>
  <si>
    <t>EST-02852</t>
  </si>
  <si>
    <t>Suzhou Dongwu 0 vs 0 Shenzhen Juniors</t>
  </si>
  <si>
    <t>2026-07-17|Suzhou Dongwu|Shenzhen Juniors</t>
  </si>
  <si>
    <t>EST-02853</t>
  </si>
  <si>
    <t>Foshan Nanshi 1 vs 2 Nantong Zhiyun</t>
  </si>
  <si>
    <t>2026-07-17|Foshan Nanshi|Nantong Zhiyun</t>
  </si>
  <si>
    <t>EST-02854</t>
  </si>
  <si>
    <t>Shijiazhuang Gongfu FC 0 vs 0 Yanbian Longding</t>
  </si>
  <si>
    <t>2026-07-17|Shijiazhuang Gongfu FC|Yanbian Longding</t>
  </si>
  <si>
    <t>EST-02855</t>
  </si>
  <si>
    <t>Guangxi Hengchen 3 vs 0 Shaanxi Union</t>
  </si>
  <si>
    <t>2026-07-18|Guangxi Hengchen|Shaanxi Union</t>
  </si>
  <si>
    <t>EST-02856</t>
  </si>
  <si>
    <t>Meizhou Hakka 2 vs 0 Dalian K'un City</t>
  </si>
  <si>
    <t>2026-07-18|Meizhou Hakka|Dalian K'un City</t>
  </si>
  <si>
    <t>EST-02857</t>
  </si>
  <si>
    <t>Nanjing City 0 vs 1 Guangdong GZ-Power</t>
  </si>
  <si>
    <t>2026-07-18|Nanjing City|Guangdong GZ-Power</t>
  </si>
  <si>
    <t>EST-02858</t>
  </si>
  <si>
    <t>Jiangxi Dingnan United 0 vs 1 Ningbo Professional</t>
  </si>
  <si>
    <t>2026-07-18|Jiangxi Dingnan United|Ningbo Professional</t>
  </si>
  <si>
    <t>EST-02859</t>
  </si>
  <si>
    <t>Changchun Yatai 2 vs 1 Nanjing City</t>
  </si>
  <si>
    <t>2026-07-25|Changchun Yatai|Nanjing City</t>
  </si>
  <si>
    <t>EST-02860</t>
  </si>
  <si>
    <t>Ningbo Professional 1 vs 2 Guangdong GZ-Power</t>
  </si>
  <si>
    <t>2026-07-25|Ningbo Professional|Guangdong GZ-Power</t>
  </si>
  <si>
    <t>EST-02861</t>
  </si>
  <si>
    <t>Foshan Nanshi 0 vs 2 Wuxi Wugou</t>
  </si>
  <si>
    <t>2026-07-25|Foshan Nanshi|Wuxi Wugou</t>
  </si>
  <si>
    <t>EST-02862</t>
  </si>
  <si>
    <t>Shijiazhuang Gongfu FC 1 vs 1 Nantong Zhiyun</t>
  </si>
  <si>
    <t>2026-07-25|Shijiazhuang Gongfu FC|Nantong Zhiyun</t>
  </si>
  <si>
    <t>EST-02863</t>
  </si>
  <si>
    <t>Shaanxi Union 3 vs 0 Shenzhen Juniors</t>
  </si>
  <si>
    <t>2026-07-25|Shaanxi Union|Shenzhen Juniors</t>
  </si>
  <si>
    <t>EST-02864</t>
  </si>
  <si>
    <t>Yanbian Longding 2 vs 1 Meizhou Hakka</t>
  </si>
  <si>
    <t>2026-07-26|Yanbian Longding|Meizhou Hakka</t>
  </si>
  <si>
    <t>EST-02865</t>
  </si>
  <si>
    <t>Dalian K'un City 0 vs 0 Suzhou Dongwu</t>
  </si>
  <si>
    <t>2026-07-26|Dalian K'un City|Suzhou Dongwu</t>
  </si>
  <si>
    <t>EST-02866</t>
  </si>
  <si>
    <t>Guangxi Hengchen 4 vs 4 Jiangxi Dingnan United</t>
  </si>
  <si>
    <t>2026-07-26|Guangxi Hengchen|Jiangxi Dingnan United</t>
  </si>
  <si>
    <t>EST-02867</t>
  </si>
  <si>
    <t>Yanbian Longding 1 vs 1 Nanjing City</t>
  </si>
  <si>
    <t>2026-08-01|Yanbian Longding|Nanjing City</t>
  </si>
  <si>
    <t>EST-02868</t>
  </si>
  <si>
    <t>Dalian K'un City 2 vs 2 Shaanxi Union</t>
  </si>
  <si>
    <t>2026-08-01|Dalian K'un City|Shaanxi Union</t>
  </si>
  <si>
    <t>EST-02869</t>
  </si>
  <si>
    <t>Ningbo Professional 2 vs 4 Guangxi Hengchen</t>
  </si>
  <si>
    <t>2026-08-01|Ningbo Professional|Guangxi Hengchen</t>
  </si>
  <si>
    <t>EST-02870</t>
  </si>
  <si>
    <t>Guangdong GZ-Power 1 vs 1 Foshan Nanshi</t>
  </si>
  <si>
    <t>2026-08-01|Guangdong GZ-Power|Foshan Nanshi</t>
  </si>
  <si>
    <t>EST-02871</t>
  </si>
  <si>
    <t>Nantong Zhiyun 5 vs 1 Jiangxi Dingnan United</t>
  </si>
  <si>
    <t>2026-08-01|Nantong Zhiyun|Jiangxi Dingnan United</t>
  </si>
  <si>
    <t>EST-02872</t>
  </si>
  <si>
    <t>Changchun Yatai 2 vs 2 Shijiazhuang Gongfu FC</t>
  </si>
  <si>
    <t>2026-08-02|Changchun Yatai|Shijiazhuang Gongfu FC</t>
  </si>
  <si>
    <t>EST-02873</t>
  </si>
  <si>
    <t>Shenzhen Juniors 1 vs 0 Wuxi Wugou</t>
  </si>
  <si>
    <t>2026-08-02|Shenzhen Juniors|Wuxi Wugou</t>
  </si>
  <si>
    <t>EST-02874</t>
  </si>
  <si>
    <t>Suzhou Dongwu 1 vs 0 Meizhou Hakka</t>
  </si>
  <si>
    <t>2026-08-02|Suzhou Dongwu|Meizhou Hakka</t>
  </si>
  <si>
    <t>EST-02875</t>
  </si>
  <si>
    <t>Suzhou Dongwu 2 vs 1 Changchun Yatai</t>
  </si>
  <si>
    <t>2026-08-08|Suzhou Dongwu|Changchun Yatai</t>
  </si>
  <si>
    <t>EST-02876</t>
  </si>
  <si>
    <t>Meizhou Hakka 3 vs 2 Foshan Nanshi</t>
  </si>
  <si>
    <t>2026-08-08|Meizhou Hakka|Foshan Nanshi</t>
  </si>
  <si>
    <t>EST-02877</t>
  </si>
  <si>
    <t>Nanjing City 1 vs 1 Nantong Zhiyun</t>
  </si>
  <si>
    <t>2026-08-08|Nanjing City|Nantong Zhiyun</t>
  </si>
  <si>
    <t>EST-02878</t>
  </si>
  <si>
    <t>Shijiazhuang Gongfu FC 2 vs 1 Shaanxi Union</t>
  </si>
  <si>
    <t>2026-08-08|Shijiazhuang Gongfu FC|Shaanxi Union</t>
  </si>
  <si>
    <t>EST-02879</t>
  </si>
  <si>
    <t>Jiangxi Dingnan United 2 vs 1 Dalian K'un City</t>
  </si>
  <si>
    <t>2026-08-08|Jiangxi Dingnan United|Dalian K'un City</t>
  </si>
  <si>
    <t>EST-02880</t>
  </si>
  <si>
    <t>Yanbian Longding 0 vs 1 Shenzhen Juniors</t>
  </si>
  <si>
    <t>2026-08-09|Yanbian Longding|Shenzhen Juniors</t>
  </si>
  <si>
    <t>EST-02881</t>
  </si>
  <si>
    <t>Guangdong GZ-Power 2 vs 0 Guangxi Hengchen</t>
  </si>
  <si>
    <t>2026-08-09|Guangdong GZ-Power|Guangxi Hengchen</t>
  </si>
  <si>
    <t>CHN - League One</t>
  </si>
  <si>
    <t>Fram Reykjavik (Fram Reykjavík) x KR Reykjavik (KR Reykjavík)</t>
  </si>
  <si>
    <t>2 x 5</t>
  </si>
  <si>
    <t>Green no Over 2,50 @ 1,150: o placar 2 x 5 (7 gols) confirmou a entrada e gerou R$ 0,0750 de lucro. Entre as linhas cotadas, Over 3,25 @ 1,300 teria produzido R$ 0,1500 de lucro, R$ 0,0750 acima do resultado realizado. A entrada deixou 0,75 linha de eficiência potencial.</t>
  </si>
  <si>
    <t>Goiás x Londrina</t>
  </si>
  <si>
    <t>Cashout integral no Over 1,00 @ 1,120: retorno bruto de R$ 0,56 sobre stake de R$ 0,50, resultando em lucro líquido real de R$ 0,06. O placar final foi 1 x 0 (1 gol); sem o cashout, a linha usada teria sido devolvida. Entre as alternativas cotadas, Over 0,75 @ 1,100 produziria meio Green de R$ 0,0250, inferior ao lucro obtido no cashout.</t>
  </si>
  <si>
    <t>Paysandu x Confiança</t>
  </si>
  <si>
    <t>Green no Over 1,25 @ 1,170: o placar 2 x 1 (3 gols) confirmou a entrada e gerou R$ 0,0850 de lucro. Entre as linhas cotadas, Over 2,00 @ 1,400 teria produzido R$ 0,2000 de lucro, R$ 0,1150 acima do resultado realizado. A entrada deixou 0,75 linha de eficiência potencial.</t>
  </si>
  <si>
    <t>PAINEL DINÂMICO — CALIBRAÇÃO DAS LINHAS E DISCIPLINA OPERACIONAL</t>
  </si>
  <si>
    <t>Atualização automática pela tblCalibracao · foco em resultado, proteção e eficiência de seleção</t>
  </si>
  <si>
    <t>VISÃO GERAL</t>
  </si>
  <si>
    <t>Registros</t>
  </si>
  <si>
    <t>P/L acumulado</t>
  </si>
  <si>
    <t>Taxa de resultado positivo</t>
  </si>
  <si>
    <t>Linha usada média</t>
  </si>
  <si>
    <t>Eficiência potencial</t>
  </si>
  <si>
    <t>DIAGNÓSTICOS OPERACIONAIS</t>
  </si>
  <si>
    <t>Referência</t>
  </si>
  <si>
    <t>P/L médio por registro</t>
  </si>
  <si>
    <t>Linhas com resultado positivo</t>
  </si>
  <si>
    <t>Linhas com resultado negativo</t>
  </si>
  <si>
    <t>Devoluções / resultado zero</t>
  </si>
  <si>
    <t>Cashouts registrados</t>
  </si>
  <si>
    <t>Jogos 0 x 0</t>
  </si>
  <si>
    <t>Melhor linha superior à usada</t>
  </si>
  <si>
    <t>Eficiência média não capturada</t>
  </si>
  <si>
    <t>&gt; R$ 0</t>
  </si>
  <si>
    <t>Quanto maior, melhor</t>
  </si>
  <si>
    <t>Quanto menor, melhor</t>
  </si>
  <si>
    <t>Proteção efetiva</t>
  </si>
  <si>
    <t>Liquidação real</t>
  </si>
  <si>
    <t>Monitorar cauda</t>
  </si>
  <si>
    <t>Retrospectivo</t>
  </si>
  <si>
    <t>Não é previsão</t>
  </si>
  <si>
    <t>LEITURA DINÂMICA</t>
  </si>
  <si>
    <t>LIMITAÇÃO DO PAINEL</t>
  </si>
  <si>
    <t>O λ histórico não integra a tblCalibracao. Para reativar análises dinâmicas por faixa de λ, será necessário adicionar uma coluna específica e preencher o valor pré-jogo de cada entrada, sem reconstrução retrospectiva.</t>
  </si>
  <si>
    <t>2026-07-05|Anápolis|Botafogo-PB</t>
  </si>
  <si>
    <t>Botafogo-PB 2 vs 0 Confiança</t>
  </si>
  <si>
    <t>EST-02882</t>
  </si>
  <si>
    <t>Volta Redonda 1 vs 1 Brusque</t>
  </si>
  <si>
    <t>2026-05-03|Volta Redonda|Brusque</t>
  </si>
  <si>
    <t>EST-02883</t>
  </si>
  <si>
    <t>Maranhão 3 vs 1 Botafogo-PB</t>
  </si>
  <si>
    <t>2026-05-09|Maranhão|Botafogo-PB</t>
  </si>
  <si>
    <t>EST-02884</t>
  </si>
  <si>
    <t>Brusque 3 vs 0 Ypiranga-RS</t>
  </si>
  <si>
    <t>2026-05-10|Brusque|Ypiranga-RS</t>
  </si>
  <si>
    <t>EST-02885</t>
  </si>
  <si>
    <t>Inter de Limeira 1 vs 2 Santa Cruz</t>
  </si>
  <si>
    <t>2026-05-11|Inter de Limeira|Santa Cruz</t>
  </si>
  <si>
    <t>EST-02886</t>
  </si>
  <si>
    <t>Ferroviária 1 vs 0 Brusque</t>
  </si>
  <si>
    <t>2026-05-17|Ferroviária|Brusque</t>
  </si>
  <si>
    <t>EST-02887</t>
  </si>
  <si>
    <t>Botafogo-PB 0 vs 1 Inter de Limeira</t>
  </si>
  <si>
    <t>2026-05-18|Botafogo-PB|Inter de Limeira</t>
  </si>
  <si>
    <t>EST-02888</t>
  </si>
  <si>
    <t>Inter de Limeira 0 vs 0 Itabaiana</t>
  </si>
  <si>
    <t>2026-05-24|Inter de Limeira|Itabaiana</t>
  </si>
  <si>
    <t>EST-02889</t>
  </si>
  <si>
    <t>Ituano 1 vs 0 Botafogo-PB</t>
  </si>
  <si>
    <t>2026-05-25|Ituano|Botafogo-PB</t>
  </si>
  <si>
    <t>EST-02890</t>
  </si>
  <si>
    <t>Botafogo-PB 2 vs 1 Maringá</t>
  </si>
  <si>
    <t>2026-05-30|Botafogo-PB|Maringá</t>
  </si>
  <si>
    <t>EST-02891</t>
  </si>
  <si>
    <t>Inter de Limeira 2 vs 1 Ypiranga-RS</t>
  </si>
  <si>
    <t>2026-05-31|Inter de Limeira|Ypiranga-RS</t>
  </si>
  <si>
    <t>EST-02892</t>
  </si>
  <si>
    <t>Barra FC 2 vs 2 Brusque</t>
  </si>
  <si>
    <t>2026-06-01|Barra FC|Brusque</t>
  </si>
  <si>
    <t>EST-02893</t>
  </si>
  <si>
    <t>Brusque 0 vs 1 Santa Cruz</t>
  </si>
  <si>
    <t>2026-06-14|Brusque|Santa Cruz</t>
  </si>
  <si>
    <t>EST-02894</t>
  </si>
  <si>
    <t>Ypiranga-RS 1 vs 1 Botafogo-PB</t>
  </si>
  <si>
    <t>2026-06-15|Ypiranga-RS|Botafogo-PB</t>
  </si>
  <si>
    <t>EST-02895</t>
  </si>
  <si>
    <t>Botafogo-PB 2 vs 0 Volta Redonda</t>
  </si>
  <si>
    <t>2026-06-20|Botafogo-PB|Volta Redonda</t>
  </si>
  <si>
    <t>EST-02896</t>
  </si>
  <si>
    <t>Brusque 2 vs 1 Floresta</t>
  </si>
  <si>
    <t>2026-06-21|Brusque|Floresta</t>
  </si>
  <si>
    <t>EST-02897</t>
  </si>
  <si>
    <t>Ferroviária 2 vs 0 Inter de Limeira</t>
  </si>
  <si>
    <t>2026-06-21|Ferroviária|Inter de Limeira</t>
  </si>
  <si>
    <t>EST-02898</t>
  </si>
  <si>
    <t>Inter de Limeira 2 vs 2 Maringá</t>
  </si>
  <si>
    <t>2026-06-27|Inter de Limeira|Maringá</t>
  </si>
  <si>
    <t>EST-02899</t>
  </si>
  <si>
    <t>Botafogo-PB 2 vs 0 Brusque</t>
  </si>
  <si>
    <t>2026-06-30|Botafogo-PB|Brusque</t>
  </si>
  <si>
    <t>EST-02900</t>
  </si>
  <si>
    <t>Maranhão 0 vs 1 Inter de Limeira</t>
  </si>
  <si>
    <t>2026-07-04|Maranhão|Inter de Limeira</t>
  </si>
  <si>
    <t>EST-02901</t>
  </si>
  <si>
    <t>Brusque 3 vs 1 Figueirense</t>
  </si>
  <si>
    <t>2026-07-06|Brusque|Figueirense</t>
  </si>
  <si>
    <t>EST-02902</t>
  </si>
  <si>
    <t>Inter de Limeira 1 vs 0 Amazonas</t>
  </si>
  <si>
    <t>2026-07-12|Inter de Limeira|Amazonas</t>
  </si>
  <si>
    <t>EST-02903</t>
  </si>
  <si>
    <t>Itabaiana 1 vs 0 Brusque</t>
  </si>
  <si>
    <t>2026-07-13|Itabaiana|Brusque</t>
  </si>
  <si>
    <t>EST-02904</t>
  </si>
  <si>
    <t>Brusque 1 vs 0 Ituano</t>
  </si>
  <si>
    <t>2026-07-26|Brusque|Ituano</t>
  </si>
  <si>
    <t>EST-02905</t>
  </si>
  <si>
    <t>Caxias 1 vs 2 Botafogo-PB</t>
  </si>
  <si>
    <t>2026-07-26|Caxias|Botafogo-PB</t>
  </si>
  <si>
    <t>EST-02906</t>
  </si>
  <si>
    <t>Botafogo-PB 2 vs 2 Santa Cruz</t>
  </si>
  <si>
    <t>2026-08-08|Botafogo-PB|Santa Cruz</t>
  </si>
  <si>
    <t>EST-02907</t>
  </si>
  <si>
    <t>Inter de Limeira 2 vs 0 Volta Redonda</t>
  </si>
  <si>
    <t>2026-08-08|Inter de Limeira|Volta Redonda</t>
  </si>
  <si>
    <t>EST-02908</t>
  </si>
  <si>
    <t>Maranhão 2 vs 1 Brusque</t>
  </si>
  <si>
    <t>2026-08-09|Maranhão|Brusque</t>
  </si>
  <si>
    <t>EST-02909</t>
  </si>
  <si>
    <t>Anápolis 2 vs 1 Guarani</t>
  </si>
  <si>
    <t>2026-08-10|Anápolis|Guarani</t>
  </si>
  <si>
    <t>EST-02910</t>
  </si>
  <si>
    <t>Amazonas 1 vs 1 Caxias</t>
  </si>
  <si>
    <t>2026-05-03|Amazonas|Caxias</t>
  </si>
  <si>
    <t>EST-02912</t>
  </si>
  <si>
    <t>Barra FC 0 vs 0 Caxias</t>
  </si>
  <si>
    <t>2026-05-10|Barra FC|Caxias</t>
  </si>
  <si>
    <t>EST-02913</t>
  </si>
  <si>
    <t>Volta Redonda 0 vs 0 Ferroviária</t>
  </si>
  <si>
    <t>2026-05-10|Volta Redonda|Ferroviária</t>
  </si>
  <si>
    <t>EST-02914</t>
  </si>
  <si>
    <t>Santa Cruz 2 vs 0 Volta Redonda</t>
  </si>
  <si>
    <t>2026-05-16|Santa Cruz|Volta Redonda</t>
  </si>
  <si>
    <t>EST-02915</t>
  </si>
  <si>
    <t>Ypiranga-RS 1 vs 4 Maringá</t>
  </si>
  <si>
    <t>2026-05-16|Ypiranga-RS|Maringá</t>
  </si>
  <si>
    <t>EST-02916</t>
  </si>
  <si>
    <t>Maranhão 0 vs 0 Caxias</t>
  </si>
  <si>
    <t>2026-05-23|Maranhão|Caxias</t>
  </si>
  <si>
    <t>EST-02917</t>
  </si>
  <si>
    <t>Maringá 1 vs 1 Santa Cruz</t>
  </si>
  <si>
    <t>2026-05-23|Maringá|Santa Cruz</t>
  </si>
  <si>
    <t>EST-02918</t>
  </si>
  <si>
    <t>Amazonas 1 vs 2 Ferroviária</t>
  </si>
  <si>
    <t>2026-05-24|Amazonas|Ferroviária</t>
  </si>
  <si>
    <t>EST-02919</t>
  </si>
  <si>
    <t>Volta Redonda 2 vs 1 Ypiranga-RS</t>
  </si>
  <si>
    <t>2026-05-24|Volta Redonda|Ypiranga-RS</t>
  </si>
  <si>
    <t>EST-02920</t>
  </si>
  <si>
    <t>Caxias 2 vs 1 Ituano</t>
  </si>
  <si>
    <t>2026-05-30|Caxias|Ituano</t>
  </si>
  <si>
    <t>EST-02921</t>
  </si>
  <si>
    <t>Santa Cruz 1 vs 1 Ferroviária</t>
  </si>
  <si>
    <t>2026-05-31|Santa Cruz|Ferroviária</t>
  </si>
  <si>
    <t>EST-02922</t>
  </si>
  <si>
    <t>Ferroviária 1 vs 0 Barra FC</t>
  </si>
  <si>
    <t>2026-06-15|Ferroviária|Barra FC</t>
  </si>
  <si>
    <t>EST-02923</t>
  </si>
  <si>
    <t>Santa Cruz 0 vs 1 Ypiranga-RS</t>
  </si>
  <si>
    <t>2026-06-20|Santa Cruz|Ypiranga-RS</t>
  </si>
  <si>
    <t>EST-02924</t>
  </si>
  <si>
    <t>Caxias 1 vs 1 Maringá</t>
  </si>
  <si>
    <t>2026-06-21|Caxias|Maringá</t>
  </si>
  <si>
    <t>EST-02925</t>
  </si>
  <si>
    <t>Itabaiana 1 vs 0 Ferroviária</t>
  </si>
  <si>
    <t>2026-06-27|Itabaiana|Ferroviária</t>
  </si>
  <si>
    <t>EST-02926</t>
  </si>
  <si>
    <t>Santa Cruz 1 vs 0 Ituano</t>
  </si>
  <si>
    <t>2026-07-04|Santa Cruz|Ituano</t>
  </si>
  <si>
    <t>EST-02927</t>
  </si>
  <si>
    <t>Ferroviária 0 vs 1 Caxias</t>
  </si>
  <si>
    <t>2026-07-04|Ferroviária|Caxias</t>
  </si>
  <si>
    <t>EST-02928</t>
  </si>
  <si>
    <t>Caxias 0 vs 0 Floresta</t>
  </si>
  <si>
    <t>2026-07-11|Caxias|Floresta</t>
  </si>
  <si>
    <t>EST-02929</t>
  </si>
  <si>
    <t>Barra FC 1 vs 2 Santa Cruz</t>
  </si>
  <si>
    <t>2026-07-12|Barra FC|Santa Cruz</t>
  </si>
  <si>
    <t>EST-02930</t>
  </si>
  <si>
    <t>Ituano 1 vs 3 Ferroviária</t>
  </si>
  <si>
    <t>2026-07-12|Ituano|Ferroviária</t>
  </si>
  <si>
    <t>EST-02931</t>
  </si>
  <si>
    <t>Maranhão 2 vs 1 Ypiranga-RS</t>
  </si>
  <si>
    <t>2026-07-12|Maranhão|Ypiranga-RS</t>
  </si>
  <si>
    <t>EST-02932</t>
  </si>
  <si>
    <t>Ferroviária 0 vs 0 Maranhão</t>
  </si>
  <si>
    <t>2026-07-25|Ferroviária|Maranhão</t>
  </si>
  <si>
    <t>EST-02933</t>
  </si>
  <si>
    <t>Santa Cruz 0 vs 1 Figueirense</t>
  </si>
  <si>
    <t>2026-07-25|Santa Cruz|Figueirense</t>
  </si>
  <si>
    <t>EST-02934</t>
  </si>
  <si>
    <t>Ypiranga-RS 1 vs 0 Barra FC</t>
  </si>
  <si>
    <t>2026-07-26|Ypiranga-RS|Barra FC</t>
  </si>
  <si>
    <t>EST-02935</t>
  </si>
  <si>
    <t>Figueirense 2 vs 2 Ferroviária</t>
  </si>
  <si>
    <t>2026-08-08|Figueirense|Ferroviária</t>
  </si>
  <si>
    <t>EST-02936</t>
  </si>
  <si>
    <t>Ypiranga-RS 4 vs 1 Floresta</t>
  </si>
  <si>
    <t>2026-08-09|Ypiranga-RS|Floresta</t>
  </si>
  <si>
    <t>EST-02937</t>
  </si>
  <si>
    <t>Itabaiana 0 vs 2 Caxias</t>
  </si>
  <si>
    <t>2026-08-09|Itabaiana|Caxias</t>
  </si>
  <si>
    <t>EST-02938</t>
  </si>
  <si>
    <t>Maringá 4 vs 2 Itabaiana</t>
  </si>
  <si>
    <t>2026-05-04|Maringá|Itabaiana</t>
  </si>
  <si>
    <t>EST-02939</t>
  </si>
  <si>
    <t>Ypiranga-RS 2 vs 0 Ituano</t>
  </si>
  <si>
    <t>2026-05-05|Ypiranga-RS|Ituano</t>
  </si>
  <si>
    <t>EST-02940</t>
  </si>
  <si>
    <t>Amazonas 0 vs 1 Figueirense</t>
  </si>
  <si>
    <t>2026-05-10|Amazonas|Figueirense</t>
  </si>
  <si>
    <t>EST-02941</t>
  </si>
  <si>
    <t>Floresta 3 vs 2 Amazonas</t>
  </si>
  <si>
    <t>2026-05-16|Floresta|Amazonas</t>
  </si>
  <si>
    <t>EST-02942</t>
  </si>
  <si>
    <t>Maringá 0 vs 0 Maranhão</t>
  </si>
  <si>
    <t>2026-06-15|Maringá|Maranhão</t>
  </si>
  <si>
    <t>EST-02943</t>
  </si>
  <si>
    <t>Itabaiana 2 vs 2 Ituano</t>
  </si>
  <si>
    <t>2026-06-14|Itabaiana|Ituano</t>
  </si>
  <si>
    <t>EST-02944</t>
  </si>
  <si>
    <t>2026-06-20|Maranhão|Paysandu</t>
  </si>
  <si>
    <t>EST-02945</t>
  </si>
  <si>
    <t>Barra FC 1 vs 1 Amazonas</t>
  </si>
  <si>
    <t>2026-06-21|Barra FC|Amazonas</t>
  </si>
  <si>
    <t>EST-02946</t>
  </si>
  <si>
    <t>Ituano 0 vs 0 Figueirense</t>
  </si>
  <si>
    <t>2026-06-20|Ituano|Figueirense</t>
  </si>
  <si>
    <t>EST-02947</t>
  </si>
  <si>
    <t>Volta Redonda 3 vs 0 Amazonas</t>
  </si>
  <si>
    <t>2026-06-30|Volta Redonda|Amazonas</t>
  </si>
  <si>
    <t>EST-02948</t>
  </si>
  <si>
    <t>Ituano 0 vs 0 Maranhão</t>
  </si>
  <si>
    <t>2026-06-28|Ituano|Maranhão</t>
  </si>
  <si>
    <t>EST-02949</t>
  </si>
  <si>
    <t>Amazonas 0 vs 2 Itabaiana</t>
  </si>
  <si>
    <t>2026-07-06|Amazonas|Itabaiana</t>
  </si>
  <si>
    <t>EST-02950</t>
  </si>
  <si>
    <t>Maringá 4 vs 0 Volta Redonda</t>
  </si>
  <si>
    <t>2026-07-04|Maringá|Volta Redonda</t>
  </si>
  <si>
    <t>EST-02951</t>
  </si>
  <si>
    <t>Floresta 1 vs 1 Maringá</t>
  </si>
  <si>
    <t>2026-07-27|Floresta|Maringá</t>
  </si>
  <si>
    <t>EST-02952</t>
  </si>
  <si>
    <t>Paysandu 2 vs 1 Confiança</t>
  </si>
  <si>
    <t>2026-08-10|Paysandu|Confiança</t>
  </si>
  <si>
    <t>EST-02953</t>
  </si>
  <si>
    <t>Maringá 0 vs 3 Amazonas</t>
  </si>
  <si>
    <t>2026-08-09|Maringá|Amazonas</t>
  </si>
  <si>
    <t>EST-02954</t>
  </si>
  <si>
    <t>Ituano 2 vs 0 Barra FC</t>
  </si>
  <si>
    <t>2026-08-08|Ituano|Barra FC</t>
  </si>
  <si>
    <t>EST-02955</t>
  </si>
  <si>
    <t>Floresta 0 vs 2 Maranhão</t>
  </si>
  <si>
    <t>2026-05-05|Floresta|Maranhão</t>
  </si>
  <si>
    <t>EST-02956</t>
  </si>
  <si>
    <t>Itabaiana 0 vs 0 Floresta</t>
  </si>
  <si>
    <t>2026-05-09|Itabaiana|Floresta</t>
  </si>
  <si>
    <t>EST-02957</t>
  </si>
  <si>
    <t>Floresta 1 vs 2 Figueirense</t>
  </si>
  <si>
    <t>2026-06-14|Floresta|Figueirense</t>
  </si>
  <si>
    <t>EST-02958</t>
  </si>
  <si>
    <t>Floresta 2 vs 1 Barra FC</t>
  </si>
  <si>
    <t>2026-06-27|Floresta|Barra FC</t>
  </si>
  <si>
    <t>EST-02959</t>
  </si>
  <si>
    <t>Figueirense 0 vs 3 Barra FC</t>
  </si>
  <si>
    <t>2026-05-04|Figueirense|Barra FC</t>
  </si>
  <si>
    <t>EST-02960</t>
  </si>
  <si>
    <t>Figueirense 0 vs 1 Itabaiana</t>
  </si>
  <si>
    <t>2026-05-16|Figueirense|Itabaiana</t>
  </si>
  <si>
    <t>EST-02961</t>
  </si>
  <si>
    <t>Figueirense 0 vs 0 Volta Redonda</t>
  </si>
  <si>
    <t>2026-07-13|Figueirense|Volta Redonda</t>
  </si>
  <si>
    <t>EST-02962</t>
  </si>
  <si>
    <t>Itabaiana 0 vs 1 Volta Redonda</t>
  </si>
  <si>
    <t>2026-05-30|Itabaiana|Volta Redonda</t>
  </si>
  <si>
    <t>ATUALIZAÇÃO SEMANAL — FILA DE LIGAS</t>
  </si>
  <si>
    <t>Controle das últimas 12 partidas por equipe · coleta por fontes públicas · deduplicação por data, mandante e visitante</t>
  </si>
  <si>
    <t>FLUXO OPERACIONAL</t>
  </si>
  <si>
    <t>1. Priorizar ligas com status REVISAR  ·  2. Buscar resultados concluídos nas fontes indicadas  ·  3. Padronizar nomes e horários  ·  4. Inserir somente chaves novas  ·  5. Recalcular a união das últimas 12 partidas por equipe  ·  6. Auditar duplicidades, placares e fórmulas.</t>
  </si>
  <si>
    <t>STATUS DA BASE</t>
  </si>
  <si>
    <t>FILA DETALHADA</t>
  </si>
  <si>
    <t>Perfil</t>
  </si>
  <si>
    <t>Partidas</t>
  </si>
  <si>
    <t>Mín. jogos/equipe</t>
  </si>
  <si>
    <t>Último jogo</t>
  </si>
  <si>
    <t>Fonte sugerida</t>
  </si>
  <si>
    <t>WorldFootball · Futbol24 · Flashscore</t>
  </si>
  <si>
    <t>LIMITAÇÃO DA AUTOMAÇÃO</t>
  </si>
  <si>
    <t>As fontes usadas são páginas públicas com estruturas diferentes e sujeitas a alterações ou bloqueios. Por isso, um Office Script agendado não consegue reproduzir sozinho a pesquisa e a validação. A alternativa segura é usar esta fila como controle e executar semanalmente uma atualização assistida: pesquisar cada liga, importar resultados concluídos, validar horários e recalcular as janelas.</t>
  </si>
  <si>
    <t>COMANDO SEMANAL RECOMENDADO</t>
  </si>
  <si>
    <t>“Atualize as ligas marcadas como REVISAR e faça manutenção das ligas completas, buscando resultados concluídos desde a última data, mantendo somente a união das últimas 12 partidas por equipe e auditando duplicidades.”</t>
  </si>
  <si>
    <t>Último jogo na base</t>
  </si>
  <si>
    <t>AVALIAÇÃO TÉCNICA — PARTIDAS SELECIONADAS</t>
  </si>
  <si>
    <t>Condição mandante em casa × visitante fora · Poisson · confirmação empírica · prioridade: acerto</t>
  </si>
  <si>
    <t>COMPARATIVO DAS CINCO PARTIDAS</t>
  </si>
  <si>
    <t>Prioridade</t>
  </si>
  <si>
    <t>J casa</t>
  </si>
  <si>
    <t>J fora</t>
  </si>
  <si>
    <t>Risco 0×0</t>
  </si>
  <si>
    <t>2+ emp. mín.</t>
  </si>
  <si>
    <t>3+ emp. mín.</t>
  </si>
  <si>
    <t>Últimos 5</t>
  </si>
  <si>
    <t>LEITURA OPERACIONAL</t>
  </si>
  <si>
    <t>Proteção O2,0</t>
  </si>
  <si>
    <t>Green O2,0</t>
  </si>
  <si>
    <t>Linha elegível</t>
  </si>
  <si>
    <t>Nível O2,0</t>
  </si>
  <si>
    <t>OVER 1,25</t>
  </si>
  <si>
    <t>1ª LINHA OU NÃO APOSTAR</t>
  </si>
  <si>
    <t>Quatro confrontos permanecem elegíveis ao Over 2,00: Brisbane Olympic FC × Rochedale Rovers, Shandong Taishan × Qingdao Hainiu, Brisbane Roar NPL × Gold Coast Knights e Wynnum Wolves × Magic United.
Shandong Taishan × Qingdao Hainiu continua como a opção mais forte, com 83,2% de GREEN e 94,1% de GREEN ou PUSH.
Gold Coast Utd × Eastern Suburbs é uma exceção operacional: a primeira e única linha aceitável é Over 1,25. Se Over 1,25 não estiver disponível ou a odd não justificar a entrada, NÃO APOSTAR. Não substituir automaticamente por Over 1,50 ou Over 2,00.
Regra final: informar as linhas e odds disponíveis antes da montagem do bilhete.</t>
  </si>
  <si>
    <t>14/08/26</t>
  </si>
  <si>
    <t>37. Shandong Taishan × Qingdao Hainiu</t>
  </si>
  <si>
    <t>14/08/26 · Horário a informar</t>
  </si>
  <si>
    <t>λ 4,55 · Over 2,00: 83,2% Green + 10,9% Push · proteção 94,1%</t>
  </si>
  <si>
    <t>Aprovada · FORTE</t>
  </si>
  <si>
    <t>Over 2,00 — odd decimal ainda não informada</t>
  </si>
  <si>
    <t>Over 2,00 · aguardando odd</t>
  </si>
  <si>
    <t>Linha inteira aprovada: 3+ gols = Green; exatamente 2 gols = devolução; entrada condicionada à odd disponível</t>
  </si>
  <si>
    <t>Aguardando odd</t>
  </si>
  <si>
    <t>Odd pendente; liquidação automática após preencher odd e placar</t>
  </si>
  <si>
    <t>38. Peninsula Power × Brisbane City</t>
  </si>
  <si>
    <t>λ 4,33 · Over 2,00: 80,7% Green + 12,3% Push · proteção 93,0%</t>
  </si>
  <si>
    <t>39. Brisbane Roar NPL × Gold Coast Knights</t>
  </si>
  <si>
    <t>λ 3,75 · Over 2,00: 72,3% Green + 16,5% Push · proteção 88,8%</t>
  </si>
  <si>
    <t>Aprovada · BOA</t>
  </si>
  <si>
    <t>40. Wynnum Wolves × Magic United</t>
  </si>
  <si>
    <t>λ 3,70 · Over 2,00: 71,5% Green + 16,9% Push · proteção 88,4%</t>
  </si>
  <si>
    <t>36 de 40</t>
  </si>
  <si>
    <t>Top 40 automático · TJT mínimo de 4 jogos · filtro Over 0.5 ≥90% · MLS-Cross excluída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</si>
</sst>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d/mm/yy;@"/>
    <numFmt numFmtId="165" formatCode="0.0%"/>
    <numFmt numFmtId="166" formatCode="0.000"/>
    <numFmt numFmtId="167" formatCode="&quot;Over &quot;0.00"/>
    <numFmt numFmtId="168" formatCode="dd/mm/yy"/>
    <numFmt numFmtId="169" formatCode="0\ &quot;reg.&quot;"/>
    <numFmt numFmtId="170" formatCode="[$R$-416]\ #,##0.00;[Red]\-[$R$-416]\ #,##0.00"/>
    <numFmt numFmtId="171" formatCode="&quot;R$&quot;\ #,##0.00"/>
    <numFmt numFmtId="172" formatCode="[$R$-416]\ #,##0.00"/>
    <numFmt numFmtId="173" formatCode="\R&quot;R$&quot;\ #,##0.00"/>
    <numFmt numFmtId="174" formatCode="[$R$-416]\ #,##0.000"/>
  </numFmts>
  <fonts count="50" x14ac:knownFonts="1">
    <font>
      <sz val="11"/>
      <color theme="1"/>
      <name val="Aptos Narrow"/>
      <family val="2"/>
      <charset val="1"/>
    </font>
    <font>
      <b/>
      <sz val="10"/>
      <color rgb="FFFFFFFF"/>
      <name val="Aptos"/>
      <family val="2"/>
    </font>
    <font>
      <sz val="10"/>
      <color theme="1"/>
      <name val="Aptos"/>
      <family val="2"/>
    </font>
    <font>
      <sz val="10"/>
      <name val="Aptos"/>
      <family val="2"/>
    </font>
    <font>
      <i/>
      <sz val="10"/>
      <color rgb="FF666666"/>
      <name val="Aptos"/>
      <family val="2"/>
    </font>
    <font>
      <b/>
      <sz val="10"/>
      <name val="Aptos"/>
      <family val="2"/>
    </font>
    <font>
      <sz val="10"/>
      <color rgb="FF1F4E78"/>
      <name val="Aptos"/>
      <family val="2"/>
    </font>
    <font>
      <b/>
      <sz val="10"/>
      <color rgb="FFFFFFFF"/>
      <name val="Aptos"/>
    </font>
    <font>
      <b/>
      <sz val="11"/>
      <color rgb="FFFFFFFF"/>
      <name val="Aptos Narrow"/>
      <family val="2"/>
      <charset val="1"/>
    </font>
    <font>
      <b/>
      <sz val="18"/>
      <color rgb="FFFFFFFF"/>
      <name val="Aptos Narrow"/>
      <family val="2"/>
      <charset val="1"/>
    </font>
    <font>
      <i/>
      <sz val="11"/>
      <color rgb="FF666666"/>
      <name val="Aptos Narrow"/>
      <family val="2"/>
      <charset val="1"/>
    </font>
    <font>
      <b/>
      <sz val="11"/>
      <color theme="1"/>
      <name val="Aptos Narrow"/>
      <family val="2"/>
      <charset val="1"/>
    </font>
    <font>
      <sz val="10"/>
      <color rgb="FF1F1F1F"/>
      <name val="Aptos"/>
      <family val="2"/>
    </font>
    <font>
      <sz val="10"/>
      <color rgb="FF000000"/>
      <name val="Aptos"/>
      <family val="2"/>
    </font>
    <font>
      <sz val="11"/>
      <color rgb="FF000000"/>
      <name val="Aptos Narrow"/>
      <family val="2"/>
      <charset val="1"/>
    </font>
    <font>
      <b/>
      <sz val="11"/>
      <color theme="0"/>
      <name val="Aptos Narrow"/>
      <family val="2"/>
      <charset val="1"/>
    </font>
    <font>
      <sz val="8"/>
      <name val="Aptos Narrow"/>
      <family val="2"/>
      <charset val="1"/>
    </font>
    <font>
      <sz val="10"/>
      <color theme="1"/>
      <name val="Aptos"/>
    </font>
    <font>
      <sz val="9"/>
      <color theme="1"/>
      <name val="Aptos Narrow"/>
      <family val="2"/>
      <charset val="1"/>
    </font>
    <font>
      <i/>
      <sz val="11"/>
      <color rgb="FF555555"/>
      <name val="Aptos Narrow"/>
      <family val="2"/>
      <charset val="1"/>
    </font>
    <font>
      <b/>
      <sz val="10"/>
      <color rgb="FF7F6000"/>
      <name val="Aptos"/>
      <family val="2"/>
    </font>
    <font>
      <b/>
      <sz val="9"/>
      <color theme="1"/>
      <name val="Aptos Narrow"/>
      <family val="2"/>
      <charset val="1"/>
    </font>
    <font>
      <b/>
      <sz val="10"/>
      <color rgb="FF1F1F1F"/>
      <name val="Aptos"/>
      <family val="2"/>
    </font>
    <font>
      <b/>
      <sz val="18"/>
      <color rgb="FFFFFFFF"/>
      <name val="Aptos"/>
      <family val="2"/>
    </font>
    <font>
      <sz val="10"/>
      <color rgb="FF666666"/>
      <name val="Aptos"/>
      <family val="2"/>
    </font>
    <font>
      <sz val="10"/>
      <color rgb="FF555555"/>
      <name val="Aptos"/>
      <family val="2"/>
    </font>
    <font>
      <i/>
      <sz val="10"/>
      <color rgb="FF7F6000"/>
      <name val="Aptos"/>
      <family val="2"/>
    </font>
    <font>
      <b/>
      <sz val="15"/>
      <color rgb="FFFFFFFF"/>
      <name val="Aptos Narrow"/>
      <family val="2"/>
      <charset val="1"/>
    </font>
    <font>
      <b/>
      <sz val="13"/>
      <color rgb="FFFFFFFF"/>
      <name val="Aptos Narrow"/>
      <family val="2"/>
      <charset val="1"/>
    </font>
    <font>
      <b/>
      <sz val="11"/>
      <color rgb="FF17365D"/>
      <name val="Aptos Narrow"/>
      <family val="2"/>
      <charset val="1"/>
    </font>
    <font>
      <sz val="9"/>
      <color rgb="FF17365D"/>
      <name val="Aptos Narrow"/>
      <family val="2"/>
      <charset val="1"/>
    </font>
    <font>
      <b/>
      <sz val="11"/>
      <color rgb="FF7F6000"/>
      <name val="Aptos Narrow"/>
      <family val="2"/>
      <charset val="1"/>
    </font>
    <font>
      <b/>
      <sz val="11"/>
      <color rgb="FF274E13"/>
      <name val="Aptos Narrow"/>
      <family val="2"/>
      <charset val="1"/>
    </font>
    <font>
      <b/>
      <sz val="10"/>
      <color theme="1"/>
      <name val="Aptos Narrow"/>
      <family val="2"/>
      <charset val="1"/>
    </font>
    <font>
      <b/>
      <sz val="10"/>
      <color rgb="FF006100"/>
      <name val="Aptos Narrow"/>
      <family val="2"/>
      <charset val="1"/>
    </font>
    <font>
      <b/>
      <sz val="10"/>
      <color rgb="FFFFFFFF"/>
      <name val="Aptos Narrow"/>
      <family val="2"/>
      <charset val="1"/>
    </font>
    <font>
      <b/>
      <sz val="10"/>
      <color rgb="FF006100"/>
      <name val="Aptos"/>
      <family val="2"/>
    </font>
    <font>
      <sz val="10"/>
      <color theme="1"/>
      <name val="Aptos Narrow"/>
      <family val="2"/>
      <charset val="1"/>
    </font>
    <font>
      <b/>
      <sz val="9"/>
      <color rgb="FFFFFFFF"/>
      <name val="Aptos Narrow"/>
      <family val="2"/>
      <charset val="1"/>
    </font>
    <font>
      <b/>
      <sz val="12"/>
      <color rgb="FFFFFFFF"/>
      <name val="Aptos Narrow"/>
      <family val="2"/>
      <charset val="1"/>
    </font>
    <font>
      <b/>
      <sz val="11"/>
      <color rgb="FF000000"/>
      <name val="Aptos Narrow"/>
      <family val="2"/>
      <charset val="1"/>
    </font>
    <font>
      <b/>
      <sz val="11"/>
      <color rgb="FF1F1F1F"/>
      <name val="Aptos Narrow"/>
      <family val="2"/>
      <charset val="1"/>
    </font>
    <font>
      <sz val="11"/>
      <color rgb="FF595959"/>
      <name val="Aptos Narrow"/>
      <family val="2"/>
      <charset val="1"/>
    </font>
    <font>
      <b/>
      <sz val="12"/>
      <color rgb="FF1F1F1F"/>
      <name val="Aptos Narrow"/>
      <family val="2"/>
      <charset val="1"/>
    </font>
    <font>
      <i/>
      <sz val="11"/>
      <color rgb="FF7F6000"/>
      <name val="Aptos Narrow"/>
      <family val="2"/>
      <charset val="1"/>
    </font>
    <font>
      <sz val="11"/>
      <color rgb="FF008000"/>
      <name val="Aptos Narrow"/>
      <family val="2"/>
      <charset val="1"/>
    </font>
    <font>
      <sz val="11"/>
      <color rgb="FF666666"/>
      <name val="Aptos Narrow"/>
      <family val="2"/>
      <charset val="1"/>
    </font>
    <font>
      <b/>
      <sz val="16"/>
      <color rgb="FFFFFFFF"/>
      <name val="Aptos Narrow"/>
      <family val="2"/>
      <charset val="1"/>
    </font>
    <font>
      <b/>
      <sz val="16"/>
      <color theme="1"/>
      <name val="Aptos Narrow"/>
      <family val="2"/>
      <charset val="1"/>
    </font>
    <font>
      <b/>
      <sz val="15"/>
      <color theme="1"/>
      <name val="Aptos Narrow"/>
      <family val="2"/>
      <charset val="1"/>
    </font>
  </fonts>
  <fills count="31">
    <fill>
      <patternFill patternType="none"/>
    </fill>
    <fill>
      <patternFill patternType="gray125"/>
    </fill>
    <fill>
      <patternFill patternType="solid">
        <fgColor rgb="FF1F4E78"/>
        <bgColor rgb="FF003366"/>
      </patternFill>
    </fill>
    <fill>
      <patternFill patternType="solid">
        <fgColor rgb="FF1F4E78"/>
        <bgColor rgb="FF1F4E78"/>
      </patternFill>
    </fill>
    <fill>
      <patternFill patternType="solid">
        <fgColor rgb="FFD9EAF7"/>
        <bgColor indexed="64"/>
      </patternFill>
    </fill>
    <fill>
      <patternFill patternType="solid">
        <fgColor rgb="FF1F4E78"/>
        <bgColor indexed="64"/>
      </patternFill>
    </fill>
    <fill>
      <patternFill patternType="solid">
        <fgColor rgb="FF4472C4"/>
        <bgColor indexed="64"/>
      </patternFill>
    </fill>
    <fill>
      <patternFill patternType="solid">
        <fgColor rgb="FFFFF2CC"/>
        <bgColor indexed="64"/>
      </patternFill>
    </fill>
    <fill>
      <patternFill patternType="solid">
        <fgColor rgb="FFF2F2F2"/>
        <bgColor indexed="64"/>
      </patternFill>
    </fill>
    <fill>
      <patternFill patternType="solid">
        <fgColor rgb="FFE2F0D9"/>
        <bgColor indexed="64"/>
      </patternFill>
    </fill>
    <fill>
      <patternFill patternType="solid">
        <fgColor rgb="FFC6EFCE"/>
        <bgColor indexed="64"/>
      </patternFill>
    </fill>
    <fill>
      <patternFill patternType="solid">
        <fgColor rgb="FF17365D"/>
        <bgColor indexed="64"/>
      </patternFill>
    </fill>
    <fill>
      <patternFill patternType="solid">
        <fgColor rgb="FFDDEBF7"/>
        <bgColor indexed="64"/>
      </patternFill>
    </fill>
    <fill>
      <patternFill patternType="solid">
        <fgColor rgb="FFFFFFFF"/>
        <bgColor indexed="64"/>
      </patternFill>
    </fill>
    <fill>
      <patternFill patternType="solid">
        <fgColor rgb="FFF7F9FC"/>
        <bgColor indexed="64"/>
      </patternFill>
    </fill>
    <fill>
      <patternFill patternType="solid">
        <fgColor rgb="FFEAF2F8"/>
        <bgColor indexed="64"/>
      </patternFill>
    </fill>
    <fill>
      <patternFill patternType="solid">
        <fgColor rgb="FFEEF3F8"/>
        <bgColor indexed="64"/>
      </patternFill>
    </fill>
    <fill>
      <patternFill patternType="solid">
        <fgColor rgb="FFE7E6E6"/>
        <bgColor indexed="64"/>
      </patternFill>
    </fill>
    <fill>
      <patternFill patternType="solid">
        <fgColor theme="4" tint="-0.249977111117893"/>
        <bgColor indexed="64"/>
      </patternFill>
    </fill>
    <fill>
      <patternFill patternType="solid">
        <fgColor theme="0" tint="-0.14999847407452621"/>
        <bgColor indexed="64"/>
      </patternFill>
    </fill>
    <fill>
      <patternFill patternType="solid">
        <fgColor rgb="FFD9EAD3"/>
        <bgColor indexed="64"/>
      </patternFill>
    </fill>
    <fill>
      <patternFill patternType="solid">
        <fgColor rgb="FF1F4E79"/>
        <bgColor indexed="64"/>
      </patternFill>
    </fill>
    <fill>
      <patternFill patternType="solid">
        <fgColor rgb="FFD9E1F2"/>
        <bgColor indexed="64"/>
      </patternFill>
    </fill>
    <fill>
      <patternFill patternType="solid">
        <fgColor rgb="FFF7F7F7"/>
        <bgColor indexed="64"/>
      </patternFill>
    </fill>
    <fill>
      <patternFill patternType="solid">
        <fgColor rgb="FFC6E0B4"/>
        <bgColor indexed="64"/>
      </patternFill>
    </fill>
    <fill>
      <patternFill patternType="solid">
        <fgColor rgb="FF2F75B5"/>
        <bgColor indexed="64"/>
      </patternFill>
    </fill>
    <fill>
      <patternFill patternType="solid">
        <fgColor rgb="FFF3F6F9"/>
        <bgColor indexed="64"/>
      </patternFill>
    </fill>
    <fill>
      <patternFill patternType="solid">
        <fgColor rgb="FFF5F8FB"/>
        <bgColor indexed="64"/>
      </patternFill>
    </fill>
    <fill>
      <patternFill patternType="solid">
        <fgColor rgb="FF10233F"/>
        <bgColor indexed="64"/>
      </patternFill>
    </fill>
    <fill>
      <patternFill patternType="solid">
        <fgColor rgb="FF176B87"/>
        <bgColor indexed="64"/>
      </patternFill>
    </fill>
    <fill>
      <patternFill patternType="solid">
        <fgColor rgb="FFDCEAF1"/>
        <bgColor indexed="64"/>
      </patternFill>
    </fill>
  </fills>
  <borders count="47">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bottom/>
      <diagonal/>
    </border>
    <border>
      <left/>
      <right style="thin">
        <color rgb="FFCCCCCC"/>
      </right>
      <top/>
      <bottom/>
      <diagonal/>
    </border>
    <border>
      <left/>
      <right/>
      <top style="thin">
        <color auto="1"/>
      </top>
      <bottom/>
      <diagonal/>
    </border>
    <border>
      <left/>
      <right/>
      <top/>
      <bottom style="thin">
        <color auto="1"/>
      </bottom>
      <diagonal/>
    </border>
    <border>
      <left style="thin">
        <color rgb="FFB4C6E7"/>
      </left>
      <right style="thin">
        <color rgb="FFB4C6E7"/>
      </right>
      <top style="thin">
        <color rgb="FFB4C6E7"/>
      </top>
      <bottom style="thin">
        <color rgb="FFB4C6E7"/>
      </bottom>
      <diagonal/>
    </border>
    <border>
      <left/>
      <right/>
      <top style="thin">
        <color rgb="FFB4C6E7"/>
      </top>
      <bottom style="thin">
        <color rgb="FFB4C6E7"/>
      </bottom>
      <diagonal/>
    </border>
    <border>
      <left style="thin">
        <color rgb="FFB4C6E7"/>
      </left>
      <right/>
      <top style="thin">
        <color rgb="FFB4C6E7"/>
      </top>
      <bottom style="thin">
        <color rgb="FFB4C6E7"/>
      </bottom>
      <diagonal/>
    </border>
    <border>
      <left style="thin">
        <color rgb="FFB4C6E7"/>
      </left>
      <right/>
      <top style="thin">
        <color rgb="FFB4C6E7"/>
      </top>
      <bottom/>
      <diagonal/>
    </border>
    <border>
      <left style="thin">
        <color rgb="FFB4C6E7"/>
      </left>
      <right/>
      <top/>
      <bottom/>
      <diagonal/>
    </border>
    <border>
      <left style="thin">
        <color rgb="FFB4C6E7"/>
      </left>
      <right/>
      <top/>
      <bottom style="thin">
        <color rgb="FFB4C6E7"/>
      </bottom>
      <diagonal/>
    </border>
    <border>
      <left/>
      <right style="thin">
        <color rgb="FFB4C6E7"/>
      </right>
      <top style="thin">
        <color rgb="FFB4C6E7"/>
      </top>
      <bottom/>
      <diagonal/>
    </border>
    <border>
      <left/>
      <right style="thin">
        <color rgb="FFB4C6E7"/>
      </right>
      <top/>
      <bottom/>
      <diagonal/>
    </border>
    <border>
      <left/>
      <right style="thin">
        <color rgb="FFB4C6E7"/>
      </right>
      <top/>
      <bottom style="thin">
        <color rgb="FFB4C6E7"/>
      </bottom>
      <diagonal/>
    </border>
    <border>
      <left/>
      <right style="thin">
        <color rgb="FFB4C6E7"/>
      </right>
      <top style="thin">
        <color rgb="FFB4C6E7"/>
      </top>
      <bottom style="thin">
        <color rgb="FFB4C6E7"/>
      </bottom>
      <diagonal/>
    </border>
    <border>
      <left style="thin">
        <color rgb="FFB4C6E7"/>
      </left>
      <right style="thin">
        <color rgb="FFB4C6E7"/>
      </right>
      <top style="thin">
        <color rgb="FFB4C6E7"/>
      </top>
      <bottom/>
      <diagonal/>
    </border>
    <border>
      <left style="thick">
        <color rgb="FF17365D"/>
      </left>
      <right style="thick">
        <color rgb="FF17365D"/>
      </right>
      <top style="thick">
        <color rgb="FF17365D"/>
      </top>
      <bottom style="thick">
        <color rgb="FF17365D"/>
      </bottom>
      <diagonal/>
    </border>
    <border>
      <left style="thick">
        <color rgb="FF17365D"/>
      </left>
      <right style="thick">
        <color rgb="FF17365D"/>
      </right>
      <top style="thick">
        <color rgb="FF17365D"/>
      </top>
      <bottom/>
      <diagonal/>
    </border>
    <border>
      <left/>
      <right/>
      <top/>
      <bottom style="thin">
        <color rgb="FFD9E2F3"/>
      </bottom>
      <diagonal/>
    </border>
    <border>
      <left style="thin">
        <color rgb="FFB4C6E7"/>
      </left>
      <right style="thin">
        <color rgb="FFB4C6E7"/>
      </right>
      <top/>
      <bottom style="thin">
        <color rgb="FFB4C6E7"/>
      </bottom>
      <diagonal/>
    </border>
    <border>
      <left style="thin">
        <color rgb="FFB4C6E7"/>
      </left>
      <right style="thin">
        <color rgb="FFB4C6E7"/>
      </right>
      <top/>
      <bottom/>
      <diagonal/>
    </border>
    <border>
      <left style="thin">
        <color rgb="FF4472C4"/>
      </left>
      <right style="thin">
        <color rgb="FF4472C4"/>
      </right>
      <top style="thin">
        <color rgb="FF4472C4"/>
      </top>
      <bottom style="thin">
        <color rgb="FF4472C4"/>
      </bottom>
      <diagonal/>
    </border>
    <border>
      <left/>
      <right/>
      <top/>
      <bottom style="thin">
        <color rgb="FFB4C6E7"/>
      </bottom>
      <diagonal/>
    </border>
    <border>
      <left style="thick">
        <color rgb="FF17365D"/>
      </left>
      <right style="thick">
        <color rgb="FF17365D"/>
      </right>
      <top/>
      <bottom/>
      <diagonal/>
    </border>
    <border>
      <left/>
      <right/>
      <top/>
      <bottom style="thin">
        <color rgb="FF1F4E78"/>
      </bottom>
      <diagonal/>
    </border>
    <border>
      <left style="thin">
        <color rgb="FFA6A6A6"/>
      </left>
      <right style="thin">
        <color rgb="FFA6A6A6"/>
      </right>
      <top style="thin">
        <color rgb="FFA6A6A6"/>
      </top>
      <bottom style="thin">
        <color rgb="FFA6A6A6"/>
      </bottom>
      <diagonal/>
    </border>
    <border>
      <left style="thick">
        <color rgb="FF17365D"/>
      </left>
      <right style="thick">
        <color rgb="FF17365D"/>
      </right>
      <top style="thin">
        <color rgb="FFD9D9D9"/>
      </top>
      <bottom/>
      <diagonal/>
    </border>
    <border>
      <left style="thin">
        <color rgb="FFB4C6E7"/>
      </left>
      <right style="thin">
        <color rgb="FFB4C6E7"/>
      </right>
      <top style="thin">
        <color rgb="FFD9D9D9"/>
      </top>
      <bottom style="thin">
        <color rgb="FFD9D9D9"/>
      </bottom>
      <diagonal/>
    </border>
    <border>
      <left style="thin">
        <color rgb="FFD9D9D9"/>
      </left>
      <right style="thin">
        <color rgb="FFB4C6E7"/>
      </right>
      <top style="thin">
        <color rgb="FFD9D9D9"/>
      </top>
      <bottom style="thin">
        <color rgb="FFD9D9D9"/>
      </bottom>
      <diagonal/>
    </border>
    <border>
      <left style="thin">
        <color rgb="FFB4C6E7"/>
      </left>
      <right style="thin">
        <color rgb="FFD9D9D9"/>
      </right>
      <top style="thin">
        <color rgb="FFD9D9D9"/>
      </top>
      <bottom style="thin">
        <color rgb="FFD9D9D9"/>
      </bottom>
      <diagonal/>
    </border>
    <border>
      <left style="thin">
        <color rgb="FFB4C6E7"/>
      </left>
      <right/>
      <top style="thin">
        <color rgb="FFD9D9D9"/>
      </top>
      <bottom style="thin">
        <color rgb="FFD9D9D9"/>
      </bottom>
      <diagonal/>
    </border>
    <border>
      <left style="thick">
        <color rgb="FF1F4E78"/>
      </left>
      <right style="thick">
        <color rgb="FF1F4E78"/>
      </right>
      <top style="thick">
        <color rgb="FF1F4E78"/>
      </top>
      <bottom style="thick">
        <color rgb="FF1F4E78"/>
      </bottom>
      <diagonal/>
    </border>
    <border>
      <left style="thin">
        <color rgb="FFD9D9D9"/>
      </left>
      <right style="thin">
        <color rgb="FFB4C6E7"/>
      </right>
      <top style="thin">
        <color rgb="FFD9D9D9"/>
      </top>
      <bottom/>
      <diagonal/>
    </border>
    <border>
      <left style="thin">
        <color rgb="FFB4C6E7"/>
      </left>
      <right style="thin">
        <color rgb="FFB4C6E7"/>
      </right>
      <top style="thin">
        <color rgb="FFD9D9D9"/>
      </top>
      <bottom/>
      <diagonal/>
    </border>
    <border>
      <left style="thin">
        <color rgb="FFB4C6E7"/>
      </left>
      <right/>
      <top style="thin">
        <color rgb="FFD9D9D9"/>
      </top>
      <bottom/>
      <diagonal/>
    </border>
    <border>
      <left style="thick">
        <color rgb="FF1F4E78"/>
      </left>
      <right style="thick">
        <color rgb="FF1F4E78"/>
      </right>
      <top style="thick">
        <color rgb="FF1F4E78"/>
      </top>
      <bottom/>
      <diagonal/>
    </border>
    <border>
      <left/>
      <right style="thin">
        <color rgb="FFB4C6E7"/>
      </right>
      <top style="thin">
        <color rgb="FFD9D9D9"/>
      </top>
      <bottom/>
      <diagonal/>
    </border>
    <border>
      <left style="thin">
        <color rgb="FFB4C6E7"/>
      </left>
      <right style="thin">
        <color rgb="FFD9D9D9"/>
      </right>
      <top style="thin">
        <color rgb="FFD9D9D9"/>
      </top>
      <bottom/>
      <diagonal/>
    </border>
    <border>
      <left/>
      <right style="thick">
        <color rgb="FF17365D"/>
      </right>
      <top style="thin">
        <color rgb="FFD9D9D9"/>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bottom style="thin">
        <color rgb="FFE5E5E5"/>
      </bottom>
      <diagonal/>
    </border>
    <border>
      <left/>
      <right/>
      <top style="thin">
        <color rgb="FFE5E5E5"/>
      </top>
      <bottom style="thin">
        <color rgb="FFE5E5E5"/>
      </bottom>
      <diagonal/>
    </border>
    <border>
      <left/>
      <right/>
      <top style="thin">
        <color rgb="FFE5E5E5"/>
      </top>
      <bottom/>
      <diagonal/>
    </border>
  </borders>
  <cellStyleXfs count="1">
    <xf numFmtId="0" fontId="0" fillId="0" borderId="0"/>
  </cellStyleXfs>
  <cellXfs count="282">
    <xf numFmtId="0" fontId="0" fillId="0" borderId="0" xfId="0"/>
    <xf numFmtId="0" fontId="2" fillId="0" borderId="0" xfId="0" applyFont="1"/>
    <xf numFmtId="0" fontId="4" fillId="0" borderId="0" xfId="0" applyFont="1"/>
    <xf numFmtId="0" fontId="1" fillId="2" borderId="1" xfId="0" applyFont="1" applyFill="1" applyBorder="1"/>
    <xf numFmtId="0" fontId="5" fillId="0" borderId="0" xfId="0" applyFont="1"/>
    <xf numFmtId="164" fontId="2" fillId="0" borderId="0" xfId="0" applyNumberFormat="1" applyFont="1"/>
    <xf numFmtId="20" fontId="2" fillId="0" borderId="0" xfId="0" applyNumberFormat="1" applyFont="1"/>
    <xf numFmtId="0" fontId="3" fillId="0" borderId="2" xfId="0" applyFont="1" applyBorder="1"/>
    <xf numFmtId="0" fontId="3" fillId="0" borderId="2" xfId="0" applyFont="1" applyBorder="1" applyAlignment="1">
      <alignment horizontal="center"/>
    </xf>
    <xf numFmtId="1" fontId="3" fillId="0" borderId="2" xfId="0" applyNumberFormat="1" applyFont="1" applyBorder="1" applyAlignment="1">
      <alignment horizontal="center"/>
    </xf>
    <xf numFmtId="2" fontId="3" fillId="0" borderId="2" xfId="0" applyNumberFormat="1" applyFont="1" applyBorder="1" applyAlignment="1">
      <alignment horizontal="center"/>
    </xf>
    <xf numFmtId="165" fontId="3" fillId="0" borderId="2" xfId="0" applyNumberFormat="1" applyFont="1" applyBorder="1" applyAlignment="1">
      <alignment horizontal="center"/>
    </xf>
    <xf numFmtId="0" fontId="3" fillId="0" borderId="2" xfId="0" applyFont="1" applyBorder="1" applyAlignment="1">
      <alignment horizontal="left"/>
    </xf>
    <xf numFmtId="0" fontId="2" fillId="0" borderId="0" xfId="0" applyFont="1" applyAlignment="1">
      <alignment horizontal="left"/>
    </xf>
    <xf numFmtId="2" fontId="2" fillId="0" borderId="0" xfId="0" applyNumberFormat="1" applyFont="1"/>
    <xf numFmtId="1" fontId="2" fillId="0" borderId="0" xfId="0" applyNumberFormat="1" applyFont="1"/>
    <xf numFmtId="165" fontId="2" fillId="0" borderId="0" xfId="0" applyNumberFormat="1" applyFont="1"/>
    <xf numFmtId="0" fontId="1" fillId="2" borderId="3" xfId="0" applyFont="1" applyFill="1" applyBorder="1"/>
    <xf numFmtId="0" fontId="1" fillId="2" borderId="4" xfId="0" applyFont="1" applyFill="1" applyBorder="1"/>
    <xf numFmtId="0" fontId="6" fillId="0" borderId="0" xfId="0" applyFont="1" applyAlignment="1">
      <alignment wrapText="1"/>
    </xf>
    <xf numFmtId="0" fontId="1" fillId="3" borderId="2" xfId="0" applyFont="1" applyFill="1" applyBorder="1" applyAlignment="1">
      <alignment horizontal="center" vertical="center"/>
    </xf>
    <xf numFmtId="0" fontId="7" fillId="5" borderId="1" xfId="0" applyFont="1" applyFill="1" applyBorder="1" applyAlignment="1">
      <alignment horizontal="center" vertical="center" wrapText="1"/>
    </xf>
    <xf numFmtId="0" fontId="7" fillId="5" borderId="1" xfId="0" applyFont="1" applyFill="1" applyBorder="1" applyAlignment="1">
      <alignment horizontal="left" vertical="center" wrapText="1"/>
    </xf>
    <xf numFmtId="0" fontId="9" fillId="5" borderId="0" xfId="0" applyFont="1" applyFill="1"/>
    <xf numFmtId="0" fontId="10" fillId="0" borderId="0" xfId="0" applyFont="1"/>
    <xf numFmtId="0" fontId="8" fillId="6" borderId="0" xfId="0" applyFont="1" applyFill="1"/>
    <xf numFmtId="2" fontId="0" fillId="0" borderId="0" xfId="0" applyNumberFormat="1" applyAlignment="1">
      <alignment horizontal="center"/>
    </xf>
    <xf numFmtId="1" fontId="0" fillId="0" borderId="0" xfId="0" applyNumberFormat="1" applyAlignment="1">
      <alignment horizontal="center"/>
    </xf>
    <xf numFmtId="0" fontId="0" fillId="0" borderId="0" xfId="0" applyAlignment="1">
      <alignment horizontal="center"/>
    </xf>
    <xf numFmtId="165" fontId="0" fillId="0" borderId="0" xfId="0" applyNumberFormat="1" applyAlignment="1">
      <alignment horizontal="center"/>
    </xf>
    <xf numFmtId="0" fontId="3" fillId="0" borderId="1" xfId="0" applyFont="1" applyBorder="1" applyAlignment="1">
      <alignment vertical="center"/>
    </xf>
    <xf numFmtId="0" fontId="3" fillId="0" borderId="1" xfId="0" applyFont="1" applyBorder="1" applyAlignment="1">
      <alignment horizontal="center" vertical="center"/>
    </xf>
    <xf numFmtId="0" fontId="3" fillId="0" borderId="0" xfId="0" applyFont="1" applyAlignment="1">
      <alignment vertical="center"/>
    </xf>
    <xf numFmtId="0" fontId="2" fillId="0" borderId="0" xfId="0" applyFont="1" applyAlignment="1">
      <alignment vertical="center"/>
    </xf>
    <xf numFmtId="2" fontId="2" fillId="0" borderId="0" xfId="0" applyNumberFormat="1" applyFont="1" applyAlignment="1">
      <alignment vertical="center"/>
    </xf>
    <xf numFmtId="0" fontId="4" fillId="0" borderId="0" xfId="0" applyFont="1" applyAlignment="1">
      <alignment vertical="center"/>
    </xf>
    <xf numFmtId="2" fontId="12" fillId="4" borderId="1" xfId="0" applyNumberFormat="1" applyFont="1" applyFill="1" applyBorder="1" applyAlignment="1">
      <alignment horizontal="center" vertical="center"/>
    </xf>
    <xf numFmtId="0" fontId="0" fillId="4" borderId="0" xfId="0" applyFill="1" applyAlignment="1">
      <alignment wrapText="1"/>
    </xf>
    <xf numFmtId="0" fontId="8" fillId="6" borderId="0" xfId="0" applyFont="1" applyFill="1" applyAlignment="1">
      <alignment horizontal="center" wrapText="1"/>
    </xf>
    <xf numFmtId="0" fontId="13" fillId="0" borderId="0" xfId="0" applyFont="1"/>
    <xf numFmtId="2" fontId="14" fillId="0" borderId="0" xfId="0" applyNumberFormat="1" applyFont="1" applyAlignment="1">
      <alignment horizontal="center"/>
    </xf>
    <xf numFmtId="0" fontId="8" fillId="6" borderId="0" xfId="0" applyFont="1" applyFill="1" applyAlignment="1">
      <alignment horizontal="center"/>
    </xf>
    <xf numFmtId="0" fontId="8" fillId="11" borderId="0" xfId="0" applyFont="1" applyFill="1"/>
    <xf numFmtId="0" fontId="0" fillId="13" borderId="0" xfId="0" applyFill="1"/>
    <xf numFmtId="0" fontId="21" fillId="0" borderId="18" xfId="0" applyFont="1" applyBorder="1" applyAlignment="1">
      <alignment horizontal="center"/>
    </xf>
    <xf numFmtId="0" fontId="21" fillId="0" borderId="19" xfId="0" applyFont="1" applyBorder="1" applyAlignment="1">
      <alignment horizontal="center"/>
    </xf>
    <xf numFmtId="166" fontId="2" fillId="0" borderId="0" xfId="0" applyNumberFormat="1" applyFont="1"/>
    <xf numFmtId="0" fontId="22" fillId="4" borderId="7" xfId="0" applyFont="1" applyFill="1" applyBorder="1" applyAlignment="1">
      <alignment vertical="center"/>
    </xf>
    <xf numFmtId="0" fontId="1" fillId="11" borderId="7" xfId="0" applyFont="1" applyFill="1" applyBorder="1" applyAlignment="1">
      <alignment horizontal="center" vertical="center" wrapText="1"/>
    </xf>
    <xf numFmtId="0" fontId="12" fillId="14" borderId="9" xfId="0" applyFont="1" applyFill="1" applyBorder="1" applyAlignment="1">
      <alignment vertical="center"/>
    </xf>
    <xf numFmtId="0" fontId="18" fillId="0" borderId="15" xfId="0" applyFont="1" applyBorder="1"/>
    <xf numFmtId="0" fontId="18" fillId="0" borderId="21" xfId="0" applyFont="1" applyBorder="1"/>
    <xf numFmtId="2" fontId="18" fillId="0" borderId="21" xfId="0" applyNumberFormat="1" applyFont="1" applyBorder="1"/>
    <xf numFmtId="0" fontId="18" fillId="0" borderId="12" xfId="0" applyFont="1" applyBorder="1"/>
    <xf numFmtId="168" fontId="18" fillId="0" borderId="16" xfId="0" applyNumberFormat="1" applyFont="1" applyBorder="1" applyAlignment="1">
      <alignment horizontal="center"/>
    </xf>
    <xf numFmtId="0" fontId="18" fillId="0" borderId="7" xfId="0" applyFont="1" applyBorder="1" applyAlignment="1">
      <alignment horizontal="left"/>
    </xf>
    <xf numFmtId="0" fontId="18" fillId="0" borderId="7" xfId="0" applyFont="1" applyBorder="1" applyAlignment="1">
      <alignment horizontal="center"/>
    </xf>
    <xf numFmtId="2" fontId="18" fillId="0" borderId="7" xfId="0" applyNumberFormat="1" applyFont="1" applyBorder="1" applyAlignment="1">
      <alignment horizontal="center"/>
    </xf>
    <xf numFmtId="170" fontId="18" fillId="0" borderId="7" xfId="0" applyNumberFormat="1" applyFont="1" applyBorder="1" applyAlignment="1">
      <alignment horizontal="center"/>
    </xf>
    <xf numFmtId="1" fontId="18" fillId="0" borderId="7" xfId="0" applyNumberFormat="1" applyFont="1" applyBorder="1" applyAlignment="1">
      <alignment horizontal="center"/>
    </xf>
    <xf numFmtId="0" fontId="18" fillId="0" borderId="9" xfId="0" applyFont="1" applyBorder="1" applyAlignment="1">
      <alignment horizontal="center"/>
    </xf>
    <xf numFmtId="168" fontId="18" fillId="0" borderId="13" xfId="0" applyNumberFormat="1" applyFont="1" applyBorder="1" applyAlignment="1">
      <alignment horizontal="center"/>
    </xf>
    <xf numFmtId="0" fontId="18" fillId="0" borderId="17" xfId="0" applyFont="1" applyBorder="1" applyAlignment="1">
      <alignment horizontal="left"/>
    </xf>
    <xf numFmtId="0" fontId="18" fillId="0" borderId="17" xfId="0" applyFont="1" applyBorder="1" applyAlignment="1">
      <alignment horizontal="center"/>
    </xf>
    <xf numFmtId="2" fontId="18" fillId="0" borderId="17" xfId="0" applyNumberFormat="1" applyFont="1" applyBorder="1" applyAlignment="1">
      <alignment horizontal="center"/>
    </xf>
    <xf numFmtId="170" fontId="18" fillId="0" borderId="17" xfId="0" applyNumberFormat="1" applyFont="1" applyBorder="1" applyAlignment="1">
      <alignment horizontal="center"/>
    </xf>
    <xf numFmtId="0" fontId="21" fillId="0" borderId="17" xfId="0" applyFont="1" applyBorder="1" applyAlignment="1">
      <alignment horizontal="center"/>
    </xf>
    <xf numFmtId="0" fontId="18" fillId="0" borderId="10" xfId="0" applyFont="1" applyBorder="1" applyAlignment="1">
      <alignment horizontal="center"/>
    </xf>
    <xf numFmtId="0" fontId="18" fillId="0" borderId="16" xfId="0" applyFont="1" applyBorder="1" applyAlignment="1">
      <alignment horizontal="center"/>
    </xf>
    <xf numFmtId="0" fontId="18" fillId="0" borderId="22" xfId="0" applyFont="1" applyBorder="1"/>
    <xf numFmtId="0" fontId="18" fillId="0" borderId="21" xfId="0" applyFont="1" applyBorder="1" applyAlignment="1">
      <alignment horizontal="center"/>
    </xf>
    <xf numFmtId="0" fontId="18" fillId="0" borderId="15" xfId="0" applyFont="1" applyBorder="1" applyAlignment="1">
      <alignment horizontal="center"/>
    </xf>
    <xf numFmtId="0" fontId="18" fillId="0" borderId="12" xfId="0" applyFont="1" applyBorder="1" applyAlignment="1">
      <alignment horizontal="center"/>
    </xf>
    <xf numFmtId="0" fontId="18" fillId="0" borderId="14" xfId="0" applyFont="1" applyBorder="1" applyAlignment="1">
      <alignment horizontal="center"/>
    </xf>
    <xf numFmtId="0" fontId="18" fillId="0" borderId="11" xfId="0" applyFont="1" applyBorder="1" applyAlignment="1">
      <alignment horizontal="center"/>
    </xf>
    <xf numFmtId="0" fontId="18" fillId="0" borderId="13" xfId="0" applyFont="1" applyBorder="1" applyAlignment="1">
      <alignment horizontal="center"/>
    </xf>
    <xf numFmtId="0" fontId="21" fillId="0" borderId="22" xfId="0" applyFont="1" applyBorder="1" applyAlignment="1">
      <alignment horizontal="center"/>
    </xf>
    <xf numFmtId="0" fontId="21" fillId="0" borderId="13" xfId="0" applyFont="1" applyBorder="1" applyAlignment="1">
      <alignment horizontal="center"/>
    </xf>
    <xf numFmtId="0" fontId="21" fillId="0" borderId="10" xfId="0" applyFont="1" applyBorder="1" applyAlignment="1">
      <alignment horizontal="center"/>
    </xf>
    <xf numFmtId="0" fontId="2" fillId="0" borderId="0" xfId="0" applyFont="1" applyAlignment="1">
      <alignment horizontal="center"/>
    </xf>
    <xf numFmtId="166" fontId="0" fillId="0" borderId="0" xfId="0" applyNumberFormat="1"/>
    <xf numFmtId="0" fontId="0" fillId="0" borderId="0" xfId="0" applyAlignment="1">
      <alignment wrapText="1"/>
    </xf>
    <xf numFmtId="0" fontId="0" fillId="0" borderId="6" xfId="0" applyBorder="1" applyAlignment="1">
      <alignment wrapText="1"/>
    </xf>
    <xf numFmtId="171" fontId="0" fillId="0" borderId="0" xfId="0" applyNumberFormat="1"/>
    <xf numFmtId="0" fontId="8" fillId="6" borderId="6" xfId="0" applyFont="1" applyFill="1" applyBorder="1"/>
    <xf numFmtId="0" fontId="11" fillId="17" borderId="6" xfId="0" applyFont="1" applyFill="1" applyBorder="1" applyAlignment="1">
      <alignment wrapText="1"/>
    </xf>
    <xf numFmtId="0" fontId="11" fillId="17" borderId="6" xfId="0" applyFont="1" applyFill="1" applyBorder="1" applyAlignment="1">
      <alignment horizontal="center" wrapText="1"/>
    </xf>
    <xf numFmtId="0" fontId="29" fillId="4" borderId="0" xfId="0" applyFont="1" applyFill="1" applyAlignment="1">
      <alignment horizontal="center"/>
    </xf>
    <xf numFmtId="0" fontId="11" fillId="17" borderId="0" xfId="0" applyFont="1" applyFill="1"/>
    <xf numFmtId="0" fontId="11" fillId="17" borderId="0" xfId="0" applyFont="1" applyFill="1" applyAlignment="1">
      <alignment horizontal="center"/>
    </xf>
    <xf numFmtId="0" fontId="29" fillId="4" borderId="23" xfId="0" applyFont="1" applyFill="1" applyBorder="1" applyAlignment="1">
      <alignment horizontal="center"/>
    </xf>
    <xf numFmtId="0" fontId="29" fillId="4" borderId="23" xfId="0" applyFont="1" applyFill="1" applyBorder="1" applyAlignment="1">
      <alignment horizontal="center" wrapText="1"/>
    </xf>
    <xf numFmtId="0" fontId="15" fillId="18" borderId="6" xfId="0" applyFont="1" applyFill="1" applyBorder="1" applyAlignment="1">
      <alignment horizontal="center"/>
    </xf>
    <xf numFmtId="171" fontId="8" fillId="18" borderId="6" xfId="0" applyNumberFormat="1" applyFont="1" applyFill="1" applyBorder="1" applyAlignment="1">
      <alignment horizontal="center"/>
    </xf>
    <xf numFmtId="166" fontId="18" fillId="0" borderId="17" xfId="0" applyNumberFormat="1" applyFont="1" applyBorder="1" applyAlignment="1">
      <alignment horizontal="center"/>
    </xf>
    <xf numFmtId="171" fontId="18" fillId="0" borderId="17" xfId="0" applyNumberFormat="1" applyFont="1" applyBorder="1" applyAlignment="1">
      <alignment horizontal="center"/>
    </xf>
    <xf numFmtId="0" fontId="30" fillId="4" borderId="17" xfId="0" applyFont="1" applyFill="1" applyBorder="1" applyAlignment="1">
      <alignment horizontal="center"/>
    </xf>
    <xf numFmtId="3" fontId="0" fillId="0" borderId="0" xfId="0" applyNumberFormat="1"/>
    <xf numFmtId="0" fontId="0" fillId="0" borderId="20" xfId="0" applyBorder="1"/>
    <xf numFmtId="3" fontId="0" fillId="0" borderId="20" xfId="0" applyNumberFormat="1" applyBorder="1"/>
    <xf numFmtId="2" fontId="0" fillId="0" borderId="0" xfId="0" applyNumberFormat="1"/>
    <xf numFmtId="0" fontId="0" fillId="0" borderId="24" xfId="0" applyBorder="1"/>
    <xf numFmtId="168" fontId="2" fillId="0" borderId="0" xfId="0" applyNumberFormat="1" applyFont="1"/>
    <xf numFmtId="165" fontId="0" fillId="0" borderId="0" xfId="0" applyNumberFormat="1"/>
    <xf numFmtId="166" fontId="18" fillId="0" borderId="7" xfId="0" applyNumberFormat="1" applyFont="1" applyBorder="1" applyAlignment="1">
      <alignment horizontal="center"/>
    </xf>
    <xf numFmtId="171" fontId="18" fillId="0" borderId="7" xfId="0" applyNumberFormat="1" applyFont="1" applyBorder="1" applyAlignment="1">
      <alignment horizontal="center"/>
    </xf>
    <xf numFmtId="0" fontId="21" fillId="0" borderId="7" xfId="0" applyFont="1" applyBorder="1" applyAlignment="1">
      <alignment horizontal="center"/>
    </xf>
    <xf numFmtId="0" fontId="3" fillId="19" borderId="1" xfId="0" applyFont="1" applyFill="1" applyBorder="1" applyAlignment="1">
      <alignment vertical="center"/>
    </xf>
    <xf numFmtId="2" fontId="12"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0" fontId="3" fillId="19" borderId="0" xfId="0" applyFont="1" applyFill="1" applyAlignment="1">
      <alignment vertical="center"/>
    </xf>
    <xf numFmtId="0" fontId="11" fillId="0" borderId="0" xfId="0" applyFont="1" applyAlignment="1">
      <alignment horizontal="center"/>
    </xf>
    <xf numFmtId="0" fontId="32" fillId="20" borderId="0" xfId="0" applyFont="1" applyFill="1" applyAlignment="1">
      <alignment horizontal="center"/>
    </xf>
    <xf numFmtId="0" fontId="24" fillId="13" borderId="7" xfId="0" applyFont="1" applyFill="1" applyBorder="1" applyAlignment="1">
      <alignment horizontal="left" vertical="center" wrapText="1"/>
    </xf>
    <xf numFmtId="0" fontId="22" fillId="7" borderId="7" xfId="0" applyFont="1" applyFill="1" applyBorder="1" applyAlignment="1">
      <alignment horizontal="left" vertical="center"/>
    </xf>
    <xf numFmtId="0" fontId="36" fillId="10" borderId="7" xfId="0" applyFont="1" applyFill="1" applyBorder="1" applyAlignment="1">
      <alignment horizontal="center" vertical="center" wrapText="1"/>
    </xf>
    <xf numFmtId="0" fontId="37" fillId="0" borderId="0" xfId="0" applyFont="1"/>
    <xf numFmtId="0" fontId="38" fillId="6" borderId="0" xfId="0" applyFont="1" applyFill="1" applyAlignment="1">
      <alignment horizontal="center" wrapText="1"/>
    </xf>
    <xf numFmtId="0" fontId="12" fillId="0" borderId="0" xfId="0" applyFont="1" applyAlignment="1">
      <alignment vertical="center"/>
    </xf>
    <xf numFmtId="0" fontId="12" fillId="13" borderId="0" xfId="0" applyFont="1" applyFill="1" applyAlignment="1">
      <alignment vertical="center"/>
    </xf>
    <xf numFmtId="0" fontId="22" fillId="13" borderId="0" xfId="0" applyFont="1" applyFill="1" applyAlignment="1">
      <alignment vertical="center"/>
    </xf>
    <xf numFmtId="0" fontId="22" fillId="14" borderId="7" xfId="0" applyFont="1" applyFill="1" applyBorder="1" applyAlignment="1">
      <alignment horizontal="center" vertical="center" wrapText="1"/>
    </xf>
    <xf numFmtId="0" fontId="22" fillId="12" borderId="7" xfId="0" applyFont="1" applyFill="1" applyBorder="1" applyAlignment="1">
      <alignment horizontal="center" vertical="center" wrapText="1"/>
    </xf>
    <xf numFmtId="0" fontId="20" fillId="7" borderId="7" xfId="0" applyFont="1" applyFill="1" applyBorder="1" applyAlignment="1">
      <alignment horizontal="center" vertical="center" wrapText="1"/>
    </xf>
    <xf numFmtId="0" fontId="37" fillId="0" borderId="0" xfId="0" applyFont="1" applyAlignment="1">
      <alignment vertical="center"/>
    </xf>
    <xf numFmtId="167" fontId="22" fillId="14" borderId="7" xfId="0" applyNumberFormat="1" applyFont="1" applyFill="1" applyBorder="1" applyAlignment="1">
      <alignment horizontal="center" vertical="center"/>
    </xf>
    <xf numFmtId="165" fontId="12" fillId="13" borderId="7" xfId="0" applyNumberFormat="1" applyFont="1" applyFill="1" applyBorder="1" applyAlignment="1">
      <alignment horizontal="center" vertical="center"/>
    </xf>
    <xf numFmtId="0" fontId="12" fillId="13" borderId="7" xfId="0" applyFont="1" applyFill="1" applyBorder="1" applyAlignment="1">
      <alignment horizontal="center" vertical="center"/>
    </xf>
    <xf numFmtId="0" fontId="22" fillId="0" borderId="0" xfId="0" applyFont="1" applyAlignment="1">
      <alignment vertical="center"/>
    </xf>
    <xf numFmtId="0" fontId="17" fillId="0" borderId="0" xfId="0" applyFont="1" applyAlignment="1">
      <alignment vertical="center"/>
    </xf>
    <xf numFmtId="0" fontId="17" fillId="13" borderId="0" xfId="0" applyFont="1" applyFill="1" applyAlignment="1">
      <alignment vertical="center"/>
    </xf>
    <xf numFmtId="0" fontId="22" fillId="4" borderId="7" xfId="0" applyFont="1" applyFill="1" applyBorder="1" applyAlignment="1">
      <alignment horizontal="center" vertical="center"/>
    </xf>
    <xf numFmtId="0" fontId="1" fillId="11" borderId="7" xfId="0" applyFont="1" applyFill="1" applyBorder="1" applyAlignment="1">
      <alignment horizontal="center" vertical="center"/>
    </xf>
    <xf numFmtId="0" fontId="12" fillId="13" borderId="0" xfId="0" applyFont="1" applyFill="1" applyAlignment="1">
      <alignment horizontal="center" vertical="center"/>
    </xf>
    <xf numFmtId="2" fontId="22" fillId="9" borderId="7" xfId="0" applyNumberFormat="1" applyFont="1" applyFill="1" applyBorder="1" applyAlignment="1">
      <alignment horizontal="center" vertical="center"/>
    </xf>
    <xf numFmtId="2" fontId="12" fillId="14" borderId="7" xfId="0" applyNumberFormat="1" applyFont="1" applyFill="1" applyBorder="1" applyAlignment="1">
      <alignment horizontal="center" vertical="center"/>
    </xf>
    <xf numFmtId="1" fontId="22" fillId="13" borderId="7" xfId="0" applyNumberFormat="1" applyFont="1" applyFill="1" applyBorder="1" applyAlignment="1">
      <alignment horizontal="center" vertical="center"/>
    </xf>
    <xf numFmtId="2" fontId="22" fillId="13" borderId="7" xfId="0" applyNumberFormat="1" applyFont="1" applyFill="1" applyBorder="1" applyAlignment="1">
      <alignment horizontal="center" vertical="center"/>
    </xf>
    <xf numFmtId="2" fontId="22" fillId="12" borderId="7" xfId="0" applyNumberFormat="1" applyFont="1" applyFill="1" applyBorder="1" applyAlignment="1">
      <alignment horizontal="center" vertical="center"/>
    </xf>
    <xf numFmtId="169" fontId="20" fillId="7" borderId="7" xfId="0" applyNumberFormat="1" applyFont="1" applyFill="1" applyBorder="1" applyAlignment="1">
      <alignment horizontal="center" vertical="center"/>
    </xf>
    <xf numFmtId="0" fontId="36" fillId="10" borderId="7" xfId="0" applyFont="1" applyFill="1" applyBorder="1" applyAlignment="1">
      <alignment horizontal="center" vertical="center"/>
    </xf>
    <xf numFmtId="0" fontId="25" fillId="13" borderId="7" xfId="0" applyFont="1" applyFill="1" applyBorder="1" applyAlignment="1">
      <alignment horizontal="left" vertical="center"/>
    </xf>
    <xf numFmtId="9" fontId="0" fillId="0" borderId="0" xfId="0" applyNumberFormat="1"/>
    <xf numFmtId="0" fontId="11" fillId="22" borderId="0" xfId="0" applyFont="1" applyFill="1"/>
    <xf numFmtId="2" fontId="11" fillId="22" borderId="0" xfId="0" applyNumberFormat="1" applyFont="1" applyFill="1"/>
    <xf numFmtId="0" fontId="11" fillId="20" borderId="0" xfId="0" applyFont="1" applyFill="1"/>
    <xf numFmtId="2" fontId="11" fillId="20" borderId="0" xfId="0" applyNumberFormat="1" applyFont="1" applyFill="1"/>
    <xf numFmtId="0" fontId="38" fillId="6" borderId="0" xfId="0" applyFont="1" applyFill="1" applyAlignment="1">
      <alignment wrapText="1"/>
    </xf>
    <xf numFmtId="0" fontId="38" fillId="13" borderId="0" xfId="0" applyFont="1" applyFill="1" applyAlignment="1">
      <alignment horizontal="center" wrapText="1"/>
    </xf>
    <xf numFmtId="0" fontId="0" fillId="13" borderId="0" xfId="0" applyFill="1" applyAlignment="1">
      <alignment horizontal="center"/>
    </xf>
    <xf numFmtId="0" fontId="37" fillId="0" borderId="0" xfId="0" applyFont="1" applyAlignment="1">
      <alignment horizontal="center"/>
    </xf>
    <xf numFmtId="2" fontId="11" fillId="20" borderId="0" xfId="0" applyNumberFormat="1" applyFont="1" applyFill="1" applyAlignment="1">
      <alignment horizontal="center"/>
    </xf>
    <xf numFmtId="165" fontId="22" fillId="13" borderId="7" xfId="0" applyNumberFormat="1" applyFont="1" applyFill="1" applyBorder="1" applyAlignment="1">
      <alignment horizontal="center" vertical="center"/>
    </xf>
    <xf numFmtId="0" fontId="22" fillId="13" borderId="7" xfId="0" applyFont="1" applyFill="1" applyBorder="1" applyAlignment="1">
      <alignment horizontal="center" vertical="center"/>
    </xf>
    <xf numFmtId="1" fontId="36" fillId="10" borderId="7" xfId="0" applyNumberFormat="1" applyFont="1" applyFill="1" applyBorder="1" applyAlignment="1">
      <alignment horizontal="center" vertical="center"/>
    </xf>
    <xf numFmtId="165" fontId="36" fillId="10" borderId="7" xfId="0" applyNumberFormat="1" applyFont="1" applyFill="1" applyBorder="1" applyAlignment="1">
      <alignment horizontal="center" vertical="center"/>
    </xf>
    <xf numFmtId="0" fontId="21" fillId="0" borderId="16" xfId="0" applyFont="1" applyBorder="1" applyAlignment="1">
      <alignment horizontal="center"/>
    </xf>
    <xf numFmtId="0" fontId="21" fillId="0" borderId="21" xfId="0" applyFont="1" applyBorder="1" applyAlignment="1">
      <alignment horizontal="center"/>
    </xf>
    <xf numFmtId="0" fontId="21" fillId="0" borderId="12" xfId="0" applyFont="1" applyBorder="1" applyAlignment="1">
      <alignment horizontal="center"/>
    </xf>
    <xf numFmtId="0" fontId="21" fillId="0" borderId="15" xfId="0" applyFont="1" applyBorder="1" applyAlignment="1">
      <alignment horizontal="center"/>
    </xf>
    <xf numFmtId="0" fontId="21" fillId="0" borderId="11" xfId="0" applyFont="1" applyBorder="1" applyAlignment="1">
      <alignment horizontal="center"/>
    </xf>
    <xf numFmtId="0" fontId="21" fillId="0" borderId="14" xfId="0" applyFont="1" applyBorder="1" applyAlignment="1">
      <alignment horizontal="center"/>
    </xf>
    <xf numFmtId="2" fontId="18" fillId="0" borderId="10" xfId="0" applyNumberFormat="1" applyFont="1" applyBorder="1" applyAlignment="1">
      <alignment horizontal="center"/>
    </xf>
    <xf numFmtId="0" fontId="30" fillId="4" borderId="13" xfId="0" applyFont="1" applyFill="1" applyBorder="1" applyAlignment="1">
      <alignment horizontal="center"/>
    </xf>
    <xf numFmtId="0" fontId="21" fillId="0" borderId="25" xfId="0" applyFont="1" applyBorder="1" applyAlignment="1">
      <alignment horizontal="center"/>
    </xf>
    <xf numFmtId="0" fontId="40" fillId="22" borderId="0" xfId="0" applyFont="1" applyFill="1" applyAlignment="1">
      <alignment horizontal="center"/>
    </xf>
    <xf numFmtId="0" fontId="0" fillId="0" borderId="24" xfId="0" applyBorder="1" applyAlignment="1">
      <alignment horizontal="center"/>
    </xf>
    <xf numFmtId="2" fontId="0" fillId="0" borderId="24" xfId="0" applyNumberFormat="1" applyBorder="1"/>
    <xf numFmtId="0" fontId="0" fillId="0" borderId="0" xfId="0" applyAlignment="1">
      <alignment vertical="top" wrapText="1"/>
    </xf>
    <xf numFmtId="0" fontId="0" fillId="0" borderId="24" xfId="0" applyBorder="1" applyAlignment="1">
      <alignment vertical="top" wrapText="1"/>
    </xf>
    <xf numFmtId="0" fontId="11" fillId="22" borderId="0" xfId="0" applyFont="1" applyFill="1" applyAlignment="1">
      <alignment horizontal="center"/>
    </xf>
    <xf numFmtId="0" fontId="7" fillId="5" borderId="2" xfId="0" applyFont="1" applyFill="1" applyBorder="1" applyAlignment="1">
      <alignment horizontal="center" vertical="center" wrapText="1"/>
    </xf>
    <xf numFmtId="2" fontId="12" fillId="4" borderId="0" xfId="0" applyNumberFormat="1" applyFont="1" applyFill="1" applyAlignment="1">
      <alignment horizontal="center" vertical="center"/>
    </xf>
    <xf numFmtId="2" fontId="12" fillId="19" borderId="0" xfId="0" applyNumberFormat="1" applyFont="1" applyFill="1" applyAlignment="1">
      <alignment horizontal="center" vertical="center"/>
    </xf>
    <xf numFmtId="172" fontId="0" fillId="0" borderId="0" xfId="0" applyNumberFormat="1"/>
    <xf numFmtId="170" fontId="0" fillId="0" borderId="0" xfId="0" applyNumberFormat="1"/>
    <xf numFmtId="173" fontId="0" fillId="0" borderId="0" xfId="0" applyNumberFormat="1"/>
    <xf numFmtId="0" fontId="29" fillId="12" borderId="0" xfId="0" applyFont="1" applyFill="1" applyAlignment="1">
      <alignment horizontal="center"/>
    </xf>
    <xf numFmtId="0" fontId="0" fillId="0" borderId="0" xfId="0" applyAlignment="1">
      <alignment horizontal="center" wrapText="1"/>
    </xf>
    <xf numFmtId="0" fontId="11" fillId="4" borderId="0" xfId="0" applyFont="1" applyFill="1" applyAlignment="1">
      <alignment horizontal="center"/>
    </xf>
    <xf numFmtId="0" fontId="45" fillId="0" borderId="0" xfId="0" applyFont="1"/>
    <xf numFmtId="1" fontId="0" fillId="0" borderId="0" xfId="0" applyNumberFormat="1"/>
    <xf numFmtId="0" fontId="18" fillId="0" borderId="28" xfId="0" applyFont="1" applyBorder="1" applyAlignment="1">
      <alignment horizontal="center"/>
    </xf>
    <xf numFmtId="0" fontId="18" fillId="0" borderId="29" xfId="0" applyFont="1" applyBorder="1" applyAlignment="1">
      <alignment horizontal="center"/>
    </xf>
    <xf numFmtId="0" fontId="18" fillId="0" borderId="30" xfId="0" applyFont="1" applyBorder="1" applyAlignment="1">
      <alignment horizontal="center"/>
    </xf>
    <xf numFmtId="0" fontId="18" fillId="0" borderId="31" xfId="0" applyFont="1" applyBorder="1" applyAlignment="1">
      <alignment horizontal="center"/>
    </xf>
    <xf numFmtId="0" fontId="18" fillId="0" borderId="32" xfId="0" applyFont="1" applyBorder="1" applyAlignment="1">
      <alignment horizontal="center"/>
    </xf>
    <xf numFmtId="0" fontId="21" fillId="0" borderId="33" xfId="0" applyFont="1" applyBorder="1" applyAlignment="1">
      <alignment horizontal="center"/>
    </xf>
    <xf numFmtId="0" fontId="18" fillId="0" borderId="34" xfId="0" applyFont="1" applyBorder="1" applyAlignment="1">
      <alignment horizontal="center"/>
    </xf>
    <xf numFmtId="0" fontId="18" fillId="0" borderId="35" xfId="0" applyFont="1" applyBorder="1" applyAlignment="1">
      <alignment horizontal="center"/>
    </xf>
    <xf numFmtId="0" fontId="18" fillId="0" borderId="36" xfId="0" applyFont="1" applyBorder="1" applyAlignment="1">
      <alignment horizontal="center"/>
    </xf>
    <xf numFmtId="0" fontId="21" fillId="0" borderId="37" xfId="0" applyFont="1" applyBorder="1" applyAlignment="1">
      <alignment horizontal="center"/>
    </xf>
    <xf numFmtId="0" fontId="18" fillId="0" borderId="38" xfId="0" applyFont="1" applyBorder="1" applyAlignment="1">
      <alignment horizontal="center"/>
    </xf>
    <xf numFmtId="0" fontId="18" fillId="0" borderId="39" xfId="0" applyFont="1" applyBorder="1" applyAlignment="1">
      <alignment horizontal="center"/>
    </xf>
    <xf numFmtId="0" fontId="18" fillId="0" borderId="40" xfId="0" applyFont="1" applyBorder="1" applyAlignment="1">
      <alignment horizontal="center"/>
    </xf>
    <xf numFmtId="0" fontId="0" fillId="0" borderId="41" xfId="0" applyBorder="1"/>
    <xf numFmtId="0" fontId="0" fillId="0" borderId="42" xfId="0" applyBorder="1"/>
    <xf numFmtId="0" fontId="0" fillId="0" borderId="43" xfId="0" applyBorder="1"/>
    <xf numFmtId="174" fontId="0" fillId="0" borderId="41" xfId="0" applyNumberFormat="1" applyBorder="1"/>
    <xf numFmtId="174" fontId="0" fillId="0" borderId="43" xfId="0" applyNumberFormat="1" applyBorder="1"/>
    <xf numFmtId="1" fontId="0" fillId="0" borderId="42" xfId="0" applyNumberFormat="1" applyBorder="1"/>
    <xf numFmtId="0" fontId="0" fillId="0" borderId="44" xfId="0" applyBorder="1"/>
    <xf numFmtId="1" fontId="0" fillId="0" borderId="44" xfId="0" applyNumberFormat="1" applyBorder="1"/>
    <xf numFmtId="14" fontId="0" fillId="0" borderId="44" xfId="0" applyNumberFormat="1" applyBorder="1"/>
    <xf numFmtId="0" fontId="0" fillId="0" borderId="45" xfId="0" applyBorder="1"/>
    <xf numFmtId="1" fontId="0" fillId="0" borderId="45" xfId="0" applyNumberFormat="1" applyBorder="1"/>
    <xf numFmtId="14" fontId="0" fillId="0" borderId="45" xfId="0" applyNumberFormat="1" applyBorder="1"/>
    <xf numFmtId="0" fontId="0" fillId="0" borderId="46" xfId="0" applyBorder="1"/>
    <xf numFmtId="1" fontId="0" fillId="0" borderId="46" xfId="0" applyNumberFormat="1" applyBorder="1"/>
    <xf numFmtId="14" fontId="0" fillId="0" borderId="46" xfId="0" applyNumberFormat="1" applyBorder="1"/>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26" fillId="7" borderId="0" xfId="0" applyFont="1" applyFill="1" applyAlignment="1">
      <alignment vertical="center" wrapText="1"/>
    </xf>
    <xf numFmtId="166" fontId="12" fillId="13" borderId="7" xfId="0" applyNumberFormat="1" applyFont="1" applyFill="1" applyBorder="1" applyAlignment="1">
      <alignment horizontal="center" vertical="center"/>
    </xf>
    <xf numFmtId="0" fontId="12" fillId="13" borderId="7" xfId="0" applyFont="1" applyFill="1" applyBorder="1" applyAlignment="1">
      <alignment horizontal="center" vertical="center"/>
    </xf>
    <xf numFmtId="0" fontId="33" fillId="15" borderId="9" xfId="0" applyFont="1" applyFill="1" applyBorder="1" applyAlignment="1">
      <alignment horizontal="left" vertical="center"/>
    </xf>
    <xf numFmtId="0" fontId="33" fillId="15" borderId="8" xfId="0" applyFont="1" applyFill="1" applyBorder="1" applyAlignment="1">
      <alignment horizontal="center" vertical="center"/>
    </xf>
    <xf numFmtId="0" fontId="1" fillId="6" borderId="0" xfId="0" applyFont="1" applyFill="1" applyAlignment="1">
      <alignment horizontal="center" vertical="center"/>
    </xf>
    <xf numFmtId="0" fontId="23" fillId="11" borderId="0" xfId="0" applyFont="1" applyFill="1" applyAlignment="1">
      <alignment horizontal="left" vertical="center"/>
    </xf>
    <xf numFmtId="0" fontId="23" fillId="13" borderId="0" xfId="0" applyFont="1" applyFill="1" applyAlignment="1">
      <alignment horizontal="left" vertical="center"/>
    </xf>
    <xf numFmtId="0" fontId="4" fillId="16" borderId="0" xfId="0" applyFont="1" applyFill="1" applyAlignment="1">
      <alignment vertical="center"/>
    </xf>
    <xf numFmtId="0" fontId="4" fillId="13" borderId="0" xfId="0" applyFont="1" applyFill="1" applyAlignment="1">
      <alignment vertical="center"/>
    </xf>
    <xf numFmtId="0" fontId="1" fillId="13" borderId="0" xfId="0" applyFont="1" applyFill="1" applyAlignment="1">
      <alignment horizontal="center" vertical="center"/>
    </xf>
    <xf numFmtId="0" fontId="34" fillId="10" borderId="9" xfId="0" applyFont="1" applyFill="1" applyBorder="1" applyAlignment="1">
      <alignment horizontal="center" vertical="center"/>
    </xf>
    <xf numFmtId="0" fontId="34" fillId="10" borderId="8" xfId="0" applyFont="1" applyFill="1" applyBorder="1" applyAlignment="1">
      <alignment horizontal="center" vertical="center"/>
    </xf>
    <xf numFmtId="0" fontId="34" fillId="10" borderId="16" xfId="0" applyFont="1" applyFill="1" applyBorder="1" applyAlignment="1">
      <alignment horizontal="center" vertical="center"/>
    </xf>
    <xf numFmtId="0" fontId="35" fillId="6" borderId="0" xfId="0" applyFont="1" applyFill="1" applyAlignment="1">
      <alignment horizontal="center" vertical="center"/>
    </xf>
    <xf numFmtId="0" fontId="27" fillId="21" borderId="0" xfId="0" applyFont="1" applyFill="1"/>
    <xf numFmtId="0" fontId="10" fillId="0" borderId="0" xfId="0" applyFont="1"/>
    <xf numFmtId="0" fontId="11" fillId="20" borderId="0" xfId="0" applyFont="1" applyFill="1"/>
    <xf numFmtId="0" fontId="0" fillId="0" borderId="0" xfId="0"/>
    <xf numFmtId="0" fontId="8" fillId="25" borderId="0" xfId="0" applyFont="1" applyFill="1"/>
    <xf numFmtId="0" fontId="11" fillId="4" borderId="0" xfId="0" applyFont="1" applyFill="1" applyAlignment="1">
      <alignment horizontal="center"/>
    </xf>
    <xf numFmtId="0" fontId="0" fillId="0" borderId="0" xfId="0" applyAlignment="1">
      <alignment wrapText="1"/>
    </xf>
    <xf numFmtId="0" fontId="11" fillId="7" borderId="0" xfId="0" applyFont="1" applyFill="1" applyAlignment="1">
      <alignment wrapText="1"/>
    </xf>
    <xf numFmtId="0" fontId="49" fillId="27" borderId="0" xfId="0" applyFont="1" applyFill="1" applyAlignment="1">
      <alignment horizontal="center" vertical="center"/>
    </xf>
    <xf numFmtId="14" fontId="49" fillId="27" borderId="0" xfId="0" applyNumberFormat="1" applyFont="1" applyFill="1" applyAlignment="1">
      <alignment horizontal="center" vertical="center"/>
    </xf>
    <xf numFmtId="0" fontId="9" fillId="11" borderId="0" xfId="0" applyFont="1" applyFill="1"/>
    <xf numFmtId="0" fontId="0" fillId="0" borderId="0" xfId="0" applyAlignment="1">
      <alignment vertical="top" wrapText="1"/>
    </xf>
    <xf numFmtId="0" fontId="39" fillId="6" borderId="0" xfId="0" applyFont="1" applyFill="1"/>
    <xf numFmtId="0" fontId="9" fillId="21" borderId="0" xfId="0" applyFont="1" applyFill="1"/>
    <xf numFmtId="0" fontId="10" fillId="0" borderId="0" xfId="0" applyFont="1" applyAlignment="1">
      <alignment vertical="top" wrapText="1"/>
    </xf>
    <xf numFmtId="0" fontId="31" fillId="7" borderId="0" xfId="0" applyFont="1" applyFill="1" applyAlignment="1">
      <alignment vertical="top" wrapText="1"/>
    </xf>
    <xf numFmtId="0" fontId="39" fillId="5" borderId="0" xfId="0" applyFont="1" applyFill="1"/>
    <xf numFmtId="0" fontId="41" fillId="4" borderId="26" xfId="0" applyFont="1" applyFill="1" applyBorder="1" applyAlignment="1">
      <alignment wrapText="1"/>
    </xf>
    <xf numFmtId="0" fontId="0" fillId="0" borderId="26" xfId="0" applyBorder="1" applyAlignment="1">
      <alignment vertical="top" wrapText="1"/>
    </xf>
    <xf numFmtId="0" fontId="41" fillId="4" borderId="26" xfId="0" applyFont="1" applyFill="1" applyBorder="1" applyAlignment="1">
      <alignment vertical="top" wrapText="1"/>
    </xf>
    <xf numFmtId="0" fontId="0" fillId="4" borderId="0" xfId="0" applyFill="1" applyAlignment="1">
      <alignment wrapText="1"/>
    </xf>
    <xf numFmtId="0" fontId="9" fillId="5" borderId="0" xfId="0" applyFont="1" applyFill="1"/>
    <xf numFmtId="0" fontId="46" fillId="0" borderId="0" xfId="0" applyFont="1" applyAlignment="1">
      <alignment wrapText="1"/>
    </xf>
    <xf numFmtId="0" fontId="10" fillId="0" borderId="0" xfId="0" applyFont="1" applyAlignment="1">
      <alignment wrapText="1"/>
    </xf>
    <xf numFmtId="0" fontId="45" fillId="0" borderId="0" xfId="0" applyFont="1"/>
    <xf numFmtId="0" fontId="11" fillId="7" borderId="0" xfId="0" applyFont="1" applyFill="1" applyAlignment="1">
      <alignment vertical="center" wrapText="1"/>
    </xf>
    <xf numFmtId="168" fontId="8" fillId="11" borderId="0" xfId="0" applyNumberFormat="1" applyFont="1" applyFill="1"/>
    <xf numFmtId="0" fontId="28" fillId="11" borderId="0" xfId="0" applyFont="1" applyFill="1"/>
    <xf numFmtId="0" fontId="0" fillId="4" borderId="0" xfId="0" applyFill="1"/>
    <xf numFmtId="0" fontId="8" fillId="11" borderId="0" xfId="0" applyFont="1" applyFill="1"/>
    <xf numFmtId="0" fontId="0" fillId="0" borderId="5" xfId="0" applyBorder="1" applyAlignment="1">
      <alignment wrapText="1"/>
    </xf>
    <xf numFmtId="0" fontId="19" fillId="8" borderId="0" xfId="0" applyFont="1" applyFill="1" applyAlignment="1">
      <alignment horizontal="center"/>
    </xf>
    <xf numFmtId="20" fontId="0" fillId="4" borderId="0" xfId="0" applyNumberFormat="1" applyFill="1"/>
    <xf numFmtId="0" fontId="42" fillId="23" borderId="27" xfId="0" applyFont="1" applyFill="1" applyBorder="1" applyAlignment="1">
      <alignment wrapText="1"/>
    </xf>
    <xf numFmtId="0" fontId="44" fillId="7" borderId="0" xfId="0" applyFont="1" applyFill="1" applyAlignment="1">
      <alignment wrapText="1"/>
    </xf>
    <xf numFmtId="0" fontId="27" fillId="11" borderId="0" xfId="0" applyFont="1" applyFill="1" applyAlignment="1">
      <alignment horizontal="center"/>
    </xf>
    <xf numFmtId="0" fontId="47" fillId="5" borderId="0" xfId="0" applyFont="1" applyFill="1"/>
    <xf numFmtId="2" fontId="48" fillId="26" borderId="0" xfId="0" applyNumberFormat="1" applyFont="1" applyFill="1" applyAlignment="1">
      <alignment horizontal="center" vertical="center"/>
    </xf>
    <xf numFmtId="172" fontId="48" fillId="26" borderId="0" xfId="0" applyNumberFormat="1" applyFont="1" applyFill="1" applyAlignment="1">
      <alignment horizontal="center" vertical="center"/>
    </xf>
    <xf numFmtId="1" fontId="48" fillId="26" borderId="0" xfId="0" applyNumberFormat="1" applyFont="1" applyFill="1" applyAlignment="1">
      <alignment horizontal="center" vertical="center"/>
    </xf>
    <xf numFmtId="165" fontId="48" fillId="26" borderId="0" xfId="0" applyNumberFormat="1" applyFont="1" applyFill="1" applyAlignment="1">
      <alignment horizontal="center" vertical="center"/>
    </xf>
    <xf numFmtId="0" fontId="9" fillId="28" borderId="0" xfId="0" applyFont="1" applyFill="1"/>
    <xf numFmtId="0" fontId="8" fillId="29" borderId="0" xfId="0" applyFont="1" applyFill="1"/>
    <xf numFmtId="0" fontId="11" fillId="30" borderId="0" xfId="0" applyFont="1" applyFill="1" applyAlignment="1">
      <alignment horizontal="center"/>
    </xf>
    <xf numFmtId="0" fontId="0" fillId="0" borderId="0" xfId="0" applyFont="1" applyAlignment="1">
      <alignment vertical="top" wrapText="1"/>
    </xf>
    <xf numFmtId="168" fontId="0" fillId="0" borderId="0" xfId="0" applyNumberFormat="1" applyAlignment="1">
      <alignment wrapText="1"/>
    </xf>
    <xf numFmtId="171" fontId="0" fillId="0" borderId="0" xfId="0" applyNumberFormat="1" applyAlignment="1">
      <alignment wrapText="1"/>
    </xf>
    <xf numFmtId="0" fontId="28" fillId="5" borderId="27" xfId="0" applyFont="1" applyFill="1" applyBorder="1" applyAlignment="1">
      <alignment horizontal="center" wrapText="1"/>
    </xf>
    <xf numFmtId="0" fontId="41" fillId="4" borderId="27" xfId="0" applyFont="1" applyFill="1" applyBorder="1" applyAlignment="1">
      <alignment horizontal="left" wrapText="1"/>
    </xf>
    <xf numFmtId="1" fontId="43" fillId="9" borderId="27" xfId="0" applyNumberFormat="1" applyFont="1" applyFill="1" applyBorder="1" applyAlignment="1">
      <alignment horizontal="center" wrapText="1"/>
    </xf>
    <xf numFmtId="0" fontId="43" fillId="9" borderId="27" xfId="0" applyFont="1" applyFill="1" applyBorder="1" applyAlignment="1">
      <alignment horizontal="center" wrapText="1"/>
    </xf>
    <xf numFmtId="0" fontId="41" fillId="24" borderId="27" xfId="0" applyFont="1" applyFill="1" applyBorder="1" applyAlignment="1">
      <alignment horizontal="left" wrapText="1"/>
    </xf>
    <xf numFmtId="165" fontId="43" fillId="24" borderId="27" xfId="0" applyNumberFormat="1" applyFont="1" applyFill="1" applyBorder="1" applyAlignment="1">
      <alignment horizontal="center" wrapText="1"/>
    </xf>
    <xf numFmtId="0" fontId="43" fillId="24" borderId="27" xfId="0" applyFont="1" applyFill="1" applyBorder="1" applyAlignment="1">
      <alignment horizontal="center" wrapText="1"/>
    </xf>
  </cellXfs>
  <cellStyles count="1">
    <cellStyle name="Normal" xfId="0" builtinId="0"/>
  </cellStyles>
  <dxfs count="294">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4CCCC"/>
        </patternFill>
      </fill>
    </dxf>
    <dxf>
      <font>
        <b/>
        <i val="0"/>
        <color rgb="FF7F6000"/>
      </font>
      <fill>
        <patternFill patternType="solid">
          <fgColor indexed="64"/>
          <bgColor rgb="FFFFF2CC"/>
        </patternFill>
      </fill>
    </dxf>
    <dxf>
      <font>
        <b/>
        <i val="0"/>
        <color rgb="FF006100"/>
      </font>
      <fill>
        <patternFill patternType="solid">
          <fgColor indexed="64"/>
          <bgColor rgb="FFC6EFCE"/>
        </patternFill>
      </fill>
    </dxf>
    <dxf>
      <font>
        <b/>
        <i val="0"/>
        <color rgb="FF9C0006"/>
      </font>
      <fill>
        <patternFill patternType="solid">
          <fgColor indexed="64"/>
          <bgColor rgb="FFF4CCCC"/>
        </patternFill>
      </fill>
    </dxf>
    <dxf>
      <font>
        <b/>
        <i val="0"/>
        <color rgb="FF7F6000"/>
      </font>
      <fill>
        <patternFill patternType="solid">
          <fgColor indexed="64"/>
          <bgColor rgb="FFFFF2CC"/>
        </patternFill>
      </fill>
    </dxf>
    <dxf>
      <font>
        <b/>
        <i val="0"/>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color rgb="FF7F6000"/>
      </font>
      <fill>
        <patternFill patternType="solid">
          <fgColor indexed="64"/>
          <bgColor rgb="FFFFF2CC"/>
        </patternFill>
      </fill>
    </dxf>
    <dxf>
      <font>
        <color rgb="FF7F6000"/>
      </font>
      <fill>
        <patternFill patternType="solid">
          <fgColor indexed="64"/>
          <bgColor rgb="FFFFF2CC"/>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0006"/>
      </font>
    </dxf>
    <dxf>
      <font>
        <color rgb="FF7F6000"/>
      </font>
      <fill>
        <patternFill patternType="solid">
          <fgColor indexed="64"/>
          <bgColor rgb="FFFFF2CC"/>
        </patternFill>
      </fill>
    </dxf>
    <dxf>
      <font>
        <color rgb="FF006100"/>
      </font>
      <fill>
        <patternFill patternType="solid">
          <fgColor indexed="64"/>
          <bgColor rgb="FFC6EFCE"/>
        </patternFill>
      </fill>
    </dxf>
    <dxf>
      <font>
        <b/>
        <i val="0"/>
        <color rgb="FF375623"/>
      </font>
      <fill>
        <patternFill patternType="solid">
          <fgColor indexed="64"/>
          <bgColor rgb="FFE2F0D9"/>
        </patternFill>
      </fill>
    </dxf>
    <dxf>
      <font>
        <b/>
        <i val="0"/>
        <color rgb="FF375623"/>
      </font>
      <fill>
        <patternFill patternType="solid">
          <fgColor indexed="64"/>
          <bgColor rgb="FFE2F0D9"/>
        </patternFill>
      </fill>
    </dxf>
    <dxf>
      <font>
        <b/>
        <i val="0"/>
        <color rgb="FF0070C0"/>
      </font>
    </dxf>
    <dxf>
      <font>
        <b/>
        <i val="0"/>
        <color rgb="FF0070C0"/>
      </font>
    </dxf>
    <dxf>
      <font>
        <b/>
        <i val="0"/>
      </font>
    </dxf>
    <dxf>
      <font>
        <b/>
        <i val="0"/>
        <color rgb="FF1F4E78"/>
      </font>
      <fill>
        <patternFill patternType="solid">
          <fgColor indexed="64"/>
          <bgColor rgb="FFD9EAF7"/>
        </patternFill>
      </fill>
    </dxf>
    <dxf>
      <font>
        <b/>
        <color rgb="FF9C0006"/>
        <name val="Arial"/>
      </font>
    </dxf>
    <dxf>
      <font>
        <b/>
        <i val="0"/>
        <color rgb="FF1F4E78"/>
      </font>
      <fill>
        <patternFill patternType="solid">
          <fgColor indexed="64"/>
          <bgColor rgb="FFD9EAF7"/>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sz val="9"/>
      </font>
      <alignment horizontal="center" wrapText="0"/>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numFmt numFmtId="2" formatCode="0.00"/>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numFmt numFmtId="170" formatCode="[$R$-416]\ #,##0.00;[Red]\-[$R$-416]\ #,##0.00"/>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numFmt numFmtId="0" formatCode="General"/>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left"/>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left"/>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right style="thin">
          <color rgb="FFB4C6E7"/>
        </right>
        <top style="thin">
          <color rgb="FFB4C6E7"/>
        </top>
        <bottom style="thin">
          <color rgb="FFB4C6E7"/>
        </bottom>
        <vertical style="thin">
          <color rgb="FFB4C6E7"/>
        </vertical>
        <horizontal style="thin">
          <color rgb="FFB4C6E7"/>
        </horizontal>
      </border>
    </dxf>
    <dxf>
      <border>
        <top style="thin">
          <color rgb="FFB4C6E7"/>
        </top>
      </border>
    </dxf>
    <dxf>
      <border diagonalUp="0" diagonalDown="0">
        <left style="thin">
          <color rgb="FFB4C6E7"/>
        </left>
        <right style="thin">
          <color rgb="FFB4C6E7"/>
        </right>
        <top style="thin">
          <color rgb="FFB4C6E7"/>
        </top>
        <bottom style="thin">
          <color rgb="FFB4C6E7"/>
        </bottom>
      </border>
    </dxf>
    <dxf>
      <font>
        <sz val="9"/>
      </font>
    </dxf>
    <dxf>
      <border>
        <bottom style="thin">
          <color rgb="FFB4C6E7"/>
        </bottom>
      </border>
    </dxf>
    <dxf>
      <font>
        <sz val="9"/>
      </font>
      <border diagonalUp="0" diagonalDown="0">
        <left style="thin">
          <color rgb="FFB4C6E7"/>
        </left>
        <right style="thin">
          <color rgb="FFB4C6E7"/>
        </right>
        <top/>
        <bottom/>
        <vertical style="thin">
          <color rgb="FFB4C6E7"/>
        </vertical>
        <horizontal style="thin">
          <color rgb="FFB4C6E7"/>
        </horizontal>
      </border>
    </dxf>
    <dxf>
      <font>
        <b val="0"/>
        <i val="0"/>
        <strike val="0"/>
        <condense val="0"/>
        <extend val="0"/>
        <outline val="0"/>
        <shadow val="0"/>
        <u val="none"/>
        <vertAlign val="baseline"/>
        <sz val="10"/>
        <color rgb="FF1F4E78"/>
        <name val="Aptos"/>
        <family val="2"/>
        <scheme val="none"/>
      </font>
      <numFmt numFmtId="0" formatCode="General"/>
      <alignment wrapText="1"/>
    </dxf>
    <dxf>
      <font>
        <b val="0"/>
        <i val="0"/>
        <strike val="0"/>
        <condense val="0"/>
        <extend val="0"/>
        <outline val="0"/>
        <shadow val="0"/>
        <u val="none"/>
        <vertAlign val="baseline"/>
        <sz val="10"/>
        <color rgb="FF1F4E78"/>
        <name val="Aptos"/>
        <family val="2"/>
        <scheme val="none"/>
      </font>
      <numFmt numFmtId="0" formatCode="General"/>
      <alignment wrapText="1"/>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numFmt numFmtId="0" formatCode="General"/>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rgb="FF000000"/>
        <name val="Aptos"/>
        <family val="2"/>
        <scheme val="none"/>
      </font>
      <fill>
        <patternFill patternType="none"/>
      </fill>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rgb="FF000000"/>
        <name val="Aptos"/>
        <family val="2"/>
        <scheme val="none"/>
      </font>
      <fill>
        <patternFill patternType="none"/>
      </fill>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numFmt numFmtId="25" formatCode="hh:mm"/>
    </dxf>
    <dxf>
      <font>
        <b val="0"/>
        <i val="0"/>
        <strike val="0"/>
        <condense val="0"/>
        <extend val="0"/>
        <outline val="0"/>
        <shadow val="0"/>
        <u val="none"/>
        <vertAlign val="baseline"/>
        <sz val="10"/>
        <color theme="1"/>
        <name val="Aptos"/>
        <family val="2"/>
        <scheme val="none"/>
      </font>
      <numFmt numFmtId="164" formatCode="dd/mm/yy;@"/>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i val="0"/>
        <strike val="0"/>
        <condense val="0"/>
        <extend val="0"/>
        <outline val="0"/>
        <shadow val="0"/>
        <u val="none"/>
        <vertAlign val="baseline"/>
        <sz val="10"/>
        <color rgb="FFFFFFFF"/>
        <name val="Aptos"/>
        <family val="2"/>
        <scheme val="none"/>
      </font>
      <fill>
        <patternFill patternType="solid">
          <fgColor rgb="FF003366"/>
          <bgColor rgb="FF1F4E78"/>
        </patternFill>
      </fill>
      <border diagonalUp="0" diagonalDown="0" outline="0">
        <left style="thin">
          <color rgb="FFCCCCCC"/>
        </left>
        <right style="thin">
          <color rgb="FFCCCCCC"/>
        </right>
        <top/>
        <bottom/>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Composição do Top 40 por País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pieChart>
        <c:varyColors val="1"/>
        <c:ser>
          <c:idx val="0"/>
          <c:order val="0"/>
          <c:tx>
            <c:strRef>
              <c:f>Ranking!$V$46</c:f>
              <c:strCache>
                <c:ptCount val="1"/>
                <c:pt idx="0">
                  <c:v>Equipes</c:v>
                </c:pt>
              </c:strCache>
            </c:strRef>
          </c:tx>
          <c:dPt>
            <c:idx val="0"/>
            <c:bubble3D val="0"/>
            <c:spPr>
              <a:solidFill>
                <a:srgbClr val="1F4E78"/>
              </a:solidFill>
              <a:ln w="19050">
                <a:solidFill>
                  <a:schemeClr val="lt1"/>
                </a:solidFill>
              </a:ln>
              <a:effectLst/>
            </c:spPr>
            <c:extLst>
              <c:ext xmlns:c16="http://schemas.microsoft.com/office/drawing/2014/chart" uri="{C3380CC4-5D6E-409C-BE32-E72D297353CC}">
                <c16:uniqueId val="{00000001-3C8E-4389-A7EA-35896FA52823}"/>
              </c:ext>
            </c:extLst>
          </c:dPt>
          <c:dPt>
            <c:idx val="1"/>
            <c:bubble3D val="0"/>
            <c:spPr>
              <a:solidFill>
                <a:srgbClr val="5B9BD5"/>
              </a:solidFill>
              <a:ln w="19050">
                <a:solidFill>
                  <a:schemeClr val="lt1"/>
                </a:solidFill>
              </a:ln>
              <a:effectLst/>
            </c:spPr>
            <c:extLst>
              <c:ext xmlns:c16="http://schemas.microsoft.com/office/drawing/2014/chart" uri="{C3380CC4-5D6E-409C-BE32-E72D297353CC}">
                <c16:uniqueId val="{00000002-3C8E-4389-A7EA-35896FA52823}"/>
              </c:ext>
            </c:extLst>
          </c:dPt>
          <c:dPt>
            <c:idx val="2"/>
            <c:bubble3D val="0"/>
            <c:spPr>
              <a:solidFill>
                <a:srgbClr val="ED7D31"/>
              </a:solidFill>
              <a:ln w="19050">
                <a:solidFill>
                  <a:schemeClr val="lt1"/>
                </a:solidFill>
              </a:ln>
              <a:effectLst/>
            </c:spPr>
            <c:extLst>
              <c:ext xmlns:c16="http://schemas.microsoft.com/office/drawing/2014/chart" uri="{C3380CC4-5D6E-409C-BE32-E72D297353CC}">
                <c16:uniqueId val="{00000003-3C8E-4389-A7EA-35896FA52823}"/>
              </c:ext>
            </c:extLst>
          </c:dPt>
          <c:dPt>
            <c:idx val="3"/>
            <c:bubble3D val="0"/>
            <c:spPr>
              <a:solidFill>
                <a:srgbClr val="70AD47"/>
              </a:solidFill>
              <a:ln w="19050">
                <a:solidFill>
                  <a:schemeClr val="lt1"/>
                </a:solidFill>
              </a:ln>
              <a:effectLst/>
            </c:spPr>
            <c:extLst>
              <c:ext xmlns:c16="http://schemas.microsoft.com/office/drawing/2014/chart" uri="{C3380CC4-5D6E-409C-BE32-E72D297353CC}">
                <c16:uniqueId val="{00000004-3C8E-4389-A7EA-35896FA52823}"/>
              </c:ext>
            </c:extLst>
          </c:dPt>
          <c:dPt>
            <c:idx val="4"/>
            <c:bubble3D val="0"/>
            <c:spPr>
              <a:solidFill>
                <a:srgbClr val="A5A5A5"/>
              </a:solidFill>
              <a:ln w="19050">
                <a:solidFill>
                  <a:schemeClr val="lt1"/>
                </a:solidFill>
              </a:ln>
              <a:effectLst/>
            </c:spPr>
            <c:extLst>
              <c:ext xmlns:c16="http://schemas.microsoft.com/office/drawing/2014/chart" uri="{C3380CC4-5D6E-409C-BE32-E72D297353CC}">
                <c16:uniqueId val="{00000005-3C8E-4389-A7EA-35896FA52823}"/>
              </c:ext>
            </c:extLst>
          </c:dPt>
          <c:dPt>
            <c:idx val="5"/>
            <c:bubble3D val="0"/>
            <c:spPr>
              <a:solidFill>
                <a:srgbClr val="D9E2F3"/>
              </a:solidFill>
              <a:ln w="19050">
                <a:solidFill>
                  <a:schemeClr val="lt1"/>
                </a:solidFill>
              </a:ln>
              <a:effectLst/>
            </c:spPr>
            <c:extLst>
              <c:ext xmlns:c16="http://schemas.microsoft.com/office/drawing/2014/chart" uri="{C3380CC4-5D6E-409C-BE32-E72D297353CC}">
                <c16:uniqueId val="{00000006-3C8E-4389-A7EA-35896FA52823}"/>
              </c:ext>
            </c:extLst>
          </c:dPt>
          <c:dLbls>
            <c:dLbl>
              <c:idx val="5"/>
              <c:layout>
                <c:manualLayout>
                  <c:x val="1.1764705882352941E-2"/>
                  <c:y val="-2.8571428571428571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3C8E-4389-A7EA-35896FA528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Ranking!$U$47:$U$52</c:f>
              <c:strCache>
                <c:ptCount val="6"/>
                <c:pt idx="0">
                  <c:v>FIN</c:v>
                </c:pt>
                <c:pt idx="1">
                  <c:v>AUS</c:v>
                </c:pt>
                <c:pt idx="2">
                  <c:v>BOL</c:v>
                </c:pt>
                <c:pt idx="3">
                  <c:v>BRA</c:v>
                </c:pt>
                <c:pt idx="4">
                  <c:v>ISL</c:v>
                </c:pt>
                <c:pt idx="5">
                  <c:v>Outros</c:v>
                </c:pt>
              </c:strCache>
            </c:strRef>
          </c:cat>
          <c:val>
            <c:numRef>
              <c:f>Ranking!$V$47:$V$52</c:f>
              <c:numCache>
                <c:formatCode>#,##0</c:formatCode>
                <c:ptCount val="6"/>
                <c:pt idx="0">
                  <c:v>5</c:v>
                </c:pt>
                <c:pt idx="1">
                  <c:v>5</c:v>
                </c:pt>
                <c:pt idx="2">
                  <c:v>1</c:v>
                </c:pt>
                <c:pt idx="3">
                  <c:v>0</c:v>
                </c:pt>
                <c:pt idx="4">
                  <c:v>2</c:v>
                </c:pt>
                <c:pt idx="5">
                  <c:v>27</c:v>
                </c:pt>
              </c:numCache>
            </c:numRef>
          </c:val>
          <c:extLst>
            <c:ext xmlns:c16="http://schemas.microsoft.com/office/drawing/2014/chart" uri="{C3380CC4-5D6E-409C-BE32-E72D297353CC}">
              <c16:uniqueId val="{00000000-3C8E-4389-A7EA-35896FA52823}"/>
            </c:ext>
          </c:extLst>
        </c:ser>
        <c:dLbls>
          <c:showLegendKey val="0"/>
          <c:showVal val="0"/>
          <c:showCatName val="0"/>
          <c:showSerName val="0"/>
          <c:showPercent val="0"/>
          <c:showBubbleSize val="0"/>
          <c:showLeaderLines val="1"/>
        </c:dLbls>
        <c:firstSliceAng val="0"/>
      </c:pieChart>
      <c:spPr>
        <a:solidFill>
          <a:srgbClr val="FFFFFF"/>
        </a:solid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44</xdr:row>
      <xdr:rowOff>45720</xdr:rowOff>
    </xdr:from>
    <xdr:to>
      <xdr:col>10</xdr:col>
      <xdr:colOff>459740</xdr:colOff>
      <xdr:row>63</xdr:row>
      <xdr:rowOff>147320</xdr:rowOff>
    </xdr:to>
    <xdr:graphicFrame macro="">
      <xdr:nvGraphicFramePr>
        <xdr:cNvPr id="6" name="Composição por País">
          <a:extLst>
            <a:ext uri="{FF2B5EF4-FFF2-40B4-BE49-F238E27FC236}">
              <a16:creationId xmlns:a16="http://schemas.microsoft.com/office/drawing/2014/main" id="{96BDD765-3FA0-7A54-1B68-5AE0A1E6E3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Fernanda S de Souza" id="{6FDF66A3-1B68-4D38-9C61-4D1054082BB5}" userId="dc264e48e171749c"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62FB879-5966-4A04-B9A0-725F352CC2F5}" name="tblDados" displayName="tblDados" ref="A1:V2834" totalsRowShown="0" headerRowDxfId="293" dataDxfId="292">
  <autoFilter ref="A1:V2834" xr:uid="{762FB879-5966-4A04-B9A0-725F352CC2F5}"/>
  <tableColumns count="22">
    <tableColumn id="1" xr3:uid="{FDBCFE9D-58CC-4517-A515-FEC5394D6E08}" name="ID_Bilhete" dataDxfId="291"/>
    <tableColumn id="2" xr3:uid="{742B8C38-3636-4B7A-BB3C-C8A49FF6A0E0}" name="Data" dataDxfId="290"/>
    <tableColumn id="3" xr3:uid="{F81F9A48-D608-4137-B062-DDFF1AE07E12}" name="Hora" dataDxfId="289"/>
    <tableColumn id="4" xr3:uid="{5105E308-57D5-4C73-9C2E-5447656526A5}" name="País" dataDxfId="288"/>
    <tableColumn id="5" xr3:uid="{2FEC6603-3475-4E64-BF7A-DB9D1D2C7EDD}" name="Liga" dataDxfId="287"/>
    <tableColumn id="6" xr3:uid="{DECA0164-FC2A-4447-BEA5-4C33CBE8D2C7}" name="Partida" dataDxfId="286"/>
    <tableColumn id="7" xr3:uid="{8F8466C5-2CCA-42CD-B5D9-F1A53D454118}" name="Mandante" dataDxfId="285"/>
    <tableColumn id="8" xr3:uid="{7F1F1D7E-2C13-4587-9E57-0FE469CAC669}" name="GM_M" dataDxfId="284"/>
    <tableColumn id="9" xr3:uid="{A5618CE8-03D7-490F-AE35-29BCE1E505AB}" name="GS_M" dataDxfId="283"/>
    <tableColumn id="10" xr3:uid="{D2268374-0C86-42EA-B0A3-5E792E254FDA}" name="Visitante" dataDxfId="282"/>
    <tableColumn id="11" xr3:uid="{05E7A070-ACA7-4EB3-A3E1-901E9875461E}" name="GM_V" dataDxfId="281"/>
    <tableColumn id="12" xr3:uid="{879D7418-5575-4EC4-9B62-A2B2F760790A}" name="GS_V" dataDxfId="280"/>
    <tableColumn id="13" xr3:uid="{BB65DB55-5078-4D75-833A-66C889962D90}" name="Mercado" dataDxfId="279"/>
    <tableColumn id="14" xr3:uid="{6222F389-2A5F-4292-838D-5BAB8F13A8C3}" name="Linha_Selecao" dataDxfId="278"/>
    <tableColumn id="15" xr3:uid="{4CFC1240-FE9B-4424-BCE9-2DB73513BF2D}" name="Odd" dataDxfId="277"/>
    <tableColumn id="16" xr3:uid="{1DD458DB-D815-4E41-99C9-9E18BF324F55}" name="Stake" dataDxfId="276"/>
    <tableColumn id="17" xr3:uid="{56A4E209-82BB-406E-AE1D-117AD130F282}" name="Resultado_Aposta" dataDxfId="275"/>
    <tableColumn id="18" xr3:uid="{B42C35C9-FD4B-443B-BA12-CAB605ADD721}" name="Lucro_Prejuizo" dataDxfId="274"/>
    <tableColumn id="19" xr3:uid="{93D3E1E2-2CC3-49BA-BDC3-1BCA487FAFA4}" name="Chave_Partida" dataDxfId="273">
      <calculatedColumnFormula>IF(tblDados[[#This Row],[Mandante]]="","",TEXT(tblDados[[#This Row],[Data]],"aaaa-mm-dd")&amp;"|"&amp;TRIM(tblDados[[#This Row],[Mandante]])&amp;"|"&amp;TRIM(tblDados[[#This Row],[Visitante]]))</calculatedColumnFormula>
    </tableColumn>
    <tableColumn id="20" xr3:uid="{9BE7169C-F561-4580-BB1E-D1A00A39CFA2}" name="Primeira_Ocorrencia" dataDxfId="272">
      <calculatedColumnFormula>IF($G2="",0,IF(COUNTIF($S$2:$S2,$S2)=1,1,0))</calculatedColumnFormula>
    </tableColumn>
    <tableColumn id="21" xr3:uid="{2BFEE945-C9A8-4BB0-9D58-653DF1C404E1}" name="Alerta / Sugestão Mandante" dataDxfId="271">
      <calculatedColumnFormula array="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calculatedColumnFormula>
    </tableColumn>
    <tableColumn id="22" xr3:uid="{F2BF5E9A-397A-47FC-81A2-7C2CA2851B8E}" name="Alerta / Sugestão Visitante" dataDxfId="270">
      <calculatedColumnFormula array="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5791FAA-5EBF-49C1-B8CA-A7957E168A1C}" name="tblCalibracao" displayName="tblCalibracao" ref="A2:Y70" totalsRowShown="0" headerRowDxfId="269" dataDxfId="267" headerRowBorderDxfId="268" tableBorderDxfId="266" totalsRowBorderDxfId="265">
  <autoFilter ref="A2:Y70" xr:uid="{95791FAA-5EBF-49C1-B8CA-A7957E168A1C}"/>
  <tableColumns count="25">
    <tableColumn id="1" xr3:uid="{210472CE-B3EB-44A6-A407-F81EF5E4AE08}" name="Data" dataDxfId="264"/>
    <tableColumn id="2" xr3:uid="{4CC81CA5-B8A3-4EBD-8E41-F14C9E8E0771}" name="Confronto" dataDxfId="263"/>
    <tableColumn id="3" xr3:uid="{29637669-38DC-45BC-8E00-883C9F0C7F0B}" name="Liga" dataDxfId="262"/>
    <tableColumn id="4" xr3:uid="{84ADEA28-590B-4D84-9A9B-4B12BDA753FA}" name="Placar" dataDxfId="261"/>
    <tableColumn id="5" xr3:uid="{E12D4242-8CA5-4977-B923-95DFA98A1DB3}" name="Odd" dataDxfId="260"/>
    <tableColumn id="6" xr3:uid="{82EE99D4-9A6D-4D1C-8771-0F4372BBCFC4}" name="P/L (R$)" dataDxfId="259">
      <calculatedColumnFormula>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calculatedColumnFormula>
    </tableColumn>
    <tableColumn id="7" xr3:uid="{13A77F43-44FC-4101-9576-A1C562F09C93}" name="Gols" dataDxfId="258">
      <calculatedColumnFormula>IF(tblCalibracao[[#This Row],[Placar]]="","",VALUE(_xlfn.TEXTBEFORE(tblCalibracao[[#This Row],[Placar]]," x "))+VALUE(_xlfn.TEXTAFTER(tblCalibracao[[#This Row],[Placar]]," x ")))</calculatedColumnFormula>
    </tableColumn>
    <tableColumn id="8" xr3:uid="{8B100B3B-F249-4FD0-9E30-C787DD19C812}" name="Usada" dataDxfId="257"/>
    <tableColumn id="9" xr3:uid="{E9FD39BC-ACA8-423A-94E1-CE71FC6ADDF4}" name="Melhor G" dataDxfId="256">
      <calculatedColumnFormula>IF(tblCalibracao[[#This Row],[Gols]]="","",IF(tblCalibracao[[#This Row],[Gols]]&lt;1,0,MIN(3,tblCalibracao[[#This Row],[Gols]]-0.5)))</calculatedColumnFormula>
    </tableColumn>
    <tableColumn id="10" xr3:uid="{3B0ACB1E-ED9A-4758-A40D-E12A42A99CCE}" name="Odd M.G." dataDxfId="255"/>
    <tableColumn id="11" xr3:uid="{75787370-166F-436E-82C2-90D8CA1F834E}" name="P/L M.G." dataDxfId="254">
      <calculatedColumnFormula>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calculatedColumnFormula>
    </tableColumn>
    <tableColumn id="12" xr3:uid="{A1439F0B-F23B-4E07-AA79-37D4617D821F}" name="Fonte odds" dataDxfId="253"/>
    <tableColumn id="13" xr3:uid="{16A10D55-59FC-4EB8-9344-FB01C4691DCE}" name="Δ linha" dataDxfId="252">
      <calculatedColumnFormula>IF(OR(tblCalibracao[[#This Row],[Usada]]="",tblCalibracao[[#This Row],[Melhor G]]=""),"",MAX(0,tblCalibracao[[#This Row],[Melhor G]]-tblCalibracao[[#This Row],[Usada]]))</calculatedColumnFormula>
    </tableColumn>
    <tableColumn id="14" xr3:uid="{EF7D1BD0-B2D3-4ABC-9C0E-8FC1D0F343CA}" name="O0,50" dataDxfId="251">
      <calculatedColumnFormula>IF(tblCalibracao[[#This Row],[Gols]]="","",_xlfn.LET(_xlpm.t,tblCalibracao[[#This Row],[Gols]],_xlpm.l,0.5,_xlpm.n,INT(_xlpm.l),_xlpm.f,ROUND(MOD(_xlpm.l,1),2),IF(_xlpm.f=0,IF(_xlpm.t&gt;_xlpm.l,"G",IF(_xlpm.t=_xlpm.l,"P","R")),IF(_xlpm.f=0.5,IF(_xlpm.t&gt;_xlpm.l,"G","R"),IF(_xlpm.f=0.25,IF(_xlpm.t&gt;=_xlpm.n+1,"G",IF(_xlpm.t=_xlpm.n,"½R","R")),IF(_xlpm.f=0.75,IF(_xlpm.t&gt;=_xlpm.n+2,"G",IF(_xlpm.t=_xlpm.n+1,"½G","R")),"—"))))))</calculatedColumnFormula>
    </tableColumn>
    <tableColumn id="15" xr3:uid="{0894A015-6546-4512-89DE-B591A310407A}" name="O0,75" dataDxfId="250">
      <calculatedColumnFormula>IF(tblCalibracao[[#This Row],[Gols]]="","",_xlfn.LET(_xlpm.t,tblCalibracao[[#This Row],[Gols]],_xlpm.l,0.75,_xlpm.n,INT(_xlpm.l),_xlpm.f,ROUND(MOD(_xlpm.l,1),2),IF(_xlpm.f=0,IF(_xlpm.t&gt;_xlpm.l,"G",IF(_xlpm.t=_xlpm.l,"P","R")),IF(_xlpm.f=0.5,IF(_xlpm.t&gt;_xlpm.l,"G","R"),IF(_xlpm.f=0.25,IF(_xlpm.t&gt;=_xlpm.n+1,"G",IF(_xlpm.t=_xlpm.n,"½R","R")),IF(_xlpm.f=0.75,IF(_xlpm.t&gt;=_xlpm.n+2,"G",IF(_xlpm.t=_xlpm.n+1,"½G","R")),"—"))))))</calculatedColumnFormula>
    </tableColumn>
    <tableColumn id="16" xr3:uid="{6BD6016D-6611-491A-9045-2B4269AE4A39}" name="O1,00" dataDxfId="249">
      <calculatedColumnFormula>IF(tblCalibracao[[#This Row],[Gols]]="","",_xlfn.LET(_xlpm.t,tblCalibracao[[#This Row],[Gols]],_xlpm.l,1,_xlpm.n,INT(_xlpm.l),_xlpm.f,ROUND(MOD(_xlpm.l,1),2),IF(_xlpm.f=0,IF(_xlpm.t&gt;_xlpm.l,"G",IF(_xlpm.t=_xlpm.l,"P","R")),IF(_xlpm.f=0.5,IF(_xlpm.t&gt;_xlpm.l,"G","R"),IF(_xlpm.f=0.25,IF(_xlpm.t&gt;=_xlpm.n+1,"G",IF(_xlpm.t=_xlpm.n,"½R","R")),IF(_xlpm.f=0.75,IF(_xlpm.t&gt;=_xlpm.n+2,"G",IF(_xlpm.t=_xlpm.n+1,"½G","R")),"—"))))))</calculatedColumnFormula>
    </tableColumn>
    <tableColumn id="17" xr3:uid="{19E0E451-FF0B-45EB-9F6E-11C884F1F249}" name="O1,25" dataDxfId="248">
      <calculatedColumnFormula>IF(tblCalibracao[[#This Row],[Gols]]="","",_xlfn.LET(_xlpm.t,tblCalibracao[[#This Row],[Gols]],_xlpm.l,1.25,_xlpm.n,INT(_xlpm.l),_xlpm.f,ROUND(MOD(_xlpm.l,1),2),IF(_xlpm.f=0,IF(_xlpm.t&gt;_xlpm.l,"G",IF(_xlpm.t=_xlpm.l,"P","R")),IF(_xlpm.f=0.5,IF(_xlpm.t&gt;_xlpm.l,"G","R"),IF(_xlpm.f=0.25,IF(_xlpm.t&gt;=_xlpm.n+1,"G",IF(_xlpm.t=_xlpm.n,"½R","R")),IF(_xlpm.f=0.75,IF(_xlpm.t&gt;=_xlpm.n+2,"G",IF(_xlpm.t=_xlpm.n+1,"½G","R")),"—"))))))</calculatedColumnFormula>
    </tableColumn>
    <tableColumn id="18" xr3:uid="{36855D25-9137-4700-88D2-13C15B537F89}" name="O1,50" dataDxfId="247">
      <calculatedColumnFormula>IF(tblCalibracao[[#This Row],[Gols]]="","",_xlfn.LET(_xlpm.t,tblCalibracao[[#This Row],[Gols]],_xlpm.l,1.5,_xlpm.n,INT(_xlpm.l),_xlpm.f,ROUND(MOD(_xlpm.l,1),2),IF(_xlpm.f=0,IF(_xlpm.t&gt;_xlpm.l,"G",IF(_xlpm.t=_xlpm.l,"P","R")),IF(_xlpm.f=0.5,IF(_xlpm.t&gt;_xlpm.l,"G","R"),IF(_xlpm.f=0.25,IF(_xlpm.t&gt;=_xlpm.n+1,"G",IF(_xlpm.t=_xlpm.n,"½R","R")),IF(_xlpm.f=0.75,IF(_xlpm.t&gt;=_xlpm.n+2,"G",IF(_xlpm.t=_xlpm.n+1,"½G","R")),"—"))))))</calculatedColumnFormula>
    </tableColumn>
    <tableColumn id="19" xr3:uid="{0AC08585-D112-47E3-A185-CF198FE6FA76}" name="O1,75" dataDxfId="246">
      <calculatedColumnFormula>IF(tblCalibracao[[#This Row],[Gols]]="","",_xlfn.LET(_xlpm.t,tblCalibracao[[#This Row],[Gols]],_xlpm.l,1.75,_xlpm.n,INT(_xlpm.l),_xlpm.f,ROUND(MOD(_xlpm.l,1),2),IF(_xlpm.f=0,IF(_xlpm.t&gt;_xlpm.l,"G",IF(_xlpm.t=_xlpm.l,"P","R")),IF(_xlpm.f=0.5,IF(_xlpm.t&gt;_xlpm.l,"G","R"),IF(_xlpm.f=0.25,IF(_xlpm.t&gt;=_xlpm.n+1,"G",IF(_xlpm.t=_xlpm.n,"½R","R")),IF(_xlpm.f=0.75,IF(_xlpm.t&gt;=_xlpm.n+2,"G",IF(_xlpm.t=_xlpm.n+1,"½G","R")),"—"))))))</calculatedColumnFormula>
    </tableColumn>
    <tableColumn id="20" xr3:uid="{A742D9B5-B459-43B4-BB22-82A9DD657486}" name="O2,00" dataDxfId="245">
      <calculatedColumnFormula>IF(tblCalibracao[[#This Row],[Gols]]="","",_xlfn.LET(_xlpm.t,tblCalibracao[[#This Row],[Gols]],_xlpm.l,2,_xlpm.n,INT(_xlpm.l),_xlpm.f,ROUND(MOD(_xlpm.l,1),2),IF(_xlpm.f=0,IF(_xlpm.t&gt;_xlpm.l,"G",IF(_xlpm.t=_xlpm.l,"P","R")),IF(_xlpm.f=0.5,IF(_xlpm.t&gt;_xlpm.l,"G","R"),IF(_xlpm.f=0.25,IF(_xlpm.t&gt;=_xlpm.n+1,"G",IF(_xlpm.t=_xlpm.n,"½R","R")),IF(_xlpm.f=0.75,IF(_xlpm.t&gt;=_xlpm.n+2,"G",IF(_xlpm.t=_xlpm.n+1,"½G","R")),"—"))))))</calculatedColumnFormula>
    </tableColumn>
    <tableColumn id="21" xr3:uid="{D5530759-A89F-415E-BDEF-EBBDD5913B3B}" name="O2,25" dataDxfId="244">
      <calculatedColumnFormula>IF(tblCalibracao[[#This Row],[Gols]]="","",_xlfn.LET(_xlpm.t,tblCalibracao[[#This Row],[Gols]],_xlpm.l,2.25,_xlpm.n,INT(_xlpm.l),_xlpm.f,ROUND(MOD(_xlpm.l,1),2),IF(_xlpm.f=0,IF(_xlpm.t&gt;_xlpm.l,"G",IF(_xlpm.t=_xlpm.l,"P","R")),IF(_xlpm.f=0.5,IF(_xlpm.t&gt;_xlpm.l,"G","R"),IF(_xlpm.f=0.25,IF(_xlpm.t&gt;=_xlpm.n+1,"G",IF(_xlpm.t=_xlpm.n,"½R","R")),IF(_xlpm.f=0.75,IF(_xlpm.t&gt;=_xlpm.n+2,"G",IF(_xlpm.t=_xlpm.n+1,"½G","R")),"—"))))))</calculatedColumnFormula>
    </tableColumn>
    <tableColumn id="22" xr3:uid="{8775132F-33B1-41F2-A29E-63ACFE5CBF3A}" name="O2,50" dataDxfId="243">
      <calculatedColumnFormula>IF(tblCalibracao[[#This Row],[Gols]]="","",_xlfn.LET(_xlpm.t,tblCalibracao[[#This Row],[Gols]],_xlpm.l,2.5,_xlpm.n,INT(_xlpm.l),_xlpm.f,ROUND(MOD(_xlpm.l,1),2),IF(_xlpm.f=0,IF(_xlpm.t&gt;_xlpm.l,"G",IF(_xlpm.t=_xlpm.l,"P","R")),IF(_xlpm.f=0.5,IF(_xlpm.t&gt;_xlpm.l,"G","R"),IF(_xlpm.f=0.25,IF(_xlpm.t&gt;=_xlpm.n+1,"G",IF(_xlpm.t=_xlpm.n,"½R","R")),IF(_xlpm.f=0.75,IF(_xlpm.t&gt;=_xlpm.n+2,"G",IF(_xlpm.t=_xlpm.n+1,"½G","R")),"—"))))))</calculatedColumnFormula>
    </tableColumn>
    <tableColumn id="23" xr3:uid="{A9AAF4AC-0D51-4736-85FC-0C8518F2BCFE}" name="O2,75" dataDxfId="242">
      <calculatedColumnFormula>IF(tblCalibracao[[#This Row],[Gols]]="","",_xlfn.LET(_xlpm.t,tblCalibracao[[#This Row],[Gols]],_xlpm.l,2.75,_xlpm.n,INT(_xlpm.l),_xlpm.f,ROUND(MOD(_xlpm.l,1),2),IF(_xlpm.f=0,IF(_xlpm.t&gt;_xlpm.l,"G",IF(_xlpm.t=_xlpm.l,"P","R")),IF(_xlpm.f=0.5,IF(_xlpm.t&gt;_xlpm.l,"G","R"),IF(_xlpm.f=0.25,IF(_xlpm.t&gt;=_xlpm.n+1,"G",IF(_xlpm.t=_xlpm.n,"½R","R")),IF(_xlpm.f=0.75,IF(_xlpm.t&gt;=_xlpm.n+2,"G",IF(_xlpm.t=_xlpm.n+1,"½G","R")),"—"))))))</calculatedColumnFormula>
    </tableColumn>
    <tableColumn id="24" xr3:uid="{DA1564D5-F866-403D-BB70-BC39BEA44988}" name="O3,00" dataDxfId="241">
      <calculatedColumnFormula>IF(tblCalibracao[[#This Row],[Gols]]="","",_xlfn.LET(_xlpm.t,tblCalibracao[[#This Row],[Gols]],_xlpm.l,3,_xlpm.n,INT(_xlpm.l),_xlpm.f,ROUND(MOD(_xlpm.l,1),2),IF(_xlpm.f=0,IF(_xlpm.t&gt;_xlpm.l,"G",IF(_xlpm.t=_xlpm.l,"P","R")),IF(_xlpm.f=0.5,IF(_xlpm.t&gt;_xlpm.l,"G","R"),IF(_xlpm.f=0.25,IF(_xlpm.t&gt;=_xlpm.n+1,"G",IF(_xlpm.t=_xlpm.n,"½R","R")),IF(_xlpm.f=0.75,IF(_xlpm.t&gt;=_xlpm.n+2,"G",IF(_xlpm.t=_xlpm.n+1,"½G","R")),"—"))))))</calculatedColumnFormula>
    </tableColumn>
    <tableColumn id="25" xr3:uid="{9D3303B6-1C66-481F-87DB-0FE571E8B4AB}" name="Análise da Entrada" dataDxfId="240"/>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13" dT="2026-08-08T01:21:55.40" personId="{6FDF66A3-1B68-4D38-9C61-4D1054082BB5}" id="{CE1D117C-17D6-4FD1-BCAF-5E6B5FA3E32E}">
    <text>REGISTRO PRÉ-JOGO: Linha técnica indicada pelo modelo = Over 2,50.</text>
  </threadedComment>
  <threadedComment ref="G15" dT="2026-08-08T01:21:55.54" personId="{6FDF66A3-1B68-4D38-9C61-4D1054082BB5}" id="{98EDE113-15E2-4DD9-BB78-CE6DC57AA468}">
    <text>REGISTRO PRÉ-JOGO: Orientação final do modelo = ANALISAR OVER 2,50. Linha conservadora escolhida para o bilhete = Over 2,00 @ 1,13; stake R$ 0,50.</text>
  </threadedComment>
</ThreadedComments>
</file>

<file path=xl/threadedComments/threadedComment2.xml><?xml version="1.0" encoding="utf-8"?>
<ThreadedComments xmlns="http://schemas.microsoft.com/office/spreadsheetml/2018/threadedcomments" xmlns:x="http://schemas.openxmlformats.org/spreadsheetml/2006/main">
  <threadedComment ref="B34" dT="2026-08-08T02:34:07.14" personId="{6FDF66A3-1B68-4D38-9C61-4D1054082BB5}" id="{E930E52A-1A24-4516-9B5C-64B71149D3AF}">
    <text>ANÁLISE REVISADA: A melhor linha operacional foi Over 2,00, não a maior linha vencedora. Com 3 gols, Over 2,00 seria Green e, com exatamente 2, devolveria a stake. A entrada Over 1,50 foi conservadora e vencedora, mas deixou 0,50 linha de eficiência potencial.</text>
  </threadedComment>
</ThreadedComment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8B6B1-0A5E-47BD-B90E-F5D684645F5E}">
  <dimension ref="A1:J61"/>
  <sheetViews>
    <sheetView workbookViewId="0">
      <selection activeCell="L17" sqref="L17"/>
    </sheetView>
  </sheetViews>
  <sheetFormatPr defaultRowHeight="14.4" x14ac:dyDescent="0.3"/>
  <cols>
    <col min="1" max="1" width="4.88671875" bestFit="1" customWidth="1"/>
    <col min="2" max="2" width="19.109375" bestFit="1" customWidth="1"/>
    <col min="3" max="3" width="11" bestFit="1" customWidth="1"/>
    <col min="4" max="4" width="8" bestFit="1" customWidth="1"/>
    <col min="5" max="5" width="7.6640625" bestFit="1" customWidth="1"/>
    <col min="6" max="6" width="15.77734375" bestFit="1" customWidth="1"/>
    <col min="7" max="7" width="10.44140625" bestFit="1" customWidth="1"/>
    <col min="8" max="8" width="8.6640625" bestFit="1" customWidth="1"/>
    <col min="9" max="9" width="21.6640625" bestFit="1" customWidth="1"/>
    <col min="10" max="10" width="18.44140625" bestFit="1" customWidth="1"/>
  </cols>
  <sheetData>
    <row r="1" spans="1:10" ht="31.95" customHeight="1" x14ac:dyDescent="0.45">
      <c r="A1" s="238" t="s">
        <v>8253</v>
      </c>
      <c r="B1" s="238"/>
      <c r="C1" s="238"/>
      <c r="D1" s="238"/>
      <c r="E1" s="238"/>
      <c r="F1" s="238"/>
      <c r="G1" s="238"/>
      <c r="H1" s="238"/>
      <c r="I1" s="238"/>
      <c r="J1" s="238"/>
    </row>
    <row r="2" spans="1:10" x14ac:dyDescent="0.3">
      <c r="A2" s="229" t="s">
        <v>8254</v>
      </c>
      <c r="B2" s="229"/>
      <c r="C2" s="229"/>
      <c r="D2" s="229"/>
      <c r="E2" s="229"/>
      <c r="F2" s="229"/>
      <c r="G2" s="229"/>
      <c r="H2" s="229"/>
      <c r="I2" s="229"/>
      <c r="J2" s="229"/>
    </row>
    <row r="4" spans="1:10" x14ac:dyDescent="0.3">
      <c r="A4" s="232" t="s">
        <v>8255</v>
      </c>
      <c r="B4" s="232"/>
      <c r="C4" s="232"/>
      <c r="D4" s="232"/>
      <c r="E4" s="232"/>
      <c r="F4" s="232"/>
      <c r="G4" s="232"/>
      <c r="H4" s="232"/>
      <c r="I4" s="232"/>
      <c r="J4" s="232"/>
    </row>
    <row r="5" spans="1:10" x14ac:dyDescent="0.3">
      <c r="A5" s="234" t="s">
        <v>8256</v>
      </c>
      <c r="B5" s="234"/>
      <c r="C5" s="234"/>
      <c r="D5" s="234"/>
      <c r="E5" s="234"/>
      <c r="F5" s="234"/>
      <c r="G5" s="234"/>
      <c r="H5" s="234"/>
      <c r="I5" s="234"/>
      <c r="J5" s="234"/>
    </row>
    <row r="6" spans="1:10" x14ac:dyDescent="0.3">
      <c r="A6" s="234"/>
      <c r="B6" s="234"/>
      <c r="C6" s="234"/>
      <c r="D6" s="234"/>
      <c r="E6" s="234"/>
      <c r="F6" s="234"/>
      <c r="G6" s="234"/>
      <c r="H6" s="234"/>
      <c r="I6" s="234"/>
      <c r="J6" s="234"/>
    </row>
    <row r="8" spans="1:10" x14ac:dyDescent="0.3">
      <c r="A8" s="232" t="s">
        <v>8257</v>
      </c>
      <c r="B8" s="232"/>
      <c r="C8" s="232"/>
      <c r="D8" s="232"/>
      <c r="E8" s="232"/>
      <c r="F8" s="232"/>
      <c r="G8" s="232"/>
      <c r="H8" s="232"/>
      <c r="I8" s="232"/>
      <c r="J8" s="232"/>
    </row>
    <row r="9" spans="1:10" ht="14.4" customHeight="1" x14ac:dyDescent="0.3">
      <c r="A9" s="236" t="str">
        <f>COUNTIF(H15:H100,"OK — 12+")&amp;" ligas completas"</f>
        <v>27 ligas completas</v>
      </c>
      <c r="B9" s="236"/>
      <c r="C9" s="236"/>
      <c r="E9" s="236" t="str">
        <f>COUNTIF(H15:H100,"REVISAR")&amp;" ligas para revisar"</f>
        <v>11 ligas para revisar</v>
      </c>
      <c r="F9" s="236"/>
      <c r="G9" s="236"/>
      <c r="I9" s="236" t="s">
        <v>8269</v>
      </c>
      <c r="J9" s="236"/>
    </row>
    <row r="10" spans="1:10" ht="14.4" customHeight="1" x14ac:dyDescent="0.3">
      <c r="A10" s="236"/>
      <c r="B10" s="236"/>
      <c r="C10" s="236"/>
      <c r="E10" s="236"/>
      <c r="F10" s="236"/>
      <c r="G10" s="236"/>
      <c r="I10" s="237">
        <f>MAX(G15:G100)</f>
        <v>46244</v>
      </c>
      <c r="J10" s="237"/>
    </row>
    <row r="11" spans="1:10" ht="14.4" customHeight="1" x14ac:dyDescent="0.3">
      <c r="A11" s="236"/>
      <c r="B11" s="236"/>
      <c r="C11" s="236"/>
      <c r="E11" s="236"/>
      <c r="F11" s="236"/>
      <c r="G11" s="236"/>
      <c r="I11" s="237"/>
      <c r="J11" s="237"/>
    </row>
    <row r="13" spans="1:10" x14ac:dyDescent="0.3">
      <c r="A13" s="232" t="s">
        <v>8258</v>
      </c>
      <c r="B13" s="232"/>
      <c r="C13" s="232"/>
      <c r="D13" s="232"/>
      <c r="E13" s="232"/>
      <c r="F13" s="232"/>
      <c r="G13" s="232"/>
      <c r="H13" s="232"/>
      <c r="I13" s="232"/>
      <c r="J13" s="232"/>
    </row>
    <row r="14" spans="1:10" x14ac:dyDescent="0.3">
      <c r="A14" s="179" t="s">
        <v>43</v>
      </c>
      <c r="B14" s="179" t="s">
        <v>0</v>
      </c>
      <c r="C14" s="179" t="s">
        <v>8259</v>
      </c>
      <c r="D14" s="179" t="s">
        <v>8260</v>
      </c>
      <c r="E14" s="179" t="s">
        <v>1583</v>
      </c>
      <c r="F14" s="179" t="s">
        <v>8261</v>
      </c>
      <c r="G14" s="179" t="s">
        <v>8262</v>
      </c>
      <c r="H14" s="179" t="s">
        <v>1388</v>
      </c>
      <c r="I14" s="179" t="s">
        <v>8263</v>
      </c>
      <c r="J14" s="179" t="s">
        <v>3293</v>
      </c>
    </row>
    <row r="15" spans="1:10" ht="28.8" x14ac:dyDescent="0.3">
      <c r="A15" s="201" t="s">
        <v>4</v>
      </c>
      <c r="B15" s="201" t="s">
        <v>5</v>
      </c>
      <c r="C15" s="201" t="s">
        <v>1373</v>
      </c>
      <c r="D15" s="202">
        <f>COUNTIFS(tblDados[País],A15,tblDados[Liga],B15,tblDados[Primeira_Ocorrencia],1)</f>
        <v>4</v>
      </c>
      <c r="E15" s="202" cm="1">
        <f t="array" ref="E15">IFERROR(ROWS(_xlfn.UNIQUE(_xlfn.VSTACK(_xlfn._xlws.FILTER(tblDados[Mandante],(tblDados[País]=A15)*(tblDados[Liga]=B15)*(tblDados[Primeira_Ocorrencia]=1)),_xlfn._xlws.FILTER(tblDados[Visitante],(tblDados[País]=A15)*(tblDados[Liga]=B15)*(tblDados[Primeira_Ocorrencia]=1))))),0)</f>
        <v>8</v>
      </c>
      <c r="F15" s="202" cm="1">
        <f t="array" ref="F15">_xlfn.LET(_xlpm.p,A15,_xlpm.l,B15,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v>
      </c>
      <c r="G15" s="203">
        <f>IFERROR(_xlfn.MAXIFS(tblDados[Data],tblDados[País],A15,tblDados[Liga],B15,tblDados[Primeira_Ocorrencia],1),"")</f>
        <v>46230</v>
      </c>
      <c r="H15" s="201" t="str">
        <f t="shared" ref="H15:H52" si="0">IF(F15&gt;=12,"OK — 12+","REVISAR")</f>
        <v>REVISAR</v>
      </c>
      <c r="I15" s="210" t="s">
        <v>8264</v>
      </c>
      <c r="J15" s="210" t="str">
        <f t="shared" ref="J15:J52" si="1">IF(H15="OK — 12+","Manutenção semanal","Completar janela")</f>
        <v>Completar janela</v>
      </c>
    </row>
    <row r="16" spans="1:10" ht="28.8" x14ac:dyDescent="0.3">
      <c r="A16" s="204" t="s">
        <v>4</v>
      </c>
      <c r="B16" s="204" t="s">
        <v>6</v>
      </c>
      <c r="C16" s="204" t="s">
        <v>1373</v>
      </c>
      <c r="D16" s="205">
        <f>COUNTIFS(tblDados[País],A16,tblDados[Liga],B16,tblDados[Primeira_Ocorrencia],1)</f>
        <v>2</v>
      </c>
      <c r="E16" s="205" cm="1">
        <f t="array" ref="E16">IFERROR(ROWS(_xlfn.UNIQUE(_xlfn.VSTACK(_xlfn._xlws.FILTER(tblDados[Mandante],(tblDados[País]=A16)*(tblDados[Liga]=B16)*(tblDados[Primeira_Ocorrencia]=1)),_xlfn._xlws.FILTER(tblDados[Visitante],(tblDados[País]=A16)*(tblDados[Liga]=B16)*(tblDados[Primeira_Ocorrencia]=1))))),0)</f>
        <v>4</v>
      </c>
      <c r="F16" s="205" cm="1">
        <f t="array" ref="F16">_xlfn.LET(_xlpm.p,A16,_xlpm.l,B16,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v>
      </c>
      <c r="G16" s="206">
        <f>IFERROR(_xlfn.MAXIFS(tblDados[Data],tblDados[País],A16,tblDados[Liga],B16,tblDados[Primeira_Ocorrencia],1),"")</f>
        <v>46230</v>
      </c>
      <c r="H16" s="204" t="str">
        <f t="shared" si="0"/>
        <v>REVISAR</v>
      </c>
      <c r="I16" s="211" t="s">
        <v>8264</v>
      </c>
      <c r="J16" s="211" t="str">
        <f t="shared" si="1"/>
        <v>Completar janela</v>
      </c>
    </row>
    <row r="17" spans="1:10" ht="28.8" x14ac:dyDescent="0.3">
      <c r="A17" s="204" t="s">
        <v>10</v>
      </c>
      <c r="B17" s="204" t="s">
        <v>11</v>
      </c>
      <c r="C17" s="204" t="s">
        <v>1366</v>
      </c>
      <c r="D17" s="205">
        <f>COUNTIFS(tblDados[País],A17,tblDados[Liga],B17,tblDados[Primeira_Ocorrencia],1)</f>
        <v>105</v>
      </c>
      <c r="E17" s="205" cm="1">
        <f t="array" ref="E17">IFERROR(ROWS(_xlfn.UNIQUE(_xlfn.VSTACK(_xlfn._xlws.FILTER(tblDados[Mandante],(tblDados[País]=A17)*(tblDados[Liga]=B17)*(tblDados[Primeira_Ocorrencia]=1)),_xlfn._xlws.FILTER(tblDados[Visitante],(tblDados[País]=A17)*(tblDados[Liga]=B17)*(tblDados[Primeira_Ocorrencia]=1))))),0)</f>
        <v>16</v>
      </c>
      <c r="F17" s="205" cm="1">
        <f t="array" ref="F17">_xlfn.LET(_xlpm.p,A17,_xlpm.l,B17,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17" s="206">
        <f>IFERROR(_xlfn.MAXIFS(tblDados[Data],tblDados[País],A17,tblDados[Liga],B17,tblDados[Primeira_Ocorrencia],1),"")</f>
        <v>46241</v>
      </c>
      <c r="H17" s="204" t="str">
        <f t="shared" si="0"/>
        <v>OK — 12+</v>
      </c>
      <c r="I17" s="211" t="s">
        <v>8264</v>
      </c>
      <c r="J17" s="211" t="str">
        <f t="shared" si="1"/>
        <v>Manutenção semanal</v>
      </c>
    </row>
    <row r="18" spans="1:10" ht="28.8" x14ac:dyDescent="0.3">
      <c r="A18" s="204" t="s">
        <v>12</v>
      </c>
      <c r="B18" s="204" t="s">
        <v>13</v>
      </c>
      <c r="C18" s="204" t="s">
        <v>1376</v>
      </c>
      <c r="D18" s="205">
        <f>COUNTIFS(tblDados[País],A18,tblDados[Liga],B18,tblDados[Primeira_Ocorrencia],1)</f>
        <v>124</v>
      </c>
      <c r="E18" s="205" cm="1">
        <f t="array" ref="E18">IFERROR(ROWS(_xlfn.UNIQUE(_xlfn.VSTACK(_xlfn._xlws.FILTER(tblDados[Mandante],(tblDados[País]=A18)*(tblDados[Liga]=B18)*(tblDados[Primeira_Ocorrencia]=1)),_xlfn._xlws.FILTER(tblDados[Visitante],(tblDados[País]=A18)*(tblDados[Liga]=B18)*(tblDados[Primeira_Ocorrencia]=1))))),0)</f>
        <v>20</v>
      </c>
      <c r="F18" s="205" cm="1">
        <f t="array" ref="F18">_xlfn.LET(_xlpm.p,A18,_xlpm.l,B18,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18" s="206">
        <f>IFERROR(_xlfn.MAXIFS(tblDados[Data],tblDados[País],A18,tblDados[Liga],B18,tblDados[Primeira_Ocorrencia],1),"")</f>
        <v>46233</v>
      </c>
      <c r="H18" s="204" t="str">
        <f t="shared" si="0"/>
        <v>OK — 12+</v>
      </c>
      <c r="I18" s="211" t="s">
        <v>8264</v>
      </c>
      <c r="J18" s="211" t="str">
        <f t="shared" si="1"/>
        <v>Manutenção semanal</v>
      </c>
    </row>
    <row r="19" spans="1:10" ht="28.8" x14ac:dyDescent="0.3">
      <c r="A19" s="204" t="s">
        <v>12</v>
      </c>
      <c r="B19" s="204" t="s">
        <v>14</v>
      </c>
      <c r="C19" s="204" t="s">
        <v>1373</v>
      </c>
      <c r="D19" s="205">
        <f>COUNTIFS(tblDados[País],A19,tblDados[Liga],B19,tblDados[Primeira_Ocorrencia],1)</f>
        <v>139</v>
      </c>
      <c r="E19" s="205" cm="1">
        <f t="array" ref="E19">IFERROR(ROWS(_xlfn.UNIQUE(_xlfn.VSTACK(_xlfn._xlws.FILTER(tblDados[Mandante],(tblDados[País]=A19)*(tblDados[Liga]=B19)*(tblDados[Primeira_Ocorrencia]=1)),_xlfn._xlws.FILTER(tblDados[Visitante],(tblDados[País]=A19)*(tblDados[Liga]=B19)*(tblDados[Primeira_Ocorrencia]=1))))),0)</f>
        <v>20</v>
      </c>
      <c r="F19" s="205" cm="1">
        <f t="array" ref="F19">_xlfn.LET(_xlpm.p,A19,_xlpm.l,B19,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13</v>
      </c>
      <c r="G19" s="206">
        <f>IFERROR(_xlfn.MAXIFS(tblDados[Data],tblDados[País],A19,tblDados[Liga],B19,tblDados[Primeira_Ocorrencia],1),"")</f>
        <v>46241</v>
      </c>
      <c r="H19" s="204" t="str">
        <f t="shared" si="0"/>
        <v>OK — 12+</v>
      </c>
      <c r="I19" s="211" t="s">
        <v>8264</v>
      </c>
      <c r="J19" s="211" t="str">
        <f t="shared" si="1"/>
        <v>Manutenção semanal</v>
      </c>
    </row>
    <row r="20" spans="1:10" ht="28.8" x14ac:dyDescent="0.3">
      <c r="A20" s="204" t="s">
        <v>12</v>
      </c>
      <c r="B20" s="204" t="s">
        <v>4601</v>
      </c>
      <c r="C20" s="204" t="s">
        <v>1373</v>
      </c>
      <c r="D20" s="205">
        <f>COUNTIFS(tblDados[País],A20,tblDados[Liga],B20,tblDados[Primeira_Ocorrencia],1)</f>
        <v>121</v>
      </c>
      <c r="E20" s="205" cm="1">
        <f t="array" ref="E20">IFERROR(ROWS(_xlfn.UNIQUE(_xlfn.VSTACK(_xlfn._xlws.FILTER(tblDados[Mandante],(tblDados[País]=A20)*(tblDados[Liga]=B20)*(tblDados[Primeira_Ocorrencia]=1)),_xlfn._xlws.FILTER(tblDados[Visitante],(tblDados[País]=A20)*(tblDados[Liga]=B20)*(tblDados[Primeira_Ocorrencia]=1))))),0)</f>
        <v>20</v>
      </c>
      <c r="F20" s="205" cm="1">
        <f t="array" ref="F20">_xlfn.LET(_xlpm.p,A20,_xlpm.l,B20,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20" s="206">
        <f>IFERROR(_xlfn.MAXIFS(tblDados[Data],tblDados[País],A20,tblDados[Liga],B20,tblDados[Primeira_Ocorrencia],1),"")</f>
        <v>46244</v>
      </c>
      <c r="H20" s="204" t="str">
        <f t="shared" si="0"/>
        <v>OK — 12+</v>
      </c>
      <c r="I20" s="211" t="s">
        <v>8264</v>
      </c>
      <c r="J20" s="211" t="str">
        <f t="shared" si="1"/>
        <v>Manutenção semanal</v>
      </c>
    </row>
    <row r="21" spans="1:10" ht="28.8" x14ac:dyDescent="0.3">
      <c r="A21" s="204" t="s">
        <v>15</v>
      </c>
      <c r="B21" s="204" t="s">
        <v>2618</v>
      </c>
      <c r="C21" s="204" t="s">
        <v>1376</v>
      </c>
      <c r="D21" s="205">
        <f>COUNTIFS(tblDados[País],A21,tblDados[Liga],B21,tblDados[Primeira_Ocorrencia],1)</f>
        <v>49</v>
      </c>
      <c r="E21" s="205" cm="1">
        <f t="array" ref="E21">IFERROR(ROWS(_xlfn.UNIQUE(_xlfn.VSTACK(_xlfn._xlws.FILTER(tblDados[Mandante],(tblDados[País]=A21)*(tblDados[Liga]=B21)*(tblDados[Primeira_Ocorrencia]=1)),_xlfn._xlws.FILTER(tblDados[Visitante],(tblDados[País]=A21)*(tblDados[Liga]=B21)*(tblDados[Primeira_Ocorrencia]=1))))),0)</f>
        <v>8</v>
      </c>
      <c r="F21" s="205" cm="1">
        <f t="array" ref="F21">_xlfn.LET(_xlpm.p,A21,_xlpm.l,B21,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21" s="206">
        <f>IFERROR(_xlfn.MAXIFS(tblDados[Data],tblDados[País],A21,tblDados[Liga],B21,tblDados[Primeira_Ocorrencia],1),"")</f>
        <v>46242</v>
      </c>
      <c r="H21" s="204" t="str">
        <f t="shared" si="0"/>
        <v>OK — 12+</v>
      </c>
      <c r="I21" s="211" t="s">
        <v>8264</v>
      </c>
      <c r="J21" s="211" t="str">
        <f t="shared" si="1"/>
        <v>Manutenção semanal</v>
      </c>
    </row>
    <row r="22" spans="1:10" ht="28.8" x14ac:dyDescent="0.3">
      <c r="A22" s="204" t="s">
        <v>16</v>
      </c>
      <c r="B22" s="204" t="s">
        <v>3471</v>
      </c>
      <c r="C22" s="204" t="s">
        <v>1376</v>
      </c>
      <c r="D22" s="205">
        <f>COUNTIFS(tblDados[País],A22,tblDados[Liga],B22,tblDados[Primeira_Ocorrencia],1)</f>
        <v>100</v>
      </c>
      <c r="E22" s="205" cm="1">
        <f t="array" ref="E22">IFERROR(ROWS(_xlfn.UNIQUE(_xlfn.VSTACK(_xlfn._xlws.FILTER(tblDados[Mandante],(tblDados[País]=A22)*(tblDados[Liga]=B22)*(tblDados[Primeira_Ocorrencia]=1)),_xlfn._xlws.FILTER(tblDados[Visitante],(tblDados[País]=A22)*(tblDados[Liga]=B22)*(tblDados[Primeira_Ocorrencia]=1))))),0)</f>
        <v>16</v>
      </c>
      <c r="F22" s="205" cm="1">
        <f t="array" ref="F22">_xlfn.LET(_xlpm.p,A22,_xlpm.l,B22,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22" s="206">
        <f>IFERROR(_xlfn.MAXIFS(tblDados[Data],tblDados[País],A22,tblDados[Liga],B22,tblDados[Primeira_Ocorrencia],1),"")</f>
        <v>46243</v>
      </c>
      <c r="H22" s="204" t="str">
        <f t="shared" si="0"/>
        <v>OK — 12+</v>
      </c>
      <c r="I22" s="211" t="s">
        <v>8264</v>
      </c>
      <c r="J22" s="211" t="str">
        <f t="shared" si="1"/>
        <v>Manutenção semanal</v>
      </c>
    </row>
    <row r="23" spans="1:10" ht="28.8" x14ac:dyDescent="0.3">
      <c r="A23" s="204" t="s">
        <v>17</v>
      </c>
      <c r="B23" s="204" t="s">
        <v>4102</v>
      </c>
      <c r="C23" s="204" t="s">
        <v>1376</v>
      </c>
      <c r="D23" s="205">
        <f>COUNTIFS(tblDados[País],A23,tblDados[Liga],B23,tblDados[Primeira_Ocorrencia],1)</f>
        <v>99</v>
      </c>
      <c r="E23" s="205" cm="1">
        <f t="array" ref="E23">IFERROR(ROWS(_xlfn.UNIQUE(_xlfn.VSTACK(_xlfn._xlws.FILTER(tblDados[Mandante],(tblDados[País]=A23)*(tblDados[Liga]=B23)*(tblDados[Primeira_Ocorrencia]=1)),_xlfn._xlws.FILTER(tblDados[Visitante],(tblDados[País]=A23)*(tblDados[Liga]=B23)*(tblDados[Primeira_Ocorrencia]=1))))),0)</f>
        <v>16</v>
      </c>
      <c r="F23" s="205" cm="1">
        <f t="array" ref="F23">_xlfn.LET(_xlpm.p,A23,_xlpm.l,B23,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23" s="206">
        <f>IFERROR(_xlfn.MAXIFS(tblDados[Data],tblDados[País],A23,tblDados[Liga],B23,tblDados[Primeira_Ocorrencia],1),"")</f>
        <v>46243</v>
      </c>
      <c r="H23" s="204" t="str">
        <f t="shared" si="0"/>
        <v>OK — 12+</v>
      </c>
      <c r="I23" s="211" t="s">
        <v>8264</v>
      </c>
      <c r="J23" s="211" t="str">
        <f t="shared" si="1"/>
        <v>Manutenção semanal</v>
      </c>
    </row>
    <row r="24" spans="1:10" ht="28.8" x14ac:dyDescent="0.3">
      <c r="A24" s="204" t="s">
        <v>18</v>
      </c>
      <c r="B24" s="204" t="s">
        <v>19</v>
      </c>
      <c r="C24" s="204" t="s">
        <v>1376</v>
      </c>
      <c r="D24" s="205">
        <f>COUNTIFS(tblDados[País],A24,tblDados[Liga],B24,tblDados[Primeira_Ocorrencia],1)</f>
        <v>73</v>
      </c>
      <c r="E24" s="205" cm="1">
        <f t="array" ref="E24">IFERROR(ROWS(_xlfn.UNIQUE(_xlfn.VSTACK(_xlfn._xlws.FILTER(tblDados[Mandante],(tblDados[País]=A24)*(tblDados[Liga]=B24)*(tblDados[Primeira_Ocorrencia]=1)),_xlfn._xlws.FILTER(tblDados[Visitante],(tblDados[País]=A24)*(tblDados[Liga]=B24)*(tblDados[Primeira_Ocorrencia]=1))))),0)</f>
        <v>12</v>
      </c>
      <c r="F24" s="205" cm="1">
        <f t="array" ref="F24">_xlfn.LET(_xlpm.p,A24,_xlpm.l,B24,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24" s="206">
        <f>IFERROR(_xlfn.MAXIFS(tblDados[Data],tblDados[País],A24,tblDados[Liga],B24,tblDados[Primeira_Ocorrencia],1),"")</f>
        <v>46241</v>
      </c>
      <c r="H24" s="204" t="str">
        <f t="shared" si="0"/>
        <v>OK — 12+</v>
      </c>
      <c r="I24" s="211" t="s">
        <v>8264</v>
      </c>
      <c r="J24" s="211" t="str">
        <f t="shared" si="1"/>
        <v>Manutenção semanal</v>
      </c>
    </row>
    <row r="25" spans="1:10" ht="28.8" x14ac:dyDescent="0.3">
      <c r="A25" s="204" t="s">
        <v>18</v>
      </c>
      <c r="B25" s="204" t="s">
        <v>20</v>
      </c>
      <c r="C25" s="204" t="s">
        <v>1376</v>
      </c>
      <c r="D25" s="205">
        <f>COUNTIFS(tblDados[País],A25,tblDados[Liga],B25,tblDados[Primeira_Ocorrencia],1)</f>
        <v>63</v>
      </c>
      <c r="E25" s="205" cm="1">
        <f t="array" ref="E25">IFERROR(ROWS(_xlfn.UNIQUE(_xlfn.VSTACK(_xlfn._xlws.FILTER(tblDados[Mandante],(tblDados[País]=A25)*(tblDados[Liga]=B25)*(tblDados[Primeira_Ocorrencia]=1)),_xlfn._xlws.FILTER(tblDados[Visitante],(tblDados[País]=A25)*(tblDados[Liga]=B25)*(tblDados[Primeira_Ocorrencia]=1))))),0)</f>
        <v>10</v>
      </c>
      <c r="F25" s="205" cm="1">
        <f t="array" ref="F25">_xlfn.LET(_xlpm.p,A25,_xlpm.l,B25,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25" s="206">
        <f>IFERROR(_xlfn.MAXIFS(tblDados[Data],tblDados[País],A25,tblDados[Liga],B25,tblDados[Primeira_Ocorrencia],1),"")</f>
        <v>46242</v>
      </c>
      <c r="H25" s="204" t="str">
        <f t="shared" si="0"/>
        <v>OK — 12+</v>
      </c>
      <c r="I25" s="211" t="s">
        <v>8264</v>
      </c>
      <c r="J25" s="211" t="str">
        <f t="shared" si="1"/>
        <v>Manutenção semanal</v>
      </c>
    </row>
    <row r="26" spans="1:10" ht="28.8" x14ac:dyDescent="0.3">
      <c r="A26" s="204" t="s">
        <v>18</v>
      </c>
      <c r="B26" s="204" t="s">
        <v>21</v>
      </c>
      <c r="C26" s="204" t="s">
        <v>1366</v>
      </c>
      <c r="D26" s="205">
        <f>COUNTIFS(tblDados[País],A26,tblDados[Liga],B26,tblDados[Primeira_Ocorrencia],1)</f>
        <v>79</v>
      </c>
      <c r="E26" s="205" cm="1">
        <f t="array" ref="E26">IFERROR(ROWS(_xlfn.UNIQUE(_xlfn.VSTACK(_xlfn._xlws.FILTER(tblDados[Mandante],(tblDados[País]=A26)*(tblDados[Liga]=B26)*(tblDados[Primeira_Ocorrencia]=1)),_xlfn._xlws.FILTER(tblDados[Visitante],(tblDados[País]=A26)*(tblDados[Liga]=B26)*(tblDados[Primeira_Ocorrencia]=1))))),0)</f>
        <v>12</v>
      </c>
      <c r="F26" s="205" cm="1">
        <f t="array" ref="F26">_xlfn.LET(_xlpm.p,A26,_xlpm.l,B26,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26" s="206">
        <f>IFERROR(_xlfn.MAXIFS(tblDados[Data],tblDados[País],A26,tblDados[Liga],B26,tblDados[Primeira_Ocorrencia],1),"")</f>
        <v>46241</v>
      </c>
      <c r="H26" s="204" t="str">
        <f t="shared" si="0"/>
        <v>OK — 12+</v>
      </c>
      <c r="I26" s="211" t="s">
        <v>8264</v>
      </c>
      <c r="J26" s="211" t="str">
        <f t="shared" si="1"/>
        <v>Manutenção semanal</v>
      </c>
    </row>
    <row r="27" spans="1:10" ht="28.8" x14ac:dyDescent="0.3">
      <c r="A27" s="204" t="s">
        <v>18</v>
      </c>
      <c r="B27" s="204" t="s">
        <v>22</v>
      </c>
      <c r="C27" s="204" t="s">
        <v>1366</v>
      </c>
      <c r="D27" s="205">
        <f>COUNTIFS(tblDados[País],A27,tblDados[Liga],B27,tblDados[Primeira_Ocorrencia],1)</f>
        <v>65</v>
      </c>
      <c r="E27" s="205" cm="1">
        <f t="array" ref="E27">IFERROR(ROWS(_xlfn.UNIQUE(_xlfn.VSTACK(_xlfn._xlws.FILTER(tblDados[Mandante],(tblDados[País]=A27)*(tblDados[Liga]=B27)*(tblDados[Primeira_Ocorrencia]=1)),_xlfn._xlws.FILTER(tblDados[Visitante],(tblDados[País]=A27)*(tblDados[Liga]=B27)*(tblDados[Primeira_Ocorrencia]=1))))),0)</f>
        <v>10</v>
      </c>
      <c r="F27" s="205" cm="1">
        <f t="array" ref="F27">_xlfn.LET(_xlpm.p,A27,_xlpm.l,B27,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27" s="206">
        <f>IFERROR(_xlfn.MAXIFS(tblDados[Data],tblDados[País],A27,tblDados[Liga],B27,tblDados[Primeira_Ocorrencia],1),"")</f>
        <v>46242</v>
      </c>
      <c r="H27" s="204" t="str">
        <f t="shared" si="0"/>
        <v>OK — 12+</v>
      </c>
      <c r="I27" s="211" t="s">
        <v>8264</v>
      </c>
      <c r="J27" s="211" t="str">
        <f t="shared" si="1"/>
        <v>Manutenção semanal</v>
      </c>
    </row>
    <row r="28" spans="1:10" ht="28.8" x14ac:dyDescent="0.3">
      <c r="A28" s="204" t="s">
        <v>18</v>
      </c>
      <c r="B28" s="204" t="s">
        <v>433</v>
      </c>
      <c r="C28" s="204" t="s">
        <v>1366</v>
      </c>
      <c r="D28" s="205">
        <f>COUNTIFS(tblDados[País],A28,tblDados[Liga],B28,tblDados[Primeira_Ocorrencia],1)</f>
        <v>47</v>
      </c>
      <c r="E28" s="205" cm="1">
        <f t="array" ref="E28">IFERROR(ROWS(_xlfn.UNIQUE(_xlfn.VSTACK(_xlfn._xlws.FILTER(tblDados[Mandante],(tblDados[País]=A28)*(tblDados[Liga]=B28)*(tblDados[Primeira_Ocorrencia]=1)),_xlfn._xlws.FILTER(tblDados[Visitante],(tblDados[País]=A28)*(tblDados[Liga]=B28)*(tblDados[Primeira_Ocorrencia]=1))))),0)</f>
        <v>10</v>
      </c>
      <c r="F28" s="205" cm="1">
        <f t="array" ref="F28">_xlfn.LET(_xlpm.p,A28,_xlpm.l,B28,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6</v>
      </c>
      <c r="G28" s="206">
        <f>IFERROR(_xlfn.MAXIFS(tblDados[Data],tblDados[País],A28,tblDados[Liga],B28,tblDados[Primeira_Ocorrencia],1),"")</f>
        <v>46238</v>
      </c>
      <c r="H28" s="204" t="str">
        <f t="shared" si="0"/>
        <v>REVISAR</v>
      </c>
      <c r="I28" s="211" t="s">
        <v>8264</v>
      </c>
      <c r="J28" s="211" t="str">
        <f t="shared" si="1"/>
        <v>Completar janela</v>
      </c>
    </row>
    <row r="29" spans="1:10" ht="28.8" x14ac:dyDescent="0.3">
      <c r="A29" s="204" t="s">
        <v>18</v>
      </c>
      <c r="B29" s="204" t="s">
        <v>23</v>
      </c>
      <c r="C29" s="204" t="s">
        <v>1366</v>
      </c>
      <c r="D29" s="205">
        <f>COUNTIFS(tblDados[País],A29,tblDados[Liga],B29,tblDados[Primeira_Ocorrencia],1)</f>
        <v>66</v>
      </c>
      <c r="E29" s="205" cm="1">
        <f t="array" ref="E29">IFERROR(ROWS(_xlfn.UNIQUE(_xlfn.VSTACK(_xlfn._xlws.FILTER(tblDados[Mandante],(tblDados[País]=A29)*(tblDados[Liga]=B29)*(tblDados[Primeira_Ocorrencia]=1)),_xlfn._xlws.FILTER(tblDados[Visitante],(tblDados[País]=A29)*(tblDados[Liga]=B29)*(tblDados[Primeira_Ocorrencia]=1))))),0)</f>
        <v>10</v>
      </c>
      <c r="F29" s="205" cm="1">
        <f t="array" ref="F29">_xlfn.LET(_xlpm.p,A29,_xlpm.l,B29,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29" s="206">
        <f>IFERROR(_xlfn.MAXIFS(tblDados[Data],tblDados[País],A29,tblDados[Liga],B29,tblDados[Primeira_Ocorrencia],1),"")</f>
        <v>46242</v>
      </c>
      <c r="H29" s="204" t="str">
        <f t="shared" si="0"/>
        <v>OK — 12+</v>
      </c>
      <c r="I29" s="211" t="s">
        <v>8264</v>
      </c>
      <c r="J29" s="211" t="str">
        <f t="shared" si="1"/>
        <v>Manutenção semanal</v>
      </c>
    </row>
    <row r="30" spans="1:10" ht="28.8" x14ac:dyDescent="0.3">
      <c r="A30" s="204" t="s">
        <v>24</v>
      </c>
      <c r="B30" s="204" t="s">
        <v>4334</v>
      </c>
      <c r="C30" s="204" t="s">
        <v>1376</v>
      </c>
      <c r="D30" s="205">
        <f>COUNTIFS(tblDados[País],A30,tblDados[Liga],B30,tblDados[Primeira_Ocorrencia],1)</f>
        <v>73</v>
      </c>
      <c r="E30" s="205" cm="1">
        <f t="array" ref="E30">IFERROR(ROWS(_xlfn.UNIQUE(_xlfn.VSTACK(_xlfn._xlws.FILTER(tblDados[Mandante],(tblDados[País]=A30)*(tblDados[Liga]=B30)*(tblDados[Primeira_Ocorrencia]=1)),_xlfn._xlws.FILTER(tblDados[Visitante],(tblDados[País]=A30)*(tblDados[Liga]=B30)*(tblDados[Primeira_Ocorrencia]=1))))),0)</f>
        <v>12</v>
      </c>
      <c r="F30" s="205" cm="1">
        <f t="array" ref="F30">_xlfn.LET(_xlpm.p,A30,_xlpm.l,B30,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30" s="206">
        <f>IFERROR(_xlfn.MAXIFS(tblDados[Data],tblDados[País],A30,tblDados[Liga],B30,tblDados[Primeira_Ocorrencia],1),"")</f>
        <v>46243</v>
      </c>
      <c r="H30" s="204" t="str">
        <f t="shared" si="0"/>
        <v>OK — 12+</v>
      </c>
      <c r="I30" s="211" t="s">
        <v>8264</v>
      </c>
      <c r="J30" s="211" t="str">
        <f t="shared" si="1"/>
        <v>Manutenção semanal</v>
      </c>
    </row>
    <row r="31" spans="1:10" ht="28.8" x14ac:dyDescent="0.3">
      <c r="A31" s="204" t="s">
        <v>24</v>
      </c>
      <c r="B31" s="204" t="s">
        <v>4335</v>
      </c>
      <c r="C31" s="204" t="s">
        <v>1366</v>
      </c>
      <c r="D31" s="205">
        <f>COUNTIFS(tblDados[País],A31,tblDados[Liga],B31,tblDados[Primeira_Ocorrencia],1)</f>
        <v>80</v>
      </c>
      <c r="E31" s="205" cm="1">
        <f t="array" ref="E31">IFERROR(ROWS(_xlfn.UNIQUE(_xlfn.VSTACK(_xlfn._xlws.FILTER(tblDados[Mandante],(tblDados[País]=A31)*(tblDados[Liga]=B31)*(tblDados[Primeira_Ocorrencia]=1)),_xlfn._xlws.FILTER(tblDados[Visitante],(tblDados[País]=A31)*(tblDados[Liga]=B31)*(tblDados[Primeira_Ocorrencia]=1))))),0)</f>
        <v>12</v>
      </c>
      <c r="F31" s="205" cm="1">
        <f t="array" ref="F31">_xlfn.LET(_xlpm.p,A31,_xlpm.l,B31,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31" s="206">
        <f>IFERROR(_xlfn.MAXIFS(tblDados[Data],tblDados[País],A31,tblDados[Liga],B31,tblDados[Primeira_Ocorrencia],1),"")</f>
        <v>46243</v>
      </c>
      <c r="H31" s="204" t="str">
        <f t="shared" si="0"/>
        <v>OK — 12+</v>
      </c>
      <c r="I31" s="211" t="s">
        <v>8264</v>
      </c>
      <c r="J31" s="211" t="str">
        <f t="shared" si="1"/>
        <v>Manutenção semanal</v>
      </c>
    </row>
    <row r="32" spans="1:10" ht="28.8" x14ac:dyDescent="0.3">
      <c r="A32" s="204" t="s">
        <v>25</v>
      </c>
      <c r="B32" s="204" t="s">
        <v>26</v>
      </c>
      <c r="C32" s="204" t="s">
        <v>1366</v>
      </c>
      <c r="D32" s="205">
        <f>COUNTIFS(tblDados[País],A32,tblDados[Liga],B32,tblDados[Primeira_Ocorrencia],1)</f>
        <v>2</v>
      </c>
      <c r="E32" s="205" cm="1">
        <f t="array" ref="E32">IFERROR(ROWS(_xlfn.UNIQUE(_xlfn.VSTACK(_xlfn._xlws.FILTER(tblDados[Mandante],(tblDados[País]=A32)*(tblDados[Liga]=B32)*(tblDados[Primeira_Ocorrencia]=1)),_xlfn._xlws.FILTER(tblDados[Visitante],(tblDados[País]=A32)*(tblDados[Liga]=B32)*(tblDados[Primeira_Ocorrencia]=1))))),0)</f>
        <v>4</v>
      </c>
      <c r="F32" s="205" cm="1">
        <f t="array" ref="F32">_xlfn.LET(_xlpm.p,A32,_xlpm.l,B32,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v>
      </c>
      <c r="G32" s="206">
        <f>IFERROR(_xlfn.MAXIFS(tblDados[Data],tblDados[País],A32,tblDados[Liga],B32,tblDados[Primeira_Ocorrencia],1),"")</f>
        <v>46235</v>
      </c>
      <c r="H32" s="204" t="str">
        <f t="shared" si="0"/>
        <v>REVISAR</v>
      </c>
      <c r="I32" s="211" t="s">
        <v>8264</v>
      </c>
      <c r="J32" s="211" t="str">
        <f t="shared" si="1"/>
        <v>Completar janela</v>
      </c>
    </row>
    <row r="33" spans="1:10" ht="28.8" x14ac:dyDescent="0.3">
      <c r="A33" s="204" t="s">
        <v>27</v>
      </c>
      <c r="B33" s="204" t="s">
        <v>28</v>
      </c>
      <c r="C33" s="204" t="s">
        <v>1376</v>
      </c>
      <c r="D33" s="205">
        <f>COUNTIFS(tblDados[País],A33,tblDados[Liga],B33,tblDados[Primeira_Ocorrencia],1)</f>
        <v>99</v>
      </c>
      <c r="E33" s="205" cm="1">
        <f t="array" ref="E33">IFERROR(ROWS(_xlfn.UNIQUE(_xlfn.VSTACK(_xlfn._xlws.FILTER(tblDados[Mandante],(tblDados[País]=A33)*(tblDados[Liga]=B33)*(tblDados[Primeira_Ocorrencia]=1)),_xlfn._xlws.FILTER(tblDados[Visitante],(tblDados[País]=A33)*(tblDados[Liga]=B33)*(tblDados[Primeira_Ocorrencia]=1))))),0)</f>
        <v>16</v>
      </c>
      <c r="F33" s="205" cm="1">
        <f t="array" ref="F33">_xlfn.LET(_xlpm.p,A33,_xlpm.l,B33,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33" s="206">
        <f>IFERROR(_xlfn.MAXIFS(tblDados[Data],tblDados[País],A33,tblDados[Liga],B33,tblDados[Primeira_Ocorrencia],1),"")</f>
        <v>46243</v>
      </c>
      <c r="H33" s="204" t="str">
        <f t="shared" si="0"/>
        <v>OK — 12+</v>
      </c>
      <c r="I33" s="211" t="s">
        <v>8264</v>
      </c>
      <c r="J33" s="211" t="str">
        <f t="shared" si="1"/>
        <v>Manutenção semanal</v>
      </c>
    </row>
    <row r="34" spans="1:10" ht="28.8" x14ac:dyDescent="0.3">
      <c r="A34" s="204" t="s">
        <v>27</v>
      </c>
      <c r="B34" s="204" t="s">
        <v>29</v>
      </c>
      <c r="C34" s="204" t="s">
        <v>1376</v>
      </c>
      <c r="D34" s="205">
        <f>COUNTIFS(tblDados[País],A34,tblDados[Liga],B34,tblDados[Primeira_Ocorrencia],1)</f>
        <v>96</v>
      </c>
      <c r="E34" s="205" cm="1">
        <f t="array" ref="E34">IFERROR(ROWS(_xlfn.UNIQUE(_xlfn.VSTACK(_xlfn._xlws.FILTER(tblDados[Mandante],(tblDados[País]=A34)*(tblDados[Liga]=B34)*(tblDados[Primeira_Ocorrencia]=1)),_xlfn._xlws.FILTER(tblDados[Visitante],(tblDados[País]=A34)*(tblDados[Liga]=B34)*(tblDados[Primeira_Ocorrencia]=1))))),0)</f>
        <v>16</v>
      </c>
      <c r="F34" s="205" cm="1">
        <f t="array" ref="F34">_xlfn.LET(_xlpm.p,A34,_xlpm.l,B34,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34" s="206">
        <f>IFERROR(_xlfn.MAXIFS(tblDados[Data],tblDados[País],A34,tblDados[Liga],B34,tblDados[Primeira_Ocorrencia],1),"")</f>
        <v>46244</v>
      </c>
      <c r="H34" s="204" t="str">
        <f t="shared" si="0"/>
        <v>OK — 12+</v>
      </c>
      <c r="I34" s="211" t="s">
        <v>8264</v>
      </c>
      <c r="J34" s="211" t="str">
        <f t="shared" si="1"/>
        <v>Manutenção semanal</v>
      </c>
    </row>
    <row r="35" spans="1:10" ht="28.8" x14ac:dyDescent="0.3">
      <c r="A35" s="204" t="s">
        <v>30</v>
      </c>
      <c r="B35" s="204" t="s">
        <v>31</v>
      </c>
      <c r="C35" s="204" t="s">
        <v>1376</v>
      </c>
      <c r="D35" s="205">
        <f>COUNTIFS(tblDados[País],A35,tblDados[Liga],B35,tblDados[Primeira_Ocorrencia],1)</f>
        <v>98</v>
      </c>
      <c r="E35" s="205" cm="1">
        <f t="array" ref="E35">IFERROR(ROWS(_xlfn.UNIQUE(_xlfn.VSTACK(_xlfn._xlws.FILTER(tblDados[Mandante],(tblDados[País]=A35)*(tblDados[Liga]=B35)*(tblDados[Primeira_Ocorrencia]=1)),_xlfn._xlws.FILTER(tblDados[Visitante],(tblDados[País]=A35)*(tblDados[Liga]=B35)*(tblDados[Primeira_Ocorrencia]=1))))),0)</f>
        <v>16</v>
      </c>
      <c r="F35" s="205" cm="1">
        <f t="array" ref="F35">_xlfn.LET(_xlpm.p,A35,_xlpm.l,B35,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35" s="206">
        <f>IFERROR(_xlfn.MAXIFS(tblDados[Data],tblDados[País],A35,tblDados[Liga],B35,tblDados[Primeira_Ocorrencia],1),"")</f>
        <v>46244</v>
      </c>
      <c r="H35" s="204" t="str">
        <f t="shared" si="0"/>
        <v>OK — 12+</v>
      </c>
      <c r="I35" s="211" t="s">
        <v>8264</v>
      </c>
      <c r="J35" s="211" t="str">
        <f t="shared" si="1"/>
        <v>Manutenção semanal</v>
      </c>
    </row>
    <row r="36" spans="1:10" ht="28.8" x14ac:dyDescent="0.3">
      <c r="A36" s="204" t="s">
        <v>30</v>
      </c>
      <c r="B36" s="204" t="s">
        <v>32</v>
      </c>
      <c r="C36" s="204" t="s">
        <v>1376</v>
      </c>
      <c r="D36" s="205">
        <f>COUNTIFS(tblDados[País],A36,tblDados[Liga],B36,tblDados[Primeira_Ocorrencia],1)</f>
        <v>98</v>
      </c>
      <c r="E36" s="205" cm="1">
        <f t="array" ref="E36">IFERROR(ROWS(_xlfn.UNIQUE(_xlfn.VSTACK(_xlfn._xlws.FILTER(tblDados[Mandante],(tblDados[País]=A36)*(tblDados[Liga]=B36)*(tblDados[Primeira_Ocorrencia]=1)),_xlfn._xlws.FILTER(tblDados[Visitante],(tblDados[País]=A36)*(tblDados[Liga]=B36)*(tblDados[Primeira_Ocorrencia]=1))))),0)</f>
        <v>16</v>
      </c>
      <c r="F36" s="205" cm="1">
        <f t="array" ref="F36">_xlfn.LET(_xlpm.p,A36,_xlpm.l,B36,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36" s="206">
        <f>IFERROR(_xlfn.MAXIFS(tblDados[Data],tblDados[País],A36,tblDados[Liga],B36,tblDados[Primeira_Ocorrencia],1),"")</f>
        <v>46244</v>
      </c>
      <c r="H36" s="204" t="str">
        <f t="shared" si="0"/>
        <v>OK — 12+</v>
      </c>
      <c r="I36" s="211" t="s">
        <v>8264</v>
      </c>
      <c r="J36" s="211" t="str">
        <f t="shared" si="1"/>
        <v>Manutenção semanal</v>
      </c>
    </row>
    <row r="37" spans="1:10" ht="28.8" x14ac:dyDescent="0.3">
      <c r="A37" s="204" t="s">
        <v>30</v>
      </c>
      <c r="B37" s="204" t="s">
        <v>33</v>
      </c>
      <c r="C37" s="204" t="s">
        <v>1376</v>
      </c>
      <c r="D37" s="205">
        <f>COUNTIFS(tblDados[País],A37,tblDados[Liga],B37,tblDados[Primeira_Ocorrencia],1)</f>
        <v>97</v>
      </c>
      <c r="E37" s="205" cm="1">
        <f t="array" ref="E37">IFERROR(ROWS(_xlfn.UNIQUE(_xlfn.VSTACK(_xlfn._xlws.FILTER(tblDados[Mandante],(tblDados[País]=A37)*(tblDados[Liga]=B37)*(tblDados[Primeira_Ocorrencia]=1)),_xlfn._xlws.FILTER(tblDados[Visitante],(tblDados[País]=A37)*(tblDados[Liga]=B37)*(tblDados[Primeira_Ocorrencia]=1))))),0)</f>
        <v>16</v>
      </c>
      <c r="F37" s="205" cm="1">
        <f t="array" ref="F37">_xlfn.LET(_xlpm.p,A37,_xlpm.l,B37,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37" s="206">
        <f>IFERROR(_xlfn.MAXIFS(tblDados[Data],tblDados[País],A37,tblDados[Liga],B37,tblDados[Primeira_Ocorrencia],1),"")</f>
        <v>46243</v>
      </c>
      <c r="H37" s="204" t="str">
        <f t="shared" si="0"/>
        <v>OK — 12+</v>
      </c>
      <c r="I37" s="211" t="s">
        <v>8264</v>
      </c>
      <c r="J37" s="211" t="str">
        <f t="shared" si="1"/>
        <v>Manutenção semanal</v>
      </c>
    </row>
    <row r="38" spans="1:10" ht="28.8" x14ac:dyDescent="0.3">
      <c r="A38" s="204" t="s">
        <v>30</v>
      </c>
      <c r="B38" s="204" t="s">
        <v>34</v>
      </c>
      <c r="C38" s="204" t="s">
        <v>1376</v>
      </c>
      <c r="D38" s="205">
        <f>COUNTIFS(tblDados[País],A38,tblDados[Liga],B38,tblDados[Primeira_Ocorrencia],1)</f>
        <v>96</v>
      </c>
      <c r="E38" s="205" cm="1">
        <f t="array" ref="E38">IFERROR(ROWS(_xlfn.UNIQUE(_xlfn.VSTACK(_xlfn._xlws.FILTER(tblDados[Mandante],(tblDados[País]=A38)*(tblDados[Liga]=B38)*(tblDados[Primeira_Ocorrencia]=1)),_xlfn._xlws.FILTER(tblDados[Visitante],(tblDados[País]=A38)*(tblDados[Liga]=B38)*(tblDados[Primeira_Ocorrencia]=1))))),0)</f>
        <v>16</v>
      </c>
      <c r="F38" s="205" cm="1">
        <f t="array" ref="F38">_xlfn.LET(_xlpm.p,A38,_xlpm.l,B38,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38" s="206">
        <f>IFERROR(_xlfn.MAXIFS(tblDados[Data],tblDados[País],A38,tblDados[Liga],B38,tblDados[Primeira_Ocorrencia],1),"")</f>
        <v>46243</v>
      </c>
      <c r="H38" s="204" t="str">
        <f t="shared" si="0"/>
        <v>OK — 12+</v>
      </c>
      <c r="I38" s="211" t="s">
        <v>8264</v>
      </c>
      <c r="J38" s="211" t="str">
        <f t="shared" si="1"/>
        <v>Manutenção semanal</v>
      </c>
    </row>
    <row r="39" spans="1:10" ht="28.8" x14ac:dyDescent="0.3">
      <c r="A39" s="204" t="s">
        <v>30</v>
      </c>
      <c r="B39" s="204" t="s">
        <v>35</v>
      </c>
      <c r="C39" s="204" t="s">
        <v>1376</v>
      </c>
      <c r="D39" s="205">
        <f>COUNTIFS(tblDados[País],A39,tblDados[Liga],B39,tblDados[Primeira_Ocorrencia],1)</f>
        <v>85</v>
      </c>
      <c r="E39" s="205" cm="1">
        <f t="array" ref="E39">IFERROR(ROWS(_xlfn.UNIQUE(_xlfn.VSTACK(_xlfn._xlws.FILTER(tblDados[Mandante],(tblDados[País]=A39)*(tblDados[Liga]=B39)*(tblDados[Primeira_Ocorrencia]=1)),_xlfn._xlws.FILTER(tblDados[Visitante],(tblDados[País]=A39)*(tblDados[Liga]=B39)*(tblDados[Primeira_Ocorrencia]=1))))),0)</f>
        <v>14</v>
      </c>
      <c r="F39" s="205" cm="1">
        <f t="array" ref="F39">_xlfn.LET(_xlpm.p,A39,_xlpm.l,B39,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39" s="206">
        <f>IFERROR(_xlfn.MAXIFS(tblDados[Data],tblDados[País],A39,tblDados[Liga],B39,tblDados[Primeira_Ocorrencia],1),"")</f>
        <v>46243</v>
      </c>
      <c r="H39" s="204" t="str">
        <f t="shared" si="0"/>
        <v>OK — 12+</v>
      </c>
      <c r="I39" s="211" t="s">
        <v>8264</v>
      </c>
      <c r="J39" s="211" t="str">
        <f t="shared" si="1"/>
        <v>Manutenção semanal</v>
      </c>
    </row>
    <row r="40" spans="1:10" ht="28.8" x14ac:dyDescent="0.3">
      <c r="A40" s="204" t="s">
        <v>30</v>
      </c>
      <c r="B40" s="204" t="s">
        <v>6186</v>
      </c>
      <c r="C40" s="204" t="s">
        <v>1376</v>
      </c>
      <c r="D40" s="205">
        <f>COUNTIFS(tblDados[País],A40,tblDados[Liga],B40,tblDados[Primeira_Ocorrencia],1)</f>
        <v>84</v>
      </c>
      <c r="E40" s="205" cm="1">
        <f t="array" ref="E40">IFERROR(ROWS(_xlfn.UNIQUE(_xlfn.VSTACK(_xlfn._xlws.FILTER(tblDados[Mandante],(tblDados[País]=A40)*(tblDados[Liga]=B40)*(tblDados[Primeira_Ocorrencia]=1)),_xlfn._xlws.FILTER(tblDados[Visitante],(tblDados[País]=A40)*(tblDados[Liga]=B40)*(tblDados[Primeira_Ocorrencia]=1))))),0)</f>
        <v>14</v>
      </c>
      <c r="F40" s="205" cm="1">
        <f t="array" ref="F40">_xlfn.LET(_xlpm.p,A40,_xlpm.l,B40,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40" s="206">
        <f>IFERROR(_xlfn.MAXIFS(tblDados[Data],tblDados[País],A40,tblDados[Liga],B40,tblDados[Primeira_Ocorrencia],1),"")</f>
        <v>46243</v>
      </c>
      <c r="H40" s="204" t="str">
        <f t="shared" si="0"/>
        <v>OK — 12+</v>
      </c>
      <c r="I40" s="211" t="s">
        <v>8264</v>
      </c>
      <c r="J40" s="211" t="str">
        <f t="shared" si="1"/>
        <v>Manutenção semanal</v>
      </c>
    </row>
    <row r="41" spans="1:10" ht="28.8" x14ac:dyDescent="0.3">
      <c r="A41" s="204" t="s">
        <v>30</v>
      </c>
      <c r="B41" s="204" t="s">
        <v>36</v>
      </c>
      <c r="C41" s="204" t="s">
        <v>1376</v>
      </c>
      <c r="D41" s="205">
        <f>COUNTIFS(tblDados[País],A41,tblDados[Liga],B41,tblDados[Primeira_Ocorrencia],1)</f>
        <v>84</v>
      </c>
      <c r="E41" s="205" cm="1">
        <f t="array" ref="E41">IFERROR(ROWS(_xlfn.UNIQUE(_xlfn.VSTACK(_xlfn._xlws.FILTER(tblDados[Mandante],(tblDados[País]=A41)*(tblDados[Liga]=B41)*(tblDados[Primeira_Ocorrencia]=1)),_xlfn._xlws.FILTER(tblDados[Visitante],(tblDados[País]=A41)*(tblDados[Liga]=B41)*(tblDados[Primeira_Ocorrencia]=1))))),0)</f>
        <v>14</v>
      </c>
      <c r="F41" s="205" cm="1">
        <f t="array" ref="F41">_xlfn.LET(_xlpm.p,A41,_xlpm.l,B41,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41" s="206">
        <f>IFERROR(_xlfn.MAXIFS(tblDados[Data],tblDados[País],A41,tblDados[Liga],B41,tblDados[Primeira_Ocorrencia],1),"")</f>
        <v>46243</v>
      </c>
      <c r="H41" s="204" t="str">
        <f t="shared" si="0"/>
        <v>OK — 12+</v>
      </c>
      <c r="I41" s="211" t="s">
        <v>8264</v>
      </c>
      <c r="J41" s="211" t="str">
        <f t="shared" si="1"/>
        <v>Manutenção semanal</v>
      </c>
    </row>
    <row r="42" spans="1:10" ht="28.8" x14ac:dyDescent="0.3">
      <c r="A42" s="204" t="s">
        <v>37</v>
      </c>
      <c r="B42" s="204" t="s">
        <v>38</v>
      </c>
      <c r="C42" s="204" t="s">
        <v>1376</v>
      </c>
      <c r="D42" s="205">
        <f>COUNTIFS(tblDados[País],A42,tblDados[Liga],B42,tblDados[Primeira_Ocorrencia],1)</f>
        <v>1</v>
      </c>
      <c r="E42" s="205" cm="1">
        <f t="array" ref="E42">IFERROR(ROWS(_xlfn.UNIQUE(_xlfn.VSTACK(_xlfn._xlws.FILTER(tblDados[Mandante],(tblDados[País]=A42)*(tblDados[Liga]=B42)*(tblDados[Primeira_Ocorrencia]=1)),_xlfn._xlws.FILTER(tblDados[Visitante],(tblDados[País]=A42)*(tblDados[Liga]=B42)*(tblDados[Primeira_Ocorrencia]=1))))),0)</f>
        <v>2</v>
      </c>
      <c r="F42" s="205" cm="1">
        <f t="array" ref="F42">_xlfn.LET(_xlpm.p,A42,_xlpm.l,B42,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v>
      </c>
      <c r="G42" s="206">
        <f>IFERROR(_xlfn.MAXIFS(tblDados[Data],tblDados[País],A42,tblDados[Liga],B42,tblDados[Primeira_Ocorrencia],1),"")</f>
        <v>46234</v>
      </c>
      <c r="H42" s="204" t="str">
        <f t="shared" si="0"/>
        <v>REVISAR</v>
      </c>
      <c r="I42" s="211" t="s">
        <v>8264</v>
      </c>
      <c r="J42" s="211" t="str">
        <f t="shared" si="1"/>
        <v>Completar janela</v>
      </c>
    </row>
    <row r="43" spans="1:10" ht="28.8" x14ac:dyDescent="0.3">
      <c r="A43" s="204" t="s">
        <v>39</v>
      </c>
      <c r="B43" s="204" t="s">
        <v>3705</v>
      </c>
      <c r="C43" s="204" t="s">
        <v>1376</v>
      </c>
      <c r="D43" s="205">
        <f>COUNTIFS(tblDados[País],A43,tblDados[Liga],B43,tblDados[Primeira_Ocorrencia],1)</f>
        <v>79</v>
      </c>
      <c r="E43" s="205" cm="1">
        <f t="array" ref="E43">IFERROR(ROWS(_xlfn.UNIQUE(_xlfn.VSTACK(_xlfn._xlws.FILTER(tblDados[Mandante],(tblDados[País]=A43)*(tblDados[Liga]=B43)*(tblDados[Primeira_Ocorrencia]=1)),_xlfn._xlws.FILTER(tblDados[Visitante],(tblDados[País]=A43)*(tblDados[Liga]=B43)*(tblDados[Primeira_Ocorrencia]=1))))),0)</f>
        <v>15</v>
      </c>
      <c r="F43" s="205" cm="1">
        <f t="array" ref="F43">_xlfn.LET(_xlpm.p,A43,_xlpm.l,B43,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9</v>
      </c>
      <c r="G43" s="206">
        <f>IFERROR(_xlfn.MAXIFS(tblDados[Data],tblDados[País],A43,tblDados[Liga],B43,tblDados[Primeira_Ocorrencia],1),"")</f>
        <v>46235</v>
      </c>
      <c r="H43" s="204" t="str">
        <f t="shared" si="0"/>
        <v>REVISAR</v>
      </c>
      <c r="I43" s="211" t="s">
        <v>8264</v>
      </c>
      <c r="J43" s="211" t="str">
        <f t="shared" si="1"/>
        <v>Completar janela</v>
      </c>
    </row>
    <row r="44" spans="1:10" ht="28.8" x14ac:dyDescent="0.3">
      <c r="A44" s="204" t="s">
        <v>39</v>
      </c>
      <c r="B44" s="204" t="s">
        <v>3707</v>
      </c>
      <c r="C44" s="204" t="s">
        <v>1376</v>
      </c>
      <c r="D44" s="205">
        <f>COUNTIFS(tblDados[País],A44,tblDados[Liga],B44,tblDados[Primeira_Ocorrencia],1)</f>
        <v>80</v>
      </c>
      <c r="E44" s="205" cm="1">
        <f t="array" ref="E44">IFERROR(ROWS(_xlfn.UNIQUE(_xlfn.VSTACK(_xlfn._xlws.FILTER(tblDados[Mandante],(tblDados[País]=A44)*(tblDados[Liga]=B44)*(tblDados[Primeira_Ocorrencia]=1)),_xlfn._xlws.FILTER(tblDados[Visitante],(tblDados[País]=A44)*(tblDados[Liga]=B44)*(tblDados[Primeira_Ocorrencia]=1))))),0)</f>
        <v>15</v>
      </c>
      <c r="F44" s="205" cm="1">
        <f t="array" ref="F44">_xlfn.LET(_xlpm.p,A44,_xlpm.l,B44,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9</v>
      </c>
      <c r="G44" s="206">
        <f>IFERROR(_xlfn.MAXIFS(tblDados[Data],tblDados[País],A44,tblDados[Liga],B44,tblDados[Primeira_Ocorrencia],1),"")</f>
        <v>46235</v>
      </c>
      <c r="H44" s="204" t="str">
        <f t="shared" si="0"/>
        <v>REVISAR</v>
      </c>
      <c r="I44" s="211" t="s">
        <v>8264</v>
      </c>
      <c r="J44" s="211" t="str">
        <f t="shared" si="1"/>
        <v>Completar janela</v>
      </c>
    </row>
    <row r="45" spans="1:10" ht="28.8" x14ac:dyDescent="0.3">
      <c r="A45" s="204" t="s">
        <v>39</v>
      </c>
      <c r="B45" s="204" t="s">
        <v>3706</v>
      </c>
      <c r="C45" s="204" t="s">
        <v>1376</v>
      </c>
      <c r="D45" s="205">
        <f>COUNTIFS(tblDados[País],A45,tblDados[Liga],B45,tblDados[Primeira_Ocorrencia],1)</f>
        <v>25</v>
      </c>
      <c r="E45" s="205" cm="1">
        <f t="array" ref="E45">IFERROR(ROWS(_xlfn.UNIQUE(_xlfn.VSTACK(_xlfn._xlws.FILTER(tblDados[Mandante],(tblDados[País]=A45)*(tblDados[Liga]=B45)*(tblDados[Primeira_Ocorrencia]=1)),_xlfn._xlws.FILTER(tblDados[Visitante],(tblDados[País]=A45)*(tblDados[Liga]=B45)*(tblDados[Primeira_Ocorrencia]=1))))),0)</f>
        <v>29</v>
      </c>
      <c r="F45" s="205" cm="1">
        <f t="array" ref="F45">_xlfn.LET(_xlpm.p,A45,_xlpm.l,B45,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v>
      </c>
      <c r="G45" s="206">
        <f>IFERROR(_xlfn.MAXIFS(tblDados[Data],tblDados[País],A45,tblDados[Liga],B45,tblDados[Primeira_Ocorrencia],1),"")</f>
        <v>46242</v>
      </c>
      <c r="H45" s="204" t="str">
        <f t="shared" si="0"/>
        <v>REVISAR</v>
      </c>
      <c r="I45" s="211" t="s">
        <v>8264</v>
      </c>
      <c r="J45" s="211" t="str">
        <f t="shared" si="1"/>
        <v>Completar janela</v>
      </c>
    </row>
    <row r="46" spans="1:10" ht="28.8" x14ac:dyDescent="0.3">
      <c r="A46" s="204" t="s">
        <v>891</v>
      </c>
      <c r="B46" s="204" t="s">
        <v>892</v>
      </c>
      <c r="C46" s="204" t="s">
        <v>1376</v>
      </c>
      <c r="D46" s="205">
        <f>COUNTIFS(tblDados[País],A46,tblDados[Liga],B46,tblDados[Primeira_Ocorrencia],1)</f>
        <v>100</v>
      </c>
      <c r="E46" s="205" cm="1">
        <f t="array" ref="E46">IFERROR(ROWS(_xlfn.UNIQUE(_xlfn.VSTACK(_xlfn._xlws.FILTER(tblDados[Mandante],(tblDados[País]=A46)*(tblDados[Liga]=B46)*(tblDados[Primeira_Ocorrencia]=1)),_xlfn._xlws.FILTER(tblDados[Visitante],(tblDados[País]=A46)*(tblDados[Liga]=B46)*(tblDados[Primeira_Ocorrencia]=1))))),0)</f>
        <v>16</v>
      </c>
      <c r="F46" s="205" cm="1">
        <f t="array" ref="F46">_xlfn.LET(_xlpm.p,A46,_xlpm.l,B46,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46" s="206">
        <f>IFERROR(_xlfn.MAXIFS(tblDados[Data],tblDados[País],A46,tblDados[Liga],B46,tblDados[Primeira_Ocorrencia],1),"")</f>
        <v>46243</v>
      </c>
      <c r="H46" s="204" t="str">
        <f t="shared" si="0"/>
        <v>OK — 12+</v>
      </c>
      <c r="I46" s="211" t="s">
        <v>8264</v>
      </c>
      <c r="J46" s="211" t="str">
        <f t="shared" si="1"/>
        <v>Manutenção semanal</v>
      </c>
    </row>
    <row r="47" spans="1:10" ht="28.8" x14ac:dyDescent="0.3">
      <c r="A47" s="204" t="s">
        <v>891</v>
      </c>
      <c r="B47" s="204" t="s">
        <v>7664</v>
      </c>
      <c r="C47" s="204" t="s">
        <v>1376</v>
      </c>
      <c r="D47" s="205">
        <f>COUNTIFS(tblDados[País],A47,tblDados[Liga],B47,tblDados[Primeira_Ocorrencia],1)</f>
        <v>99</v>
      </c>
      <c r="E47" s="205" cm="1">
        <f t="array" ref="E47">IFERROR(ROWS(_xlfn.UNIQUE(_xlfn.VSTACK(_xlfn._xlws.FILTER(tblDados[Mandante],(tblDados[País]=A47)*(tblDados[Liga]=B47)*(tblDados[Primeira_Ocorrencia]=1)),_xlfn._xlws.FILTER(tblDados[Visitante],(tblDados[País]=A47)*(tblDados[Liga]=B47)*(tblDados[Primeira_Ocorrencia]=1))))),0)</f>
        <v>16</v>
      </c>
      <c r="F47" s="205" cm="1">
        <f t="array" ref="F47">_xlfn.LET(_xlpm.p,A47,_xlpm.l,B47,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47" s="206">
        <f>IFERROR(_xlfn.MAXIFS(tblDados[Data],tblDados[País],A47,tblDados[Liga],B47,tblDados[Primeira_Ocorrencia],1),"")</f>
        <v>46243</v>
      </c>
      <c r="H47" s="204" t="str">
        <f t="shared" si="0"/>
        <v>OK — 12+</v>
      </c>
      <c r="I47" s="211" t="s">
        <v>8264</v>
      </c>
      <c r="J47" s="211" t="str">
        <f t="shared" si="1"/>
        <v>Manutenção semanal</v>
      </c>
    </row>
    <row r="48" spans="1:10" ht="28.8" x14ac:dyDescent="0.3">
      <c r="A48" s="204" t="s">
        <v>7</v>
      </c>
      <c r="B48" s="204" t="s">
        <v>2274</v>
      </c>
      <c r="C48" s="204" t="s">
        <v>1366</v>
      </c>
      <c r="D48" s="205">
        <f>COUNTIFS(tblDados[País],A48,tblDados[Liga],B48,tblDados[Primeira_Ocorrencia],1)</f>
        <v>97</v>
      </c>
      <c r="E48" s="205" cm="1">
        <f t="array" ref="E48">IFERROR(ROWS(_xlfn.UNIQUE(_xlfn.VSTACK(_xlfn._xlws.FILTER(tblDados[Mandante],(tblDados[País]=A48)*(tblDados[Liga]=B48)*(tblDados[Primeira_Ocorrencia]=1)),_xlfn._xlws.FILTER(tblDados[Visitante],(tblDados[País]=A48)*(tblDados[Liga]=B48)*(tblDados[Primeira_Ocorrencia]=1))))),0)</f>
        <v>16</v>
      </c>
      <c r="F48" s="205" cm="1">
        <f t="array" ref="F48">_xlfn.LET(_xlpm.p,A48,_xlpm.l,B48,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48" s="206">
        <f>IFERROR(_xlfn.MAXIFS(tblDados[Data],tblDados[País],A48,tblDados[Liga],B48,tblDados[Primeira_Ocorrencia],1),"")</f>
        <v>46242</v>
      </c>
      <c r="H48" s="204" t="str">
        <f t="shared" si="0"/>
        <v>OK — 12+</v>
      </c>
      <c r="I48" s="211" t="s">
        <v>8264</v>
      </c>
      <c r="J48" s="211" t="str">
        <f t="shared" si="1"/>
        <v>Manutenção semanal</v>
      </c>
    </row>
    <row r="49" spans="1:10" ht="28.8" x14ac:dyDescent="0.3">
      <c r="A49" s="204" t="s">
        <v>7</v>
      </c>
      <c r="B49" s="204" t="s">
        <v>8</v>
      </c>
      <c r="C49" s="204" t="s">
        <v>1366</v>
      </c>
      <c r="D49" s="205">
        <f>COUNTIFS(tblDados[País],A49,tblDados[Liga],B49,tblDados[Primeira_Ocorrencia],1)</f>
        <v>99</v>
      </c>
      <c r="E49" s="205" cm="1">
        <f t="array" ref="E49">IFERROR(ROWS(_xlfn.UNIQUE(_xlfn.VSTACK(_xlfn._xlws.FILTER(tblDados[Mandante],(tblDados[País]=A49)*(tblDados[Liga]=B49)*(tblDados[Primeira_Ocorrencia]=1)),_xlfn._xlws.FILTER(tblDados[Visitante],(tblDados[País]=A49)*(tblDados[Liga]=B49)*(tblDados[Primeira_Ocorrencia]=1))))),0)</f>
        <v>13</v>
      </c>
      <c r="F49" s="205" cm="1">
        <f t="array" ref="F49">_xlfn.LET(_xlpm.p,A49,_xlpm.l,B49,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v>
      </c>
      <c r="G49" s="206">
        <f>IFERROR(_xlfn.MAXIFS(tblDados[Data],tblDados[País],A49,tblDados[Liga],B49,tblDados[Primeira_Ocorrencia],1),"")</f>
        <v>46241</v>
      </c>
      <c r="H49" s="204" t="str">
        <f t="shared" si="0"/>
        <v>REVISAR</v>
      </c>
      <c r="I49" s="211" t="s">
        <v>8264</v>
      </c>
      <c r="J49" s="211" t="str">
        <f t="shared" si="1"/>
        <v>Completar janela</v>
      </c>
    </row>
    <row r="50" spans="1:10" ht="28.8" x14ac:dyDescent="0.3">
      <c r="A50" s="204" t="s">
        <v>7</v>
      </c>
      <c r="B50" s="204" t="s">
        <v>972</v>
      </c>
      <c r="C50" s="204" t="s">
        <v>1366</v>
      </c>
      <c r="D50" s="205">
        <f>COUNTIFS(tblDados[País],A50,tblDados[Liga],B50,tblDados[Primeira_Ocorrencia],1)</f>
        <v>22</v>
      </c>
      <c r="E50" s="205" cm="1">
        <f t="array" ref="E50">IFERROR(ROWS(_xlfn.UNIQUE(_xlfn.VSTACK(_xlfn._xlws.FILTER(tblDados[Mandante],(tblDados[País]=A50)*(tblDados[Liga]=B50)*(tblDados[Primeira_Ocorrencia]=1)),_xlfn._xlws.FILTER(tblDados[Visitante],(tblDados[País]=A50)*(tblDados[Liga]=B50)*(tblDados[Primeira_Ocorrencia]=1))))),0)</f>
        <v>14</v>
      </c>
      <c r="F50" s="205" cm="1">
        <f t="array" ref="F50">_xlfn.LET(_xlpm.p,A50,_xlpm.l,B50,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v>
      </c>
      <c r="G50" s="206">
        <f>IFERROR(_xlfn.MAXIFS(tblDados[Data],tblDados[País],A50,tblDados[Liga],B50,tblDados[Primeira_Ocorrencia],1),"")</f>
        <v>46241</v>
      </c>
      <c r="H50" s="204" t="str">
        <f t="shared" si="0"/>
        <v>REVISAR</v>
      </c>
      <c r="I50" s="211" t="s">
        <v>8264</v>
      </c>
      <c r="J50" s="211" t="str">
        <f t="shared" si="1"/>
        <v>Completar janela</v>
      </c>
    </row>
    <row r="51" spans="1:10" ht="28.8" x14ac:dyDescent="0.3">
      <c r="A51" s="204" t="s">
        <v>7</v>
      </c>
      <c r="B51" s="204" t="s">
        <v>9</v>
      </c>
      <c r="C51" s="204" t="s">
        <v>1376</v>
      </c>
      <c r="D51" s="205">
        <f>COUNTIFS(tblDados[País],A51,tblDados[Liga],B51,tblDados[Primeira_Ocorrencia],1)</f>
        <v>86</v>
      </c>
      <c r="E51" s="205" cm="1">
        <f t="array" ref="E51">IFERROR(ROWS(_xlfn.UNIQUE(_xlfn.VSTACK(_xlfn._xlws.FILTER(tblDados[Mandante],(tblDados[País]=A51)*(tblDados[Liga]=B51)*(tblDados[Primeira_Ocorrencia]=1)),_xlfn._xlws.FILTER(tblDados[Visitante],(tblDados[País]=A51)*(tblDados[Liga]=B51)*(tblDados[Primeira_Ocorrencia]=1))))),0)</f>
        <v>14</v>
      </c>
      <c r="F51" s="205" cm="1">
        <f t="array" ref="F51">_xlfn.LET(_xlpm.p,A51,_xlpm.l,B51,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51" s="206">
        <f>IFERROR(_xlfn.MAXIFS(tblDados[Data],tblDados[País],A51,tblDados[Liga],B51,tblDados[Primeira_Ocorrencia],1),"")</f>
        <v>46236</v>
      </c>
      <c r="H51" s="204" t="str">
        <f t="shared" si="0"/>
        <v>OK — 12+</v>
      </c>
      <c r="I51" s="211" t="s">
        <v>8264</v>
      </c>
      <c r="J51" s="211" t="str">
        <f t="shared" si="1"/>
        <v>Manutenção semanal</v>
      </c>
    </row>
    <row r="52" spans="1:10" ht="28.8" x14ac:dyDescent="0.3">
      <c r="A52" s="207" t="s">
        <v>7</v>
      </c>
      <c r="B52" s="207" t="s">
        <v>1425</v>
      </c>
      <c r="C52" s="207" t="s">
        <v>1366</v>
      </c>
      <c r="D52" s="208">
        <f>COUNTIFS(tblDados[País],A52,tblDados[Liga],B52,tblDados[Primeira_Ocorrencia],1)</f>
        <v>17</v>
      </c>
      <c r="E52" s="208" cm="1">
        <f t="array" ref="E52">IFERROR(ROWS(_xlfn.UNIQUE(_xlfn.VSTACK(_xlfn._xlws.FILTER(tblDados[Mandante],(tblDados[País]=A52)*(tblDados[Liga]=B52)*(tblDados[Primeira_Ocorrencia]=1)),_xlfn._xlws.FILTER(tblDados[Visitante],(tblDados[País]=A52)*(tblDados[Liga]=B52)*(tblDados[Primeira_Ocorrencia]=1))))),0)</f>
        <v>12</v>
      </c>
      <c r="F52" s="208" cm="1">
        <f t="array" ref="F52">_xlfn.LET(_xlpm.p,A52,_xlpm.l,B52,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v>
      </c>
      <c r="G52" s="209">
        <f>IFERROR(_xlfn.MAXIFS(tblDados[Data],tblDados[País],A52,tblDados[Liga],B52,tblDados[Primeira_Ocorrencia],1),"")</f>
        <v>46235</v>
      </c>
      <c r="H52" s="207" t="str">
        <f t="shared" si="0"/>
        <v>REVISAR</v>
      </c>
      <c r="I52" s="212" t="s">
        <v>8264</v>
      </c>
      <c r="J52" s="212" t="str">
        <f t="shared" si="1"/>
        <v>Completar janela</v>
      </c>
    </row>
    <row r="54" spans="1:10" x14ac:dyDescent="0.3">
      <c r="A54" s="232" t="s">
        <v>8265</v>
      </c>
      <c r="B54" s="232"/>
      <c r="C54" s="232"/>
      <c r="D54" s="232"/>
      <c r="E54" s="232"/>
      <c r="F54" s="232"/>
      <c r="G54" s="232"/>
      <c r="H54" s="232"/>
      <c r="I54" s="232"/>
      <c r="J54" s="232"/>
    </row>
    <row r="55" spans="1:10" x14ac:dyDescent="0.3">
      <c r="A55" s="234" t="s">
        <v>8266</v>
      </c>
      <c r="B55" s="234"/>
      <c r="C55" s="234"/>
      <c r="D55" s="234"/>
      <c r="E55" s="234"/>
      <c r="F55" s="234"/>
      <c r="G55" s="234"/>
      <c r="H55" s="234"/>
      <c r="I55" s="234"/>
      <c r="J55" s="234"/>
    </row>
    <row r="56" spans="1:10" x14ac:dyDescent="0.3">
      <c r="A56" s="234"/>
      <c r="B56" s="234"/>
      <c r="C56" s="234"/>
      <c r="D56" s="234"/>
      <c r="E56" s="234"/>
      <c r="F56" s="234"/>
      <c r="G56" s="234"/>
      <c r="H56" s="234"/>
      <c r="I56" s="234"/>
      <c r="J56" s="234"/>
    </row>
    <row r="57" spans="1:10" x14ac:dyDescent="0.3">
      <c r="A57" s="234"/>
      <c r="B57" s="234"/>
      <c r="C57" s="234"/>
      <c r="D57" s="234"/>
      <c r="E57" s="234"/>
      <c r="F57" s="234"/>
      <c r="G57" s="234"/>
      <c r="H57" s="234"/>
      <c r="I57" s="234"/>
      <c r="J57" s="234"/>
    </row>
    <row r="59" spans="1:10" x14ac:dyDescent="0.3">
      <c r="A59" s="232" t="s">
        <v>8267</v>
      </c>
      <c r="B59" s="232"/>
      <c r="C59" s="232"/>
      <c r="D59" s="232"/>
      <c r="E59" s="232"/>
      <c r="F59" s="232"/>
      <c r="G59" s="232"/>
      <c r="H59" s="232"/>
      <c r="I59" s="232"/>
      <c r="J59" s="232"/>
    </row>
    <row r="60" spans="1:10" x14ac:dyDescent="0.3">
      <c r="A60" s="235" t="s">
        <v>8268</v>
      </c>
      <c r="B60" s="235"/>
      <c r="C60" s="235"/>
      <c r="D60" s="235"/>
      <c r="E60" s="235"/>
      <c r="F60" s="235"/>
      <c r="G60" s="235"/>
      <c r="H60" s="235"/>
      <c r="I60" s="235"/>
      <c r="J60" s="235"/>
    </row>
    <row r="61" spans="1:10" x14ac:dyDescent="0.3">
      <c r="A61" s="235"/>
      <c r="B61" s="235"/>
      <c r="C61" s="235"/>
      <c r="D61" s="235"/>
      <c r="E61" s="235"/>
      <c r="F61" s="235"/>
      <c r="G61" s="235"/>
      <c r="H61" s="235"/>
      <c r="I61" s="235"/>
      <c r="J61" s="235"/>
    </row>
  </sheetData>
  <mergeCells count="14">
    <mergeCell ref="I9:J9"/>
    <mergeCell ref="I10:J11"/>
    <mergeCell ref="A1:J1"/>
    <mergeCell ref="A2:J2"/>
    <mergeCell ref="A4:J4"/>
    <mergeCell ref="A5:J6"/>
    <mergeCell ref="A8:J8"/>
    <mergeCell ref="A9:C11"/>
    <mergeCell ref="E9:G11"/>
    <mergeCell ref="A13:J13"/>
    <mergeCell ref="A54:J54"/>
    <mergeCell ref="A55:J57"/>
    <mergeCell ref="A59:J59"/>
    <mergeCell ref="A60:J61"/>
  </mergeCells>
  <conditionalFormatting sqref="H15:H52">
    <cfRule type="expression" dxfId="239" priority="1">
      <formula>$H15="OK — 12+"</formula>
    </cfRule>
    <cfRule type="expression" dxfId="238" priority="2">
      <formula>$H15="REVISAR"</formula>
    </cfRule>
  </conditionalFormatting>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7F9F0-004A-4AF9-920E-7FE44323F097}">
  <dimension ref="A1:D126"/>
  <sheetViews>
    <sheetView workbookViewId="0">
      <selection activeCell="R57" sqref="R57"/>
    </sheetView>
  </sheetViews>
  <sheetFormatPr defaultRowHeight="14.4" x14ac:dyDescent="0.3"/>
  <cols>
    <col min="1" max="4" width="37" customWidth="1"/>
    <col min="5" max="8" width="24.109375" customWidth="1"/>
  </cols>
  <sheetData>
    <row r="1" spans="1:4" ht="31.95" customHeight="1" x14ac:dyDescent="0.45">
      <c r="A1" s="241" t="s">
        <v>3162</v>
      </c>
      <c r="B1" s="241"/>
      <c r="C1" s="241"/>
      <c r="D1" s="241"/>
    </row>
    <row r="2" spans="1:4" ht="14.4" customHeight="1" x14ac:dyDescent="0.3">
      <c r="A2" s="242" t="s">
        <v>3163</v>
      </c>
      <c r="B2" s="242"/>
      <c r="C2" s="242"/>
      <c r="D2" s="242"/>
    </row>
    <row r="4" spans="1:4" ht="24" customHeight="1" x14ac:dyDescent="0.3">
      <c r="A4" s="240" t="s">
        <v>3164</v>
      </c>
      <c r="B4" s="240"/>
      <c r="C4" s="240"/>
      <c r="D4" s="240"/>
    </row>
    <row r="5" spans="1:4" ht="37.950000000000003" customHeight="1" x14ac:dyDescent="0.3">
      <c r="A5" s="243" t="s">
        <v>3165</v>
      </c>
      <c r="B5" s="243"/>
      <c r="C5" s="243"/>
      <c r="D5" s="243"/>
    </row>
    <row r="7" spans="1:4" ht="24" customHeight="1" x14ac:dyDescent="0.3">
      <c r="A7" s="240" t="s">
        <v>3166</v>
      </c>
      <c r="B7" s="240"/>
      <c r="C7" s="240"/>
      <c r="D7" s="240"/>
    </row>
    <row r="8" spans="1:4" ht="43.2" x14ac:dyDescent="0.3">
      <c r="A8" s="28">
        <v>1</v>
      </c>
      <c r="B8" t="s">
        <v>3167</v>
      </c>
      <c r="C8" s="168" t="s">
        <v>3168</v>
      </c>
    </row>
    <row r="9" spans="1:4" ht="43.2" x14ac:dyDescent="0.3">
      <c r="A9" s="28">
        <v>2</v>
      </c>
      <c r="B9" t="s">
        <v>3169</v>
      </c>
      <c r="C9" s="168" t="s">
        <v>3170</v>
      </c>
    </row>
    <row r="10" spans="1:4" ht="43.2" x14ac:dyDescent="0.3">
      <c r="A10" s="28">
        <v>3</v>
      </c>
      <c r="B10" t="s">
        <v>3171</v>
      </c>
      <c r="C10" s="168" t="s">
        <v>3172</v>
      </c>
    </row>
    <row r="11" spans="1:4" ht="57.6" x14ac:dyDescent="0.3">
      <c r="A11" s="28">
        <v>4</v>
      </c>
      <c r="B11" t="s">
        <v>3173</v>
      </c>
      <c r="C11" s="168" t="s">
        <v>3174</v>
      </c>
    </row>
    <row r="12" spans="1:4" ht="57.6" x14ac:dyDescent="0.3">
      <c r="A12" s="28">
        <v>5</v>
      </c>
      <c r="B12" t="s">
        <v>3175</v>
      </c>
      <c r="C12" s="168" t="s">
        <v>3176</v>
      </c>
    </row>
    <row r="13" spans="1:4" ht="43.2" x14ac:dyDescent="0.3">
      <c r="A13" s="28">
        <v>6</v>
      </c>
      <c r="B13" t="s">
        <v>3177</v>
      </c>
      <c r="C13" s="168" t="s">
        <v>3178</v>
      </c>
    </row>
    <row r="14" spans="1:4" ht="28.8" x14ac:dyDescent="0.3">
      <c r="A14" s="28">
        <v>7</v>
      </c>
      <c r="B14" t="s">
        <v>3179</v>
      </c>
      <c r="C14" s="168" t="s">
        <v>3180</v>
      </c>
    </row>
    <row r="15" spans="1:4" ht="28.8" x14ac:dyDescent="0.3">
      <c r="A15" s="28">
        <v>8</v>
      </c>
      <c r="B15" t="s">
        <v>3181</v>
      </c>
      <c r="C15" s="168" t="s">
        <v>3182</v>
      </c>
    </row>
    <row r="16" spans="1:4" ht="72" x14ac:dyDescent="0.3">
      <c r="A16" s="28">
        <v>9</v>
      </c>
      <c r="B16" t="s">
        <v>3183</v>
      </c>
      <c r="C16" s="168" t="s">
        <v>3184</v>
      </c>
    </row>
    <row r="17" spans="1:4" ht="57.6" x14ac:dyDescent="0.3">
      <c r="A17" s="28">
        <v>10</v>
      </c>
      <c r="B17" t="s">
        <v>3185</v>
      </c>
      <c r="C17" s="168" t="s">
        <v>3186</v>
      </c>
    </row>
    <row r="18" spans="1:4" ht="57.6" x14ac:dyDescent="0.3">
      <c r="A18" s="28">
        <v>11</v>
      </c>
      <c r="B18" t="s">
        <v>62</v>
      </c>
      <c r="C18" s="168" t="s">
        <v>3187</v>
      </c>
    </row>
    <row r="19" spans="1:4" ht="43.2" x14ac:dyDescent="0.3">
      <c r="A19" s="166">
        <v>12</v>
      </c>
      <c r="B19" s="101" t="s">
        <v>3188</v>
      </c>
      <c r="C19" s="169" t="s">
        <v>3189</v>
      </c>
    </row>
    <row r="21" spans="1:4" ht="24" customHeight="1" x14ac:dyDescent="0.3">
      <c r="A21" s="240" t="s">
        <v>3190</v>
      </c>
      <c r="B21" s="240"/>
      <c r="C21" s="240"/>
      <c r="D21" s="240"/>
    </row>
    <row r="22" spans="1:4" x14ac:dyDescent="0.3">
      <c r="A22" s="165" t="s">
        <v>3191</v>
      </c>
      <c r="B22" s="165" t="s">
        <v>3192</v>
      </c>
      <c r="C22" s="165" t="s">
        <v>3193</v>
      </c>
      <c r="D22" s="165" t="s">
        <v>3194</v>
      </c>
    </row>
    <row r="23" spans="1:4" x14ac:dyDescent="0.3">
      <c r="A23" t="s">
        <v>3195</v>
      </c>
      <c r="B23" t="s">
        <v>41</v>
      </c>
      <c r="C23" t="s">
        <v>3196</v>
      </c>
      <c r="D23" s="168" t="s">
        <v>3197</v>
      </c>
    </row>
    <row r="24" spans="1:4" ht="28.8" x14ac:dyDescent="0.3">
      <c r="A24" t="s">
        <v>3198</v>
      </c>
      <c r="B24" t="s">
        <v>812</v>
      </c>
      <c r="C24" t="s">
        <v>3196</v>
      </c>
      <c r="D24" s="168" t="s">
        <v>3199</v>
      </c>
    </row>
    <row r="25" spans="1:4" x14ac:dyDescent="0.3">
      <c r="A25" t="s">
        <v>3200</v>
      </c>
      <c r="B25" t="s">
        <v>0</v>
      </c>
      <c r="C25" t="s">
        <v>3196</v>
      </c>
      <c r="D25" s="168" t="s">
        <v>3201</v>
      </c>
    </row>
    <row r="26" spans="1:4" x14ac:dyDescent="0.3">
      <c r="A26" t="s">
        <v>3202</v>
      </c>
      <c r="B26" t="s">
        <v>745</v>
      </c>
      <c r="C26" t="s">
        <v>3196</v>
      </c>
      <c r="D26" s="168" t="s">
        <v>3203</v>
      </c>
    </row>
    <row r="27" spans="1:4" ht="28.8" x14ac:dyDescent="0.3">
      <c r="A27" t="s">
        <v>3204</v>
      </c>
      <c r="B27" t="s">
        <v>53</v>
      </c>
      <c r="C27" t="s">
        <v>3196</v>
      </c>
      <c r="D27" s="168" t="s">
        <v>3205</v>
      </c>
    </row>
    <row r="28" spans="1:4" ht="28.8" x14ac:dyDescent="0.3">
      <c r="A28" t="s">
        <v>3206</v>
      </c>
      <c r="B28" t="s">
        <v>870</v>
      </c>
      <c r="C28" t="s">
        <v>3207</v>
      </c>
      <c r="D28" s="168" t="s">
        <v>3208</v>
      </c>
    </row>
    <row r="29" spans="1:4" x14ac:dyDescent="0.3">
      <c r="A29" t="s">
        <v>3209</v>
      </c>
      <c r="B29" t="s">
        <v>813</v>
      </c>
      <c r="C29" t="s">
        <v>3196</v>
      </c>
      <c r="D29" s="168" t="s">
        <v>3210</v>
      </c>
    </row>
    <row r="30" spans="1:4" ht="28.8" x14ac:dyDescent="0.3">
      <c r="A30" t="s">
        <v>3211</v>
      </c>
      <c r="B30" t="s">
        <v>871</v>
      </c>
      <c r="C30" t="s">
        <v>3196</v>
      </c>
      <c r="D30" s="168" t="s">
        <v>3212</v>
      </c>
    </row>
    <row r="31" spans="1:4" ht="28.8" x14ac:dyDescent="0.3">
      <c r="A31" t="s">
        <v>3213</v>
      </c>
      <c r="B31" t="s">
        <v>872</v>
      </c>
      <c r="C31" t="s">
        <v>3214</v>
      </c>
      <c r="D31" s="168" t="s">
        <v>3215</v>
      </c>
    </row>
    <row r="32" spans="1:4" x14ac:dyDescent="0.3">
      <c r="A32" t="s">
        <v>3216</v>
      </c>
      <c r="B32" t="s">
        <v>875</v>
      </c>
      <c r="C32" t="s">
        <v>3217</v>
      </c>
      <c r="D32" s="168" t="s">
        <v>3218</v>
      </c>
    </row>
    <row r="33" spans="1:4" ht="28.8" x14ac:dyDescent="0.3">
      <c r="A33" t="s">
        <v>3219</v>
      </c>
      <c r="B33" t="s">
        <v>876</v>
      </c>
      <c r="C33" t="s">
        <v>3220</v>
      </c>
      <c r="D33" s="168" t="s">
        <v>3221</v>
      </c>
    </row>
    <row r="34" spans="1:4" x14ac:dyDescent="0.3">
      <c r="A34" t="s">
        <v>3222</v>
      </c>
      <c r="B34" t="s">
        <v>877</v>
      </c>
      <c r="C34" t="s">
        <v>3196</v>
      </c>
      <c r="D34" s="168" t="s">
        <v>3223</v>
      </c>
    </row>
    <row r="35" spans="1:4" ht="28.8" x14ac:dyDescent="0.3">
      <c r="A35" t="s">
        <v>3224</v>
      </c>
      <c r="B35" t="s">
        <v>873</v>
      </c>
      <c r="C35" t="s">
        <v>3220</v>
      </c>
      <c r="D35" s="168" t="s">
        <v>3225</v>
      </c>
    </row>
    <row r="36" spans="1:4" ht="28.8" x14ac:dyDescent="0.3">
      <c r="A36" t="s">
        <v>3226</v>
      </c>
      <c r="B36" t="s">
        <v>3227</v>
      </c>
      <c r="C36" t="s">
        <v>3228</v>
      </c>
      <c r="D36" s="168" t="s">
        <v>3229</v>
      </c>
    </row>
    <row r="37" spans="1:4" ht="28.8" x14ac:dyDescent="0.3">
      <c r="A37" s="101" t="s">
        <v>3230</v>
      </c>
      <c r="B37" s="101" t="s">
        <v>1494</v>
      </c>
      <c r="C37" s="101" t="s">
        <v>3231</v>
      </c>
      <c r="D37" s="169" t="s">
        <v>3232</v>
      </c>
    </row>
    <row r="39" spans="1:4" ht="24" customHeight="1" x14ac:dyDescent="0.3">
      <c r="A39" s="240" t="s">
        <v>3233</v>
      </c>
      <c r="B39" s="240"/>
      <c r="C39" s="240"/>
      <c r="D39" s="240"/>
    </row>
    <row r="40" spans="1:4" x14ac:dyDescent="0.3">
      <c r="A40" s="165" t="s">
        <v>3234</v>
      </c>
      <c r="B40" s="165" t="s">
        <v>3235</v>
      </c>
      <c r="C40" s="165" t="s">
        <v>3236</v>
      </c>
      <c r="D40" s="165" t="s">
        <v>3237</v>
      </c>
    </row>
    <row r="41" spans="1:4" ht="28.8" x14ac:dyDescent="0.3">
      <c r="A41" t="s">
        <v>3238</v>
      </c>
      <c r="B41" t="s">
        <v>1391</v>
      </c>
      <c r="C41" t="s">
        <v>3239</v>
      </c>
      <c r="D41" s="168" t="s">
        <v>3240</v>
      </c>
    </row>
    <row r="42" spans="1:4" x14ac:dyDescent="0.3">
      <c r="A42" t="s">
        <v>3241</v>
      </c>
      <c r="B42" t="s">
        <v>1389</v>
      </c>
      <c r="C42" t="s">
        <v>3242</v>
      </c>
      <c r="D42" s="168" t="s">
        <v>3243</v>
      </c>
    </row>
    <row r="43" spans="1:4" ht="28.8" x14ac:dyDescent="0.3">
      <c r="A43" t="s">
        <v>3244</v>
      </c>
      <c r="B43" t="s">
        <v>1481</v>
      </c>
      <c r="C43" t="s">
        <v>3245</v>
      </c>
      <c r="D43" s="168" t="s">
        <v>3246</v>
      </c>
    </row>
    <row r="44" spans="1:4" ht="28.8" x14ac:dyDescent="0.3">
      <c r="A44" s="101" t="s">
        <v>3247</v>
      </c>
      <c r="B44" s="101" t="s">
        <v>3086</v>
      </c>
      <c r="C44" s="101" t="s">
        <v>3248</v>
      </c>
      <c r="D44" s="169" t="s">
        <v>3249</v>
      </c>
    </row>
    <row r="46" spans="1:4" ht="24" customHeight="1" x14ac:dyDescent="0.3">
      <c r="A46" s="240" t="s">
        <v>3250</v>
      </c>
      <c r="B46" s="240"/>
      <c r="C46" s="240"/>
      <c r="D46" s="240"/>
    </row>
    <row r="47" spans="1:4" x14ac:dyDescent="0.3">
      <c r="A47" s="165" t="s">
        <v>3192</v>
      </c>
      <c r="B47" s="165" t="s">
        <v>3251</v>
      </c>
    </row>
    <row r="48" spans="1:4" ht="115.2" x14ac:dyDescent="0.3">
      <c r="A48" t="s">
        <v>3252</v>
      </c>
      <c r="B48" s="168" t="s">
        <v>3253</v>
      </c>
    </row>
    <row r="49" spans="1:4" ht="28.8" x14ac:dyDescent="0.3">
      <c r="A49" t="s">
        <v>3254</v>
      </c>
      <c r="B49" s="168" t="s">
        <v>3255</v>
      </c>
    </row>
    <row r="50" spans="1:4" ht="28.8" x14ac:dyDescent="0.3">
      <c r="A50" t="s">
        <v>3256</v>
      </c>
      <c r="B50" s="168" t="s">
        <v>3257</v>
      </c>
    </row>
    <row r="51" spans="1:4" ht="43.2" x14ac:dyDescent="0.3">
      <c r="A51" s="101" t="s">
        <v>3258</v>
      </c>
      <c r="B51" s="169" t="s">
        <v>3259</v>
      </c>
    </row>
    <row r="53" spans="1:4" ht="24" customHeight="1" x14ac:dyDescent="0.3">
      <c r="A53" s="240" t="s">
        <v>3260</v>
      </c>
      <c r="B53" s="240"/>
      <c r="C53" s="240"/>
      <c r="D53" s="240"/>
    </row>
    <row r="54" spans="1:4" ht="48" customHeight="1" x14ac:dyDescent="0.3">
      <c r="A54" s="239" t="s">
        <v>3261</v>
      </c>
      <c r="B54" s="239"/>
      <c r="C54" s="239"/>
      <c r="D54" s="239"/>
    </row>
    <row r="55" spans="1:4" ht="42" customHeight="1" x14ac:dyDescent="0.3">
      <c r="A55" s="239" t="s">
        <v>3262</v>
      </c>
      <c r="B55" s="239"/>
      <c r="C55" s="239"/>
      <c r="D55" s="239"/>
    </row>
    <row r="57" spans="1:4" ht="24" customHeight="1" x14ac:dyDescent="0.3">
      <c r="A57" s="240" t="s">
        <v>3263</v>
      </c>
      <c r="B57" s="240"/>
      <c r="C57" s="240"/>
      <c r="D57" s="240"/>
    </row>
    <row r="58" spans="1:4" x14ac:dyDescent="0.3">
      <c r="A58" s="165" t="s">
        <v>3264</v>
      </c>
      <c r="B58" s="165" t="s">
        <v>3265</v>
      </c>
      <c r="C58" s="165" t="s">
        <v>51</v>
      </c>
      <c r="D58" s="165" t="s">
        <v>3266</v>
      </c>
    </row>
    <row r="59" spans="1:4" ht="28.8" x14ac:dyDescent="0.3">
      <c r="A59" s="100">
        <v>0.5</v>
      </c>
      <c r="B59" t="s">
        <v>3267</v>
      </c>
      <c r="C59" t="s">
        <v>836</v>
      </c>
      <c r="D59" s="168" t="s">
        <v>3268</v>
      </c>
    </row>
    <row r="60" spans="1:4" x14ac:dyDescent="0.3">
      <c r="A60" s="100">
        <v>0.75</v>
      </c>
      <c r="B60" t="s">
        <v>3269</v>
      </c>
      <c r="C60" t="s">
        <v>837</v>
      </c>
      <c r="D60" s="168" t="s">
        <v>3270</v>
      </c>
    </row>
    <row r="61" spans="1:4" x14ac:dyDescent="0.3">
      <c r="A61" s="100">
        <v>1</v>
      </c>
      <c r="B61" t="s">
        <v>3271</v>
      </c>
      <c r="C61" t="s">
        <v>838</v>
      </c>
      <c r="D61" s="168" t="s">
        <v>3270</v>
      </c>
    </row>
    <row r="62" spans="1:4" x14ac:dyDescent="0.3">
      <c r="A62" s="100">
        <v>1.25</v>
      </c>
      <c r="B62" t="s">
        <v>3272</v>
      </c>
      <c r="C62" t="s">
        <v>839</v>
      </c>
      <c r="D62" s="168" t="s">
        <v>3270</v>
      </c>
    </row>
    <row r="63" spans="1:4" x14ac:dyDescent="0.3">
      <c r="A63" s="100">
        <v>1.5</v>
      </c>
      <c r="B63" t="s">
        <v>3273</v>
      </c>
      <c r="C63" t="s">
        <v>840</v>
      </c>
      <c r="D63" s="168" t="s">
        <v>3270</v>
      </c>
    </row>
    <row r="64" spans="1:4" x14ac:dyDescent="0.3">
      <c r="A64" s="100">
        <v>1.75</v>
      </c>
      <c r="B64" t="s">
        <v>3274</v>
      </c>
      <c r="C64" t="s">
        <v>841</v>
      </c>
      <c r="D64" s="168" t="s">
        <v>3270</v>
      </c>
    </row>
    <row r="65" spans="1:4" x14ac:dyDescent="0.3">
      <c r="A65" s="100">
        <v>2</v>
      </c>
      <c r="B65" t="s">
        <v>3275</v>
      </c>
      <c r="C65" t="s">
        <v>842</v>
      </c>
      <c r="D65" s="168" t="s">
        <v>3270</v>
      </c>
    </row>
    <row r="66" spans="1:4" x14ac:dyDescent="0.3">
      <c r="A66" s="100">
        <v>2.25</v>
      </c>
      <c r="B66" t="s">
        <v>3276</v>
      </c>
      <c r="C66" t="s">
        <v>843</v>
      </c>
      <c r="D66" s="168" t="s">
        <v>3270</v>
      </c>
    </row>
    <row r="67" spans="1:4" x14ac:dyDescent="0.3">
      <c r="A67" s="100">
        <v>2.5</v>
      </c>
      <c r="B67" t="s">
        <v>3277</v>
      </c>
      <c r="C67" t="s">
        <v>844</v>
      </c>
      <c r="D67" s="168" t="s">
        <v>3270</v>
      </c>
    </row>
    <row r="68" spans="1:4" x14ac:dyDescent="0.3">
      <c r="A68" s="100">
        <v>2.75</v>
      </c>
      <c r="B68" t="s">
        <v>3278</v>
      </c>
      <c r="C68" t="s">
        <v>845</v>
      </c>
      <c r="D68" s="168" t="s">
        <v>3270</v>
      </c>
    </row>
    <row r="69" spans="1:4" x14ac:dyDescent="0.3">
      <c r="A69" s="167">
        <v>3</v>
      </c>
      <c r="B69" s="101" t="s">
        <v>3279</v>
      </c>
      <c r="C69" s="101" t="s">
        <v>846</v>
      </c>
      <c r="D69" s="169" t="s">
        <v>3270</v>
      </c>
    </row>
    <row r="71" spans="1:4" ht="24" customHeight="1" x14ac:dyDescent="0.3">
      <c r="A71" s="240" t="s">
        <v>3280</v>
      </c>
      <c r="B71" s="240"/>
      <c r="C71" s="240"/>
      <c r="D71" s="240"/>
    </row>
    <row r="72" spans="1:4" x14ac:dyDescent="0.3">
      <c r="A72" t="s">
        <v>3281</v>
      </c>
      <c r="B72" s="168" t="s">
        <v>3282</v>
      </c>
    </row>
    <row r="73" spans="1:4" x14ac:dyDescent="0.3">
      <c r="A73" t="s">
        <v>3281</v>
      </c>
      <c r="B73" s="168" t="s">
        <v>3283</v>
      </c>
    </row>
    <row r="74" spans="1:4" x14ac:dyDescent="0.3">
      <c r="A74" t="s">
        <v>3281</v>
      </c>
      <c r="B74" s="168" t="s">
        <v>3284</v>
      </c>
    </row>
    <row r="75" spans="1:4" x14ac:dyDescent="0.3">
      <c r="A75" t="s">
        <v>3281</v>
      </c>
      <c r="B75" s="168" t="s">
        <v>3285</v>
      </c>
    </row>
    <row r="76" spans="1:4" x14ac:dyDescent="0.3">
      <c r="A76" t="s">
        <v>3281</v>
      </c>
      <c r="B76" s="168" t="s">
        <v>3286</v>
      </c>
    </row>
    <row r="77" spans="1:4" x14ac:dyDescent="0.3">
      <c r="A77" t="s">
        <v>3281</v>
      </c>
      <c r="B77" s="168" t="s">
        <v>3287</v>
      </c>
    </row>
    <row r="78" spans="1:4" x14ac:dyDescent="0.3">
      <c r="A78" t="s">
        <v>3281</v>
      </c>
      <c r="B78" s="168" t="s">
        <v>3288</v>
      </c>
    </row>
    <row r="79" spans="1:4" ht="28.8" x14ac:dyDescent="0.3">
      <c r="A79" s="101" t="s">
        <v>3281</v>
      </c>
      <c r="B79" s="169" t="s">
        <v>3289</v>
      </c>
    </row>
    <row r="81" spans="1:4" ht="15.6" x14ac:dyDescent="0.3">
      <c r="A81" s="240" t="s">
        <v>3290</v>
      </c>
      <c r="B81" s="240"/>
      <c r="C81" s="240"/>
      <c r="D81" s="240"/>
    </row>
    <row r="82" spans="1:4" ht="34.049999999999997" customHeight="1" x14ac:dyDescent="0.3">
      <c r="A82" s="239" t="s">
        <v>3291</v>
      </c>
      <c r="B82" s="239"/>
      <c r="C82" s="239"/>
      <c r="D82" s="239"/>
    </row>
    <row r="84" spans="1:4" x14ac:dyDescent="0.3">
      <c r="A84" s="170" t="s">
        <v>3292</v>
      </c>
      <c r="B84" s="170" t="s">
        <v>3293</v>
      </c>
      <c r="C84" s="170" t="s">
        <v>3294</v>
      </c>
      <c r="D84" s="170" t="s">
        <v>3295</v>
      </c>
    </row>
    <row r="85" spans="1:4" ht="28.8" x14ac:dyDescent="0.3">
      <c r="A85">
        <v>1</v>
      </c>
      <c r="B85" t="s">
        <v>3296</v>
      </c>
      <c r="C85" s="168" t="s">
        <v>3297</v>
      </c>
      <c r="D85" s="168" t="s">
        <v>3298</v>
      </c>
    </row>
    <row r="86" spans="1:4" ht="28.8" x14ac:dyDescent="0.3">
      <c r="A86">
        <v>2</v>
      </c>
      <c r="B86" t="s">
        <v>3299</v>
      </c>
      <c r="C86" s="168" t="s">
        <v>3300</v>
      </c>
      <c r="D86" s="168" t="s">
        <v>3301</v>
      </c>
    </row>
    <row r="87" spans="1:4" ht="28.8" x14ac:dyDescent="0.3">
      <c r="A87">
        <v>3</v>
      </c>
      <c r="B87" t="s">
        <v>3302</v>
      </c>
      <c r="C87" s="168" t="s">
        <v>3303</v>
      </c>
      <c r="D87" s="168" t="s">
        <v>3304</v>
      </c>
    </row>
    <row r="88" spans="1:4" ht="43.2" x14ac:dyDescent="0.3">
      <c r="A88">
        <v>4</v>
      </c>
      <c r="B88" t="s">
        <v>3305</v>
      </c>
      <c r="C88" s="168" t="s">
        <v>3306</v>
      </c>
      <c r="D88" s="168" t="s">
        <v>3307</v>
      </c>
    </row>
    <row r="89" spans="1:4" ht="28.8" x14ac:dyDescent="0.3">
      <c r="A89">
        <v>5</v>
      </c>
      <c r="B89" t="s">
        <v>3308</v>
      </c>
      <c r="C89" s="168" t="s">
        <v>3309</v>
      </c>
      <c r="D89" s="168" t="s">
        <v>3310</v>
      </c>
    </row>
    <row r="90" spans="1:4" ht="43.2" x14ac:dyDescent="0.3">
      <c r="A90">
        <v>6</v>
      </c>
      <c r="B90" t="s">
        <v>3311</v>
      </c>
      <c r="C90" s="168" t="s">
        <v>3312</v>
      </c>
      <c r="D90" s="168" t="s">
        <v>3313</v>
      </c>
    </row>
    <row r="91" spans="1:4" ht="28.8" x14ac:dyDescent="0.3">
      <c r="A91">
        <v>7</v>
      </c>
      <c r="B91" t="s">
        <v>3314</v>
      </c>
      <c r="C91" s="168" t="s">
        <v>3315</v>
      </c>
      <c r="D91" s="168" t="s">
        <v>3316</v>
      </c>
    </row>
    <row r="92" spans="1:4" ht="43.2" x14ac:dyDescent="0.3">
      <c r="A92">
        <v>8</v>
      </c>
      <c r="B92" t="s">
        <v>3317</v>
      </c>
      <c r="C92" s="168" t="s">
        <v>3318</v>
      </c>
      <c r="D92" s="168" t="s">
        <v>3319</v>
      </c>
    </row>
    <row r="93" spans="1:4" ht="28.8" x14ac:dyDescent="0.3">
      <c r="A93">
        <v>9</v>
      </c>
      <c r="B93" t="s">
        <v>3320</v>
      </c>
      <c r="C93" s="168" t="s">
        <v>3321</v>
      </c>
      <c r="D93" s="168" t="s">
        <v>3322</v>
      </c>
    </row>
    <row r="94" spans="1:4" ht="43.2" x14ac:dyDescent="0.3">
      <c r="A94">
        <v>10</v>
      </c>
      <c r="B94" t="s">
        <v>3323</v>
      </c>
      <c r="C94" s="168" t="s">
        <v>3324</v>
      </c>
      <c r="D94" s="168" t="s">
        <v>3325</v>
      </c>
    </row>
    <row r="95" spans="1:4" ht="28.8" x14ac:dyDescent="0.3">
      <c r="A95">
        <v>11</v>
      </c>
      <c r="B95" t="s">
        <v>3326</v>
      </c>
      <c r="C95" s="168" t="s">
        <v>3327</v>
      </c>
      <c r="D95" s="168" t="s">
        <v>3328</v>
      </c>
    </row>
    <row r="97" spans="1:4" ht="15.6" x14ac:dyDescent="0.3">
      <c r="A97" s="240" t="s">
        <v>3329</v>
      </c>
      <c r="B97" s="240"/>
      <c r="C97" s="240"/>
      <c r="D97" s="240"/>
    </row>
    <row r="98" spans="1:4" ht="34.049999999999997" customHeight="1" x14ac:dyDescent="0.3">
      <c r="A98" s="239" t="s">
        <v>3330</v>
      </c>
      <c r="B98" s="239"/>
      <c r="C98" s="239"/>
      <c r="D98" s="239"/>
    </row>
    <row r="100" spans="1:4" ht="15.6" x14ac:dyDescent="0.3">
      <c r="A100" s="240" t="s">
        <v>3331</v>
      </c>
      <c r="B100" s="240"/>
      <c r="C100" s="240"/>
      <c r="D100" s="240"/>
    </row>
    <row r="101" spans="1:4" x14ac:dyDescent="0.3">
      <c r="A101" t="s">
        <v>3281</v>
      </c>
      <c r="B101" s="168" t="s">
        <v>3332</v>
      </c>
    </row>
    <row r="102" spans="1:4" ht="28.8" x14ac:dyDescent="0.3">
      <c r="A102" t="s">
        <v>3281</v>
      </c>
      <c r="B102" s="168" t="s">
        <v>3333</v>
      </c>
    </row>
    <row r="103" spans="1:4" x14ac:dyDescent="0.3">
      <c r="A103" t="s">
        <v>3281</v>
      </c>
      <c r="B103" s="168" t="s">
        <v>3334</v>
      </c>
    </row>
    <row r="104" spans="1:4" x14ac:dyDescent="0.3">
      <c r="A104" t="s">
        <v>3281</v>
      </c>
      <c r="B104" s="168" t="s">
        <v>3335</v>
      </c>
    </row>
    <row r="105" spans="1:4" ht="28.8" x14ac:dyDescent="0.3">
      <c r="A105" t="s">
        <v>3281</v>
      </c>
      <c r="B105" s="168" t="s">
        <v>3336</v>
      </c>
    </row>
    <row r="107" spans="1:4" ht="24" customHeight="1" x14ac:dyDescent="0.3">
      <c r="A107" s="244" t="s">
        <v>3360</v>
      </c>
      <c r="B107" s="244"/>
      <c r="C107" s="244"/>
      <c r="D107" s="244"/>
    </row>
    <row r="108" spans="1:4" x14ac:dyDescent="0.3">
      <c r="A108" s="245" t="s">
        <v>3361</v>
      </c>
      <c r="B108" s="245"/>
      <c r="C108" s="245"/>
      <c r="D108" s="245"/>
    </row>
    <row r="110" spans="1:4" ht="24" customHeight="1" x14ac:dyDescent="0.3">
      <c r="A110" s="244" t="s">
        <v>3381</v>
      </c>
      <c r="B110" s="244"/>
      <c r="C110" s="244"/>
      <c r="D110" s="244"/>
    </row>
    <row r="111" spans="1:4" ht="90" customHeight="1" x14ac:dyDescent="0.3">
      <c r="A111" s="247" t="s">
        <v>3382</v>
      </c>
      <c r="B111" s="247"/>
      <c r="C111" s="247"/>
      <c r="D111" s="247"/>
    </row>
    <row r="113" spans="1:4" ht="15.6" customHeight="1" x14ac:dyDescent="0.3">
      <c r="A113" s="231" t="s">
        <v>3711</v>
      </c>
      <c r="B113" s="231"/>
      <c r="C113" s="231"/>
      <c r="D113" s="231"/>
    </row>
    <row r="114" spans="1:4" ht="90" customHeight="1" x14ac:dyDescent="0.3">
      <c r="A114" s="246" t="s">
        <v>3769</v>
      </c>
      <c r="B114" s="246"/>
      <c r="C114" s="246"/>
      <c r="D114" s="246"/>
    </row>
    <row r="116" spans="1:4" ht="15.6" x14ac:dyDescent="0.3">
      <c r="A116" s="244" t="s">
        <v>4737</v>
      </c>
      <c r="B116" s="244"/>
      <c r="C116" s="244"/>
      <c r="D116" s="244"/>
    </row>
    <row r="117" spans="1:4" ht="45" customHeight="1" x14ac:dyDescent="0.3">
      <c r="A117" s="245" t="s">
        <v>4738</v>
      </c>
      <c r="B117" s="245"/>
      <c r="C117" s="245"/>
      <c r="D117" s="245"/>
    </row>
    <row r="119" spans="1:4" x14ac:dyDescent="0.3">
      <c r="A119" s="165" t="s">
        <v>4739</v>
      </c>
      <c r="B119" s="165" t="s">
        <v>3237</v>
      </c>
      <c r="C119" s="165" t="s">
        <v>4740</v>
      </c>
      <c r="D119" s="165" t="s">
        <v>4713</v>
      </c>
    </row>
    <row r="120" spans="1:4" x14ac:dyDescent="0.3">
      <c r="A120" t="s">
        <v>4741</v>
      </c>
      <c r="B120" t="s">
        <v>4742</v>
      </c>
      <c r="C120" t="s">
        <v>4743</v>
      </c>
      <c r="D120" s="168" t="s">
        <v>4744</v>
      </c>
    </row>
    <row r="121" spans="1:4" x14ac:dyDescent="0.3">
      <c r="A121" t="s">
        <v>4745</v>
      </c>
      <c r="B121" t="s">
        <v>4746</v>
      </c>
      <c r="C121" t="s">
        <v>4747</v>
      </c>
      <c r="D121" s="168" t="s">
        <v>4748</v>
      </c>
    </row>
    <row r="122" spans="1:4" x14ac:dyDescent="0.3">
      <c r="A122" t="s">
        <v>4745</v>
      </c>
      <c r="B122" t="s">
        <v>4749</v>
      </c>
      <c r="C122" t="s">
        <v>4750</v>
      </c>
      <c r="D122" s="168" t="s">
        <v>4751</v>
      </c>
    </row>
    <row r="123" spans="1:4" ht="28.8" x14ac:dyDescent="0.3">
      <c r="A123" t="s">
        <v>4752</v>
      </c>
      <c r="B123" t="s">
        <v>4753</v>
      </c>
      <c r="C123" t="s">
        <v>4754</v>
      </c>
      <c r="D123" s="168" t="s">
        <v>4755</v>
      </c>
    </row>
    <row r="125" spans="1:4" ht="15.6" x14ac:dyDescent="0.3">
      <c r="A125" s="244" t="s">
        <v>4756</v>
      </c>
      <c r="B125" s="244"/>
      <c r="C125" s="244"/>
      <c r="D125" s="244"/>
    </row>
    <row r="126" spans="1:4" ht="60" customHeight="1" x14ac:dyDescent="0.3">
      <c r="A126" s="245" t="s">
        <v>4757</v>
      </c>
      <c r="B126" s="245"/>
      <c r="C126" s="245"/>
      <c r="D126" s="245"/>
    </row>
  </sheetData>
  <mergeCells count="28">
    <mergeCell ref="A125:D125"/>
    <mergeCell ref="A126:D126"/>
    <mergeCell ref="A55:D55"/>
    <mergeCell ref="A57:D57"/>
    <mergeCell ref="A71:D71"/>
    <mergeCell ref="A116:D116"/>
    <mergeCell ref="A117:D117"/>
    <mergeCell ref="A81:D81"/>
    <mergeCell ref="A82:D82"/>
    <mergeCell ref="A114:D114"/>
    <mergeCell ref="A107:D107"/>
    <mergeCell ref="A108:D108"/>
    <mergeCell ref="A110:D110"/>
    <mergeCell ref="A111:D111"/>
    <mergeCell ref="A113:D113"/>
    <mergeCell ref="A97:D97"/>
    <mergeCell ref="A98:D98"/>
    <mergeCell ref="A100:D100"/>
    <mergeCell ref="A1:D1"/>
    <mergeCell ref="A2:D2"/>
    <mergeCell ref="A4:D4"/>
    <mergeCell ref="A5:D5"/>
    <mergeCell ref="A7:D7"/>
    <mergeCell ref="A21:D21"/>
    <mergeCell ref="A39:D39"/>
    <mergeCell ref="A46:D46"/>
    <mergeCell ref="A53:D53"/>
    <mergeCell ref="A54:D54"/>
  </mergeCell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2834"/>
  <sheetViews>
    <sheetView topLeftCell="A2761" zoomScaleNormal="100" workbookViewId="0">
      <selection activeCell="A1706" sqref="A1706:A1746"/>
    </sheetView>
  </sheetViews>
  <sheetFormatPr defaultColWidth="8.5546875" defaultRowHeight="13.8" x14ac:dyDescent="0.3"/>
  <cols>
    <col min="1" max="1" width="11.77734375" style="1" customWidth="1"/>
    <col min="2" max="2" width="8.33203125" style="5" customWidth="1"/>
    <col min="3" max="3" width="7" style="1" customWidth="1"/>
    <col min="4" max="4" width="6.5546875" style="1" customWidth="1"/>
    <col min="5" max="5" width="17.77734375" style="1" customWidth="1"/>
    <col min="6" max="6" width="39.21875" style="1" customWidth="1"/>
    <col min="7" max="7" width="20.5546875" style="1" customWidth="1"/>
    <col min="8" max="8" width="8.21875" style="1" customWidth="1"/>
    <col min="9" max="9" width="7.77734375" style="1" customWidth="1"/>
    <col min="10" max="10" width="24" style="1" customWidth="1"/>
    <col min="11" max="11" width="7.77734375" style="1" customWidth="1"/>
    <col min="12" max="12" width="7.33203125" style="1" customWidth="1"/>
    <col min="13" max="13" width="10.33203125" style="1" customWidth="1"/>
    <col min="14" max="14" width="15.33203125" style="1" customWidth="1"/>
    <col min="15" max="15" width="6.5546875" style="1" customWidth="1"/>
    <col min="16" max="16" width="7.6640625" style="1" customWidth="1"/>
    <col min="17" max="17" width="18.6640625" style="1" customWidth="1"/>
    <col min="18" max="18" width="15.6640625" style="1" customWidth="1"/>
    <col min="19" max="19" width="52.77734375" style="1" hidden="1" customWidth="1"/>
    <col min="20" max="20" width="21.33203125" style="1" hidden="1" customWidth="1"/>
    <col min="21" max="22" width="31.44140625" style="1" customWidth="1"/>
    <col min="23" max="16384" width="8.5546875" style="1"/>
  </cols>
  <sheetData>
    <row r="1" spans="1:22" ht="14.25" customHeight="1" x14ac:dyDescent="0.3">
      <c r="A1" s="3" t="s">
        <v>40</v>
      </c>
      <c r="B1" s="3" t="s">
        <v>41</v>
      </c>
      <c r="C1" s="3" t="s">
        <v>42</v>
      </c>
      <c r="D1" s="3" t="s">
        <v>43</v>
      </c>
      <c r="E1" s="3" t="s">
        <v>0</v>
      </c>
      <c r="F1" s="3" t="s">
        <v>44</v>
      </c>
      <c r="G1" s="3" t="s">
        <v>45</v>
      </c>
      <c r="H1" s="3" t="s">
        <v>46</v>
      </c>
      <c r="I1" s="3" t="s">
        <v>47</v>
      </c>
      <c r="J1" s="3" t="s">
        <v>48</v>
      </c>
      <c r="K1" s="3" t="s">
        <v>49</v>
      </c>
      <c r="L1" s="3" t="s">
        <v>50</v>
      </c>
      <c r="M1" s="3" t="s">
        <v>51</v>
      </c>
      <c r="N1" s="3" t="s">
        <v>52</v>
      </c>
      <c r="O1" s="3" t="s">
        <v>53</v>
      </c>
      <c r="P1" s="3" t="s">
        <v>54</v>
      </c>
      <c r="Q1" s="3" t="s">
        <v>55</v>
      </c>
      <c r="R1" s="3" t="s">
        <v>56</v>
      </c>
      <c r="S1" s="4" t="s">
        <v>57</v>
      </c>
      <c r="T1" s="4" t="s">
        <v>58</v>
      </c>
      <c r="U1" s="17" t="s">
        <v>397</v>
      </c>
      <c r="V1" s="18" t="s">
        <v>398</v>
      </c>
    </row>
    <row r="2" spans="1:22" ht="14.25" customHeight="1" x14ac:dyDescent="0.3">
      <c r="A2" s="1" t="s">
        <v>63</v>
      </c>
      <c r="B2" s="5">
        <v>46230</v>
      </c>
      <c r="C2" s="6">
        <v>0.58333333333333337</v>
      </c>
      <c r="D2" s="1" t="s">
        <v>27</v>
      </c>
      <c r="E2" s="1" t="s">
        <v>28</v>
      </c>
      <c r="F2" s="1" t="s">
        <v>6973</v>
      </c>
      <c r="G2" s="39" t="s">
        <v>6787</v>
      </c>
      <c r="H2" s="1">
        <v>4</v>
      </c>
      <c r="I2" s="1">
        <v>0</v>
      </c>
      <c r="J2" s="39" t="s">
        <v>6791</v>
      </c>
      <c r="K2" s="1">
        <v>0</v>
      </c>
      <c r="L2" s="1">
        <v>4</v>
      </c>
      <c r="M2" s="1" t="s">
        <v>59</v>
      </c>
      <c r="N2" s="1" t="s">
        <v>60</v>
      </c>
      <c r="O2" s="1">
        <v>1</v>
      </c>
      <c r="P2" s="1">
        <v>0.5</v>
      </c>
      <c r="Q2" s="1" t="s">
        <v>62</v>
      </c>
      <c r="R2" s="1">
        <v>0.13</v>
      </c>
      <c r="S2" s="1" t="s">
        <v>6974</v>
      </c>
      <c r="T2" s="1">
        <f>IF($G2="",0,IF(COUNTIF($S$2:$S2,$S2)=1,1,0))</f>
        <v>1</v>
      </c>
      <c r="U2" s="19" t="str" cm="1">
        <f t="array" ref="U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 s="19" t="str" cm="1">
        <f t="array" ref="V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 spans="1:22" ht="14.25" customHeight="1" x14ac:dyDescent="0.3">
      <c r="A3" s="1" t="s">
        <v>64</v>
      </c>
      <c r="B3" s="5">
        <v>46230</v>
      </c>
      <c r="C3" s="6">
        <v>0.58333333333333337</v>
      </c>
      <c r="D3" s="1" t="s">
        <v>27</v>
      </c>
      <c r="E3" s="1" t="s">
        <v>29</v>
      </c>
      <c r="F3" s="1" t="s">
        <v>7020</v>
      </c>
      <c r="G3" s="39" t="s">
        <v>7021</v>
      </c>
      <c r="H3" s="1">
        <v>6</v>
      </c>
      <c r="I3" s="1">
        <v>0</v>
      </c>
      <c r="J3" s="39" t="s">
        <v>7022</v>
      </c>
      <c r="K3" s="1">
        <v>0</v>
      </c>
      <c r="L3" s="1">
        <v>6</v>
      </c>
      <c r="M3" s="1" t="s">
        <v>59</v>
      </c>
      <c r="N3" s="1" t="s">
        <v>65</v>
      </c>
      <c r="O3" s="1">
        <v>1</v>
      </c>
      <c r="P3" s="1">
        <v>0.5</v>
      </c>
      <c r="Q3" s="1" t="s">
        <v>62</v>
      </c>
      <c r="R3" s="1">
        <v>0.19</v>
      </c>
      <c r="S3" s="1" t="s">
        <v>7023</v>
      </c>
      <c r="T3" s="1">
        <f>IF($G3="",0,IF(COUNTIF($S$2:$S3,$S3)=1,1,0))</f>
        <v>1</v>
      </c>
      <c r="U3" s="19" t="str" cm="1">
        <f t="array" ref="U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 s="19" t="str" cm="1">
        <f t="array" ref="V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 spans="1:22" ht="14.25" customHeight="1" x14ac:dyDescent="0.3">
      <c r="A4" s="1" t="s">
        <v>66</v>
      </c>
      <c r="B4" s="5">
        <v>46230</v>
      </c>
      <c r="C4" s="6">
        <v>0.58680555555555558</v>
      </c>
      <c r="D4" s="1" t="s">
        <v>30</v>
      </c>
      <c r="E4" s="1" t="s">
        <v>32</v>
      </c>
      <c r="F4" s="1" t="s">
        <v>5327</v>
      </c>
      <c r="G4" s="39" t="s">
        <v>5056</v>
      </c>
      <c r="H4" s="1">
        <v>3</v>
      </c>
      <c r="I4" s="1">
        <v>0</v>
      </c>
      <c r="J4" s="39" t="s">
        <v>67</v>
      </c>
      <c r="K4" s="1">
        <v>0</v>
      </c>
      <c r="L4" s="1">
        <v>3</v>
      </c>
      <c r="M4" s="1" t="s">
        <v>59</v>
      </c>
      <c r="N4" s="1" t="s">
        <v>60</v>
      </c>
      <c r="O4" s="1">
        <v>1</v>
      </c>
      <c r="P4" s="1">
        <v>0.5</v>
      </c>
      <c r="Q4" s="1" t="s">
        <v>62</v>
      </c>
      <c r="R4" s="1">
        <v>0.06</v>
      </c>
      <c r="S4" s="1" t="s">
        <v>5337</v>
      </c>
      <c r="T4" s="1">
        <f>IF($G4="",0,IF(COUNTIF($S$2:$S4,$S4)=1,1,0))</f>
        <v>1</v>
      </c>
      <c r="U4" s="19" t="str" cm="1">
        <f t="array" ref="U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 s="19" t="str" cm="1">
        <f t="array" ref="V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 spans="1:22" ht="14.25" customHeight="1" x14ac:dyDescent="0.3">
      <c r="A5" s="1" t="s">
        <v>69</v>
      </c>
      <c r="B5" s="5">
        <v>46230</v>
      </c>
      <c r="C5" s="6">
        <v>0.58333333333333337</v>
      </c>
      <c r="D5" s="1" t="s">
        <v>30</v>
      </c>
      <c r="E5" s="1" t="s">
        <v>31</v>
      </c>
      <c r="F5" s="1" t="s">
        <v>70</v>
      </c>
      <c r="G5" s="39" t="s">
        <v>71</v>
      </c>
      <c r="H5" s="1">
        <v>0</v>
      </c>
      <c r="I5" s="1">
        <v>0</v>
      </c>
      <c r="J5" s="39" t="s">
        <v>72</v>
      </c>
      <c r="K5" s="1">
        <v>0</v>
      </c>
      <c r="L5" s="1">
        <v>0</v>
      </c>
      <c r="M5" s="1" t="s">
        <v>59</v>
      </c>
      <c r="N5" s="1" t="s">
        <v>60</v>
      </c>
      <c r="O5" s="1">
        <v>1.17</v>
      </c>
      <c r="P5" s="1">
        <v>0.5</v>
      </c>
      <c r="Q5" s="1" t="s">
        <v>73</v>
      </c>
      <c r="R5" s="1">
        <v>-0.5</v>
      </c>
      <c r="S5" s="1" t="str">
        <f>IF(tblDados[[#This Row],[Mandante]]="","",TEXT(tblDados[[#This Row],[Data]],"aaaa-mm-dd")&amp;"|"&amp;TRIM(tblDados[[#This Row],[Mandante]])&amp;"|"&amp;TRIM(tblDados[[#This Row],[Visitante]]))</f>
        <v>2026-07-27|BK Häcken|AIK</v>
      </c>
      <c r="T5" s="1">
        <f>IF($G5="",0,IF(COUNTIF($S$2:$S5,$S5)=1,1,0))</f>
        <v>1</v>
      </c>
      <c r="U5" s="19" t="str" cm="1">
        <f t="array" ref="U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 s="19" t="str" cm="1">
        <f t="array" ref="V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 spans="1:22" ht="14.25" customHeight="1" x14ac:dyDescent="0.3">
      <c r="A6" s="1" t="s">
        <v>75</v>
      </c>
      <c r="B6" s="5">
        <v>46230</v>
      </c>
      <c r="C6" s="6">
        <v>0.67708333333333337</v>
      </c>
      <c r="D6" s="1" t="s">
        <v>24</v>
      </c>
      <c r="E6" s="1" t="s">
        <v>4334</v>
      </c>
      <c r="F6" s="1" t="s">
        <v>76</v>
      </c>
      <c r="G6" s="39" t="s">
        <v>77</v>
      </c>
      <c r="H6" s="1">
        <v>1</v>
      </c>
      <c r="I6" s="1">
        <v>0</v>
      </c>
      <c r="J6" s="39" t="s">
        <v>78</v>
      </c>
      <c r="K6" s="1">
        <v>0</v>
      </c>
      <c r="L6" s="1">
        <v>1</v>
      </c>
      <c r="M6" s="1" t="s">
        <v>59</v>
      </c>
      <c r="N6" s="1" t="s">
        <v>60</v>
      </c>
      <c r="O6" s="1">
        <v>1.175</v>
      </c>
      <c r="P6" s="1">
        <v>0.5</v>
      </c>
      <c r="Q6" s="1" t="s">
        <v>73</v>
      </c>
      <c r="R6" s="1">
        <v>-0.5</v>
      </c>
      <c r="S6" s="1" t="str">
        <f>IF(tblDados[[#This Row],[Mandante]]="","",TEXT(tblDados[[#This Row],[Data]],"aaaa-mm-dd")&amp;"|"&amp;TRIM(tblDados[[#This Row],[Mandante]])&amp;"|"&amp;TRIM(tblDados[[#This Row],[Visitante]]))</f>
        <v>2026-07-27|Breidablik|IBV Vestmannaeyjar</v>
      </c>
      <c r="T6" s="1">
        <f>IF($G6="",0,IF(COUNTIF($S$2:$S6,$S6)=1,1,0))</f>
        <v>1</v>
      </c>
      <c r="U6" s="19" t="str" cm="1">
        <f t="array" ref="U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 s="19" t="str" cm="1">
        <f t="array" ref="V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 spans="1:22" ht="14.25" customHeight="1" x14ac:dyDescent="0.3">
      <c r="A7" s="1" t="s">
        <v>79</v>
      </c>
      <c r="B7" s="5">
        <v>46230</v>
      </c>
      <c r="C7" s="6">
        <v>0.67708333333333337</v>
      </c>
      <c r="D7" s="1" t="s">
        <v>24</v>
      </c>
      <c r="E7" s="1" t="s">
        <v>4334</v>
      </c>
      <c r="F7" s="1" t="s">
        <v>4574</v>
      </c>
      <c r="G7" s="39" t="s">
        <v>80</v>
      </c>
      <c r="H7" s="1">
        <v>0</v>
      </c>
      <c r="I7" s="1">
        <v>0</v>
      </c>
      <c r="J7" s="39" t="s">
        <v>4575</v>
      </c>
      <c r="K7" s="1">
        <v>0</v>
      </c>
      <c r="L7" s="1">
        <v>0</v>
      </c>
      <c r="M7" s="1" t="s">
        <v>59</v>
      </c>
      <c r="N7" s="1" t="s">
        <v>60</v>
      </c>
      <c r="O7" s="1">
        <v>1.1399999999999999</v>
      </c>
      <c r="P7" s="1">
        <v>0.5</v>
      </c>
      <c r="Q7" s="1" t="s">
        <v>73</v>
      </c>
      <c r="R7" s="1">
        <v>-0.5</v>
      </c>
      <c r="S7" s="1" t="str">
        <f>IF(tblDados[[#This Row],[Mandante]]="","",TEXT(tblDados[[#This Row],[Data]],"aaaa-mm-dd")&amp;"|"&amp;TRIM(tblDados[[#This Row],[Mandante]])&amp;"|"&amp;TRIM(tblDados[[#This Row],[Visitante]]))</f>
        <v>2026-07-27|KA Akureyri|Thor Akureyri (Þór Akureyri)</v>
      </c>
      <c r="T7" s="1">
        <f>IF($G7="",0,IF(COUNTIF($S$2:$S7,$S7)=1,1,0))</f>
        <v>1</v>
      </c>
      <c r="U7" s="19" t="str" cm="1">
        <f t="array" ref="U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 s="19" t="str" cm="1">
        <f t="array" ref="V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 spans="1:22" ht="14.25" customHeight="1" x14ac:dyDescent="0.3">
      <c r="A8" s="1" t="s">
        <v>81</v>
      </c>
      <c r="B8" s="5">
        <v>46230</v>
      </c>
      <c r="C8" s="6">
        <v>0.83333333333333337</v>
      </c>
      <c r="D8" s="1" t="s">
        <v>12</v>
      </c>
      <c r="E8" s="1" t="s">
        <v>14</v>
      </c>
      <c r="F8" s="1" t="s">
        <v>82</v>
      </c>
      <c r="G8" s="39" t="s">
        <v>83</v>
      </c>
      <c r="H8" s="1">
        <v>2</v>
      </c>
      <c r="I8" s="1">
        <v>0</v>
      </c>
      <c r="J8" s="39" t="s">
        <v>84</v>
      </c>
      <c r="K8" s="1">
        <v>0</v>
      </c>
      <c r="L8" s="1">
        <v>2</v>
      </c>
      <c r="M8" s="1" t="s">
        <v>59</v>
      </c>
      <c r="N8" s="1" t="s">
        <v>85</v>
      </c>
      <c r="O8" s="1">
        <v>1.2250000000000001</v>
      </c>
      <c r="P8" s="1">
        <v>0.5</v>
      </c>
      <c r="Q8" s="1" t="s">
        <v>61</v>
      </c>
      <c r="R8" s="1">
        <v>0.12</v>
      </c>
      <c r="S8" s="1" t="str">
        <f>IF(tblDados[[#This Row],[Mandante]]="","",TEXT(tblDados[[#This Row],[Data]],"aaaa-mm-dd")&amp;"|"&amp;TRIM(tblDados[[#This Row],[Mandante]])&amp;"|"&amp;TRIM(tblDados[[#This Row],[Visitante]]))</f>
        <v>2026-07-27|CRB|Vila Nova</v>
      </c>
      <c r="T8" s="1">
        <f>IF($G8="",0,IF(COUNTIF($S$2:$S8,$S8)=1,1,0))</f>
        <v>1</v>
      </c>
      <c r="U8" s="19" t="str" cm="1">
        <f t="array" ref="U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 s="19" t="str" cm="1">
        <f t="array" ref="V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 spans="1:22" ht="14.25" customHeight="1" x14ac:dyDescent="0.3">
      <c r="A9" s="1" t="s">
        <v>86</v>
      </c>
      <c r="B9" s="5">
        <v>46230</v>
      </c>
      <c r="C9" s="6">
        <v>0.83333333333333337</v>
      </c>
      <c r="D9" s="1" t="s">
        <v>12</v>
      </c>
      <c r="E9" s="1" t="s">
        <v>14</v>
      </c>
      <c r="F9" s="1" t="s">
        <v>87</v>
      </c>
      <c r="G9" s="39" t="s">
        <v>88</v>
      </c>
      <c r="H9" s="1">
        <v>3</v>
      </c>
      <c r="I9" s="1">
        <v>1</v>
      </c>
      <c r="J9" s="39" t="s">
        <v>89</v>
      </c>
      <c r="K9" s="1">
        <v>1</v>
      </c>
      <c r="L9" s="1">
        <v>3</v>
      </c>
      <c r="M9" s="1" t="s">
        <v>59</v>
      </c>
      <c r="N9" s="1" t="s">
        <v>74</v>
      </c>
      <c r="O9" s="1">
        <v>1.125</v>
      </c>
      <c r="P9" s="1">
        <v>0.5</v>
      </c>
      <c r="Q9" s="1" t="s">
        <v>61</v>
      </c>
      <c r="R9" s="1">
        <v>7.0000000000000007E-2</v>
      </c>
      <c r="S9" s="1" t="str">
        <f>IF(tblDados[[#This Row],[Mandante]]="","",TEXT(tblDados[[#This Row],[Data]],"aaaa-mm-dd")&amp;"|"&amp;TRIM(tblDados[[#This Row],[Mandante]])&amp;"|"&amp;TRIM(tblDados[[#This Row],[Visitante]]))</f>
        <v>2026-07-27|Atlético-GO|Operário-PR</v>
      </c>
      <c r="T9" s="1">
        <f>IF($G9="",0,IF(COUNTIF($S$2:$S9,$S9)=1,1,0))</f>
        <v>1</v>
      </c>
      <c r="U9" s="19" t="str" cm="1">
        <f t="array" ref="U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 s="19" t="str" cm="1">
        <f t="array" ref="V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 spans="1:22" ht="14.25" customHeight="1" x14ac:dyDescent="0.3">
      <c r="A10" s="1" t="s">
        <v>90</v>
      </c>
      <c r="B10" s="5">
        <v>46230</v>
      </c>
      <c r="C10" s="6">
        <v>0.83333333333333337</v>
      </c>
      <c r="D10" s="1" t="s">
        <v>12</v>
      </c>
      <c r="E10" s="1" t="s">
        <v>14</v>
      </c>
      <c r="F10" s="1" t="s">
        <v>91</v>
      </c>
      <c r="G10" s="39" t="s">
        <v>92</v>
      </c>
      <c r="H10" s="1">
        <v>1</v>
      </c>
      <c r="I10" s="1">
        <v>1</v>
      </c>
      <c r="J10" s="39" t="s">
        <v>93</v>
      </c>
      <c r="K10" s="1">
        <v>1</v>
      </c>
      <c r="L10" s="1">
        <v>1</v>
      </c>
      <c r="M10" s="1" t="s">
        <v>59</v>
      </c>
      <c r="N10" s="1" t="s">
        <v>74</v>
      </c>
      <c r="O10" s="1">
        <v>1.17</v>
      </c>
      <c r="P10" s="1">
        <v>0.5</v>
      </c>
      <c r="Q10" s="1" t="s">
        <v>73</v>
      </c>
      <c r="R10" s="1">
        <v>0.09</v>
      </c>
      <c r="S10" s="1" t="str">
        <f>IF(tblDados[[#This Row],[Mandante]]="","",TEXT(tblDados[[#This Row],[Data]],"aaaa-mm-dd")&amp;"|"&amp;TRIM(tblDados[[#This Row],[Mandante]])&amp;"|"&amp;TRIM(tblDados[[#This Row],[Visitante]]))</f>
        <v>2026-07-27|Sport Recife|Cuiabá</v>
      </c>
      <c r="T10" s="1">
        <f>IF($G10="",0,IF(COUNTIF($S$2:$S10,$S10)=1,1,0))</f>
        <v>1</v>
      </c>
      <c r="U10" s="19" t="str" cm="1">
        <f t="array" ref="U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 s="19" t="str" cm="1">
        <f t="array" ref="V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 spans="1:22" ht="14.25" customHeight="1" x14ac:dyDescent="0.3">
      <c r="A11" s="1" t="s">
        <v>94</v>
      </c>
      <c r="B11" s="102">
        <v>46231</v>
      </c>
      <c r="C11" s="6">
        <v>0.67708333333333337</v>
      </c>
      <c r="D11" s="1" t="s">
        <v>24</v>
      </c>
      <c r="E11" s="1" t="s">
        <v>4335</v>
      </c>
      <c r="F11" s="1" t="s">
        <v>95</v>
      </c>
      <c r="G11" s="39" t="s">
        <v>96</v>
      </c>
      <c r="H11" s="1">
        <v>0</v>
      </c>
      <c r="I11" s="1">
        <v>1</v>
      </c>
      <c r="J11" s="39" t="s">
        <v>97</v>
      </c>
      <c r="K11" s="1">
        <v>1</v>
      </c>
      <c r="L11" s="1">
        <v>0</v>
      </c>
      <c r="M11" s="1" t="s">
        <v>59</v>
      </c>
      <c r="N11" s="1" t="s">
        <v>98</v>
      </c>
      <c r="O11" s="1">
        <v>1.17</v>
      </c>
      <c r="P11" s="1">
        <v>0.5</v>
      </c>
      <c r="Q11" s="1" t="s">
        <v>73</v>
      </c>
      <c r="R11" s="1">
        <v>-0.5</v>
      </c>
      <c r="S11" s="1" t="str">
        <f>IF(tblDados[[#This Row],[Mandante]]="","",TEXT(tblDados[[#This Row],[Data]],"aaaa-mm-dd")&amp;"|"&amp;TRIM(tblDados[[#This Row],[Mandante]])&amp;"|"&amp;TRIM(tblDados[[#This Row],[Visitante]]))</f>
        <v>2026-07-28|Aegir|Njardvik</v>
      </c>
      <c r="T11" s="1">
        <f>IF($G11="",0,IF(COUNTIF($S$2:$S11,$S11)=1,1,0))</f>
        <v>1</v>
      </c>
      <c r="U11" s="19" t="str" cm="1">
        <f t="array" ref="U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 s="19" t="str" cm="1">
        <f t="array" ref="V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 spans="1:22" ht="14.25" customHeight="1" x14ac:dyDescent="0.3">
      <c r="A12" s="1" t="s">
        <v>99</v>
      </c>
      <c r="B12" s="5">
        <v>46231</v>
      </c>
      <c r="C12" s="6">
        <v>0.83333333333333337</v>
      </c>
      <c r="D12" s="1" t="s">
        <v>12</v>
      </c>
      <c r="E12" s="1" t="s">
        <v>14</v>
      </c>
      <c r="F12" s="1" t="s">
        <v>100</v>
      </c>
      <c r="G12" s="39" t="s">
        <v>101</v>
      </c>
      <c r="H12" s="1">
        <v>1</v>
      </c>
      <c r="I12" s="1">
        <v>1</v>
      </c>
      <c r="J12" s="39" t="s">
        <v>102</v>
      </c>
      <c r="K12" s="1">
        <v>1</v>
      </c>
      <c r="L12" s="1">
        <v>1</v>
      </c>
      <c r="M12" s="1" t="s">
        <v>59</v>
      </c>
      <c r="N12" s="1" t="s">
        <v>103</v>
      </c>
      <c r="O12" s="1">
        <v>1.105</v>
      </c>
      <c r="P12" s="1">
        <v>0.5</v>
      </c>
      <c r="Q12" s="1" t="s">
        <v>61</v>
      </c>
      <c r="R12" s="1">
        <v>0.06</v>
      </c>
      <c r="S12" s="1" t="str">
        <f>IF(tblDados[[#This Row],[Mandante]]="","",TEXT(tblDados[[#This Row],[Data]],"aaaa-mm-dd")&amp;"|"&amp;TRIM(tblDados[[#This Row],[Mandante]])&amp;"|"&amp;TRIM(tblDados[[#This Row],[Visitante]]))</f>
        <v>2026-07-28|Ponte Preta|Athletic Club-MG</v>
      </c>
      <c r="T12" s="1">
        <f>IF($G12="",0,IF(COUNTIF($S$2:$S12,$S12)=1,1,0))</f>
        <v>1</v>
      </c>
      <c r="U12" s="19" t="str" cm="1">
        <f t="array" ref="U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 s="19" t="str" cm="1">
        <f t="array" ref="V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 spans="1:22" ht="14.25" customHeight="1" x14ac:dyDescent="0.3">
      <c r="A13" s="1" t="s">
        <v>104</v>
      </c>
      <c r="B13" s="5">
        <v>46231</v>
      </c>
      <c r="C13" s="6">
        <v>0.79166666666666663</v>
      </c>
      <c r="D13" s="1" t="s">
        <v>12</v>
      </c>
      <c r="E13" s="1" t="s">
        <v>14</v>
      </c>
      <c r="F13" s="1" t="s">
        <v>105</v>
      </c>
      <c r="G13" s="39" t="s">
        <v>106</v>
      </c>
      <c r="H13" s="1">
        <v>1</v>
      </c>
      <c r="I13" s="1">
        <v>0</v>
      </c>
      <c r="J13" s="39" t="s">
        <v>107</v>
      </c>
      <c r="K13" s="1">
        <v>0</v>
      </c>
      <c r="L13" s="1">
        <v>1</v>
      </c>
      <c r="M13" s="1" t="s">
        <v>59</v>
      </c>
      <c r="N13" s="1" t="s">
        <v>74</v>
      </c>
      <c r="O13" s="1">
        <v>1.1200000000000001</v>
      </c>
      <c r="P13" s="1">
        <v>0.5</v>
      </c>
      <c r="Q13" s="1" t="s">
        <v>68</v>
      </c>
      <c r="R13" s="1">
        <v>0</v>
      </c>
      <c r="S13" s="1" t="str">
        <f>IF(tblDados[[#This Row],[Mandante]]="","",TEXT(tblDados[[#This Row],[Data]],"aaaa-mm-dd")&amp;"|"&amp;TRIM(tblDados[[#This Row],[Mandante]])&amp;"|"&amp;TRIM(tblDados[[#This Row],[Visitante]]))</f>
        <v>2026-07-28|Juventude|Avaí</v>
      </c>
      <c r="T13" s="1">
        <f>IF($G13="",0,IF(COUNTIF($S$2:$S13,$S13)=1,1,0))</f>
        <v>1</v>
      </c>
      <c r="U13" s="19" t="str" cm="1">
        <f t="array" ref="U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 s="19" t="str" cm="1">
        <f t="array" ref="V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 spans="1:22" ht="14.25" customHeight="1" x14ac:dyDescent="0.3">
      <c r="A14" s="1" t="s">
        <v>108</v>
      </c>
      <c r="B14" s="5">
        <v>46230</v>
      </c>
      <c r="C14" s="6">
        <v>0.71527777777777779</v>
      </c>
      <c r="D14" s="1" t="s">
        <v>4</v>
      </c>
      <c r="E14" s="1" t="s">
        <v>6</v>
      </c>
      <c r="F14" s="1" t="s">
        <v>109</v>
      </c>
      <c r="G14" s="39" t="s">
        <v>110</v>
      </c>
      <c r="H14" s="1">
        <v>3</v>
      </c>
      <c r="I14" s="1">
        <v>0</v>
      </c>
      <c r="J14" s="39" t="s">
        <v>111</v>
      </c>
      <c r="K14" s="1">
        <v>0</v>
      </c>
      <c r="L14" s="1">
        <v>3</v>
      </c>
      <c r="M14" s="1" t="s">
        <v>59</v>
      </c>
      <c r="N14" s="1" t="s">
        <v>74</v>
      </c>
      <c r="O14" s="1">
        <v>1.1399999999999999</v>
      </c>
      <c r="P14" s="1">
        <v>0.5</v>
      </c>
      <c r="Q14" s="1" t="s">
        <v>61</v>
      </c>
      <c r="R14" s="1">
        <v>7.0000000000000007E-2</v>
      </c>
      <c r="S14" s="1" t="str">
        <f>IF(tblDados[[#This Row],[Mandante]]="","",TEXT(tblDados[[#This Row],[Data]],"aaaa-mm-dd")&amp;"|"&amp;TRIM(tblDados[[#This Row],[Mandante]])&amp;"|"&amp;TRIM(tblDados[[#This Row],[Visitante]]))</f>
        <v>2026-07-27|Argentinos Jrs|Estudiantes Rio Cuarto</v>
      </c>
      <c r="T14" s="1">
        <f>IF($G14="",0,IF(COUNTIF($S$2:$S14,$S14)=1,1,0))</f>
        <v>1</v>
      </c>
      <c r="U14" s="19" t="str" cm="1">
        <f t="array" ref="U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 s="19" t="str" cm="1">
        <f t="array" ref="V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 spans="1:22" ht="14.25" customHeight="1" x14ac:dyDescent="0.3">
      <c r="A15" s="1" t="s">
        <v>112</v>
      </c>
      <c r="B15" s="5">
        <v>46230</v>
      </c>
      <c r="C15" s="6">
        <v>0.77083333333333337</v>
      </c>
      <c r="D15" s="1" t="s">
        <v>4</v>
      </c>
      <c r="E15" s="1" t="s">
        <v>6</v>
      </c>
      <c r="F15" s="1" t="s">
        <v>113</v>
      </c>
      <c r="G15" s="39" t="s">
        <v>114</v>
      </c>
      <c r="H15" s="1">
        <v>0</v>
      </c>
      <c r="I15" s="1">
        <v>0</v>
      </c>
      <c r="J15" s="39" t="s">
        <v>115</v>
      </c>
      <c r="K15" s="1">
        <v>0</v>
      </c>
      <c r="L15" s="1">
        <v>0</v>
      </c>
      <c r="M15" s="1" t="s">
        <v>59</v>
      </c>
      <c r="N15" s="1" t="s">
        <v>103</v>
      </c>
      <c r="O15" s="1">
        <v>1.1200000000000001</v>
      </c>
      <c r="P15" s="1">
        <v>0.5</v>
      </c>
      <c r="Q15" s="1" t="s">
        <v>73</v>
      </c>
      <c r="R15" s="1">
        <v>-0.5</v>
      </c>
      <c r="S15" s="1" t="str">
        <f>IF(tblDados[[#This Row],[Mandante]]="","",TEXT(tblDados[[#This Row],[Data]],"aaaa-mm-dd")&amp;"|"&amp;TRIM(tblDados[[#This Row],[Mandante]])&amp;"|"&amp;TRIM(tblDados[[#This Row],[Visitante]]))</f>
        <v>2026-07-27|Rosario Central|Racing Club</v>
      </c>
      <c r="T15" s="1">
        <f>IF($G15="",0,IF(COUNTIF($S$2:$S15,$S15)=1,1,0))</f>
        <v>1</v>
      </c>
      <c r="U15" s="19" t="str" cm="1">
        <f t="array" ref="U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 s="19" t="str" cm="1">
        <f t="array" ref="V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 spans="1:22" ht="14.25" customHeight="1" x14ac:dyDescent="0.3">
      <c r="A16" s="1" t="s">
        <v>116</v>
      </c>
      <c r="B16" s="5">
        <v>46230</v>
      </c>
      <c r="C16" s="6">
        <v>0.79166666666666663</v>
      </c>
      <c r="D16" s="1" t="s">
        <v>15</v>
      </c>
      <c r="E16" s="1" t="s">
        <v>2618</v>
      </c>
      <c r="F16" s="1" t="s">
        <v>117</v>
      </c>
      <c r="G16" s="39" t="s">
        <v>118</v>
      </c>
      <c r="H16" s="1">
        <v>2</v>
      </c>
      <c r="I16" s="1">
        <v>1</v>
      </c>
      <c r="J16" s="39" t="s">
        <v>119</v>
      </c>
      <c r="K16" s="1">
        <v>1</v>
      </c>
      <c r="L16" s="1">
        <v>2</v>
      </c>
      <c r="M16" s="1" t="s">
        <v>59</v>
      </c>
      <c r="N16" s="1" t="s">
        <v>120</v>
      </c>
      <c r="O16" s="1">
        <v>1.1599999999999999</v>
      </c>
      <c r="P16" s="1">
        <v>0.5</v>
      </c>
      <c r="Q16" s="1" t="s">
        <v>61</v>
      </c>
      <c r="R16" s="1">
        <v>0.08</v>
      </c>
      <c r="S16" s="1" t="str">
        <f>IF(tblDados[[#This Row],[Mandante]]="","",TEXT(tblDados[[#This Row],[Data]],"aaaa-mm-dd")&amp;"|"&amp;TRIM(tblDados[[#This Row],[Mandante]])&amp;"|"&amp;TRIM(tblDados[[#This Row],[Visitante]]))</f>
        <v>2026-07-27|Cavalry FC|Supra du Québec</v>
      </c>
      <c r="T16" s="1">
        <f>IF($G16="",0,IF(COUNTIF($S$2:$S16,$S16)=1,1,0))</f>
        <v>1</v>
      </c>
      <c r="U16" s="19" t="str" cm="1">
        <f t="array" ref="U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 s="19" t="str" cm="1">
        <f t="array" ref="V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 spans="1:22" ht="14.25" customHeight="1" x14ac:dyDescent="0.3">
      <c r="A17" s="1" t="s">
        <v>121</v>
      </c>
      <c r="B17" s="5">
        <v>46231</v>
      </c>
      <c r="C17" s="6">
        <v>0.79166666666666663</v>
      </c>
      <c r="D17" s="1" t="s">
        <v>12</v>
      </c>
      <c r="E17" s="1" t="s">
        <v>14</v>
      </c>
      <c r="F17" s="1" t="s">
        <v>122</v>
      </c>
      <c r="G17" s="39" t="s">
        <v>123</v>
      </c>
      <c r="H17" s="1">
        <v>1</v>
      </c>
      <c r="I17" s="1">
        <v>0</v>
      </c>
      <c r="J17" s="39" t="s">
        <v>124</v>
      </c>
      <c r="K17" s="1">
        <v>0</v>
      </c>
      <c r="L17" s="1">
        <v>1</v>
      </c>
      <c r="M17" s="1" t="s">
        <v>59</v>
      </c>
      <c r="N17" s="1" t="s">
        <v>74</v>
      </c>
      <c r="O17" s="1">
        <v>1.1100000000000001</v>
      </c>
      <c r="P17" s="1">
        <v>0.5</v>
      </c>
      <c r="Q17" s="1" t="s">
        <v>68</v>
      </c>
      <c r="R17" s="1">
        <v>0</v>
      </c>
      <c r="S17" s="1" t="str">
        <f>IF(tblDados[[#This Row],[Mandante]]="","",TEXT(tblDados[[#This Row],[Data]],"aaaa-mm-dd")&amp;"|"&amp;TRIM(tblDados[[#This Row],[Mandante]])&amp;"|"&amp;TRIM(tblDados[[#This Row],[Visitante]]))</f>
        <v>2026-07-28|Fortaleza|Botafogo SP</v>
      </c>
      <c r="T17" s="1">
        <f>IF($G17="",0,IF(COUNTIF($S$2:$S17,$S17)=1,1,0))</f>
        <v>1</v>
      </c>
      <c r="U17" s="19" t="str" cm="1">
        <f t="array" ref="U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 s="19" t="str" cm="1">
        <f t="array" ref="V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 spans="1:22" ht="14.25" customHeight="1" x14ac:dyDescent="0.3">
      <c r="A18" s="1" t="s">
        <v>125</v>
      </c>
      <c r="B18" s="102">
        <v>46232</v>
      </c>
      <c r="C18" s="6">
        <v>0.69791666666666663</v>
      </c>
      <c r="D18" s="1" t="s">
        <v>24</v>
      </c>
      <c r="E18" s="1" t="s">
        <v>4335</v>
      </c>
      <c r="F18" s="1" t="s">
        <v>4338</v>
      </c>
      <c r="G18" s="39" t="s">
        <v>4339</v>
      </c>
      <c r="H18" s="1">
        <v>4</v>
      </c>
      <c r="I18" s="1">
        <v>1</v>
      </c>
      <c r="J18" s="39" t="s">
        <v>126</v>
      </c>
      <c r="K18" s="1">
        <v>1</v>
      </c>
      <c r="L18" s="1">
        <v>4</v>
      </c>
      <c r="M18" s="1" t="s">
        <v>59</v>
      </c>
      <c r="N18" s="1" t="s">
        <v>60</v>
      </c>
      <c r="O18" s="1">
        <v>1.19</v>
      </c>
      <c r="P18" s="1">
        <v>0.5</v>
      </c>
      <c r="Q18" s="1" t="s">
        <v>61</v>
      </c>
      <c r="R18" s="1">
        <v>0.1</v>
      </c>
      <c r="S18" s="1" t="str">
        <f>IF(tblDados[[#This Row],[Mandante]]="","",TEXT(tblDados[[#This Row],[Data]],"aaaa-mm-dd")&amp;"|"&amp;TRIM(tblDados[[#This Row],[Mandante]])&amp;"|"&amp;TRIM(tblDados[[#This Row],[Visitante]]))</f>
        <v>2026-07-29|Throttur (Þróttur)|Afturelding</v>
      </c>
      <c r="T18" s="1">
        <f>IF($G18="",0,IF(COUNTIF($S$2:$S18,$S18)=1,1,0))</f>
        <v>1</v>
      </c>
      <c r="U18" s="19" t="str" cm="1">
        <f t="array" ref="U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 s="19" t="str" cm="1">
        <f t="array" ref="V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 spans="1:22" ht="14.25" customHeight="1" x14ac:dyDescent="0.3">
      <c r="A19" s="1" t="s">
        <v>127</v>
      </c>
      <c r="B19" s="5">
        <v>46230</v>
      </c>
      <c r="C19" s="6">
        <v>0.625</v>
      </c>
      <c r="D19" s="1" t="s">
        <v>4</v>
      </c>
      <c r="E19" s="1" t="s">
        <v>5</v>
      </c>
      <c r="F19" s="1" t="s">
        <v>128</v>
      </c>
      <c r="G19" s="39" t="s">
        <v>129</v>
      </c>
      <c r="H19" s="1">
        <v>2</v>
      </c>
      <c r="I19" s="1">
        <v>1</v>
      </c>
      <c r="J19" s="39" t="s">
        <v>130</v>
      </c>
      <c r="K19" s="1">
        <v>1</v>
      </c>
      <c r="L19" s="1">
        <v>2</v>
      </c>
      <c r="M19" s="1" t="s">
        <v>59</v>
      </c>
      <c r="N19" s="1" t="s">
        <v>74</v>
      </c>
      <c r="O19" s="1">
        <v>1.25</v>
      </c>
      <c r="P19" s="1">
        <v>0.5</v>
      </c>
      <c r="Q19" s="1" t="s">
        <v>61</v>
      </c>
      <c r="R19" s="1">
        <v>0.13</v>
      </c>
      <c r="S19" s="1" t="str">
        <f>IF(tblDados[[#This Row],[Mandante]]="","",TEXT(tblDados[[#This Row],[Data]],"aaaa-mm-dd")&amp;"|"&amp;TRIM(tblDados[[#This Row],[Mandante]])&amp;"|"&amp;TRIM(tblDados[[#This Row],[Visitante]]))</f>
        <v>2026-07-27|Defensa y Justicia|Deportivo Riestra</v>
      </c>
      <c r="T19" s="1">
        <f>IF($G19="",0,IF(COUNTIF($S$2:$S19,$S19)=1,1,0))</f>
        <v>1</v>
      </c>
      <c r="U19" s="19" t="str" cm="1">
        <f t="array" ref="U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 s="19" t="str" cm="1">
        <f t="array" ref="V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 spans="1:22" ht="14.25" customHeight="1" x14ac:dyDescent="0.3">
      <c r="A20" s="1" t="s">
        <v>131</v>
      </c>
      <c r="B20" s="102">
        <v>46232</v>
      </c>
      <c r="C20" s="6">
        <v>0.67708333333333337</v>
      </c>
      <c r="D20" s="1" t="s">
        <v>24</v>
      </c>
      <c r="E20" s="1" t="s">
        <v>4335</v>
      </c>
      <c r="F20" s="1" t="s">
        <v>738</v>
      </c>
      <c r="G20" s="39" t="s">
        <v>132</v>
      </c>
      <c r="H20" s="1">
        <v>1</v>
      </c>
      <c r="I20" s="1">
        <v>0</v>
      </c>
      <c r="J20" s="39" t="s">
        <v>705</v>
      </c>
      <c r="K20" s="1">
        <v>0</v>
      </c>
      <c r="L20" s="1">
        <v>1</v>
      </c>
      <c r="M20" s="1" t="s">
        <v>59</v>
      </c>
      <c r="N20" s="1" t="s">
        <v>60</v>
      </c>
      <c r="O20" s="1">
        <v>1.2749999999999999</v>
      </c>
      <c r="P20" s="1">
        <v>0.5</v>
      </c>
      <c r="Q20" s="1" t="s">
        <v>73</v>
      </c>
      <c r="R20" s="1">
        <v>-0.5</v>
      </c>
      <c r="S20" s="1" t="str">
        <f>IF(tblDados[[#This Row],[Mandante]]="","",TEXT(tblDados[[#This Row],[Data]],"aaaa-mm-dd")&amp;"|"&amp;TRIM(tblDados[[#This Row],[Mandante]])&amp;"|"&amp;TRIM(tblDados[[#This Row],[Visitante]]))</f>
        <v>2026-07-29|Grindavik|Leiknir</v>
      </c>
      <c r="T20" s="1">
        <f>IF($G20="",0,IF(COUNTIF($S$2:$S20,$S20)=1,1,0))</f>
        <v>1</v>
      </c>
      <c r="U20" s="19" t="str" cm="1">
        <f t="array" ref="U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 s="19" t="str" cm="1">
        <f t="array" ref="V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 spans="1:22" ht="14.25" customHeight="1" x14ac:dyDescent="0.3">
      <c r="A21" s="1" t="s">
        <v>133</v>
      </c>
      <c r="B21" s="102">
        <v>46232</v>
      </c>
      <c r="C21" s="6">
        <v>0.66666666666666663</v>
      </c>
      <c r="D21" s="1" t="s">
        <v>12</v>
      </c>
      <c r="E21" s="1" t="s">
        <v>13</v>
      </c>
      <c r="F21" s="1" t="s">
        <v>134</v>
      </c>
      <c r="G21" s="39" t="s">
        <v>135</v>
      </c>
      <c r="H21" s="1">
        <v>2</v>
      </c>
      <c r="I21" s="1">
        <v>1</v>
      </c>
      <c r="J21" s="39" t="s">
        <v>136</v>
      </c>
      <c r="K21" s="1">
        <v>1</v>
      </c>
      <c r="L21" s="1">
        <v>2</v>
      </c>
      <c r="M21" s="1" t="s">
        <v>59</v>
      </c>
      <c r="N21" s="1" t="s">
        <v>60</v>
      </c>
      <c r="O21" s="1">
        <v>1.4</v>
      </c>
      <c r="P21" s="1">
        <v>0.5</v>
      </c>
      <c r="Q21" s="1" t="s">
        <v>61</v>
      </c>
      <c r="R21" s="1">
        <v>0.2</v>
      </c>
      <c r="S21" s="1" t="str">
        <f>IF(tblDados[[#This Row],[Mandante]]="","",TEXT(tblDados[[#This Row],[Data]],"aaaa-mm-dd")&amp;"|"&amp;TRIM(tblDados[[#This Row],[Mandante]])&amp;"|"&amp;TRIM(tblDados[[#This Row],[Visitante]]))</f>
        <v>2026-07-29|Mirassol|Remo</v>
      </c>
      <c r="T21" s="1">
        <f>IF($G21="",0,IF(COUNTIF($S$2:$S21,$S21)=1,1,0))</f>
        <v>1</v>
      </c>
      <c r="U21" s="19" t="str" cm="1">
        <f t="array" ref="U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 s="19" t="str" cm="1">
        <f t="array" ref="V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 spans="1:22" ht="14.25" customHeight="1" x14ac:dyDescent="0.3">
      <c r="A22" s="1" t="s">
        <v>137</v>
      </c>
      <c r="B22" s="5">
        <v>46230</v>
      </c>
      <c r="C22" s="6">
        <v>0.625</v>
      </c>
      <c r="D22" s="1" t="s">
        <v>4</v>
      </c>
      <c r="E22" s="1" t="s">
        <v>5</v>
      </c>
      <c r="F22" s="1" t="s">
        <v>138</v>
      </c>
      <c r="G22" s="39" t="s">
        <v>139</v>
      </c>
      <c r="H22" s="1">
        <v>1</v>
      </c>
      <c r="I22" s="1">
        <v>0</v>
      </c>
      <c r="J22" s="39" t="s">
        <v>140</v>
      </c>
      <c r="K22" s="1">
        <v>0</v>
      </c>
      <c r="L22" s="1">
        <v>1</v>
      </c>
      <c r="M22" s="1" t="s">
        <v>59</v>
      </c>
      <c r="N22" s="1" t="s">
        <v>120</v>
      </c>
      <c r="O22" s="1">
        <v>1.5</v>
      </c>
      <c r="P22" s="1">
        <v>0.5</v>
      </c>
      <c r="Q22" s="1" t="s">
        <v>73</v>
      </c>
      <c r="R22" s="1">
        <v>-0.5</v>
      </c>
      <c r="S22" s="1" t="str">
        <f>IF(tblDados[[#This Row],[Mandante]]="","",TEXT(tblDados[[#This Row],[Data]],"aaaa-mm-dd")&amp;"|"&amp;TRIM(tblDados[[#This Row],[Mandante]])&amp;"|"&amp;TRIM(tblDados[[#This Row],[Visitante]]))</f>
        <v>2026-07-27|Gimnasia LP|River Plate</v>
      </c>
      <c r="T22" s="1">
        <f>IF($G22="",0,IF(COUNTIF($S$2:$S22,$S22)=1,1,0))</f>
        <v>1</v>
      </c>
      <c r="U22" s="19" t="str" cm="1">
        <f t="array" ref="U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 s="19" t="str" cm="1">
        <f t="array" ref="V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 spans="1:22" ht="14.25" customHeight="1" x14ac:dyDescent="0.3">
      <c r="A23" s="1" t="s">
        <v>141</v>
      </c>
      <c r="B23" s="102">
        <v>46232</v>
      </c>
      <c r="C23" s="6">
        <v>0.66666666666666663</v>
      </c>
      <c r="D23" s="1" t="s">
        <v>12</v>
      </c>
      <c r="E23" s="1" t="s">
        <v>13</v>
      </c>
      <c r="F23" s="1" t="s">
        <v>142</v>
      </c>
      <c r="G23" s="39" t="s">
        <v>143</v>
      </c>
      <c r="H23" s="1">
        <v>1</v>
      </c>
      <c r="I23" s="1">
        <v>1</v>
      </c>
      <c r="J23" s="39" t="s">
        <v>144</v>
      </c>
      <c r="K23" s="1">
        <v>1</v>
      </c>
      <c r="L23" s="1">
        <v>1</v>
      </c>
      <c r="M23" s="1" t="s">
        <v>59</v>
      </c>
      <c r="N23" s="1" t="s">
        <v>60</v>
      </c>
      <c r="O23" s="1">
        <v>1.4750000000000001</v>
      </c>
      <c r="P23" s="1">
        <v>0.5</v>
      </c>
      <c r="Q23" s="1" t="s">
        <v>68</v>
      </c>
      <c r="R23" s="1">
        <v>0</v>
      </c>
      <c r="S23" s="1" t="str">
        <f>IF(tblDados[[#This Row],[Mandante]]="","",TEXT(tblDados[[#This Row],[Data]],"aaaa-mm-dd")&amp;"|"&amp;TRIM(tblDados[[#This Row],[Mandante]])&amp;"|"&amp;TRIM(tblDados[[#This Row],[Visitante]]))</f>
        <v>2026-07-29|Internacional|Flamengo</v>
      </c>
      <c r="T23" s="1">
        <f>IF($G23="",0,IF(COUNTIF($S$2:$S23,$S23)=1,1,0))</f>
        <v>1</v>
      </c>
      <c r="U23" s="19" t="str" cm="1">
        <f t="array" ref="U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 s="19" t="str" cm="1">
        <f t="array" ref="V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 spans="1:22" ht="14.25" customHeight="1" x14ac:dyDescent="0.3">
      <c r="A24" s="1" t="s">
        <v>145</v>
      </c>
      <c r="B24" s="102">
        <v>46206</v>
      </c>
      <c r="C24" s="6">
        <v>0.875</v>
      </c>
      <c r="D24" s="1" t="s">
        <v>17</v>
      </c>
      <c r="E24" s="1" t="s">
        <v>4102</v>
      </c>
      <c r="F24" s="1" t="s">
        <v>4103</v>
      </c>
      <c r="G24" s="39" t="s">
        <v>146</v>
      </c>
      <c r="H24" s="1">
        <v>4</v>
      </c>
      <c r="I24" s="1">
        <v>0</v>
      </c>
      <c r="J24" s="39" t="s">
        <v>147</v>
      </c>
      <c r="K24" s="1">
        <v>0</v>
      </c>
      <c r="L24" s="1">
        <v>4</v>
      </c>
      <c r="M24" s="1" t="s">
        <v>59</v>
      </c>
      <c r="N24" s="1" t="s">
        <v>60</v>
      </c>
      <c r="O24" s="1">
        <v>1.25</v>
      </c>
      <c r="P24" s="1">
        <v>0.5</v>
      </c>
      <c r="Q24" s="1" t="s">
        <v>73</v>
      </c>
      <c r="R24" s="1">
        <v>-0.5</v>
      </c>
      <c r="S24" s="1" t="str">
        <f>IF(tblDados[[#This Row],[Mandante]]="","",TEXT(tblDados[[#This Row],[Data]],"aaaa-mm-dd")&amp;"|"&amp;TRIM(tblDados[[#This Row],[Mandante]])&amp;"|"&amp;TRIM(tblDados[[#This Row],[Visitante]]))</f>
        <v>2026-07-03|Independiente del Valle|Manta FC</v>
      </c>
      <c r="T24" s="1">
        <f>IF($G24="",0,IF(COUNTIF($S$2:$S24,$S24)=1,1,0))</f>
        <v>1</v>
      </c>
      <c r="U24" s="19" t="str" cm="1">
        <f t="array" ref="U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 s="19" t="str" cm="1">
        <f t="array" ref="V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 spans="1:22" ht="14.25" customHeight="1" x14ac:dyDescent="0.3">
      <c r="A25" s="1" t="s">
        <v>148</v>
      </c>
      <c r="B25" s="102">
        <v>46232</v>
      </c>
      <c r="C25" s="6">
        <v>0.66666666666666663</v>
      </c>
      <c r="D25" s="1" t="s">
        <v>12</v>
      </c>
      <c r="E25" s="1" t="s">
        <v>13</v>
      </c>
      <c r="F25" s="1" t="s">
        <v>149</v>
      </c>
      <c r="G25" s="39" t="s">
        <v>150</v>
      </c>
      <c r="H25" s="1">
        <v>0</v>
      </c>
      <c r="I25" s="1">
        <v>4</v>
      </c>
      <c r="J25" s="39" t="s">
        <v>151</v>
      </c>
      <c r="K25" s="1">
        <v>4</v>
      </c>
      <c r="L25" s="1">
        <v>0</v>
      </c>
      <c r="M25" s="1" t="s">
        <v>59</v>
      </c>
      <c r="N25" s="1" t="s">
        <v>152</v>
      </c>
      <c r="O25" s="1">
        <v>1.5249999999999999</v>
      </c>
      <c r="P25" s="1">
        <v>0.5</v>
      </c>
      <c r="Q25" s="1" t="s">
        <v>61</v>
      </c>
      <c r="R25" s="1">
        <v>0.27</v>
      </c>
      <c r="S25" s="1" t="str">
        <f>IF(tblDados[[#This Row],[Mandante]]="","",TEXT(tblDados[[#This Row],[Data]],"aaaa-mm-dd")&amp;"|"&amp;TRIM(tblDados[[#This Row],[Mandante]])&amp;"|"&amp;TRIM(tblDados[[#This Row],[Visitante]]))</f>
        <v>2026-07-29|Vitória|Palmeiras</v>
      </c>
      <c r="T25" s="1">
        <f>IF($G25="",0,IF(COUNTIF($S$2:$S25,$S25)=1,1,0))</f>
        <v>1</v>
      </c>
      <c r="U25" s="19" t="str" cm="1">
        <f t="array" ref="U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 s="19" t="str" cm="1">
        <f t="array" ref="V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 spans="1:22" ht="14.25" customHeight="1" x14ac:dyDescent="0.3">
      <c r="A26" s="1" t="s">
        <v>153</v>
      </c>
      <c r="B26" s="5">
        <v>46230</v>
      </c>
      <c r="C26" s="6">
        <v>0.625</v>
      </c>
      <c r="D26" s="1" t="s">
        <v>4</v>
      </c>
      <c r="E26" s="1" t="s">
        <v>5</v>
      </c>
      <c r="F26" s="1" t="s">
        <v>154</v>
      </c>
      <c r="G26" s="39" t="s">
        <v>155</v>
      </c>
      <c r="H26" s="1">
        <v>2</v>
      </c>
      <c r="I26" s="1">
        <v>1</v>
      </c>
      <c r="J26" s="39" t="s">
        <v>156</v>
      </c>
      <c r="K26" s="1">
        <v>1</v>
      </c>
      <c r="L26" s="1">
        <v>2</v>
      </c>
      <c r="M26" s="1" t="s">
        <v>59</v>
      </c>
      <c r="N26" s="1" t="s">
        <v>157</v>
      </c>
      <c r="O26" s="1">
        <v>1.4</v>
      </c>
      <c r="P26" s="1">
        <v>0.5</v>
      </c>
      <c r="Q26" s="1" t="s">
        <v>73</v>
      </c>
      <c r="R26" s="1">
        <v>-0.5</v>
      </c>
      <c r="S26" s="1" t="str">
        <f>IF(tblDados[[#This Row],[Mandante]]="","",TEXT(tblDados[[#This Row],[Data]],"aaaa-mm-dd")&amp;"|"&amp;TRIM(tblDados[[#This Row],[Mandante]])&amp;"|"&amp;TRIM(tblDados[[#This Row],[Visitante]]))</f>
        <v>2026-07-27|Instituto Córdoba|Platense</v>
      </c>
      <c r="T26" s="1">
        <f>IF($G26="",0,IF(COUNTIF($S$2:$S26,$S26)=1,1,0))</f>
        <v>1</v>
      </c>
      <c r="U26" s="19" t="str" cm="1">
        <f t="array" ref="U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 s="19" t="str" cm="1">
        <f t="array" ref="V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 spans="1:22" ht="14.25" customHeight="1" x14ac:dyDescent="0.3">
      <c r="A27" s="1" t="s">
        <v>158</v>
      </c>
      <c r="B27" s="102">
        <v>46232</v>
      </c>
      <c r="C27" s="6">
        <v>0.66666666666666663</v>
      </c>
      <c r="D27" s="1" t="s">
        <v>12</v>
      </c>
      <c r="E27" s="1" t="s">
        <v>13</v>
      </c>
      <c r="F27" s="1" t="s">
        <v>159</v>
      </c>
      <c r="G27" s="39" t="s">
        <v>160</v>
      </c>
      <c r="H27" s="1">
        <v>0</v>
      </c>
      <c r="I27" s="1">
        <v>0</v>
      </c>
      <c r="J27" s="39" t="s">
        <v>161</v>
      </c>
      <c r="K27" s="1">
        <v>0</v>
      </c>
      <c r="L27" s="1">
        <v>0</v>
      </c>
      <c r="M27" s="1" t="s">
        <v>59</v>
      </c>
      <c r="N27" s="1" t="s">
        <v>60</v>
      </c>
      <c r="O27" s="1">
        <v>1.4</v>
      </c>
      <c r="P27" s="1">
        <v>0.5</v>
      </c>
      <c r="Q27" s="1" t="s">
        <v>73</v>
      </c>
      <c r="R27" s="1">
        <v>-0.5</v>
      </c>
      <c r="S27" s="1" t="str">
        <f>IF(tblDados[[#This Row],[Mandante]]="","",TEXT(tblDados[[#This Row],[Data]],"aaaa-mm-dd")&amp;"|"&amp;TRIM(tblDados[[#This Row],[Mandante]])&amp;"|"&amp;TRIM(tblDados[[#This Row],[Visitante]]))</f>
        <v>2026-07-29|Fluminense|Bahia</v>
      </c>
      <c r="T27" s="1">
        <f>IF($G27="",0,IF(COUNTIF($S$2:$S27,$S27)=1,1,0))</f>
        <v>1</v>
      </c>
      <c r="U27" s="19" t="str" cm="1">
        <f t="array" ref="U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 s="19" t="str" cm="1">
        <f t="array" ref="V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 spans="1:22" ht="14.25" customHeight="1" x14ac:dyDescent="0.3">
      <c r="A28" s="1" t="s">
        <v>162</v>
      </c>
      <c r="B28" s="5">
        <v>46233</v>
      </c>
      <c r="C28" s="6">
        <v>0.52083333333333337</v>
      </c>
      <c r="D28" s="1" t="s">
        <v>18</v>
      </c>
      <c r="E28" s="1" t="s">
        <v>21</v>
      </c>
      <c r="F28" s="1" t="s">
        <v>801</v>
      </c>
      <c r="G28" s="39" t="s">
        <v>769</v>
      </c>
      <c r="H28" s="1">
        <v>2</v>
      </c>
      <c r="I28" s="1">
        <v>2</v>
      </c>
      <c r="J28" s="39" t="s">
        <v>163</v>
      </c>
      <c r="K28" s="1">
        <v>2</v>
      </c>
      <c r="L28" s="1">
        <v>2</v>
      </c>
      <c r="M28" s="1" t="s">
        <v>59</v>
      </c>
      <c r="N28" s="1" t="s">
        <v>60</v>
      </c>
      <c r="O28" s="1">
        <v>1.3049999999999999</v>
      </c>
      <c r="P28" s="1">
        <v>0.5</v>
      </c>
      <c r="Q28" s="1" t="s">
        <v>62</v>
      </c>
      <c r="R28" s="1">
        <v>0.05</v>
      </c>
      <c r="S28" s="1" t="str">
        <f>IF(tblDados[[#This Row],[Mandante]]="","",TEXT(tblDados[[#This Row],[Data]],"aaaa-mm-dd")&amp;"|"&amp;TRIM(tblDados[[#This Row],[Mandante]])&amp;"|"&amp;TRIM(tblDados[[#This Row],[Visitante]]))</f>
        <v>2026-07-30|Jazz Pori|KuPS Akatemia</v>
      </c>
      <c r="T28" s="1">
        <f>IF($G28="",0,IF(COUNTIF($S$2:$S28,$S28)=1,1,0))</f>
        <v>1</v>
      </c>
      <c r="U28" s="19" t="str" cm="1">
        <f t="array" ref="U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 s="19" t="str" cm="1">
        <f t="array" ref="V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 spans="1:22" ht="14.25" customHeight="1" x14ac:dyDescent="0.3">
      <c r="A29" s="1" t="s">
        <v>164</v>
      </c>
      <c r="B29" s="5">
        <v>46233</v>
      </c>
      <c r="C29" s="6">
        <v>0.58333333333333337</v>
      </c>
      <c r="D29" s="1" t="s">
        <v>30</v>
      </c>
      <c r="E29" s="1" t="s">
        <v>35</v>
      </c>
      <c r="F29" s="1" t="s">
        <v>165</v>
      </c>
      <c r="G29" s="39" t="s">
        <v>166</v>
      </c>
      <c r="H29" s="1">
        <v>5</v>
      </c>
      <c r="I29" s="1">
        <v>1</v>
      </c>
      <c r="J29" s="39" t="s">
        <v>167</v>
      </c>
      <c r="K29" s="1">
        <v>1</v>
      </c>
      <c r="L29" s="1">
        <v>5</v>
      </c>
      <c r="M29" s="1" t="s">
        <v>59</v>
      </c>
      <c r="N29" s="1" t="s">
        <v>60</v>
      </c>
      <c r="O29" s="1">
        <v>1.22</v>
      </c>
      <c r="P29" s="1">
        <v>0.5</v>
      </c>
      <c r="Q29" s="1" t="s">
        <v>61</v>
      </c>
      <c r="R29" s="1">
        <v>0.11</v>
      </c>
      <c r="S29" s="1" t="str">
        <f>IF(tblDados[[#This Row],[Mandante]]="","",TEXT(tblDados[[#This Row],[Data]],"aaaa-mm-dd")&amp;"|"&amp;TRIM(tblDados[[#This Row],[Mandante]])&amp;"|"&amp;TRIM(tblDados[[#This Row],[Visitante]]))</f>
        <v>2026-07-30|FK Karlskrona|Nosaby IF</v>
      </c>
      <c r="T29" s="1">
        <f>IF($G29="",0,IF(COUNTIF($S$2:$S29,$S29)=1,1,0))</f>
        <v>1</v>
      </c>
      <c r="U29" s="19" t="str" cm="1">
        <f t="array" ref="U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 s="19" t="str" cm="1">
        <f t="array" ref="V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 spans="1:22" ht="14.25" customHeight="1" x14ac:dyDescent="0.3">
      <c r="A30" s="1" t="s">
        <v>169</v>
      </c>
      <c r="B30" s="5">
        <v>46230</v>
      </c>
      <c r="C30" s="6">
        <v>0.625</v>
      </c>
      <c r="D30" s="1" t="s">
        <v>4</v>
      </c>
      <c r="E30" s="1" t="s">
        <v>5</v>
      </c>
      <c r="F30" s="1" t="s">
        <v>170</v>
      </c>
      <c r="G30" s="39" t="s">
        <v>171</v>
      </c>
      <c r="H30" s="1">
        <v>2</v>
      </c>
      <c r="I30" s="1">
        <v>1</v>
      </c>
      <c r="J30" s="39" t="s">
        <v>172</v>
      </c>
      <c r="K30" s="1">
        <v>1</v>
      </c>
      <c r="L30" s="1">
        <v>2</v>
      </c>
      <c r="M30" s="1" t="s">
        <v>59</v>
      </c>
      <c r="N30" s="1" t="s">
        <v>168</v>
      </c>
      <c r="O30" s="1">
        <v>1.1499999999999999</v>
      </c>
      <c r="P30" s="1">
        <v>0.5</v>
      </c>
      <c r="Q30" s="1" t="s">
        <v>68</v>
      </c>
      <c r="R30" s="1">
        <v>0</v>
      </c>
      <c r="S30" s="1" t="str">
        <f>IF(tblDados[[#This Row],[Mandante]]="","",TEXT(tblDados[[#This Row],[Data]],"aaaa-mm-dd")&amp;"|"&amp;TRIM(tblDados[[#This Row],[Mandante]])&amp;"|"&amp;TRIM(tblDados[[#This Row],[Visitante]]))</f>
        <v>2026-07-27|Independiente Rivadavia|Huracán</v>
      </c>
      <c r="T30" s="1">
        <f>IF($G30="",0,IF(COUNTIF($S$2:$S30,$S30)=1,1,0))</f>
        <v>1</v>
      </c>
      <c r="U30" s="19" t="str" cm="1">
        <f t="array" ref="U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 s="19" t="str" cm="1">
        <f t="array" ref="V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 spans="1:22" ht="14.25" customHeight="1" x14ac:dyDescent="0.3">
      <c r="A31" s="1" t="s">
        <v>173</v>
      </c>
      <c r="B31" s="5">
        <v>46233</v>
      </c>
      <c r="C31" s="6">
        <v>0.70833333333333337</v>
      </c>
      <c r="D31" s="1" t="s">
        <v>12</v>
      </c>
      <c r="E31" s="1" t="s">
        <v>13</v>
      </c>
      <c r="F31" s="1" t="s">
        <v>514</v>
      </c>
      <c r="G31" s="39" t="s">
        <v>174</v>
      </c>
      <c r="H31" s="1">
        <v>0</v>
      </c>
      <c r="I31" s="1">
        <v>0</v>
      </c>
      <c r="J31" s="39" t="s">
        <v>505</v>
      </c>
      <c r="K31" s="1">
        <v>0</v>
      </c>
      <c r="L31" s="1">
        <v>0</v>
      </c>
      <c r="M31" s="1" t="s">
        <v>59</v>
      </c>
      <c r="N31" s="1" t="s">
        <v>74</v>
      </c>
      <c r="O31" s="1">
        <v>1.1599999999999999</v>
      </c>
      <c r="P31" s="1">
        <v>0.5</v>
      </c>
      <c r="Q31" s="1" t="s">
        <v>73</v>
      </c>
      <c r="R31" s="1">
        <v>-0.5</v>
      </c>
      <c r="S31" s="1" t="str">
        <f>IF(tblDados[[#This Row],[Mandante]]="","",TEXT(tblDados[[#This Row],[Data]],"aaaa-mm-dd")&amp;"|"&amp;TRIM(tblDados[[#This Row],[Mandante]])&amp;"|"&amp;TRIM(tblDados[[#This Row],[Visitante]]))</f>
        <v>2026-07-30|Corinthians|Athletico-PR</v>
      </c>
      <c r="T31" s="1">
        <f>IF($G31="",0,IF(COUNTIF($S$2:$S31,$S31)=1,1,0))</f>
        <v>1</v>
      </c>
      <c r="U31" s="19" t="str" cm="1">
        <f t="array" ref="U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 s="19" t="str" cm="1">
        <f t="array" ref="V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 spans="1:22" ht="14.25" customHeight="1" x14ac:dyDescent="0.3">
      <c r="A32" s="1" t="s">
        <v>175</v>
      </c>
      <c r="B32" s="102">
        <v>46233</v>
      </c>
      <c r="C32" s="6">
        <v>0.70833333333333337</v>
      </c>
      <c r="D32" s="1" t="s">
        <v>12</v>
      </c>
      <c r="E32" s="1" t="s">
        <v>13</v>
      </c>
      <c r="F32" s="1" t="s">
        <v>176</v>
      </c>
      <c r="G32" s="39" t="s">
        <v>177</v>
      </c>
      <c r="H32" s="1">
        <v>0</v>
      </c>
      <c r="I32" s="1">
        <v>1</v>
      </c>
      <c r="J32" s="39" t="s">
        <v>178</v>
      </c>
      <c r="K32" s="1">
        <v>1</v>
      </c>
      <c r="L32" s="1">
        <v>0</v>
      </c>
      <c r="M32" s="1" t="s">
        <v>59</v>
      </c>
      <c r="N32" s="1" t="s">
        <v>74</v>
      </c>
      <c r="O32" s="1">
        <v>1.115</v>
      </c>
      <c r="P32" s="1">
        <v>0.5</v>
      </c>
      <c r="Q32" s="1" t="s">
        <v>68</v>
      </c>
      <c r="R32" s="1">
        <v>0</v>
      </c>
      <c r="S32" s="1" t="str">
        <f>IF(tblDados[[#This Row],[Mandante]]="","",TEXT(tblDados[[#This Row],[Data]],"aaaa-mm-dd")&amp;"|"&amp;TRIM(tblDados[[#This Row],[Mandante]])&amp;"|"&amp;TRIM(tblDados[[#This Row],[Visitante]]))</f>
        <v>2026-07-30|Coritiba|Cruzeiro</v>
      </c>
      <c r="T32" s="1">
        <f>IF($G32="",0,IF(COUNTIF($S$2:$S32,$S32)=1,1,0))</f>
        <v>1</v>
      </c>
      <c r="U32" s="19" t="str" cm="1">
        <f t="array" ref="U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 s="19" t="str" cm="1">
        <f t="array" ref="V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 spans="1:22" ht="14.25" customHeight="1" x14ac:dyDescent="0.3">
      <c r="A33" s="1" t="s">
        <v>179</v>
      </c>
      <c r="B33" s="5">
        <v>46234</v>
      </c>
      <c r="C33" s="6">
        <v>0.77083333333333337</v>
      </c>
      <c r="D33" s="1" t="s">
        <v>10</v>
      </c>
      <c r="E33" s="1" t="s">
        <v>11</v>
      </c>
      <c r="F33" s="1" t="s">
        <v>180</v>
      </c>
      <c r="G33" s="39" t="s">
        <v>181</v>
      </c>
      <c r="H33" s="1">
        <v>1</v>
      </c>
      <c r="I33" s="1">
        <v>1</v>
      </c>
      <c r="J33" s="39" t="s">
        <v>182</v>
      </c>
      <c r="K33" s="1">
        <v>1</v>
      </c>
      <c r="L33" s="1">
        <v>1</v>
      </c>
      <c r="M33" s="1" t="s">
        <v>59</v>
      </c>
      <c r="N33" s="1" t="s">
        <v>85</v>
      </c>
      <c r="O33" s="1">
        <v>1.105</v>
      </c>
      <c r="P33" s="1">
        <v>0.5</v>
      </c>
      <c r="Q33" s="1" t="s">
        <v>61</v>
      </c>
      <c r="R33" s="1">
        <v>0.06</v>
      </c>
      <c r="S33" s="1" t="str">
        <f>IF(tblDados[[#This Row],[Mandante]]="","",TEXT(tblDados[[#This Row],[Data]],"aaaa-mm-dd")&amp;"|"&amp;TRIM(tblDados[[#This Row],[Mandante]])&amp;"|"&amp;TRIM(tblDados[[#This Row],[Visitante]]))</f>
        <v>2026-07-31|The Strongest|Club Aurora</v>
      </c>
      <c r="T33" s="1">
        <f>IF($G33="",0,IF(COUNTIF($S$2:$S33,$S33)=1,1,0))</f>
        <v>1</v>
      </c>
      <c r="U33" s="19" t="str" cm="1">
        <f t="array" ref="U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 s="19" t="str" cm="1">
        <f t="array" ref="V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 spans="1:22" ht="14.25" customHeight="1" x14ac:dyDescent="0.3">
      <c r="A34" s="1" t="s">
        <v>183</v>
      </c>
      <c r="B34" s="5">
        <v>46234</v>
      </c>
      <c r="C34" s="6">
        <v>0.79166666666666663</v>
      </c>
      <c r="D34" s="1" t="s">
        <v>37</v>
      </c>
      <c r="E34" s="1" t="s">
        <v>38</v>
      </c>
      <c r="F34" s="1" t="s">
        <v>184</v>
      </c>
      <c r="G34" s="39" t="s">
        <v>185</v>
      </c>
      <c r="H34" s="1">
        <v>0</v>
      </c>
      <c r="I34" s="1">
        <v>2</v>
      </c>
      <c r="J34" s="39" t="s">
        <v>186</v>
      </c>
      <c r="K34" s="1">
        <v>2</v>
      </c>
      <c r="L34" s="1">
        <v>0</v>
      </c>
      <c r="M34" s="1" t="s">
        <v>59</v>
      </c>
      <c r="N34" s="1" t="s">
        <v>85</v>
      </c>
      <c r="O34" s="1">
        <v>1.19</v>
      </c>
      <c r="P34" s="1">
        <v>0.5</v>
      </c>
      <c r="Q34" s="1" t="s">
        <v>61</v>
      </c>
      <c r="R34" s="1">
        <v>0.1</v>
      </c>
      <c r="S34" s="1" t="str">
        <f>IF(tblDados[[#This Row],[Mandante]]="","",TEXT(tblDados[[#This Row],[Data]],"aaaa-mm-dd")&amp;"|"&amp;TRIM(tblDados[[#This Row],[Mandante]])&amp;"|"&amp;TRIM(tblDados[[#This Row],[Visitante]]))</f>
        <v>2026-07-31|Montevideo City Torque|M. Wanderers</v>
      </c>
      <c r="T34" s="1">
        <f>IF($G34="",0,IF(COUNTIF($S$2:$S34,$S34)=1,1,0))</f>
        <v>1</v>
      </c>
      <c r="U34" s="19" t="str" cm="1">
        <f t="array" ref="U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 s="19" t="str" cm="1">
        <f t="array" ref="V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 spans="1:22" ht="14.25" customHeight="1" x14ac:dyDescent="0.3">
      <c r="A35" s="1" t="s">
        <v>187</v>
      </c>
      <c r="B35" s="5">
        <v>46234</v>
      </c>
      <c r="C35" s="6">
        <v>0.83333333333333337</v>
      </c>
      <c r="D35" s="1" t="s">
        <v>10</v>
      </c>
      <c r="E35" s="1" t="s">
        <v>11</v>
      </c>
      <c r="F35" s="1" t="s">
        <v>188</v>
      </c>
      <c r="G35" s="39" t="s">
        <v>189</v>
      </c>
      <c r="H35" s="1">
        <v>1</v>
      </c>
      <c r="I35" s="1">
        <v>1</v>
      </c>
      <c r="J35" s="39" t="s">
        <v>190</v>
      </c>
      <c r="K35" s="1">
        <v>1</v>
      </c>
      <c r="L35" s="1">
        <v>1</v>
      </c>
      <c r="M35" s="1" t="s">
        <v>59</v>
      </c>
      <c r="N35" s="1" t="s">
        <v>60</v>
      </c>
      <c r="O35" s="1">
        <v>1.175</v>
      </c>
      <c r="P35" s="1">
        <v>0.5</v>
      </c>
      <c r="Q35" s="1" t="s">
        <v>68</v>
      </c>
      <c r="R35" s="1">
        <v>0.05</v>
      </c>
      <c r="S35" s="1" t="str">
        <f>IF(tblDados[[#This Row],[Mandante]]="","",TEXT(tblDados[[#This Row],[Data]],"aaaa-mm-dd")&amp;"|"&amp;TRIM(tblDados[[#This Row],[Mandante]])&amp;"|"&amp;TRIM(tblDados[[#This Row],[Visitante]]))</f>
        <v>2026-07-31|Real Tomayapo|ABB</v>
      </c>
      <c r="T35" s="1">
        <f>IF($G35="",0,IF(COUNTIF($S$2:$S35,$S35)=1,1,0))</f>
        <v>1</v>
      </c>
      <c r="U35" s="19" t="str" cm="1">
        <f t="array" ref="U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 s="19" t="str" cm="1">
        <f t="array" ref="V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 spans="1:22" ht="14.25" customHeight="1" x14ac:dyDescent="0.3">
      <c r="A36" s="1" t="s">
        <v>191</v>
      </c>
      <c r="B36" s="5">
        <v>46234</v>
      </c>
      <c r="C36" s="6">
        <v>0.85416666666666696</v>
      </c>
      <c r="D36" s="1" t="s">
        <v>39</v>
      </c>
      <c r="E36" s="1" t="s">
        <v>3705</v>
      </c>
      <c r="F36" s="1" t="s">
        <v>3910</v>
      </c>
      <c r="G36" s="39" t="s">
        <v>3749</v>
      </c>
      <c r="H36" s="1">
        <v>1</v>
      </c>
      <c r="I36" s="1">
        <v>1</v>
      </c>
      <c r="J36" s="39" t="s">
        <v>192</v>
      </c>
      <c r="K36" s="1">
        <v>1</v>
      </c>
      <c r="L36" s="1">
        <v>1</v>
      </c>
      <c r="M36" s="1" t="s">
        <v>59</v>
      </c>
      <c r="N36" s="1" t="s">
        <v>120</v>
      </c>
      <c r="O36" s="1">
        <v>1.19</v>
      </c>
      <c r="P36" s="1">
        <v>0.5</v>
      </c>
      <c r="Q36" s="1" t="s">
        <v>61</v>
      </c>
      <c r="R36" s="1">
        <v>0.1</v>
      </c>
      <c r="S36" s="1" t="str">
        <f>IF(tblDados[[#This Row],[Mandante]]="","",TEXT(tblDados[[#This Row],[Data]],"aaaa-mm-dd")&amp;"|"&amp;TRIM(tblDados[[#This Row],[Mandante]])&amp;"|"&amp;TRIM(tblDados[[#This Row],[Visitante]]))</f>
        <v>2026-07-31|New York City FC|Toronto FC</v>
      </c>
      <c r="T36" s="1">
        <f>IF($G36="",0,IF(COUNTIF($S$2:$S36,$S36)=1,1,0))</f>
        <v>1</v>
      </c>
      <c r="U36" s="19" t="str" cm="1">
        <f t="array" ref="U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 s="19" t="str" cm="1">
        <f t="array" ref="V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 spans="1:22" ht="14.25" customHeight="1" x14ac:dyDescent="0.3">
      <c r="A37" s="1" t="s">
        <v>193</v>
      </c>
      <c r="B37" s="5">
        <v>46235</v>
      </c>
      <c r="C37" s="6">
        <v>0.875</v>
      </c>
      <c r="D37" s="1" t="s">
        <v>25</v>
      </c>
      <c r="E37" s="1" t="s">
        <v>26</v>
      </c>
      <c r="F37" s="1" t="s">
        <v>194</v>
      </c>
      <c r="G37" s="39" t="s">
        <v>195</v>
      </c>
      <c r="H37" s="1">
        <v>1</v>
      </c>
      <c r="I37" s="1">
        <v>1</v>
      </c>
      <c r="J37" s="39" t="s">
        <v>196</v>
      </c>
      <c r="K37" s="1">
        <v>1</v>
      </c>
      <c r="L37" s="1">
        <v>1</v>
      </c>
      <c r="M37" s="1" t="s">
        <v>59</v>
      </c>
      <c r="N37" s="1" t="s">
        <v>120</v>
      </c>
      <c r="O37" s="1">
        <v>1.19</v>
      </c>
      <c r="P37" s="1">
        <v>0.5</v>
      </c>
      <c r="Q37" s="1" t="s">
        <v>61</v>
      </c>
      <c r="R37" s="1">
        <v>0.1</v>
      </c>
      <c r="S37" s="1" t="str">
        <f>IF(tblDados[[#This Row],[Mandante]]="","",TEXT(tblDados[[#This Row],[Data]],"aaaa-mm-dd")&amp;"|"&amp;TRIM(tblDados[[#This Row],[Mandante]])&amp;"|"&amp;TRIM(tblDados[[#This Row],[Visitante]]))</f>
        <v>2026-08-01|Puebla|Chivas Guadalajara</v>
      </c>
      <c r="T37" s="1">
        <f>IF($G37="",0,IF(COUNTIF($S$2:$S37,$S37)=1,1,0))</f>
        <v>1</v>
      </c>
      <c r="U37" s="19" t="str" cm="1">
        <f t="array" ref="U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 s="19" t="str" cm="1">
        <f t="array" ref="V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 spans="1:22" ht="14.25" customHeight="1" x14ac:dyDescent="0.3">
      <c r="A38" s="1" t="s">
        <v>197</v>
      </c>
      <c r="B38" s="5">
        <v>46235</v>
      </c>
      <c r="C38" s="6">
        <v>0.79166666666666663</v>
      </c>
      <c r="D38" s="1" t="s">
        <v>15</v>
      </c>
      <c r="E38" s="1" t="s">
        <v>2618</v>
      </c>
      <c r="F38" s="1" t="s">
        <v>393</v>
      </c>
      <c r="G38" s="39" t="s">
        <v>198</v>
      </c>
      <c r="H38" s="1">
        <v>1</v>
      </c>
      <c r="I38" s="1">
        <v>2</v>
      </c>
      <c r="J38" s="39" t="s">
        <v>119</v>
      </c>
      <c r="K38" s="1">
        <v>2</v>
      </c>
      <c r="L38" s="1">
        <v>1</v>
      </c>
      <c r="M38" s="1" t="s">
        <v>59</v>
      </c>
      <c r="N38" s="1" t="s">
        <v>120</v>
      </c>
      <c r="O38" s="1">
        <v>1.1599999999999999</v>
      </c>
      <c r="P38" s="1">
        <v>0.5</v>
      </c>
      <c r="Q38" s="1" t="s">
        <v>61</v>
      </c>
      <c r="R38" s="1">
        <v>0.08</v>
      </c>
      <c r="S38" s="1" t="str">
        <f>IF(tblDados[[#This Row],[Mandante]]="","",TEXT(tblDados[[#This Row],[Data]],"aaaa-mm-dd")&amp;"|"&amp;TRIM(tblDados[[#This Row],[Mandante]])&amp;"|"&amp;TRIM(tblDados[[#This Row],[Visitante]]))</f>
        <v>2026-08-01|Pacific FC|Supra du Québec</v>
      </c>
      <c r="T38" s="1">
        <f>IF($G38="",0,IF(COUNTIF($S$2:$S38,$S38)=1,1,0))</f>
        <v>1</v>
      </c>
      <c r="U38" s="19" t="str" cm="1">
        <f t="array" ref="U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 s="19" t="str" cm="1">
        <f t="array" ref="V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 spans="1:22" ht="14.25" customHeight="1" x14ac:dyDescent="0.3">
      <c r="A39" s="1" t="s">
        <v>199</v>
      </c>
      <c r="B39" s="5">
        <v>46235</v>
      </c>
      <c r="C39" s="6">
        <v>0.16666666666666671</v>
      </c>
      <c r="D39" s="1" t="s">
        <v>7</v>
      </c>
      <c r="E39" s="1" t="s">
        <v>1425</v>
      </c>
      <c r="F39" s="1" t="s">
        <v>1575</v>
      </c>
      <c r="G39" s="39" t="s">
        <v>200</v>
      </c>
      <c r="H39" s="1">
        <v>2</v>
      </c>
      <c r="I39" s="1">
        <v>2</v>
      </c>
      <c r="J39" s="39" t="s">
        <v>1442</v>
      </c>
      <c r="K39" s="1">
        <v>2</v>
      </c>
      <c r="L39" s="1">
        <v>2</v>
      </c>
      <c r="M39" s="1" t="s">
        <v>59</v>
      </c>
      <c r="N39" s="1" t="s">
        <v>65</v>
      </c>
      <c r="O39" s="1">
        <v>1.4</v>
      </c>
      <c r="P39" s="1">
        <v>0.5</v>
      </c>
      <c r="Q39" s="1" t="s">
        <v>61</v>
      </c>
      <c r="R39" s="1">
        <v>0.2</v>
      </c>
      <c r="S39" s="1" t="str">
        <f>IF(tblDados[[#This Row],[Mandante]]="","",TEXT(tblDados[[#This Row],[Data]],"aaaa-mm-dd")&amp;"|"&amp;TRIM(tblDados[[#This Row],[Mandante]])&amp;"|"&amp;TRIM(tblDados[[#This Row],[Visitante]]))</f>
        <v>2026-08-01|Western Knights|Perth Glory U23</v>
      </c>
      <c r="T39" s="1">
        <f>IF($G39="",0,IF(COUNTIF($S$2:$S39,$S39)=1,1,0))</f>
        <v>1</v>
      </c>
      <c r="U39" s="19" t="str" cm="1">
        <f t="array" ref="U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 s="19" t="str" cm="1">
        <f t="array" ref="V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 spans="1:22" ht="14.25" customHeight="1" x14ac:dyDescent="0.3">
      <c r="A40" s="1" t="s">
        <v>201</v>
      </c>
      <c r="B40" s="5">
        <v>46235</v>
      </c>
      <c r="C40" s="6">
        <v>0.20833333333333329</v>
      </c>
      <c r="D40" s="1" t="s">
        <v>7</v>
      </c>
      <c r="E40" s="1" t="s">
        <v>8</v>
      </c>
      <c r="F40" s="1" t="s">
        <v>202</v>
      </c>
      <c r="G40" s="39" t="s">
        <v>203</v>
      </c>
      <c r="H40" s="1">
        <v>1</v>
      </c>
      <c r="I40" s="1">
        <v>0</v>
      </c>
      <c r="J40" s="39" t="s">
        <v>204</v>
      </c>
      <c r="K40" s="1">
        <v>0</v>
      </c>
      <c r="L40" s="1">
        <v>1</v>
      </c>
      <c r="M40" s="1" t="s">
        <v>59</v>
      </c>
      <c r="N40" s="1" t="s">
        <v>60</v>
      </c>
      <c r="O40" s="1">
        <v>1.18</v>
      </c>
      <c r="P40" s="1">
        <v>0.5</v>
      </c>
      <c r="Q40" s="1" t="s">
        <v>73</v>
      </c>
      <c r="R40" s="1">
        <v>-0.5</v>
      </c>
      <c r="S40" s="1" t="str">
        <f>IF(tblDados[[#This Row],[Mandante]]="","",TEXT(tblDados[[#This Row],[Data]],"aaaa-mm-dd")&amp;"|"&amp;TRIM(tblDados[[#This Row],[Mandante]])&amp;"|"&amp;TRIM(tblDados[[#This Row],[Visitante]]))</f>
        <v>2026-08-01|Queensland Lions|Peninsula Power</v>
      </c>
      <c r="T40" s="1">
        <f>IF($G40="",0,IF(COUNTIF($S$2:$S40,$S40)=1,1,0))</f>
        <v>1</v>
      </c>
      <c r="U40" s="19" t="str" cm="1">
        <f t="array" ref="U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 s="19" t="str" cm="1">
        <f t="array" ref="V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 spans="1:22" ht="14.25" customHeight="1" x14ac:dyDescent="0.3">
      <c r="A41" s="1" t="s">
        <v>205</v>
      </c>
      <c r="B41" s="5">
        <v>46235</v>
      </c>
      <c r="C41" s="6">
        <v>0.45833333333333331</v>
      </c>
      <c r="D41" s="1" t="s">
        <v>18</v>
      </c>
      <c r="E41" s="1" t="s">
        <v>23</v>
      </c>
      <c r="F41" s="1" t="s">
        <v>636</v>
      </c>
      <c r="G41" s="39" t="s">
        <v>585</v>
      </c>
      <c r="H41" s="1">
        <v>2</v>
      </c>
      <c r="I41" s="1">
        <v>4</v>
      </c>
      <c r="J41" s="39" t="s">
        <v>577</v>
      </c>
      <c r="K41" s="1">
        <v>4</v>
      </c>
      <c r="L41" s="1">
        <v>2</v>
      </c>
      <c r="M41" s="1" t="s">
        <v>59</v>
      </c>
      <c r="N41" s="1" t="s">
        <v>207</v>
      </c>
      <c r="O41" s="1">
        <v>1.2749999999999999</v>
      </c>
      <c r="P41" s="1">
        <v>0.5</v>
      </c>
      <c r="Q41" s="1" t="s">
        <v>61</v>
      </c>
      <c r="R41" s="1">
        <v>0.14000000000000001</v>
      </c>
      <c r="S41" s="1" t="str">
        <f>IF(tblDados[[#This Row],[Mandante]]="","",TEXT(tblDados[[#This Row],[Data]],"aaaa-mm-dd")&amp;"|"&amp;TRIM(tblDados[[#This Row],[Mandante]])&amp;"|"&amp;TRIM(tblDados[[#This Row],[Visitante]]))</f>
        <v>2026-08-01|SJK Akatemia 2|GBK Kokkola</v>
      </c>
      <c r="T41" s="1">
        <f>IF($G41="",0,IF(COUNTIF($S$2:$S41,$S41)=1,1,0))</f>
        <v>1</v>
      </c>
      <c r="U41" s="19" t="str" cm="1">
        <f t="array" ref="U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 s="19" t="str" cm="1">
        <f t="array" ref="V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 spans="1:22" ht="14.25" customHeight="1" x14ac:dyDescent="0.3">
      <c r="A42" s="1" t="s">
        <v>208</v>
      </c>
      <c r="B42" s="5">
        <v>46235</v>
      </c>
      <c r="C42" s="6">
        <v>0.45833333333333331</v>
      </c>
      <c r="D42" s="1" t="s">
        <v>30</v>
      </c>
      <c r="E42" s="1" t="s">
        <v>36</v>
      </c>
      <c r="F42" s="1" t="s">
        <v>6586</v>
      </c>
      <c r="G42" s="39" t="s">
        <v>209</v>
      </c>
      <c r="H42" s="1">
        <v>2</v>
      </c>
      <c r="I42" s="1">
        <v>1</v>
      </c>
      <c r="J42" s="39" t="s">
        <v>958</v>
      </c>
      <c r="K42" s="1">
        <v>1</v>
      </c>
      <c r="L42" s="1">
        <v>2</v>
      </c>
      <c r="M42" s="1" t="s">
        <v>59</v>
      </c>
      <c r="N42" s="1" t="s">
        <v>207</v>
      </c>
      <c r="O42" s="1">
        <v>1.425</v>
      </c>
      <c r="P42" s="1">
        <v>0.5</v>
      </c>
      <c r="Q42" s="1" t="s">
        <v>61</v>
      </c>
      <c r="R42" s="1">
        <v>0.22</v>
      </c>
      <c r="S42" s="1" t="s">
        <v>6587</v>
      </c>
      <c r="T42" s="1">
        <f>IF($G42="",0,IF(COUNTIF($S$2:$S42,$S42)=1,1,0))</f>
        <v>1</v>
      </c>
      <c r="U42" s="19" t="str" cm="1">
        <f t="array" ref="U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 s="19" t="str" cm="1">
        <f t="array" ref="V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 spans="1:22" ht="14.25" customHeight="1" x14ac:dyDescent="0.3">
      <c r="A43" s="1" t="s">
        <v>210</v>
      </c>
      <c r="B43" s="5">
        <v>46235</v>
      </c>
      <c r="C43" s="6">
        <v>0.52083333333333337</v>
      </c>
      <c r="D43" s="1" t="s">
        <v>18</v>
      </c>
      <c r="E43" s="1" t="s">
        <v>23</v>
      </c>
      <c r="F43" s="1" t="s">
        <v>211</v>
      </c>
      <c r="G43" s="39" t="s">
        <v>212</v>
      </c>
      <c r="H43" s="1">
        <v>3</v>
      </c>
      <c r="I43" s="1">
        <v>2</v>
      </c>
      <c r="J43" s="39" t="s">
        <v>213</v>
      </c>
      <c r="K43" s="1">
        <v>2</v>
      </c>
      <c r="L43" s="1">
        <v>3</v>
      </c>
      <c r="M43" s="1" t="s">
        <v>59</v>
      </c>
      <c r="N43" s="1" t="s">
        <v>207</v>
      </c>
      <c r="O43" s="1">
        <v>1.1599999999999999</v>
      </c>
      <c r="P43" s="1">
        <v>0.5</v>
      </c>
      <c r="Q43" s="1" t="s">
        <v>61</v>
      </c>
      <c r="R43" s="1">
        <v>0.08</v>
      </c>
      <c r="S43" s="1" t="str">
        <f>IF(tblDados[[#This Row],[Mandante]]="","",TEXT(tblDados[[#This Row],[Data]],"aaaa-mm-dd")&amp;"|"&amp;TRIM(tblDados[[#This Row],[Mandante]])&amp;"|"&amp;TRIM(tblDados[[#This Row],[Visitante]]))</f>
        <v>2026-08-01|Närpes Kraft|JS Hercules</v>
      </c>
      <c r="T43" s="1">
        <f>IF($G43="",0,IF(COUNTIF($S$2:$S43,$S43)=1,1,0))</f>
        <v>1</v>
      </c>
      <c r="U43" s="19" t="str" cm="1">
        <f t="array" ref="U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 s="19" t="str" cm="1">
        <f t="array" ref="V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 spans="1:22" ht="14.25" customHeight="1" x14ac:dyDescent="0.3">
      <c r="A44" s="1" t="s">
        <v>214</v>
      </c>
      <c r="B44" s="5">
        <v>46235</v>
      </c>
      <c r="C44" s="6">
        <v>0.45833333333333331</v>
      </c>
      <c r="D44" s="1" t="s">
        <v>30</v>
      </c>
      <c r="E44" s="1" t="s">
        <v>33</v>
      </c>
      <c r="F44" s="1" t="s">
        <v>215</v>
      </c>
      <c r="G44" s="39" t="s">
        <v>216</v>
      </c>
      <c r="H44" s="1">
        <v>0</v>
      </c>
      <c r="I44" s="1">
        <v>4</v>
      </c>
      <c r="J44" s="39" t="s">
        <v>217</v>
      </c>
      <c r="K44" s="1">
        <v>4</v>
      </c>
      <c r="L44" s="1">
        <v>0</v>
      </c>
      <c r="M44" s="1" t="s">
        <v>59</v>
      </c>
      <c r="N44" s="1" t="s">
        <v>60</v>
      </c>
      <c r="O44" s="1">
        <v>1.23</v>
      </c>
      <c r="P44" s="1">
        <v>0.5</v>
      </c>
      <c r="Q44" s="1" t="s">
        <v>62</v>
      </c>
      <c r="R44" s="1">
        <v>0.11</v>
      </c>
      <c r="S44" s="1" t="str">
        <f>IF(tblDados[[#This Row],[Mandante]]="","",TEXT(tblDados[[#This Row],[Data]],"aaaa-mm-dd")&amp;"|"&amp;TRIM(tblDados[[#This Row],[Mandante]])&amp;"|"&amp;TRIM(tblDados[[#This Row],[Visitante]]))</f>
        <v>2026-08-01|FC Järfälla|FC Stockholm Internazionale</v>
      </c>
      <c r="T44" s="1">
        <f>IF($G44="",0,IF(COUNTIF($S$2:$S44,$S44)=1,1,0))</f>
        <v>1</v>
      </c>
      <c r="U44" s="19" t="str" cm="1">
        <f t="array" ref="U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 s="19" t="str" cm="1">
        <f t="array" ref="V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 spans="1:22" ht="14.25" customHeight="1" x14ac:dyDescent="0.3">
      <c r="A45" s="1" t="s">
        <v>218</v>
      </c>
      <c r="B45" s="5">
        <v>46235</v>
      </c>
      <c r="C45" s="6">
        <v>0.41666666666666669</v>
      </c>
      <c r="D45" s="1" t="s">
        <v>18</v>
      </c>
      <c r="E45" s="1" t="s">
        <v>22</v>
      </c>
      <c r="F45" s="1" t="s">
        <v>3030</v>
      </c>
      <c r="G45" s="39" t="s">
        <v>294</v>
      </c>
      <c r="H45" s="1">
        <v>2</v>
      </c>
      <c r="I45" s="1">
        <v>2</v>
      </c>
      <c r="J45" s="39" t="s">
        <v>3029</v>
      </c>
      <c r="K45" s="1">
        <v>2</v>
      </c>
      <c r="L45" s="1">
        <v>2</v>
      </c>
      <c r="M45" s="1" t="s">
        <v>59</v>
      </c>
      <c r="N45" s="1" t="s">
        <v>65</v>
      </c>
      <c r="O45" s="1">
        <v>1.22</v>
      </c>
      <c r="P45" s="1">
        <v>0.5</v>
      </c>
      <c r="Q45" s="1" t="s">
        <v>61</v>
      </c>
      <c r="R45" s="1">
        <v>0.11</v>
      </c>
      <c r="S45" s="1" t="str">
        <f>IF(tblDados[[#This Row],[Mandante]]="","",TEXT(tblDados[[#This Row],[Data]],"aaaa-mm-dd")&amp;"|"&amp;TRIM(tblDados[[#This Row],[Mandante]])&amp;"|"&amp;TRIM(tblDados[[#This Row],[Visitante]]))</f>
        <v>2026-08-01|PuiU|Atlantis FC</v>
      </c>
      <c r="T45" s="1">
        <f>IF($G45="",0,IF(COUNTIF($S$2:$S45,$S45)=1,1,0))</f>
        <v>1</v>
      </c>
      <c r="U45" s="19" t="str" cm="1">
        <f t="array" ref="U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 s="19" t="str" cm="1">
        <f t="array" ref="V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 spans="1:22" ht="14.25" customHeight="1" x14ac:dyDescent="0.3">
      <c r="A46" s="1" t="s">
        <v>219</v>
      </c>
      <c r="B46" s="5">
        <v>46235</v>
      </c>
      <c r="C46" s="6">
        <v>0.375</v>
      </c>
      <c r="D46" s="1" t="s">
        <v>30</v>
      </c>
      <c r="E46" s="1" t="s">
        <v>33</v>
      </c>
      <c r="F46" s="1" t="s">
        <v>5636</v>
      </c>
      <c r="G46" s="39" t="s">
        <v>220</v>
      </c>
      <c r="H46" s="1">
        <v>0</v>
      </c>
      <c r="I46" s="1">
        <v>2</v>
      </c>
      <c r="J46" s="39" t="s">
        <v>5637</v>
      </c>
      <c r="K46" s="1">
        <v>2</v>
      </c>
      <c r="L46" s="1">
        <v>0</v>
      </c>
      <c r="M46" s="1" t="s">
        <v>59</v>
      </c>
      <c r="N46" s="1" t="s">
        <v>60</v>
      </c>
      <c r="O46" s="1">
        <v>1.25</v>
      </c>
      <c r="P46" s="1">
        <v>0.5</v>
      </c>
      <c r="Q46" s="1" t="s">
        <v>68</v>
      </c>
      <c r="R46" s="1">
        <v>0</v>
      </c>
      <c r="S46" s="1" t="s">
        <v>5638</v>
      </c>
      <c r="T46" s="1">
        <f>IF($G46="",0,IF(COUNTIF($S$2:$S46,$S46)=1,1,0))</f>
        <v>1</v>
      </c>
      <c r="U46" s="19" t="str" cm="1">
        <f t="array" ref="U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 s="19" t="str" cm="1">
        <f t="array" ref="V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 spans="1:22" ht="14.25" customHeight="1" x14ac:dyDescent="0.3">
      <c r="A47" s="1" t="s">
        <v>221</v>
      </c>
      <c r="B47" s="5">
        <v>46235</v>
      </c>
      <c r="C47" s="6">
        <v>0.66666666666666663</v>
      </c>
      <c r="D47" s="1" t="s">
        <v>16</v>
      </c>
      <c r="E47" s="1" t="s">
        <v>3471</v>
      </c>
      <c r="F47" s="1" t="s">
        <v>222</v>
      </c>
      <c r="G47" s="39" t="s">
        <v>223</v>
      </c>
      <c r="H47" s="1">
        <v>3</v>
      </c>
      <c r="I47" s="1">
        <v>4</v>
      </c>
      <c r="J47" s="39" t="s">
        <v>224</v>
      </c>
      <c r="K47" s="1">
        <v>4</v>
      </c>
      <c r="L47" s="1">
        <v>3</v>
      </c>
      <c r="M47" s="1" t="s">
        <v>59</v>
      </c>
      <c r="N47" s="1" t="s">
        <v>120</v>
      </c>
      <c r="O47" s="1">
        <v>1.24</v>
      </c>
      <c r="P47" s="1">
        <v>0.5</v>
      </c>
      <c r="Q47" s="1" t="s">
        <v>61</v>
      </c>
      <c r="R47" s="1">
        <v>0.12</v>
      </c>
      <c r="S47" s="1" t="str">
        <f>IF(tblDados[[#This Row],[Mandante]]="","",TEXT(tblDados[[#This Row],[Data]],"aaaa-mm-dd")&amp;"|"&amp;TRIM(tblDados[[#This Row],[Mandante]])&amp;"|"&amp;TRIM(tblDados[[#This Row],[Visitante]]))</f>
        <v>2026-08-01|Everton de Viña|Colo-Colo</v>
      </c>
      <c r="T47" s="1">
        <f>IF($G47="",0,IF(COUNTIF($S$2:$S47,$S47)=1,1,0))</f>
        <v>1</v>
      </c>
      <c r="U47" s="19" t="str" cm="1">
        <f t="array" ref="U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 s="19" t="str" cm="1">
        <f t="array" ref="V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 spans="1:22" ht="14.25" customHeight="1" x14ac:dyDescent="0.3">
      <c r="A48" s="1" t="s">
        <v>225</v>
      </c>
      <c r="B48" s="5">
        <v>46235</v>
      </c>
      <c r="C48" s="6">
        <v>0.66666666666666663</v>
      </c>
      <c r="D48" s="1" t="s">
        <v>10</v>
      </c>
      <c r="E48" s="1" t="s">
        <v>11</v>
      </c>
      <c r="F48" s="1" t="s">
        <v>226</v>
      </c>
      <c r="G48" s="39" t="s">
        <v>227</v>
      </c>
      <c r="H48" s="1">
        <v>0</v>
      </c>
      <c r="I48" s="1">
        <v>3</v>
      </c>
      <c r="J48" s="39" t="s">
        <v>228</v>
      </c>
      <c r="K48" s="1">
        <v>3</v>
      </c>
      <c r="L48" s="1">
        <v>0</v>
      </c>
      <c r="M48" s="1" t="s">
        <v>59</v>
      </c>
      <c r="N48" s="1" t="s">
        <v>98</v>
      </c>
      <c r="O48" s="1">
        <v>1.19</v>
      </c>
      <c r="P48" s="1">
        <v>0.5</v>
      </c>
      <c r="Q48" s="1" t="s">
        <v>61</v>
      </c>
      <c r="R48" s="1">
        <v>0.1</v>
      </c>
      <c r="S48" s="1" t="str">
        <f>IF(tblDados[[#This Row],[Mandante]]="","",TEXT(tblDados[[#This Row],[Data]],"aaaa-mm-dd")&amp;"|"&amp;TRIM(tblDados[[#This Row],[Mandante]])&amp;"|"&amp;TRIM(tblDados[[#This Row],[Visitante]]))</f>
        <v>2026-08-01|Real Oruro|Independiente Petrolero</v>
      </c>
      <c r="T48" s="1">
        <f>IF($G48="",0,IF(COUNTIF($S$2:$S48,$S48)=1,1,0))</f>
        <v>1</v>
      </c>
      <c r="U48" s="19" t="str" cm="1">
        <f t="array" ref="U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 s="19" t="str" cm="1">
        <f t="array" ref="V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 spans="1:22" ht="14.25" customHeight="1" x14ac:dyDescent="0.3">
      <c r="A49" s="1" t="s">
        <v>230</v>
      </c>
      <c r="B49" s="5">
        <v>46235</v>
      </c>
      <c r="C49" s="6">
        <v>0.79166666666666663</v>
      </c>
      <c r="D49" s="1" t="s">
        <v>15</v>
      </c>
      <c r="E49" s="1" t="s">
        <v>2618</v>
      </c>
      <c r="F49" s="1" t="s">
        <v>231</v>
      </c>
      <c r="G49" s="39" t="s">
        <v>232</v>
      </c>
      <c r="H49" s="1">
        <v>3</v>
      </c>
      <c r="I49" s="1">
        <v>1</v>
      </c>
      <c r="J49" s="39" t="s">
        <v>233</v>
      </c>
      <c r="K49" s="1">
        <v>1</v>
      </c>
      <c r="L49" s="1">
        <v>3</v>
      </c>
      <c r="M49" s="1" t="s">
        <v>59</v>
      </c>
      <c r="N49" s="1" t="s">
        <v>60</v>
      </c>
      <c r="O49" s="1">
        <v>1.2749999999999999</v>
      </c>
      <c r="P49" s="1">
        <v>0.5</v>
      </c>
      <c r="Q49" s="1" t="s">
        <v>62</v>
      </c>
      <c r="R49" s="1">
        <v>0.13</v>
      </c>
      <c r="S49" s="1" t="str">
        <f>IF(tblDados[[#This Row],[Mandante]]="","",TEXT(tblDados[[#This Row],[Data]],"aaaa-mm-dd")&amp;"|"&amp;TRIM(tblDados[[#This Row],[Mandante]])&amp;"|"&amp;TRIM(tblDados[[#This Row],[Visitante]]))</f>
        <v>2026-08-01|Vancouver FC|Atlético Ottawa</v>
      </c>
      <c r="T49" s="1">
        <f>IF($G49="",0,IF(COUNTIF($S$2:$S49,$S49)=1,1,0))</f>
        <v>1</v>
      </c>
      <c r="U49" s="19" t="str" cm="1">
        <f t="array" ref="U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 s="19" t="str" cm="1">
        <f t="array" ref="V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 spans="1:22" ht="14.25" customHeight="1" x14ac:dyDescent="0.3">
      <c r="A50" s="1" t="s">
        <v>234</v>
      </c>
      <c r="B50" s="5">
        <v>46235</v>
      </c>
      <c r="C50" s="6">
        <v>0.66666666666666663</v>
      </c>
      <c r="D50" s="1" t="s">
        <v>10</v>
      </c>
      <c r="E50" s="1" t="s">
        <v>11</v>
      </c>
      <c r="F50" s="1" t="s">
        <v>1636</v>
      </c>
      <c r="G50" s="39" t="s">
        <v>1097</v>
      </c>
      <c r="H50" s="1">
        <v>2</v>
      </c>
      <c r="I50" s="1">
        <v>0</v>
      </c>
      <c r="J50" s="39" t="s">
        <v>235</v>
      </c>
      <c r="K50" s="1">
        <v>0</v>
      </c>
      <c r="L50" s="1">
        <v>2</v>
      </c>
      <c r="M50" s="1" t="s">
        <v>59</v>
      </c>
      <c r="N50" s="1" t="s">
        <v>60</v>
      </c>
      <c r="O50" s="1">
        <v>1.24</v>
      </c>
      <c r="P50" s="1">
        <v>0.5</v>
      </c>
      <c r="Q50" s="1" t="s">
        <v>62</v>
      </c>
      <c r="R50" s="1">
        <v>7.0000000000000007E-2</v>
      </c>
      <c r="S50" s="1" t="str">
        <f>IF(tblDados[[#This Row],[Mandante]]="","",TEXT(tblDados[[#This Row],[Data]],"aaaa-mm-dd")&amp;"|"&amp;TRIM(tblDados[[#This Row],[Mandante]])&amp;"|"&amp;TRIM(tblDados[[#This Row],[Visitante]]))</f>
        <v>2026-08-01|SA Bulo Bulo|Blooming</v>
      </c>
      <c r="T50" s="1">
        <f>IF($G50="",0,IF(COUNTIF($S$2:$S50,$S50)=1,1,0))</f>
        <v>1</v>
      </c>
      <c r="U50" s="19" t="str" cm="1">
        <f t="array" ref="U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 s="19" t="str" cm="1">
        <f t="array" ref="V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 spans="1:22" ht="14.25" customHeight="1" x14ac:dyDescent="0.3">
      <c r="A51" s="1" t="s">
        <v>236</v>
      </c>
      <c r="B51" s="5">
        <v>46235</v>
      </c>
      <c r="C51" s="6">
        <v>0.85416666666666696</v>
      </c>
      <c r="D51" s="1" t="s">
        <v>39</v>
      </c>
      <c r="E51" s="1" t="s">
        <v>3705</v>
      </c>
      <c r="F51" s="1" t="s">
        <v>3854</v>
      </c>
      <c r="G51" s="39" t="s">
        <v>3787</v>
      </c>
      <c r="H51" s="1">
        <v>2</v>
      </c>
      <c r="I51" s="1">
        <v>2</v>
      </c>
      <c r="J51" s="39" t="s">
        <v>237</v>
      </c>
      <c r="K51" s="1">
        <v>2</v>
      </c>
      <c r="L51" s="1">
        <v>2</v>
      </c>
      <c r="M51" s="1" t="s">
        <v>59</v>
      </c>
      <c r="N51" s="1" t="s">
        <v>207</v>
      </c>
      <c r="O51" s="1">
        <v>1.3</v>
      </c>
      <c r="P51" s="1">
        <v>0.5</v>
      </c>
      <c r="Q51" s="1" t="s">
        <v>61</v>
      </c>
      <c r="R51" s="1">
        <v>0.15</v>
      </c>
      <c r="S51" s="1" t="str">
        <f>IF(tblDados[[#This Row],[Mandante]]="","",TEXT(tblDados[[#This Row],[Data]],"aaaa-mm-dd")&amp;"|"&amp;TRIM(tblDados[[#This Row],[Mandante]])&amp;"|"&amp;TRIM(tblDados[[#This Row],[Visitante]]))</f>
        <v>2026-08-01|Inter Miami CF|Columbus Crew</v>
      </c>
      <c r="T51" s="1">
        <f>IF($G51="",0,IF(COUNTIF($S$2:$S51,$S51)=1,1,0))</f>
        <v>1</v>
      </c>
      <c r="U51" s="19" t="str" cm="1">
        <f t="array" ref="U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 s="19" t="str" cm="1">
        <f t="array" ref="V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 spans="1:22" ht="14.25" customHeight="1" x14ac:dyDescent="0.3">
      <c r="A52" s="1" t="s">
        <v>238</v>
      </c>
      <c r="B52" s="5">
        <v>46235</v>
      </c>
      <c r="C52" s="6">
        <v>0.85416666666666696</v>
      </c>
      <c r="D52" s="1" t="s">
        <v>39</v>
      </c>
      <c r="E52" s="1" t="s">
        <v>3706</v>
      </c>
      <c r="F52" s="1" t="s">
        <v>239</v>
      </c>
      <c r="G52" s="39" t="s">
        <v>240</v>
      </c>
      <c r="H52" s="1">
        <v>4</v>
      </c>
      <c r="I52" s="1">
        <v>2</v>
      </c>
      <c r="J52" s="39" t="s">
        <v>241</v>
      </c>
      <c r="K52" s="1">
        <v>2</v>
      </c>
      <c r="L52" s="1">
        <v>4</v>
      </c>
      <c r="M52" s="1" t="s">
        <v>59</v>
      </c>
      <c r="N52" s="1" t="s">
        <v>207</v>
      </c>
      <c r="O52" s="1">
        <v>1.2749999999999999</v>
      </c>
      <c r="P52" s="1">
        <v>0.5</v>
      </c>
      <c r="Q52" s="1" t="s">
        <v>61</v>
      </c>
      <c r="R52" s="1">
        <v>0.14000000000000001</v>
      </c>
      <c r="S52" s="1" t="str">
        <f>IF(tblDados[[#This Row],[Mandante]]="","",TEXT(tblDados[[#This Row],[Data]],"aaaa-mm-dd")&amp;"|"&amp;TRIM(tblDados[[#This Row],[Mandante]])&amp;"|"&amp;TRIM(tblDados[[#This Row],[Visitante]]))</f>
        <v>2026-08-01|FC Cincinnati|San Jose Earthquakes</v>
      </c>
      <c r="T52" s="1">
        <f>IF($G52="",0,IF(COUNTIF($S$2:$S52,$S52)=1,1,0))</f>
        <v>1</v>
      </c>
      <c r="U52" s="19" t="str" cm="1">
        <f t="array" ref="U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 s="19" t="str" cm="1">
        <f t="array" ref="V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 spans="1:22" ht="14.25" customHeight="1" x14ac:dyDescent="0.3">
      <c r="A53" s="1" t="s">
        <v>242</v>
      </c>
      <c r="B53" s="5">
        <v>46235</v>
      </c>
      <c r="C53" s="6">
        <v>0.875</v>
      </c>
      <c r="D53" s="1" t="s">
        <v>25</v>
      </c>
      <c r="E53" s="1" t="s">
        <v>26</v>
      </c>
      <c r="F53" s="1" t="s">
        <v>243</v>
      </c>
      <c r="G53" s="39" t="s">
        <v>244</v>
      </c>
      <c r="H53" s="1">
        <v>1</v>
      </c>
      <c r="I53" s="1">
        <v>0</v>
      </c>
      <c r="J53" s="39" t="s">
        <v>245</v>
      </c>
      <c r="K53" s="1">
        <v>0</v>
      </c>
      <c r="L53" s="1">
        <v>1</v>
      </c>
      <c r="M53" s="1" t="s">
        <v>59</v>
      </c>
      <c r="N53" s="1" t="s">
        <v>60</v>
      </c>
      <c r="O53" s="1">
        <v>1.35</v>
      </c>
      <c r="P53" s="1">
        <v>0.5</v>
      </c>
      <c r="Q53" s="1" t="s">
        <v>73</v>
      </c>
      <c r="R53" s="1">
        <v>-0.5</v>
      </c>
      <c r="S53" s="1" t="str">
        <f>IF(tblDados[[#This Row],[Mandante]]="","",TEXT(tblDados[[#This Row],[Data]],"aaaa-mm-dd")&amp;"|"&amp;TRIM(tblDados[[#This Row],[Mandante]])&amp;"|"&amp;TRIM(tblDados[[#This Row],[Visitante]]))</f>
        <v>2026-08-01|Club León|Pachuca</v>
      </c>
      <c r="T53" s="1">
        <f>IF($G53="",0,IF(COUNTIF($S$2:$S53,$S53)=1,1,0))</f>
        <v>1</v>
      </c>
      <c r="U53" s="19" t="str" cm="1">
        <f t="array" ref="U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 s="19" t="str" cm="1">
        <f t="array" ref="V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 spans="1:22" ht="14.25" customHeight="1" x14ac:dyDescent="0.3">
      <c r="A54" s="1" t="s">
        <v>246</v>
      </c>
      <c r="B54" s="5">
        <v>46235</v>
      </c>
      <c r="C54" s="6">
        <v>0.97916666666666696</v>
      </c>
      <c r="D54" s="1" t="s">
        <v>39</v>
      </c>
      <c r="E54" s="1" t="s">
        <v>3707</v>
      </c>
      <c r="F54" s="1" t="s">
        <v>4056</v>
      </c>
      <c r="G54" s="39" t="s">
        <v>247</v>
      </c>
      <c r="H54" s="1">
        <v>2</v>
      </c>
      <c r="I54" s="1">
        <v>1</v>
      </c>
      <c r="J54" s="39" t="s">
        <v>3932</v>
      </c>
      <c r="K54" s="1">
        <v>1</v>
      </c>
      <c r="L54" s="1">
        <v>2</v>
      </c>
      <c r="M54" s="1" t="s">
        <v>59</v>
      </c>
      <c r="N54" s="1" t="s">
        <v>60</v>
      </c>
      <c r="O54" s="1">
        <v>1.18</v>
      </c>
      <c r="P54" s="1">
        <v>0.5</v>
      </c>
      <c r="Q54" s="1" t="s">
        <v>62</v>
      </c>
      <c r="R54" s="1">
        <v>0.08</v>
      </c>
      <c r="S54" s="1" t="str">
        <f>IF(tblDados[[#This Row],[Mandante]]="","",TEXT(tblDados[[#This Row],[Data]],"aaaa-mm-dd")&amp;"|"&amp;TRIM(tblDados[[#This Row],[Mandante]])&amp;"|"&amp;TRIM(tblDados[[#This Row],[Visitante]]))</f>
        <v>2026-08-01|Portland Timbers|Seattle Sounders FC</v>
      </c>
      <c r="T54" s="1">
        <f>IF($G54="",0,IF(COUNTIF($S$2:$S54,$S54)=1,1,0))</f>
        <v>1</v>
      </c>
      <c r="U54" s="19" t="str" cm="1">
        <f t="array" ref="U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 s="19" t="str" cm="1">
        <f t="array" ref="V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 spans="1:22" ht="14.25" customHeight="1" x14ac:dyDescent="0.3">
      <c r="A55" s="1" t="s">
        <v>248</v>
      </c>
      <c r="B55" s="5">
        <v>46236</v>
      </c>
      <c r="C55" s="6">
        <v>8.3333333333333329E-2</v>
      </c>
      <c r="D55" s="1" t="s">
        <v>7</v>
      </c>
      <c r="E55" s="1" t="s">
        <v>2274</v>
      </c>
      <c r="F55" s="1" t="s">
        <v>249</v>
      </c>
      <c r="G55" s="39" t="s">
        <v>250</v>
      </c>
      <c r="H55" s="1">
        <v>4</v>
      </c>
      <c r="I55" s="1">
        <v>2</v>
      </c>
      <c r="J55" s="39" t="s">
        <v>251</v>
      </c>
      <c r="K55" s="1">
        <v>2</v>
      </c>
      <c r="L55" s="1">
        <v>4</v>
      </c>
      <c r="M55" s="1" t="s">
        <v>59</v>
      </c>
      <c r="N55" s="1" t="s">
        <v>120</v>
      </c>
      <c r="O55" s="1">
        <v>1.22</v>
      </c>
      <c r="P55" s="1">
        <v>0.5</v>
      </c>
      <c r="Q55" s="1" t="s">
        <v>61</v>
      </c>
      <c r="R55" s="1">
        <v>0.11</v>
      </c>
      <c r="S55" s="1" t="str">
        <f>IF(tblDados[[#This Row],[Mandante]]="","",TEXT(tblDados[[#This Row],[Data]],"aaaa-mm-dd")&amp;"|"&amp;TRIM(tblDados[[#This Row],[Mandante]])&amp;"|"&amp;TRIM(tblDados[[#This Row],[Visitante]]))</f>
        <v>2026-08-02|Blacktown City|Sydney FC NPL</v>
      </c>
      <c r="T55" s="1">
        <f>IF($G55="",0,IF(COUNTIF($S$2:$S55,$S55)=1,1,0))</f>
        <v>1</v>
      </c>
      <c r="U55" s="19" t="str" cm="1">
        <f t="array" ref="U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 s="19" t="str" cm="1">
        <f t="array" ref="V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 spans="1:22" ht="14.25" customHeight="1" x14ac:dyDescent="0.3">
      <c r="A56" s="1" t="s">
        <v>252</v>
      </c>
      <c r="B56" s="5">
        <v>46236</v>
      </c>
      <c r="C56" s="6">
        <v>0.10416666666666667</v>
      </c>
      <c r="D56" s="1" t="s">
        <v>7</v>
      </c>
      <c r="E56" s="1" t="s">
        <v>9</v>
      </c>
      <c r="F56" s="1" t="s">
        <v>253</v>
      </c>
      <c r="G56" s="39" t="s">
        <v>254</v>
      </c>
      <c r="H56" s="1">
        <v>2</v>
      </c>
      <c r="I56" s="1">
        <v>0</v>
      </c>
      <c r="J56" s="39" t="s">
        <v>255</v>
      </c>
      <c r="K56" s="1">
        <v>0</v>
      </c>
      <c r="L56" s="1">
        <v>2</v>
      </c>
      <c r="M56" s="1" t="s">
        <v>59</v>
      </c>
      <c r="N56" s="1" t="s">
        <v>120</v>
      </c>
      <c r="O56" s="1">
        <v>1.17</v>
      </c>
      <c r="P56" s="1">
        <v>0.5</v>
      </c>
      <c r="Q56" s="1" t="s">
        <v>61</v>
      </c>
      <c r="R56" s="1">
        <v>0.09</v>
      </c>
      <c r="S56" s="1" t="str">
        <f>IF(tblDados[[#This Row],[Mandante]]="","",TEXT(tblDados[[#This Row],[Data]],"aaaa-mm-dd")&amp;"|"&amp;TRIM(tblDados[[#This Row],[Mandante]])&amp;"|"&amp;TRIM(tblDados[[#This Row],[Visitante]]))</f>
        <v>2026-08-02|South Melbourne|St Albans Saints</v>
      </c>
      <c r="T56" s="1">
        <f>IF($G56="",0,IF(COUNTIF($S$2:$S56,$S56)=1,1,0))</f>
        <v>1</v>
      </c>
      <c r="U56" s="19" t="str" cm="1">
        <f t="array" ref="U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 s="19" t="str" cm="1">
        <f t="array" ref="V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 spans="1:22" ht="14.25" customHeight="1" x14ac:dyDescent="0.3">
      <c r="A57" s="1" t="s">
        <v>256</v>
      </c>
      <c r="B57" s="5">
        <v>46236</v>
      </c>
      <c r="C57" s="6">
        <v>0.125</v>
      </c>
      <c r="D57" s="1" t="s">
        <v>7</v>
      </c>
      <c r="E57" s="1" t="s">
        <v>8</v>
      </c>
      <c r="F57" s="1" t="s">
        <v>257</v>
      </c>
      <c r="G57" s="39" t="s">
        <v>258</v>
      </c>
      <c r="H57" s="1">
        <v>0</v>
      </c>
      <c r="I57" s="1">
        <v>3</v>
      </c>
      <c r="J57" s="39" t="s">
        <v>259</v>
      </c>
      <c r="K57" s="1">
        <v>3</v>
      </c>
      <c r="L57" s="1">
        <v>0</v>
      </c>
      <c r="M57" s="1" t="s">
        <v>59</v>
      </c>
      <c r="N57" s="1" t="s">
        <v>207</v>
      </c>
      <c r="O57" s="1">
        <v>1.325</v>
      </c>
      <c r="P57" s="1">
        <v>0.5</v>
      </c>
      <c r="Q57" s="1" t="s">
        <v>61</v>
      </c>
      <c r="R57" s="1">
        <v>0.17</v>
      </c>
      <c r="S57" s="1" t="str">
        <f>IF(tblDados[[#This Row],[Mandante]]="","",TEXT(tblDados[[#This Row],[Data]],"aaaa-mm-dd")&amp;"|"&amp;TRIM(tblDados[[#This Row],[Mandante]])&amp;"|"&amp;TRIM(tblDados[[#This Row],[Visitante]]))</f>
        <v>2026-08-02|Magic United|Brisbane Olympic FC</v>
      </c>
      <c r="T57" s="1">
        <f>IF($G57="",0,IF(COUNTIF($S$2:$S57,$S57)=1,1,0))</f>
        <v>1</v>
      </c>
      <c r="U57" s="19" t="str" cm="1">
        <f t="array" ref="U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 s="19" t="str" cm="1">
        <f t="array" ref="V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 spans="1:22" ht="14.25" customHeight="1" x14ac:dyDescent="0.3">
      <c r="A58" s="1" t="s">
        <v>260</v>
      </c>
      <c r="B58" s="5">
        <v>46236</v>
      </c>
      <c r="C58" s="6">
        <v>0.1145833333333333</v>
      </c>
      <c r="D58" s="1" t="s">
        <v>7</v>
      </c>
      <c r="E58" s="1" t="s">
        <v>8</v>
      </c>
      <c r="F58" s="1" t="s">
        <v>261</v>
      </c>
      <c r="G58" s="39" t="s">
        <v>262</v>
      </c>
      <c r="H58" s="1">
        <v>2</v>
      </c>
      <c r="I58" s="1">
        <v>0</v>
      </c>
      <c r="J58" s="39" t="s">
        <v>263</v>
      </c>
      <c r="K58" s="1">
        <v>0</v>
      </c>
      <c r="L58" s="1">
        <v>2</v>
      </c>
      <c r="M58" s="1" t="s">
        <v>59</v>
      </c>
      <c r="N58" s="1" t="s">
        <v>207</v>
      </c>
      <c r="O58" s="1">
        <v>1.2749999999999999</v>
      </c>
      <c r="P58" s="1">
        <v>0.5</v>
      </c>
      <c r="Q58" s="1" t="s">
        <v>73</v>
      </c>
      <c r="R58" s="1">
        <v>-0.5</v>
      </c>
      <c r="S58" s="1" t="str">
        <f>IF(tblDados[[#This Row],[Mandante]]="","",TEXT(tblDados[[#This Row],[Data]],"aaaa-mm-dd")&amp;"|"&amp;TRIM(tblDados[[#This Row],[Mandante]])&amp;"|"&amp;TRIM(tblDados[[#This Row],[Visitante]]))</f>
        <v>2026-08-02|Brisbane Roar NPL|Moreton City Excelsior</v>
      </c>
      <c r="T58" s="1">
        <f>IF($G58="",0,IF(COUNTIF($S$2:$S58,$S58)=1,1,0))</f>
        <v>1</v>
      </c>
      <c r="U58" s="19" t="str" cm="1">
        <f t="array" ref="U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 s="19" t="str" cm="1">
        <f t="array" ref="V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 spans="1:22" ht="14.25" customHeight="1" x14ac:dyDescent="0.3">
      <c r="A59" s="1" t="s">
        <v>264</v>
      </c>
      <c r="B59" s="5">
        <v>46236</v>
      </c>
      <c r="C59" s="6">
        <v>0.25</v>
      </c>
      <c r="D59" s="1" t="s">
        <v>7</v>
      </c>
      <c r="E59" s="1" t="s">
        <v>2274</v>
      </c>
      <c r="F59" s="1" t="s">
        <v>265</v>
      </c>
      <c r="G59" s="39" t="s">
        <v>266</v>
      </c>
      <c r="H59" s="1">
        <v>1</v>
      </c>
      <c r="I59" s="1">
        <v>3</v>
      </c>
      <c r="J59" s="39" t="s">
        <v>267</v>
      </c>
      <c r="K59" s="1">
        <v>3</v>
      </c>
      <c r="L59" s="1">
        <v>1</v>
      </c>
      <c r="M59" s="1" t="s">
        <v>59</v>
      </c>
      <c r="N59" s="1" t="s">
        <v>98</v>
      </c>
      <c r="O59" s="1">
        <v>1.325</v>
      </c>
      <c r="P59" s="1">
        <v>0.5</v>
      </c>
      <c r="Q59" s="1" t="s">
        <v>61</v>
      </c>
      <c r="R59" s="1">
        <v>0.17</v>
      </c>
      <c r="S59" s="1" t="str">
        <f>IF(tblDados[[#This Row],[Mandante]]="","",TEXT(tblDados[[#This Row],[Data]],"aaaa-mm-dd")&amp;"|"&amp;TRIM(tblDados[[#This Row],[Mandante]])&amp;"|"&amp;TRIM(tblDados[[#This Row],[Visitante]]))</f>
        <v>2026-08-02|Sydney Olympic|Apia L Tigers</v>
      </c>
      <c r="T59" s="1">
        <f>IF($G59="",0,IF(COUNTIF($S$2:$S59,$S59)=1,1,0))</f>
        <v>1</v>
      </c>
      <c r="U59" s="19" t="str" cm="1">
        <f t="array" ref="U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 s="19" t="str" cm="1">
        <f t="array" ref="V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 spans="1:22" ht="14.25" customHeight="1" x14ac:dyDescent="0.3">
      <c r="A60" s="1" t="s">
        <v>268</v>
      </c>
      <c r="B60" s="5">
        <v>46236</v>
      </c>
      <c r="C60" s="6">
        <v>8.3333333333333329E-2</v>
      </c>
      <c r="D60" s="1" t="s">
        <v>7</v>
      </c>
      <c r="E60" s="1" t="s">
        <v>2274</v>
      </c>
      <c r="F60" s="1" t="s">
        <v>269</v>
      </c>
      <c r="G60" s="39" t="s">
        <v>270</v>
      </c>
      <c r="H60" s="1">
        <v>0</v>
      </c>
      <c r="I60" s="1">
        <v>1</v>
      </c>
      <c r="J60" s="39" t="s">
        <v>271</v>
      </c>
      <c r="K60" s="1">
        <v>1</v>
      </c>
      <c r="L60" s="1">
        <v>0</v>
      </c>
      <c r="M60" s="1" t="s">
        <v>59</v>
      </c>
      <c r="N60" s="1" t="s">
        <v>120</v>
      </c>
      <c r="O60" s="1">
        <v>1.26</v>
      </c>
      <c r="P60" s="1">
        <v>0.5</v>
      </c>
      <c r="Q60" s="1" t="s">
        <v>73</v>
      </c>
      <c r="R60" s="1">
        <v>-0.5</v>
      </c>
      <c r="S60" s="1" t="str">
        <f>IF(tblDados[[#This Row],[Mandante]]="","",TEXT(tblDados[[#This Row],[Data]],"aaaa-mm-dd")&amp;"|"&amp;TRIM(tblDados[[#This Row],[Mandante]])&amp;"|"&amp;TRIM(tblDados[[#This Row],[Visitante]]))</f>
        <v>2026-08-02|Marconi Stallions|St George City FA</v>
      </c>
      <c r="T60" s="1">
        <f>IF($G60="",0,IF(COUNTIF($S$2:$S60,$S60)=1,1,0))</f>
        <v>1</v>
      </c>
      <c r="U60" s="19" t="str" cm="1">
        <f t="array" ref="U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 s="19" t="str" cm="1">
        <f t="array" ref="V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 spans="1:22" ht="14.25" customHeight="1" x14ac:dyDescent="0.3">
      <c r="A61" s="1" t="s">
        <v>272</v>
      </c>
      <c r="B61" s="5">
        <v>46236</v>
      </c>
      <c r="C61" s="6">
        <v>0.52083333333333337</v>
      </c>
      <c r="D61" s="1" t="s">
        <v>30</v>
      </c>
      <c r="E61" s="1" t="s">
        <v>36</v>
      </c>
      <c r="F61" s="1" t="s">
        <v>273</v>
      </c>
      <c r="G61" s="39" t="s">
        <v>274</v>
      </c>
      <c r="H61" s="1">
        <v>3</v>
      </c>
      <c r="I61" s="1">
        <v>1</v>
      </c>
      <c r="J61" s="39" t="s">
        <v>275</v>
      </c>
      <c r="K61" s="1">
        <v>1</v>
      </c>
      <c r="L61" s="1">
        <v>3</v>
      </c>
      <c r="M61" s="1" t="s">
        <v>59</v>
      </c>
      <c r="N61" s="1" t="s">
        <v>65</v>
      </c>
      <c r="O61" s="1">
        <v>1.425</v>
      </c>
      <c r="P61" s="1">
        <v>0.5</v>
      </c>
      <c r="Q61" s="1" t="s">
        <v>61</v>
      </c>
      <c r="R61" s="1">
        <v>0.22</v>
      </c>
      <c r="S61" s="1" t="str">
        <f>IF(tblDados[[#This Row],[Mandante]]="","",TEXT(tblDados[[#This Row],[Data]],"aaaa-mm-dd")&amp;"|"&amp;TRIM(tblDados[[#This Row],[Mandante]])&amp;"|"&amp;TRIM(tblDados[[#This Row],[Visitante]]))</f>
        <v>2026-08-02|Qviding FIF|BK Astrio</v>
      </c>
      <c r="T61" s="1">
        <f>IF($G61="",0,IF(COUNTIF($S$2:$S61,$S61)=1,1,0))</f>
        <v>1</v>
      </c>
      <c r="U61" s="19" t="str" cm="1">
        <f t="array" ref="U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 s="19" t="str" cm="1">
        <f t="array" ref="V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 spans="1:22" ht="14.25" customHeight="1" x14ac:dyDescent="0.3">
      <c r="A62" s="1" t="s">
        <v>276</v>
      </c>
      <c r="B62" s="5">
        <v>46236</v>
      </c>
      <c r="C62" s="6">
        <v>0.375</v>
      </c>
      <c r="D62" s="1" t="s">
        <v>18</v>
      </c>
      <c r="E62" s="1" t="s">
        <v>19</v>
      </c>
      <c r="F62" s="1" t="s">
        <v>2769</v>
      </c>
      <c r="G62" s="39" t="s">
        <v>394</v>
      </c>
      <c r="H62" s="1">
        <v>0</v>
      </c>
      <c r="I62" s="1">
        <v>1</v>
      </c>
      <c r="J62" s="39" t="s">
        <v>2719</v>
      </c>
      <c r="K62" s="1">
        <v>1</v>
      </c>
      <c r="L62" s="1">
        <v>0</v>
      </c>
      <c r="M62" s="1" t="s">
        <v>59</v>
      </c>
      <c r="N62" s="1" t="s">
        <v>60</v>
      </c>
      <c r="O62" s="1">
        <v>1.5</v>
      </c>
      <c r="P62" s="1">
        <v>0.5</v>
      </c>
      <c r="Q62" s="1" t="s">
        <v>73</v>
      </c>
      <c r="R62" s="1">
        <v>-0.5</v>
      </c>
      <c r="S62" s="1" t="str">
        <f>IF(tblDados[[#This Row],[Mandante]]="","",TEXT(tblDados[[#This Row],[Data]],"aaaa-mm-dd")&amp;"|"&amp;TRIM(tblDados[[#This Row],[Mandante]])&amp;"|"&amp;TRIM(tblDados[[#This Row],[Visitante]]))</f>
        <v>2026-08-02|VPS Vaasa|Inter Turku</v>
      </c>
      <c r="T62" s="1">
        <f>IF($G62="",0,IF(COUNTIF($S$2:$S62,$S62)=1,1,0))</f>
        <v>1</v>
      </c>
      <c r="U62" s="19" t="str" cm="1">
        <f t="array" ref="U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 s="19" t="str" cm="1">
        <f t="array" ref="V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 spans="1:22" ht="14.25" customHeight="1" x14ac:dyDescent="0.3">
      <c r="A63" s="1" t="s">
        <v>277</v>
      </c>
      <c r="B63" s="5">
        <v>46236</v>
      </c>
      <c r="C63" s="6">
        <v>0.45833333333333331</v>
      </c>
      <c r="D63" s="1" t="s">
        <v>30</v>
      </c>
      <c r="E63" s="1" t="s">
        <v>34</v>
      </c>
      <c r="F63" s="1" t="s">
        <v>5338</v>
      </c>
      <c r="G63" s="39" t="s">
        <v>5339</v>
      </c>
      <c r="H63" s="1">
        <v>4</v>
      </c>
      <c r="I63" s="1">
        <v>2</v>
      </c>
      <c r="J63" s="39" t="s">
        <v>5340</v>
      </c>
      <c r="K63" s="1">
        <v>2</v>
      </c>
      <c r="L63" s="1">
        <v>4</v>
      </c>
      <c r="M63" s="1" t="s">
        <v>59</v>
      </c>
      <c r="N63" s="1" t="s">
        <v>60</v>
      </c>
      <c r="O63" s="1">
        <v>1.375</v>
      </c>
      <c r="P63" s="1">
        <v>0.5</v>
      </c>
      <c r="Q63" s="1" t="s">
        <v>61</v>
      </c>
      <c r="R63" s="1">
        <v>0.19</v>
      </c>
      <c r="S63" s="1" t="s">
        <v>5341</v>
      </c>
      <c r="T63" s="1">
        <f>IF($G63="",0,IF(COUNTIF($S$2:$S63,$S63)=1,1,0))</f>
        <v>1</v>
      </c>
      <c r="U63" s="19" t="str" cm="1">
        <f t="array" ref="U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 s="19" t="str" cm="1">
        <f t="array" ref="V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 spans="1:22" ht="14.25" customHeight="1" x14ac:dyDescent="0.3">
      <c r="A64" s="1" t="s">
        <v>278</v>
      </c>
      <c r="B64" s="5">
        <v>46236</v>
      </c>
      <c r="C64" s="6">
        <v>0.41666666666666669</v>
      </c>
      <c r="D64" s="1" t="s">
        <v>30</v>
      </c>
      <c r="E64" s="1" t="s">
        <v>33</v>
      </c>
      <c r="F64" s="1" t="s">
        <v>279</v>
      </c>
      <c r="G64" s="39" t="s">
        <v>280</v>
      </c>
      <c r="H64" s="1">
        <v>1</v>
      </c>
      <c r="I64" s="1">
        <v>0</v>
      </c>
      <c r="J64" s="39" t="s">
        <v>281</v>
      </c>
      <c r="K64" s="1">
        <v>0</v>
      </c>
      <c r="L64" s="1">
        <v>1</v>
      </c>
      <c r="M64" s="1" t="s">
        <v>59</v>
      </c>
      <c r="N64" s="1" t="s">
        <v>207</v>
      </c>
      <c r="O64" s="1">
        <v>1.4750000000000001</v>
      </c>
      <c r="P64" s="1">
        <v>0.5</v>
      </c>
      <c r="Q64" s="1" t="s">
        <v>73</v>
      </c>
      <c r="R64" s="1">
        <v>-0.5</v>
      </c>
      <c r="S64" s="1" t="str">
        <f>IF(tblDados[[#This Row],[Mandante]]="","",TEXT(tblDados[[#This Row],[Data]],"aaaa-mm-dd")&amp;"|"&amp;TRIM(tblDados[[#This Row],[Mandante]])&amp;"|"&amp;TRIM(tblDados[[#This Row],[Visitante]]))</f>
        <v>2026-08-02|AFC Eskilstuna|Umeå FC</v>
      </c>
      <c r="T64" s="1">
        <f>IF($G64="",0,IF(COUNTIF($S$2:$S64,$S64)=1,1,0))</f>
        <v>1</v>
      </c>
      <c r="U64" s="19" t="str" cm="1">
        <f t="array" ref="U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 s="19" t="str" cm="1">
        <f t="array" ref="V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 spans="1:22" ht="14.25" customHeight="1" x14ac:dyDescent="0.3">
      <c r="A65" s="1" t="s">
        <v>282</v>
      </c>
      <c r="B65" s="5">
        <v>46236</v>
      </c>
      <c r="C65" s="6">
        <v>0.5</v>
      </c>
      <c r="D65" s="1" t="s">
        <v>27</v>
      </c>
      <c r="E65" s="1" t="s">
        <v>29</v>
      </c>
      <c r="F65" s="1" t="s">
        <v>7024</v>
      </c>
      <c r="G65" s="39" t="s">
        <v>7025</v>
      </c>
      <c r="H65" s="1">
        <v>4</v>
      </c>
      <c r="I65" s="1">
        <v>1</v>
      </c>
      <c r="J65" s="39" t="s">
        <v>7026</v>
      </c>
      <c r="K65" s="1">
        <v>1</v>
      </c>
      <c r="L65" s="1">
        <v>4</v>
      </c>
      <c r="M65" s="1" t="s">
        <v>59</v>
      </c>
      <c r="N65" s="1" t="s">
        <v>98</v>
      </c>
      <c r="O65" s="1">
        <v>1.24</v>
      </c>
      <c r="P65" s="1">
        <v>0.5</v>
      </c>
      <c r="Q65" s="1" t="s">
        <v>61</v>
      </c>
      <c r="R65" s="1">
        <v>0.12</v>
      </c>
      <c r="S65" s="1" t="s">
        <v>7027</v>
      </c>
      <c r="T65" s="1">
        <f>IF($G65="",0,IF(COUNTIF($S$2:$S65,$S65)=1,1,0))</f>
        <v>1</v>
      </c>
      <c r="U65" s="19" t="str" cm="1">
        <f t="array" ref="U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 s="19" t="str" cm="1">
        <f t="array" ref="V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 spans="1:22" ht="14.25" customHeight="1" x14ac:dyDescent="0.3">
      <c r="A66" s="1" t="s">
        <v>283</v>
      </c>
      <c r="B66" s="5">
        <v>46236</v>
      </c>
      <c r="C66" s="6">
        <v>0.45833333333333331</v>
      </c>
      <c r="D66" s="1" t="s">
        <v>30</v>
      </c>
      <c r="E66" s="1" t="s">
        <v>34</v>
      </c>
      <c r="F66" s="1" t="s">
        <v>284</v>
      </c>
      <c r="G66" s="39" t="s">
        <v>285</v>
      </c>
      <c r="H66" s="1">
        <v>2</v>
      </c>
      <c r="I66" s="1">
        <v>2</v>
      </c>
      <c r="J66" s="39" t="s">
        <v>286</v>
      </c>
      <c r="K66" s="1">
        <v>2</v>
      </c>
      <c r="L66" s="1">
        <v>2</v>
      </c>
      <c r="M66" s="1" t="s">
        <v>59</v>
      </c>
      <c r="N66" s="1" t="s">
        <v>60</v>
      </c>
      <c r="O66" s="1">
        <v>1.3</v>
      </c>
      <c r="P66" s="1">
        <v>0.5</v>
      </c>
      <c r="Q66" s="1" t="s">
        <v>62</v>
      </c>
      <c r="R66" s="1">
        <v>7.0000000000000007E-2</v>
      </c>
      <c r="S66" s="1" t="str">
        <f>IF(tblDados[[#This Row],[Mandante]]="","",TEXT(tblDados[[#This Row],[Data]],"aaaa-mm-dd")&amp;"|"&amp;TRIM(tblDados[[#This Row],[Mandante]])&amp;"|"&amp;TRIM(tblDados[[#This Row],[Visitante]]))</f>
        <v>2026-08-02|Trelleborgs FF|Lunds BK</v>
      </c>
      <c r="T66" s="1">
        <f>IF($G66="",0,IF(COUNTIF($S$2:$S66,$S66)=1,1,0))</f>
        <v>1</v>
      </c>
      <c r="U66" s="19" t="str" cm="1">
        <f t="array" ref="U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 s="19" t="str" cm="1">
        <f t="array" ref="V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 spans="1:22" ht="14.25" customHeight="1" x14ac:dyDescent="0.3">
      <c r="A67" s="1" t="s">
        <v>287</v>
      </c>
      <c r="B67" s="5">
        <v>46236</v>
      </c>
      <c r="C67" s="6">
        <v>0.5</v>
      </c>
      <c r="D67" s="1" t="s">
        <v>27</v>
      </c>
      <c r="E67" s="1" t="s">
        <v>29</v>
      </c>
      <c r="F67" s="1" t="s">
        <v>7028</v>
      </c>
      <c r="G67" s="39" t="s">
        <v>7029</v>
      </c>
      <c r="H67" s="1">
        <v>3</v>
      </c>
      <c r="I67" s="1">
        <v>2</v>
      </c>
      <c r="J67" s="39" t="s">
        <v>7030</v>
      </c>
      <c r="K67" s="1">
        <v>2</v>
      </c>
      <c r="L67" s="1">
        <v>3</v>
      </c>
      <c r="M67" s="1" t="s">
        <v>59</v>
      </c>
      <c r="N67" s="1" t="s">
        <v>98</v>
      </c>
      <c r="O67" s="1">
        <v>1.23</v>
      </c>
      <c r="P67" s="1">
        <v>0.5</v>
      </c>
      <c r="Q67" s="1" t="s">
        <v>61</v>
      </c>
      <c r="R67" s="1">
        <v>0.12</v>
      </c>
      <c r="S67" s="1" t="s">
        <v>7031</v>
      </c>
      <c r="T67" s="1">
        <f>IF($G67="",0,IF(COUNTIF($S$2:$S67,$S67)=1,1,0))</f>
        <v>1</v>
      </c>
      <c r="U67" s="19" t="str" cm="1">
        <f t="array" ref="U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 s="19" t="str" cm="1">
        <f t="array" ref="V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 spans="1:22" ht="14.25" customHeight="1" x14ac:dyDescent="0.3">
      <c r="A68" s="1" t="s">
        <v>288</v>
      </c>
      <c r="B68" s="5">
        <v>46236</v>
      </c>
      <c r="C68" s="6">
        <v>0.5</v>
      </c>
      <c r="D68" s="1" t="s">
        <v>27</v>
      </c>
      <c r="E68" s="1" t="s">
        <v>29</v>
      </c>
      <c r="F68" s="1" t="s">
        <v>7040</v>
      </c>
      <c r="G68" s="39" t="s">
        <v>7032</v>
      </c>
      <c r="H68" s="1">
        <v>1</v>
      </c>
      <c r="I68" s="1">
        <v>3</v>
      </c>
      <c r="J68" s="39" t="s">
        <v>7041</v>
      </c>
      <c r="K68" s="1">
        <v>3</v>
      </c>
      <c r="L68" s="1">
        <v>1</v>
      </c>
      <c r="M68" s="1" t="s">
        <v>59</v>
      </c>
      <c r="N68" s="1" t="s">
        <v>98</v>
      </c>
      <c r="O68" s="1">
        <v>1.2</v>
      </c>
      <c r="P68" s="1">
        <v>0.5</v>
      </c>
      <c r="Q68" s="1" t="s">
        <v>61</v>
      </c>
      <c r="R68" s="1">
        <v>0.1</v>
      </c>
      <c r="S68" s="1" t="s">
        <v>7042</v>
      </c>
      <c r="T68" s="1">
        <f>IF($G68="",0,IF(COUNTIF($S$2:$S68,$S68)=1,1,0))</f>
        <v>1</v>
      </c>
      <c r="U68" s="19" t="str" cm="1">
        <f t="array" ref="U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 s="19" t="str" cm="1">
        <f t="array" ref="V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 spans="1:22" ht="14.25" customHeight="1" x14ac:dyDescent="0.3">
      <c r="A69" s="1" t="s">
        <v>289</v>
      </c>
      <c r="B69" s="5">
        <v>46236</v>
      </c>
      <c r="C69" s="6">
        <v>0.52083333333333337</v>
      </c>
      <c r="D69" s="1" t="s">
        <v>18</v>
      </c>
      <c r="E69" s="1" t="s">
        <v>22</v>
      </c>
      <c r="F69" s="1" t="s">
        <v>3047</v>
      </c>
      <c r="G69" s="39" t="s">
        <v>3032</v>
      </c>
      <c r="H69" s="1">
        <v>2</v>
      </c>
      <c r="I69" s="1">
        <v>1</v>
      </c>
      <c r="J69" s="39" t="s">
        <v>290</v>
      </c>
      <c r="K69" s="1">
        <v>1</v>
      </c>
      <c r="L69" s="1">
        <v>2</v>
      </c>
      <c r="M69" s="1" t="s">
        <v>59</v>
      </c>
      <c r="N69" s="1" t="s">
        <v>98</v>
      </c>
      <c r="O69" s="1">
        <v>1.23</v>
      </c>
      <c r="P69" s="1">
        <v>0.5</v>
      </c>
      <c r="Q69" s="1" t="s">
        <v>61</v>
      </c>
      <c r="R69" s="1">
        <v>0.12</v>
      </c>
      <c r="S69" s="1" t="str">
        <f>IF(tblDados[[#This Row],[Mandante]]="","",TEXT(tblDados[[#This Row],[Data]],"aaaa-mm-dd")&amp;"|"&amp;TRIM(tblDados[[#This Row],[Mandante]])&amp;"|"&amp;TRIM(tblDados[[#This Row],[Visitante]]))</f>
        <v>2026-08-02|Reipas (Lahden Reipas)|PPJ</v>
      </c>
      <c r="T69" s="1">
        <f>IF($G69="",0,IF(COUNTIF($S$2:$S69,$S69)=1,1,0))</f>
        <v>1</v>
      </c>
      <c r="U69" s="19" t="str" cm="1">
        <f t="array" ref="U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 s="19" t="str" cm="1">
        <f t="array" ref="V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 spans="1:22" ht="14.25" customHeight="1" x14ac:dyDescent="0.3">
      <c r="A70" s="1" t="s">
        <v>291</v>
      </c>
      <c r="B70" s="5">
        <v>46236</v>
      </c>
      <c r="C70" s="6">
        <v>0.5</v>
      </c>
      <c r="D70" s="1" t="s">
        <v>27</v>
      </c>
      <c r="E70" s="1" t="s">
        <v>29</v>
      </c>
      <c r="F70" s="1" t="s">
        <v>7033</v>
      </c>
      <c r="G70" s="39" t="s">
        <v>7034</v>
      </c>
      <c r="H70" s="1">
        <v>2</v>
      </c>
      <c r="I70" s="1">
        <v>0</v>
      </c>
      <c r="J70" s="39" t="s">
        <v>292</v>
      </c>
      <c r="K70" s="1">
        <v>0</v>
      </c>
      <c r="L70" s="1">
        <v>2</v>
      </c>
      <c r="M70" s="1" t="s">
        <v>59</v>
      </c>
      <c r="N70" s="1" t="s">
        <v>60</v>
      </c>
      <c r="O70" s="1">
        <v>1.22</v>
      </c>
      <c r="P70" s="1">
        <v>0.5</v>
      </c>
      <c r="Q70" s="1" t="s">
        <v>68</v>
      </c>
      <c r="R70" s="1">
        <v>0</v>
      </c>
      <c r="S70" s="1" t="s">
        <v>7035</v>
      </c>
      <c r="T70" s="1">
        <f>IF($G70="",0,IF(COUNTIF($S$2:$S70,$S70)=1,1,0))</f>
        <v>1</v>
      </c>
      <c r="U70" s="19" t="str" cm="1">
        <f t="array" ref="U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 s="19" t="str" cm="1">
        <f t="array" ref="V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 spans="1:22" ht="14.25" customHeight="1" x14ac:dyDescent="0.3">
      <c r="A71" s="1" t="s">
        <v>293</v>
      </c>
      <c r="B71" s="5">
        <v>46164</v>
      </c>
      <c r="C71" s="6">
        <v>0.52083333333333337</v>
      </c>
      <c r="D71" s="1" t="s">
        <v>18</v>
      </c>
      <c r="E71" s="1" t="s">
        <v>22</v>
      </c>
      <c r="F71" s="1" t="s">
        <v>3031</v>
      </c>
      <c r="G71" s="39" t="s">
        <v>3029</v>
      </c>
      <c r="H71" s="1">
        <v>8</v>
      </c>
      <c r="I71" s="1">
        <v>0</v>
      </c>
      <c r="J71" s="39" t="s">
        <v>294</v>
      </c>
      <c r="K71" s="1">
        <v>0</v>
      </c>
      <c r="L71" s="1">
        <v>8</v>
      </c>
      <c r="S71" s="1" t="str">
        <f>IF(tblDados[[#This Row],[Mandante]]="","",TEXT(tblDados[[#This Row],[Data]],"aaaa-mm-dd")&amp;"|"&amp;TRIM(tblDados[[#This Row],[Mandante]])&amp;"|"&amp;TRIM(tblDados[[#This Row],[Visitante]]))</f>
        <v>2026-05-22|Atlantis FC|PuiU</v>
      </c>
      <c r="T71" s="1">
        <f>IF($G71="",0,IF(COUNTIF($S$2:$S71,$S71)=1,1,0))</f>
        <v>1</v>
      </c>
      <c r="U71" s="19" t="str" cm="1">
        <f t="array" ref="U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 s="19" t="str" cm="1">
        <f t="array" ref="V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 spans="1:22" ht="14.25" customHeight="1" x14ac:dyDescent="0.3">
      <c r="A72" s="1" t="s">
        <v>295</v>
      </c>
      <c r="B72" s="5">
        <v>46173</v>
      </c>
      <c r="C72" s="6">
        <v>0.375</v>
      </c>
      <c r="D72" s="1" t="s">
        <v>18</v>
      </c>
      <c r="E72" s="1" t="s">
        <v>22</v>
      </c>
      <c r="F72" s="1" t="s">
        <v>3033</v>
      </c>
      <c r="G72" s="39" t="s">
        <v>3032</v>
      </c>
      <c r="H72" s="1">
        <v>1</v>
      </c>
      <c r="I72" s="1">
        <v>0</v>
      </c>
      <c r="J72" s="39" t="s">
        <v>3029</v>
      </c>
      <c r="K72" s="1">
        <v>0</v>
      </c>
      <c r="L72" s="1">
        <v>1</v>
      </c>
      <c r="S72" s="1" t="str">
        <f>IF(tblDados[[#This Row],[Mandante]]="","",TEXT(tblDados[[#This Row],[Data]],"aaaa-mm-dd")&amp;"|"&amp;TRIM(tblDados[[#This Row],[Mandante]])&amp;"|"&amp;TRIM(tblDados[[#This Row],[Visitante]]))</f>
        <v>2026-05-31|Reipas (Lahden Reipas)|Atlantis FC</v>
      </c>
      <c r="T72" s="1">
        <f>IF($G72="",0,IF(COUNTIF($S$2:$S72,$S72)=1,1,0))</f>
        <v>1</v>
      </c>
      <c r="U72" s="19" t="str" cm="1">
        <f t="array" ref="U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 s="19" t="str" cm="1">
        <f t="array" ref="V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 spans="1:22" ht="14.25" customHeight="1" x14ac:dyDescent="0.3">
      <c r="A73" s="1" t="s">
        <v>296</v>
      </c>
      <c r="B73" s="5">
        <v>46179</v>
      </c>
      <c r="C73" s="6">
        <v>0.33333333333333331</v>
      </c>
      <c r="D73" s="1" t="s">
        <v>18</v>
      </c>
      <c r="E73" s="1" t="s">
        <v>22</v>
      </c>
      <c r="F73" s="1" t="s">
        <v>3034</v>
      </c>
      <c r="G73" s="39" t="s">
        <v>3029</v>
      </c>
      <c r="H73" s="1">
        <v>3</v>
      </c>
      <c r="I73" s="1">
        <v>2</v>
      </c>
      <c r="J73" s="39" t="s">
        <v>297</v>
      </c>
      <c r="K73" s="1">
        <v>2</v>
      </c>
      <c r="L73" s="1">
        <v>3</v>
      </c>
      <c r="S73" s="1" t="str">
        <f>IF(tblDados[[#This Row],[Mandante]]="","",TEXT(tblDados[[#This Row],[Data]],"aaaa-mm-dd")&amp;"|"&amp;TRIM(tblDados[[#This Row],[Mandante]])&amp;"|"&amp;TRIM(tblDados[[#This Row],[Visitante]]))</f>
        <v>2026-06-06|Atlantis FC|HIFK</v>
      </c>
      <c r="T73" s="1">
        <f>IF($G73="",0,IF(COUNTIF($S$2:$S73,$S73)=1,1,0))</f>
        <v>1</v>
      </c>
      <c r="U73" s="19" t="str" cm="1">
        <f t="array" ref="U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 s="19" t="str" cm="1">
        <f t="array" ref="V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 spans="1:22" ht="14.25" customHeight="1" x14ac:dyDescent="0.3">
      <c r="A74" s="1" t="s">
        <v>298</v>
      </c>
      <c r="B74" s="5">
        <v>46184</v>
      </c>
      <c r="C74" s="6">
        <v>0.5</v>
      </c>
      <c r="D74" s="1" t="s">
        <v>18</v>
      </c>
      <c r="E74" s="1" t="s">
        <v>22</v>
      </c>
      <c r="F74" s="1" t="s">
        <v>3035</v>
      </c>
      <c r="G74" s="39" t="s">
        <v>290</v>
      </c>
      <c r="H74" s="1">
        <v>3</v>
      </c>
      <c r="I74" s="1">
        <v>3</v>
      </c>
      <c r="J74" s="39" t="s">
        <v>3029</v>
      </c>
      <c r="K74" s="1">
        <v>3</v>
      </c>
      <c r="L74" s="1">
        <v>3</v>
      </c>
      <c r="S74" s="1" t="str">
        <f>IF(tblDados[[#This Row],[Mandante]]="","",TEXT(tblDados[[#This Row],[Data]],"aaaa-mm-dd")&amp;"|"&amp;TRIM(tblDados[[#This Row],[Mandante]])&amp;"|"&amp;TRIM(tblDados[[#This Row],[Visitante]]))</f>
        <v>2026-06-11|PPJ|Atlantis FC</v>
      </c>
      <c r="T74" s="1">
        <f>IF($G74="",0,IF(COUNTIF($S$2:$S74,$S74)=1,1,0))</f>
        <v>1</v>
      </c>
      <c r="U74" s="19" t="str" cm="1">
        <f t="array" ref="U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 s="19" t="str" cm="1">
        <f t="array" ref="V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 spans="1:22" ht="14.25" customHeight="1" x14ac:dyDescent="0.3">
      <c r="A75" s="1" t="s">
        <v>299</v>
      </c>
      <c r="B75" s="5">
        <v>46200</v>
      </c>
      <c r="C75" s="6">
        <v>0.45833333333333331</v>
      </c>
      <c r="D75" s="1" t="s">
        <v>18</v>
      </c>
      <c r="E75" s="1" t="s">
        <v>22</v>
      </c>
      <c r="F75" s="1" t="s">
        <v>3036</v>
      </c>
      <c r="G75" s="39" t="s">
        <v>300</v>
      </c>
      <c r="H75" s="1">
        <v>1</v>
      </c>
      <c r="I75" s="1">
        <v>2</v>
      </c>
      <c r="J75" s="39" t="s">
        <v>3029</v>
      </c>
      <c r="K75" s="1">
        <v>2</v>
      </c>
      <c r="L75" s="1">
        <v>1</v>
      </c>
      <c r="S75" s="1" t="str">
        <f>IF(tblDados[[#This Row],[Mandante]]="","",TEXT(tblDados[[#This Row],[Data]],"aaaa-mm-dd")&amp;"|"&amp;TRIM(tblDados[[#This Row],[Mandante]])&amp;"|"&amp;TRIM(tblDados[[#This Row],[Visitante]]))</f>
        <v>2026-06-27|MyPa|Atlantis FC</v>
      </c>
      <c r="T75" s="1">
        <f>IF($G75="",0,IF(COUNTIF($S$2:$S75,$S75)=1,1,0))</f>
        <v>1</v>
      </c>
      <c r="U75" s="19" t="str" cm="1">
        <f t="array" ref="U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 s="19" t="str" cm="1">
        <f t="array" ref="V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 spans="1:22" ht="14.25" customHeight="1" x14ac:dyDescent="0.3">
      <c r="A76" s="1" t="s">
        <v>301</v>
      </c>
      <c r="B76" s="5">
        <v>46207</v>
      </c>
      <c r="C76" s="6">
        <v>0.41666666666666669</v>
      </c>
      <c r="D76" s="1" t="s">
        <v>18</v>
      </c>
      <c r="E76" s="1" t="s">
        <v>22</v>
      </c>
      <c r="F76" s="1" t="s">
        <v>3037</v>
      </c>
      <c r="G76" s="39" t="s">
        <v>3029</v>
      </c>
      <c r="H76" s="1">
        <v>5</v>
      </c>
      <c r="I76" s="1">
        <v>1</v>
      </c>
      <c r="J76" s="39" t="s">
        <v>302</v>
      </c>
      <c r="K76" s="1">
        <v>1</v>
      </c>
      <c r="L76" s="1">
        <v>5</v>
      </c>
      <c r="S76" s="1" t="str">
        <f>IF(tblDados[[#This Row],[Mandante]]="","",TEXT(tblDados[[#This Row],[Data]],"aaaa-mm-dd")&amp;"|"&amp;TRIM(tblDados[[#This Row],[Mandante]])&amp;"|"&amp;TRIM(tblDados[[#This Row],[Visitante]]))</f>
        <v>2026-07-04|Atlantis FC|PEPO</v>
      </c>
      <c r="T76" s="1">
        <f>IF($G76="",0,IF(COUNTIF($S$2:$S76,$S76)=1,1,0))</f>
        <v>1</v>
      </c>
      <c r="U76" s="19" t="str" cm="1">
        <f t="array" ref="U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 s="19" t="str" cm="1">
        <f t="array" ref="V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 spans="1:22" ht="14.25" customHeight="1" x14ac:dyDescent="0.3">
      <c r="A77" s="1" t="s">
        <v>303</v>
      </c>
      <c r="B77" s="5">
        <v>46213</v>
      </c>
      <c r="C77" s="6">
        <v>0.52083333333333337</v>
      </c>
      <c r="D77" s="1" t="s">
        <v>18</v>
      </c>
      <c r="E77" s="1" t="s">
        <v>22</v>
      </c>
      <c r="F77" s="1" t="s">
        <v>3038</v>
      </c>
      <c r="G77" s="39" t="s">
        <v>3029</v>
      </c>
      <c r="H77" s="1">
        <v>3</v>
      </c>
      <c r="I77" s="1">
        <v>5</v>
      </c>
      <c r="J77" s="39" t="s">
        <v>304</v>
      </c>
      <c r="K77" s="1">
        <v>5</v>
      </c>
      <c r="L77" s="1">
        <v>3</v>
      </c>
      <c r="S77" s="1" t="str">
        <f>IF(tblDados[[#This Row],[Mandante]]="","",TEXT(tblDados[[#This Row],[Data]],"aaaa-mm-dd")&amp;"|"&amp;TRIM(tblDados[[#This Row],[Mandante]])&amp;"|"&amp;TRIM(tblDados[[#This Row],[Visitante]]))</f>
        <v>2026-07-10|Atlantis FC|Kiffen</v>
      </c>
      <c r="T77" s="1">
        <f>IF($G77="",0,IF(COUNTIF($S$2:$S77,$S77)=1,1,0))</f>
        <v>1</v>
      </c>
      <c r="U77" s="19" t="str" cm="1">
        <f t="array" ref="U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 s="19" t="str" cm="1">
        <f t="array" ref="V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 spans="1:22" ht="14.25" customHeight="1" x14ac:dyDescent="0.3">
      <c r="A78" s="1" t="s">
        <v>305</v>
      </c>
      <c r="B78" s="5">
        <v>46221</v>
      </c>
      <c r="C78" s="6">
        <v>0.375</v>
      </c>
      <c r="D78" s="1" t="s">
        <v>18</v>
      </c>
      <c r="E78" s="1" t="s">
        <v>22</v>
      </c>
      <c r="F78" s="1" t="s">
        <v>3039</v>
      </c>
      <c r="G78" s="39" t="s">
        <v>306</v>
      </c>
      <c r="H78" s="1">
        <v>3</v>
      </c>
      <c r="I78" s="1">
        <v>6</v>
      </c>
      <c r="J78" s="39" t="s">
        <v>3029</v>
      </c>
      <c r="K78" s="1">
        <v>6</v>
      </c>
      <c r="L78" s="1">
        <v>3</v>
      </c>
      <c r="S78" s="1" t="str">
        <f>IF(tblDados[[#This Row],[Mandante]]="","",TEXT(tblDados[[#This Row],[Data]],"aaaa-mm-dd")&amp;"|"&amp;TRIM(tblDados[[#This Row],[Mandante]])&amp;"|"&amp;TRIM(tblDados[[#This Row],[Visitante]]))</f>
        <v>2026-07-18|Union Plaani|Atlantis FC</v>
      </c>
      <c r="T78" s="1">
        <f>IF($G78="",0,IF(COUNTIF($S$2:$S78,$S78)=1,1,0))</f>
        <v>1</v>
      </c>
      <c r="U78" s="19" t="str" cm="1">
        <f t="array" ref="U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 s="19" t="str" cm="1">
        <f t="array" ref="V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 spans="1:22" ht="14.25" customHeight="1" x14ac:dyDescent="0.3">
      <c r="A79" s="1" t="s">
        <v>307</v>
      </c>
      <c r="B79" s="5">
        <v>46228</v>
      </c>
      <c r="C79" s="6">
        <v>0.41666666666666669</v>
      </c>
      <c r="D79" s="1" t="s">
        <v>18</v>
      </c>
      <c r="E79" s="1" t="s">
        <v>22</v>
      </c>
      <c r="F79" s="1" t="s">
        <v>3040</v>
      </c>
      <c r="G79" s="39" t="s">
        <v>3029</v>
      </c>
      <c r="H79" s="1">
        <v>5</v>
      </c>
      <c r="I79" s="1">
        <v>3</v>
      </c>
      <c r="J79" s="39" t="s">
        <v>308</v>
      </c>
      <c r="K79" s="1">
        <v>3</v>
      </c>
      <c r="L79" s="1">
        <v>5</v>
      </c>
      <c r="S79" s="1" t="str">
        <f>IF(tblDados[[#This Row],[Mandante]]="","",TEXT(tblDados[[#This Row],[Data]],"aaaa-mm-dd")&amp;"|"&amp;TRIM(tblDados[[#This Row],[Mandante]])&amp;"|"&amp;TRIM(tblDados[[#This Row],[Visitante]]))</f>
        <v>2026-07-25|Atlantis FC|HPS</v>
      </c>
      <c r="T79" s="1">
        <f>IF($G79="",0,IF(COUNTIF($S$2:$S79,$S79)=1,1,0))</f>
        <v>1</v>
      </c>
      <c r="U79" s="19" t="str" cm="1">
        <f t="array" ref="U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 s="19" t="str" cm="1">
        <f t="array" ref="V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 spans="1:22" ht="14.25" customHeight="1" x14ac:dyDescent="0.3">
      <c r="A80" s="1" t="s">
        <v>309</v>
      </c>
      <c r="B80" s="5">
        <v>46171</v>
      </c>
      <c r="C80" s="6">
        <v>0.52083333333333337</v>
      </c>
      <c r="D80" s="1" t="s">
        <v>18</v>
      </c>
      <c r="E80" s="1" t="s">
        <v>20</v>
      </c>
      <c r="F80" s="1" t="s">
        <v>310</v>
      </c>
      <c r="G80" s="39" t="s">
        <v>311</v>
      </c>
      <c r="H80" s="1">
        <v>1</v>
      </c>
      <c r="I80" s="1">
        <v>0</v>
      </c>
      <c r="J80" s="39" t="s">
        <v>206</v>
      </c>
      <c r="K80" s="1">
        <v>0</v>
      </c>
      <c r="L80" s="1">
        <v>1</v>
      </c>
      <c r="S80" s="1" t="str">
        <f>IF(tblDados[[#This Row],[Mandante]]="","",TEXT(tblDados[[#This Row],[Data]],"aaaa-mm-dd")&amp;"|"&amp;TRIM(tblDados[[#This Row],[Mandante]])&amp;"|"&amp;TRIM(tblDados[[#This Row],[Visitante]]))</f>
        <v>2026-05-29|KTP|SJK Akatemia</v>
      </c>
      <c r="T80" s="1">
        <f>IF($G80="",0,IF(COUNTIF($S$2:$S80,$S80)=1,1,0))</f>
        <v>1</v>
      </c>
      <c r="U80" s="19" t="str" cm="1">
        <f t="array" ref="U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 s="19" t="str" cm="1">
        <f t="array" ref="V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 spans="1:22" ht="14.25" customHeight="1" x14ac:dyDescent="0.3">
      <c r="A81" s="1" t="s">
        <v>312</v>
      </c>
      <c r="B81" s="5">
        <v>46182</v>
      </c>
      <c r="C81" s="6">
        <v>0.52083333333333337</v>
      </c>
      <c r="D81" s="1" t="s">
        <v>18</v>
      </c>
      <c r="E81" s="1" t="s">
        <v>20</v>
      </c>
      <c r="F81" s="1" t="s">
        <v>313</v>
      </c>
      <c r="G81" s="39" t="s">
        <v>206</v>
      </c>
      <c r="H81" s="1">
        <v>0</v>
      </c>
      <c r="I81" s="1">
        <v>0</v>
      </c>
      <c r="J81" s="39" t="s">
        <v>314</v>
      </c>
      <c r="K81" s="1">
        <v>0</v>
      </c>
      <c r="L81" s="1">
        <v>0</v>
      </c>
      <c r="S81" s="1" t="str">
        <f>IF(tblDados[[#This Row],[Mandante]]="","",TEXT(tblDados[[#This Row],[Data]],"aaaa-mm-dd")&amp;"|"&amp;TRIM(tblDados[[#This Row],[Mandante]])&amp;"|"&amp;TRIM(tblDados[[#This Row],[Visitante]]))</f>
        <v>2026-06-09|SJK Akatemia|Jippo</v>
      </c>
      <c r="T81" s="1">
        <f>IF($G81="",0,IF(COUNTIF($S$2:$S81,$S81)=1,1,0))</f>
        <v>1</v>
      </c>
      <c r="U81" s="19" t="str" cm="1">
        <f t="array" ref="U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 s="19" t="str" cm="1">
        <f t="array" ref="V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 spans="1:22" ht="14.25" customHeight="1" x14ac:dyDescent="0.3">
      <c r="A82" s="1" t="s">
        <v>315</v>
      </c>
      <c r="B82" s="5">
        <v>46188</v>
      </c>
      <c r="C82" s="6">
        <v>0.52083333333333337</v>
      </c>
      <c r="D82" s="1" t="s">
        <v>18</v>
      </c>
      <c r="E82" s="1" t="s">
        <v>20</v>
      </c>
      <c r="F82" s="1" t="s">
        <v>316</v>
      </c>
      <c r="G82" s="39" t="s">
        <v>206</v>
      </c>
      <c r="H82" s="1">
        <v>0</v>
      </c>
      <c r="I82" s="1">
        <v>2</v>
      </c>
      <c r="J82" s="39" t="s">
        <v>317</v>
      </c>
      <c r="K82" s="1">
        <v>2</v>
      </c>
      <c r="L82" s="1">
        <v>0</v>
      </c>
      <c r="S82" s="1" t="str">
        <f>IF(tblDados[[#This Row],[Mandante]]="","",TEXT(tblDados[[#This Row],[Data]],"aaaa-mm-dd")&amp;"|"&amp;TRIM(tblDados[[#This Row],[Mandante]])&amp;"|"&amp;TRIM(tblDados[[#This Row],[Visitante]]))</f>
        <v>2026-06-15|SJK Akatemia|Haka</v>
      </c>
      <c r="T82" s="1">
        <f>IF($G82="",0,IF(COUNTIF($S$2:$S82,$S82)=1,1,0))</f>
        <v>1</v>
      </c>
      <c r="U82" s="19" t="str" cm="1">
        <f t="array" ref="U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 s="19" t="str" cm="1">
        <f t="array" ref="V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 spans="1:22" ht="14.25" customHeight="1" x14ac:dyDescent="0.3">
      <c r="A83" s="1" t="s">
        <v>318</v>
      </c>
      <c r="B83" s="5">
        <v>46199</v>
      </c>
      <c r="C83" s="6">
        <v>0.54166666666666663</v>
      </c>
      <c r="D83" s="1" t="s">
        <v>18</v>
      </c>
      <c r="E83" s="1" t="s">
        <v>20</v>
      </c>
      <c r="F83" s="1" t="s">
        <v>319</v>
      </c>
      <c r="G83" s="39" t="s">
        <v>320</v>
      </c>
      <c r="H83" s="1">
        <v>2</v>
      </c>
      <c r="I83" s="1">
        <v>0</v>
      </c>
      <c r="J83" s="39" t="s">
        <v>206</v>
      </c>
      <c r="K83" s="1">
        <v>0</v>
      </c>
      <c r="L83" s="1">
        <v>2</v>
      </c>
      <c r="S83" s="1" t="str">
        <f>IF(tblDados[[#This Row],[Mandante]]="","",TEXT(tblDados[[#This Row],[Data]],"aaaa-mm-dd")&amp;"|"&amp;TRIM(tblDados[[#This Row],[Mandante]])&amp;"|"&amp;TRIM(tblDados[[#This Row],[Visitante]]))</f>
        <v>2026-06-26|Klubi 04|SJK Akatemia</v>
      </c>
      <c r="T83" s="1">
        <f>IF($G83="",0,IF(COUNTIF($S$2:$S83,$S83)=1,1,0))</f>
        <v>1</v>
      </c>
      <c r="U83" s="19" t="str" cm="1">
        <f t="array" ref="U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 s="19" t="str" cm="1">
        <f t="array" ref="V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 spans="1:22" ht="14.25" customHeight="1" x14ac:dyDescent="0.3">
      <c r="A84" s="1" t="s">
        <v>321</v>
      </c>
      <c r="B84" s="5">
        <v>46206</v>
      </c>
      <c r="C84" s="6">
        <v>0.52083333333333337</v>
      </c>
      <c r="D84" s="1" t="s">
        <v>18</v>
      </c>
      <c r="E84" s="1" t="s">
        <v>20</v>
      </c>
      <c r="F84" s="1" t="s">
        <v>739</v>
      </c>
      <c r="G84" s="39" t="s">
        <v>322</v>
      </c>
      <c r="H84" s="1">
        <v>1</v>
      </c>
      <c r="I84" s="1">
        <v>0</v>
      </c>
      <c r="J84" s="39" t="s">
        <v>206</v>
      </c>
      <c r="K84" s="1">
        <v>0</v>
      </c>
      <c r="L84" s="1">
        <v>1</v>
      </c>
      <c r="S84" s="1" t="str">
        <f>IF(tblDados[[#This Row],[Mandante]]="","",TEXT(tblDados[[#This Row],[Data]],"aaaa-mm-dd")&amp;"|"&amp;TRIM(tblDados[[#This Row],[Mandante]])&amp;"|"&amp;TRIM(tblDados[[#This Row],[Visitante]]))</f>
        <v>2026-07-03|JäPS|SJK Akatemia</v>
      </c>
      <c r="T84" s="1">
        <f>IF($G84="",0,IF(COUNTIF($S$2:$S84,$S84)=1,1,0))</f>
        <v>1</v>
      </c>
      <c r="U84" s="19" t="str" cm="1">
        <f t="array" ref="U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 s="19" t="str" cm="1">
        <f t="array" ref="V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 spans="1:22" ht="14.25" customHeight="1" x14ac:dyDescent="0.3">
      <c r="A85" s="1" t="s">
        <v>323</v>
      </c>
      <c r="B85" s="5">
        <v>46214</v>
      </c>
      <c r="C85" s="6">
        <v>0.41666666666666669</v>
      </c>
      <c r="D85" s="1" t="s">
        <v>18</v>
      </c>
      <c r="E85" s="1" t="s">
        <v>20</v>
      </c>
      <c r="F85" s="1" t="s">
        <v>324</v>
      </c>
      <c r="G85" s="39" t="s">
        <v>206</v>
      </c>
      <c r="H85" s="1">
        <v>1</v>
      </c>
      <c r="I85" s="1">
        <v>1</v>
      </c>
      <c r="J85" s="39" t="s">
        <v>325</v>
      </c>
      <c r="K85" s="1">
        <v>1</v>
      </c>
      <c r="L85" s="1">
        <v>1</v>
      </c>
      <c r="S85" s="1" t="str">
        <f>IF(tblDados[[#This Row],[Mandante]]="","",TEXT(tblDados[[#This Row],[Data]],"aaaa-mm-dd")&amp;"|"&amp;TRIM(tblDados[[#This Row],[Mandante]])&amp;"|"&amp;TRIM(tblDados[[#This Row],[Visitante]]))</f>
        <v>2026-07-11|SJK Akatemia|Mikkeli</v>
      </c>
      <c r="T85" s="1">
        <f>IF($G85="",0,IF(COUNTIF($S$2:$S85,$S85)=1,1,0))</f>
        <v>1</v>
      </c>
      <c r="U85" s="19" t="str" cm="1">
        <f t="array" ref="U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 s="19" t="str" cm="1">
        <f t="array" ref="V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 spans="1:22" ht="14.25" customHeight="1" x14ac:dyDescent="0.3">
      <c r="A86" s="1" t="s">
        <v>326</v>
      </c>
      <c r="B86" s="5">
        <v>46220</v>
      </c>
      <c r="C86" s="6">
        <v>0.54166666666666663</v>
      </c>
      <c r="D86" s="1" t="s">
        <v>18</v>
      </c>
      <c r="E86" s="1" t="s">
        <v>20</v>
      </c>
      <c r="F86" s="1" t="s">
        <v>2921</v>
      </c>
      <c r="G86" s="39" t="s">
        <v>2867</v>
      </c>
      <c r="H86" s="1">
        <v>2</v>
      </c>
      <c r="I86" s="1">
        <v>2</v>
      </c>
      <c r="J86" s="39" t="s">
        <v>206</v>
      </c>
      <c r="K86" s="1">
        <v>2</v>
      </c>
      <c r="L86" s="1">
        <v>2</v>
      </c>
      <c r="S86" s="1" t="str">
        <f>IF(tblDados[[#This Row],[Mandante]]="","",TEXT(tblDados[[#This Row],[Data]],"aaaa-mm-dd")&amp;"|"&amp;TRIM(tblDados[[#This Row],[Mandante]])&amp;"|"&amp;TRIM(tblDados[[#This Row],[Visitante]]))</f>
        <v>2026-07-17|KaPa|SJK Akatemia</v>
      </c>
      <c r="T86" s="1">
        <f>IF($G86="",0,IF(COUNTIF($S$2:$S86,$S86)=1,1,0))</f>
        <v>1</v>
      </c>
      <c r="U86" s="19" t="str" cm="1">
        <f t="array" ref="U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 s="19" t="str" cm="1">
        <f t="array" ref="V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 spans="1:22" ht="14.25" customHeight="1" x14ac:dyDescent="0.3">
      <c r="A87" s="1" t="s">
        <v>327</v>
      </c>
      <c r="B87" s="5">
        <v>46228</v>
      </c>
      <c r="C87" s="6">
        <v>0.41666666666666669</v>
      </c>
      <c r="D87" s="1" t="s">
        <v>18</v>
      </c>
      <c r="E87" s="1" t="s">
        <v>20</v>
      </c>
      <c r="F87" s="1" t="s">
        <v>2906</v>
      </c>
      <c r="G87" s="39" t="s">
        <v>206</v>
      </c>
      <c r="H87" s="1">
        <v>0</v>
      </c>
      <c r="I87" s="1">
        <v>0</v>
      </c>
      <c r="J87" s="39" t="s">
        <v>2866</v>
      </c>
      <c r="K87" s="1">
        <v>0</v>
      </c>
      <c r="L87" s="1">
        <v>0</v>
      </c>
      <c r="S87" s="1" t="str">
        <f>IF(tblDados[[#This Row],[Mandante]]="","",TEXT(tblDados[[#This Row],[Data]],"aaaa-mm-dd")&amp;"|"&amp;TRIM(tblDados[[#This Row],[Mandante]])&amp;"|"&amp;TRIM(tblDados[[#This Row],[Visitante]]))</f>
        <v>2026-07-25|SJK Akatemia|Ekenas</v>
      </c>
      <c r="T87" s="1">
        <f>IF($G87="",0,IF(COUNTIF($S$2:$S87,$S87)=1,1,0))</f>
        <v>1</v>
      </c>
      <c r="U87" s="19" t="str" cm="1">
        <f t="array" ref="U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 s="19" t="str" cm="1">
        <f t="array" ref="V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 spans="1:22" ht="14.25" customHeight="1" x14ac:dyDescent="0.3">
      <c r="A88" s="1" t="s">
        <v>328</v>
      </c>
      <c r="B88" s="5">
        <v>46234</v>
      </c>
      <c r="C88" s="6">
        <v>0.52083333333333337</v>
      </c>
      <c r="D88" s="1" t="s">
        <v>18</v>
      </c>
      <c r="E88" s="1" t="s">
        <v>20</v>
      </c>
      <c r="F88" s="1" t="s">
        <v>329</v>
      </c>
      <c r="G88" s="39" t="s">
        <v>311</v>
      </c>
      <c r="H88" s="1">
        <v>2</v>
      </c>
      <c r="I88" s="1">
        <v>1</v>
      </c>
      <c r="J88" s="39" t="s">
        <v>206</v>
      </c>
      <c r="K88" s="1">
        <v>1</v>
      </c>
      <c r="L88" s="1">
        <v>2</v>
      </c>
      <c r="S88" s="1" t="str">
        <f>IF(tblDados[[#This Row],[Mandante]]="","",TEXT(tblDados[[#This Row],[Data]],"aaaa-mm-dd")&amp;"|"&amp;TRIM(tblDados[[#This Row],[Mandante]])&amp;"|"&amp;TRIM(tblDados[[#This Row],[Visitante]]))</f>
        <v>2026-07-31|KTP|SJK Akatemia</v>
      </c>
      <c r="T88" s="1">
        <f>IF($G88="",0,IF(COUNTIF($S$2:$S88,$S88)=1,1,0))</f>
        <v>1</v>
      </c>
      <c r="U88" s="19" t="str" cm="1">
        <f t="array" ref="U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 s="19" t="str" cm="1">
        <f t="array" ref="V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 spans="1:22" ht="14.25" customHeight="1" x14ac:dyDescent="0.3">
      <c r="A89" s="1" t="s">
        <v>330</v>
      </c>
      <c r="B89" s="5">
        <v>46178</v>
      </c>
      <c r="C89" s="6">
        <v>0.52083333333333337</v>
      </c>
      <c r="D89" s="1" t="s">
        <v>18</v>
      </c>
      <c r="E89" s="1" t="s">
        <v>20</v>
      </c>
      <c r="F89" s="1" t="s">
        <v>2922</v>
      </c>
      <c r="G89" s="39" t="s">
        <v>2867</v>
      </c>
      <c r="H89" s="1">
        <v>1</v>
      </c>
      <c r="I89" s="1">
        <v>2</v>
      </c>
      <c r="J89" s="39" t="s">
        <v>311</v>
      </c>
      <c r="K89" s="1">
        <v>2</v>
      </c>
      <c r="L89" s="1">
        <v>1</v>
      </c>
      <c r="S89" s="1" t="str">
        <f>IF(tblDados[[#This Row],[Mandante]]="","",TEXT(tblDados[[#This Row],[Data]],"aaaa-mm-dd")&amp;"|"&amp;TRIM(tblDados[[#This Row],[Mandante]])&amp;"|"&amp;TRIM(tblDados[[#This Row],[Visitante]]))</f>
        <v>2026-06-05|KaPa|KTP</v>
      </c>
      <c r="T89" s="1">
        <f>IF($G89="",0,IF(COUNTIF($S$2:$S89,$S89)=1,1,0))</f>
        <v>1</v>
      </c>
      <c r="U89" s="19" t="str" cm="1">
        <f t="array" ref="U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 s="19" t="str" cm="1">
        <f t="array" ref="V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 spans="1:22" ht="14.25" customHeight="1" x14ac:dyDescent="0.3">
      <c r="A90" s="1" t="s">
        <v>331</v>
      </c>
      <c r="B90" s="5">
        <v>46181</v>
      </c>
      <c r="C90" s="6">
        <v>0.52083333333333337</v>
      </c>
      <c r="D90" s="1" t="s">
        <v>18</v>
      </c>
      <c r="E90" s="1" t="s">
        <v>20</v>
      </c>
      <c r="F90" s="1" t="s">
        <v>332</v>
      </c>
      <c r="G90" s="39" t="s">
        <v>311</v>
      </c>
      <c r="H90" s="1">
        <v>0</v>
      </c>
      <c r="I90" s="1">
        <v>2</v>
      </c>
      <c r="J90" s="39" t="s">
        <v>317</v>
      </c>
      <c r="K90" s="1">
        <v>2</v>
      </c>
      <c r="L90" s="1">
        <v>0</v>
      </c>
      <c r="S90" s="1" t="str">
        <f>IF(tblDados[[#This Row],[Mandante]]="","",TEXT(tblDados[[#This Row],[Data]],"aaaa-mm-dd")&amp;"|"&amp;TRIM(tblDados[[#This Row],[Mandante]])&amp;"|"&amp;TRIM(tblDados[[#This Row],[Visitante]]))</f>
        <v>2026-06-08|KTP|Haka</v>
      </c>
      <c r="T90" s="1">
        <f>IF($G90="",0,IF(COUNTIF($S$2:$S90,$S90)=1,1,0))</f>
        <v>1</v>
      </c>
      <c r="U90" s="19" t="str" cm="1">
        <f t="array" ref="U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 s="19" t="str" cm="1">
        <f t="array" ref="V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 spans="1:22" ht="14.25" customHeight="1" x14ac:dyDescent="0.3">
      <c r="A91" s="1" t="s">
        <v>333</v>
      </c>
      <c r="B91" s="5">
        <v>46185</v>
      </c>
      <c r="C91" s="6">
        <v>0.52083333333333337</v>
      </c>
      <c r="D91" s="1" t="s">
        <v>18</v>
      </c>
      <c r="E91" s="1" t="s">
        <v>20</v>
      </c>
      <c r="F91" s="1" t="s">
        <v>2907</v>
      </c>
      <c r="G91" s="39" t="s">
        <v>311</v>
      </c>
      <c r="H91" s="1">
        <v>5</v>
      </c>
      <c r="I91" s="1">
        <v>1</v>
      </c>
      <c r="J91" s="39" t="s">
        <v>2866</v>
      </c>
      <c r="K91" s="1">
        <v>1</v>
      </c>
      <c r="L91" s="1">
        <v>5</v>
      </c>
      <c r="S91" s="1" t="str">
        <f>IF(tblDados[[#This Row],[Mandante]]="","",TEXT(tblDados[[#This Row],[Data]],"aaaa-mm-dd")&amp;"|"&amp;TRIM(tblDados[[#This Row],[Mandante]])&amp;"|"&amp;TRIM(tblDados[[#This Row],[Visitante]]))</f>
        <v>2026-06-12|KTP|Ekenas</v>
      </c>
      <c r="T91" s="1">
        <f>IF($G91="",0,IF(COUNTIF($S$2:$S91,$S91)=1,1,0))</f>
        <v>1</v>
      </c>
      <c r="U91" s="19" t="str" cm="1">
        <f t="array" ref="U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 s="19" t="str" cm="1">
        <f t="array" ref="V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 spans="1:22" ht="14.25" customHeight="1" x14ac:dyDescent="0.3">
      <c r="A92" s="1" t="s">
        <v>334</v>
      </c>
      <c r="B92" s="5">
        <v>46200</v>
      </c>
      <c r="C92" s="6">
        <v>0.45833333333333331</v>
      </c>
      <c r="D92" s="1" t="s">
        <v>18</v>
      </c>
      <c r="E92" s="1" t="s">
        <v>20</v>
      </c>
      <c r="F92" s="1" t="s">
        <v>335</v>
      </c>
      <c r="G92" s="39" t="s">
        <v>317</v>
      </c>
      <c r="H92" s="1">
        <v>0</v>
      </c>
      <c r="I92" s="1">
        <v>2</v>
      </c>
      <c r="J92" s="39" t="s">
        <v>311</v>
      </c>
      <c r="K92" s="1">
        <v>2</v>
      </c>
      <c r="L92" s="1">
        <v>0</v>
      </c>
      <c r="S92" s="1" t="str">
        <f>IF(tblDados[[#This Row],[Mandante]]="","",TEXT(tblDados[[#This Row],[Data]],"aaaa-mm-dd")&amp;"|"&amp;TRIM(tblDados[[#This Row],[Mandante]])&amp;"|"&amp;TRIM(tblDados[[#This Row],[Visitante]]))</f>
        <v>2026-06-27|Haka|KTP</v>
      </c>
      <c r="T92" s="1">
        <f>IF($G92="",0,IF(COUNTIF($S$2:$S92,$S92)=1,1,0))</f>
        <v>1</v>
      </c>
      <c r="U92" s="19" t="str" cm="1">
        <f t="array" ref="U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 s="19" t="str" cm="1">
        <f t="array" ref="V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 spans="1:22" ht="14.25" customHeight="1" x14ac:dyDescent="0.3">
      <c r="A93" s="1" t="s">
        <v>336</v>
      </c>
      <c r="B93" s="5">
        <v>46206</v>
      </c>
      <c r="C93" s="6">
        <v>0.52083333333333337</v>
      </c>
      <c r="D93" s="1" t="s">
        <v>18</v>
      </c>
      <c r="E93" s="1" t="s">
        <v>20</v>
      </c>
      <c r="F93" s="1" t="s">
        <v>337</v>
      </c>
      <c r="G93" s="39" t="s">
        <v>311</v>
      </c>
      <c r="H93" s="1">
        <v>3</v>
      </c>
      <c r="I93" s="1">
        <v>3</v>
      </c>
      <c r="J93" s="39" t="s">
        <v>314</v>
      </c>
      <c r="K93" s="1">
        <v>3</v>
      </c>
      <c r="L93" s="1">
        <v>3</v>
      </c>
      <c r="S93" s="1" t="str">
        <f>IF(tblDados[[#This Row],[Mandante]]="","",TEXT(tblDados[[#This Row],[Data]],"aaaa-mm-dd")&amp;"|"&amp;TRIM(tblDados[[#This Row],[Mandante]])&amp;"|"&amp;TRIM(tblDados[[#This Row],[Visitante]]))</f>
        <v>2026-07-03|KTP|Jippo</v>
      </c>
      <c r="T93" s="1">
        <f>IF($G93="",0,IF(COUNTIF($S$2:$S93,$S93)=1,1,0))</f>
        <v>1</v>
      </c>
      <c r="U93" s="19" t="str" cm="1">
        <f t="array" ref="U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 s="19" t="str" cm="1">
        <f t="array" ref="V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 spans="1:22" ht="14.25" customHeight="1" x14ac:dyDescent="0.3">
      <c r="A94" s="1" t="s">
        <v>338</v>
      </c>
      <c r="B94" s="5">
        <v>46213</v>
      </c>
      <c r="C94" s="6">
        <v>0.52083333333333337</v>
      </c>
      <c r="D94" s="1" t="s">
        <v>18</v>
      </c>
      <c r="E94" s="1" t="s">
        <v>20</v>
      </c>
      <c r="F94" s="1" t="s">
        <v>339</v>
      </c>
      <c r="G94" s="39" t="s">
        <v>311</v>
      </c>
      <c r="H94" s="1">
        <v>4</v>
      </c>
      <c r="I94" s="1">
        <v>1</v>
      </c>
      <c r="J94" s="39" t="s">
        <v>322</v>
      </c>
      <c r="K94" s="1">
        <v>1</v>
      </c>
      <c r="L94" s="1">
        <v>4</v>
      </c>
      <c r="S94" s="1" t="str">
        <f>IF(tblDados[[#This Row],[Mandante]]="","",TEXT(tblDados[[#This Row],[Data]],"aaaa-mm-dd")&amp;"|"&amp;TRIM(tblDados[[#This Row],[Mandante]])&amp;"|"&amp;TRIM(tblDados[[#This Row],[Visitante]]))</f>
        <v>2026-07-10|KTP|JäPS</v>
      </c>
      <c r="T94" s="1">
        <f>IF($G94="",0,IF(COUNTIF($S$2:$S94,$S94)=1,1,0))</f>
        <v>1</v>
      </c>
      <c r="U94" s="19" t="str" cm="1">
        <f t="array" ref="U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 s="19" t="str" cm="1">
        <f t="array" ref="V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 spans="1:22" ht="14.25" customHeight="1" x14ac:dyDescent="0.3">
      <c r="A95" s="1" t="s">
        <v>340</v>
      </c>
      <c r="B95" s="5">
        <v>46221</v>
      </c>
      <c r="C95" s="6">
        <v>0.45833333333333331</v>
      </c>
      <c r="D95" s="1" t="s">
        <v>18</v>
      </c>
      <c r="E95" s="1" t="s">
        <v>20</v>
      </c>
      <c r="F95" s="1" t="s">
        <v>341</v>
      </c>
      <c r="G95" s="39" t="s">
        <v>311</v>
      </c>
      <c r="H95" s="1">
        <v>0</v>
      </c>
      <c r="I95" s="1">
        <v>1</v>
      </c>
      <c r="J95" s="39" t="s">
        <v>342</v>
      </c>
      <c r="K95" s="1">
        <v>1</v>
      </c>
      <c r="L95" s="1">
        <v>0</v>
      </c>
      <c r="S95" s="1" t="str">
        <f>IF(tblDados[[#This Row],[Mandante]]="","",TEXT(tblDados[[#This Row],[Data]],"aaaa-mm-dd")&amp;"|"&amp;TRIM(tblDados[[#This Row],[Mandante]])&amp;"|"&amp;TRIM(tblDados[[#This Row],[Visitante]]))</f>
        <v>2026-07-18|KTP|PK-35</v>
      </c>
      <c r="T95" s="1">
        <f>IF($G95="",0,IF(COUNTIF($S$2:$S95,$S95)=1,1,0))</f>
        <v>1</v>
      </c>
      <c r="U95" s="19" t="str" cm="1">
        <f t="array" ref="U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 s="19" t="str" cm="1">
        <f t="array" ref="V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 spans="1:22" ht="14.25" customHeight="1" x14ac:dyDescent="0.3">
      <c r="A96" s="1" t="s">
        <v>343</v>
      </c>
      <c r="B96" s="5">
        <v>46228</v>
      </c>
      <c r="C96" s="6">
        <v>0.41666666666666669</v>
      </c>
      <c r="D96" s="1" t="s">
        <v>18</v>
      </c>
      <c r="E96" s="1" t="s">
        <v>20</v>
      </c>
      <c r="F96" s="1" t="s">
        <v>344</v>
      </c>
      <c r="G96" s="39" t="s">
        <v>325</v>
      </c>
      <c r="H96" s="1">
        <v>3</v>
      </c>
      <c r="I96" s="1">
        <v>3</v>
      </c>
      <c r="J96" s="39" t="s">
        <v>311</v>
      </c>
      <c r="K96" s="1">
        <v>3</v>
      </c>
      <c r="L96" s="1">
        <v>3</v>
      </c>
      <c r="S96" s="1" t="str">
        <f>IF(tblDados[[#This Row],[Mandante]]="","",TEXT(tblDados[[#This Row],[Data]],"aaaa-mm-dd")&amp;"|"&amp;TRIM(tblDados[[#This Row],[Mandante]])&amp;"|"&amp;TRIM(tblDados[[#This Row],[Visitante]]))</f>
        <v>2026-07-25|Mikkeli|KTP</v>
      </c>
      <c r="T96" s="1">
        <f>IF($G96="",0,IF(COUNTIF($S$2:$S96,$S96)=1,1,0))</f>
        <v>1</v>
      </c>
      <c r="U96" s="19" t="str" cm="1">
        <f t="array" ref="U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 s="19" t="str" cm="1">
        <f t="array" ref="V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 spans="1:22" ht="14.25" customHeight="1" x14ac:dyDescent="0.3">
      <c r="A97" s="1" t="s">
        <v>365</v>
      </c>
      <c r="B97" s="5">
        <v>46207</v>
      </c>
      <c r="C97" s="6">
        <v>0.52083333333333337</v>
      </c>
      <c r="D97" s="1" t="s">
        <v>18</v>
      </c>
      <c r="E97" s="1" t="s">
        <v>20</v>
      </c>
      <c r="F97" s="1" t="s">
        <v>2908</v>
      </c>
      <c r="G97" s="39" t="s">
        <v>2866</v>
      </c>
      <c r="H97" s="1">
        <v>0</v>
      </c>
      <c r="I97" s="1">
        <v>3</v>
      </c>
      <c r="J97" s="39" t="s">
        <v>342</v>
      </c>
      <c r="K97" s="1">
        <v>3</v>
      </c>
      <c r="L97" s="1">
        <v>0</v>
      </c>
      <c r="S97" s="1" t="str">
        <f>IF(tblDados[[#This Row],[Mandante]]="","",TEXT(tblDados[[#This Row],[Data]],"aaaa-mm-dd")&amp;"|"&amp;TRIM(tblDados[[#This Row],[Mandante]])&amp;"|"&amp;TRIM(tblDados[[#This Row],[Visitante]]))</f>
        <v>2026-07-04|Ekenas|PK-35</v>
      </c>
      <c r="T97" s="1">
        <f>IF($G97="",0,IF(COUNTIF($S$2:$S97,$S97)=1,1,0))</f>
        <v>1</v>
      </c>
      <c r="U97" s="19" t="str" cm="1">
        <f t="array" ref="U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 s="19" t="str" cm="1">
        <f t="array" ref="V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 spans="1:22" ht="14.25" customHeight="1" x14ac:dyDescent="0.3">
      <c r="A98" s="1" t="s">
        <v>366</v>
      </c>
      <c r="B98" s="5">
        <v>46213</v>
      </c>
      <c r="C98" s="6">
        <v>0.52083333333333337</v>
      </c>
      <c r="D98" s="1" t="s">
        <v>18</v>
      </c>
      <c r="E98" s="1" t="s">
        <v>20</v>
      </c>
      <c r="F98" s="1" t="s">
        <v>2923</v>
      </c>
      <c r="G98" s="39" t="s">
        <v>342</v>
      </c>
      <c r="H98" s="1">
        <v>3</v>
      </c>
      <c r="I98" s="1">
        <v>1</v>
      </c>
      <c r="J98" s="39" t="s">
        <v>2867</v>
      </c>
      <c r="K98" s="1">
        <v>1</v>
      </c>
      <c r="L98" s="1">
        <v>3</v>
      </c>
      <c r="S98" s="1" t="str">
        <f>IF(tblDados[[#This Row],[Mandante]]="","",TEXT(tblDados[[#This Row],[Data]],"aaaa-mm-dd")&amp;"|"&amp;TRIM(tblDados[[#This Row],[Mandante]])&amp;"|"&amp;TRIM(tblDados[[#This Row],[Visitante]]))</f>
        <v>2026-07-10|PK-35|KaPa</v>
      </c>
      <c r="T98" s="1">
        <f>IF($G98="",0,IF(COUNTIF($S$2:$S98,$S98)=1,1,0))</f>
        <v>1</v>
      </c>
      <c r="U98" s="19" t="str" cm="1">
        <f t="array" ref="U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 s="19" t="str" cm="1">
        <f t="array" ref="V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 spans="1:22" ht="14.25" customHeight="1" x14ac:dyDescent="0.3">
      <c r="A99" s="1" t="s">
        <v>367</v>
      </c>
      <c r="B99" s="5">
        <v>46228</v>
      </c>
      <c r="C99" s="6">
        <v>0.41666666666666669</v>
      </c>
      <c r="D99" s="1" t="s">
        <v>18</v>
      </c>
      <c r="E99" s="1" t="s">
        <v>20</v>
      </c>
      <c r="F99" s="1" t="s">
        <v>368</v>
      </c>
      <c r="G99" s="39" t="s">
        <v>342</v>
      </c>
      <c r="H99" s="1">
        <v>1</v>
      </c>
      <c r="I99" s="1">
        <v>1</v>
      </c>
      <c r="J99" s="39" t="s">
        <v>314</v>
      </c>
      <c r="K99" s="1">
        <v>1</v>
      </c>
      <c r="L99" s="1">
        <v>1</v>
      </c>
      <c r="S99" s="1" t="str">
        <f>IF(tblDados[[#This Row],[Mandante]]="","",TEXT(tblDados[[#This Row],[Data]],"aaaa-mm-dd")&amp;"|"&amp;TRIM(tblDados[[#This Row],[Mandante]])&amp;"|"&amp;TRIM(tblDados[[#This Row],[Visitante]]))</f>
        <v>2026-07-25|PK-35|Jippo</v>
      </c>
      <c r="T99" s="1">
        <f>IF($G99="",0,IF(COUNTIF($S$2:$S99,$S99)=1,1,0))</f>
        <v>1</v>
      </c>
      <c r="U99" s="19" t="str" cm="1">
        <f t="array" ref="U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 s="19" t="str" cm="1">
        <f t="array" ref="V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 spans="1:22" ht="14.25" customHeight="1" x14ac:dyDescent="0.3">
      <c r="A100" s="1" t="s">
        <v>369</v>
      </c>
      <c r="B100" s="5">
        <v>46234</v>
      </c>
      <c r="C100" s="6">
        <v>0.52083333333333337</v>
      </c>
      <c r="D100" s="1" t="s">
        <v>18</v>
      </c>
      <c r="E100" s="1" t="s">
        <v>20</v>
      </c>
      <c r="F100" s="1" t="s">
        <v>370</v>
      </c>
      <c r="G100" s="39" t="s">
        <v>342</v>
      </c>
      <c r="H100" s="1">
        <v>1</v>
      </c>
      <c r="I100" s="1">
        <v>4</v>
      </c>
      <c r="J100" s="39" t="s">
        <v>317</v>
      </c>
      <c r="K100" s="1">
        <v>4</v>
      </c>
      <c r="L100" s="1">
        <v>1</v>
      </c>
      <c r="S100" s="1" t="str">
        <f>IF(tblDados[[#This Row],[Mandante]]="","",TEXT(tblDados[[#This Row],[Data]],"aaaa-mm-dd")&amp;"|"&amp;TRIM(tblDados[[#This Row],[Mandante]])&amp;"|"&amp;TRIM(tblDados[[#This Row],[Visitante]]))</f>
        <v>2026-07-31|PK-35|Haka</v>
      </c>
      <c r="T100" s="1">
        <f>IF($G100="",0,IF(COUNTIF($S$2:$S100,$S100)=1,1,0))</f>
        <v>1</v>
      </c>
      <c r="U100" s="19" t="str" cm="1">
        <f t="array" ref="U1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 s="19" t="str" cm="1">
        <f t="array" ref="V1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 spans="1:22" ht="14.25" customHeight="1" x14ac:dyDescent="0.3">
      <c r="A101" s="1" t="s">
        <v>371</v>
      </c>
      <c r="B101" s="5">
        <v>46179</v>
      </c>
      <c r="C101" s="6">
        <v>0.41666666666666669</v>
      </c>
      <c r="D101" s="1" t="s">
        <v>18</v>
      </c>
      <c r="E101" s="1" t="s">
        <v>22</v>
      </c>
      <c r="F101" s="1" t="s">
        <v>372</v>
      </c>
      <c r="G101" s="39" t="s">
        <v>306</v>
      </c>
      <c r="H101" s="1">
        <v>0</v>
      </c>
      <c r="I101" s="1">
        <v>2</v>
      </c>
      <c r="J101" s="39" t="s">
        <v>308</v>
      </c>
      <c r="K101" s="1">
        <v>2</v>
      </c>
      <c r="L101" s="1">
        <v>0</v>
      </c>
      <c r="S101" s="1" t="str">
        <f>IF(tblDados[[#This Row],[Mandante]]="","",TEXT(tblDados[[#This Row],[Data]],"aaaa-mm-dd")&amp;"|"&amp;TRIM(tblDados[[#This Row],[Mandante]])&amp;"|"&amp;TRIM(tblDados[[#This Row],[Visitante]]))</f>
        <v>2026-06-06|Union Plaani|HPS</v>
      </c>
      <c r="T101" s="1">
        <f>IF($G101="",0,IF(COUNTIF($S$2:$S101,$S101)=1,1,0))</f>
        <v>1</v>
      </c>
      <c r="U101" s="19" t="str" cm="1">
        <f t="array" ref="U1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 s="19" t="str" cm="1">
        <f t="array" ref="V1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 spans="1:22" ht="14.25" customHeight="1" x14ac:dyDescent="0.3">
      <c r="A102" s="1" t="s">
        <v>373</v>
      </c>
      <c r="B102" s="5">
        <v>46185</v>
      </c>
      <c r="C102" s="6">
        <v>0.54166666666666663</v>
      </c>
      <c r="D102" s="1" t="s">
        <v>18</v>
      </c>
      <c r="E102" s="1" t="s">
        <v>22</v>
      </c>
      <c r="F102" s="1" t="s">
        <v>374</v>
      </c>
      <c r="G102" s="39" t="s">
        <v>308</v>
      </c>
      <c r="H102" s="1">
        <v>1</v>
      </c>
      <c r="I102" s="1">
        <v>2</v>
      </c>
      <c r="J102" s="39" t="s">
        <v>304</v>
      </c>
      <c r="K102" s="1">
        <v>2</v>
      </c>
      <c r="L102" s="1">
        <v>1</v>
      </c>
      <c r="S102" s="1" t="str">
        <f>IF(tblDados[[#This Row],[Mandante]]="","",TEXT(tblDados[[#This Row],[Data]],"aaaa-mm-dd")&amp;"|"&amp;TRIM(tblDados[[#This Row],[Mandante]])&amp;"|"&amp;TRIM(tblDados[[#This Row],[Visitante]]))</f>
        <v>2026-06-12|HPS|Kiffen</v>
      </c>
      <c r="T102" s="1">
        <f>IF($G102="",0,IF(COUNTIF($S$2:$S102,$S102)=1,1,0))</f>
        <v>1</v>
      </c>
      <c r="U102" s="19" t="str" cm="1">
        <f t="array" ref="U1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 s="19" t="str" cm="1">
        <f t="array" ref="V1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 spans="1:22" ht="14.25" customHeight="1" x14ac:dyDescent="0.3">
      <c r="A103" s="1" t="s">
        <v>375</v>
      </c>
      <c r="B103" s="5">
        <v>46200</v>
      </c>
      <c r="C103" s="6">
        <v>0.45833333333333331</v>
      </c>
      <c r="D103" s="1" t="s">
        <v>18</v>
      </c>
      <c r="E103" s="1" t="s">
        <v>22</v>
      </c>
      <c r="F103" s="1" t="s">
        <v>395</v>
      </c>
      <c r="G103" s="39" t="s">
        <v>294</v>
      </c>
      <c r="H103" s="1">
        <v>0</v>
      </c>
      <c r="I103" s="1">
        <v>2</v>
      </c>
      <c r="J103" s="39" t="s">
        <v>308</v>
      </c>
      <c r="K103" s="1">
        <v>2</v>
      </c>
      <c r="L103" s="1">
        <v>0</v>
      </c>
      <c r="S103" s="1" t="str">
        <f>IF(tblDados[[#This Row],[Mandante]]="","",TEXT(tblDados[[#This Row],[Data]],"aaaa-mm-dd")&amp;"|"&amp;TRIM(tblDados[[#This Row],[Mandante]])&amp;"|"&amp;TRIM(tblDados[[#This Row],[Visitante]]))</f>
        <v>2026-06-27|PuiU|HPS</v>
      </c>
      <c r="T103" s="1">
        <f>IF($G103="",0,IF(COUNTIF($S$2:$S103,$S103)=1,1,0))</f>
        <v>1</v>
      </c>
      <c r="U103" s="19" t="str" cm="1">
        <f t="array" ref="U1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 s="19" t="str" cm="1">
        <f t="array" ref="V1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 spans="1:22" ht="14.25" customHeight="1" x14ac:dyDescent="0.3">
      <c r="A104" s="1" t="s">
        <v>376</v>
      </c>
      <c r="B104" s="5">
        <v>46207</v>
      </c>
      <c r="C104" s="6">
        <v>0.41666666666666669</v>
      </c>
      <c r="D104" s="1" t="s">
        <v>18</v>
      </c>
      <c r="E104" s="1" t="s">
        <v>22</v>
      </c>
      <c r="F104" s="1" t="s">
        <v>3051</v>
      </c>
      <c r="G104" s="39" t="s">
        <v>308</v>
      </c>
      <c r="H104" s="1">
        <v>3</v>
      </c>
      <c r="I104" s="1">
        <v>2</v>
      </c>
      <c r="J104" s="39" t="s">
        <v>3032</v>
      </c>
      <c r="K104" s="1">
        <v>2</v>
      </c>
      <c r="L104" s="1">
        <v>3</v>
      </c>
      <c r="S104" s="1" t="str">
        <f>IF(tblDados[[#This Row],[Mandante]]="","",TEXT(tblDados[[#This Row],[Data]],"aaaa-mm-dd")&amp;"|"&amp;TRIM(tblDados[[#This Row],[Mandante]])&amp;"|"&amp;TRIM(tblDados[[#This Row],[Visitante]]))</f>
        <v>2026-07-04|HPS|Reipas (Lahden Reipas)</v>
      </c>
      <c r="T104" s="1">
        <f>IF($G104="",0,IF(COUNTIF($S$2:$S104,$S104)=1,1,0))</f>
        <v>1</v>
      </c>
      <c r="U104" s="19" t="str" cm="1">
        <f t="array" ref="U1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 s="19" t="str" cm="1">
        <f t="array" ref="V1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 spans="1:22" ht="14.25" customHeight="1" x14ac:dyDescent="0.3">
      <c r="A105" s="1" t="s">
        <v>377</v>
      </c>
      <c r="B105" s="5">
        <v>46214</v>
      </c>
      <c r="C105" s="6">
        <v>0.45833333333333331</v>
      </c>
      <c r="D105" s="1" t="s">
        <v>18</v>
      </c>
      <c r="E105" s="1" t="s">
        <v>22</v>
      </c>
      <c r="F105" s="1" t="s">
        <v>378</v>
      </c>
      <c r="G105" s="39" t="s">
        <v>302</v>
      </c>
      <c r="H105" s="1">
        <v>2</v>
      </c>
      <c r="I105" s="1">
        <v>0</v>
      </c>
      <c r="J105" s="39" t="s">
        <v>308</v>
      </c>
      <c r="K105" s="1">
        <v>0</v>
      </c>
      <c r="L105" s="1">
        <v>2</v>
      </c>
      <c r="S105" s="1" t="str">
        <f>IF(tblDados[[#This Row],[Mandante]]="","",TEXT(tblDados[[#This Row],[Data]],"aaaa-mm-dd")&amp;"|"&amp;TRIM(tblDados[[#This Row],[Mandante]])&amp;"|"&amp;TRIM(tblDados[[#This Row],[Visitante]]))</f>
        <v>2026-07-11|PEPO|HPS</v>
      </c>
      <c r="T105" s="1">
        <f>IF($G105="",0,IF(COUNTIF($S$2:$S105,$S105)=1,1,0))</f>
        <v>1</v>
      </c>
      <c r="U105" s="19" t="str" cm="1">
        <f t="array" ref="U1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 s="19" t="str" cm="1">
        <f t="array" ref="V1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 spans="1:22" ht="14.25" customHeight="1" x14ac:dyDescent="0.3">
      <c r="A106" s="1" t="s">
        <v>379</v>
      </c>
      <c r="B106" s="5">
        <v>46221</v>
      </c>
      <c r="C106" s="6">
        <v>0.41666666666666669</v>
      </c>
      <c r="D106" s="1" t="s">
        <v>18</v>
      </c>
      <c r="E106" s="1" t="s">
        <v>22</v>
      </c>
      <c r="F106" s="1" t="s">
        <v>380</v>
      </c>
      <c r="G106" s="39" t="s">
        <v>308</v>
      </c>
      <c r="H106" s="1">
        <v>5</v>
      </c>
      <c r="I106" s="1">
        <v>2</v>
      </c>
      <c r="J106" s="39" t="s">
        <v>300</v>
      </c>
      <c r="K106" s="1">
        <v>2</v>
      </c>
      <c r="L106" s="1">
        <v>5</v>
      </c>
      <c r="S106" s="1" t="str">
        <f>IF(tblDados[[#This Row],[Mandante]]="","",TEXT(tblDados[[#This Row],[Data]],"aaaa-mm-dd")&amp;"|"&amp;TRIM(tblDados[[#This Row],[Mandante]])&amp;"|"&amp;TRIM(tblDados[[#This Row],[Visitante]]))</f>
        <v>2026-07-18|HPS|MyPa</v>
      </c>
      <c r="T106" s="1">
        <f>IF($G106="",0,IF(COUNTIF($S$2:$S106,$S106)=1,1,0))</f>
        <v>1</v>
      </c>
      <c r="U106" s="19" t="str" cm="1">
        <f t="array" ref="U1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 s="19" t="str" cm="1">
        <f t="array" ref="V1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 spans="1:22" ht="14.25" customHeight="1" x14ac:dyDescent="0.3">
      <c r="A107" s="1" t="s">
        <v>381</v>
      </c>
      <c r="B107" s="5">
        <v>46235</v>
      </c>
      <c r="C107" s="6">
        <v>0.41666666666666669</v>
      </c>
      <c r="D107" s="1" t="s">
        <v>18</v>
      </c>
      <c r="E107" s="1" t="s">
        <v>22</v>
      </c>
      <c r="F107" s="1" t="s">
        <v>382</v>
      </c>
      <c r="G107" s="39" t="s">
        <v>308</v>
      </c>
      <c r="H107" s="1">
        <v>5</v>
      </c>
      <c r="I107" s="1">
        <v>5</v>
      </c>
      <c r="J107" s="39" t="s">
        <v>297</v>
      </c>
      <c r="K107" s="1">
        <v>5</v>
      </c>
      <c r="L107" s="1">
        <v>5</v>
      </c>
      <c r="S107" s="1" t="str">
        <f>IF(tblDados[[#This Row],[Mandante]]="","",TEXT(tblDados[[#This Row],[Data]],"aaaa-mm-dd")&amp;"|"&amp;TRIM(tblDados[[#This Row],[Mandante]])&amp;"|"&amp;TRIM(tblDados[[#This Row],[Visitante]]))</f>
        <v>2026-08-01|HPS|HIFK</v>
      </c>
      <c r="T107" s="1">
        <f>IF($G107="",0,IF(COUNTIF($S$2:$S107,$S107)=1,1,0))</f>
        <v>1</v>
      </c>
      <c r="U107" s="19" t="str" cm="1">
        <f t="array" ref="U1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 s="19" t="str" cm="1">
        <f t="array" ref="V1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 spans="1:22" ht="14.25" customHeight="1" x14ac:dyDescent="0.3">
      <c r="A108" s="1" t="s">
        <v>383</v>
      </c>
      <c r="B108" s="5">
        <v>46181</v>
      </c>
      <c r="C108" s="6">
        <v>0.52083333333333337</v>
      </c>
      <c r="D108" s="1" t="s">
        <v>18</v>
      </c>
      <c r="E108" s="1" t="s">
        <v>22</v>
      </c>
      <c r="F108" s="1" t="s">
        <v>396</v>
      </c>
      <c r="G108" s="39" t="s">
        <v>304</v>
      </c>
      <c r="H108" s="1">
        <v>2</v>
      </c>
      <c r="I108" s="1">
        <v>0</v>
      </c>
      <c r="J108" s="39" t="s">
        <v>294</v>
      </c>
      <c r="K108" s="1">
        <v>0</v>
      </c>
      <c r="L108" s="1">
        <v>2</v>
      </c>
      <c r="S108" s="1" t="str">
        <f>IF(tblDados[[#This Row],[Mandante]]="","",TEXT(tblDados[[#This Row],[Data]],"aaaa-mm-dd")&amp;"|"&amp;TRIM(tblDados[[#This Row],[Mandante]])&amp;"|"&amp;TRIM(tblDados[[#This Row],[Visitante]]))</f>
        <v>2026-06-08|Kiffen|PuiU</v>
      </c>
      <c r="T108" s="1">
        <f>IF($G108="",0,IF(COUNTIF($S$2:$S108,$S108)=1,1,0))</f>
        <v>1</v>
      </c>
      <c r="U108" s="19" t="str" cm="1">
        <f t="array" ref="U1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 s="19" t="str" cm="1">
        <f t="array" ref="V1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 spans="1:22" ht="14.25" customHeight="1" x14ac:dyDescent="0.3">
      <c r="A109" s="1" t="s">
        <v>384</v>
      </c>
      <c r="B109" s="5">
        <v>46200</v>
      </c>
      <c r="C109" s="6">
        <v>0.45833333333333331</v>
      </c>
      <c r="D109" s="1" t="s">
        <v>18</v>
      </c>
      <c r="E109" s="1" t="s">
        <v>22</v>
      </c>
      <c r="F109" s="1" t="s">
        <v>3052</v>
      </c>
      <c r="G109" s="39" t="s">
        <v>304</v>
      </c>
      <c r="H109" s="1">
        <v>3</v>
      </c>
      <c r="I109" s="1">
        <v>1</v>
      </c>
      <c r="J109" s="39" t="s">
        <v>3032</v>
      </c>
      <c r="K109" s="1">
        <v>1</v>
      </c>
      <c r="L109" s="1">
        <v>3</v>
      </c>
      <c r="S109" s="1" t="str">
        <f>IF(tblDados[[#This Row],[Mandante]]="","",TEXT(tblDados[[#This Row],[Data]],"aaaa-mm-dd")&amp;"|"&amp;TRIM(tblDados[[#This Row],[Mandante]])&amp;"|"&amp;TRIM(tblDados[[#This Row],[Visitante]]))</f>
        <v>2026-06-27|Kiffen|Reipas (Lahden Reipas)</v>
      </c>
      <c r="T109" s="1">
        <f>IF($G109="",0,IF(COUNTIF($S$2:$S109,$S109)=1,1,0))</f>
        <v>1</v>
      </c>
      <c r="U109" s="19" t="str" cm="1">
        <f t="array" ref="U1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 s="19" t="str" cm="1">
        <f t="array" ref="V1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 spans="1:22" ht="14.25" customHeight="1" x14ac:dyDescent="0.3">
      <c r="A110" s="1" t="s">
        <v>385</v>
      </c>
      <c r="B110" s="5">
        <v>46205</v>
      </c>
      <c r="C110" s="6">
        <v>0.54166666666666663</v>
      </c>
      <c r="D110" s="1" t="s">
        <v>18</v>
      </c>
      <c r="E110" s="1" t="s">
        <v>22</v>
      </c>
      <c r="F110" s="1" t="s">
        <v>386</v>
      </c>
      <c r="G110" s="39" t="s">
        <v>290</v>
      </c>
      <c r="H110" s="1">
        <v>1</v>
      </c>
      <c r="I110" s="1">
        <v>2</v>
      </c>
      <c r="J110" s="39" t="s">
        <v>304</v>
      </c>
      <c r="K110" s="1">
        <v>2</v>
      </c>
      <c r="L110" s="1">
        <v>1</v>
      </c>
      <c r="S110" s="1" t="str">
        <f>IF(tblDados[[#This Row],[Mandante]]="","",TEXT(tblDados[[#This Row],[Data]],"aaaa-mm-dd")&amp;"|"&amp;TRIM(tblDados[[#This Row],[Mandante]])&amp;"|"&amp;TRIM(tblDados[[#This Row],[Visitante]]))</f>
        <v>2026-07-02|PPJ|Kiffen</v>
      </c>
      <c r="T110" s="1">
        <f>IF($G110="",0,IF(COUNTIF($S$2:$S110,$S110)=1,1,0))</f>
        <v>1</v>
      </c>
      <c r="U110" s="19" t="str" cm="1">
        <f t="array" ref="U1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 s="19" t="str" cm="1">
        <f t="array" ref="V1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 spans="1:22" ht="14.25" customHeight="1" x14ac:dyDescent="0.3">
      <c r="A111" s="1" t="s">
        <v>387</v>
      </c>
      <c r="B111" s="5">
        <v>46221</v>
      </c>
      <c r="C111" s="6">
        <v>0.41666666666666669</v>
      </c>
      <c r="D111" s="1" t="s">
        <v>18</v>
      </c>
      <c r="E111" s="1" t="s">
        <v>22</v>
      </c>
      <c r="F111" s="1" t="s">
        <v>388</v>
      </c>
      <c r="G111" s="39" t="s">
        <v>304</v>
      </c>
      <c r="H111" s="1">
        <v>2</v>
      </c>
      <c r="I111" s="1">
        <v>0</v>
      </c>
      <c r="J111" s="39" t="s">
        <v>302</v>
      </c>
      <c r="K111" s="1">
        <v>0</v>
      </c>
      <c r="L111" s="1">
        <v>2</v>
      </c>
      <c r="S111" s="1" t="str">
        <f>IF(tblDados[[#This Row],[Mandante]]="","",TEXT(tblDados[[#This Row],[Data]],"aaaa-mm-dd")&amp;"|"&amp;TRIM(tblDados[[#This Row],[Mandante]])&amp;"|"&amp;TRIM(tblDados[[#This Row],[Visitante]]))</f>
        <v>2026-07-18|Kiffen|PEPO</v>
      </c>
      <c r="T111" s="1">
        <f>IF($G111="",0,IF(COUNTIF($S$2:$S111,$S111)=1,1,0))</f>
        <v>1</v>
      </c>
      <c r="U111" s="19" t="str" cm="1">
        <f t="array" ref="U1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 s="19" t="str" cm="1">
        <f t="array" ref="V1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 spans="1:22" ht="14.25" customHeight="1" x14ac:dyDescent="0.3">
      <c r="A112" s="1" t="s">
        <v>389</v>
      </c>
      <c r="B112" s="5">
        <v>46228</v>
      </c>
      <c r="C112" s="6">
        <v>0.41666666666666669</v>
      </c>
      <c r="D112" s="1" t="s">
        <v>18</v>
      </c>
      <c r="E112" s="1" t="s">
        <v>22</v>
      </c>
      <c r="F112" s="1" t="s">
        <v>390</v>
      </c>
      <c r="G112" s="39" t="s">
        <v>304</v>
      </c>
      <c r="H112" s="1">
        <v>1</v>
      </c>
      <c r="I112" s="1">
        <v>1</v>
      </c>
      <c r="J112" s="39" t="s">
        <v>297</v>
      </c>
      <c r="K112" s="1">
        <v>1</v>
      </c>
      <c r="L112" s="1">
        <v>1</v>
      </c>
      <c r="S112" s="1" t="str">
        <f>IF(tblDados[[#This Row],[Mandante]]="","",TEXT(tblDados[[#This Row],[Data]],"aaaa-mm-dd")&amp;"|"&amp;TRIM(tblDados[[#This Row],[Mandante]])&amp;"|"&amp;TRIM(tblDados[[#This Row],[Visitante]]))</f>
        <v>2026-07-25|Kiffen|HIFK</v>
      </c>
      <c r="T112" s="1">
        <f>IF($G112="",0,IF(COUNTIF($S$2:$S112,$S112)=1,1,0))</f>
        <v>1</v>
      </c>
      <c r="U112" s="19" t="str" cm="1">
        <f t="array" ref="U1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 s="19" t="str" cm="1">
        <f t="array" ref="V1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 spans="1:22" ht="14.25" customHeight="1" x14ac:dyDescent="0.3">
      <c r="A113" s="1" t="s">
        <v>391</v>
      </c>
      <c r="B113" s="5">
        <v>46235</v>
      </c>
      <c r="C113" s="6">
        <v>0.41666666666666669</v>
      </c>
      <c r="D113" s="1" t="s">
        <v>18</v>
      </c>
      <c r="E113" s="1" t="s">
        <v>22</v>
      </c>
      <c r="F113" s="1" t="s">
        <v>392</v>
      </c>
      <c r="G113" s="39" t="s">
        <v>300</v>
      </c>
      <c r="H113" s="1">
        <v>0</v>
      </c>
      <c r="I113" s="1">
        <v>0</v>
      </c>
      <c r="J113" s="39" t="s">
        <v>304</v>
      </c>
      <c r="K113" s="1">
        <v>0</v>
      </c>
      <c r="L113" s="1">
        <v>0</v>
      </c>
      <c r="S113" s="1" t="str">
        <f>IF(tblDados[[#This Row],[Mandante]]="","",TEXT(tblDados[[#This Row],[Data]],"aaaa-mm-dd")&amp;"|"&amp;TRIM(tblDados[[#This Row],[Mandante]])&amp;"|"&amp;TRIM(tblDados[[#This Row],[Visitante]]))</f>
        <v>2026-08-01|MyPa|Kiffen</v>
      </c>
      <c r="T113">
        <f>IF($G113="",0,IF(COUNTIF($S$2:$S113,$S113)=1,1,0))</f>
        <v>1</v>
      </c>
      <c r="U113" s="19" t="str" cm="1">
        <f t="array" ref="U1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 s="19" t="str" cm="1">
        <f t="array" ref="V1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 spans="1:22" ht="14.25" customHeight="1" x14ac:dyDescent="0.3">
      <c r="A114" s="1" t="s">
        <v>432</v>
      </c>
      <c r="B114" s="5">
        <v>46150</v>
      </c>
      <c r="C114" s="6">
        <v>0.52083333333333337</v>
      </c>
      <c r="D114" s="1" t="s">
        <v>18</v>
      </c>
      <c r="E114" s="1" t="s">
        <v>433</v>
      </c>
      <c r="F114" s="1" t="s">
        <v>434</v>
      </c>
      <c r="G114" s="39" t="s">
        <v>435</v>
      </c>
      <c r="H114" s="1">
        <v>2</v>
      </c>
      <c r="I114" s="1">
        <v>2</v>
      </c>
      <c r="J114" s="39" t="s">
        <v>436</v>
      </c>
      <c r="K114" s="1">
        <v>2</v>
      </c>
      <c r="L114" s="1">
        <v>2</v>
      </c>
      <c r="S114" s="1" t="str">
        <f>IF(tblDados[[#This Row],[Mandante]]="","",TEXT(tblDados[[#This Row],[Data]],"aaaa-mm-dd")&amp;"|"&amp;TRIM(tblDados[[#This Row],[Mandante]])&amp;"|"&amp;TRIM(tblDados[[#This Row],[Visitante]]))</f>
        <v>2026-05-08|Honka|Ilves 2</v>
      </c>
      <c r="T114" s="1">
        <f>IF($G114="",0,IF(COUNTIF($S$2:$S114,$S114)=1,1,0))</f>
        <v>1</v>
      </c>
      <c r="U114" s="19" t="str" cm="1">
        <f t="array" ref="U1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 s="19" t="str" cm="1">
        <f t="array" ref="V1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 spans="1:22" ht="14.25" customHeight="1" x14ac:dyDescent="0.3">
      <c r="A115" s="1" t="s">
        <v>437</v>
      </c>
      <c r="B115" s="5">
        <v>46159</v>
      </c>
      <c r="C115" s="6">
        <v>0.52083333333333337</v>
      </c>
      <c r="D115" s="1" t="s">
        <v>18</v>
      </c>
      <c r="E115" s="1" t="s">
        <v>433</v>
      </c>
      <c r="F115" s="1" t="s">
        <v>438</v>
      </c>
      <c r="G115" s="39" t="s">
        <v>436</v>
      </c>
      <c r="H115" s="1">
        <v>3</v>
      </c>
      <c r="I115" s="1">
        <v>2</v>
      </c>
      <c r="J115" s="39" t="s">
        <v>439</v>
      </c>
      <c r="K115" s="1">
        <v>2</v>
      </c>
      <c r="L115" s="1">
        <v>3</v>
      </c>
      <c r="S115" s="1" t="str">
        <f>IF(tblDados[[#This Row],[Mandante]]="","",TEXT(tblDados[[#This Row],[Data]],"aaaa-mm-dd")&amp;"|"&amp;TRIM(tblDados[[#This Row],[Mandante]])&amp;"|"&amp;TRIM(tblDados[[#This Row],[Visitante]]))</f>
        <v>2026-05-17|Ilves 2|P-Iirot Rauma</v>
      </c>
      <c r="T115" s="1">
        <f>IF($G115="",0,IF(COUNTIF($S$2:$S115,$S115)=1,1,0))</f>
        <v>1</v>
      </c>
      <c r="U115" s="19" t="str" cm="1">
        <f t="array" ref="U1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 s="19" t="str" cm="1">
        <f t="array" ref="V1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 spans="1:22" ht="14.25" customHeight="1" x14ac:dyDescent="0.3">
      <c r="A116" s="1" t="s">
        <v>440</v>
      </c>
      <c r="B116" s="5">
        <v>46165</v>
      </c>
      <c r="C116" s="6">
        <v>0.45833333333333331</v>
      </c>
      <c r="D116" s="1" t="s">
        <v>18</v>
      </c>
      <c r="E116" s="1" t="s">
        <v>433</v>
      </c>
      <c r="F116" s="1" t="s">
        <v>441</v>
      </c>
      <c r="G116" s="39" t="s">
        <v>442</v>
      </c>
      <c r="H116" s="1">
        <v>3</v>
      </c>
      <c r="I116" s="1">
        <v>4</v>
      </c>
      <c r="J116" s="39" t="s">
        <v>436</v>
      </c>
      <c r="K116" s="1">
        <v>4</v>
      </c>
      <c r="L116" s="1">
        <v>3</v>
      </c>
      <c r="S116" s="1" t="str">
        <f>IF(tblDados[[#This Row],[Mandante]]="","",TEXT(tblDados[[#This Row],[Data]],"aaaa-mm-dd")&amp;"|"&amp;TRIM(tblDados[[#This Row],[Mandante]])&amp;"|"&amp;TRIM(tblDados[[#This Row],[Visitante]]))</f>
        <v>2026-05-23|MuSa|Ilves 2</v>
      </c>
      <c r="T116" s="1">
        <f>IF($G116="",0,IF(COUNTIF($S$2:$S116,$S116)=1,1,0))</f>
        <v>1</v>
      </c>
      <c r="U116" s="19" t="str" cm="1">
        <f t="array" ref="U1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 s="19" t="str" cm="1">
        <f t="array" ref="V1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 spans="1:22" ht="14.25" customHeight="1" x14ac:dyDescent="0.3">
      <c r="A117" s="1" t="s">
        <v>443</v>
      </c>
      <c r="B117" s="5">
        <v>46171</v>
      </c>
      <c r="C117" s="6">
        <v>0.54166666666666663</v>
      </c>
      <c r="D117" s="1" t="s">
        <v>18</v>
      </c>
      <c r="E117" s="1" t="s">
        <v>433</v>
      </c>
      <c r="F117" s="1" t="s">
        <v>444</v>
      </c>
      <c r="G117" s="39" t="s">
        <v>436</v>
      </c>
      <c r="H117" s="1">
        <v>0</v>
      </c>
      <c r="I117" s="1">
        <v>0</v>
      </c>
      <c r="J117" s="39" t="s">
        <v>445</v>
      </c>
      <c r="K117" s="1">
        <v>0</v>
      </c>
      <c r="L117" s="1">
        <v>0</v>
      </c>
      <c r="S117" s="1" t="str">
        <f>IF(tblDados[[#This Row],[Mandante]]="","",TEXT(tblDados[[#This Row],[Data]],"aaaa-mm-dd")&amp;"|"&amp;TRIM(tblDados[[#This Row],[Mandante]])&amp;"|"&amp;TRIM(tblDados[[#This Row],[Visitante]]))</f>
        <v>2026-05-29|Ilves 2|HJS</v>
      </c>
      <c r="T117" s="1">
        <f>IF($G117="",0,IF(COUNTIF($S$2:$S117,$S117)=1,1,0))</f>
        <v>1</v>
      </c>
      <c r="U117" s="19" t="str" cm="1">
        <f t="array" ref="U1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 s="19" t="str" cm="1">
        <f t="array" ref="V1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 spans="1:22" ht="14.25" customHeight="1" x14ac:dyDescent="0.3">
      <c r="A118" s="1" t="s">
        <v>446</v>
      </c>
      <c r="B118" s="5">
        <v>46186</v>
      </c>
      <c r="C118" s="6">
        <v>0.45833333333333331</v>
      </c>
      <c r="D118" s="1" t="s">
        <v>18</v>
      </c>
      <c r="E118" s="1" t="s">
        <v>433</v>
      </c>
      <c r="F118" s="1" t="s">
        <v>447</v>
      </c>
      <c r="G118" s="39" t="s">
        <v>448</v>
      </c>
      <c r="H118" s="1">
        <v>1</v>
      </c>
      <c r="I118" s="1">
        <v>7</v>
      </c>
      <c r="J118" s="39" t="s">
        <v>436</v>
      </c>
      <c r="K118" s="1">
        <v>7</v>
      </c>
      <c r="L118" s="1">
        <v>1</v>
      </c>
      <c r="S118" s="1" t="str">
        <f>IF(tblDados[[#This Row],[Mandante]]="","",TEXT(tblDados[[#This Row],[Data]],"aaaa-mm-dd")&amp;"|"&amp;TRIM(tblDados[[#This Row],[Mandante]])&amp;"|"&amp;TRIM(tblDados[[#This Row],[Visitante]]))</f>
        <v>2026-06-13|NJS|Ilves 2</v>
      </c>
      <c r="T118" s="1">
        <f>IF($G118="",0,IF(COUNTIF($S$2:$S118,$S118)=1,1,0))</f>
        <v>1</v>
      </c>
      <c r="U118" s="19" t="str" cm="1">
        <f t="array" ref="U1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 s="19" t="str" cm="1">
        <f t="array" ref="V1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 spans="1:22" ht="14.25" customHeight="1" x14ac:dyDescent="0.3">
      <c r="A119" s="1" t="s">
        <v>449</v>
      </c>
      <c r="B119" s="5">
        <v>46201</v>
      </c>
      <c r="C119" s="6">
        <v>0.52083333333333337</v>
      </c>
      <c r="D119" s="1" t="s">
        <v>18</v>
      </c>
      <c r="E119" s="1" t="s">
        <v>433</v>
      </c>
      <c r="F119" s="1" t="s">
        <v>450</v>
      </c>
      <c r="G119" s="39" t="s">
        <v>436</v>
      </c>
      <c r="H119" s="1">
        <v>3</v>
      </c>
      <c r="I119" s="1">
        <v>2</v>
      </c>
      <c r="J119" s="39" t="s">
        <v>451</v>
      </c>
      <c r="K119" s="1">
        <v>2</v>
      </c>
      <c r="L119" s="1">
        <v>3</v>
      </c>
      <c r="S119" s="1" t="str">
        <f>IF(tblDados[[#This Row],[Mandante]]="","",TEXT(tblDados[[#This Row],[Data]],"aaaa-mm-dd")&amp;"|"&amp;TRIM(tblDados[[#This Row],[Mandante]])&amp;"|"&amp;TRIM(tblDados[[#This Row],[Visitante]]))</f>
        <v>2026-06-28|Ilves 2|EBK</v>
      </c>
      <c r="T119" s="1">
        <f>IF($G119="",0,IF(COUNTIF($S$2:$S119,$S119)=1,1,0))</f>
        <v>1</v>
      </c>
      <c r="U119" s="19" t="str" cm="1">
        <f t="array" ref="U1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 s="19" t="str" cm="1">
        <f t="array" ref="V1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0" spans="1:22" ht="14.25" customHeight="1" x14ac:dyDescent="0.3">
      <c r="A120" s="1" t="s">
        <v>452</v>
      </c>
      <c r="B120" s="5">
        <v>46208</v>
      </c>
      <c r="C120" s="6">
        <v>0.52083333333333337</v>
      </c>
      <c r="D120" s="1" t="s">
        <v>18</v>
      </c>
      <c r="E120" s="1" t="s">
        <v>433</v>
      </c>
      <c r="F120" s="1" t="s">
        <v>453</v>
      </c>
      <c r="G120" s="39" t="s">
        <v>436</v>
      </c>
      <c r="H120" s="1">
        <v>4</v>
      </c>
      <c r="I120" s="1">
        <v>2</v>
      </c>
      <c r="J120" s="39" t="s">
        <v>454</v>
      </c>
      <c r="K120" s="1">
        <v>2</v>
      </c>
      <c r="L120" s="1">
        <v>4</v>
      </c>
      <c r="S120" s="1" t="str">
        <f>IF(tblDados[[#This Row],[Mandante]]="","",TEXT(tblDados[[#This Row],[Data]],"aaaa-mm-dd")&amp;"|"&amp;TRIM(tblDados[[#This Row],[Mandante]])&amp;"|"&amp;TRIM(tblDados[[#This Row],[Visitante]]))</f>
        <v>2026-07-05|Ilves 2|EPS</v>
      </c>
      <c r="T120" s="1">
        <f>IF($G120="",0,IF(COUNTIF($S$2:$S120,$S120)=1,1,0))</f>
        <v>1</v>
      </c>
      <c r="U120" s="19" t="str" cm="1">
        <f t="array" ref="U1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0" s="19" t="str" cm="1">
        <f t="array" ref="V1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1" spans="1:22" ht="14.25" customHeight="1" x14ac:dyDescent="0.3">
      <c r="A121" s="1" t="s">
        <v>455</v>
      </c>
      <c r="B121" s="5">
        <v>46213</v>
      </c>
      <c r="C121" s="6">
        <v>0.54166666666666663</v>
      </c>
      <c r="D121" s="1" t="s">
        <v>18</v>
      </c>
      <c r="E121" s="1" t="s">
        <v>433</v>
      </c>
      <c r="F121" s="1" t="s">
        <v>1503</v>
      </c>
      <c r="G121" s="39" t="s">
        <v>1502</v>
      </c>
      <c r="H121" s="1">
        <v>1</v>
      </c>
      <c r="I121" s="1">
        <v>1</v>
      </c>
      <c r="J121" s="39" t="s">
        <v>436</v>
      </c>
      <c r="K121" s="1">
        <v>1</v>
      </c>
      <c r="L121" s="1">
        <v>1</v>
      </c>
      <c r="S121" s="1" t="str">
        <f>IF(tblDados[[#This Row],[Mandante]]="","",TEXT(tblDados[[#This Row],[Data]],"aaaa-mm-dd")&amp;"|"&amp;TRIM(tblDados[[#This Row],[Mandante]])&amp;"|"&amp;TRIM(tblDados[[#This Row],[Visitante]]))</f>
        <v>2026-07-10|AIFK|Ilves 2</v>
      </c>
      <c r="T121" s="1">
        <f>IF($G121="",0,IF(COUNTIF($S$2:$S121,$S121)=1,1,0))</f>
        <v>1</v>
      </c>
      <c r="U121" s="19" t="str" cm="1">
        <f t="array" ref="U1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1" s="19" t="str" cm="1">
        <f t="array" ref="V1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2" spans="1:22" ht="14.25" customHeight="1" x14ac:dyDescent="0.3">
      <c r="A122" s="1" t="s">
        <v>456</v>
      </c>
      <c r="B122" s="5">
        <v>46217</v>
      </c>
      <c r="C122" s="6">
        <v>0.54166666666666663</v>
      </c>
      <c r="D122" s="1" t="s">
        <v>18</v>
      </c>
      <c r="E122" s="1" t="s">
        <v>433</v>
      </c>
      <c r="F122" s="1" t="s">
        <v>457</v>
      </c>
      <c r="G122" s="39" t="s">
        <v>436</v>
      </c>
      <c r="H122" s="1">
        <v>6</v>
      </c>
      <c r="I122" s="1">
        <v>2</v>
      </c>
      <c r="J122" s="39" t="s">
        <v>458</v>
      </c>
      <c r="K122" s="1">
        <v>2</v>
      </c>
      <c r="L122" s="1">
        <v>6</v>
      </c>
      <c r="S122" s="1" t="str">
        <f>IF(tblDados[[#This Row],[Mandante]]="","",TEXT(tblDados[[#This Row],[Data]],"aaaa-mm-dd")&amp;"|"&amp;TRIM(tblDados[[#This Row],[Mandante]])&amp;"|"&amp;TRIM(tblDados[[#This Row],[Visitante]]))</f>
        <v>2026-07-14|Ilves 2|GrIFK</v>
      </c>
      <c r="T122" s="1">
        <f>IF($G122="",0,IF(COUNTIF($S$2:$S122,$S122)=1,1,0))</f>
        <v>1</v>
      </c>
      <c r="U122" s="19" t="str" cm="1">
        <f t="array" ref="U1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2" s="19" t="str" cm="1">
        <f t="array" ref="V1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3" spans="1:22" ht="14.25" customHeight="1" x14ac:dyDescent="0.3">
      <c r="A123" s="1" t="s">
        <v>459</v>
      </c>
      <c r="B123" s="5">
        <v>46221</v>
      </c>
      <c r="C123" s="6">
        <v>0.45833333333333331</v>
      </c>
      <c r="D123" s="1" t="s">
        <v>18</v>
      </c>
      <c r="E123" s="1" t="s">
        <v>433</v>
      </c>
      <c r="F123" s="1" t="s">
        <v>460</v>
      </c>
      <c r="G123" s="39" t="s">
        <v>436</v>
      </c>
      <c r="H123" s="1">
        <v>2</v>
      </c>
      <c r="I123" s="1">
        <v>2</v>
      </c>
      <c r="J123" s="39" t="s">
        <v>435</v>
      </c>
      <c r="K123" s="1">
        <v>2</v>
      </c>
      <c r="L123" s="1">
        <v>2</v>
      </c>
      <c r="S123" s="1" t="str">
        <f>IF(tblDados[[#This Row],[Mandante]]="","",TEXT(tblDados[[#This Row],[Data]],"aaaa-mm-dd")&amp;"|"&amp;TRIM(tblDados[[#This Row],[Mandante]])&amp;"|"&amp;TRIM(tblDados[[#This Row],[Visitante]]))</f>
        <v>2026-07-18|Ilves 2|Honka</v>
      </c>
      <c r="T123" s="1">
        <f>IF($G123="",0,IF(COUNTIF($S$2:$S123,$S123)=1,1,0))</f>
        <v>1</v>
      </c>
      <c r="U123" s="19" t="str" cm="1">
        <f t="array" ref="U1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3" s="19" t="str" cm="1">
        <f t="array" ref="V1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4" spans="1:22" ht="14.25" customHeight="1" x14ac:dyDescent="0.3">
      <c r="A124" s="1" t="s">
        <v>461</v>
      </c>
      <c r="B124" s="5">
        <v>46227</v>
      </c>
      <c r="C124" s="6">
        <v>0.54166666666666663</v>
      </c>
      <c r="D124" s="1" t="s">
        <v>18</v>
      </c>
      <c r="E124" s="1" t="s">
        <v>433</v>
      </c>
      <c r="F124" s="1" t="s">
        <v>462</v>
      </c>
      <c r="G124" s="39" t="s">
        <v>439</v>
      </c>
      <c r="H124" s="1">
        <v>2</v>
      </c>
      <c r="I124" s="1">
        <v>1</v>
      </c>
      <c r="J124" s="39" t="s">
        <v>436</v>
      </c>
      <c r="K124" s="1">
        <v>1</v>
      </c>
      <c r="L124" s="1">
        <v>2</v>
      </c>
      <c r="S124" s="1" t="str">
        <f>IF(tblDados[[#This Row],[Mandante]]="","",TEXT(tblDados[[#This Row],[Data]],"aaaa-mm-dd")&amp;"|"&amp;TRIM(tblDados[[#This Row],[Mandante]])&amp;"|"&amp;TRIM(tblDados[[#This Row],[Visitante]]))</f>
        <v>2026-07-24|P-Iirot Rauma|Ilves 2</v>
      </c>
      <c r="T124" s="1">
        <f>IF($G124="",0,IF(COUNTIF($S$2:$S124,$S124)=1,1,0))</f>
        <v>1</v>
      </c>
      <c r="U124" s="19" t="str" cm="1">
        <f t="array" ref="U1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4" s="19" t="str" cm="1">
        <f t="array" ref="V1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5" spans="1:22" ht="14.25" customHeight="1" x14ac:dyDescent="0.3">
      <c r="A125" s="1" t="s">
        <v>464</v>
      </c>
      <c r="B125" s="5">
        <v>46171</v>
      </c>
      <c r="C125" s="6">
        <v>0.54166666666666663</v>
      </c>
      <c r="D125" s="1" t="s">
        <v>18</v>
      </c>
      <c r="E125" s="1" t="s">
        <v>433</v>
      </c>
      <c r="F125" s="1" t="s">
        <v>465</v>
      </c>
      <c r="G125" s="39" t="s">
        <v>448</v>
      </c>
      <c r="H125" s="1">
        <v>0</v>
      </c>
      <c r="I125" s="1">
        <v>2</v>
      </c>
      <c r="J125" s="39" t="s">
        <v>435</v>
      </c>
      <c r="K125" s="1">
        <v>2</v>
      </c>
      <c r="L125" s="1">
        <v>0</v>
      </c>
      <c r="S125" s="1" t="str">
        <f>IF(tblDados[[#This Row],[Mandante]]="","",TEXT(tblDados[[#This Row],[Data]],"aaaa-mm-dd")&amp;"|"&amp;TRIM(tblDados[[#This Row],[Mandante]])&amp;"|"&amp;TRIM(tblDados[[#This Row],[Visitante]]))</f>
        <v>2026-05-29|NJS|Honka</v>
      </c>
      <c r="T125">
        <f>IF($G125="",0,IF(COUNTIF($S$2:$S125,$S125)=1,1,0))</f>
        <v>1</v>
      </c>
      <c r="U125" s="19" t="str" cm="1">
        <f t="array" ref="U1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5" s="19" t="str" cm="1">
        <f t="array" ref="V1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6" spans="1:22" ht="14.25" customHeight="1" x14ac:dyDescent="0.3">
      <c r="A126" s="1" t="s">
        <v>466</v>
      </c>
      <c r="B126" s="5">
        <v>46179</v>
      </c>
      <c r="C126" s="6">
        <v>0.45833333333333331</v>
      </c>
      <c r="D126" s="1" t="s">
        <v>18</v>
      </c>
      <c r="E126" s="1" t="s">
        <v>433</v>
      </c>
      <c r="F126" s="1" t="s">
        <v>467</v>
      </c>
      <c r="G126" s="39" t="s">
        <v>435</v>
      </c>
      <c r="H126" s="1">
        <v>4</v>
      </c>
      <c r="I126" s="1">
        <v>0</v>
      </c>
      <c r="J126" s="39" t="s">
        <v>451</v>
      </c>
      <c r="K126" s="1">
        <v>0</v>
      </c>
      <c r="L126" s="1">
        <v>4</v>
      </c>
      <c r="S126" s="1" t="str">
        <f>IF(tblDados[[#This Row],[Mandante]]="","",TEXT(tblDados[[#This Row],[Data]],"aaaa-mm-dd")&amp;"|"&amp;TRIM(tblDados[[#This Row],[Mandante]])&amp;"|"&amp;TRIM(tblDados[[#This Row],[Visitante]]))</f>
        <v>2026-06-06|Honka|EBK</v>
      </c>
      <c r="T126" s="1">
        <f>IF($G126="",0,IF(COUNTIF($S$2:$S126,$S126)=1,1,0))</f>
        <v>1</v>
      </c>
      <c r="U126" s="19" t="str" cm="1">
        <f t="array" ref="U1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6" s="19" t="str" cm="1">
        <f t="array" ref="V1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7" spans="1:22" ht="14.25" customHeight="1" x14ac:dyDescent="0.3">
      <c r="A127" s="1" t="s">
        <v>468</v>
      </c>
      <c r="B127" s="5">
        <v>46186</v>
      </c>
      <c r="C127" s="6">
        <v>0.45833333333333331</v>
      </c>
      <c r="D127" s="1" t="s">
        <v>18</v>
      </c>
      <c r="E127" s="1" t="s">
        <v>433</v>
      </c>
      <c r="F127" s="1" t="s">
        <v>469</v>
      </c>
      <c r="G127" s="39" t="s">
        <v>439</v>
      </c>
      <c r="H127" s="1">
        <v>1</v>
      </c>
      <c r="I127" s="1">
        <v>5</v>
      </c>
      <c r="J127" s="39" t="s">
        <v>435</v>
      </c>
      <c r="K127" s="1">
        <v>5</v>
      </c>
      <c r="L127" s="1">
        <v>1</v>
      </c>
      <c r="S127" s="1" t="str">
        <f>IF(tblDados[[#This Row],[Mandante]]="","",TEXT(tblDados[[#This Row],[Data]],"aaaa-mm-dd")&amp;"|"&amp;TRIM(tblDados[[#This Row],[Mandante]])&amp;"|"&amp;TRIM(tblDados[[#This Row],[Visitante]]))</f>
        <v>2026-06-13|P-Iirot Rauma|Honka</v>
      </c>
      <c r="T127" s="1">
        <f>IF($G127="",0,IF(COUNTIF($S$2:$S127,$S127)=1,1,0))</f>
        <v>1</v>
      </c>
      <c r="U127" s="19" t="str" cm="1">
        <f t="array" ref="U1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7" s="19" t="str" cm="1">
        <f t="array" ref="V1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8" spans="1:22" ht="14.25" customHeight="1" x14ac:dyDescent="0.3">
      <c r="A128" s="1" t="s">
        <v>470</v>
      </c>
      <c r="B128" s="5">
        <v>46199</v>
      </c>
      <c r="C128" s="6">
        <v>0.54166666666666663</v>
      </c>
      <c r="D128" s="1" t="s">
        <v>18</v>
      </c>
      <c r="E128" s="1" t="s">
        <v>433</v>
      </c>
      <c r="F128" s="1" t="s">
        <v>1504</v>
      </c>
      <c r="G128" s="39" t="s">
        <v>1502</v>
      </c>
      <c r="H128" s="1">
        <v>0</v>
      </c>
      <c r="I128" s="1">
        <v>1</v>
      </c>
      <c r="J128" s="39" t="s">
        <v>435</v>
      </c>
      <c r="K128" s="1">
        <v>1</v>
      </c>
      <c r="L128" s="1">
        <v>0</v>
      </c>
      <c r="S128" s="1" t="str">
        <f>IF(tblDados[[#This Row],[Mandante]]="","",TEXT(tblDados[[#This Row],[Data]],"aaaa-mm-dd")&amp;"|"&amp;TRIM(tblDados[[#This Row],[Mandante]])&amp;"|"&amp;TRIM(tblDados[[#This Row],[Visitante]]))</f>
        <v>2026-06-26|AIFK|Honka</v>
      </c>
      <c r="T128" s="1">
        <f>IF($G128="",0,IF(COUNTIF($S$2:$S128,$S128)=1,1,0))</f>
        <v>1</v>
      </c>
      <c r="U128" s="19" t="str" cm="1">
        <f t="array" ref="U1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8" s="19" t="str" cm="1">
        <f t="array" ref="V1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9" spans="1:22" ht="14.25" customHeight="1" x14ac:dyDescent="0.3">
      <c r="A129" s="1" t="s">
        <v>471</v>
      </c>
      <c r="B129" s="5">
        <v>46207</v>
      </c>
      <c r="C129" s="6">
        <v>0.41666666666666669</v>
      </c>
      <c r="D129" s="1" t="s">
        <v>18</v>
      </c>
      <c r="E129" s="1" t="s">
        <v>433</v>
      </c>
      <c r="F129" s="1" t="s">
        <v>472</v>
      </c>
      <c r="G129" s="39" t="s">
        <v>435</v>
      </c>
      <c r="H129" s="1">
        <v>7</v>
      </c>
      <c r="I129" s="1">
        <v>1</v>
      </c>
      <c r="J129" s="39" t="s">
        <v>442</v>
      </c>
      <c r="K129" s="1">
        <v>1</v>
      </c>
      <c r="L129" s="1">
        <v>7</v>
      </c>
      <c r="S129" s="1" t="str">
        <f>IF(tblDados[[#This Row],[Mandante]]="","",TEXT(tblDados[[#This Row],[Data]],"aaaa-mm-dd")&amp;"|"&amp;TRIM(tblDados[[#This Row],[Mandante]])&amp;"|"&amp;TRIM(tblDados[[#This Row],[Visitante]]))</f>
        <v>2026-07-04|Honka|MuSa</v>
      </c>
      <c r="T129" s="1">
        <f>IF($G129="",0,IF(COUNTIF($S$2:$S129,$S129)=1,1,0))</f>
        <v>1</v>
      </c>
      <c r="U129" s="19" t="str" cm="1">
        <f t="array" ref="U1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9" s="19" t="str" cm="1">
        <f t="array" ref="V1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0" spans="1:22" ht="14.25" customHeight="1" x14ac:dyDescent="0.3">
      <c r="A130" s="1" t="s">
        <v>473</v>
      </c>
      <c r="B130" s="5">
        <v>46216</v>
      </c>
      <c r="C130" s="6">
        <v>0.52083333333333337</v>
      </c>
      <c r="D130" s="1" t="s">
        <v>18</v>
      </c>
      <c r="E130" s="1" t="s">
        <v>433</v>
      </c>
      <c r="F130" s="1" t="s">
        <v>474</v>
      </c>
      <c r="G130" s="39" t="s">
        <v>435</v>
      </c>
      <c r="H130" s="1">
        <v>1</v>
      </c>
      <c r="I130" s="1">
        <v>1</v>
      </c>
      <c r="J130" s="39" t="s">
        <v>445</v>
      </c>
      <c r="K130" s="1">
        <v>1</v>
      </c>
      <c r="L130" s="1">
        <v>1</v>
      </c>
      <c r="S130" s="1" t="str">
        <f>IF(tblDados[[#This Row],[Mandante]]="","",TEXT(tblDados[[#This Row],[Data]],"aaaa-mm-dd")&amp;"|"&amp;TRIM(tblDados[[#This Row],[Mandante]])&amp;"|"&amp;TRIM(tblDados[[#This Row],[Visitante]]))</f>
        <v>2026-07-13|Honka|HJS</v>
      </c>
      <c r="T130" s="1">
        <f>IF($G130="",0,IF(COUNTIF($S$2:$S130,$S130)=1,1,0))</f>
        <v>1</v>
      </c>
      <c r="U130" s="19" t="str" cm="1">
        <f t="array" ref="U1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0" s="19" t="str" cm="1">
        <f t="array" ref="V1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1" spans="1:22" ht="14.25" customHeight="1" x14ac:dyDescent="0.3">
      <c r="A131" s="1" t="s">
        <v>475</v>
      </c>
      <c r="B131" s="5">
        <v>46228</v>
      </c>
      <c r="C131" s="6">
        <v>0.41666666666666669</v>
      </c>
      <c r="D131" s="1" t="s">
        <v>18</v>
      </c>
      <c r="E131" s="1" t="s">
        <v>433</v>
      </c>
      <c r="F131" s="1" t="s">
        <v>476</v>
      </c>
      <c r="G131" s="39" t="s">
        <v>435</v>
      </c>
      <c r="H131" s="1">
        <v>2</v>
      </c>
      <c r="I131" s="1">
        <v>1</v>
      </c>
      <c r="J131" s="39" t="s">
        <v>458</v>
      </c>
      <c r="K131" s="1">
        <v>1</v>
      </c>
      <c r="L131" s="1">
        <v>2</v>
      </c>
      <c r="S131" s="1" t="str">
        <f>IF(tblDados[[#This Row],[Mandante]]="","",TEXT(tblDados[[#This Row],[Data]],"aaaa-mm-dd")&amp;"|"&amp;TRIM(tblDados[[#This Row],[Mandante]])&amp;"|"&amp;TRIM(tblDados[[#This Row],[Visitante]]))</f>
        <v>2026-07-25|Honka|GrIFK</v>
      </c>
      <c r="T131" s="1">
        <f>IF($G131="",0,IF(COUNTIF($S$2:$S131,$S131)=1,1,0))</f>
        <v>1</v>
      </c>
      <c r="U131" s="19" t="str" cm="1">
        <f t="array" ref="U1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1" s="19" t="str" cm="1">
        <f t="array" ref="V1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2" spans="1:22" ht="14.25" customHeight="1" x14ac:dyDescent="0.3">
      <c r="A132" s="1" t="s">
        <v>477</v>
      </c>
      <c r="B132" s="5">
        <v>46235</v>
      </c>
      <c r="C132" s="6">
        <v>0.41666666666666669</v>
      </c>
      <c r="D132" s="1" t="s">
        <v>18</v>
      </c>
      <c r="E132" s="1" t="s">
        <v>433</v>
      </c>
      <c r="F132" s="1" t="s">
        <v>478</v>
      </c>
      <c r="G132" s="39" t="s">
        <v>454</v>
      </c>
      <c r="H132" s="1">
        <v>3</v>
      </c>
      <c r="I132" s="1">
        <v>2</v>
      </c>
      <c r="J132" s="39" t="s">
        <v>435</v>
      </c>
      <c r="K132" s="1">
        <v>2</v>
      </c>
      <c r="L132" s="1">
        <v>3</v>
      </c>
      <c r="S132" s="1" t="str">
        <f>IF(tblDados[[#This Row],[Mandante]]="","",TEXT(tblDados[[#This Row],[Data]],"aaaa-mm-dd")&amp;"|"&amp;TRIM(tblDados[[#This Row],[Mandante]])&amp;"|"&amp;TRIM(tblDados[[#This Row],[Visitante]]))</f>
        <v>2026-08-01|EPS|Honka</v>
      </c>
      <c r="T132">
        <f>IF($G132="",0,IF(COUNTIF($S$2:$S132,$S132)=1,1,0))</f>
        <v>1</v>
      </c>
      <c r="U132" s="19" t="str" cm="1">
        <f t="array" ref="U1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2" s="19" t="str" cm="1">
        <f t="array" ref="V1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3" spans="1:22" ht="14.25" customHeight="1" x14ac:dyDescent="0.3">
      <c r="A133" s="1" t="s">
        <v>480</v>
      </c>
      <c r="B133" s="5">
        <v>46144</v>
      </c>
      <c r="C133" s="6">
        <v>0.77083333333333337</v>
      </c>
      <c r="D133" s="1" t="s">
        <v>12</v>
      </c>
      <c r="E133" s="1" t="s">
        <v>13</v>
      </c>
      <c r="F133" s="1" t="s">
        <v>481</v>
      </c>
      <c r="G133" s="39" t="s">
        <v>151</v>
      </c>
      <c r="H133" s="1">
        <v>1</v>
      </c>
      <c r="I133" s="1">
        <v>1</v>
      </c>
      <c r="J133" s="39" t="s">
        <v>482</v>
      </c>
      <c r="K133" s="1">
        <v>1</v>
      </c>
      <c r="L133" s="1">
        <v>1</v>
      </c>
      <c r="S133" s="1" t="str">
        <f>IF(tblDados[[#This Row],[Mandante]]="","",TEXT(tblDados[[#This Row],[Data]],"aaaa-mm-dd")&amp;"|"&amp;TRIM(tblDados[[#This Row],[Mandante]])&amp;"|"&amp;TRIM(tblDados[[#This Row],[Visitante]]))</f>
        <v>2026-05-02|Palmeiras|Santos</v>
      </c>
      <c r="T133" s="1">
        <f>IF($G133="",0,IF(COUNTIF($S$2:$S133,$S133)=1,1,0))</f>
        <v>1</v>
      </c>
      <c r="U133" s="19" t="str" cm="1">
        <f t="array" ref="U1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3" s="19" t="str" cm="1">
        <f t="array" ref="V1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4" spans="1:22" ht="14.25" customHeight="1" x14ac:dyDescent="0.3">
      <c r="A134" s="1" t="s">
        <v>483</v>
      </c>
      <c r="B134" s="5">
        <v>46152</v>
      </c>
      <c r="C134" s="6">
        <v>0.73611111111111116</v>
      </c>
      <c r="D134" s="1" t="s">
        <v>12</v>
      </c>
      <c r="E134" s="1" t="s">
        <v>13</v>
      </c>
      <c r="F134" s="1" t="s">
        <v>484</v>
      </c>
      <c r="G134" s="39" t="s">
        <v>136</v>
      </c>
      <c r="H134" s="1">
        <v>1</v>
      </c>
      <c r="I134" s="1">
        <v>1</v>
      </c>
      <c r="J134" s="39" t="s">
        <v>151</v>
      </c>
      <c r="K134" s="1">
        <v>1</v>
      </c>
      <c r="L134" s="1">
        <v>1</v>
      </c>
      <c r="S134" s="1" t="str">
        <f>IF(tblDados[[#This Row],[Mandante]]="","",TEXT(tblDados[[#This Row],[Data]],"aaaa-mm-dd")&amp;"|"&amp;TRIM(tblDados[[#This Row],[Mandante]])&amp;"|"&amp;TRIM(tblDados[[#This Row],[Visitante]]))</f>
        <v>2026-05-10|Remo|Palmeiras</v>
      </c>
      <c r="T134" s="1">
        <f>IF($G134="",0,IF(COUNTIF($S$2:$S134,$S134)=1,1,0))</f>
        <v>1</v>
      </c>
      <c r="U134" s="19" t="str" cm="1">
        <f t="array" ref="U1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4" s="19" t="str" cm="1">
        <f t="array" ref="V1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5" spans="1:22" ht="14.25" customHeight="1" x14ac:dyDescent="0.3">
      <c r="A135" s="1" t="s">
        <v>485</v>
      </c>
      <c r="B135" s="5">
        <v>46158</v>
      </c>
      <c r="C135" s="6">
        <v>0.875</v>
      </c>
      <c r="D135" s="1" t="s">
        <v>12</v>
      </c>
      <c r="E135" s="1" t="s">
        <v>13</v>
      </c>
      <c r="F135" s="1" t="s">
        <v>486</v>
      </c>
      <c r="G135" s="39" t="s">
        <v>151</v>
      </c>
      <c r="H135" s="1">
        <v>1</v>
      </c>
      <c r="I135" s="1">
        <v>1</v>
      </c>
      <c r="J135" s="39" t="s">
        <v>178</v>
      </c>
      <c r="K135" s="1">
        <v>1</v>
      </c>
      <c r="L135" s="1">
        <v>1</v>
      </c>
      <c r="S135" s="1" t="str">
        <f>IF(tblDados[[#This Row],[Mandante]]="","",TEXT(tblDados[[#This Row],[Data]],"aaaa-mm-dd")&amp;"|"&amp;TRIM(tblDados[[#This Row],[Mandante]])&amp;"|"&amp;TRIM(tblDados[[#This Row],[Visitante]]))</f>
        <v>2026-05-16|Palmeiras|Cruzeiro</v>
      </c>
      <c r="T135" s="1">
        <f>IF($G135="",0,IF(COUNTIF($S$2:$S135,$S135)=1,1,0))</f>
        <v>1</v>
      </c>
      <c r="U135" s="19" t="str" cm="1">
        <f t="array" ref="U1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5" s="19" t="str" cm="1">
        <f t="array" ref="V1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6" spans="1:22" ht="14.25" customHeight="1" x14ac:dyDescent="0.3">
      <c r="A136" s="1" t="s">
        <v>487</v>
      </c>
      <c r="B136" s="5">
        <v>46165</v>
      </c>
      <c r="C136" s="6">
        <v>0.875</v>
      </c>
      <c r="D136" s="1" t="s">
        <v>12</v>
      </c>
      <c r="E136" s="1" t="s">
        <v>13</v>
      </c>
      <c r="F136" s="1" t="s">
        <v>488</v>
      </c>
      <c r="G136" s="39" t="s">
        <v>144</v>
      </c>
      <c r="H136" s="1">
        <v>0</v>
      </c>
      <c r="I136" s="1">
        <v>3</v>
      </c>
      <c r="J136" s="39" t="s">
        <v>151</v>
      </c>
      <c r="K136" s="1">
        <v>3</v>
      </c>
      <c r="L136" s="1">
        <v>0</v>
      </c>
      <c r="S136" s="1" t="str">
        <f>IF(tblDados[[#This Row],[Mandante]]="","",TEXT(tblDados[[#This Row],[Data]],"aaaa-mm-dd")&amp;"|"&amp;TRIM(tblDados[[#This Row],[Mandante]])&amp;"|"&amp;TRIM(tblDados[[#This Row],[Visitante]]))</f>
        <v>2026-05-23|Flamengo|Palmeiras</v>
      </c>
      <c r="T136" s="1">
        <f>IF($G136="",0,IF(COUNTIF($S$2:$S136,$S136)=1,1,0))</f>
        <v>1</v>
      </c>
      <c r="U136" s="19" t="str" cm="1">
        <f t="array" ref="U1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6" s="19" t="str" cm="1">
        <f t="array" ref="V1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7" spans="1:22" ht="14.25" customHeight="1" x14ac:dyDescent="0.3">
      <c r="A137" s="1" t="s">
        <v>489</v>
      </c>
      <c r="B137" s="5">
        <v>46173</v>
      </c>
      <c r="C137" s="6">
        <v>0.66666666666666663</v>
      </c>
      <c r="D137" s="1" t="s">
        <v>12</v>
      </c>
      <c r="E137" s="1" t="s">
        <v>13</v>
      </c>
      <c r="F137" s="1" t="s">
        <v>490</v>
      </c>
      <c r="G137" s="39" t="s">
        <v>151</v>
      </c>
      <c r="H137" s="1">
        <v>1</v>
      </c>
      <c r="I137" s="1">
        <v>0</v>
      </c>
      <c r="J137" s="39" t="s">
        <v>491</v>
      </c>
      <c r="K137" s="1">
        <v>0</v>
      </c>
      <c r="L137" s="1">
        <v>1</v>
      </c>
      <c r="S137" s="1" t="str">
        <f>IF(tblDados[[#This Row],[Mandante]]="","",TEXT(tblDados[[#This Row],[Data]],"aaaa-mm-dd")&amp;"|"&amp;TRIM(tblDados[[#This Row],[Mandante]])&amp;"|"&amp;TRIM(tblDados[[#This Row],[Visitante]]))</f>
        <v>2026-05-31|Palmeiras|Chapecoense</v>
      </c>
      <c r="T137" s="1">
        <f>IF($G137="",0,IF(COUNTIF($S$2:$S137,$S137)=1,1,0))</f>
        <v>1</v>
      </c>
      <c r="U137" s="19" t="str" cm="1">
        <f t="array" ref="U1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7" s="19" t="str" cm="1">
        <f t="array" ref="V1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8" spans="1:22" ht="14.25" customHeight="1" x14ac:dyDescent="0.3">
      <c r="A138" s="1" t="s">
        <v>492</v>
      </c>
      <c r="B138" s="5">
        <v>46225</v>
      </c>
      <c r="C138" s="6">
        <v>0.8125</v>
      </c>
      <c r="D138" s="1" t="s">
        <v>12</v>
      </c>
      <c r="E138" s="1" t="s">
        <v>13</v>
      </c>
      <c r="F138" s="1" t="s">
        <v>493</v>
      </c>
      <c r="G138" s="39" t="s">
        <v>177</v>
      </c>
      <c r="H138" s="1">
        <v>1</v>
      </c>
      <c r="I138" s="1">
        <v>3</v>
      </c>
      <c r="J138" s="39" t="s">
        <v>151</v>
      </c>
      <c r="K138" s="1">
        <v>3</v>
      </c>
      <c r="L138" s="1">
        <v>1</v>
      </c>
      <c r="S138" s="1" t="str">
        <f>IF(tblDados[[#This Row],[Mandante]]="","",TEXT(tblDados[[#This Row],[Data]],"aaaa-mm-dd")&amp;"|"&amp;TRIM(tblDados[[#This Row],[Mandante]])&amp;"|"&amp;TRIM(tblDados[[#This Row],[Visitante]]))</f>
        <v>2026-07-22|Coritiba|Palmeiras</v>
      </c>
      <c r="T138" s="1">
        <f>IF($G138="",0,IF(COUNTIF($S$2:$S138,$S138)=1,1,0))</f>
        <v>1</v>
      </c>
      <c r="U138" s="19" t="str" cm="1">
        <f t="array" ref="U1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8" s="19" t="str" cm="1">
        <f t="array" ref="V1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9" spans="1:22" ht="14.25" customHeight="1" x14ac:dyDescent="0.3">
      <c r="A139" s="1" t="s">
        <v>494</v>
      </c>
      <c r="B139" s="5">
        <v>46229</v>
      </c>
      <c r="C139" s="6">
        <v>0.8125</v>
      </c>
      <c r="D139" s="1" t="s">
        <v>12</v>
      </c>
      <c r="E139" s="1" t="s">
        <v>13</v>
      </c>
      <c r="F139" s="1" t="s">
        <v>495</v>
      </c>
      <c r="G139" s="39" t="s">
        <v>151</v>
      </c>
      <c r="H139" s="1">
        <v>1</v>
      </c>
      <c r="I139" s="1">
        <v>2</v>
      </c>
      <c r="J139" s="39" t="s">
        <v>496</v>
      </c>
      <c r="K139" s="1">
        <v>2</v>
      </c>
      <c r="L139" s="1">
        <v>1</v>
      </c>
      <c r="S139" s="1" t="str">
        <f>IF(tblDados[[#This Row],[Mandante]]="","",TEXT(tblDados[[#This Row],[Data]],"aaaa-mm-dd")&amp;"|"&amp;TRIM(tblDados[[#This Row],[Mandante]])&amp;"|"&amp;TRIM(tblDados[[#This Row],[Visitante]]))</f>
        <v>2026-07-26|Palmeiras|Atlético-MG</v>
      </c>
      <c r="T139" s="1">
        <f>IF($G139="",0,IF(COUNTIF($S$2:$S139,$S139)=1,1,0))</f>
        <v>1</v>
      </c>
      <c r="U139" s="19" t="str" cm="1">
        <f t="array" ref="U1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9" s="19" t="str" cm="1">
        <f t="array" ref="V1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0" spans="1:22" ht="14.25" customHeight="1" x14ac:dyDescent="0.3">
      <c r="A140" s="1" t="s">
        <v>497</v>
      </c>
      <c r="B140" s="5">
        <v>46138</v>
      </c>
      <c r="C140" s="6">
        <v>0.66666666666666663</v>
      </c>
      <c r="D140" s="1" t="s">
        <v>12</v>
      </c>
      <c r="E140" s="1" t="s">
        <v>13</v>
      </c>
      <c r="F140" s="1" t="s">
        <v>498</v>
      </c>
      <c r="G140" s="39" t="s">
        <v>496</v>
      </c>
      <c r="H140" s="1">
        <v>0</v>
      </c>
      <c r="I140" s="1">
        <v>4</v>
      </c>
      <c r="J140" s="39" t="s">
        <v>144</v>
      </c>
      <c r="K140" s="1">
        <v>4</v>
      </c>
      <c r="L140" s="1">
        <v>0</v>
      </c>
      <c r="S140" s="1" t="str">
        <f>IF(tblDados[[#This Row],[Mandante]]="","",TEXT(tblDados[[#This Row],[Data]],"aaaa-mm-dd")&amp;"|"&amp;TRIM(tblDados[[#This Row],[Mandante]])&amp;"|"&amp;TRIM(tblDados[[#This Row],[Visitante]]))</f>
        <v>2026-04-26|Atlético-MG|Flamengo</v>
      </c>
      <c r="T140" s="1">
        <f>IF($G140="",0,IF(COUNTIF($S$2:$S140,$S140)=1,1,0))</f>
        <v>1</v>
      </c>
      <c r="U140" s="19" t="str" cm="1">
        <f t="array" ref="U1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0" s="19" t="str" cm="1">
        <f t="array" ref="V1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1" spans="1:22" ht="14.25" customHeight="1" x14ac:dyDescent="0.3">
      <c r="A141" s="1" t="s">
        <v>499</v>
      </c>
      <c r="B141" s="5">
        <v>46145</v>
      </c>
      <c r="C141" s="6">
        <v>0.66666666666666663</v>
      </c>
      <c r="D141" s="1" t="s">
        <v>12</v>
      </c>
      <c r="E141" s="1" t="s">
        <v>13</v>
      </c>
      <c r="F141" s="1" t="s">
        <v>513</v>
      </c>
      <c r="G141" s="39" t="s">
        <v>144</v>
      </c>
      <c r="H141" s="1">
        <v>2</v>
      </c>
      <c r="I141" s="1">
        <v>2</v>
      </c>
      <c r="J141" s="39" t="s">
        <v>229</v>
      </c>
      <c r="K141" s="1">
        <v>2</v>
      </c>
      <c r="L141" s="1">
        <v>2</v>
      </c>
      <c r="S141" s="1" t="str">
        <f>IF(tblDados[[#This Row],[Mandante]]="","",TEXT(tblDados[[#This Row],[Data]],"aaaa-mm-dd")&amp;"|"&amp;TRIM(tblDados[[#This Row],[Mandante]])&amp;"|"&amp;TRIM(tblDados[[#This Row],[Visitante]]))</f>
        <v>2026-05-03|Flamengo|Vasco da Gama</v>
      </c>
      <c r="T141" s="1">
        <f>IF($G141="",0,IF(COUNTIF($S$2:$S141,$S141)=1,1,0))</f>
        <v>1</v>
      </c>
      <c r="U141" s="19" t="str" cm="1">
        <f t="array" ref="U1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1" s="19" t="str" cm="1">
        <f t="array" ref="V1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2" spans="1:22" ht="14.25" customHeight="1" x14ac:dyDescent="0.3">
      <c r="A142" s="1" t="s">
        <v>500</v>
      </c>
      <c r="B142" s="5">
        <v>46152</v>
      </c>
      <c r="C142" s="6">
        <v>0.66666666666666663</v>
      </c>
      <c r="D142" s="1" t="s">
        <v>12</v>
      </c>
      <c r="E142" s="1" t="s">
        <v>13</v>
      </c>
      <c r="F142" s="1" t="s">
        <v>501</v>
      </c>
      <c r="G142" s="39" t="s">
        <v>502</v>
      </c>
      <c r="H142" s="1">
        <v>0</v>
      </c>
      <c r="I142" s="1">
        <v>1</v>
      </c>
      <c r="J142" s="39" t="s">
        <v>144</v>
      </c>
      <c r="K142" s="1">
        <v>1</v>
      </c>
      <c r="L142" s="1">
        <v>0</v>
      </c>
      <c r="S142" s="1" t="str">
        <f>IF(tblDados[[#This Row],[Mandante]]="","",TEXT(tblDados[[#This Row],[Data]],"aaaa-mm-dd")&amp;"|"&amp;TRIM(tblDados[[#This Row],[Mandante]])&amp;"|"&amp;TRIM(tblDados[[#This Row],[Visitante]]))</f>
        <v>2026-05-10|Grêmio|Flamengo</v>
      </c>
      <c r="T142" s="1">
        <f>IF($G142="",0,IF(COUNTIF($S$2:$S142,$S142)=1,1,0))</f>
        <v>1</v>
      </c>
      <c r="U142" s="19" t="str" cm="1">
        <f t="array" ref="U1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2" s="19" t="str" cm="1">
        <f t="array" ref="V1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3" spans="1:22" ht="14.25" customHeight="1" x14ac:dyDescent="0.3">
      <c r="A143" s="1" t="s">
        <v>503</v>
      </c>
      <c r="B143" s="5">
        <v>46159</v>
      </c>
      <c r="C143" s="6">
        <v>0.66666666666666663</v>
      </c>
      <c r="D143" s="1" t="s">
        <v>12</v>
      </c>
      <c r="E143" s="1" t="s">
        <v>13</v>
      </c>
      <c r="F143" s="1" t="s">
        <v>504</v>
      </c>
      <c r="G143" s="39" t="s">
        <v>505</v>
      </c>
      <c r="H143" s="1">
        <v>1</v>
      </c>
      <c r="I143" s="1">
        <v>1</v>
      </c>
      <c r="J143" s="39" t="s">
        <v>144</v>
      </c>
      <c r="K143" s="1">
        <v>1</v>
      </c>
      <c r="L143" s="1">
        <v>1</v>
      </c>
      <c r="S143" s="1" t="str">
        <f>IF(tblDados[[#This Row],[Mandante]]="","",TEXT(tblDados[[#This Row],[Data]],"aaaa-mm-dd")&amp;"|"&amp;TRIM(tblDados[[#This Row],[Mandante]])&amp;"|"&amp;TRIM(tblDados[[#This Row],[Visitante]]))</f>
        <v>2026-05-17|Athletico-PR|Flamengo</v>
      </c>
      <c r="T143" s="1">
        <f>IF($G143="",0,IF(COUNTIF($S$2:$S143,$S143)=1,1,0))</f>
        <v>1</v>
      </c>
      <c r="U143" s="19" t="str" cm="1">
        <f t="array" ref="U1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3" s="19" t="str" cm="1">
        <f t="array" ref="V1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4" spans="1:22" ht="14.25" customHeight="1" x14ac:dyDescent="0.3">
      <c r="A144" s="1" t="s">
        <v>506</v>
      </c>
      <c r="B144" s="5">
        <v>46172</v>
      </c>
      <c r="C144" s="6">
        <v>0.6875</v>
      </c>
      <c r="D144" s="1" t="s">
        <v>12</v>
      </c>
      <c r="E144" s="1" t="s">
        <v>13</v>
      </c>
      <c r="F144" s="1" t="s">
        <v>507</v>
      </c>
      <c r="G144" s="39" t="s">
        <v>144</v>
      </c>
      <c r="H144" s="1">
        <v>3</v>
      </c>
      <c r="I144" s="1">
        <v>0</v>
      </c>
      <c r="J144" s="39" t="s">
        <v>177</v>
      </c>
      <c r="K144" s="1">
        <v>0</v>
      </c>
      <c r="L144" s="1">
        <v>3</v>
      </c>
      <c r="S144" s="1" t="str">
        <f>IF(tblDados[[#This Row],[Mandante]]="","",TEXT(tblDados[[#This Row],[Data]],"aaaa-mm-dd")&amp;"|"&amp;TRIM(tblDados[[#This Row],[Mandante]])&amp;"|"&amp;TRIM(tblDados[[#This Row],[Visitante]]))</f>
        <v>2026-05-30|Flamengo|Coritiba</v>
      </c>
      <c r="T144" s="1">
        <f>IF($G144="",0,IF(COUNTIF($S$2:$S144,$S144)=1,1,0))</f>
        <v>1</v>
      </c>
      <c r="U144" s="19" t="str" cm="1">
        <f t="array" ref="U1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4" s="19" t="str" cm="1">
        <f t="array" ref="V1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5" spans="1:22" ht="14.25" customHeight="1" x14ac:dyDescent="0.3">
      <c r="A145" s="1" t="s">
        <v>508</v>
      </c>
      <c r="B145" s="5">
        <v>46225</v>
      </c>
      <c r="C145" s="6">
        <v>0.83333333333333337</v>
      </c>
      <c r="D145" s="1" t="s">
        <v>12</v>
      </c>
      <c r="E145" s="1" t="s">
        <v>13</v>
      </c>
      <c r="F145" s="1" t="s">
        <v>509</v>
      </c>
      <c r="G145" s="39" t="s">
        <v>491</v>
      </c>
      <c r="H145" s="1">
        <v>0</v>
      </c>
      <c r="I145" s="1">
        <v>4</v>
      </c>
      <c r="J145" s="39" t="s">
        <v>144</v>
      </c>
      <c r="K145" s="1">
        <v>4</v>
      </c>
      <c r="L145" s="1">
        <v>0</v>
      </c>
      <c r="S145" s="1" t="str">
        <f>IF(tblDados[[#This Row],[Mandante]]="","",TEXT(tblDados[[#This Row],[Data]],"aaaa-mm-dd")&amp;"|"&amp;TRIM(tblDados[[#This Row],[Mandante]])&amp;"|"&amp;TRIM(tblDados[[#This Row],[Visitante]]))</f>
        <v>2026-07-22|Chapecoense|Flamengo</v>
      </c>
      <c r="T145" s="1">
        <f>IF($G145="",0,IF(COUNTIF($S$2:$S145,$S145)=1,1,0))</f>
        <v>1</v>
      </c>
      <c r="U145" s="19" t="str" cm="1">
        <f t="array" ref="U1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5" s="19" t="str" cm="1">
        <f t="array" ref="V1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6" spans="1:22" ht="14.25" customHeight="1" x14ac:dyDescent="0.3">
      <c r="A146" s="1" t="s">
        <v>510</v>
      </c>
      <c r="B146" s="5">
        <v>46229</v>
      </c>
      <c r="C146" s="6">
        <v>0.66666666666666663</v>
      </c>
      <c r="D146" s="1" t="s">
        <v>12</v>
      </c>
      <c r="E146" s="1" t="s">
        <v>13</v>
      </c>
      <c r="F146" s="1" t="s">
        <v>511</v>
      </c>
      <c r="G146" s="39" t="s">
        <v>144</v>
      </c>
      <c r="H146" s="1">
        <v>1</v>
      </c>
      <c r="I146" s="1">
        <v>1</v>
      </c>
      <c r="J146" s="39" t="s">
        <v>512</v>
      </c>
      <c r="K146" s="1">
        <v>1</v>
      </c>
      <c r="L146" s="1">
        <v>1</v>
      </c>
      <c r="S146" s="1" t="str">
        <f>IF(tblDados[[#This Row],[Mandante]]="","",TEXT(tblDados[[#This Row],[Data]],"aaaa-mm-dd")&amp;"|"&amp;TRIM(tblDados[[#This Row],[Mandante]])&amp;"|"&amp;TRIM(tblDados[[#This Row],[Visitante]]))</f>
        <v>2026-07-26|Flamengo|São Paulo</v>
      </c>
      <c r="T146" s="1">
        <f>IF($G146="",0,IF(COUNTIF($S$2:$S146,$S146)=1,1,0))</f>
        <v>1</v>
      </c>
      <c r="U146" s="19" t="str" cm="1">
        <f t="array" ref="U1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6" s="19" t="str" cm="1">
        <f t="array" ref="V1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7" spans="1:22" ht="14.25" customHeight="1" x14ac:dyDescent="0.3">
      <c r="A147" s="1" t="s">
        <v>515</v>
      </c>
      <c r="B147" s="5">
        <v>46130</v>
      </c>
      <c r="C147" s="6">
        <v>0.66666666666666663</v>
      </c>
      <c r="D147" s="1" t="s">
        <v>12</v>
      </c>
      <c r="E147" s="1" t="s">
        <v>13</v>
      </c>
      <c r="F147" s="1" t="s">
        <v>526</v>
      </c>
      <c r="G147" s="39" t="s">
        <v>491</v>
      </c>
      <c r="H147" s="1">
        <v>1</v>
      </c>
      <c r="I147" s="1">
        <v>4</v>
      </c>
      <c r="J147" s="39" t="s">
        <v>525</v>
      </c>
      <c r="K147" s="1">
        <v>4</v>
      </c>
      <c r="L147" s="1">
        <v>1</v>
      </c>
      <c r="S147" s="1" t="str">
        <f>IF(tblDados[[#This Row],[Mandante]]="","",TEXT(tblDados[[#This Row],[Data]],"aaaa-mm-dd")&amp;"|"&amp;TRIM(tblDados[[#This Row],[Mandante]])&amp;"|"&amp;TRIM(tblDados[[#This Row],[Visitante]]))</f>
        <v>2026-04-18|Chapecoense|Botafogo-RJ</v>
      </c>
      <c r="T147" s="1">
        <f>IF($G147="",0,IF(COUNTIF($S$2:$S147,$S147)=1,1,0))</f>
        <v>1</v>
      </c>
      <c r="U147" s="19" t="str" cm="1">
        <f t="array" ref="U1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7" s="19" t="str" cm="1">
        <f t="array" ref="V1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8" spans="1:22" ht="14.25" customHeight="1" x14ac:dyDescent="0.3">
      <c r="A148" s="1" t="s">
        <v>516</v>
      </c>
      <c r="B148" s="5">
        <v>46137</v>
      </c>
      <c r="C148" s="6">
        <v>0.66666666666666663</v>
      </c>
      <c r="D148" s="1" t="s">
        <v>12</v>
      </c>
      <c r="E148" s="1" t="s">
        <v>13</v>
      </c>
      <c r="F148" s="1" t="s">
        <v>527</v>
      </c>
      <c r="G148" s="39" t="s">
        <v>525</v>
      </c>
      <c r="H148" s="1">
        <v>2</v>
      </c>
      <c r="I148" s="1">
        <v>2</v>
      </c>
      <c r="J148" s="39" t="s">
        <v>143</v>
      </c>
      <c r="K148" s="1">
        <v>2</v>
      </c>
      <c r="L148" s="1">
        <v>2</v>
      </c>
      <c r="S148" s="1" t="str">
        <f>IF(tblDados[[#This Row],[Mandante]]="","",TEXT(tblDados[[#This Row],[Data]],"aaaa-mm-dd")&amp;"|"&amp;TRIM(tblDados[[#This Row],[Mandante]])&amp;"|"&amp;TRIM(tblDados[[#This Row],[Visitante]]))</f>
        <v>2026-04-25|Botafogo-RJ|Internacional</v>
      </c>
      <c r="T148" s="1">
        <f>IF($G148="",0,IF(COUNTIF($S$2:$S148,$S148)=1,1,0))</f>
        <v>1</v>
      </c>
      <c r="U148" s="19" t="str" cm="1">
        <f t="array" ref="U1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8" s="19" t="str" cm="1">
        <f t="array" ref="V1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9" spans="1:22" ht="14.25" customHeight="1" x14ac:dyDescent="0.3">
      <c r="A149" s="1" t="s">
        <v>517</v>
      </c>
      <c r="B149" s="5">
        <v>46144</v>
      </c>
      <c r="C149" s="6">
        <v>0.77083333333333337</v>
      </c>
      <c r="D149" s="1" t="s">
        <v>12</v>
      </c>
      <c r="E149" s="1" t="s">
        <v>13</v>
      </c>
      <c r="F149" s="1" t="s">
        <v>528</v>
      </c>
      <c r="G149" s="39" t="s">
        <v>525</v>
      </c>
      <c r="H149" s="1">
        <v>1</v>
      </c>
      <c r="I149" s="1">
        <v>2</v>
      </c>
      <c r="J149" s="39" t="s">
        <v>136</v>
      </c>
      <c r="K149" s="1">
        <v>2</v>
      </c>
      <c r="L149" s="1">
        <v>1</v>
      </c>
      <c r="S149" s="1" t="str">
        <f>IF(tblDados[[#This Row],[Mandante]]="","",TEXT(tblDados[[#This Row],[Data]],"aaaa-mm-dd")&amp;"|"&amp;TRIM(tblDados[[#This Row],[Mandante]])&amp;"|"&amp;TRIM(tblDados[[#This Row],[Visitante]]))</f>
        <v>2026-05-02|Botafogo-RJ|Remo</v>
      </c>
      <c r="T149" s="1">
        <f>IF($G149="",0,IF(COUNTIF($S$2:$S149,$S149)=1,1,0))</f>
        <v>1</v>
      </c>
      <c r="U149" s="19" t="str" cm="1">
        <f t="array" ref="U1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9" s="19" t="str" cm="1">
        <f t="array" ref="V1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0" spans="1:22" ht="14.25" customHeight="1" x14ac:dyDescent="0.3">
      <c r="A150" s="1" t="s">
        <v>518</v>
      </c>
      <c r="B150" s="5">
        <v>46152</v>
      </c>
      <c r="C150" s="6">
        <v>0.66666666666666663</v>
      </c>
      <c r="D150" s="1" t="s">
        <v>12</v>
      </c>
      <c r="E150" s="1" t="s">
        <v>13</v>
      </c>
      <c r="F150" s="1" t="s">
        <v>529</v>
      </c>
      <c r="G150" s="39" t="s">
        <v>496</v>
      </c>
      <c r="H150" s="1">
        <v>1</v>
      </c>
      <c r="I150" s="1">
        <v>1</v>
      </c>
      <c r="J150" s="39" t="s">
        <v>525</v>
      </c>
      <c r="K150" s="1">
        <v>1</v>
      </c>
      <c r="L150" s="1">
        <v>1</v>
      </c>
      <c r="S150" s="1" t="str">
        <f>IF(tblDados[[#This Row],[Mandante]]="","",TEXT(tblDados[[#This Row],[Data]],"aaaa-mm-dd")&amp;"|"&amp;TRIM(tblDados[[#This Row],[Mandante]])&amp;"|"&amp;TRIM(tblDados[[#This Row],[Visitante]]))</f>
        <v>2026-05-10|Atlético-MG|Botafogo-RJ</v>
      </c>
      <c r="T150" s="1">
        <f>IF($G150="",0,IF(COUNTIF($S$2:$S150,$S150)=1,1,0))</f>
        <v>1</v>
      </c>
      <c r="U150" s="19" t="str" cm="1">
        <f t="array" ref="U1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0" s="19" t="str" cm="1">
        <f t="array" ref="V1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1" spans="1:22" ht="14.25" customHeight="1" x14ac:dyDescent="0.3">
      <c r="A151" s="1" t="s">
        <v>519</v>
      </c>
      <c r="B151" s="5">
        <v>46159</v>
      </c>
      <c r="C151" s="6">
        <v>0.66666666666666663</v>
      </c>
      <c r="D151" s="1" t="s">
        <v>12</v>
      </c>
      <c r="E151" s="1" t="s">
        <v>13</v>
      </c>
      <c r="F151" s="1" t="s">
        <v>530</v>
      </c>
      <c r="G151" s="39" t="s">
        <v>525</v>
      </c>
      <c r="H151" s="1">
        <v>3</v>
      </c>
      <c r="I151" s="1">
        <v>1</v>
      </c>
      <c r="J151" s="39" t="s">
        <v>174</v>
      </c>
      <c r="K151" s="1">
        <v>1</v>
      </c>
      <c r="L151" s="1">
        <v>3</v>
      </c>
      <c r="S151" s="1" t="str">
        <f>IF(tblDados[[#This Row],[Mandante]]="","",TEXT(tblDados[[#This Row],[Data]],"aaaa-mm-dd")&amp;"|"&amp;TRIM(tblDados[[#This Row],[Mandante]])&amp;"|"&amp;TRIM(tblDados[[#This Row],[Visitante]]))</f>
        <v>2026-05-17|Botafogo-RJ|Corinthians</v>
      </c>
      <c r="T151" s="1">
        <f>IF($G151="",0,IF(COUNTIF($S$2:$S151,$S151)=1,1,0))</f>
        <v>1</v>
      </c>
      <c r="U151" s="19" t="str" cm="1">
        <f t="array" ref="U1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1" s="19" t="str" cm="1">
        <f t="array" ref="V1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2" spans="1:22" ht="14.25" customHeight="1" x14ac:dyDescent="0.3">
      <c r="A152" s="1" t="s">
        <v>520</v>
      </c>
      <c r="B152" s="5">
        <v>46165</v>
      </c>
      <c r="C152" s="6">
        <v>0.66666666666666663</v>
      </c>
      <c r="D152" s="1" t="s">
        <v>12</v>
      </c>
      <c r="E152" s="1" t="s">
        <v>13</v>
      </c>
      <c r="F152" s="1" t="s">
        <v>531</v>
      </c>
      <c r="G152" s="39" t="s">
        <v>512</v>
      </c>
      <c r="H152" s="1">
        <v>1</v>
      </c>
      <c r="I152" s="1">
        <v>1</v>
      </c>
      <c r="J152" s="39" t="s">
        <v>525</v>
      </c>
      <c r="K152" s="1">
        <v>1</v>
      </c>
      <c r="L152" s="1">
        <v>1</v>
      </c>
      <c r="S152" s="1" t="str">
        <f>IF(tblDados[[#This Row],[Mandante]]="","",TEXT(tblDados[[#This Row],[Data]],"aaaa-mm-dd")&amp;"|"&amp;TRIM(tblDados[[#This Row],[Mandante]])&amp;"|"&amp;TRIM(tblDados[[#This Row],[Visitante]]))</f>
        <v>2026-05-23|São Paulo|Botafogo-RJ</v>
      </c>
      <c r="T152" s="1">
        <f>IF($G152="",0,IF(COUNTIF($S$2:$S152,$S152)=1,1,0))</f>
        <v>1</v>
      </c>
      <c r="U152" s="19" t="str" cm="1">
        <f t="array" ref="U1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2" s="19" t="str" cm="1">
        <f t="array" ref="V1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3" spans="1:22" ht="14.25" customHeight="1" x14ac:dyDescent="0.3">
      <c r="A153" s="1" t="s">
        <v>521</v>
      </c>
      <c r="B153" s="5">
        <v>46172</v>
      </c>
      <c r="C153" s="6">
        <v>0.6875</v>
      </c>
      <c r="D153" s="1" t="s">
        <v>12</v>
      </c>
      <c r="E153" s="1" t="s">
        <v>13</v>
      </c>
      <c r="F153" s="1" t="s">
        <v>532</v>
      </c>
      <c r="G153" s="39" t="s">
        <v>161</v>
      </c>
      <c r="H153" s="1">
        <v>2</v>
      </c>
      <c r="I153" s="1">
        <v>1</v>
      </c>
      <c r="J153" s="39" t="s">
        <v>525</v>
      </c>
      <c r="K153" s="1">
        <v>1</v>
      </c>
      <c r="L153" s="1">
        <v>2</v>
      </c>
      <c r="S153" s="1" t="str">
        <f>IF(tblDados[[#This Row],[Mandante]]="","",TEXT(tblDados[[#This Row],[Data]],"aaaa-mm-dd")&amp;"|"&amp;TRIM(tblDados[[#This Row],[Mandante]])&amp;"|"&amp;TRIM(tblDados[[#This Row],[Visitante]]))</f>
        <v>2026-05-30|Bahia|Botafogo-RJ</v>
      </c>
      <c r="T153" s="1">
        <f>IF($G153="",0,IF(COUNTIF($S$2:$S153,$S153)=1,1,0))</f>
        <v>1</v>
      </c>
      <c r="U153" s="19" t="str" cm="1">
        <f t="array" ref="U1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3" s="19" t="str" cm="1">
        <f t="array" ref="V1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4" spans="1:22" ht="14.25" customHeight="1" x14ac:dyDescent="0.3">
      <c r="A154" s="1" t="s">
        <v>522</v>
      </c>
      <c r="B154" s="5">
        <v>46219</v>
      </c>
      <c r="C154" s="6">
        <v>0.83333333333333337</v>
      </c>
      <c r="D154" s="1" t="s">
        <v>12</v>
      </c>
      <c r="E154" s="1" t="s">
        <v>13</v>
      </c>
      <c r="F154" s="1" t="s">
        <v>533</v>
      </c>
      <c r="G154" s="39" t="s">
        <v>525</v>
      </c>
      <c r="H154" s="1">
        <v>2</v>
      </c>
      <c r="I154" s="1">
        <v>1</v>
      </c>
      <c r="J154" s="39" t="s">
        <v>482</v>
      </c>
      <c r="K154" s="1">
        <v>1</v>
      </c>
      <c r="L154" s="1">
        <v>2</v>
      </c>
      <c r="S154" s="1" t="str">
        <f>IF(tblDados[[#This Row],[Mandante]]="","",TEXT(tblDados[[#This Row],[Data]],"aaaa-mm-dd")&amp;"|"&amp;TRIM(tblDados[[#This Row],[Mandante]])&amp;"|"&amp;TRIM(tblDados[[#This Row],[Visitante]]))</f>
        <v>2026-07-16|Botafogo-RJ|Santos</v>
      </c>
      <c r="T154" s="1">
        <f>IF($G154="",0,IF(COUNTIF($S$2:$S154,$S154)=1,1,0))</f>
        <v>1</v>
      </c>
      <c r="U154" s="19" t="str" cm="1">
        <f t="array" ref="U1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4" s="19" t="str" cm="1">
        <f t="array" ref="V1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5" spans="1:22" ht="14.25" customHeight="1" x14ac:dyDescent="0.3">
      <c r="A155" s="1" t="s">
        <v>523</v>
      </c>
      <c r="B155" s="5">
        <v>46226</v>
      </c>
      <c r="C155" s="6">
        <v>0.8125</v>
      </c>
      <c r="D155" s="1" t="s">
        <v>12</v>
      </c>
      <c r="E155" s="1" t="s">
        <v>13</v>
      </c>
      <c r="F155" s="1" t="s">
        <v>534</v>
      </c>
      <c r="G155" s="39" t="s">
        <v>525</v>
      </c>
      <c r="H155" s="1">
        <v>0</v>
      </c>
      <c r="I155" s="1">
        <v>0</v>
      </c>
      <c r="J155" s="39" t="s">
        <v>150</v>
      </c>
      <c r="K155" s="1">
        <v>0</v>
      </c>
      <c r="L155" s="1">
        <v>0</v>
      </c>
      <c r="S155" s="1" t="str">
        <f>IF(tblDados[[#This Row],[Mandante]]="","",TEXT(tblDados[[#This Row],[Data]],"aaaa-mm-dd")&amp;"|"&amp;TRIM(tblDados[[#This Row],[Mandante]])&amp;"|"&amp;TRIM(tblDados[[#This Row],[Visitante]]))</f>
        <v>2026-07-23|Botafogo-RJ|Vitória</v>
      </c>
      <c r="T155" s="1">
        <f>IF($G155="",0,IF(COUNTIF($S$2:$S155,$S155)=1,1,0))</f>
        <v>1</v>
      </c>
      <c r="U155" s="19" t="str" cm="1">
        <f t="array" ref="U1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5" s="19" t="str" cm="1">
        <f t="array" ref="V1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6" spans="1:22" ht="14.25" customHeight="1" x14ac:dyDescent="0.3">
      <c r="A156" s="1" t="s">
        <v>524</v>
      </c>
      <c r="B156" s="5">
        <v>46229</v>
      </c>
      <c r="C156" s="6">
        <v>0.66666666666666663</v>
      </c>
      <c r="D156" s="1" t="s">
        <v>12</v>
      </c>
      <c r="E156" s="1" t="s">
        <v>13</v>
      </c>
      <c r="F156" s="1" t="s">
        <v>535</v>
      </c>
      <c r="G156" s="39" t="s">
        <v>178</v>
      </c>
      <c r="H156" s="1">
        <v>0</v>
      </c>
      <c r="I156" s="1">
        <v>1</v>
      </c>
      <c r="J156" s="39" t="s">
        <v>525</v>
      </c>
      <c r="K156" s="1">
        <v>1</v>
      </c>
      <c r="L156" s="1">
        <v>0</v>
      </c>
      <c r="S156" s="1" t="str">
        <f>IF(tblDados[[#This Row],[Mandante]]="","",TEXT(tblDados[[#This Row],[Data]],"aaaa-mm-dd")&amp;"|"&amp;TRIM(tblDados[[#This Row],[Mandante]])&amp;"|"&amp;TRIM(tblDados[[#This Row],[Visitante]]))</f>
        <v>2026-07-26|Cruzeiro|Botafogo-RJ</v>
      </c>
      <c r="T156">
        <f>IF($G156="",0,IF(COUNTIF($S$2:$S156,$S156)=1,1,0))</f>
        <v>1</v>
      </c>
      <c r="U156" s="19" t="str" cm="1">
        <f t="array" ref="U1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6" s="19" t="str" cm="1">
        <f t="array" ref="V1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7" spans="1:22" ht="14.25" customHeight="1" x14ac:dyDescent="0.3">
      <c r="A157" s="1" t="s">
        <v>536</v>
      </c>
      <c r="B157" s="5">
        <v>46150</v>
      </c>
      <c r="C157" s="6">
        <v>0.52083333333333337</v>
      </c>
      <c r="D157" s="1" t="s">
        <v>18</v>
      </c>
      <c r="E157" s="1" t="s">
        <v>20</v>
      </c>
      <c r="F157" s="1" t="s">
        <v>2909</v>
      </c>
      <c r="G157" s="39" t="s">
        <v>317</v>
      </c>
      <c r="H157" s="1">
        <v>4</v>
      </c>
      <c r="I157" s="1">
        <v>3</v>
      </c>
      <c r="J157" s="39" t="s">
        <v>2866</v>
      </c>
      <c r="K157" s="1">
        <v>3</v>
      </c>
      <c r="L157" s="1">
        <v>4</v>
      </c>
      <c r="S157" s="1" t="str">
        <f>IF(tblDados[[#This Row],[Mandante]]="","",TEXT(tblDados[[#This Row],[Data]],"aaaa-mm-dd")&amp;"|"&amp;TRIM(tblDados[[#This Row],[Mandante]])&amp;"|"&amp;TRIM(tblDados[[#This Row],[Visitante]]))</f>
        <v>2026-05-08|Haka|Ekenas</v>
      </c>
      <c r="T157" s="1">
        <f>IF($G157="",0,IF(COUNTIF($S$2:$S157,$S157)=1,1,0))</f>
        <v>1</v>
      </c>
      <c r="U157" s="19" t="str" cm="1">
        <f t="array" ref="U1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7" s="19" t="str" cm="1">
        <f t="array" ref="V1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8" spans="1:22" ht="14.25" customHeight="1" x14ac:dyDescent="0.3">
      <c r="A158" s="1" t="s">
        <v>537</v>
      </c>
      <c r="B158" s="5">
        <v>46160</v>
      </c>
      <c r="C158" s="6">
        <v>0.52083333333333337</v>
      </c>
      <c r="D158" s="1" t="s">
        <v>18</v>
      </c>
      <c r="E158" s="1" t="s">
        <v>20</v>
      </c>
      <c r="F158" s="1" t="s">
        <v>538</v>
      </c>
      <c r="G158" s="39" t="s">
        <v>317</v>
      </c>
      <c r="H158" s="1">
        <v>1</v>
      </c>
      <c r="I158" s="1">
        <v>1</v>
      </c>
      <c r="J158" s="39" t="s">
        <v>320</v>
      </c>
      <c r="K158" s="1">
        <v>1</v>
      </c>
      <c r="L158" s="1">
        <v>1</v>
      </c>
      <c r="S158" s="1" t="str">
        <f>IF(tblDados[[#This Row],[Mandante]]="","",TEXT(tblDados[[#This Row],[Data]],"aaaa-mm-dd")&amp;"|"&amp;TRIM(tblDados[[#This Row],[Mandante]])&amp;"|"&amp;TRIM(tblDados[[#This Row],[Visitante]]))</f>
        <v>2026-05-18|Haka|Klubi 04</v>
      </c>
      <c r="T158" s="1">
        <f>IF($G158="",0,IF(COUNTIF($S$2:$S158,$S158)=1,1,0))</f>
        <v>1</v>
      </c>
      <c r="U158" s="19" t="str" cm="1">
        <f t="array" ref="U1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8" s="19" t="str" cm="1">
        <f t="array" ref="V1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9" spans="1:22" ht="14.25" customHeight="1" x14ac:dyDescent="0.3">
      <c r="A159" s="1" t="s">
        <v>539</v>
      </c>
      <c r="B159" s="5">
        <v>46164</v>
      </c>
      <c r="C159" s="6">
        <v>0.52083333333333337</v>
      </c>
      <c r="D159" s="1" t="s">
        <v>18</v>
      </c>
      <c r="E159" s="1" t="s">
        <v>20</v>
      </c>
      <c r="F159" s="1" t="s">
        <v>540</v>
      </c>
      <c r="G159" s="39" t="s">
        <v>206</v>
      </c>
      <c r="H159" s="1">
        <v>0</v>
      </c>
      <c r="I159" s="1">
        <v>1</v>
      </c>
      <c r="J159" s="39" t="s">
        <v>317</v>
      </c>
      <c r="K159" s="1">
        <v>1</v>
      </c>
      <c r="L159" s="1">
        <v>0</v>
      </c>
      <c r="S159" s="1" t="str">
        <f>IF(tblDados[[#This Row],[Mandante]]="","",TEXT(tblDados[[#This Row],[Data]],"aaaa-mm-dd")&amp;"|"&amp;TRIM(tblDados[[#This Row],[Mandante]])&amp;"|"&amp;TRIM(tblDados[[#This Row],[Visitante]]))</f>
        <v>2026-05-22|SJK Akatemia|Haka</v>
      </c>
      <c r="T159" s="1">
        <f>IF($G159="",0,IF(COUNTIF($S$2:$S159,$S159)=1,1,0))</f>
        <v>1</v>
      </c>
      <c r="U159" s="19" t="str" cm="1">
        <f t="array" ref="U1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9" s="19" t="str" cm="1">
        <f t="array" ref="V1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0" spans="1:22" ht="14.25" customHeight="1" x14ac:dyDescent="0.3">
      <c r="A160" s="1" t="s">
        <v>541</v>
      </c>
      <c r="B160" s="5">
        <v>46171</v>
      </c>
      <c r="C160" s="6">
        <v>0.52083333333333337</v>
      </c>
      <c r="D160" s="1" t="s">
        <v>18</v>
      </c>
      <c r="E160" s="1" t="s">
        <v>20</v>
      </c>
      <c r="F160" s="1" t="s">
        <v>542</v>
      </c>
      <c r="G160" s="39" t="s">
        <v>317</v>
      </c>
      <c r="H160" s="1">
        <v>2</v>
      </c>
      <c r="I160" s="1">
        <v>1</v>
      </c>
      <c r="J160" s="39" t="s">
        <v>314</v>
      </c>
      <c r="K160" s="1">
        <v>1</v>
      </c>
      <c r="L160" s="1">
        <v>2</v>
      </c>
      <c r="S160" s="1" t="str">
        <f>IF(tblDados[[#This Row],[Mandante]]="","",TEXT(tblDados[[#This Row],[Data]],"aaaa-mm-dd")&amp;"|"&amp;TRIM(tblDados[[#This Row],[Mandante]])&amp;"|"&amp;TRIM(tblDados[[#This Row],[Visitante]]))</f>
        <v>2026-05-29|Haka|Jippo</v>
      </c>
      <c r="T160" s="1">
        <f>IF($G160="",0,IF(COUNTIF($S$2:$S160,$S160)=1,1,0))</f>
        <v>1</v>
      </c>
      <c r="U160" s="19" t="str" cm="1">
        <f t="array" ref="U1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0" s="19" t="str" cm="1">
        <f t="array" ref="V1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1" spans="1:22" ht="14.25" customHeight="1" x14ac:dyDescent="0.3">
      <c r="A161" s="1" t="s">
        <v>543</v>
      </c>
      <c r="B161" s="5">
        <v>46178</v>
      </c>
      <c r="C161" s="6">
        <v>0.52083333333333337</v>
      </c>
      <c r="D161" s="1" t="s">
        <v>18</v>
      </c>
      <c r="E161" s="1" t="s">
        <v>20</v>
      </c>
      <c r="F161" s="1" t="s">
        <v>544</v>
      </c>
      <c r="G161" s="39" t="s">
        <v>317</v>
      </c>
      <c r="H161" s="1">
        <v>1</v>
      </c>
      <c r="I161" s="1">
        <v>2</v>
      </c>
      <c r="J161" s="39" t="s">
        <v>322</v>
      </c>
      <c r="K161" s="1">
        <v>2</v>
      </c>
      <c r="L161" s="1">
        <v>1</v>
      </c>
      <c r="S161" s="1" t="str">
        <f>IF(tblDados[[#This Row],[Mandante]]="","",TEXT(tblDados[[#This Row],[Data]],"aaaa-mm-dd")&amp;"|"&amp;TRIM(tblDados[[#This Row],[Mandante]])&amp;"|"&amp;TRIM(tblDados[[#This Row],[Visitante]]))</f>
        <v>2026-06-05|Haka|JäPS</v>
      </c>
      <c r="T161" s="1">
        <f>IF($G161="",0,IF(COUNTIF($S$2:$S161,$S161)=1,1,0))</f>
        <v>1</v>
      </c>
      <c r="U161" s="19" t="str" cm="1">
        <f t="array" ref="U1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1" s="19" t="str" cm="1">
        <f t="array" ref="V1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2" spans="1:22" ht="14.25" customHeight="1" x14ac:dyDescent="0.3">
      <c r="A162" s="1" t="s">
        <v>545</v>
      </c>
      <c r="B162" s="5">
        <v>46208</v>
      </c>
      <c r="C162" s="6">
        <v>0.52083333333333337</v>
      </c>
      <c r="D162" s="1" t="s">
        <v>18</v>
      </c>
      <c r="E162" s="1" t="s">
        <v>20</v>
      </c>
      <c r="F162" s="1" t="s">
        <v>546</v>
      </c>
      <c r="G162" s="39" t="s">
        <v>325</v>
      </c>
      <c r="H162" s="1">
        <v>2</v>
      </c>
      <c r="I162" s="1">
        <v>1</v>
      </c>
      <c r="J162" s="39" t="s">
        <v>317</v>
      </c>
      <c r="K162" s="1">
        <v>1</v>
      </c>
      <c r="L162" s="1">
        <v>2</v>
      </c>
      <c r="S162" s="1" t="str">
        <f>IF(tblDados[[#This Row],[Mandante]]="","",TEXT(tblDados[[#This Row],[Data]],"aaaa-mm-dd")&amp;"|"&amp;TRIM(tblDados[[#This Row],[Mandante]])&amp;"|"&amp;TRIM(tblDados[[#This Row],[Visitante]]))</f>
        <v>2026-07-05|Mikkeli|Haka</v>
      </c>
      <c r="T162" s="1">
        <f>IF($G162="",0,IF(COUNTIF($S$2:$S162,$S162)=1,1,0))</f>
        <v>1</v>
      </c>
      <c r="U162" s="19" t="str" cm="1">
        <f t="array" ref="U1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2" s="19" t="str" cm="1">
        <f t="array" ref="V1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3" spans="1:22" ht="14.25" customHeight="1" x14ac:dyDescent="0.3">
      <c r="A163" s="1" t="s">
        <v>547</v>
      </c>
      <c r="B163" s="5">
        <v>46214</v>
      </c>
      <c r="C163" s="6">
        <v>0.45833333333333331</v>
      </c>
      <c r="D163" s="1" t="s">
        <v>18</v>
      </c>
      <c r="E163" s="1" t="s">
        <v>20</v>
      </c>
      <c r="F163" s="1" t="s">
        <v>2910</v>
      </c>
      <c r="G163" s="39" t="s">
        <v>317</v>
      </c>
      <c r="H163" s="1">
        <v>3</v>
      </c>
      <c r="I163" s="1">
        <v>1</v>
      </c>
      <c r="J163" s="39" t="s">
        <v>2866</v>
      </c>
      <c r="K163" s="1">
        <v>1</v>
      </c>
      <c r="L163" s="1">
        <v>3</v>
      </c>
      <c r="S163" s="1" t="str">
        <f>IF(tblDados[[#This Row],[Mandante]]="","",TEXT(tblDados[[#This Row],[Data]],"aaaa-mm-dd")&amp;"|"&amp;TRIM(tblDados[[#This Row],[Mandante]])&amp;"|"&amp;TRIM(tblDados[[#This Row],[Visitante]]))</f>
        <v>2026-07-11|Haka|Ekenas</v>
      </c>
      <c r="T163" s="1">
        <f>IF($G163="",0,IF(COUNTIF($S$2:$S163,$S163)=1,1,0))</f>
        <v>1</v>
      </c>
      <c r="U163" s="19" t="str" cm="1">
        <f t="array" ref="U1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3" s="19" t="str" cm="1">
        <f t="array" ref="V1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4" spans="1:22" ht="14.25" customHeight="1" x14ac:dyDescent="0.3">
      <c r="A164" s="1" t="s">
        <v>548</v>
      </c>
      <c r="B164" s="5">
        <v>46220</v>
      </c>
      <c r="C164" s="6">
        <v>0.52083333333333337</v>
      </c>
      <c r="D164" s="1" t="s">
        <v>18</v>
      </c>
      <c r="E164" s="1" t="s">
        <v>20</v>
      </c>
      <c r="F164" s="1" t="s">
        <v>549</v>
      </c>
      <c r="G164" s="39" t="s">
        <v>320</v>
      </c>
      <c r="H164" s="1">
        <v>2</v>
      </c>
      <c r="I164" s="1">
        <v>2</v>
      </c>
      <c r="J164" s="39" t="s">
        <v>317</v>
      </c>
      <c r="K164" s="1">
        <v>2</v>
      </c>
      <c r="L164" s="1">
        <v>2</v>
      </c>
      <c r="S164" s="1" t="str">
        <f>IF(tblDados[[#This Row],[Mandante]]="","",TEXT(tblDados[[#This Row],[Data]],"aaaa-mm-dd")&amp;"|"&amp;TRIM(tblDados[[#This Row],[Mandante]])&amp;"|"&amp;TRIM(tblDados[[#This Row],[Visitante]]))</f>
        <v>2026-07-17|Klubi 04|Haka</v>
      </c>
      <c r="T164" s="1">
        <f>IF($G164="",0,IF(COUNTIF($S$2:$S164,$S164)=1,1,0))</f>
        <v>1</v>
      </c>
      <c r="U164" s="19" t="str" cm="1">
        <f t="array" ref="U1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4" s="19" t="str" cm="1">
        <f t="array" ref="V1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5" spans="1:22" ht="14.25" customHeight="1" x14ac:dyDescent="0.3">
      <c r="A165" s="1" t="s">
        <v>550</v>
      </c>
      <c r="B165" s="5">
        <v>46228</v>
      </c>
      <c r="C165" s="6">
        <v>0.41666666666666669</v>
      </c>
      <c r="D165" s="1" t="s">
        <v>18</v>
      </c>
      <c r="E165" s="1" t="s">
        <v>20</v>
      </c>
      <c r="F165" s="1" t="s">
        <v>2924</v>
      </c>
      <c r="G165" s="39" t="s">
        <v>317</v>
      </c>
      <c r="H165" s="1">
        <v>3</v>
      </c>
      <c r="I165" s="1">
        <v>1</v>
      </c>
      <c r="J165" s="39" t="s">
        <v>2867</v>
      </c>
      <c r="K165" s="1">
        <v>1</v>
      </c>
      <c r="L165" s="1">
        <v>3</v>
      </c>
      <c r="S165" s="1" t="str">
        <f>IF(tblDados[[#This Row],[Mandante]]="","",TEXT(tblDados[[#This Row],[Data]],"aaaa-mm-dd")&amp;"|"&amp;TRIM(tblDados[[#This Row],[Mandante]])&amp;"|"&amp;TRIM(tblDados[[#This Row],[Visitante]]))</f>
        <v>2026-07-25|Haka|KaPa</v>
      </c>
      <c r="T165" s="1">
        <f>IF($G165="",0,IF(COUNTIF($S$2:$S165,$S165)=1,1,0))</f>
        <v>1</v>
      </c>
      <c r="U165" s="19" t="str" cm="1">
        <f t="array" ref="U1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5" s="19" t="str" cm="1">
        <f t="array" ref="V1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6" spans="1:22" ht="14.25" customHeight="1" x14ac:dyDescent="0.3">
      <c r="A166" s="1" t="s">
        <v>551</v>
      </c>
      <c r="B166" s="5">
        <v>46144</v>
      </c>
      <c r="C166" s="6">
        <v>0.41666666666666669</v>
      </c>
      <c r="D166" s="1" t="s">
        <v>18</v>
      </c>
      <c r="E166" s="1" t="s">
        <v>20</v>
      </c>
      <c r="F166" s="1" t="s">
        <v>552</v>
      </c>
      <c r="G166" s="39" t="s">
        <v>322</v>
      </c>
      <c r="H166" s="1">
        <v>1</v>
      </c>
      <c r="I166" s="1">
        <v>0</v>
      </c>
      <c r="J166" s="39" t="s">
        <v>342</v>
      </c>
      <c r="K166" s="1">
        <v>0</v>
      </c>
      <c r="L166" s="1">
        <v>1</v>
      </c>
      <c r="S166" s="1" t="str">
        <f>IF(tblDados[[#This Row],[Mandante]]="","",TEXT(tblDados[[#This Row],[Data]],"aaaa-mm-dd")&amp;"|"&amp;TRIM(tblDados[[#This Row],[Mandante]])&amp;"|"&amp;TRIM(tblDados[[#This Row],[Visitante]]))</f>
        <v>2026-05-02|JäPS|PK-35</v>
      </c>
      <c r="T166">
        <f>IF($G166="",0,IF(COUNTIF($S$2:$S166,$S166)=1,1,0))</f>
        <v>1</v>
      </c>
      <c r="U166" s="19" t="str" cm="1">
        <f t="array" ref="U1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6" s="19" t="str" cm="1">
        <f t="array" ref="V1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7" spans="1:22" ht="14.25" customHeight="1" x14ac:dyDescent="0.3">
      <c r="A167" s="1" t="s">
        <v>553</v>
      </c>
      <c r="B167" s="5">
        <v>46149</v>
      </c>
      <c r="C167" s="6">
        <v>0.52083333333333337</v>
      </c>
      <c r="D167" s="1" t="s">
        <v>18</v>
      </c>
      <c r="E167" s="1" t="s">
        <v>20</v>
      </c>
      <c r="F167" s="1" t="s">
        <v>554</v>
      </c>
      <c r="G167" s="39" t="s">
        <v>342</v>
      </c>
      <c r="H167" s="1">
        <v>3</v>
      </c>
      <c r="I167" s="1">
        <v>1</v>
      </c>
      <c r="J167" s="39" t="s">
        <v>325</v>
      </c>
      <c r="K167" s="1">
        <v>1</v>
      </c>
      <c r="L167" s="1">
        <v>3</v>
      </c>
      <c r="S167" s="1" t="str">
        <f>IF(tblDados[[#This Row],[Mandante]]="","",TEXT(tblDados[[#This Row],[Data]],"aaaa-mm-dd")&amp;"|"&amp;TRIM(tblDados[[#This Row],[Mandante]])&amp;"|"&amp;TRIM(tblDados[[#This Row],[Visitante]]))</f>
        <v>2026-05-07|PK-35|Mikkeli</v>
      </c>
      <c r="T167" s="1">
        <f>IF($G167="",0,IF(COUNTIF($S$2:$S167,$S167)=1,1,0))</f>
        <v>1</v>
      </c>
      <c r="U167" s="19" t="str" cm="1">
        <f t="array" ref="U1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7" s="19" t="str" cm="1">
        <f t="array" ref="V1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8" spans="1:22" ht="14.25" customHeight="1" x14ac:dyDescent="0.3">
      <c r="A168" s="1" t="s">
        <v>555</v>
      </c>
      <c r="B168" s="5">
        <v>46159</v>
      </c>
      <c r="C168" s="6">
        <v>0.52083333333333337</v>
      </c>
      <c r="D168" s="1" t="s">
        <v>18</v>
      </c>
      <c r="E168" s="1" t="s">
        <v>20</v>
      </c>
      <c r="F168" s="1" t="s">
        <v>2925</v>
      </c>
      <c r="G168" s="39" t="s">
        <v>2867</v>
      </c>
      <c r="H168" s="1">
        <v>0</v>
      </c>
      <c r="I168" s="1">
        <v>0</v>
      </c>
      <c r="J168" s="39" t="s">
        <v>342</v>
      </c>
      <c r="K168" s="1">
        <v>0</v>
      </c>
      <c r="L168" s="1">
        <v>0</v>
      </c>
      <c r="S168" s="1" t="str">
        <f>IF(tblDados[[#This Row],[Mandante]]="","",TEXT(tblDados[[#This Row],[Data]],"aaaa-mm-dd")&amp;"|"&amp;TRIM(tblDados[[#This Row],[Mandante]])&amp;"|"&amp;TRIM(tblDados[[#This Row],[Visitante]]))</f>
        <v>2026-05-17|KaPa|PK-35</v>
      </c>
      <c r="T168" s="1">
        <f>IF($G168="",0,IF(COUNTIF($S$2:$S168,$S168)=1,1,0))</f>
        <v>1</v>
      </c>
      <c r="U168" s="19" t="str" cm="1">
        <f t="array" ref="U1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8" s="19" t="str" cm="1">
        <f t="array" ref="V1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9" spans="1:22" ht="14.25" customHeight="1" x14ac:dyDescent="0.3">
      <c r="A169" s="1" t="s">
        <v>556</v>
      </c>
      <c r="B169" s="5">
        <v>46165</v>
      </c>
      <c r="C169" s="6">
        <v>0.41666666666666669</v>
      </c>
      <c r="D169" s="1" t="s">
        <v>18</v>
      </c>
      <c r="E169" s="1" t="s">
        <v>20</v>
      </c>
      <c r="F169" s="1" t="s">
        <v>557</v>
      </c>
      <c r="G169" s="39" t="s">
        <v>314</v>
      </c>
      <c r="H169" s="1">
        <v>0</v>
      </c>
      <c r="I169" s="1">
        <v>1</v>
      </c>
      <c r="J169" s="39" t="s">
        <v>342</v>
      </c>
      <c r="K169" s="1">
        <v>1</v>
      </c>
      <c r="L169" s="1">
        <v>0</v>
      </c>
      <c r="S169" s="1" t="str">
        <f>IF(tblDados[[#This Row],[Mandante]]="","",TEXT(tblDados[[#This Row],[Data]],"aaaa-mm-dd")&amp;"|"&amp;TRIM(tblDados[[#This Row],[Mandante]])&amp;"|"&amp;TRIM(tblDados[[#This Row],[Visitante]]))</f>
        <v>2026-05-23|Jippo|PK-35</v>
      </c>
      <c r="T169" s="1">
        <f>IF($G169="",0,IF(COUNTIF($S$2:$S169,$S169)=1,1,0))</f>
        <v>1</v>
      </c>
      <c r="U169" s="19" t="str" cm="1">
        <f t="array" ref="U1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9" s="19" t="str" cm="1">
        <f t="array" ref="V1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0" spans="1:22" ht="14.25" customHeight="1" x14ac:dyDescent="0.3">
      <c r="A170" s="1" t="s">
        <v>558</v>
      </c>
      <c r="B170" s="5">
        <v>46169</v>
      </c>
      <c r="C170" s="6">
        <v>0.52083333333333337</v>
      </c>
      <c r="D170" s="1" t="s">
        <v>18</v>
      </c>
      <c r="E170" s="1" t="s">
        <v>20</v>
      </c>
      <c r="F170" s="1" t="s">
        <v>559</v>
      </c>
      <c r="G170" s="39" t="s">
        <v>320</v>
      </c>
      <c r="H170" s="1">
        <v>0</v>
      </c>
      <c r="I170" s="1">
        <v>1</v>
      </c>
      <c r="J170" s="39" t="s">
        <v>342</v>
      </c>
      <c r="K170" s="1">
        <v>1</v>
      </c>
      <c r="L170" s="1">
        <v>0</v>
      </c>
      <c r="S170" s="1" t="str">
        <f>IF(tblDados[[#This Row],[Mandante]]="","",TEXT(tblDados[[#This Row],[Data]],"aaaa-mm-dd")&amp;"|"&amp;TRIM(tblDados[[#This Row],[Mandante]])&amp;"|"&amp;TRIM(tblDados[[#This Row],[Visitante]]))</f>
        <v>2026-05-27|Klubi 04|PK-35</v>
      </c>
      <c r="T170" s="1">
        <f>IF($G170="",0,IF(COUNTIF($S$2:$S170,$S170)=1,1,0))</f>
        <v>1</v>
      </c>
      <c r="U170" s="19" t="str" cm="1">
        <f t="array" ref="U1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0" s="19" t="str" cm="1">
        <f t="array" ref="V1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1" spans="1:22" ht="14.25" customHeight="1" x14ac:dyDescent="0.3">
      <c r="A171" s="1" t="s">
        <v>560</v>
      </c>
      <c r="B171" s="5">
        <v>46173</v>
      </c>
      <c r="C171" s="6">
        <v>0.52083333333333337</v>
      </c>
      <c r="D171" s="1" t="s">
        <v>18</v>
      </c>
      <c r="E171" s="1" t="s">
        <v>20</v>
      </c>
      <c r="F171" s="1" t="s">
        <v>561</v>
      </c>
      <c r="G171" s="39" t="s">
        <v>342</v>
      </c>
      <c r="H171" s="1">
        <v>1</v>
      </c>
      <c r="I171" s="1">
        <v>1</v>
      </c>
      <c r="J171" s="39" t="s">
        <v>320</v>
      </c>
      <c r="K171" s="1">
        <v>1</v>
      </c>
      <c r="L171" s="1">
        <v>1</v>
      </c>
      <c r="S171" s="1" t="str">
        <f>IF(tblDados[[#This Row],[Mandante]]="","",TEXT(tblDados[[#This Row],[Data]],"aaaa-mm-dd")&amp;"|"&amp;TRIM(tblDados[[#This Row],[Mandante]])&amp;"|"&amp;TRIM(tblDados[[#This Row],[Visitante]]))</f>
        <v>2026-05-31|PK-35|Klubi 04</v>
      </c>
      <c r="T171" s="1">
        <f>IF($G171="",0,IF(COUNTIF($S$2:$S171,$S171)=1,1,0))</f>
        <v>1</v>
      </c>
      <c r="U171" s="19" t="str" cm="1">
        <f t="array" ref="U1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1" s="19" t="str" cm="1">
        <f t="array" ref="V1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2" spans="1:22" ht="14.25" customHeight="1" x14ac:dyDescent="0.3">
      <c r="A172" s="1" t="s">
        <v>562</v>
      </c>
      <c r="B172" s="5">
        <v>46185</v>
      </c>
      <c r="C172" s="6">
        <v>0.54166666666666663</v>
      </c>
      <c r="D172" s="1" t="s">
        <v>18</v>
      </c>
      <c r="E172" s="1" t="s">
        <v>20</v>
      </c>
      <c r="F172" s="1" t="s">
        <v>563</v>
      </c>
      <c r="G172" s="39" t="s">
        <v>322</v>
      </c>
      <c r="H172" s="1">
        <v>0</v>
      </c>
      <c r="I172" s="1">
        <v>5</v>
      </c>
      <c r="J172" s="39" t="s">
        <v>342</v>
      </c>
      <c r="K172" s="1">
        <v>5</v>
      </c>
      <c r="L172" s="1">
        <v>0</v>
      </c>
      <c r="S172" s="1" t="str">
        <f>IF(tblDados[[#This Row],[Mandante]]="","",TEXT(tblDados[[#This Row],[Data]],"aaaa-mm-dd")&amp;"|"&amp;TRIM(tblDados[[#This Row],[Mandante]])&amp;"|"&amp;TRIM(tblDados[[#This Row],[Visitante]]))</f>
        <v>2026-06-12|JäPS|PK-35</v>
      </c>
      <c r="T172" s="1">
        <f>IF($G172="",0,IF(COUNTIF($S$2:$S172,$S172)=1,1,0))</f>
        <v>1</v>
      </c>
      <c r="U172" s="19" t="str" cm="1">
        <f t="array" ref="U1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2" s="19" t="str" cm="1">
        <f t="array" ref="V1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3" spans="1:22" ht="14.25" customHeight="1" x14ac:dyDescent="0.3">
      <c r="A173" s="1" t="s">
        <v>564</v>
      </c>
      <c r="B173" s="5">
        <v>46199</v>
      </c>
      <c r="C173" s="6">
        <v>0.52083333333333337</v>
      </c>
      <c r="D173" s="1" t="s">
        <v>18</v>
      </c>
      <c r="E173" s="1" t="s">
        <v>20</v>
      </c>
      <c r="F173" s="1" t="s">
        <v>565</v>
      </c>
      <c r="G173" s="39" t="s">
        <v>342</v>
      </c>
      <c r="H173" s="1">
        <v>2</v>
      </c>
      <c r="I173" s="1">
        <v>1</v>
      </c>
      <c r="J173" s="39" t="s">
        <v>325</v>
      </c>
      <c r="K173" s="1">
        <v>1</v>
      </c>
      <c r="L173" s="1">
        <v>2</v>
      </c>
      <c r="S173" s="1" t="str">
        <f>IF(tblDados[[#This Row],[Mandante]]="","",TEXT(tblDados[[#This Row],[Data]],"aaaa-mm-dd")&amp;"|"&amp;TRIM(tblDados[[#This Row],[Mandante]])&amp;"|"&amp;TRIM(tblDados[[#This Row],[Visitante]]))</f>
        <v>2026-06-26|PK-35|Mikkeli</v>
      </c>
      <c r="T173">
        <f>IF($G173="",0,IF(COUNTIF($S$2:$S173,$S173)=1,1,0))</f>
        <v>1</v>
      </c>
      <c r="U173" s="19" t="str" cm="1">
        <f t="array" ref="U1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3" s="19" t="str" cm="1">
        <f t="array" ref="V1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4" spans="1:22" ht="14.25" customHeight="1" x14ac:dyDescent="0.3">
      <c r="A174" s="1" t="s">
        <v>566</v>
      </c>
      <c r="B174" s="5">
        <v>46137</v>
      </c>
      <c r="C174" s="6">
        <v>0.41666666666666669</v>
      </c>
      <c r="D174" s="1" t="s">
        <v>18</v>
      </c>
      <c r="E174" s="1" t="s">
        <v>23</v>
      </c>
      <c r="F174" s="1" t="s">
        <v>567</v>
      </c>
      <c r="G174" s="39" t="s">
        <v>212</v>
      </c>
      <c r="H174" s="1">
        <v>0</v>
      </c>
      <c r="I174" s="1">
        <v>1</v>
      </c>
      <c r="J174" s="39" t="s">
        <v>568</v>
      </c>
      <c r="K174" s="1">
        <v>1</v>
      </c>
      <c r="L174" s="1">
        <v>0</v>
      </c>
      <c r="S174" s="1" t="str">
        <f>IF(tblDados[[#This Row],[Mandante]]="","",TEXT(tblDados[[#This Row],[Data]],"aaaa-mm-dd")&amp;"|"&amp;TRIM(tblDados[[#This Row],[Mandante]])&amp;"|"&amp;TRIM(tblDados[[#This Row],[Visitante]]))</f>
        <v>2026-04-25|Närpes Kraft|JBK</v>
      </c>
      <c r="T174" s="1">
        <f>IF($G174="",0,IF(COUNTIF($S$2:$S174,$S174)=1,1,0))</f>
        <v>1</v>
      </c>
      <c r="U174" s="19" t="str" cm="1">
        <f t="array" ref="U1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4" s="19" t="str" cm="1">
        <f t="array" ref="V1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5" spans="1:22" ht="14.25" customHeight="1" x14ac:dyDescent="0.3">
      <c r="A175" s="1" t="s">
        <v>569</v>
      </c>
      <c r="B175" s="5">
        <v>46145</v>
      </c>
      <c r="C175" s="6">
        <v>0.375</v>
      </c>
      <c r="D175" s="1" t="s">
        <v>18</v>
      </c>
      <c r="E175" s="1" t="s">
        <v>23</v>
      </c>
      <c r="F175" s="1" t="s">
        <v>570</v>
      </c>
      <c r="G175" s="39" t="s">
        <v>571</v>
      </c>
      <c r="H175" s="1">
        <v>2</v>
      </c>
      <c r="I175" s="1">
        <v>2</v>
      </c>
      <c r="J175" s="39" t="s">
        <v>212</v>
      </c>
      <c r="K175" s="1">
        <v>2</v>
      </c>
      <c r="L175" s="1">
        <v>2</v>
      </c>
      <c r="S175" s="1" t="str">
        <f>IF(tblDados[[#This Row],[Mandante]]="","",TEXT(tblDados[[#This Row],[Data]],"aaaa-mm-dd")&amp;"|"&amp;TRIM(tblDados[[#This Row],[Mandante]])&amp;"|"&amp;TRIM(tblDados[[#This Row],[Visitante]]))</f>
        <v>2026-05-03|VPS Akatemia|Närpes Kraft</v>
      </c>
      <c r="T175" s="1">
        <f>IF($G175="",0,IF(COUNTIF($S$2:$S175,$S175)=1,1,0))</f>
        <v>1</v>
      </c>
      <c r="U175" s="19" t="str" cm="1">
        <f t="array" ref="U1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5" s="19" t="str" cm="1">
        <f t="array" ref="V1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6" spans="1:22" ht="14.25" customHeight="1" x14ac:dyDescent="0.3">
      <c r="A176" s="1" t="s">
        <v>572</v>
      </c>
      <c r="B176" s="5">
        <v>46151</v>
      </c>
      <c r="C176" s="6">
        <v>0.41666666666666669</v>
      </c>
      <c r="D176" s="1" t="s">
        <v>18</v>
      </c>
      <c r="E176" s="1" t="s">
        <v>23</v>
      </c>
      <c r="F176" s="1" t="s">
        <v>573</v>
      </c>
      <c r="G176" s="39" t="s">
        <v>574</v>
      </c>
      <c r="H176" s="1">
        <v>4</v>
      </c>
      <c r="I176" s="1">
        <v>5</v>
      </c>
      <c r="J176" s="39" t="s">
        <v>212</v>
      </c>
      <c r="K176" s="1">
        <v>5</v>
      </c>
      <c r="L176" s="1">
        <v>4</v>
      </c>
      <c r="S176" s="1" t="str">
        <f>IF(tblDados[[#This Row],[Mandante]]="","",TEXT(tblDados[[#This Row],[Data]],"aaaa-mm-dd")&amp;"|"&amp;TRIM(tblDados[[#This Row],[Mandante]])&amp;"|"&amp;TRIM(tblDados[[#This Row],[Visitante]]))</f>
        <v>2026-05-09|FC Vaajakoski|Närpes Kraft</v>
      </c>
      <c r="T176" s="1">
        <f>IF($G176="",0,IF(COUNTIF($S$2:$S176,$S176)=1,1,0))</f>
        <v>1</v>
      </c>
      <c r="U176" s="19" t="str" cm="1">
        <f t="array" ref="U1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6" s="19" t="str" cm="1">
        <f t="array" ref="V1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7" spans="1:22" ht="14.25" customHeight="1" x14ac:dyDescent="0.3">
      <c r="A177" s="1" t="s">
        <v>575</v>
      </c>
      <c r="B177" s="5">
        <v>46159</v>
      </c>
      <c r="C177" s="6">
        <v>0.4375</v>
      </c>
      <c r="D177" s="1" t="s">
        <v>18</v>
      </c>
      <c r="E177" s="1" t="s">
        <v>23</v>
      </c>
      <c r="F177" s="1" t="s">
        <v>576</v>
      </c>
      <c r="G177" s="39" t="s">
        <v>212</v>
      </c>
      <c r="H177" s="1">
        <v>6</v>
      </c>
      <c r="I177" s="1">
        <v>2</v>
      </c>
      <c r="J177" s="39" t="s">
        <v>577</v>
      </c>
      <c r="K177" s="1">
        <v>2</v>
      </c>
      <c r="L177" s="1">
        <v>6</v>
      </c>
      <c r="S177" s="1" t="str">
        <f>IF(tblDados[[#This Row],[Mandante]]="","",TEXT(tblDados[[#This Row],[Data]],"aaaa-mm-dd")&amp;"|"&amp;TRIM(tblDados[[#This Row],[Mandante]])&amp;"|"&amp;TRIM(tblDados[[#This Row],[Visitante]]))</f>
        <v>2026-05-17|Närpes Kraft|GBK Kokkola</v>
      </c>
      <c r="T177" s="1">
        <f>IF($G177="",0,IF(COUNTIF($S$2:$S177,$S177)=1,1,0))</f>
        <v>1</v>
      </c>
      <c r="U177" s="19" t="str" cm="1">
        <f t="array" ref="U1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7" s="19" t="str" cm="1">
        <f t="array" ref="V1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8" spans="1:22" ht="14.25" customHeight="1" x14ac:dyDescent="0.3">
      <c r="A178" s="1" t="s">
        <v>578</v>
      </c>
      <c r="B178" s="5">
        <v>46165</v>
      </c>
      <c r="C178" s="6">
        <v>0.41666666666666669</v>
      </c>
      <c r="D178" s="1" t="s">
        <v>18</v>
      </c>
      <c r="E178" s="1" t="s">
        <v>23</v>
      </c>
      <c r="F178" s="1" t="s">
        <v>579</v>
      </c>
      <c r="G178" s="39" t="s">
        <v>213</v>
      </c>
      <c r="H178" s="1">
        <v>1</v>
      </c>
      <c r="I178" s="1">
        <v>2</v>
      </c>
      <c r="J178" s="39" t="s">
        <v>212</v>
      </c>
      <c r="K178" s="1">
        <v>2</v>
      </c>
      <c r="L178" s="1">
        <v>1</v>
      </c>
      <c r="S178" s="1" t="str">
        <f>IF(tblDados[[#This Row],[Mandante]]="","",TEXT(tblDados[[#This Row],[Data]],"aaaa-mm-dd")&amp;"|"&amp;TRIM(tblDados[[#This Row],[Mandante]])&amp;"|"&amp;TRIM(tblDados[[#This Row],[Visitante]]))</f>
        <v>2026-05-23|JS Hercules|Närpes Kraft</v>
      </c>
      <c r="T178" s="1">
        <f>IF($G178="",0,IF(COUNTIF($S$2:$S178,$S178)=1,1,0))</f>
        <v>1</v>
      </c>
      <c r="U178" s="19" t="str" cm="1">
        <f t="array" ref="U1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8" s="19" t="str" cm="1">
        <f t="array" ref="V1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9" spans="1:22" ht="14.25" customHeight="1" x14ac:dyDescent="0.3">
      <c r="A179" s="1" t="s">
        <v>580</v>
      </c>
      <c r="B179" s="5">
        <v>46173</v>
      </c>
      <c r="C179" s="6">
        <v>0.375</v>
      </c>
      <c r="D179" s="1" t="s">
        <v>18</v>
      </c>
      <c r="E179" s="1" t="s">
        <v>23</v>
      </c>
      <c r="F179" s="1" t="s">
        <v>581</v>
      </c>
      <c r="G179" s="39" t="s">
        <v>212</v>
      </c>
      <c r="H179" s="1">
        <v>1</v>
      </c>
      <c r="I179" s="1">
        <v>2</v>
      </c>
      <c r="J179" s="39" t="s">
        <v>582</v>
      </c>
      <c r="K179" s="1">
        <v>2</v>
      </c>
      <c r="L179" s="1">
        <v>1</v>
      </c>
      <c r="S179" s="1" t="str">
        <f>IF(tblDados[[#This Row],[Mandante]]="","",TEXT(tblDados[[#This Row],[Data]],"aaaa-mm-dd")&amp;"|"&amp;TRIM(tblDados[[#This Row],[Mandante]])&amp;"|"&amp;TRIM(tblDados[[#This Row],[Visitante]]))</f>
        <v>2026-05-31|Närpes Kraft|TP-47</v>
      </c>
      <c r="T179" s="1">
        <f>IF($G179="",0,IF(COUNTIF($S$2:$S179,$S179)=1,1,0))</f>
        <v>1</v>
      </c>
      <c r="U179" s="19" t="str" cm="1">
        <f t="array" ref="U1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9" s="19" t="str" cm="1">
        <f t="array" ref="V1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0" spans="1:22" ht="14.25" customHeight="1" x14ac:dyDescent="0.3">
      <c r="A180" s="1" t="s">
        <v>583</v>
      </c>
      <c r="B180" s="5">
        <v>46179</v>
      </c>
      <c r="C180" s="6">
        <v>0.33333333333333331</v>
      </c>
      <c r="D180" s="1" t="s">
        <v>18</v>
      </c>
      <c r="E180" s="1" t="s">
        <v>23</v>
      </c>
      <c r="F180" s="1" t="s">
        <v>584</v>
      </c>
      <c r="G180" s="39" t="s">
        <v>585</v>
      </c>
      <c r="H180" s="1">
        <v>0</v>
      </c>
      <c r="I180" s="1">
        <v>4</v>
      </c>
      <c r="J180" s="39" t="s">
        <v>212</v>
      </c>
      <c r="K180" s="1">
        <v>4</v>
      </c>
      <c r="L180" s="1">
        <v>0</v>
      </c>
      <c r="S180" s="1" t="str">
        <f>IF(tblDados[[#This Row],[Mandante]]="","",TEXT(tblDados[[#This Row],[Data]],"aaaa-mm-dd")&amp;"|"&amp;TRIM(tblDados[[#This Row],[Mandante]])&amp;"|"&amp;TRIM(tblDados[[#This Row],[Visitante]]))</f>
        <v>2026-06-06|SJK Akatemia 2|Närpes Kraft</v>
      </c>
      <c r="T180" s="1">
        <f>IF($G180="",0,IF(COUNTIF($S$2:$S180,$S180)=1,1,0))</f>
        <v>1</v>
      </c>
      <c r="U180" s="19" t="str" cm="1">
        <f t="array" ref="U1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0" s="19" t="str" cm="1">
        <f t="array" ref="V1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1" spans="1:22" ht="14.25" customHeight="1" x14ac:dyDescent="0.3">
      <c r="A181" s="1" t="s">
        <v>586</v>
      </c>
      <c r="B181" s="5">
        <v>46187</v>
      </c>
      <c r="C181" s="6">
        <v>0.4375</v>
      </c>
      <c r="D181" s="1" t="s">
        <v>18</v>
      </c>
      <c r="E181" s="1" t="s">
        <v>23</v>
      </c>
      <c r="F181" s="1" t="s">
        <v>587</v>
      </c>
      <c r="G181" s="39" t="s">
        <v>212</v>
      </c>
      <c r="H181" s="1">
        <v>1</v>
      </c>
      <c r="I181" s="1">
        <v>3</v>
      </c>
      <c r="J181" s="39" t="s">
        <v>588</v>
      </c>
      <c r="K181" s="1">
        <v>3</v>
      </c>
      <c r="L181" s="1">
        <v>1</v>
      </c>
      <c r="S181" s="1" t="str">
        <f>IF(tblDados[[#This Row],[Mandante]]="","",TEXT(tblDados[[#This Row],[Data]],"aaaa-mm-dd")&amp;"|"&amp;TRIM(tblDados[[#This Row],[Mandante]])&amp;"|"&amp;TRIM(tblDados[[#This Row],[Visitante]]))</f>
        <v>2026-06-14|Närpes Kraft|Huima / Urho</v>
      </c>
      <c r="T181" s="1">
        <f>IF($G181="",0,IF(COUNTIF($S$2:$S181,$S181)=1,1,0))</f>
        <v>1</v>
      </c>
      <c r="U181" s="19" t="str" cm="1">
        <f t="array" ref="U1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1" s="19" t="str" cm="1">
        <f t="array" ref="V1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2" spans="1:22" ht="14.25" customHeight="1" x14ac:dyDescent="0.3">
      <c r="A182" s="1" t="s">
        <v>589</v>
      </c>
      <c r="B182" s="5">
        <v>46207</v>
      </c>
      <c r="C182" s="6">
        <v>0.29166666666666669</v>
      </c>
      <c r="D182" s="1" t="s">
        <v>18</v>
      </c>
      <c r="E182" s="1" t="s">
        <v>23</v>
      </c>
      <c r="F182" s="1" t="s">
        <v>3014</v>
      </c>
      <c r="G182" s="39" t="s">
        <v>212</v>
      </c>
      <c r="H182" s="1">
        <v>8</v>
      </c>
      <c r="I182" s="1">
        <v>0</v>
      </c>
      <c r="J182" s="39" t="s">
        <v>2991</v>
      </c>
      <c r="K182" s="1">
        <v>0</v>
      </c>
      <c r="L182" s="1">
        <v>8</v>
      </c>
      <c r="S182" s="1" t="str">
        <f>IF(tblDados[[#This Row],[Mandante]]="","",TEXT(tblDados[[#This Row],[Data]],"aaaa-mm-dd")&amp;"|"&amp;TRIM(tblDados[[#This Row],[Mandante]])&amp;"|"&amp;TRIM(tblDados[[#This Row],[Visitante]]))</f>
        <v>2026-07-04|Närpes Kraft|Jaro 2</v>
      </c>
      <c r="T182" s="1">
        <f>IF($G182="",0,IF(COUNTIF($S$2:$S182,$S182)=1,1,0))</f>
        <v>1</v>
      </c>
      <c r="U182" s="19" t="str" cm="1">
        <f t="array" ref="U1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2" s="19" t="str" cm="1">
        <f t="array" ref="V1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3" spans="1:22" ht="14.25" customHeight="1" x14ac:dyDescent="0.3">
      <c r="A183" s="1" t="s">
        <v>590</v>
      </c>
      <c r="B183" s="5">
        <v>46210</v>
      </c>
      <c r="C183" s="6">
        <v>0.4375</v>
      </c>
      <c r="D183" s="1" t="s">
        <v>18</v>
      </c>
      <c r="E183" s="1" t="s">
        <v>23</v>
      </c>
      <c r="F183" s="1" t="s">
        <v>591</v>
      </c>
      <c r="G183" s="39" t="s">
        <v>568</v>
      </c>
      <c r="H183" s="1">
        <v>4</v>
      </c>
      <c r="I183" s="1">
        <v>2</v>
      </c>
      <c r="J183" s="39" t="s">
        <v>212</v>
      </c>
      <c r="K183" s="1">
        <v>2</v>
      </c>
      <c r="L183" s="1">
        <v>4</v>
      </c>
      <c r="S183" s="1" t="str">
        <f>IF(tblDados[[#This Row],[Mandante]]="","",TEXT(tblDados[[#This Row],[Data]],"aaaa-mm-dd")&amp;"|"&amp;TRIM(tblDados[[#This Row],[Mandante]])&amp;"|"&amp;TRIM(tblDados[[#This Row],[Visitante]]))</f>
        <v>2026-07-07|JBK|Närpes Kraft</v>
      </c>
      <c r="T183" s="1">
        <f>IF($G183="",0,IF(COUNTIF($S$2:$S183,$S183)=1,1,0))</f>
        <v>1</v>
      </c>
      <c r="U183" s="19" t="str" cm="1">
        <f t="array" ref="U1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3" s="19" t="str" cm="1">
        <f t="array" ref="V1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4" spans="1:22" ht="14.25" customHeight="1" x14ac:dyDescent="0.3">
      <c r="A184" s="1" t="s">
        <v>592</v>
      </c>
      <c r="B184" s="5">
        <v>46215</v>
      </c>
      <c r="C184" s="6">
        <v>0.4375</v>
      </c>
      <c r="D184" s="1" t="s">
        <v>18</v>
      </c>
      <c r="E184" s="1" t="s">
        <v>23</v>
      </c>
      <c r="F184" s="1" t="s">
        <v>593</v>
      </c>
      <c r="G184" s="39" t="s">
        <v>212</v>
      </c>
      <c r="H184" s="1">
        <v>3</v>
      </c>
      <c r="I184" s="1">
        <v>2</v>
      </c>
      <c r="J184" s="39" t="s">
        <v>571</v>
      </c>
      <c r="K184" s="1">
        <v>2</v>
      </c>
      <c r="L184" s="1">
        <v>3</v>
      </c>
      <c r="S184" s="1" t="str">
        <f>IF(tblDados[[#This Row],[Mandante]]="","",TEXT(tblDados[[#This Row],[Data]],"aaaa-mm-dd")&amp;"|"&amp;TRIM(tblDados[[#This Row],[Mandante]])&amp;"|"&amp;TRIM(tblDados[[#This Row],[Visitante]]))</f>
        <v>2026-07-12|Närpes Kraft|VPS Akatemia</v>
      </c>
      <c r="T184" s="1">
        <f>IF($G184="",0,IF(COUNTIF($S$2:$S184,$S184)=1,1,0))</f>
        <v>1</v>
      </c>
      <c r="U184" s="19" t="str" cm="1">
        <f t="array" ref="U1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4" s="19" t="str" cm="1">
        <f t="array" ref="V1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5" spans="1:22" ht="14.25" customHeight="1" x14ac:dyDescent="0.3">
      <c r="A185" s="1" t="s">
        <v>594</v>
      </c>
      <c r="B185" s="5">
        <v>46229</v>
      </c>
      <c r="C185" s="6">
        <v>0.4375</v>
      </c>
      <c r="D185" s="1" t="s">
        <v>18</v>
      </c>
      <c r="E185" s="1" t="s">
        <v>23</v>
      </c>
      <c r="F185" s="1" t="s">
        <v>595</v>
      </c>
      <c r="G185" s="39" t="s">
        <v>212</v>
      </c>
      <c r="H185" s="1">
        <v>2</v>
      </c>
      <c r="I185" s="1">
        <v>3</v>
      </c>
      <c r="J185" s="39" t="s">
        <v>574</v>
      </c>
      <c r="K185" s="1">
        <v>3</v>
      </c>
      <c r="L185" s="1">
        <v>2</v>
      </c>
      <c r="S185" s="1" t="str">
        <f>IF(tblDados[[#This Row],[Mandante]]="","",TEXT(tblDados[[#This Row],[Data]],"aaaa-mm-dd")&amp;"|"&amp;TRIM(tblDados[[#This Row],[Mandante]])&amp;"|"&amp;TRIM(tblDados[[#This Row],[Visitante]]))</f>
        <v>2026-07-26|Närpes Kraft|FC Vaajakoski</v>
      </c>
      <c r="T185" s="1">
        <f>IF($G185="",0,IF(COUNTIF($S$2:$S185,$S185)=1,1,0))</f>
        <v>1</v>
      </c>
      <c r="U185" s="19" t="str" cm="1">
        <f t="array" ref="U1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5" s="19" t="str" cm="1">
        <f t="array" ref="V1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6" spans="1:22" ht="14.25" customHeight="1" x14ac:dyDescent="0.3">
      <c r="A186" s="1" t="s">
        <v>596</v>
      </c>
      <c r="B186" s="5">
        <v>46137</v>
      </c>
      <c r="C186" s="6">
        <v>0.41666666666666669</v>
      </c>
      <c r="D186" s="1" t="s">
        <v>18</v>
      </c>
      <c r="E186" s="1" t="s">
        <v>23</v>
      </c>
      <c r="F186" s="1" t="s">
        <v>597</v>
      </c>
      <c r="G186" s="39" t="s">
        <v>588</v>
      </c>
      <c r="H186" s="1">
        <v>4</v>
      </c>
      <c r="I186" s="1">
        <v>4</v>
      </c>
      <c r="J186" s="39" t="s">
        <v>571</v>
      </c>
      <c r="K186" s="1">
        <v>4</v>
      </c>
      <c r="L186" s="1">
        <v>4</v>
      </c>
      <c r="S186" s="1" t="str">
        <f>IF(tblDados[[#This Row],[Mandante]]="","",TEXT(tblDados[[#This Row],[Data]],"aaaa-mm-dd")&amp;"|"&amp;TRIM(tblDados[[#This Row],[Mandante]])&amp;"|"&amp;TRIM(tblDados[[#This Row],[Visitante]]))</f>
        <v>2026-04-25|Huima / Urho|VPS Akatemia</v>
      </c>
      <c r="T186" s="1">
        <f>IF($G186="",0,IF(COUNTIF($S$2:$S186,$S186)=1,1,0))</f>
        <v>1</v>
      </c>
      <c r="U186" s="19" t="str" cm="1">
        <f t="array" ref="U1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6" s="19" t="str" cm="1">
        <f t="array" ref="V1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7" spans="1:22" ht="14.25" customHeight="1" x14ac:dyDescent="0.3">
      <c r="A187" s="1" t="s">
        <v>598</v>
      </c>
      <c r="B187" s="5">
        <v>46150</v>
      </c>
      <c r="C187" s="6">
        <v>0.52083333333333337</v>
      </c>
      <c r="D187" s="1" t="s">
        <v>18</v>
      </c>
      <c r="E187" s="1" t="s">
        <v>23</v>
      </c>
      <c r="F187" s="1" t="s">
        <v>599</v>
      </c>
      <c r="G187" s="39" t="s">
        <v>571</v>
      </c>
      <c r="H187" s="1">
        <v>2</v>
      </c>
      <c r="I187" s="1">
        <v>1</v>
      </c>
      <c r="J187" s="39" t="s">
        <v>568</v>
      </c>
      <c r="K187" s="1">
        <v>1</v>
      </c>
      <c r="L187" s="1">
        <v>2</v>
      </c>
      <c r="S187" s="1" t="str">
        <f>IF(tblDados[[#This Row],[Mandante]]="","",TEXT(tblDados[[#This Row],[Data]],"aaaa-mm-dd")&amp;"|"&amp;TRIM(tblDados[[#This Row],[Mandante]])&amp;"|"&amp;TRIM(tblDados[[#This Row],[Visitante]]))</f>
        <v>2026-05-08|VPS Akatemia|JBK</v>
      </c>
      <c r="T187" s="1">
        <f>IF($G187="",0,IF(COUNTIF($S$2:$S187,$S187)=1,1,0))</f>
        <v>1</v>
      </c>
      <c r="U187" s="19" t="str" cm="1">
        <f t="array" ref="U1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7" s="19" t="str" cm="1">
        <f t="array" ref="V1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8" spans="1:22" ht="14.25" customHeight="1" x14ac:dyDescent="0.3">
      <c r="A188" s="1" t="s">
        <v>600</v>
      </c>
      <c r="B188" s="5">
        <v>46160</v>
      </c>
      <c r="C188" s="6">
        <v>0.52083333333333337</v>
      </c>
      <c r="D188" s="1" t="s">
        <v>18</v>
      </c>
      <c r="E188" s="1" t="s">
        <v>23</v>
      </c>
      <c r="F188" s="1" t="s">
        <v>601</v>
      </c>
      <c r="G188" s="39" t="s">
        <v>585</v>
      </c>
      <c r="H188" s="1">
        <v>3</v>
      </c>
      <c r="I188" s="1">
        <v>2</v>
      </c>
      <c r="J188" s="39" t="s">
        <v>571</v>
      </c>
      <c r="K188" s="1">
        <v>2</v>
      </c>
      <c r="L188" s="1">
        <v>3</v>
      </c>
      <c r="S188" s="1" t="str">
        <f>IF(tblDados[[#This Row],[Mandante]]="","",TEXT(tblDados[[#This Row],[Data]],"aaaa-mm-dd")&amp;"|"&amp;TRIM(tblDados[[#This Row],[Mandante]])&amp;"|"&amp;TRIM(tblDados[[#This Row],[Visitante]]))</f>
        <v>2026-05-18|SJK Akatemia 2|VPS Akatemia</v>
      </c>
      <c r="T188" s="1">
        <f>IF($G188="",0,IF(COUNTIF($S$2:$S188,$S188)=1,1,0))</f>
        <v>1</v>
      </c>
      <c r="U188" s="19" t="str" cm="1">
        <f t="array" ref="U1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8" s="19" t="str" cm="1">
        <f t="array" ref="V1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9" spans="1:22" ht="14.25" customHeight="1" x14ac:dyDescent="0.3">
      <c r="A189" s="1" t="s">
        <v>602</v>
      </c>
      <c r="B189" s="5">
        <v>46163</v>
      </c>
      <c r="C189" s="6">
        <v>0.52083333333333337</v>
      </c>
      <c r="D189" s="1" t="s">
        <v>18</v>
      </c>
      <c r="E189" s="1" t="s">
        <v>23</v>
      </c>
      <c r="F189" s="1" t="s">
        <v>3015</v>
      </c>
      <c r="G189" s="39" t="s">
        <v>2991</v>
      </c>
      <c r="H189" s="1">
        <v>2</v>
      </c>
      <c r="I189" s="1">
        <v>1</v>
      </c>
      <c r="J189" s="39" t="s">
        <v>571</v>
      </c>
      <c r="K189" s="1">
        <v>1</v>
      </c>
      <c r="L189" s="1">
        <v>2</v>
      </c>
      <c r="S189" s="1" t="str">
        <f>IF(tblDados[[#This Row],[Mandante]]="","",TEXT(tblDados[[#This Row],[Data]],"aaaa-mm-dd")&amp;"|"&amp;TRIM(tblDados[[#This Row],[Mandante]])&amp;"|"&amp;TRIM(tblDados[[#This Row],[Visitante]]))</f>
        <v>2026-05-21|Jaro 2|VPS Akatemia</v>
      </c>
      <c r="T189" s="1">
        <f>IF($G189="",0,IF(COUNTIF($S$2:$S189,$S189)=1,1,0))</f>
        <v>1</v>
      </c>
      <c r="U189" s="19" t="str" cm="1">
        <f t="array" ref="U1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9" s="19" t="str" cm="1">
        <f t="array" ref="V1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0" spans="1:22" ht="14.25" customHeight="1" x14ac:dyDescent="0.3">
      <c r="A190" s="1" t="s">
        <v>603</v>
      </c>
      <c r="B190" s="5">
        <v>46169</v>
      </c>
      <c r="C190" s="6">
        <v>0.54166666666666663</v>
      </c>
      <c r="D190" s="1" t="s">
        <v>18</v>
      </c>
      <c r="E190" s="1" t="s">
        <v>23</v>
      </c>
      <c r="F190" s="1" t="s">
        <v>604</v>
      </c>
      <c r="G190" s="39" t="s">
        <v>571</v>
      </c>
      <c r="H190" s="1">
        <v>2</v>
      </c>
      <c r="I190" s="1">
        <v>2</v>
      </c>
      <c r="J190" s="39" t="s">
        <v>574</v>
      </c>
      <c r="K190" s="1">
        <v>2</v>
      </c>
      <c r="L190" s="1">
        <v>2</v>
      </c>
      <c r="S190" s="1" t="str">
        <f>IF(tblDados[[#This Row],[Mandante]]="","",TEXT(tblDados[[#This Row],[Data]],"aaaa-mm-dd")&amp;"|"&amp;TRIM(tblDados[[#This Row],[Mandante]])&amp;"|"&amp;TRIM(tblDados[[#This Row],[Visitante]]))</f>
        <v>2026-05-27|VPS Akatemia|FC Vaajakoski</v>
      </c>
      <c r="T190" s="1">
        <f>IF($G190="",0,IF(COUNTIF($S$2:$S190,$S190)=1,1,0))</f>
        <v>1</v>
      </c>
      <c r="U190" s="19" t="str" cm="1">
        <f t="array" ref="U1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0" s="19" t="str" cm="1">
        <f t="array" ref="V1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1" spans="1:22" ht="14.25" customHeight="1" x14ac:dyDescent="0.3">
      <c r="A191" s="1" t="s">
        <v>605</v>
      </c>
      <c r="B191" s="5">
        <v>46178</v>
      </c>
      <c r="C191" s="6">
        <v>0.52083333333333337</v>
      </c>
      <c r="D191" s="1" t="s">
        <v>18</v>
      </c>
      <c r="E191" s="1" t="s">
        <v>23</v>
      </c>
      <c r="F191" s="1" t="s">
        <v>606</v>
      </c>
      <c r="G191" s="39" t="s">
        <v>213</v>
      </c>
      <c r="H191" s="1">
        <v>1</v>
      </c>
      <c r="I191" s="1">
        <v>5</v>
      </c>
      <c r="J191" s="39" t="s">
        <v>571</v>
      </c>
      <c r="K191" s="1">
        <v>5</v>
      </c>
      <c r="L191" s="1">
        <v>1</v>
      </c>
      <c r="S191" s="1" t="str">
        <f>IF(tblDados[[#This Row],[Mandante]]="","",TEXT(tblDados[[#This Row],[Data]],"aaaa-mm-dd")&amp;"|"&amp;TRIM(tblDados[[#This Row],[Mandante]])&amp;"|"&amp;TRIM(tblDados[[#This Row],[Visitante]]))</f>
        <v>2026-06-05|JS Hercules|VPS Akatemia</v>
      </c>
      <c r="T191" s="1">
        <f>IF($G191="",0,IF(COUNTIF($S$2:$S191,$S191)=1,1,0))</f>
        <v>1</v>
      </c>
      <c r="U191" s="19" t="str" cm="1">
        <f t="array" ref="U1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1" s="19" t="str" cm="1">
        <f t="array" ref="V1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2" spans="1:22" ht="14.25" customHeight="1" x14ac:dyDescent="0.3">
      <c r="A192" s="1" t="s">
        <v>607</v>
      </c>
      <c r="B192" s="5">
        <v>46187</v>
      </c>
      <c r="C192" s="6">
        <v>0.52083333333333337</v>
      </c>
      <c r="D192" s="1" t="s">
        <v>18</v>
      </c>
      <c r="E192" s="1" t="s">
        <v>23</v>
      </c>
      <c r="F192" s="1" t="s">
        <v>608</v>
      </c>
      <c r="G192" s="39" t="s">
        <v>571</v>
      </c>
      <c r="H192" s="1">
        <v>3</v>
      </c>
      <c r="I192" s="1">
        <v>4</v>
      </c>
      <c r="J192" s="39" t="s">
        <v>577</v>
      </c>
      <c r="K192" s="1">
        <v>4</v>
      </c>
      <c r="L192" s="1">
        <v>3</v>
      </c>
      <c r="S192" s="1" t="str">
        <f>IF(tblDados[[#This Row],[Mandante]]="","",TEXT(tblDados[[#This Row],[Data]],"aaaa-mm-dd")&amp;"|"&amp;TRIM(tblDados[[#This Row],[Mandante]])&amp;"|"&amp;TRIM(tblDados[[#This Row],[Visitante]]))</f>
        <v>2026-06-14|VPS Akatemia|GBK Kokkola</v>
      </c>
      <c r="T192" s="1">
        <f>IF($G192="",0,IF(COUNTIF($S$2:$S192,$S192)=1,1,0))</f>
        <v>1</v>
      </c>
      <c r="U192" s="19" t="str" cm="1">
        <f t="array" ref="U1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2" s="19" t="str" cm="1">
        <f t="array" ref="V1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3" spans="1:22" ht="14.25" customHeight="1" x14ac:dyDescent="0.3">
      <c r="A193" s="1" t="s">
        <v>609</v>
      </c>
      <c r="B193" s="5">
        <v>46200</v>
      </c>
      <c r="C193" s="6">
        <v>0.45833333333333331</v>
      </c>
      <c r="D193" s="1" t="s">
        <v>18</v>
      </c>
      <c r="E193" s="1" t="s">
        <v>23</v>
      </c>
      <c r="F193" s="1" t="s">
        <v>610</v>
      </c>
      <c r="G193" s="39" t="s">
        <v>582</v>
      </c>
      <c r="H193" s="1">
        <v>0</v>
      </c>
      <c r="I193" s="1">
        <v>3</v>
      </c>
      <c r="J193" s="39" t="s">
        <v>571</v>
      </c>
      <c r="K193" s="1">
        <v>3</v>
      </c>
      <c r="L193" s="1">
        <v>0</v>
      </c>
      <c r="S193" s="1" t="str">
        <f>IF(tblDados[[#This Row],[Mandante]]="","",TEXT(tblDados[[#This Row],[Data]],"aaaa-mm-dd")&amp;"|"&amp;TRIM(tblDados[[#This Row],[Mandante]])&amp;"|"&amp;TRIM(tblDados[[#This Row],[Visitante]]))</f>
        <v>2026-06-27|TP-47|VPS Akatemia</v>
      </c>
      <c r="T193" s="1">
        <f>IF($G193="",0,IF(COUNTIF($S$2:$S193,$S193)=1,1,0))</f>
        <v>1</v>
      </c>
      <c r="U193" s="19" t="str" cm="1">
        <f t="array" ref="U1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3" s="19" t="str" cm="1">
        <f t="array" ref="V1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4" spans="1:22" ht="14.25" customHeight="1" x14ac:dyDescent="0.3">
      <c r="A194" s="1" t="s">
        <v>611</v>
      </c>
      <c r="B194" s="5">
        <v>46208</v>
      </c>
      <c r="C194" s="6">
        <v>0.52083333333333337</v>
      </c>
      <c r="D194" s="1" t="s">
        <v>18</v>
      </c>
      <c r="E194" s="1" t="s">
        <v>23</v>
      </c>
      <c r="F194" s="1" t="s">
        <v>612</v>
      </c>
      <c r="G194" s="39" t="s">
        <v>571</v>
      </c>
      <c r="H194" s="1">
        <v>3</v>
      </c>
      <c r="I194" s="1">
        <v>1</v>
      </c>
      <c r="J194" s="39" t="s">
        <v>588</v>
      </c>
      <c r="K194" s="1">
        <v>1</v>
      </c>
      <c r="L194" s="1">
        <v>3</v>
      </c>
      <c r="S194" s="1" t="str">
        <f>IF(tblDados[[#This Row],[Mandante]]="","",TEXT(tblDados[[#This Row],[Data]],"aaaa-mm-dd")&amp;"|"&amp;TRIM(tblDados[[#This Row],[Mandante]])&amp;"|"&amp;TRIM(tblDados[[#This Row],[Visitante]]))</f>
        <v>2026-07-05|VPS Akatemia|Huima / Urho</v>
      </c>
      <c r="T194" s="1">
        <f>IF($G194="",0,IF(COUNTIF($S$2:$S194,$S194)=1,1,0))</f>
        <v>1</v>
      </c>
      <c r="U194" s="19" t="str" cm="1">
        <f t="array" ref="U1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4" s="19" t="str" cm="1">
        <f t="array" ref="V1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5" spans="1:22" ht="14.25" customHeight="1" x14ac:dyDescent="0.3">
      <c r="A195" s="1" t="s">
        <v>613</v>
      </c>
      <c r="B195" s="5">
        <v>46222</v>
      </c>
      <c r="C195" s="6">
        <v>0.52083333333333337</v>
      </c>
      <c r="D195" s="1" t="s">
        <v>18</v>
      </c>
      <c r="E195" s="1" t="s">
        <v>23</v>
      </c>
      <c r="F195" s="1" t="s">
        <v>614</v>
      </c>
      <c r="G195" s="39" t="s">
        <v>571</v>
      </c>
      <c r="H195" s="1">
        <v>6</v>
      </c>
      <c r="I195" s="1">
        <v>2</v>
      </c>
      <c r="J195" s="39" t="s">
        <v>585</v>
      </c>
      <c r="K195" s="1">
        <v>2</v>
      </c>
      <c r="L195" s="1">
        <v>6</v>
      </c>
      <c r="S195" s="1" t="str">
        <f>IF(tblDados[[#This Row],[Mandante]]="","",TEXT(tblDados[[#This Row],[Data]],"aaaa-mm-dd")&amp;"|"&amp;TRIM(tblDados[[#This Row],[Mandante]])&amp;"|"&amp;TRIM(tblDados[[#This Row],[Visitante]]))</f>
        <v>2026-07-19|VPS Akatemia|SJK Akatemia 2</v>
      </c>
      <c r="T195" s="1">
        <f>IF($G195="",0,IF(COUNTIF($S$2:$S195,$S195)=1,1,0))</f>
        <v>1</v>
      </c>
      <c r="U195" s="19" t="str" cm="1">
        <f t="array" ref="U1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5" s="19" t="str" cm="1">
        <f t="array" ref="V1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6" spans="1:22" ht="14.25" customHeight="1" x14ac:dyDescent="0.3">
      <c r="A196" s="1" t="s">
        <v>615</v>
      </c>
      <c r="B196" s="5">
        <v>46228</v>
      </c>
      <c r="C196" s="6">
        <v>0.4375</v>
      </c>
      <c r="D196" s="1" t="s">
        <v>18</v>
      </c>
      <c r="E196" s="1" t="s">
        <v>23</v>
      </c>
      <c r="F196" s="1" t="s">
        <v>616</v>
      </c>
      <c r="G196" s="39" t="s">
        <v>568</v>
      </c>
      <c r="H196" s="1">
        <v>2</v>
      </c>
      <c r="I196" s="1">
        <v>0</v>
      </c>
      <c r="J196" s="39" t="s">
        <v>571</v>
      </c>
      <c r="K196" s="1">
        <v>0</v>
      </c>
      <c r="L196" s="1">
        <v>2</v>
      </c>
      <c r="S196" s="1" t="str">
        <f>IF(tblDados[[#This Row],[Mandante]]="","",TEXT(tblDados[[#This Row],[Data]],"aaaa-mm-dd")&amp;"|"&amp;TRIM(tblDados[[#This Row],[Mandante]])&amp;"|"&amp;TRIM(tblDados[[#This Row],[Visitante]]))</f>
        <v>2026-07-25|JBK|VPS Akatemia</v>
      </c>
      <c r="T196" s="1">
        <f>IF($G196="",0,IF(COUNTIF($S$2:$S196,$S196)=1,1,0))</f>
        <v>1</v>
      </c>
      <c r="U196" s="19" t="str" cm="1">
        <f t="array" ref="U1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6" s="19" t="str" cm="1">
        <f t="array" ref="V1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7" spans="1:22" ht="14.25" customHeight="1" x14ac:dyDescent="0.3">
      <c r="A197" s="1" t="s">
        <v>617</v>
      </c>
      <c r="B197" s="5">
        <v>46237</v>
      </c>
      <c r="C197" s="6">
        <v>0.52083333333333337</v>
      </c>
      <c r="D197" s="1" t="s">
        <v>18</v>
      </c>
      <c r="E197" s="1" t="s">
        <v>23</v>
      </c>
      <c r="F197" s="1" t="s">
        <v>3016</v>
      </c>
      <c r="G197" s="39" t="s">
        <v>571</v>
      </c>
      <c r="H197" s="1">
        <v>5</v>
      </c>
      <c r="I197" s="1">
        <v>0</v>
      </c>
      <c r="J197" s="39" t="s">
        <v>2991</v>
      </c>
      <c r="K197" s="1">
        <v>0</v>
      </c>
      <c r="L197" s="1">
        <v>5</v>
      </c>
      <c r="S197" s="1" t="str">
        <f>IF(tblDados[[#This Row],[Mandante]]="","",TEXT(tblDados[[#This Row],[Data]],"aaaa-mm-dd")&amp;"|"&amp;TRIM(tblDados[[#This Row],[Mandante]])&amp;"|"&amp;TRIM(tblDados[[#This Row],[Visitante]]))</f>
        <v>2026-08-03|VPS Akatemia|Jaro 2</v>
      </c>
      <c r="T197" s="1">
        <f>IF($G197="",0,IF(COUNTIF($S$2:$S197,$S197)=1,1,0))</f>
        <v>1</v>
      </c>
      <c r="U197" s="19" t="str" cm="1">
        <f t="array" ref="U1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7" s="19" t="str" cm="1">
        <f t="array" ref="V1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8" spans="1:22" ht="14.25" customHeight="1" x14ac:dyDescent="0.3">
      <c r="A198" s="1" t="s">
        <v>618</v>
      </c>
      <c r="B198" s="5">
        <v>46146</v>
      </c>
      <c r="C198" s="6">
        <v>0.52083333333333337</v>
      </c>
      <c r="D198" s="1" t="s">
        <v>18</v>
      </c>
      <c r="E198" s="1" t="s">
        <v>23</v>
      </c>
      <c r="F198" s="1" t="s">
        <v>619</v>
      </c>
      <c r="G198" s="39" t="s">
        <v>568</v>
      </c>
      <c r="H198" s="1">
        <v>1</v>
      </c>
      <c r="I198" s="1">
        <v>2</v>
      </c>
      <c r="J198" s="39" t="s">
        <v>577</v>
      </c>
      <c r="K198" s="1">
        <v>2</v>
      </c>
      <c r="L198" s="1">
        <v>1</v>
      </c>
      <c r="S198" s="1" t="str">
        <f>IF(tblDados[[#This Row],[Mandante]]="","",TEXT(tblDados[[#This Row],[Data]],"aaaa-mm-dd")&amp;"|"&amp;TRIM(tblDados[[#This Row],[Mandante]])&amp;"|"&amp;TRIM(tblDados[[#This Row],[Visitante]]))</f>
        <v>2026-05-04|JBK|GBK Kokkola</v>
      </c>
      <c r="T198" s="1">
        <f>IF($G198="",0,IF(COUNTIF($S$2:$S198,$S198)=1,1,0))</f>
        <v>1</v>
      </c>
      <c r="U198" s="19" t="str" cm="1">
        <f t="array" ref="U1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8" s="19" t="str" cm="1">
        <f t="array" ref="V1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9" spans="1:22" ht="14.25" customHeight="1" x14ac:dyDescent="0.3">
      <c r="A199" s="1" t="s">
        <v>620</v>
      </c>
      <c r="B199" s="5">
        <v>46151</v>
      </c>
      <c r="C199" s="6">
        <v>0.41666666666666669</v>
      </c>
      <c r="D199" s="1" t="s">
        <v>18</v>
      </c>
      <c r="E199" s="1" t="s">
        <v>23</v>
      </c>
      <c r="F199" s="1" t="s">
        <v>3017</v>
      </c>
      <c r="G199" s="39" t="s">
        <v>577</v>
      </c>
      <c r="H199" s="1">
        <v>0</v>
      </c>
      <c r="I199" s="1">
        <v>2</v>
      </c>
      <c r="J199" s="39" t="s">
        <v>2991</v>
      </c>
      <c r="K199" s="1">
        <v>2</v>
      </c>
      <c r="L199" s="1">
        <v>0</v>
      </c>
      <c r="S199" s="1" t="str">
        <f>IF(tblDados[[#This Row],[Mandante]]="","",TEXT(tblDados[[#This Row],[Data]],"aaaa-mm-dd")&amp;"|"&amp;TRIM(tblDados[[#This Row],[Mandante]])&amp;"|"&amp;TRIM(tblDados[[#This Row],[Visitante]]))</f>
        <v>2026-05-09|GBK Kokkola|Jaro 2</v>
      </c>
      <c r="T199" s="1">
        <f>IF($G199="",0,IF(COUNTIF($S$2:$S199,$S199)=1,1,0))</f>
        <v>1</v>
      </c>
      <c r="U199" s="19" t="str" cm="1">
        <f t="array" ref="U1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9" s="19" t="str" cm="1">
        <f t="array" ref="V1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0" spans="1:22" ht="14.25" customHeight="1" x14ac:dyDescent="0.3">
      <c r="A200" s="1" t="s">
        <v>621</v>
      </c>
      <c r="B200" s="5">
        <v>46165</v>
      </c>
      <c r="C200" s="6">
        <v>0.41666666666666669</v>
      </c>
      <c r="D200" s="1" t="s">
        <v>18</v>
      </c>
      <c r="E200" s="1" t="s">
        <v>23</v>
      </c>
      <c r="F200" s="1" t="s">
        <v>622</v>
      </c>
      <c r="G200" s="39" t="s">
        <v>577</v>
      </c>
      <c r="H200" s="1">
        <v>4</v>
      </c>
      <c r="I200" s="1">
        <v>0</v>
      </c>
      <c r="J200" s="39" t="s">
        <v>585</v>
      </c>
      <c r="K200" s="1">
        <v>0</v>
      </c>
      <c r="L200" s="1">
        <v>4</v>
      </c>
      <c r="S200" s="1" t="str">
        <f>IF(tblDados[[#This Row],[Mandante]]="","",TEXT(tblDados[[#This Row],[Data]],"aaaa-mm-dd")&amp;"|"&amp;TRIM(tblDados[[#This Row],[Mandante]])&amp;"|"&amp;TRIM(tblDados[[#This Row],[Visitante]]))</f>
        <v>2026-05-23|GBK Kokkola|SJK Akatemia 2</v>
      </c>
      <c r="T200" s="1">
        <f>IF($G200="",0,IF(COUNTIF($S$2:$S200,$S200)=1,1,0))</f>
        <v>1</v>
      </c>
      <c r="U200" s="19" t="str" cm="1">
        <f t="array" ref="U2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0" s="19" t="str" cm="1">
        <f t="array" ref="V2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1" spans="1:22" ht="14.25" customHeight="1" x14ac:dyDescent="0.3">
      <c r="A201" s="1" t="s">
        <v>623</v>
      </c>
      <c r="B201" s="5">
        <v>46171</v>
      </c>
      <c r="C201" s="6">
        <v>0.52083333333333337</v>
      </c>
      <c r="D201" s="1" t="s">
        <v>18</v>
      </c>
      <c r="E201" s="1" t="s">
        <v>23</v>
      </c>
      <c r="F201" s="1" t="s">
        <v>624</v>
      </c>
      <c r="G201" s="39" t="s">
        <v>588</v>
      </c>
      <c r="H201" s="1">
        <v>1</v>
      </c>
      <c r="I201" s="1">
        <v>2</v>
      </c>
      <c r="J201" s="39" t="s">
        <v>577</v>
      </c>
      <c r="K201" s="1">
        <v>2</v>
      </c>
      <c r="L201" s="1">
        <v>1</v>
      </c>
      <c r="S201" s="1" t="str">
        <f>IF(tblDados[[#This Row],[Mandante]]="","",TEXT(tblDados[[#This Row],[Data]],"aaaa-mm-dd")&amp;"|"&amp;TRIM(tblDados[[#This Row],[Mandante]])&amp;"|"&amp;TRIM(tblDados[[#This Row],[Visitante]]))</f>
        <v>2026-05-29|Huima / Urho|GBK Kokkola</v>
      </c>
      <c r="T201" s="1">
        <f>IF($G201="",0,IF(COUNTIF($S$2:$S201,$S201)=1,1,0))</f>
        <v>1</v>
      </c>
      <c r="U201" s="19" t="str" cm="1">
        <f t="array" ref="U2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1" s="19" t="str" cm="1">
        <f t="array" ref="V2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2" spans="1:22" ht="14.25" customHeight="1" x14ac:dyDescent="0.3">
      <c r="A202" s="1" t="s">
        <v>625</v>
      </c>
      <c r="B202" s="5">
        <v>46179</v>
      </c>
      <c r="C202" s="6">
        <v>0.33333333333333331</v>
      </c>
      <c r="D202" s="1" t="s">
        <v>18</v>
      </c>
      <c r="E202" s="1" t="s">
        <v>23</v>
      </c>
      <c r="F202" s="1" t="s">
        <v>626</v>
      </c>
      <c r="G202" s="39" t="s">
        <v>577</v>
      </c>
      <c r="H202" s="1">
        <v>0</v>
      </c>
      <c r="I202" s="1">
        <v>1</v>
      </c>
      <c r="J202" s="39" t="s">
        <v>574</v>
      </c>
      <c r="K202" s="1">
        <v>1</v>
      </c>
      <c r="L202" s="1">
        <v>0</v>
      </c>
      <c r="S202" s="1" t="str">
        <f>IF(tblDados[[#This Row],[Mandante]]="","",TEXT(tblDados[[#This Row],[Data]],"aaaa-mm-dd")&amp;"|"&amp;TRIM(tblDados[[#This Row],[Mandante]])&amp;"|"&amp;TRIM(tblDados[[#This Row],[Visitante]]))</f>
        <v>2026-06-06|GBK Kokkola|FC Vaajakoski</v>
      </c>
      <c r="T202" s="1">
        <f>IF($G202="",0,IF(COUNTIF($S$2:$S202,$S202)=1,1,0))</f>
        <v>1</v>
      </c>
      <c r="U202" s="19" t="str" cm="1">
        <f t="array" ref="U2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2" s="19" t="str" cm="1">
        <f t="array" ref="V2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3" spans="1:22" ht="14.25" customHeight="1" x14ac:dyDescent="0.3">
      <c r="A203" s="1" t="s">
        <v>627</v>
      </c>
      <c r="B203" s="5">
        <v>46200</v>
      </c>
      <c r="C203" s="6">
        <v>0.45833333333333331</v>
      </c>
      <c r="D203" s="1" t="s">
        <v>18</v>
      </c>
      <c r="E203" s="1" t="s">
        <v>23</v>
      </c>
      <c r="F203" s="1" t="s">
        <v>628</v>
      </c>
      <c r="G203" s="39" t="s">
        <v>577</v>
      </c>
      <c r="H203" s="1">
        <v>7</v>
      </c>
      <c r="I203" s="1">
        <v>0</v>
      </c>
      <c r="J203" s="39" t="s">
        <v>213</v>
      </c>
      <c r="K203" s="1">
        <v>0</v>
      </c>
      <c r="L203" s="1">
        <v>7</v>
      </c>
      <c r="S203" s="1" t="str">
        <f>IF(tblDados[[#This Row],[Mandante]]="","",TEXT(tblDados[[#This Row],[Data]],"aaaa-mm-dd")&amp;"|"&amp;TRIM(tblDados[[#This Row],[Mandante]])&amp;"|"&amp;TRIM(tblDados[[#This Row],[Visitante]]))</f>
        <v>2026-06-27|GBK Kokkola|JS Hercules</v>
      </c>
      <c r="T203" s="1">
        <f>IF($G203="",0,IF(COUNTIF($S$2:$S203,$S203)=1,1,0))</f>
        <v>1</v>
      </c>
      <c r="U203" s="19" t="str" cm="1">
        <f t="array" ref="U2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3" s="19" t="str" cm="1">
        <f t="array" ref="V2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4" spans="1:22" ht="14.25" customHeight="1" x14ac:dyDescent="0.3">
      <c r="A204" s="1" t="s">
        <v>629</v>
      </c>
      <c r="B204" s="5">
        <v>46207</v>
      </c>
      <c r="C204" s="6">
        <v>0.29166666666666669</v>
      </c>
      <c r="D204" s="1" t="s">
        <v>18</v>
      </c>
      <c r="E204" s="1" t="s">
        <v>23</v>
      </c>
      <c r="F204" s="1" t="s">
        <v>630</v>
      </c>
      <c r="G204" s="39" t="s">
        <v>582</v>
      </c>
      <c r="H204" s="1">
        <v>3</v>
      </c>
      <c r="I204" s="1">
        <v>4</v>
      </c>
      <c r="J204" s="39" t="s">
        <v>577</v>
      </c>
      <c r="K204" s="1">
        <v>4</v>
      </c>
      <c r="L204" s="1">
        <v>3</v>
      </c>
      <c r="S204" s="1" t="str">
        <f>IF(tblDados[[#This Row],[Mandante]]="","",TEXT(tblDados[[#This Row],[Data]],"aaaa-mm-dd")&amp;"|"&amp;TRIM(tblDados[[#This Row],[Mandante]])&amp;"|"&amp;TRIM(tblDados[[#This Row],[Visitante]]))</f>
        <v>2026-07-04|TP-47|GBK Kokkola</v>
      </c>
      <c r="T204" s="1">
        <f>IF($G204="",0,IF(COUNTIF($S$2:$S204,$S204)=1,1,0))</f>
        <v>1</v>
      </c>
      <c r="U204" s="19" t="str" cm="1">
        <f t="array" ref="U2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4" s="19" t="str" cm="1">
        <f t="array" ref="V2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5" spans="1:22" ht="14.25" customHeight="1" x14ac:dyDescent="0.3">
      <c r="A205" s="1" t="s">
        <v>631</v>
      </c>
      <c r="B205" s="5">
        <v>46213</v>
      </c>
      <c r="C205" s="6">
        <v>0.52083333333333337</v>
      </c>
      <c r="D205" s="1" t="s">
        <v>18</v>
      </c>
      <c r="E205" s="1" t="s">
        <v>23</v>
      </c>
      <c r="F205" s="1" t="s">
        <v>632</v>
      </c>
      <c r="G205" s="39" t="s">
        <v>577</v>
      </c>
      <c r="H205" s="1">
        <v>2</v>
      </c>
      <c r="I205" s="1">
        <v>0</v>
      </c>
      <c r="J205" s="39" t="s">
        <v>568</v>
      </c>
      <c r="K205" s="1">
        <v>0</v>
      </c>
      <c r="L205" s="1">
        <v>2</v>
      </c>
      <c r="S205" s="1" t="str">
        <f>IF(tblDados[[#This Row],[Mandante]]="","",TEXT(tblDados[[#This Row],[Data]],"aaaa-mm-dd")&amp;"|"&amp;TRIM(tblDados[[#This Row],[Mandante]])&amp;"|"&amp;TRIM(tblDados[[#This Row],[Visitante]]))</f>
        <v>2026-07-10|GBK Kokkola|JBK</v>
      </c>
      <c r="T205" s="1">
        <f>IF($G205="",0,IF(COUNTIF($S$2:$S205,$S205)=1,1,0))</f>
        <v>1</v>
      </c>
      <c r="U205" s="19" t="str" cm="1">
        <f t="array" ref="U2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5" s="19" t="str" cm="1">
        <f t="array" ref="V2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6" spans="1:22" ht="14.25" customHeight="1" x14ac:dyDescent="0.3">
      <c r="A206" s="1" t="s">
        <v>633</v>
      </c>
      <c r="B206" s="5">
        <v>46218</v>
      </c>
      <c r="C206" s="6">
        <v>0.54166666666666663</v>
      </c>
      <c r="D206" s="1" t="s">
        <v>18</v>
      </c>
      <c r="E206" s="1" t="s">
        <v>23</v>
      </c>
      <c r="F206" s="1" t="s">
        <v>634</v>
      </c>
      <c r="G206" s="39" t="s">
        <v>577</v>
      </c>
      <c r="H206" s="1">
        <v>6</v>
      </c>
      <c r="I206" s="1">
        <v>2</v>
      </c>
      <c r="J206" s="39" t="s">
        <v>212</v>
      </c>
      <c r="K206" s="1">
        <v>2</v>
      </c>
      <c r="L206" s="1">
        <v>6</v>
      </c>
      <c r="S206" s="1" t="str">
        <f>IF(tblDados[[#This Row],[Mandante]]="","",TEXT(tblDados[[#This Row],[Data]],"aaaa-mm-dd")&amp;"|"&amp;TRIM(tblDados[[#This Row],[Mandante]])&amp;"|"&amp;TRIM(tblDados[[#This Row],[Visitante]]))</f>
        <v>2026-07-15|GBK Kokkola|Närpes Kraft</v>
      </c>
      <c r="T206" s="1">
        <f>IF($G206="",0,IF(COUNTIF($S$2:$S206,$S206)=1,1,0))</f>
        <v>1</v>
      </c>
      <c r="U206" s="19" t="str" cm="1">
        <f t="array" ref="U2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6" s="19" t="str" cm="1">
        <f t="array" ref="V2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7" spans="1:22" ht="14.25" customHeight="1" x14ac:dyDescent="0.3">
      <c r="A207" s="1" t="s">
        <v>635</v>
      </c>
      <c r="B207" s="5">
        <v>46225</v>
      </c>
      <c r="C207" s="6">
        <v>0.54166666666666663</v>
      </c>
      <c r="D207" s="1" t="s">
        <v>18</v>
      </c>
      <c r="E207" s="1" t="s">
        <v>23</v>
      </c>
      <c r="F207" s="1" t="s">
        <v>3018</v>
      </c>
      <c r="G207" s="39" t="s">
        <v>2991</v>
      </c>
      <c r="H207" s="1">
        <v>1</v>
      </c>
      <c r="I207" s="1">
        <v>1</v>
      </c>
      <c r="J207" s="39" t="s">
        <v>577</v>
      </c>
      <c r="K207" s="1">
        <v>1</v>
      </c>
      <c r="L207" s="1">
        <v>1</v>
      </c>
      <c r="S207" s="1" t="str">
        <f>IF(tblDados[[#This Row],[Mandante]]="","",TEXT(tblDados[[#This Row],[Data]],"aaaa-mm-dd")&amp;"|"&amp;TRIM(tblDados[[#This Row],[Mandante]])&amp;"|"&amp;TRIM(tblDados[[#This Row],[Visitante]]))</f>
        <v>2026-07-22|Jaro 2|GBK Kokkola</v>
      </c>
      <c r="T207" s="1">
        <f>IF($G207="",0,IF(COUNTIF($S$2:$S207,$S207)=1,1,0))</f>
        <v>1</v>
      </c>
      <c r="U207" s="19" t="str" cm="1">
        <f t="array" ref="U2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7" s="19" t="str" cm="1">
        <f t="array" ref="V2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8" spans="1:22" ht="14.25" customHeight="1" x14ac:dyDescent="0.3">
      <c r="A208" s="1" t="s">
        <v>637</v>
      </c>
      <c r="B208" s="5">
        <v>46144</v>
      </c>
      <c r="C208" s="6">
        <v>0.52083333333333337</v>
      </c>
      <c r="D208" s="1" t="s">
        <v>18</v>
      </c>
      <c r="E208" s="1" t="s">
        <v>23</v>
      </c>
      <c r="F208" s="1" t="s">
        <v>638</v>
      </c>
      <c r="G208" s="39" t="s">
        <v>213</v>
      </c>
      <c r="H208" s="1">
        <v>2</v>
      </c>
      <c r="I208" s="1">
        <v>1</v>
      </c>
      <c r="J208" s="39" t="s">
        <v>588</v>
      </c>
      <c r="K208" s="1">
        <v>1</v>
      </c>
      <c r="L208" s="1">
        <v>2</v>
      </c>
      <c r="S208" s="1" t="str">
        <f>IF(tblDados[[#This Row],[Mandante]]="","",TEXT(tblDados[[#This Row],[Data]],"aaaa-mm-dd")&amp;"|"&amp;TRIM(tblDados[[#This Row],[Mandante]])&amp;"|"&amp;TRIM(tblDados[[#This Row],[Visitante]]))</f>
        <v>2026-05-02|JS Hercules|Huima / Urho</v>
      </c>
      <c r="T208" s="1">
        <f>IF($G208="",0,IF(COUNTIF($S$2:$S208,$S208)=1,1,0))</f>
        <v>1</v>
      </c>
      <c r="U208" s="19" t="str" cm="1">
        <f t="array" ref="U2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8" s="19" t="str" cm="1">
        <f t="array" ref="V2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9" spans="1:22" ht="14.25" customHeight="1" x14ac:dyDescent="0.3">
      <c r="A209" s="1" t="s">
        <v>639</v>
      </c>
      <c r="B209" s="5">
        <v>46149</v>
      </c>
      <c r="C209" s="6">
        <v>0.52083333333333337</v>
      </c>
      <c r="D209" s="1" t="s">
        <v>18</v>
      </c>
      <c r="E209" s="1" t="s">
        <v>23</v>
      </c>
      <c r="F209" s="1" t="s">
        <v>640</v>
      </c>
      <c r="G209" s="39" t="s">
        <v>585</v>
      </c>
      <c r="H209" s="1">
        <v>0</v>
      </c>
      <c r="I209" s="1">
        <v>1</v>
      </c>
      <c r="J209" s="39" t="s">
        <v>588</v>
      </c>
      <c r="K209" s="1">
        <v>1</v>
      </c>
      <c r="L209" s="1">
        <v>0</v>
      </c>
      <c r="S209" s="1" t="str">
        <f>IF(tblDados[[#This Row],[Mandante]]="","",TEXT(tblDados[[#This Row],[Data]],"aaaa-mm-dd")&amp;"|"&amp;TRIM(tblDados[[#This Row],[Mandante]])&amp;"|"&amp;TRIM(tblDados[[#This Row],[Visitante]]))</f>
        <v>2026-05-07|SJK Akatemia 2|Huima / Urho</v>
      </c>
      <c r="T209" s="1">
        <f>IF($G209="",0,IF(COUNTIF($S$2:$S209,$S209)=1,1,0))</f>
        <v>1</v>
      </c>
      <c r="U209" s="19" t="str" cm="1">
        <f t="array" ref="U2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9" s="19" t="str" cm="1">
        <f t="array" ref="V2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0" spans="1:22" ht="14.25" customHeight="1" x14ac:dyDescent="0.3">
      <c r="A210" s="1" t="s">
        <v>641</v>
      </c>
      <c r="B210" s="5">
        <v>46158</v>
      </c>
      <c r="C210" s="6">
        <v>0.4375</v>
      </c>
      <c r="D210" s="1" t="s">
        <v>18</v>
      </c>
      <c r="E210" s="1" t="s">
        <v>23</v>
      </c>
      <c r="F210" s="1" t="s">
        <v>642</v>
      </c>
      <c r="G210" s="39" t="s">
        <v>588</v>
      </c>
      <c r="H210" s="1">
        <v>4</v>
      </c>
      <c r="I210" s="1">
        <v>2</v>
      </c>
      <c r="J210" s="39" t="s">
        <v>574</v>
      </c>
      <c r="K210" s="1">
        <v>2</v>
      </c>
      <c r="L210" s="1">
        <v>4</v>
      </c>
      <c r="S210" s="1" t="str">
        <f>IF(tblDados[[#This Row],[Mandante]]="","",TEXT(tblDados[[#This Row],[Data]],"aaaa-mm-dd")&amp;"|"&amp;TRIM(tblDados[[#This Row],[Mandante]])&amp;"|"&amp;TRIM(tblDados[[#This Row],[Visitante]]))</f>
        <v>2026-05-16|Huima / Urho|FC Vaajakoski</v>
      </c>
      <c r="T210" s="1">
        <f>IF($G210="",0,IF(COUNTIF($S$2:$S210,$S210)=1,1,0))</f>
        <v>1</v>
      </c>
      <c r="U210" s="19" t="str" cm="1">
        <f t="array" ref="U2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0" s="19" t="str" cm="1">
        <f t="array" ref="V2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1" spans="1:22" ht="14.25" customHeight="1" x14ac:dyDescent="0.3">
      <c r="A211" s="1" t="s">
        <v>643</v>
      </c>
      <c r="B211" s="5">
        <v>46165</v>
      </c>
      <c r="C211" s="6">
        <v>0.4375</v>
      </c>
      <c r="D211" s="1" t="s">
        <v>18</v>
      </c>
      <c r="E211" s="1" t="s">
        <v>23</v>
      </c>
      <c r="F211" s="1" t="s">
        <v>644</v>
      </c>
      <c r="G211" s="39" t="s">
        <v>582</v>
      </c>
      <c r="H211" s="1">
        <v>4</v>
      </c>
      <c r="I211" s="1">
        <v>4</v>
      </c>
      <c r="J211" s="39" t="s">
        <v>588</v>
      </c>
      <c r="K211" s="1">
        <v>4</v>
      </c>
      <c r="L211" s="1">
        <v>4</v>
      </c>
      <c r="S211" s="1" t="str">
        <f>IF(tblDados[[#This Row],[Mandante]]="","",TEXT(tblDados[[#This Row],[Data]],"aaaa-mm-dd")&amp;"|"&amp;TRIM(tblDados[[#This Row],[Mandante]])&amp;"|"&amp;TRIM(tblDados[[#This Row],[Visitante]]))</f>
        <v>2026-05-23|TP-47|Huima / Urho</v>
      </c>
      <c r="T211" s="1">
        <f>IF($G211="",0,IF(COUNTIF($S$2:$S211,$S211)=1,1,0))</f>
        <v>1</v>
      </c>
      <c r="U211" s="19" t="str" cm="1">
        <f t="array" ref="U2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1" s="19" t="str" cm="1">
        <f t="array" ref="V2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2" spans="1:22" ht="14.25" customHeight="1" x14ac:dyDescent="0.3">
      <c r="A212" s="1" t="s">
        <v>645</v>
      </c>
      <c r="B212" s="5">
        <v>46179</v>
      </c>
      <c r="C212" s="6">
        <v>0.33333333333333331</v>
      </c>
      <c r="D212" s="1" t="s">
        <v>18</v>
      </c>
      <c r="E212" s="1" t="s">
        <v>23</v>
      </c>
      <c r="F212" s="1" t="s">
        <v>3019</v>
      </c>
      <c r="G212" s="39" t="s">
        <v>588</v>
      </c>
      <c r="H212" s="1">
        <v>7</v>
      </c>
      <c r="I212" s="1">
        <v>1</v>
      </c>
      <c r="J212" s="39" t="s">
        <v>2991</v>
      </c>
      <c r="K212" s="1">
        <v>1</v>
      </c>
      <c r="L212" s="1">
        <v>7</v>
      </c>
      <c r="S212" s="1" t="str">
        <f>IF(tblDados[[#This Row],[Mandante]]="","",TEXT(tblDados[[#This Row],[Data]],"aaaa-mm-dd")&amp;"|"&amp;TRIM(tblDados[[#This Row],[Mandante]])&amp;"|"&amp;TRIM(tblDados[[#This Row],[Visitante]]))</f>
        <v>2026-06-06|Huima / Urho|Jaro 2</v>
      </c>
      <c r="T212" s="1">
        <f>IF($G212="",0,IF(COUNTIF($S$2:$S212,$S212)=1,1,0))</f>
        <v>1</v>
      </c>
      <c r="U212" s="19" t="str" cm="1">
        <f t="array" ref="U2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2" s="19" t="str" cm="1">
        <f t="array" ref="V2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3" spans="1:22" ht="14.25" customHeight="1" x14ac:dyDescent="0.3">
      <c r="A213" s="1" t="s">
        <v>646</v>
      </c>
      <c r="B213" s="5">
        <v>46200</v>
      </c>
      <c r="C213" s="6">
        <v>0.45833333333333331</v>
      </c>
      <c r="D213" s="1" t="s">
        <v>18</v>
      </c>
      <c r="E213" s="1" t="s">
        <v>23</v>
      </c>
      <c r="F213" s="1" t="s">
        <v>647</v>
      </c>
      <c r="G213" s="39" t="s">
        <v>588</v>
      </c>
      <c r="H213" s="1">
        <v>3</v>
      </c>
      <c r="I213" s="1">
        <v>2</v>
      </c>
      <c r="J213" s="39" t="s">
        <v>568</v>
      </c>
      <c r="K213" s="1">
        <v>2</v>
      </c>
      <c r="L213" s="1">
        <v>3</v>
      </c>
      <c r="S213" s="1" t="str">
        <f>IF(tblDados[[#This Row],[Mandante]]="","",TEXT(tblDados[[#This Row],[Data]],"aaaa-mm-dd")&amp;"|"&amp;TRIM(tblDados[[#This Row],[Mandante]])&amp;"|"&amp;TRIM(tblDados[[#This Row],[Visitante]]))</f>
        <v>2026-06-27|Huima / Urho|JBK</v>
      </c>
      <c r="T213" s="1">
        <f>IF($G213="",0,IF(COUNTIF($S$2:$S213,$S213)=1,1,0))</f>
        <v>1</v>
      </c>
      <c r="U213" s="19" t="str" cm="1">
        <f t="array" ref="U2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3" s="19" t="str" cm="1">
        <f t="array" ref="V2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4" spans="1:22" ht="14.25" customHeight="1" x14ac:dyDescent="0.3">
      <c r="A214" s="1" t="s">
        <v>648</v>
      </c>
      <c r="B214" s="5">
        <v>46214</v>
      </c>
      <c r="C214" s="6">
        <v>0.4375</v>
      </c>
      <c r="D214" s="1" t="s">
        <v>18</v>
      </c>
      <c r="E214" s="1" t="s">
        <v>23</v>
      </c>
      <c r="F214" s="1" t="s">
        <v>649</v>
      </c>
      <c r="G214" s="39" t="s">
        <v>588</v>
      </c>
      <c r="H214" s="1">
        <v>0</v>
      </c>
      <c r="I214" s="1">
        <v>0</v>
      </c>
      <c r="J214" s="39" t="s">
        <v>213</v>
      </c>
      <c r="K214" s="1">
        <v>0</v>
      </c>
      <c r="L214" s="1">
        <v>0</v>
      </c>
      <c r="S214" s="1" t="str">
        <f>IF(tblDados[[#This Row],[Mandante]]="","",TEXT(tblDados[[#This Row],[Data]],"aaaa-mm-dd")&amp;"|"&amp;TRIM(tblDados[[#This Row],[Mandante]])&amp;"|"&amp;TRIM(tblDados[[#This Row],[Visitante]]))</f>
        <v>2026-07-11|Huima / Urho|JS Hercules</v>
      </c>
      <c r="T214">
        <f>IF($G214="",0,IF(COUNTIF($S$2:$S214,$S214)=1,1,0))</f>
        <v>1</v>
      </c>
      <c r="U214" s="19" t="str" cm="1">
        <f t="array" ref="U2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4" s="19" t="str" cm="1">
        <f t="array" ref="V2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5" spans="1:22" ht="14.25" customHeight="1" x14ac:dyDescent="0.3">
      <c r="A215" s="1" t="s">
        <v>650</v>
      </c>
      <c r="B215" s="5">
        <v>46220</v>
      </c>
      <c r="C215" s="6">
        <v>0.54166666666666663</v>
      </c>
      <c r="D215" s="1" t="s">
        <v>18</v>
      </c>
      <c r="E215" s="1" t="s">
        <v>23</v>
      </c>
      <c r="F215" s="1" t="s">
        <v>651</v>
      </c>
      <c r="G215" s="39" t="s">
        <v>574</v>
      </c>
      <c r="H215" s="1">
        <v>0</v>
      </c>
      <c r="I215" s="1">
        <v>1</v>
      </c>
      <c r="J215" s="39" t="s">
        <v>588</v>
      </c>
      <c r="K215" s="1">
        <v>1</v>
      </c>
      <c r="L215" s="1">
        <v>0</v>
      </c>
      <c r="S215" s="1" t="str">
        <f>IF(tblDados[[#This Row],[Mandante]]="","",TEXT(tblDados[[#This Row],[Data]],"aaaa-mm-dd")&amp;"|"&amp;TRIM(tblDados[[#This Row],[Mandante]])&amp;"|"&amp;TRIM(tblDados[[#This Row],[Visitante]]))</f>
        <v>2026-07-17|FC Vaajakoski|Huima / Urho</v>
      </c>
      <c r="T215" s="1">
        <f>IF($G215="",0,IF(COUNTIF($S$2:$S215,$S215)=1,1,0))</f>
        <v>1</v>
      </c>
      <c r="U215" s="19" t="str" cm="1">
        <f t="array" ref="U2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5" s="19" t="str" cm="1">
        <f t="array" ref="V2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6" spans="1:22" ht="14.25" customHeight="1" x14ac:dyDescent="0.3">
      <c r="A216" s="1" t="s">
        <v>652</v>
      </c>
      <c r="B216" s="5">
        <v>46228</v>
      </c>
      <c r="C216" s="6">
        <v>0.4375</v>
      </c>
      <c r="D216" s="1" t="s">
        <v>18</v>
      </c>
      <c r="E216" s="1" t="s">
        <v>23</v>
      </c>
      <c r="F216" s="1" t="s">
        <v>653</v>
      </c>
      <c r="G216" s="39" t="s">
        <v>588</v>
      </c>
      <c r="H216" s="1">
        <v>4</v>
      </c>
      <c r="I216" s="1">
        <v>0</v>
      </c>
      <c r="J216" s="39" t="s">
        <v>585</v>
      </c>
      <c r="K216" s="1">
        <v>0</v>
      </c>
      <c r="L216" s="1">
        <v>4</v>
      </c>
      <c r="S216" s="1" t="str">
        <f>IF(tblDados[[#This Row],[Mandante]]="","",TEXT(tblDados[[#This Row],[Data]],"aaaa-mm-dd")&amp;"|"&amp;TRIM(tblDados[[#This Row],[Mandante]])&amp;"|"&amp;TRIM(tblDados[[#This Row],[Visitante]]))</f>
        <v>2026-07-25|Huima / Urho|SJK Akatemia 2</v>
      </c>
      <c r="T216" s="1">
        <f>IF($G216="",0,IF(COUNTIF($S$2:$S216,$S216)=1,1,0))</f>
        <v>1</v>
      </c>
      <c r="U216" s="19" t="str" cm="1">
        <f t="array" ref="U2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6" s="19" t="str" cm="1">
        <f t="array" ref="V2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7" spans="1:22" ht="14.25" customHeight="1" x14ac:dyDescent="0.3">
      <c r="A217" s="1" t="s">
        <v>654</v>
      </c>
      <c r="B217" s="5">
        <v>46235</v>
      </c>
      <c r="C217" s="6">
        <v>0.33333333333333331</v>
      </c>
      <c r="D217" s="1" t="s">
        <v>18</v>
      </c>
      <c r="E217" s="1" t="s">
        <v>23</v>
      </c>
      <c r="F217" s="1" t="s">
        <v>655</v>
      </c>
      <c r="G217" s="39" t="s">
        <v>588</v>
      </c>
      <c r="H217" s="1">
        <v>4</v>
      </c>
      <c r="I217" s="1">
        <v>0</v>
      </c>
      <c r="J217" s="39" t="s">
        <v>582</v>
      </c>
      <c r="K217" s="1">
        <v>0</v>
      </c>
      <c r="L217" s="1">
        <v>4</v>
      </c>
      <c r="S217" s="1" t="str">
        <f>IF(tblDados[[#This Row],[Mandante]]="","",TEXT(tblDados[[#This Row],[Data]],"aaaa-mm-dd")&amp;"|"&amp;TRIM(tblDados[[#This Row],[Mandante]])&amp;"|"&amp;TRIM(tblDados[[#This Row],[Visitante]]))</f>
        <v>2026-08-01|Huima / Urho|TP-47</v>
      </c>
      <c r="T217" s="1">
        <f>IF($G217="",0,IF(COUNTIF($S$2:$S217,$S217)=1,1,0))</f>
        <v>1</v>
      </c>
      <c r="U217" s="19" t="str" cm="1">
        <f t="array" ref="U2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7" s="19" t="str" cm="1">
        <f t="array" ref="V2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8" spans="1:22" ht="14.25" customHeight="1" x14ac:dyDescent="0.3">
      <c r="A218" s="1" t="s">
        <v>662</v>
      </c>
      <c r="B218" s="5">
        <v>46134</v>
      </c>
      <c r="C218" s="6">
        <v>0.875</v>
      </c>
      <c r="D218" s="1" t="s">
        <v>10</v>
      </c>
      <c r="E218" s="1" t="s">
        <v>11</v>
      </c>
      <c r="F218" s="1" t="s">
        <v>663</v>
      </c>
      <c r="G218" s="39" t="s">
        <v>664</v>
      </c>
      <c r="H218" s="1">
        <v>1</v>
      </c>
      <c r="I218" s="1">
        <v>0</v>
      </c>
      <c r="J218" s="39" t="s">
        <v>665</v>
      </c>
      <c r="K218" s="1">
        <v>0</v>
      </c>
      <c r="L218" s="1">
        <v>1</v>
      </c>
      <c r="S218" s="1" t="str">
        <f>IF(tblDados[[#This Row],[Mandante]]="","",TEXT(tblDados[[#This Row],[Data]],"aaaa-mm-dd")&amp;"|"&amp;TRIM(tblDados[[#This Row],[Mandante]])&amp;"|"&amp;TRIM(tblDados[[#This Row],[Visitante]]))</f>
        <v>2026-04-22|Always Ready|Oriente Petrolero</v>
      </c>
      <c r="T218">
        <f>IF($G218="",0,IF(COUNTIF($S$2:$S218,$S218)=1,1,0))</f>
        <v>1</v>
      </c>
      <c r="U218" s="19" t="str" cm="1">
        <f t="array" ref="U2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8" s="19" t="str" cm="1">
        <f t="array" ref="V2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9" spans="1:22" ht="14.25" customHeight="1" x14ac:dyDescent="0.3">
      <c r="A219" s="1" t="s">
        <v>666</v>
      </c>
      <c r="B219" s="5">
        <v>46137</v>
      </c>
      <c r="C219" s="6">
        <v>0.66666666666666663</v>
      </c>
      <c r="D219" s="1" t="s">
        <v>10</v>
      </c>
      <c r="E219" s="1" t="s">
        <v>11</v>
      </c>
      <c r="F219" s="1" t="s">
        <v>667</v>
      </c>
      <c r="G219" s="39" t="s">
        <v>668</v>
      </c>
      <c r="H219" s="1">
        <v>1</v>
      </c>
      <c r="I219" s="1">
        <v>2</v>
      </c>
      <c r="J219" s="39" t="s">
        <v>664</v>
      </c>
      <c r="K219" s="1">
        <v>2</v>
      </c>
      <c r="L219" s="1">
        <v>1</v>
      </c>
      <c r="S219" s="1" t="str">
        <f>IF(tblDados[[#This Row],[Mandante]]="","",TEXT(tblDados[[#This Row],[Data]],"aaaa-mm-dd")&amp;"|"&amp;TRIM(tblDados[[#This Row],[Mandante]])&amp;"|"&amp;TRIM(tblDados[[#This Row],[Visitante]]))</f>
        <v>2026-04-25|Guabirá|Always Ready</v>
      </c>
      <c r="T219" s="1">
        <f>IF($G219="",0,IF(COUNTIF($S$2:$S219,$S219)=1,1,0))</f>
        <v>1</v>
      </c>
      <c r="U219" s="19" t="str" cm="1">
        <f t="array" ref="U2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9" s="19" t="str" cm="1">
        <f t="array" ref="V2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0" spans="1:22" ht="14.25" customHeight="1" x14ac:dyDescent="0.3">
      <c r="A220" s="1" t="s">
        <v>669</v>
      </c>
      <c r="B220" s="5">
        <v>46144</v>
      </c>
      <c r="C220" s="6">
        <v>0.66666666666666663</v>
      </c>
      <c r="D220" s="1" t="s">
        <v>10</v>
      </c>
      <c r="E220" s="1" t="s">
        <v>11</v>
      </c>
      <c r="F220" s="1" t="s">
        <v>670</v>
      </c>
      <c r="G220" s="39" t="s">
        <v>664</v>
      </c>
      <c r="H220" s="1">
        <v>3</v>
      </c>
      <c r="I220" s="1">
        <v>1</v>
      </c>
      <c r="J220" s="39" t="s">
        <v>671</v>
      </c>
      <c r="K220" s="1">
        <v>1</v>
      </c>
      <c r="L220" s="1">
        <v>3</v>
      </c>
      <c r="S220" s="1" t="str">
        <f>IF(tblDados[[#This Row],[Mandante]]="","",TEXT(tblDados[[#This Row],[Data]],"aaaa-mm-dd")&amp;"|"&amp;TRIM(tblDados[[#This Row],[Mandante]])&amp;"|"&amp;TRIM(tblDados[[#This Row],[Visitante]]))</f>
        <v>2026-05-02|Always Ready|Nacional Potosí</v>
      </c>
      <c r="T220" s="1">
        <f>IF($G220="",0,IF(COUNTIF($S$2:$S220,$S220)=1,1,0))</f>
        <v>1</v>
      </c>
      <c r="U220" s="19" t="str" cm="1">
        <f t="array" ref="U2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0" s="19" t="str" cm="1">
        <f t="array" ref="V2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1" spans="1:22" ht="14.25" customHeight="1" x14ac:dyDescent="0.3">
      <c r="A221" s="1" t="s">
        <v>672</v>
      </c>
      <c r="B221" s="5">
        <v>46152</v>
      </c>
      <c r="C221" s="6">
        <v>0.77083333333333337</v>
      </c>
      <c r="D221" s="1" t="s">
        <v>10</v>
      </c>
      <c r="E221" s="1" t="s">
        <v>11</v>
      </c>
      <c r="F221" s="1" t="s">
        <v>685</v>
      </c>
      <c r="G221" s="39" t="s">
        <v>228</v>
      </c>
      <c r="H221" s="1">
        <v>0</v>
      </c>
      <c r="I221" s="1">
        <v>0</v>
      </c>
      <c r="J221" s="39" t="s">
        <v>664</v>
      </c>
      <c r="K221" s="1">
        <v>0</v>
      </c>
      <c r="L221" s="1">
        <v>0</v>
      </c>
      <c r="S221" s="1" t="str">
        <f>IF(tblDados[[#This Row],[Mandante]]="","",TEXT(tblDados[[#This Row],[Data]],"aaaa-mm-dd")&amp;"|"&amp;TRIM(tblDados[[#This Row],[Mandante]])&amp;"|"&amp;TRIM(tblDados[[#This Row],[Visitante]]))</f>
        <v>2026-05-10|Independiente Petrolero|Always Ready</v>
      </c>
      <c r="T221" s="1">
        <f>IF($G221="",0,IF(COUNTIF($S$2:$S221,$S221)=1,1,0))</f>
        <v>1</v>
      </c>
      <c r="U221" s="19" t="str" cm="1">
        <f t="array" ref="U2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1" s="19" t="str" cm="1">
        <f t="array" ref="V2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2" spans="1:22" ht="14.25" customHeight="1" x14ac:dyDescent="0.3">
      <c r="A222" s="1" t="s">
        <v>673</v>
      </c>
      <c r="B222" s="5">
        <v>46156</v>
      </c>
      <c r="C222" s="6">
        <v>0.875</v>
      </c>
      <c r="D222" s="1" t="s">
        <v>10</v>
      </c>
      <c r="E222" s="1" t="s">
        <v>11</v>
      </c>
      <c r="F222" s="1" t="s">
        <v>674</v>
      </c>
      <c r="G222" s="39" t="s">
        <v>664</v>
      </c>
      <c r="H222" s="1">
        <v>0</v>
      </c>
      <c r="I222" s="1">
        <v>1</v>
      </c>
      <c r="J222" s="39" t="s">
        <v>181</v>
      </c>
      <c r="K222" s="1">
        <v>1</v>
      </c>
      <c r="L222" s="1">
        <v>0</v>
      </c>
      <c r="S222" s="1" t="str">
        <f>IF(tblDados[[#This Row],[Mandante]]="","",TEXT(tblDados[[#This Row],[Data]],"aaaa-mm-dd")&amp;"|"&amp;TRIM(tblDados[[#This Row],[Mandante]])&amp;"|"&amp;TRIM(tblDados[[#This Row],[Visitante]]))</f>
        <v>2026-05-14|Always Ready|The Strongest</v>
      </c>
      <c r="T222" s="1">
        <f>IF($G222="",0,IF(COUNTIF($S$2:$S222,$S222)=1,1,0))</f>
        <v>1</v>
      </c>
      <c r="U222" s="19" t="str" cm="1">
        <f t="array" ref="U2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2" s="19" t="str" cm="1">
        <f t="array" ref="V2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3" spans="1:22" ht="14.25" customHeight="1" x14ac:dyDescent="0.3">
      <c r="A223" s="1" t="s">
        <v>675</v>
      </c>
      <c r="B223" s="5">
        <v>46172</v>
      </c>
      <c r="C223" s="6">
        <v>0.66666666666666663</v>
      </c>
      <c r="D223" s="1" t="s">
        <v>10</v>
      </c>
      <c r="E223" s="1" t="s">
        <v>11</v>
      </c>
      <c r="F223" s="1" t="s">
        <v>686</v>
      </c>
      <c r="G223" s="39" t="s">
        <v>190</v>
      </c>
      <c r="H223" s="1">
        <v>1</v>
      </c>
      <c r="I223" s="1">
        <v>3</v>
      </c>
      <c r="J223" s="39" t="s">
        <v>664</v>
      </c>
      <c r="K223" s="1">
        <v>3</v>
      </c>
      <c r="L223" s="1">
        <v>1</v>
      </c>
      <c r="S223" s="1" t="str">
        <f>IF(tblDados[[#This Row],[Mandante]]="","",TEXT(tblDados[[#This Row],[Data]],"aaaa-mm-dd")&amp;"|"&amp;TRIM(tblDados[[#This Row],[Mandante]])&amp;"|"&amp;TRIM(tblDados[[#This Row],[Visitante]]))</f>
        <v>2026-05-30|ABB|Always Ready</v>
      </c>
      <c r="T223" s="1">
        <f>IF($G223="",0,IF(COUNTIF($S$2:$S223,$S223)=1,1,0))</f>
        <v>1</v>
      </c>
      <c r="U223" s="19" t="str" cm="1">
        <f t="array" ref="U2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3" s="19" t="str" cm="1">
        <f t="array" ref="V2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4" spans="1:22" ht="14.25" customHeight="1" x14ac:dyDescent="0.3">
      <c r="A224" s="1" t="s">
        <v>676</v>
      </c>
      <c r="B224" s="5">
        <v>46217</v>
      </c>
      <c r="C224" s="6">
        <v>0.66666666666666663</v>
      </c>
      <c r="D224" s="1" t="s">
        <v>10</v>
      </c>
      <c r="E224" s="1" t="s">
        <v>11</v>
      </c>
      <c r="F224" s="1" t="s">
        <v>677</v>
      </c>
      <c r="G224" s="39" t="s">
        <v>227</v>
      </c>
      <c r="H224" s="1">
        <v>0</v>
      </c>
      <c r="I224" s="1">
        <v>6</v>
      </c>
      <c r="J224" s="39" t="s">
        <v>664</v>
      </c>
      <c r="K224" s="1">
        <v>6</v>
      </c>
      <c r="L224" s="1">
        <v>0</v>
      </c>
      <c r="S224" s="1" t="str">
        <f>IF(tblDados[[#This Row],[Mandante]]="","",TEXT(tblDados[[#This Row],[Data]],"aaaa-mm-dd")&amp;"|"&amp;TRIM(tblDados[[#This Row],[Mandante]])&amp;"|"&amp;TRIM(tblDados[[#This Row],[Visitante]]))</f>
        <v>2026-07-14|Real Oruro|Always Ready</v>
      </c>
      <c r="T224" s="1">
        <f>IF($G224="",0,IF(COUNTIF($S$2:$S224,$S224)=1,1,0))</f>
        <v>1</v>
      </c>
      <c r="U224" s="19" t="str" cm="1">
        <f t="array" ref="U2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4" s="19" t="str" cm="1">
        <f t="array" ref="V2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5" spans="1:22" ht="14.25" customHeight="1" x14ac:dyDescent="0.3">
      <c r="A225" s="1" t="s">
        <v>678</v>
      </c>
      <c r="B225" s="5">
        <v>46221</v>
      </c>
      <c r="C225" s="6">
        <v>0.66666666666666663</v>
      </c>
      <c r="D225" s="1" t="s">
        <v>10</v>
      </c>
      <c r="E225" s="1" t="s">
        <v>11</v>
      </c>
      <c r="F225" s="1" t="s">
        <v>679</v>
      </c>
      <c r="G225" s="39" t="s">
        <v>664</v>
      </c>
      <c r="H225" s="1">
        <v>4</v>
      </c>
      <c r="I225" s="1">
        <v>0</v>
      </c>
      <c r="J225" s="39" t="s">
        <v>680</v>
      </c>
      <c r="K225" s="1">
        <v>0</v>
      </c>
      <c r="L225" s="1">
        <v>4</v>
      </c>
      <c r="S225" s="1" t="str">
        <f>IF(tblDados[[#This Row],[Mandante]]="","",TEXT(tblDados[[#This Row],[Data]],"aaaa-mm-dd")&amp;"|"&amp;TRIM(tblDados[[#This Row],[Mandante]])&amp;"|"&amp;TRIM(tblDados[[#This Row],[Visitante]]))</f>
        <v>2026-07-18|Always Ready|Universitario de Vinto</v>
      </c>
      <c r="T225" s="1">
        <f>IF($G225="",0,IF(COUNTIF($S$2:$S225,$S225)=1,1,0))</f>
        <v>1</v>
      </c>
      <c r="U225" s="19" t="str" cm="1">
        <f t="array" ref="U2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5" s="19" t="str" cm="1">
        <f t="array" ref="V2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6" spans="1:22" ht="14.25" customHeight="1" x14ac:dyDescent="0.3">
      <c r="A226" s="1" t="s">
        <v>681</v>
      </c>
      <c r="B226" s="5">
        <v>46228</v>
      </c>
      <c r="C226" s="6">
        <v>0.66666666666666663</v>
      </c>
      <c r="D226" s="1" t="s">
        <v>10</v>
      </c>
      <c r="E226" s="1" t="s">
        <v>11</v>
      </c>
      <c r="F226" s="1" t="s">
        <v>1649</v>
      </c>
      <c r="G226" s="39" t="s">
        <v>664</v>
      </c>
      <c r="H226" s="1">
        <v>3</v>
      </c>
      <c r="I226" s="1">
        <v>1</v>
      </c>
      <c r="J226" s="39" t="s">
        <v>1097</v>
      </c>
      <c r="K226" s="1">
        <v>1</v>
      </c>
      <c r="L226" s="1">
        <v>3</v>
      </c>
      <c r="S226" s="1" t="str">
        <f>IF(tblDados[[#This Row],[Mandante]]="","",TEXT(tblDados[[#This Row],[Data]],"aaaa-mm-dd")&amp;"|"&amp;TRIM(tblDados[[#This Row],[Mandante]])&amp;"|"&amp;TRIM(tblDados[[#This Row],[Visitante]]))</f>
        <v>2026-07-25|Always Ready|SA Bulo Bulo</v>
      </c>
      <c r="T226" s="1">
        <f>IF($G226="",0,IF(COUNTIF($S$2:$S226,$S226)=1,1,0))</f>
        <v>1</v>
      </c>
      <c r="U226" s="19" t="str" cm="1">
        <f t="array" ref="U2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6" s="19" t="str" cm="1">
        <f t="array" ref="V2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7" spans="1:22" ht="14.25" customHeight="1" x14ac:dyDescent="0.3">
      <c r="A227" s="1" t="s">
        <v>682</v>
      </c>
      <c r="B227" s="5">
        <v>46236</v>
      </c>
      <c r="C227" s="6">
        <v>0.77083333333333337</v>
      </c>
      <c r="D227" s="1" t="s">
        <v>10</v>
      </c>
      <c r="E227" s="1" t="s">
        <v>11</v>
      </c>
      <c r="F227" s="1" t="s">
        <v>683</v>
      </c>
      <c r="G227" s="39" t="s">
        <v>664</v>
      </c>
      <c r="H227" s="1">
        <v>1</v>
      </c>
      <c r="I227" s="1">
        <v>0</v>
      </c>
      <c r="J227" s="39" t="s">
        <v>684</v>
      </c>
      <c r="K227" s="1">
        <v>0</v>
      </c>
      <c r="L227" s="1">
        <v>1</v>
      </c>
      <c r="S227" s="1" t="str">
        <f>IF(tblDados[[#This Row],[Mandante]]="","",TEXT(tblDados[[#This Row],[Data]],"aaaa-mm-dd")&amp;"|"&amp;TRIM(tblDados[[#This Row],[Mandante]])&amp;"|"&amp;TRIM(tblDados[[#This Row],[Visitante]]))</f>
        <v>2026-08-02|Always Ready|Bolívar</v>
      </c>
      <c r="T227">
        <f>IF($G227="",0,IF(COUNTIF($S$2:$S227,$S227)=1,1,0))</f>
        <v>1</v>
      </c>
      <c r="U227" s="19" t="str" cm="1">
        <f t="array" ref="U2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7" s="19" t="str" cm="1">
        <f t="array" ref="V2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8" spans="1:22" ht="14.25" customHeight="1" x14ac:dyDescent="0.3">
      <c r="A228" s="1" t="s">
        <v>687</v>
      </c>
      <c r="B228" s="5">
        <v>46143</v>
      </c>
      <c r="C228" s="6">
        <v>0.67708333333333337</v>
      </c>
      <c r="D228" s="1" t="s">
        <v>24</v>
      </c>
      <c r="E228" s="1" t="s">
        <v>4335</v>
      </c>
      <c r="F228" s="1" t="s">
        <v>4340</v>
      </c>
      <c r="G228" s="39" t="s">
        <v>4339</v>
      </c>
      <c r="H228" s="1">
        <v>3</v>
      </c>
      <c r="I228" s="1">
        <v>1</v>
      </c>
      <c r="J228" s="39" t="s">
        <v>688</v>
      </c>
      <c r="K228" s="1">
        <v>1</v>
      </c>
      <c r="L228" s="1">
        <v>3</v>
      </c>
      <c r="S228" s="1" t="str">
        <f>IF(tblDados[[#This Row],[Mandante]]="","",TEXT(tblDados[[#This Row],[Data]],"aaaa-mm-dd")&amp;"|"&amp;TRIM(tblDados[[#This Row],[Mandante]])&amp;"|"&amp;TRIM(tblDados[[#This Row],[Visitante]]))</f>
        <v>2026-05-01|Throttur (Þróttur)|IR Reykjavik</v>
      </c>
      <c r="T228" s="1">
        <f>IF($G228="",0,IF(COUNTIF($S$2:$S228,$S228)=1,1,0))</f>
        <v>1</v>
      </c>
      <c r="U228" s="19" t="str" cm="1">
        <f t="array" ref="U2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8" s="19" t="str" cm="1">
        <f t="array" ref="V2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9" spans="1:22" ht="14.25" customHeight="1" x14ac:dyDescent="0.3">
      <c r="A229" s="1" t="s">
        <v>689</v>
      </c>
      <c r="B229" s="5">
        <v>46150</v>
      </c>
      <c r="C229" s="6">
        <v>0.67708333333333337</v>
      </c>
      <c r="D229" s="1" t="s">
        <v>24</v>
      </c>
      <c r="E229" s="1" t="s">
        <v>4335</v>
      </c>
      <c r="F229" s="1" t="s">
        <v>740</v>
      </c>
      <c r="G229" s="39" t="s">
        <v>688</v>
      </c>
      <c r="H229" s="1">
        <v>2</v>
      </c>
      <c r="I229" s="1">
        <v>2</v>
      </c>
      <c r="J229" s="39" t="s">
        <v>132</v>
      </c>
      <c r="K229" s="1">
        <v>2</v>
      </c>
      <c r="L229" s="1">
        <v>2</v>
      </c>
      <c r="S229" s="1" t="str">
        <f>IF(tblDados[[#This Row],[Mandante]]="","",TEXT(tblDados[[#This Row],[Data]],"aaaa-mm-dd")&amp;"|"&amp;TRIM(tblDados[[#This Row],[Mandante]])&amp;"|"&amp;TRIM(tblDados[[#This Row],[Visitante]]))</f>
        <v>2026-05-08|IR Reykjavik|Grindavik</v>
      </c>
      <c r="T229" s="1">
        <f>IF($G229="",0,IF(COUNTIF($S$2:$S229,$S229)=1,1,0))</f>
        <v>1</v>
      </c>
      <c r="U229" s="19" t="str" cm="1">
        <f t="array" ref="U2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9" s="19" t="str" cm="1">
        <f t="array" ref="V2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0" spans="1:22" ht="14.25" customHeight="1" x14ac:dyDescent="0.3">
      <c r="A230" s="1" t="s">
        <v>690</v>
      </c>
      <c r="B230" s="5">
        <v>46160</v>
      </c>
      <c r="C230" s="6">
        <v>0.67708333333333337</v>
      </c>
      <c r="D230" s="1" t="s">
        <v>24</v>
      </c>
      <c r="E230" s="1" t="s">
        <v>4335</v>
      </c>
      <c r="F230" s="1" t="s">
        <v>691</v>
      </c>
      <c r="G230" s="39" t="s">
        <v>692</v>
      </c>
      <c r="H230" s="1">
        <v>2</v>
      </c>
      <c r="I230" s="1">
        <v>1</v>
      </c>
      <c r="J230" s="39" t="s">
        <v>688</v>
      </c>
      <c r="K230" s="1">
        <v>1</v>
      </c>
      <c r="L230" s="1">
        <v>2</v>
      </c>
      <c r="S230" s="1" t="str">
        <f>IF(tblDados[[#This Row],[Mandante]]="","",TEXT(tblDados[[#This Row],[Data]],"aaaa-mm-dd")&amp;"|"&amp;TRIM(tblDados[[#This Row],[Mandante]])&amp;"|"&amp;TRIM(tblDados[[#This Row],[Visitante]]))</f>
        <v>2026-05-18|Fylkir|IR Reykjavik</v>
      </c>
      <c r="T230" s="1">
        <f>IF($G230="",0,IF(COUNTIF($S$2:$S230,$S230)=1,1,0))</f>
        <v>1</v>
      </c>
      <c r="U230" s="19" t="str" cm="1">
        <f t="array" ref="U2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0" s="19" t="str" cm="1">
        <f t="array" ref="V2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1" spans="1:22" ht="14.25" customHeight="1" x14ac:dyDescent="0.3">
      <c r="A231" s="1" t="s">
        <v>693</v>
      </c>
      <c r="B231" s="5">
        <v>46164</v>
      </c>
      <c r="C231" s="6">
        <v>0.55208333333333337</v>
      </c>
      <c r="D231" s="1" t="s">
        <v>24</v>
      </c>
      <c r="E231" s="1" t="s">
        <v>4335</v>
      </c>
      <c r="F231" s="1" t="s">
        <v>694</v>
      </c>
      <c r="G231" s="39" t="s">
        <v>688</v>
      </c>
      <c r="H231" s="1">
        <v>3</v>
      </c>
      <c r="I231" s="1">
        <v>1</v>
      </c>
      <c r="J231" s="39" t="s">
        <v>695</v>
      </c>
      <c r="K231" s="1">
        <v>1</v>
      </c>
      <c r="L231" s="1">
        <v>3</v>
      </c>
      <c r="S231" s="1" t="str">
        <f>IF(tblDados[[#This Row],[Mandante]]="","",TEXT(tblDados[[#This Row],[Data]],"aaaa-mm-dd")&amp;"|"&amp;TRIM(tblDados[[#This Row],[Mandante]])&amp;"|"&amp;TRIM(tblDados[[#This Row],[Visitante]]))</f>
        <v>2026-05-22|IR Reykjavik|Kopavogur</v>
      </c>
      <c r="T231" s="1">
        <f>IF($G231="",0,IF(COUNTIF($S$2:$S231,$S231)=1,1,0))</f>
        <v>1</v>
      </c>
      <c r="U231" s="19" t="str" cm="1">
        <f t="array" ref="U2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1" s="19" t="str" cm="1">
        <f t="array" ref="V2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2" spans="1:22" ht="14.25" customHeight="1" x14ac:dyDescent="0.3">
      <c r="A232" s="1" t="s">
        <v>696</v>
      </c>
      <c r="B232" s="5">
        <v>46169</v>
      </c>
      <c r="C232" s="6">
        <v>0.67708333333333337</v>
      </c>
      <c r="D232" s="1" t="s">
        <v>24</v>
      </c>
      <c r="E232" s="1" t="s">
        <v>4335</v>
      </c>
      <c r="F232" s="1" t="s">
        <v>714</v>
      </c>
      <c r="G232" s="39" t="s">
        <v>96</v>
      </c>
      <c r="H232" s="1">
        <v>4</v>
      </c>
      <c r="I232" s="1">
        <v>1</v>
      </c>
      <c r="J232" s="39" t="s">
        <v>688</v>
      </c>
      <c r="K232" s="1">
        <v>1</v>
      </c>
      <c r="L232" s="1">
        <v>4</v>
      </c>
      <c r="S232" s="1" t="str">
        <f>IF(tblDados[[#This Row],[Mandante]]="","",TEXT(tblDados[[#This Row],[Data]],"aaaa-mm-dd")&amp;"|"&amp;TRIM(tblDados[[#This Row],[Mandante]])&amp;"|"&amp;TRIM(tblDados[[#This Row],[Visitante]]))</f>
        <v>2026-05-27|Aegir|IR Reykjavik</v>
      </c>
      <c r="T232" s="1">
        <f>IF($G232="",0,IF(COUNTIF($S$2:$S232,$S232)=1,1,0))</f>
        <v>1</v>
      </c>
      <c r="U232" s="19" t="str" cm="1">
        <f t="array" ref="U2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2" s="19" t="str" cm="1">
        <f t="array" ref="V2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3" spans="1:22" ht="14.25" customHeight="1" x14ac:dyDescent="0.3">
      <c r="A233" s="1" t="s">
        <v>697</v>
      </c>
      <c r="B233" s="5">
        <v>46173</v>
      </c>
      <c r="C233" s="6">
        <v>0.45833333333333331</v>
      </c>
      <c r="D233" s="1" t="s">
        <v>24</v>
      </c>
      <c r="E233" s="1" t="s">
        <v>4335</v>
      </c>
      <c r="F233" s="1" t="s">
        <v>698</v>
      </c>
      <c r="G233" s="39" t="s">
        <v>688</v>
      </c>
      <c r="H233" s="1">
        <v>0</v>
      </c>
      <c r="I233" s="1">
        <v>1</v>
      </c>
      <c r="J233" s="39" t="s">
        <v>699</v>
      </c>
      <c r="K233" s="1">
        <v>1</v>
      </c>
      <c r="L233" s="1">
        <v>0</v>
      </c>
      <c r="S233" s="1" t="str">
        <f>IF(tblDados[[#This Row],[Mandante]]="","",TEXT(tblDados[[#This Row],[Data]],"aaaa-mm-dd")&amp;"|"&amp;TRIM(tblDados[[#This Row],[Mandante]])&amp;"|"&amp;TRIM(tblDados[[#This Row],[Visitante]]))</f>
        <v>2026-05-31|IR Reykjavik|Vestri</v>
      </c>
      <c r="T233" s="1">
        <f>IF($G233="",0,IF(COUNTIF($S$2:$S233,$S233)=1,1,0))</f>
        <v>1</v>
      </c>
      <c r="U233" s="19" t="str" cm="1">
        <f t="array" ref="U2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3" s="19" t="str" cm="1">
        <f t="array" ref="V2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4" spans="1:22" ht="14.25" customHeight="1" x14ac:dyDescent="0.3">
      <c r="A234" s="1" t="s">
        <v>700</v>
      </c>
      <c r="B234" s="5">
        <v>46178</v>
      </c>
      <c r="C234" s="6">
        <v>0.67708333333333337</v>
      </c>
      <c r="D234" s="1" t="s">
        <v>24</v>
      </c>
      <c r="E234" s="1" t="s">
        <v>4335</v>
      </c>
      <c r="F234" s="1" t="s">
        <v>741</v>
      </c>
      <c r="G234" s="39" t="s">
        <v>97</v>
      </c>
      <c r="H234" s="1">
        <v>5</v>
      </c>
      <c r="I234" s="1">
        <v>1</v>
      </c>
      <c r="J234" s="39" t="s">
        <v>688</v>
      </c>
      <c r="K234" s="1">
        <v>1</v>
      </c>
      <c r="L234" s="1">
        <v>5</v>
      </c>
      <c r="S234" s="1" t="str">
        <f>IF(tblDados[[#This Row],[Mandante]]="","",TEXT(tblDados[[#This Row],[Data]],"aaaa-mm-dd")&amp;"|"&amp;TRIM(tblDados[[#This Row],[Mandante]])&amp;"|"&amp;TRIM(tblDados[[#This Row],[Visitante]]))</f>
        <v>2026-06-05|Njardvik|IR Reykjavik</v>
      </c>
      <c r="T234" s="1">
        <f>IF($G234="",0,IF(COUNTIF($S$2:$S234,$S234)=1,1,0))</f>
        <v>1</v>
      </c>
      <c r="U234" s="19" t="str" cm="1">
        <f t="array" ref="U2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4" s="19" t="str" cm="1">
        <f t="array" ref="V2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5" spans="1:22" ht="14.25" customHeight="1" x14ac:dyDescent="0.3">
      <c r="A235" s="1" t="s">
        <v>701</v>
      </c>
      <c r="B235" s="5">
        <v>46190</v>
      </c>
      <c r="C235" s="6">
        <v>0.67708333333333337</v>
      </c>
      <c r="D235" s="1" t="s">
        <v>24</v>
      </c>
      <c r="E235" s="1" t="s">
        <v>4335</v>
      </c>
      <c r="F235" s="1" t="s">
        <v>742</v>
      </c>
      <c r="G235" s="39" t="s">
        <v>688</v>
      </c>
      <c r="H235" s="1">
        <v>2</v>
      </c>
      <c r="I235" s="1">
        <v>1</v>
      </c>
      <c r="J235" s="39" t="s">
        <v>737</v>
      </c>
      <c r="K235" s="1">
        <v>1</v>
      </c>
      <c r="L235" s="1">
        <v>2</v>
      </c>
      <c r="S235" s="1" t="str">
        <f>IF(tblDados[[#This Row],[Mandante]]="","",TEXT(tblDados[[#This Row],[Data]],"aaaa-mm-dd")&amp;"|"&amp;TRIM(tblDados[[#This Row],[Mandante]])&amp;"|"&amp;TRIM(tblDados[[#This Row],[Visitante]]))</f>
        <v>2026-06-17|IR Reykjavik|Grotta</v>
      </c>
      <c r="T235" s="1">
        <f>IF($G235="",0,IF(COUNTIF($S$2:$S235,$S235)=1,1,0))</f>
        <v>1</v>
      </c>
      <c r="U235" s="19" t="str" cm="1">
        <f t="array" ref="U2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5" s="19" t="str" cm="1">
        <f t="array" ref="V2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6" spans="1:22" ht="14.25" customHeight="1" x14ac:dyDescent="0.3">
      <c r="A236" s="1" t="s">
        <v>702</v>
      </c>
      <c r="B236" s="5">
        <v>46194</v>
      </c>
      <c r="C236" s="6">
        <v>0.45833333333333331</v>
      </c>
      <c r="D236" s="1" t="s">
        <v>24</v>
      </c>
      <c r="E236" s="1" t="s">
        <v>4335</v>
      </c>
      <c r="F236" s="1" t="s">
        <v>743</v>
      </c>
      <c r="G236" s="39" t="s">
        <v>688</v>
      </c>
      <c r="H236" s="1">
        <v>4</v>
      </c>
      <c r="I236" s="1">
        <v>4</v>
      </c>
      <c r="J236" s="39" t="s">
        <v>721</v>
      </c>
      <c r="K236" s="1">
        <v>4</v>
      </c>
      <c r="L236" s="1">
        <v>4</v>
      </c>
      <c r="S236" s="1" t="str">
        <f>IF(tblDados[[#This Row],[Mandante]]="","",TEXT(tblDados[[#This Row],[Data]],"aaaa-mm-dd")&amp;"|"&amp;TRIM(tblDados[[#This Row],[Mandante]])&amp;"|"&amp;TRIM(tblDados[[#This Row],[Visitante]]))</f>
        <v>2026-06-21|IR Reykjavik|Volsungur</v>
      </c>
      <c r="T236" s="1">
        <f>IF($G236="",0,IF(COUNTIF($S$2:$S236,$S236)=1,1,0))</f>
        <v>1</v>
      </c>
      <c r="U236" s="19" t="str" cm="1">
        <f t="array" ref="U2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6" s="19" t="str" cm="1">
        <f t="array" ref="V2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7" spans="1:22" ht="14.25" customHeight="1" x14ac:dyDescent="0.3">
      <c r="A237" s="1" t="s">
        <v>703</v>
      </c>
      <c r="B237" s="5">
        <v>46199</v>
      </c>
      <c r="C237" s="6">
        <v>0.67708333333333337</v>
      </c>
      <c r="D237" s="1" t="s">
        <v>24</v>
      </c>
      <c r="E237" s="1" t="s">
        <v>4335</v>
      </c>
      <c r="F237" s="1" t="s">
        <v>704</v>
      </c>
      <c r="G237" s="39" t="s">
        <v>705</v>
      </c>
      <c r="H237" s="1">
        <v>2</v>
      </c>
      <c r="I237" s="1">
        <v>1</v>
      </c>
      <c r="J237" s="39" t="s">
        <v>688</v>
      </c>
      <c r="K237" s="1">
        <v>1</v>
      </c>
      <c r="L237" s="1">
        <v>2</v>
      </c>
      <c r="S237" s="1" t="str">
        <f>IF(tblDados[[#This Row],[Mandante]]="","",TEXT(tblDados[[#This Row],[Data]],"aaaa-mm-dd")&amp;"|"&amp;TRIM(tblDados[[#This Row],[Mandante]])&amp;"|"&amp;TRIM(tblDados[[#This Row],[Visitante]]))</f>
        <v>2026-06-26|Leiknir|IR Reykjavik</v>
      </c>
      <c r="T237" s="1">
        <f>IF($G237="",0,IF(COUNTIF($S$2:$S237,$S237)=1,1,0))</f>
        <v>1</v>
      </c>
      <c r="U237" s="19" t="str" cm="1">
        <f t="array" ref="U2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7" s="19" t="str" cm="1">
        <f t="array" ref="V2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8" spans="1:22" ht="14.25" customHeight="1" x14ac:dyDescent="0.3">
      <c r="A238" s="1" t="s">
        <v>706</v>
      </c>
      <c r="B238" s="5">
        <v>46206</v>
      </c>
      <c r="C238" s="6">
        <v>0.67708333333333337</v>
      </c>
      <c r="D238" s="1" t="s">
        <v>24</v>
      </c>
      <c r="E238" s="1" t="s">
        <v>4335</v>
      </c>
      <c r="F238" s="1" t="s">
        <v>707</v>
      </c>
      <c r="G238" s="39" t="s">
        <v>688</v>
      </c>
      <c r="H238" s="1">
        <v>0</v>
      </c>
      <c r="I238" s="1">
        <v>1</v>
      </c>
      <c r="J238" s="39" t="s">
        <v>126</v>
      </c>
      <c r="K238" s="1">
        <v>1</v>
      </c>
      <c r="L238" s="1">
        <v>0</v>
      </c>
      <c r="S238" s="1" t="str">
        <f>IF(tblDados[[#This Row],[Mandante]]="","",TEXT(tblDados[[#This Row],[Data]],"aaaa-mm-dd")&amp;"|"&amp;TRIM(tblDados[[#This Row],[Mandante]])&amp;"|"&amp;TRIM(tblDados[[#This Row],[Visitante]]))</f>
        <v>2026-07-03|IR Reykjavik|Afturelding</v>
      </c>
      <c r="T238" s="1">
        <f>IF($G238="",0,IF(COUNTIF($S$2:$S238,$S238)=1,1,0))</f>
        <v>1</v>
      </c>
      <c r="U238" s="19" t="str" cm="1">
        <f t="array" ref="U2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8" s="19" t="str" cm="1">
        <f t="array" ref="V2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9" spans="1:22" ht="14.25" customHeight="1" x14ac:dyDescent="0.3">
      <c r="A239" s="1" t="s">
        <v>708</v>
      </c>
      <c r="B239" s="5">
        <v>46213</v>
      </c>
      <c r="C239" s="6">
        <v>0.67708333333333337</v>
      </c>
      <c r="D239" s="1" t="s">
        <v>24</v>
      </c>
      <c r="E239" s="1" t="s">
        <v>4335</v>
      </c>
      <c r="F239" s="1" t="s">
        <v>4341</v>
      </c>
      <c r="G239" s="39" t="s">
        <v>688</v>
      </c>
      <c r="H239" s="1">
        <v>1</v>
      </c>
      <c r="I239" s="1">
        <v>1</v>
      </c>
      <c r="J239" s="39" t="s">
        <v>4339</v>
      </c>
      <c r="K239" s="1">
        <v>1</v>
      </c>
      <c r="L239" s="1">
        <v>1</v>
      </c>
      <c r="S239" s="1" t="str">
        <f>IF(tblDados[[#This Row],[Mandante]]="","",TEXT(tblDados[[#This Row],[Data]],"aaaa-mm-dd")&amp;"|"&amp;TRIM(tblDados[[#This Row],[Mandante]])&amp;"|"&amp;TRIM(tblDados[[#This Row],[Visitante]]))</f>
        <v>2026-07-10|IR Reykjavik|Throttur (Þróttur)</v>
      </c>
      <c r="T239" s="1">
        <f>IF($G239="",0,IF(COUNTIF($S$2:$S239,$S239)=1,1,0))</f>
        <v>1</v>
      </c>
      <c r="U239" s="19" t="str" cm="1">
        <f t="array" ref="U2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9" s="19" t="str" cm="1">
        <f t="array" ref="V2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0" spans="1:22" ht="14.25" customHeight="1" x14ac:dyDescent="0.3">
      <c r="A240" s="1" t="s">
        <v>709</v>
      </c>
      <c r="B240" s="5">
        <v>46217</v>
      </c>
      <c r="C240" s="6">
        <v>0.67708333333333337</v>
      </c>
      <c r="D240" s="1" t="s">
        <v>24</v>
      </c>
      <c r="E240" s="1" t="s">
        <v>4335</v>
      </c>
      <c r="F240" s="1" t="s">
        <v>710</v>
      </c>
      <c r="G240" s="39" t="s">
        <v>695</v>
      </c>
      <c r="H240" s="1">
        <v>5</v>
      </c>
      <c r="I240" s="1">
        <v>1</v>
      </c>
      <c r="J240" s="39" t="s">
        <v>688</v>
      </c>
      <c r="K240" s="1">
        <v>1</v>
      </c>
      <c r="L240" s="1">
        <v>5</v>
      </c>
      <c r="S240" s="1" t="str">
        <f>IF(tblDados[[#This Row],[Mandante]]="","",TEXT(tblDados[[#This Row],[Data]],"aaaa-mm-dd")&amp;"|"&amp;TRIM(tblDados[[#This Row],[Mandante]])&amp;"|"&amp;TRIM(tblDados[[#This Row],[Visitante]]))</f>
        <v>2026-07-14|Kopavogur|IR Reykjavik</v>
      </c>
      <c r="T240" s="1">
        <f>IF($G240="",0,IF(COUNTIF($S$2:$S240,$S240)=1,1,0))</f>
        <v>1</v>
      </c>
      <c r="U240" s="19" t="str" cm="1">
        <f t="array" ref="U2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0" s="19" t="str" cm="1">
        <f t="array" ref="V2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1" spans="1:22" ht="14.25" customHeight="1" x14ac:dyDescent="0.3">
      <c r="A241" s="1" t="s">
        <v>711</v>
      </c>
      <c r="B241" s="5">
        <v>46221</v>
      </c>
      <c r="C241" s="6">
        <v>0.45833333333333331</v>
      </c>
      <c r="D241" s="1" t="s">
        <v>24</v>
      </c>
      <c r="E241" s="1" t="s">
        <v>4335</v>
      </c>
      <c r="F241" s="1" t="s">
        <v>744</v>
      </c>
      <c r="G241" s="39" t="s">
        <v>132</v>
      </c>
      <c r="H241" s="1">
        <v>0</v>
      </c>
      <c r="I241" s="1">
        <v>0</v>
      </c>
      <c r="J241" s="39" t="s">
        <v>688</v>
      </c>
      <c r="K241" s="1">
        <v>0</v>
      </c>
      <c r="L241" s="1">
        <v>0</v>
      </c>
      <c r="S241" s="1" t="str">
        <f>IF(tblDados[[#This Row],[Mandante]]="","",TEXT(tblDados[[#This Row],[Data]],"aaaa-mm-dd")&amp;"|"&amp;TRIM(tblDados[[#This Row],[Mandante]])&amp;"|"&amp;TRIM(tblDados[[#This Row],[Visitante]]))</f>
        <v>2026-07-18|Grindavik|IR Reykjavik</v>
      </c>
      <c r="T241" s="1">
        <f>IF($G241="",0,IF(COUNTIF($S$2:$S241,$S241)=1,1,0))</f>
        <v>1</v>
      </c>
      <c r="U241" s="19" t="str" cm="1">
        <f t="array" ref="U2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1" s="19" t="str" cm="1">
        <f t="array" ref="V2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2" spans="1:22" ht="14.25" customHeight="1" x14ac:dyDescent="0.3">
      <c r="A242" s="1" t="s">
        <v>712</v>
      </c>
      <c r="B242" s="5">
        <v>46228</v>
      </c>
      <c r="C242" s="6">
        <v>0.45833333333333331</v>
      </c>
      <c r="D242" s="1" t="s">
        <v>24</v>
      </c>
      <c r="E242" s="1" t="s">
        <v>4335</v>
      </c>
      <c r="F242" s="1" t="s">
        <v>713</v>
      </c>
      <c r="G242" s="39" t="s">
        <v>688</v>
      </c>
      <c r="H242" s="1">
        <v>2</v>
      </c>
      <c r="I242" s="1">
        <v>0</v>
      </c>
      <c r="J242" s="39" t="s">
        <v>692</v>
      </c>
      <c r="K242" s="1">
        <v>0</v>
      </c>
      <c r="L242" s="1">
        <v>2</v>
      </c>
      <c r="S242" s="1" t="str">
        <f>IF(tblDados[[#This Row],[Mandante]]="","",TEXT(tblDados[[#This Row],[Data]],"aaaa-mm-dd")&amp;"|"&amp;TRIM(tblDados[[#This Row],[Mandante]])&amp;"|"&amp;TRIM(tblDados[[#This Row],[Visitante]]))</f>
        <v>2026-07-25|IR Reykjavik|Fylkir</v>
      </c>
      <c r="T242">
        <f>IF($G242="",0,IF(COUNTIF($S$2:$S242,$S242)=1,1,0))</f>
        <v>1</v>
      </c>
      <c r="U242" s="19" t="str" cm="1">
        <f t="array" ref="U2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2" s="19" t="str" cm="1">
        <f t="array" ref="V2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3" spans="1:22" ht="14.25" customHeight="1" x14ac:dyDescent="0.3">
      <c r="A243" s="1" t="s">
        <v>715</v>
      </c>
      <c r="B243" s="5">
        <v>46159</v>
      </c>
      <c r="C243" s="6">
        <v>0.45833333333333331</v>
      </c>
      <c r="D243" s="1" t="s">
        <v>24</v>
      </c>
      <c r="E243" s="1" t="s">
        <v>4335</v>
      </c>
      <c r="F243" s="1" t="s">
        <v>716</v>
      </c>
      <c r="G243" s="39" t="s">
        <v>96</v>
      </c>
      <c r="H243" s="1">
        <v>1</v>
      </c>
      <c r="I243" s="1">
        <v>2</v>
      </c>
      <c r="J243" s="39" t="s">
        <v>699</v>
      </c>
      <c r="K243" s="1">
        <v>2</v>
      </c>
      <c r="L243" s="1">
        <v>1</v>
      </c>
      <c r="S243" s="1" t="str">
        <f>IF(tblDados[[#This Row],[Mandante]]="","",TEXT(tblDados[[#This Row],[Data]],"aaaa-mm-dd")&amp;"|"&amp;TRIM(tblDados[[#This Row],[Mandante]])&amp;"|"&amp;TRIM(tblDados[[#This Row],[Visitante]]))</f>
        <v>2026-05-17|Aegir|Vestri</v>
      </c>
      <c r="T243" s="1">
        <f>IF($G243="",0,IF(COUNTIF($S$2:$S243,$S243)=1,1,0))</f>
        <v>1</v>
      </c>
      <c r="U243" s="19" t="str" cm="1">
        <f t="array" ref="U2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3" s="19" t="str" cm="1">
        <f t="array" ref="V2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4" spans="1:22" ht="14.25" customHeight="1" x14ac:dyDescent="0.3">
      <c r="A244" s="1" t="s">
        <v>717</v>
      </c>
      <c r="B244" s="5">
        <v>46165</v>
      </c>
      <c r="C244" s="6">
        <v>0.45833333333333331</v>
      </c>
      <c r="D244" s="1" t="s">
        <v>24</v>
      </c>
      <c r="E244" s="1" t="s">
        <v>4335</v>
      </c>
      <c r="F244" s="1" t="s">
        <v>718</v>
      </c>
      <c r="G244" s="39" t="s">
        <v>97</v>
      </c>
      <c r="H244" s="1">
        <v>0</v>
      </c>
      <c r="I244" s="1">
        <v>0</v>
      </c>
      <c r="J244" s="39" t="s">
        <v>96</v>
      </c>
      <c r="K244" s="1">
        <v>0</v>
      </c>
      <c r="L244" s="1">
        <v>0</v>
      </c>
      <c r="S244" s="1" t="str">
        <f>IF(tblDados[[#This Row],[Mandante]]="","",TEXT(tblDados[[#This Row],[Data]],"aaaa-mm-dd")&amp;"|"&amp;TRIM(tblDados[[#This Row],[Mandante]])&amp;"|"&amp;TRIM(tblDados[[#This Row],[Visitante]]))</f>
        <v>2026-05-23|Njardvik|Aegir</v>
      </c>
      <c r="T244" s="1">
        <f>IF($G244="",0,IF(COUNTIF($S$2:$S244,$S244)=1,1,0))</f>
        <v>1</v>
      </c>
      <c r="U244" s="19" t="str" cm="1">
        <f t="array" ref="U2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4" s="19" t="str" cm="1">
        <f t="array" ref="V2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5" spans="1:22" ht="14.25" customHeight="1" x14ac:dyDescent="0.3">
      <c r="A245" s="1" t="s">
        <v>719</v>
      </c>
      <c r="B245" s="5">
        <v>46173</v>
      </c>
      <c r="C245" s="6">
        <v>0.45833333333333331</v>
      </c>
      <c r="D245" s="1" t="s">
        <v>24</v>
      </c>
      <c r="E245" s="1" t="s">
        <v>4335</v>
      </c>
      <c r="F245" s="1" t="s">
        <v>720</v>
      </c>
      <c r="G245" s="39" t="s">
        <v>721</v>
      </c>
      <c r="H245" s="1">
        <v>2</v>
      </c>
      <c r="I245" s="1">
        <v>3</v>
      </c>
      <c r="J245" s="39" t="s">
        <v>96</v>
      </c>
      <c r="K245" s="1">
        <v>3</v>
      </c>
      <c r="L245" s="1">
        <v>2</v>
      </c>
      <c r="S245" s="1" t="str">
        <f>IF(tblDados[[#This Row],[Mandante]]="","",TEXT(tblDados[[#This Row],[Data]],"aaaa-mm-dd")&amp;"|"&amp;TRIM(tblDados[[#This Row],[Mandante]])&amp;"|"&amp;TRIM(tblDados[[#This Row],[Visitante]]))</f>
        <v>2026-05-31|Volsungur|Aegir</v>
      </c>
      <c r="T245" s="1">
        <f>IF($G245="",0,IF(COUNTIF($S$2:$S245,$S245)=1,1,0))</f>
        <v>1</v>
      </c>
      <c r="U245" s="19" t="str" cm="1">
        <f t="array" ref="U2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5" s="19" t="str" cm="1">
        <f t="array" ref="V2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6" spans="1:22" ht="14.25" customHeight="1" x14ac:dyDescent="0.3">
      <c r="A246" s="1" t="s">
        <v>722</v>
      </c>
      <c r="B246" s="5">
        <v>46178</v>
      </c>
      <c r="C246" s="6">
        <v>0.67708333333333337</v>
      </c>
      <c r="D246" s="1" t="s">
        <v>24</v>
      </c>
      <c r="E246" s="1" t="s">
        <v>4335</v>
      </c>
      <c r="F246" s="1" t="s">
        <v>723</v>
      </c>
      <c r="G246" s="39" t="s">
        <v>96</v>
      </c>
      <c r="H246" s="1">
        <v>0</v>
      </c>
      <c r="I246" s="1">
        <v>3</v>
      </c>
      <c r="J246" s="39" t="s">
        <v>705</v>
      </c>
      <c r="K246" s="1">
        <v>3</v>
      </c>
      <c r="L246" s="1">
        <v>0</v>
      </c>
      <c r="S246" s="1" t="str">
        <f>IF(tblDados[[#This Row],[Mandante]]="","",TEXT(tblDados[[#This Row],[Data]],"aaaa-mm-dd")&amp;"|"&amp;TRIM(tblDados[[#This Row],[Mandante]])&amp;"|"&amp;TRIM(tblDados[[#This Row],[Visitante]]))</f>
        <v>2026-06-05|Aegir|Leiknir</v>
      </c>
      <c r="T246" s="1">
        <f>IF($G246="",0,IF(COUNTIF($S$2:$S246,$S246)=1,1,0))</f>
        <v>1</v>
      </c>
      <c r="U246" s="19" t="str" cm="1">
        <f t="array" ref="U2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6" s="19" t="str" cm="1">
        <f t="array" ref="V2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7" spans="1:22" ht="14.25" customHeight="1" x14ac:dyDescent="0.3">
      <c r="A247" s="1" t="s">
        <v>724</v>
      </c>
      <c r="B247" s="5">
        <v>46190</v>
      </c>
      <c r="C247" s="6">
        <v>0.67708333333333337</v>
      </c>
      <c r="D247" s="1" t="s">
        <v>24</v>
      </c>
      <c r="E247" s="1" t="s">
        <v>4335</v>
      </c>
      <c r="F247" s="1" t="s">
        <v>725</v>
      </c>
      <c r="G247" s="39" t="s">
        <v>699</v>
      </c>
      <c r="H247" s="1">
        <v>3</v>
      </c>
      <c r="I247" s="1">
        <v>2</v>
      </c>
      <c r="J247" s="39" t="s">
        <v>96</v>
      </c>
      <c r="K247" s="1">
        <v>2</v>
      </c>
      <c r="L247" s="1">
        <v>3</v>
      </c>
      <c r="S247" s="1" t="str">
        <f>IF(tblDados[[#This Row],[Mandante]]="","",TEXT(tblDados[[#This Row],[Data]],"aaaa-mm-dd")&amp;"|"&amp;TRIM(tblDados[[#This Row],[Mandante]])&amp;"|"&amp;TRIM(tblDados[[#This Row],[Visitante]]))</f>
        <v>2026-06-17|Vestri|Aegir</v>
      </c>
      <c r="T247" s="1">
        <f>IF($G247="",0,IF(COUNTIF($S$2:$S247,$S247)=1,1,0))</f>
        <v>1</v>
      </c>
      <c r="U247" s="19" t="str" cm="1">
        <f t="array" ref="U2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7" s="19" t="str" cm="1">
        <f t="array" ref="V2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8" spans="1:22" ht="14.25" customHeight="1" x14ac:dyDescent="0.3">
      <c r="A248" s="1" t="s">
        <v>726</v>
      </c>
      <c r="B248" s="5">
        <v>46194</v>
      </c>
      <c r="C248" s="6">
        <v>0.67708333333333337</v>
      </c>
      <c r="D248" s="1" t="s">
        <v>24</v>
      </c>
      <c r="E248" s="1" t="s">
        <v>4335</v>
      </c>
      <c r="F248" s="1" t="s">
        <v>4342</v>
      </c>
      <c r="G248" s="39" t="s">
        <v>96</v>
      </c>
      <c r="H248" s="1">
        <v>1</v>
      </c>
      <c r="I248" s="1">
        <v>3</v>
      </c>
      <c r="J248" s="39" t="s">
        <v>4339</v>
      </c>
      <c r="K248" s="1">
        <v>3</v>
      </c>
      <c r="L248" s="1">
        <v>1</v>
      </c>
      <c r="S248" s="1" t="str">
        <f>IF(tblDados[[#This Row],[Mandante]]="","",TEXT(tblDados[[#This Row],[Data]],"aaaa-mm-dd")&amp;"|"&amp;TRIM(tblDados[[#This Row],[Mandante]])&amp;"|"&amp;TRIM(tblDados[[#This Row],[Visitante]]))</f>
        <v>2026-06-21|Aegir|Throttur (Þróttur)</v>
      </c>
      <c r="T248" s="1">
        <f>IF($G248="",0,IF(COUNTIF($S$2:$S248,$S248)=1,1,0))</f>
        <v>1</v>
      </c>
      <c r="U248" s="19" t="str" cm="1">
        <f t="array" ref="U2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8" s="19" t="str" cm="1">
        <f t="array" ref="V2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9" spans="1:22" ht="14.25" customHeight="1" x14ac:dyDescent="0.3">
      <c r="A249" s="1" t="s">
        <v>727</v>
      </c>
      <c r="B249" s="5">
        <v>46199</v>
      </c>
      <c r="C249" s="6">
        <v>0.67708333333333337</v>
      </c>
      <c r="D249" s="1" t="s">
        <v>24</v>
      </c>
      <c r="E249" s="1" t="s">
        <v>4335</v>
      </c>
      <c r="F249" s="1" t="s">
        <v>728</v>
      </c>
      <c r="G249" s="39" t="s">
        <v>132</v>
      </c>
      <c r="H249" s="1">
        <v>0</v>
      </c>
      <c r="I249" s="1">
        <v>0</v>
      </c>
      <c r="J249" s="39" t="s">
        <v>96</v>
      </c>
      <c r="K249" s="1">
        <v>0</v>
      </c>
      <c r="L249" s="1">
        <v>0</v>
      </c>
      <c r="S249" s="1" t="str">
        <f>IF(tblDados[[#This Row],[Mandante]]="","",TEXT(tblDados[[#This Row],[Data]],"aaaa-mm-dd")&amp;"|"&amp;TRIM(tblDados[[#This Row],[Mandante]])&amp;"|"&amp;TRIM(tblDados[[#This Row],[Visitante]]))</f>
        <v>2026-06-26|Grindavik|Aegir</v>
      </c>
      <c r="T249" s="1">
        <f>IF($G249="",0,IF(COUNTIF($S$2:$S249,$S249)=1,1,0))</f>
        <v>1</v>
      </c>
      <c r="U249" s="19" t="str" cm="1">
        <f t="array" ref="U2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9" s="19" t="str" cm="1">
        <f t="array" ref="V2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0" spans="1:22" ht="14.25" customHeight="1" x14ac:dyDescent="0.3">
      <c r="A250" s="1" t="s">
        <v>729</v>
      </c>
      <c r="B250" s="5">
        <v>46202</v>
      </c>
      <c r="C250" s="6">
        <v>0.67708333333333337</v>
      </c>
      <c r="D250" s="1" t="s">
        <v>24</v>
      </c>
      <c r="E250" s="1" t="s">
        <v>4335</v>
      </c>
      <c r="F250" s="1" t="s">
        <v>730</v>
      </c>
      <c r="G250" s="39" t="s">
        <v>126</v>
      </c>
      <c r="H250" s="1">
        <v>8</v>
      </c>
      <c r="I250" s="1">
        <v>1</v>
      </c>
      <c r="J250" s="39" t="s">
        <v>96</v>
      </c>
      <c r="K250" s="1">
        <v>1</v>
      </c>
      <c r="L250" s="1">
        <v>8</v>
      </c>
      <c r="S250" s="1" t="str">
        <f>IF(tblDados[[#This Row],[Mandante]]="","",TEXT(tblDados[[#This Row],[Data]],"aaaa-mm-dd")&amp;"|"&amp;TRIM(tblDados[[#This Row],[Mandante]])&amp;"|"&amp;TRIM(tblDados[[#This Row],[Visitante]]))</f>
        <v>2026-06-29|Afturelding|Aegir</v>
      </c>
      <c r="T250" s="1">
        <f>IF($G250="",0,IF(COUNTIF($S$2:$S250,$S250)=1,1,0))</f>
        <v>1</v>
      </c>
      <c r="U250" s="19" t="str" cm="1">
        <f t="array" ref="U2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0" s="19" t="str" cm="1">
        <f t="array" ref="V2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1" spans="1:22" ht="14.25" customHeight="1" x14ac:dyDescent="0.3">
      <c r="A251" s="1" t="s">
        <v>731</v>
      </c>
      <c r="B251" s="5">
        <v>46206</v>
      </c>
      <c r="C251" s="6">
        <v>0.67708333333333337</v>
      </c>
      <c r="D251" s="1" t="s">
        <v>24</v>
      </c>
      <c r="E251" s="1" t="s">
        <v>4335</v>
      </c>
      <c r="F251" s="1" t="s">
        <v>732</v>
      </c>
      <c r="G251" s="39" t="s">
        <v>96</v>
      </c>
      <c r="H251" s="1">
        <v>2</v>
      </c>
      <c r="I251" s="1">
        <v>4</v>
      </c>
      <c r="J251" s="39" t="s">
        <v>692</v>
      </c>
      <c r="K251" s="1">
        <v>4</v>
      </c>
      <c r="L251" s="1">
        <v>2</v>
      </c>
      <c r="S251" s="1" t="str">
        <f>IF(tblDados[[#This Row],[Mandante]]="","",TEXT(tblDados[[#This Row],[Data]],"aaaa-mm-dd")&amp;"|"&amp;TRIM(tblDados[[#This Row],[Mandante]])&amp;"|"&amp;TRIM(tblDados[[#This Row],[Visitante]]))</f>
        <v>2026-07-03|Aegir|Fylkir</v>
      </c>
      <c r="T251" s="1">
        <f>IF($G251="",0,IF(COUNTIF($S$2:$S251,$S251)=1,1,0))</f>
        <v>1</v>
      </c>
      <c r="U251" s="19" t="str" cm="1">
        <f t="array" ref="U2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1" s="19" t="str" cm="1">
        <f t="array" ref="V2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2" spans="1:22" ht="14.25" customHeight="1" x14ac:dyDescent="0.3">
      <c r="A252" s="1" t="s">
        <v>733</v>
      </c>
      <c r="B252" s="5">
        <v>46213</v>
      </c>
      <c r="C252" s="6">
        <v>0.67708333333333337</v>
      </c>
      <c r="D252" s="1" t="s">
        <v>24</v>
      </c>
      <c r="E252" s="1" t="s">
        <v>4335</v>
      </c>
      <c r="F252" s="1" t="s">
        <v>734</v>
      </c>
      <c r="G252" s="39" t="s">
        <v>96</v>
      </c>
      <c r="H252" s="1">
        <v>3</v>
      </c>
      <c r="I252" s="1">
        <v>4</v>
      </c>
      <c r="J252" s="39" t="s">
        <v>695</v>
      </c>
      <c r="K252" s="1">
        <v>4</v>
      </c>
      <c r="L252" s="1">
        <v>3</v>
      </c>
      <c r="S252" s="1" t="str">
        <f>IF(tblDados[[#This Row],[Mandante]]="","",TEXT(tblDados[[#This Row],[Data]],"aaaa-mm-dd")&amp;"|"&amp;TRIM(tblDados[[#This Row],[Mandante]])&amp;"|"&amp;TRIM(tblDados[[#This Row],[Visitante]]))</f>
        <v>2026-07-10|Aegir|Kopavogur</v>
      </c>
      <c r="T252" s="1">
        <f>IF($G252="",0,IF(COUNTIF($S$2:$S252,$S252)=1,1,0))</f>
        <v>1</v>
      </c>
      <c r="U252" s="19" t="str" cm="1">
        <f t="array" ref="U2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2" s="19" t="str" cm="1">
        <f t="array" ref="V2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3" spans="1:22" ht="14.25" customHeight="1" x14ac:dyDescent="0.3">
      <c r="A253" s="1" t="s">
        <v>735</v>
      </c>
      <c r="B253" s="5">
        <v>46221</v>
      </c>
      <c r="C253" s="6">
        <v>0.45833333333333331</v>
      </c>
      <c r="D253" s="1" t="s">
        <v>24</v>
      </c>
      <c r="E253" s="1" t="s">
        <v>4335</v>
      </c>
      <c r="F253" s="1" t="s">
        <v>736</v>
      </c>
      <c r="G253" s="39" t="s">
        <v>737</v>
      </c>
      <c r="H253" s="1">
        <v>6</v>
      </c>
      <c r="I253" s="1">
        <v>1</v>
      </c>
      <c r="J253" s="39" t="s">
        <v>96</v>
      </c>
      <c r="K253" s="1">
        <v>1</v>
      </c>
      <c r="L253" s="1">
        <v>6</v>
      </c>
      <c r="S253" s="1" t="str">
        <f>IF(tblDados[[#This Row],[Mandante]]="","",TEXT(tblDados[[#This Row],[Data]],"aaaa-mm-dd")&amp;"|"&amp;TRIM(tblDados[[#This Row],[Mandante]])&amp;"|"&amp;TRIM(tblDados[[#This Row],[Visitante]]))</f>
        <v>2026-07-18|Grotta|Aegir</v>
      </c>
      <c r="T253">
        <f>IF($G253="",0,IF(COUNTIF($S$2:$S253,$S253)=1,1,0))</f>
        <v>1</v>
      </c>
      <c r="U253" s="19" t="str" cm="1">
        <f t="array" ref="U2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3" s="19" t="str" cm="1">
        <f t="array" ref="V2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4" spans="1:22" ht="14.25" customHeight="1" x14ac:dyDescent="0.3">
      <c r="A254" s="1" t="s">
        <v>746</v>
      </c>
      <c r="B254" s="5">
        <v>46136</v>
      </c>
      <c r="C254" s="6">
        <v>0.52083333333333337</v>
      </c>
      <c r="D254" s="1" t="s">
        <v>18</v>
      </c>
      <c r="E254" s="1" t="s">
        <v>21</v>
      </c>
      <c r="F254" s="1" t="s">
        <v>747</v>
      </c>
      <c r="G254" s="39" t="s">
        <v>748</v>
      </c>
      <c r="H254" s="1">
        <v>2</v>
      </c>
      <c r="I254" s="1">
        <v>3</v>
      </c>
      <c r="J254" s="39" t="s">
        <v>749</v>
      </c>
      <c r="K254" s="1">
        <v>3</v>
      </c>
      <c r="L254" s="1">
        <v>2</v>
      </c>
      <c r="S254" s="1" t="str">
        <f>IF(tblDados[[#This Row],[Mandante]]="","",TEXT(tblDados[[#This Row],[Data]],"aaaa-mm-dd")&amp;"|"&amp;TRIM(tblDados[[#This Row],[Mandante]])&amp;"|"&amp;TRIM(tblDados[[#This Row],[Visitante]]))</f>
        <v>2026-04-24|SalPa|Inter Turku 2</v>
      </c>
      <c r="T254">
        <f>IF($G254="",0,IF(COUNTIF($S$2:$S254,$S254)=1,1,0))</f>
        <v>1</v>
      </c>
      <c r="U254" s="19" t="str" cm="1">
        <f t="array" ref="U2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4" s="19" t="str" cm="1">
        <f t="array" ref="V2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5" spans="1:22" ht="14.25" customHeight="1" x14ac:dyDescent="0.3">
      <c r="A255" s="1" t="s">
        <v>750</v>
      </c>
      <c r="B255" s="5">
        <v>46144</v>
      </c>
      <c r="C255" s="6">
        <v>0.41666666666666669</v>
      </c>
      <c r="D255" s="1" t="s">
        <v>18</v>
      </c>
      <c r="E255" s="1" t="s">
        <v>21</v>
      </c>
      <c r="F255" s="1" t="s">
        <v>751</v>
      </c>
      <c r="G255" s="39" t="s">
        <v>749</v>
      </c>
      <c r="H255" s="1">
        <v>0</v>
      </c>
      <c r="I255" s="1">
        <v>2</v>
      </c>
      <c r="J255" s="39" t="s">
        <v>752</v>
      </c>
      <c r="K255" s="1">
        <v>2</v>
      </c>
      <c r="L255" s="1">
        <v>0</v>
      </c>
      <c r="S255" s="1" t="str">
        <f>IF(tblDados[[#This Row],[Mandante]]="","",TEXT(tblDados[[#This Row],[Data]],"aaaa-mm-dd")&amp;"|"&amp;TRIM(tblDados[[#This Row],[Mandante]])&amp;"|"&amp;TRIM(tblDados[[#This Row],[Visitante]]))</f>
        <v>2026-05-02|Inter Turku 2|Tampere Utd</v>
      </c>
      <c r="T255" s="1">
        <f>IF($G255="",0,IF(COUNTIF($S$2:$S255,$S255)=1,1,0))</f>
        <v>1</v>
      </c>
      <c r="U255" s="19" t="str" cm="1">
        <f t="array" ref="U2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5" s="19" t="str" cm="1">
        <f t="array" ref="V2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6" spans="1:22" ht="14.25" customHeight="1" x14ac:dyDescent="0.3">
      <c r="A256" s="1" t="s">
        <v>753</v>
      </c>
      <c r="B256" s="5">
        <v>46151</v>
      </c>
      <c r="C256" s="6">
        <v>0.52083333333333337</v>
      </c>
      <c r="D256" s="1" t="s">
        <v>18</v>
      </c>
      <c r="E256" s="1" t="s">
        <v>21</v>
      </c>
      <c r="F256" s="1" t="s">
        <v>754</v>
      </c>
      <c r="G256" s="39" t="s">
        <v>755</v>
      </c>
      <c r="H256" s="1">
        <v>3</v>
      </c>
      <c r="I256" s="1">
        <v>2</v>
      </c>
      <c r="J256" s="39" t="s">
        <v>749</v>
      </c>
      <c r="K256" s="1">
        <v>2</v>
      </c>
      <c r="L256" s="1">
        <v>3</v>
      </c>
      <c r="S256" s="1" t="str">
        <f>IF(tblDados[[#This Row],[Mandante]]="","",TEXT(tblDados[[#This Row],[Data]],"aaaa-mm-dd")&amp;"|"&amp;TRIM(tblDados[[#This Row],[Mandante]])&amp;"|"&amp;TRIM(tblDados[[#This Row],[Visitante]]))</f>
        <v>2026-05-09|VJS|Inter Turku 2</v>
      </c>
      <c r="T256" s="1">
        <f>IF($G256="",0,IF(COUNTIF($S$2:$S256,$S256)=1,1,0))</f>
        <v>1</v>
      </c>
      <c r="U256" s="19" t="str" cm="1">
        <f t="array" ref="U2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6" s="19" t="str" cm="1">
        <f t="array" ref="V2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7" spans="1:22" ht="14.25" customHeight="1" x14ac:dyDescent="0.3">
      <c r="A257" s="1" t="s">
        <v>756</v>
      </c>
      <c r="B257" s="5">
        <v>46159</v>
      </c>
      <c r="C257" s="6">
        <v>0.52083333333333337</v>
      </c>
      <c r="D257" s="1" t="s">
        <v>18</v>
      </c>
      <c r="E257" s="1" t="s">
        <v>21</v>
      </c>
      <c r="F257" s="1" t="s">
        <v>757</v>
      </c>
      <c r="G257" s="39" t="s">
        <v>749</v>
      </c>
      <c r="H257" s="1">
        <v>4</v>
      </c>
      <c r="I257" s="1">
        <v>2</v>
      </c>
      <c r="J257" s="39" t="s">
        <v>163</v>
      </c>
      <c r="K257" s="1">
        <v>2</v>
      </c>
      <c r="L257" s="1">
        <v>4</v>
      </c>
      <c r="S257" s="1" t="str">
        <f>IF(tblDados[[#This Row],[Mandante]]="","",TEXT(tblDados[[#This Row],[Data]],"aaaa-mm-dd")&amp;"|"&amp;TRIM(tblDados[[#This Row],[Mandante]])&amp;"|"&amp;TRIM(tblDados[[#This Row],[Visitante]]))</f>
        <v>2026-05-17|Inter Turku 2|KuPS Akatemia</v>
      </c>
      <c r="T257" s="1">
        <f>IF($G257="",0,IF(COUNTIF($S$2:$S257,$S257)=1,1,0))</f>
        <v>1</v>
      </c>
      <c r="U257" s="19" t="str" cm="1">
        <f t="array" ref="U2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7" s="19" t="str" cm="1">
        <f t="array" ref="V2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8" spans="1:22" ht="14.25" customHeight="1" x14ac:dyDescent="0.3">
      <c r="A258" s="1" t="s">
        <v>758</v>
      </c>
      <c r="B258" s="5">
        <v>46166</v>
      </c>
      <c r="C258" s="6">
        <v>0.41666666666666669</v>
      </c>
      <c r="D258" s="1" t="s">
        <v>18</v>
      </c>
      <c r="E258" s="1" t="s">
        <v>21</v>
      </c>
      <c r="F258" s="1" t="s">
        <v>759</v>
      </c>
      <c r="G258" s="39" t="s">
        <v>749</v>
      </c>
      <c r="H258" s="1">
        <v>2</v>
      </c>
      <c r="I258" s="1">
        <v>1</v>
      </c>
      <c r="J258" s="39" t="s">
        <v>760</v>
      </c>
      <c r="K258" s="1">
        <v>1</v>
      </c>
      <c r="L258" s="1">
        <v>2</v>
      </c>
      <c r="S258" s="1" t="str">
        <f>IF(tblDados[[#This Row],[Mandante]]="","",TEXT(tblDados[[#This Row],[Data]],"aaaa-mm-dd")&amp;"|"&amp;TRIM(tblDados[[#This Row],[Mandante]])&amp;"|"&amp;TRIM(tblDados[[#This Row],[Visitante]]))</f>
        <v>2026-05-24|Inter Turku 2|Keski-Uusimaa</v>
      </c>
      <c r="T258" s="1">
        <f>IF($G258="",0,IF(COUNTIF($S$2:$S258,$S258)=1,1,0))</f>
        <v>1</v>
      </c>
      <c r="U258" s="19" t="str" cm="1">
        <f t="array" ref="U2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8" s="19" t="str" cm="1">
        <f t="array" ref="V2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9" spans="1:22" ht="14.25" customHeight="1" x14ac:dyDescent="0.3">
      <c r="A259" s="1" t="s">
        <v>761</v>
      </c>
      <c r="B259" s="5">
        <v>46171</v>
      </c>
      <c r="C259" s="6">
        <v>0.52083333333333337</v>
      </c>
      <c r="D259" s="1" t="s">
        <v>18</v>
      </c>
      <c r="E259" s="1" t="s">
        <v>21</v>
      </c>
      <c r="F259" s="1" t="s">
        <v>762</v>
      </c>
      <c r="G259" s="39" t="s">
        <v>763</v>
      </c>
      <c r="H259" s="1">
        <v>4</v>
      </c>
      <c r="I259" s="1">
        <v>2</v>
      </c>
      <c r="J259" s="39" t="s">
        <v>749</v>
      </c>
      <c r="K259" s="1">
        <v>2</v>
      </c>
      <c r="L259" s="1">
        <v>4</v>
      </c>
      <c r="S259" s="1" t="str">
        <f>IF(tblDados[[#This Row],[Mandante]]="","",TEXT(tblDados[[#This Row],[Data]],"aaaa-mm-dd")&amp;"|"&amp;TRIM(tblDados[[#This Row],[Mandante]])&amp;"|"&amp;TRIM(tblDados[[#This Row],[Visitante]]))</f>
        <v>2026-05-29|KPV|Inter Turku 2</v>
      </c>
      <c r="T259" s="1">
        <f>IF($G259="",0,IF(COUNTIF($S$2:$S259,$S259)=1,1,0))</f>
        <v>1</v>
      </c>
      <c r="U259" s="19" t="str" cm="1">
        <f t="array" ref="U2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9" s="19" t="str" cm="1">
        <f t="array" ref="V2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0" spans="1:22" x14ac:dyDescent="0.3">
      <c r="A260" s="1" t="s">
        <v>764</v>
      </c>
      <c r="B260" s="5">
        <v>46179</v>
      </c>
      <c r="C260" s="6">
        <v>0.52083333333333337</v>
      </c>
      <c r="D260" s="1" t="s">
        <v>18</v>
      </c>
      <c r="E260" s="1" t="s">
        <v>21</v>
      </c>
      <c r="F260" s="1" t="s">
        <v>765</v>
      </c>
      <c r="G260" s="39" t="s">
        <v>766</v>
      </c>
      <c r="H260" s="1">
        <v>1</v>
      </c>
      <c r="I260" s="1">
        <v>1</v>
      </c>
      <c r="J260" s="39" t="s">
        <v>749</v>
      </c>
      <c r="K260" s="1">
        <v>1</v>
      </c>
      <c r="L260" s="1">
        <v>1</v>
      </c>
      <c r="S260" s="1" t="str">
        <f>IF(tblDados[[#This Row],[Mandante]]="","",TEXT(tblDados[[#This Row],[Data]],"aaaa-mm-dd")&amp;"|"&amp;TRIM(tblDados[[#This Row],[Mandante]])&amp;"|"&amp;TRIM(tblDados[[#This Row],[Visitante]]))</f>
        <v>2026-06-06|TPV|Inter Turku 2</v>
      </c>
      <c r="T260" s="1">
        <f>IF($G260="",0,IF(COUNTIF($S$2:$S260,$S260)=1,1,0))</f>
        <v>1</v>
      </c>
      <c r="U260" s="19" t="str" cm="1">
        <f t="array" ref="U2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0" s="19" t="str" cm="1">
        <f t="array" ref="V2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1" spans="1:22" x14ac:dyDescent="0.3">
      <c r="A261" s="1" t="s">
        <v>767</v>
      </c>
      <c r="B261" s="5">
        <v>46185</v>
      </c>
      <c r="C261" s="6">
        <v>0.54166666666666663</v>
      </c>
      <c r="D261" s="1" t="s">
        <v>18</v>
      </c>
      <c r="E261" s="1" t="s">
        <v>21</v>
      </c>
      <c r="F261" s="1" t="s">
        <v>768</v>
      </c>
      <c r="G261" s="39" t="s">
        <v>749</v>
      </c>
      <c r="H261" s="1">
        <v>1</v>
      </c>
      <c r="I261" s="1">
        <v>1</v>
      </c>
      <c r="J261" s="39" t="s">
        <v>769</v>
      </c>
      <c r="K261" s="1">
        <v>1</v>
      </c>
      <c r="L261" s="1">
        <v>1</v>
      </c>
      <c r="S261" s="1" t="str">
        <f>IF(tblDados[[#This Row],[Mandante]]="","",TEXT(tblDados[[#This Row],[Data]],"aaaa-mm-dd")&amp;"|"&amp;TRIM(tblDados[[#This Row],[Mandante]])&amp;"|"&amp;TRIM(tblDados[[#This Row],[Visitante]]))</f>
        <v>2026-06-12|Inter Turku 2|Jazz Pori</v>
      </c>
      <c r="T261" s="1">
        <f>IF($G261="",0,IF(COUNTIF($S$2:$S261,$S261)=1,1,0))</f>
        <v>1</v>
      </c>
      <c r="U261" s="19" t="str" cm="1">
        <f t="array" ref="U2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1" s="19" t="str" cm="1">
        <f t="array" ref="V2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2" spans="1:22" x14ac:dyDescent="0.3">
      <c r="A262" s="1" t="s">
        <v>770</v>
      </c>
      <c r="B262" s="5">
        <v>46198</v>
      </c>
      <c r="C262" s="6">
        <v>0.52083333333333337</v>
      </c>
      <c r="D262" s="1" t="s">
        <v>18</v>
      </c>
      <c r="E262" s="1" t="s">
        <v>21</v>
      </c>
      <c r="F262" s="1" t="s">
        <v>771</v>
      </c>
      <c r="G262" s="39" t="s">
        <v>772</v>
      </c>
      <c r="H262" s="1">
        <v>11</v>
      </c>
      <c r="I262" s="1">
        <v>1</v>
      </c>
      <c r="J262" s="39" t="s">
        <v>749</v>
      </c>
      <c r="K262" s="1">
        <v>1</v>
      </c>
      <c r="L262" s="1">
        <v>11</v>
      </c>
      <c r="S262" s="1" t="str">
        <f>IF(tblDados[[#This Row],[Mandante]]="","",TEXT(tblDados[[#This Row],[Data]],"aaaa-mm-dd")&amp;"|"&amp;TRIM(tblDados[[#This Row],[Mandante]])&amp;"|"&amp;TRIM(tblDados[[#This Row],[Visitante]]))</f>
        <v>2026-06-25|JJK Jyvaskyla|Inter Turku 2</v>
      </c>
      <c r="T262" s="1">
        <f>IF($G262="",0,IF(COUNTIF($S$2:$S262,$S262)=1,1,0))</f>
        <v>1</v>
      </c>
      <c r="U262" s="19" t="str" cm="1">
        <f t="array" ref="U2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2" s="19" t="str" cm="1">
        <f t="array" ref="V2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3" spans="1:22" x14ac:dyDescent="0.3">
      <c r="A263" s="1" t="s">
        <v>773</v>
      </c>
      <c r="B263" s="5">
        <v>46207</v>
      </c>
      <c r="C263" s="6">
        <v>0.41666666666666669</v>
      </c>
      <c r="D263" s="1" t="s">
        <v>18</v>
      </c>
      <c r="E263" s="1" t="s">
        <v>21</v>
      </c>
      <c r="F263" s="1" t="s">
        <v>774</v>
      </c>
      <c r="G263" s="39" t="s">
        <v>775</v>
      </c>
      <c r="H263" s="1">
        <v>1</v>
      </c>
      <c r="I263" s="1">
        <v>3</v>
      </c>
      <c r="J263" s="39" t="s">
        <v>749</v>
      </c>
      <c r="K263" s="1">
        <v>3</v>
      </c>
      <c r="L263" s="1">
        <v>1</v>
      </c>
      <c r="S263" s="1" t="str">
        <f>IF(tblDados[[#This Row],[Mandante]]="","",TEXT(tblDados[[#This Row],[Data]],"aaaa-mm-dd")&amp;"|"&amp;TRIM(tblDados[[#This Row],[Mandante]])&amp;"|"&amp;TRIM(tblDados[[#This Row],[Visitante]]))</f>
        <v>2026-07-04|OLS Oulu|Inter Turku 2</v>
      </c>
      <c r="T263" s="1">
        <f>IF($G263="",0,IF(COUNTIF($S$2:$S263,$S263)=1,1,0))</f>
        <v>1</v>
      </c>
      <c r="U263" s="19" t="str" cm="1">
        <f t="array" ref="U2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3" s="19" t="str" cm="1">
        <f t="array" ref="V2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4" spans="1:22" x14ac:dyDescent="0.3">
      <c r="A264" s="1" t="s">
        <v>776</v>
      </c>
      <c r="B264" s="5">
        <v>46213</v>
      </c>
      <c r="C264" s="6">
        <v>0.52083333333333337</v>
      </c>
      <c r="D264" s="1" t="s">
        <v>18</v>
      </c>
      <c r="E264" s="1" t="s">
        <v>21</v>
      </c>
      <c r="F264" s="1" t="s">
        <v>2972</v>
      </c>
      <c r="G264" s="39" t="s">
        <v>749</v>
      </c>
      <c r="H264" s="1">
        <v>0</v>
      </c>
      <c r="I264" s="1">
        <v>2</v>
      </c>
      <c r="J264" s="39" t="s">
        <v>2971</v>
      </c>
      <c r="K264" s="1">
        <v>2</v>
      </c>
      <c r="L264" s="1">
        <v>0</v>
      </c>
      <c r="S264" s="1" t="str">
        <f>IF(tblDados[[#This Row],[Mandante]]="","",TEXT(tblDados[[#This Row],[Data]],"aaaa-mm-dd")&amp;"|"&amp;TRIM(tblDados[[#This Row],[Mandante]])&amp;"|"&amp;TRIM(tblDados[[#This Row],[Visitante]]))</f>
        <v>2026-07-10|Inter Turku 2|RoPS (Rovaniemi)</v>
      </c>
      <c r="T264" s="1">
        <f>IF($G264="",0,IF(COUNTIF($S$2:$S264,$S264)=1,1,0))</f>
        <v>1</v>
      </c>
      <c r="U264" s="19" t="str" cm="1">
        <f t="array" ref="U2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4" s="19" t="str" cm="1">
        <f t="array" ref="V2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5" spans="1:22" x14ac:dyDescent="0.3">
      <c r="A265" s="1" t="s">
        <v>777</v>
      </c>
      <c r="B265" s="5">
        <v>46221</v>
      </c>
      <c r="C265" s="6">
        <v>0.41666666666666669</v>
      </c>
      <c r="D265" s="1" t="s">
        <v>18</v>
      </c>
      <c r="E265" s="1" t="s">
        <v>21</v>
      </c>
      <c r="F265" s="1" t="s">
        <v>778</v>
      </c>
      <c r="G265" s="39" t="s">
        <v>749</v>
      </c>
      <c r="H265" s="1">
        <v>1</v>
      </c>
      <c r="I265" s="1">
        <v>2</v>
      </c>
      <c r="J265" s="39" t="s">
        <v>748</v>
      </c>
      <c r="K265" s="1">
        <v>2</v>
      </c>
      <c r="L265" s="1">
        <v>1</v>
      </c>
      <c r="S265" s="1" t="str">
        <f>IF(tblDados[[#This Row],[Mandante]]="","",TEXT(tblDados[[#This Row],[Data]],"aaaa-mm-dd")&amp;"|"&amp;TRIM(tblDados[[#This Row],[Mandante]])&amp;"|"&amp;TRIM(tblDados[[#This Row],[Visitante]]))</f>
        <v>2026-07-18|Inter Turku 2|SalPa</v>
      </c>
      <c r="T265" s="1">
        <f>IF($G265="",0,IF(COUNTIF($S$2:$S265,$S265)=1,1,0))</f>
        <v>1</v>
      </c>
      <c r="U265" s="19" t="str" cm="1">
        <f t="array" ref="U2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5" s="19" t="str" cm="1">
        <f t="array" ref="V2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6" spans="1:22" x14ac:dyDescent="0.3">
      <c r="A266" s="1" t="s">
        <v>779</v>
      </c>
      <c r="B266" s="5">
        <v>46227</v>
      </c>
      <c r="C266" s="6">
        <v>0.54166666666666663</v>
      </c>
      <c r="D266" s="1" t="s">
        <v>18</v>
      </c>
      <c r="E266" s="1" t="s">
        <v>21</v>
      </c>
      <c r="F266" s="1" t="s">
        <v>780</v>
      </c>
      <c r="G266" s="39" t="s">
        <v>752</v>
      </c>
      <c r="H266" s="1">
        <v>2</v>
      </c>
      <c r="I266" s="1">
        <v>2</v>
      </c>
      <c r="J266" s="39" t="s">
        <v>749</v>
      </c>
      <c r="K266" s="1">
        <v>2</v>
      </c>
      <c r="L266" s="1">
        <v>2</v>
      </c>
      <c r="S266" s="1" t="str">
        <f>IF(tblDados[[#This Row],[Mandante]]="","",TEXT(tblDados[[#This Row],[Data]],"aaaa-mm-dd")&amp;"|"&amp;TRIM(tblDados[[#This Row],[Mandante]])&amp;"|"&amp;TRIM(tblDados[[#This Row],[Visitante]]))</f>
        <v>2026-07-24|Tampere Utd|Inter Turku 2</v>
      </c>
      <c r="T266" s="1">
        <f>IF($G266="",0,IF(COUNTIF($S$2:$S266,$S266)=1,1,0))</f>
        <v>1</v>
      </c>
      <c r="U266" s="19" t="str" cm="1">
        <f t="array" ref="U2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6" s="19" t="str" cm="1">
        <f t="array" ref="V2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7" spans="1:22" x14ac:dyDescent="0.3">
      <c r="A267" s="1" t="s">
        <v>781</v>
      </c>
      <c r="B267" s="5">
        <v>46234</v>
      </c>
      <c r="C267" s="6">
        <v>0.52083333333333337</v>
      </c>
      <c r="D267" s="1" t="s">
        <v>18</v>
      </c>
      <c r="E267" s="1" t="s">
        <v>21</v>
      </c>
      <c r="F267" s="1" t="s">
        <v>782</v>
      </c>
      <c r="G267" s="39" t="s">
        <v>749</v>
      </c>
      <c r="H267" s="1">
        <v>1</v>
      </c>
      <c r="I267" s="1">
        <v>1</v>
      </c>
      <c r="J267" s="39" t="s">
        <v>755</v>
      </c>
      <c r="K267" s="1">
        <v>1</v>
      </c>
      <c r="L267" s="1">
        <v>1</v>
      </c>
      <c r="S267" s="1" t="str">
        <f>IF(tblDados[[#This Row],[Mandante]]="","",TEXT(tblDados[[#This Row],[Data]],"aaaa-mm-dd")&amp;"|"&amp;TRIM(tblDados[[#This Row],[Mandante]])&amp;"|"&amp;TRIM(tblDados[[#This Row],[Visitante]]))</f>
        <v>2026-07-31|Inter Turku 2|VJS</v>
      </c>
      <c r="T267" s="1">
        <f>IF($G267="",0,IF(COUNTIF($S$2:$S267,$S267)=1,1,0))</f>
        <v>1</v>
      </c>
      <c r="U267" s="19" t="str" cm="1">
        <f t="array" ref="U2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7" s="19" t="str" cm="1">
        <f t="array" ref="V2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8" spans="1:22" x14ac:dyDescent="0.3">
      <c r="A268" s="1" t="s">
        <v>784</v>
      </c>
      <c r="B268" s="5">
        <v>46166</v>
      </c>
      <c r="C268" s="6">
        <v>0.52083333333333337</v>
      </c>
      <c r="D268" s="1" t="s">
        <v>18</v>
      </c>
      <c r="E268" s="1" t="s">
        <v>21</v>
      </c>
      <c r="F268" s="1" t="s">
        <v>2973</v>
      </c>
      <c r="G268" s="39" t="s">
        <v>163</v>
      </c>
      <c r="H268" s="1">
        <v>0</v>
      </c>
      <c r="I268" s="1">
        <v>1</v>
      </c>
      <c r="J268" s="39" t="s">
        <v>2971</v>
      </c>
      <c r="K268" s="1">
        <v>1</v>
      </c>
      <c r="L268" s="1">
        <v>0</v>
      </c>
      <c r="S268" s="1" t="str">
        <f>IF(tblDados[[#This Row],[Mandante]]="","",TEXT(tblDados[[#This Row],[Data]],"aaaa-mm-dd")&amp;"|"&amp;TRIM(tblDados[[#This Row],[Mandante]])&amp;"|"&amp;TRIM(tblDados[[#This Row],[Visitante]]))</f>
        <v>2026-05-24|KuPS Akatemia|RoPS (Rovaniemi)</v>
      </c>
      <c r="T268" s="1">
        <f>IF($G268="",0,IF(COUNTIF($S$2:$S268,$S268)=1,1,0))</f>
        <v>1</v>
      </c>
      <c r="U268" s="19" t="str" cm="1">
        <f t="array" ref="U2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8" s="19" t="str" cm="1">
        <f t="array" ref="V2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9" spans="1:22" x14ac:dyDescent="0.3">
      <c r="A269" s="1" t="s">
        <v>785</v>
      </c>
      <c r="B269" s="5">
        <v>46171</v>
      </c>
      <c r="C269" s="6">
        <v>0.52083333333333337</v>
      </c>
      <c r="D269" s="1" t="s">
        <v>18</v>
      </c>
      <c r="E269" s="1" t="s">
        <v>21</v>
      </c>
      <c r="F269" s="1" t="s">
        <v>786</v>
      </c>
      <c r="G269" s="39" t="s">
        <v>760</v>
      </c>
      <c r="H269" s="1">
        <v>3</v>
      </c>
      <c r="I269" s="1">
        <v>0</v>
      </c>
      <c r="J269" s="39" t="s">
        <v>163</v>
      </c>
      <c r="K269" s="1">
        <v>0</v>
      </c>
      <c r="L269" s="1">
        <v>3</v>
      </c>
      <c r="S269" s="1" t="str">
        <f>IF(tblDados[[#This Row],[Mandante]]="","",TEXT(tblDados[[#This Row],[Data]],"aaaa-mm-dd")&amp;"|"&amp;TRIM(tblDados[[#This Row],[Mandante]])&amp;"|"&amp;TRIM(tblDados[[#This Row],[Visitante]]))</f>
        <v>2026-05-29|Keski-Uusimaa|KuPS Akatemia</v>
      </c>
      <c r="T269" s="1">
        <f>IF($G269="",0,IF(COUNTIF($S$2:$S269,$S269)=1,1,0))</f>
        <v>1</v>
      </c>
      <c r="U269" s="19" t="str" cm="1">
        <f t="array" ref="U2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9" s="19" t="str" cm="1">
        <f t="array" ref="V2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0" spans="1:22" x14ac:dyDescent="0.3">
      <c r="A270" s="1" t="s">
        <v>787</v>
      </c>
      <c r="B270" s="5">
        <v>46178</v>
      </c>
      <c r="C270" s="6">
        <v>0.54166666666666663</v>
      </c>
      <c r="D270" s="1" t="s">
        <v>18</v>
      </c>
      <c r="E270" s="1" t="s">
        <v>21</v>
      </c>
      <c r="F270" s="1" t="s">
        <v>788</v>
      </c>
      <c r="G270" s="39" t="s">
        <v>163</v>
      </c>
      <c r="H270" s="1">
        <v>4</v>
      </c>
      <c r="I270" s="1">
        <v>1</v>
      </c>
      <c r="J270" s="39" t="s">
        <v>763</v>
      </c>
      <c r="K270" s="1">
        <v>1</v>
      </c>
      <c r="L270" s="1">
        <v>4</v>
      </c>
      <c r="S270" s="1" t="str">
        <f>IF(tblDados[[#This Row],[Mandante]]="","",TEXT(tblDados[[#This Row],[Data]],"aaaa-mm-dd")&amp;"|"&amp;TRIM(tblDados[[#This Row],[Mandante]])&amp;"|"&amp;TRIM(tblDados[[#This Row],[Visitante]]))</f>
        <v>2026-06-05|KuPS Akatemia|KPV</v>
      </c>
      <c r="T270" s="1">
        <f>IF($G270="",0,IF(COUNTIF($S$2:$S270,$S270)=1,1,0))</f>
        <v>1</v>
      </c>
      <c r="U270" s="19" t="str" cm="1">
        <f t="array" ref="U2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0" s="19" t="str" cm="1">
        <f t="array" ref="V2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1" spans="1:22" x14ac:dyDescent="0.3">
      <c r="A271" s="1" t="s">
        <v>789</v>
      </c>
      <c r="B271" s="5">
        <v>46185</v>
      </c>
      <c r="C271" s="6">
        <v>0.54166666666666663</v>
      </c>
      <c r="D271" s="1" t="s">
        <v>18</v>
      </c>
      <c r="E271" s="1" t="s">
        <v>21</v>
      </c>
      <c r="F271" s="1" t="s">
        <v>790</v>
      </c>
      <c r="G271" s="39" t="s">
        <v>748</v>
      </c>
      <c r="H271" s="1">
        <v>4</v>
      </c>
      <c r="I271" s="1">
        <v>3</v>
      </c>
      <c r="J271" s="39" t="s">
        <v>163</v>
      </c>
      <c r="K271" s="1">
        <v>3</v>
      </c>
      <c r="L271" s="1">
        <v>4</v>
      </c>
      <c r="S271" s="1" t="str">
        <f>IF(tblDados[[#This Row],[Mandante]]="","",TEXT(tblDados[[#This Row],[Data]],"aaaa-mm-dd")&amp;"|"&amp;TRIM(tblDados[[#This Row],[Mandante]])&amp;"|"&amp;TRIM(tblDados[[#This Row],[Visitante]]))</f>
        <v>2026-06-12|SalPa|KuPS Akatemia</v>
      </c>
      <c r="T271" s="1">
        <f>IF($G271="",0,IF(COUNTIF($S$2:$S271,$S271)=1,1,0))</f>
        <v>1</v>
      </c>
      <c r="U271" s="19" t="str" cm="1">
        <f t="array" ref="U2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1" s="19" t="str" cm="1">
        <f t="array" ref="V2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2" spans="1:22" x14ac:dyDescent="0.3">
      <c r="A272" s="1" t="s">
        <v>791</v>
      </c>
      <c r="B272" s="5">
        <v>46201</v>
      </c>
      <c r="C272" s="6">
        <v>0.52083333333333337</v>
      </c>
      <c r="D272" s="1" t="s">
        <v>18</v>
      </c>
      <c r="E272" s="1" t="s">
        <v>21</v>
      </c>
      <c r="F272" s="1" t="s">
        <v>792</v>
      </c>
      <c r="G272" s="39" t="s">
        <v>775</v>
      </c>
      <c r="H272" s="1">
        <v>2</v>
      </c>
      <c r="I272" s="1">
        <v>2</v>
      </c>
      <c r="J272" s="39" t="s">
        <v>163</v>
      </c>
      <c r="K272" s="1">
        <v>2</v>
      </c>
      <c r="L272" s="1">
        <v>2</v>
      </c>
      <c r="S272" s="1" t="str">
        <f>IF(tblDados[[#This Row],[Mandante]]="","",TEXT(tblDados[[#This Row],[Data]],"aaaa-mm-dd")&amp;"|"&amp;TRIM(tblDados[[#This Row],[Mandante]])&amp;"|"&amp;TRIM(tblDados[[#This Row],[Visitante]]))</f>
        <v>2026-06-28|OLS Oulu|KuPS Akatemia</v>
      </c>
      <c r="T272" s="1">
        <f>IF($G272="",0,IF(COUNTIF($S$2:$S272,$S272)=1,1,0))</f>
        <v>1</v>
      </c>
      <c r="U272" s="19" t="str" cm="1">
        <f t="array" ref="U2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2" s="19" t="str" cm="1">
        <f t="array" ref="V2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3" spans="1:22" x14ac:dyDescent="0.3">
      <c r="A273" s="1" t="s">
        <v>793</v>
      </c>
      <c r="B273" s="5">
        <v>46207</v>
      </c>
      <c r="C273" s="6">
        <v>0.41666666666666669</v>
      </c>
      <c r="D273" s="1" t="s">
        <v>18</v>
      </c>
      <c r="E273" s="1" t="s">
        <v>21</v>
      </c>
      <c r="F273" s="1" t="s">
        <v>794</v>
      </c>
      <c r="G273" s="39" t="s">
        <v>163</v>
      </c>
      <c r="H273" s="1">
        <v>2</v>
      </c>
      <c r="I273" s="1">
        <v>3</v>
      </c>
      <c r="J273" s="39" t="s">
        <v>752</v>
      </c>
      <c r="K273" s="1">
        <v>3</v>
      </c>
      <c r="L273" s="1">
        <v>2</v>
      </c>
      <c r="S273" s="1" t="str">
        <f>IF(tblDados[[#This Row],[Mandante]]="","",TEXT(tblDados[[#This Row],[Data]],"aaaa-mm-dd")&amp;"|"&amp;TRIM(tblDados[[#This Row],[Mandante]])&amp;"|"&amp;TRIM(tblDados[[#This Row],[Visitante]]))</f>
        <v>2026-07-04|KuPS Akatemia|Tampere Utd</v>
      </c>
      <c r="T273" s="1">
        <f>IF($G273="",0,IF(COUNTIF($S$2:$S273,$S273)=1,1,0))</f>
        <v>1</v>
      </c>
      <c r="U273" s="19" t="str" cm="1">
        <f t="array" ref="U2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3" s="19" t="str" cm="1">
        <f t="array" ref="V2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4" spans="1:22" x14ac:dyDescent="0.3">
      <c r="A274" s="1" t="s">
        <v>795</v>
      </c>
      <c r="B274" s="5">
        <v>46214</v>
      </c>
      <c r="C274" s="6">
        <v>0.41666666666666669</v>
      </c>
      <c r="D274" s="1" t="s">
        <v>18</v>
      </c>
      <c r="E274" s="1" t="s">
        <v>21</v>
      </c>
      <c r="F274" s="1" t="s">
        <v>796</v>
      </c>
      <c r="G274" s="39" t="s">
        <v>772</v>
      </c>
      <c r="H274" s="1">
        <v>4</v>
      </c>
      <c r="I274" s="1">
        <v>4</v>
      </c>
      <c r="J274" s="39" t="s">
        <v>163</v>
      </c>
      <c r="K274" s="1">
        <v>4</v>
      </c>
      <c r="L274" s="1">
        <v>4</v>
      </c>
      <c r="S274" s="1" t="str">
        <f>IF(tblDados[[#This Row],[Mandante]]="","",TEXT(tblDados[[#This Row],[Data]],"aaaa-mm-dd")&amp;"|"&amp;TRIM(tblDados[[#This Row],[Mandante]])&amp;"|"&amp;TRIM(tblDados[[#This Row],[Visitante]]))</f>
        <v>2026-07-11|JJK Jyvaskyla|KuPS Akatemia</v>
      </c>
      <c r="T274" s="1">
        <f>IF($G274="",0,IF(COUNTIF($S$2:$S274,$S274)=1,1,0))</f>
        <v>1</v>
      </c>
      <c r="U274" s="19" t="str" cm="1">
        <f t="array" ref="U2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4" s="19" t="str" cm="1">
        <f t="array" ref="V2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5" spans="1:22" ht="14.25" customHeight="1" x14ac:dyDescent="0.3">
      <c r="A275" s="1" t="s">
        <v>797</v>
      </c>
      <c r="B275" s="5">
        <v>46221</v>
      </c>
      <c r="C275" s="6">
        <v>0.41666666666666669</v>
      </c>
      <c r="D275" s="1" t="s">
        <v>18</v>
      </c>
      <c r="E275" s="1" t="s">
        <v>21</v>
      </c>
      <c r="F275" s="1" t="s">
        <v>798</v>
      </c>
      <c r="G275" s="39" t="s">
        <v>766</v>
      </c>
      <c r="H275" s="1">
        <v>3</v>
      </c>
      <c r="I275" s="1">
        <v>1</v>
      </c>
      <c r="J275" s="39" t="s">
        <v>163</v>
      </c>
      <c r="K275" s="1">
        <v>1</v>
      </c>
      <c r="L275" s="1">
        <v>3</v>
      </c>
      <c r="S275" s="1" t="str">
        <f>IF(tblDados[[#This Row],[Mandante]]="","",TEXT(tblDados[[#This Row],[Data]],"aaaa-mm-dd")&amp;"|"&amp;TRIM(tblDados[[#This Row],[Mandante]])&amp;"|"&amp;TRIM(tblDados[[#This Row],[Visitante]]))</f>
        <v>2026-07-18|TPV|KuPS Akatemia</v>
      </c>
      <c r="T275" s="1">
        <f>IF($G275="",0,IF(COUNTIF($S$2:$S275,$S275)=1,1,0))</f>
        <v>1</v>
      </c>
      <c r="U275" s="19" t="str" cm="1">
        <f t="array" ref="U2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5" s="19" t="str" cm="1">
        <f t="array" ref="V2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6" spans="1:22" ht="14.25" customHeight="1" x14ac:dyDescent="0.3">
      <c r="A276" s="1" t="s">
        <v>799</v>
      </c>
      <c r="B276" s="5">
        <v>46229</v>
      </c>
      <c r="C276" s="6">
        <v>0.52083333333333337</v>
      </c>
      <c r="D276" s="1" t="s">
        <v>18</v>
      </c>
      <c r="E276" s="1" t="s">
        <v>21</v>
      </c>
      <c r="F276" s="1" t="s">
        <v>800</v>
      </c>
      <c r="G276" s="39" t="s">
        <v>163</v>
      </c>
      <c r="H276" s="1">
        <v>2</v>
      </c>
      <c r="I276" s="1">
        <v>2</v>
      </c>
      <c r="J276" s="39" t="s">
        <v>755</v>
      </c>
      <c r="K276" s="1">
        <v>2</v>
      </c>
      <c r="L276" s="1">
        <v>2</v>
      </c>
      <c r="S276" s="1" t="str">
        <f>IF(tblDados[[#This Row],[Mandante]]="","",TEXT(tblDados[[#This Row],[Data]],"aaaa-mm-dd")&amp;"|"&amp;TRIM(tblDados[[#This Row],[Mandante]])&amp;"|"&amp;TRIM(tblDados[[#This Row],[Visitante]]))</f>
        <v>2026-07-26|KuPS Akatemia|VJS</v>
      </c>
      <c r="T276" s="1">
        <f>IF($G276="",0,IF(COUNTIF($S$2:$S276,$S276)=1,1,0))</f>
        <v>1</v>
      </c>
      <c r="U276" s="19" t="str" cm="1">
        <f t="array" ref="U2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6" s="19" t="str" cm="1">
        <f t="array" ref="V2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7" spans="1:22" ht="14.25" customHeight="1" x14ac:dyDescent="0.3">
      <c r="A277" s="1" t="s">
        <v>916</v>
      </c>
      <c r="B277" s="5">
        <v>46241</v>
      </c>
      <c r="C277" s="6">
        <v>0.52083333333333337</v>
      </c>
      <c r="D277" s="1" t="s">
        <v>18</v>
      </c>
      <c r="E277" s="1" t="s">
        <v>21</v>
      </c>
      <c r="F277" s="1" t="s">
        <v>783</v>
      </c>
      <c r="G277" s="39" t="s">
        <v>163</v>
      </c>
      <c r="H277" s="1">
        <v>0</v>
      </c>
      <c r="I277" s="1">
        <v>1</v>
      </c>
      <c r="J277" s="39" t="s">
        <v>749</v>
      </c>
      <c r="K277" s="1">
        <v>1</v>
      </c>
      <c r="L277" s="1">
        <v>0</v>
      </c>
      <c r="M277" s="1" t="s">
        <v>59</v>
      </c>
      <c r="N277" s="1" t="s">
        <v>207</v>
      </c>
      <c r="O277" s="46">
        <v>1.2250000000000001</v>
      </c>
      <c r="P277" s="14">
        <v>0.5</v>
      </c>
      <c r="Q277" s="1" t="s">
        <v>73</v>
      </c>
      <c r="R277" s="14">
        <v>-0.5</v>
      </c>
      <c r="S277" s="1" t="str">
        <f>IF(tblDados[[#This Row],[Mandante]]="","",TEXT(tblDados[[#This Row],[Data]],"aaaa-mm-dd")&amp;"|"&amp;TRIM(tblDados[[#This Row],[Mandante]])&amp;"|"&amp;TRIM(tblDados[[#This Row],[Visitante]]))</f>
        <v>2026-08-07|KuPS Akatemia|Inter Turku 2</v>
      </c>
      <c r="T277" s="1">
        <f>IF($G277="",0,IF(COUNTIF($S$2:$S277,$S277)=1,1,0))</f>
        <v>1</v>
      </c>
      <c r="U277" s="19" t="str" cm="1">
        <f t="array" ref="U2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7" s="19" t="str" cm="1">
        <f t="array" ref="V2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8" spans="1:22" ht="14.25" customHeight="1" x14ac:dyDescent="0.3">
      <c r="A278" s="1" t="s">
        <v>917</v>
      </c>
      <c r="B278" s="5">
        <v>46241</v>
      </c>
      <c r="C278" s="6">
        <v>0.52083333333333337</v>
      </c>
      <c r="D278" s="1" t="s">
        <v>18</v>
      </c>
      <c r="E278" s="1" t="s">
        <v>23</v>
      </c>
      <c r="F278" s="1" t="s">
        <v>3020</v>
      </c>
      <c r="G278" s="39" t="s">
        <v>2991</v>
      </c>
      <c r="H278" s="1">
        <v>1</v>
      </c>
      <c r="I278" s="1">
        <v>3</v>
      </c>
      <c r="J278" s="39" t="s">
        <v>568</v>
      </c>
      <c r="K278" s="1">
        <v>3</v>
      </c>
      <c r="L278" s="1">
        <v>1</v>
      </c>
      <c r="M278" s="1" t="s">
        <v>59</v>
      </c>
      <c r="N278" s="1" t="s">
        <v>98</v>
      </c>
      <c r="O278" s="46">
        <v>1.2</v>
      </c>
      <c r="P278" s="14">
        <v>0.5</v>
      </c>
      <c r="Q278" s="1" t="s">
        <v>61</v>
      </c>
      <c r="R278" s="14">
        <v>0.1</v>
      </c>
      <c r="S278" s="1" t="str">
        <f>IF(tblDados[[#This Row],[Mandante]]="","",TEXT(tblDados[[#This Row],[Data]],"aaaa-mm-dd")&amp;"|"&amp;TRIM(tblDados[[#This Row],[Mandante]])&amp;"|"&amp;TRIM(tblDados[[#This Row],[Visitante]]))</f>
        <v>2026-08-07|Jaro 2|JBK</v>
      </c>
      <c r="T278" s="1">
        <f>IF($G278="",0,IF(COUNTIF($S$2:$S278,$S278)=1,1,0))</f>
        <v>1</v>
      </c>
      <c r="U278" s="19" t="str" cm="1">
        <f t="array" ref="U2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8" s="19" t="str" cm="1">
        <f t="array" ref="V2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9" spans="1:22" ht="14.25" customHeight="1" x14ac:dyDescent="0.3">
      <c r="A279" s="1" t="s">
        <v>918</v>
      </c>
      <c r="B279" s="5">
        <v>46241</v>
      </c>
      <c r="C279" s="6">
        <v>0.3576388888888889</v>
      </c>
      <c r="D279" s="1" t="s">
        <v>891</v>
      </c>
      <c r="E279" s="1" t="s">
        <v>892</v>
      </c>
      <c r="F279" s="1" t="s">
        <v>893</v>
      </c>
      <c r="G279" s="39" t="s">
        <v>894</v>
      </c>
      <c r="H279" s="1">
        <v>4</v>
      </c>
      <c r="I279" s="1">
        <v>0</v>
      </c>
      <c r="J279" s="39" t="s">
        <v>895</v>
      </c>
      <c r="K279" s="1">
        <v>0</v>
      </c>
      <c r="L279" s="1">
        <v>4</v>
      </c>
      <c r="M279" s="1" t="s">
        <v>59</v>
      </c>
      <c r="N279" s="1" t="s">
        <v>60</v>
      </c>
      <c r="O279" s="46">
        <v>1.1399999999999999</v>
      </c>
      <c r="P279" s="14">
        <v>0.5</v>
      </c>
      <c r="Q279" s="1" t="s">
        <v>61</v>
      </c>
      <c r="R279" s="14">
        <v>7.0000000000000007E-2</v>
      </c>
      <c r="S279" s="1" t="str">
        <f>IF(tblDados[[#This Row],[Mandante]]="","",TEXT(tblDados[[#This Row],[Data]],"aaaa-mm-dd")&amp;"|"&amp;TRIM(tblDados[[#This Row],[Mandante]])&amp;"|"&amp;TRIM(tblDados[[#This Row],[Visitante]]))</f>
        <v>2026-08-07|Beijing Guoan|Shenzhen Xinpengcheng</v>
      </c>
      <c r="T279" s="1">
        <f>IF($G279="",0,IF(COUNTIF($S$2:$S279,$S279)=1,1,0))</f>
        <v>1</v>
      </c>
      <c r="U279" s="19" t="str" cm="1">
        <f t="array" ref="U2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9" s="19" t="str" cm="1">
        <f t="array" ref="V2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0" spans="1:22" ht="14.25" customHeight="1" x14ac:dyDescent="0.3">
      <c r="A280" s="1" t="s">
        <v>919</v>
      </c>
      <c r="B280" s="5">
        <v>46241</v>
      </c>
      <c r="C280" s="6">
        <v>0.22916666666666666</v>
      </c>
      <c r="D280" s="1" t="s">
        <v>7</v>
      </c>
      <c r="E280" s="1" t="s">
        <v>8</v>
      </c>
      <c r="F280" s="1" t="s">
        <v>897</v>
      </c>
      <c r="G280" s="39" t="s">
        <v>898</v>
      </c>
      <c r="H280" s="1">
        <v>4</v>
      </c>
      <c r="I280" s="1">
        <v>2</v>
      </c>
      <c r="J280" s="39" t="s">
        <v>262</v>
      </c>
      <c r="K280" s="1">
        <v>2</v>
      </c>
      <c r="L280" s="1">
        <v>4</v>
      </c>
      <c r="M280" s="1" t="s">
        <v>59</v>
      </c>
      <c r="N280" s="1" t="s">
        <v>207</v>
      </c>
      <c r="O280" s="46">
        <v>1.26</v>
      </c>
      <c r="P280" s="14">
        <v>0.5</v>
      </c>
      <c r="Q280" s="1" t="s">
        <v>61</v>
      </c>
      <c r="R280" s="14">
        <v>0.13</v>
      </c>
      <c r="S280" s="1" t="str">
        <f>IF(tblDados[[#This Row],[Mandante]]="","",TEXT(tblDados[[#This Row],[Data]],"aaaa-mm-dd")&amp;"|"&amp;TRIM(tblDados[[#This Row],[Mandante]])&amp;"|"&amp;TRIM(tblDados[[#This Row],[Visitante]]))</f>
        <v>2026-08-07|Lions FC|Brisbane Roar NPL</v>
      </c>
      <c r="T280" s="1">
        <f>IF($G280="",0,IF(COUNTIF($S$2:$S280,$S280)=1,1,0))</f>
        <v>1</v>
      </c>
      <c r="U280" s="19" t="str" cm="1">
        <f t="array" ref="U2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0" s="19" t="str" cm="1">
        <f t="array" ref="V2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1" spans="1:22" ht="14.25" customHeight="1" x14ac:dyDescent="0.3">
      <c r="A281" s="1" t="s">
        <v>920</v>
      </c>
      <c r="B281" s="5">
        <v>46239</v>
      </c>
      <c r="C281" s="6">
        <v>0.875</v>
      </c>
      <c r="D281" s="1" t="s">
        <v>10</v>
      </c>
      <c r="E281" s="1" t="s">
        <v>11</v>
      </c>
      <c r="F281" s="1" t="s">
        <v>900</v>
      </c>
      <c r="G281" s="39" t="s">
        <v>684</v>
      </c>
      <c r="H281" s="1">
        <v>2</v>
      </c>
      <c r="I281" s="1">
        <v>1</v>
      </c>
      <c r="J281" s="39" t="s">
        <v>665</v>
      </c>
      <c r="K281" s="1">
        <v>1</v>
      </c>
      <c r="L281" s="1">
        <v>2</v>
      </c>
      <c r="M281" s="1" t="s">
        <v>59</v>
      </c>
      <c r="N281" s="1" t="s">
        <v>98</v>
      </c>
      <c r="O281" s="46">
        <v>1.17</v>
      </c>
      <c r="P281" s="14">
        <v>0.5</v>
      </c>
      <c r="Q281" s="1" t="s">
        <v>61</v>
      </c>
      <c r="R281" s="14">
        <v>0.08</v>
      </c>
      <c r="S281" s="1" t="str">
        <f>IF(tblDados[[#This Row],[Mandante]]="","",TEXT(tblDados[[#This Row],[Data]],"aaaa-mm-dd")&amp;"|"&amp;TRIM(tblDados[[#This Row],[Mandante]])&amp;"|"&amp;TRIM(tblDados[[#This Row],[Visitante]]))</f>
        <v>2026-08-05|Bolívar|Oriente Petrolero</v>
      </c>
      <c r="T281" s="1">
        <f>IF($G281="",0,IF(COUNTIF($S$2:$S281,$S281)=1,1,0))</f>
        <v>1</v>
      </c>
      <c r="U281" s="19" t="str" cm="1">
        <f t="array" ref="U2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1" s="19" t="str" cm="1">
        <f t="array" ref="V2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2" spans="1:22" ht="14.25" customHeight="1" x14ac:dyDescent="0.3">
      <c r="A282" s="1" t="s">
        <v>921</v>
      </c>
      <c r="B282" s="5">
        <v>46239</v>
      </c>
      <c r="C282" s="6">
        <v>0.79166666666666663</v>
      </c>
      <c r="D282" s="1" t="s">
        <v>10</v>
      </c>
      <c r="E282" s="1" t="s">
        <v>11</v>
      </c>
      <c r="F282" s="1" t="s">
        <v>901</v>
      </c>
      <c r="G282" s="39" t="s">
        <v>671</v>
      </c>
      <c r="H282" s="1">
        <v>2</v>
      </c>
      <c r="I282" s="1">
        <v>3</v>
      </c>
      <c r="J282" s="39" t="s">
        <v>181</v>
      </c>
      <c r="K282" s="1">
        <v>3</v>
      </c>
      <c r="L282" s="1">
        <v>2</v>
      </c>
      <c r="M282" s="1" t="s">
        <v>59</v>
      </c>
      <c r="N282" s="1" t="s">
        <v>60</v>
      </c>
      <c r="O282" s="46">
        <v>1.2250000000000001</v>
      </c>
      <c r="P282" s="14">
        <v>0.5</v>
      </c>
      <c r="Q282" s="1" t="s">
        <v>61</v>
      </c>
      <c r="R282" s="14">
        <v>0.11</v>
      </c>
      <c r="S282" s="1" t="str">
        <f>IF(tblDados[[#This Row],[Mandante]]="","",TEXT(tblDados[[#This Row],[Data]],"aaaa-mm-dd")&amp;"|"&amp;TRIM(tblDados[[#This Row],[Mandante]])&amp;"|"&amp;TRIM(tblDados[[#This Row],[Visitante]]))</f>
        <v>2026-08-05|Nacional Potosí|The Strongest</v>
      </c>
      <c r="T282" s="1">
        <f>IF($G282="",0,IF(COUNTIF($S$2:$S282,$S282)=1,1,0))</f>
        <v>1</v>
      </c>
      <c r="U282" s="19" t="str" cm="1">
        <f t="array" ref="U2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2" s="19" t="str" cm="1">
        <f t="array" ref="V2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3" spans="1:22" ht="14.25" customHeight="1" x14ac:dyDescent="0.3">
      <c r="A283" s="1" t="s">
        <v>922</v>
      </c>
      <c r="B283" s="5">
        <v>46239</v>
      </c>
      <c r="C283" s="6">
        <v>0.625</v>
      </c>
      <c r="D283" s="1" t="s">
        <v>24</v>
      </c>
      <c r="E283" s="1" t="s">
        <v>4334</v>
      </c>
      <c r="F283" s="1" t="s">
        <v>903</v>
      </c>
      <c r="G283" s="39" t="s">
        <v>904</v>
      </c>
      <c r="H283" s="1">
        <v>3</v>
      </c>
      <c r="I283" s="1">
        <v>0</v>
      </c>
      <c r="J283" s="39" t="s">
        <v>80</v>
      </c>
      <c r="K283" s="1">
        <v>0</v>
      </c>
      <c r="L283" s="1">
        <v>3</v>
      </c>
      <c r="M283" s="1" t="s">
        <v>59</v>
      </c>
      <c r="N283" s="1" t="s">
        <v>98</v>
      </c>
      <c r="O283" s="46">
        <v>1.24</v>
      </c>
      <c r="P283" s="14">
        <v>0.5</v>
      </c>
      <c r="Q283" s="1" t="s">
        <v>61</v>
      </c>
      <c r="R283" s="14">
        <v>0.12</v>
      </c>
      <c r="S283" s="1" t="str">
        <f>IF(tblDados[[#This Row],[Mandante]]="","",TEXT(tblDados[[#This Row],[Data]],"aaaa-mm-dd")&amp;"|"&amp;TRIM(tblDados[[#This Row],[Mandante]])&amp;"|"&amp;TRIM(tblDados[[#This Row],[Visitante]]))</f>
        <v>2026-08-05|Keflavík|KA Akureyri</v>
      </c>
      <c r="T283" s="1">
        <f>IF($G283="",0,IF(COUNTIF($S$2:$S283,$S283)=1,1,0))</f>
        <v>1</v>
      </c>
      <c r="U283" s="19" t="str" cm="1">
        <f t="array" ref="U2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3" s="19" t="str" cm="1">
        <f t="array" ref="V2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4" spans="1:22" ht="14.25" customHeight="1" x14ac:dyDescent="0.3">
      <c r="A284" s="1" t="s">
        <v>923</v>
      </c>
      <c r="B284" s="5">
        <v>46239</v>
      </c>
      <c r="C284" s="6">
        <v>0.54166666666666663</v>
      </c>
      <c r="D284" s="1" t="s">
        <v>18</v>
      </c>
      <c r="E284" s="1" t="s">
        <v>21</v>
      </c>
      <c r="F284" s="1" t="s">
        <v>906</v>
      </c>
      <c r="G284" s="39" t="s">
        <v>755</v>
      </c>
      <c r="H284" s="1">
        <v>0</v>
      </c>
      <c r="I284" s="1">
        <v>0</v>
      </c>
      <c r="J284" s="39" t="s">
        <v>760</v>
      </c>
      <c r="K284" s="1">
        <v>0</v>
      </c>
      <c r="L284" s="1">
        <v>0</v>
      </c>
      <c r="M284" s="1" t="s">
        <v>59</v>
      </c>
      <c r="N284" s="1" t="s">
        <v>60</v>
      </c>
      <c r="O284" s="46">
        <v>1.125</v>
      </c>
      <c r="P284" s="14">
        <v>0.5</v>
      </c>
      <c r="Q284" s="1" t="s">
        <v>73</v>
      </c>
      <c r="R284" s="14">
        <v>-0.5</v>
      </c>
      <c r="S284" s="1" t="str">
        <f>IF(tblDados[[#This Row],[Mandante]]="","",TEXT(tblDados[[#This Row],[Data]],"aaaa-mm-dd")&amp;"|"&amp;TRIM(tblDados[[#This Row],[Mandante]])&amp;"|"&amp;TRIM(tblDados[[#This Row],[Visitante]]))</f>
        <v>2026-08-05|VJS|Keski-Uusimaa</v>
      </c>
      <c r="T284" s="1">
        <f>IF($G284="",0,IF(COUNTIF($S$2:$S284,$S284)=1,1,0))</f>
        <v>1</v>
      </c>
      <c r="U284" s="19" t="str" cm="1">
        <f t="array" ref="U2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4" s="19" t="str" cm="1">
        <f t="array" ref="V2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5" spans="1:22" ht="14.25" customHeight="1" x14ac:dyDescent="0.3">
      <c r="A285" s="1" t="s">
        <v>924</v>
      </c>
      <c r="B285" s="5">
        <v>46239</v>
      </c>
      <c r="C285" s="6">
        <v>0.52083333333333337</v>
      </c>
      <c r="D285" s="1" t="s">
        <v>18</v>
      </c>
      <c r="E285" s="1" t="s">
        <v>21</v>
      </c>
      <c r="F285" s="1" t="s">
        <v>908</v>
      </c>
      <c r="G285" s="39" t="s">
        <v>748</v>
      </c>
      <c r="H285" s="1">
        <v>2</v>
      </c>
      <c r="I285" s="1">
        <v>1</v>
      </c>
      <c r="J285" s="39" t="s">
        <v>772</v>
      </c>
      <c r="K285" s="1">
        <v>1</v>
      </c>
      <c r="L285" s="1">
        <v>2</v>
      </c>
      <c r="M285" s="1" t="s">
        <v>59</v>
      </c>
      <c r="N285" s="1" t="s">
        <v>60</v>
      </c>
      <c r="O285" s="46">
        <v>1.1299999999999999</v>
      </c>
      <c r="P285" s="14">
        <v>0.5</v>
      </c>
      <c r="Q285" s="1" t="s">
        <v>61</v>
      </c>
      <c r="R285" s="14">
        <v>0.06</v>
      </c>
      <c r="S285" s="1" t="str">
        <f>IF(tblDados[[#This Row],[Mandante]]="","",TEXT(tblDados[[#This Row],[Data]],"aaaa-mm-dd")&amp;"|"&amp;TRIM(tblDados[[#This Row],[Mandante]])&amp;"|"&amp;TRIM(tblDados[[#This Row],[Visitante]]))</f>
        <v>2026-08-05|SalPa|JJK Jyvaskyla</v>
      </c>
      <c r="T285" s="1">
        <f>IF($G285="",0,IF(COUNTIF($S$2:$S285,$S285)=1,1,0))</f>
        <v>1</v>
      </c>
      <c r="U285" s="19" t="str" cm="1">
        <f t="array" ref="U2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5" s="19" t="str" cm="1">
        <f t="array" ref="V2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6" spans="1:22" ht="14.25" customHeight="1" x14ac:dyDescent="0.3">
      <c r="A286" s="1" t="s">
        <v>925</v>
      </c>
      <c r="B286" s="5">
        <v>46239</v>
      </c>
      <c r="C286" s="6">
        <v>0.52083333333333337</v>
      </c>
      <c r="D286" s="1" t="s">
        <v>18</v>
      </c>
      <c r="E286" s="1" t="s">
        <v>21</v>
      </c>
      <c r="F286" s="1" t="s">
        <v>2974</v>
      </c>
      <c r="G286" s="39" t="s">
        <v>2971</v>
      </c>
      <c r="H286" s="1">
        <v>2</v>
      </c>
      <c r="I286" s="1">
        <v>2</v>
      </c>
      <c r="J286" s="39" t="s">
        <v>769</v>
      </c>
      <c r="K286" s="1">
        <v>2</v>
      </c>
      <c r="L286" s="1">
        <v>2</v>
      </c>
      <c r="M286" s="1" t="s">
        <v>59</v>
      </c>
      <c r="N286" s="1" t="s">
        <v>98</v>
      </c>
      <c r="O286" s="46">
        <v>1.2250000000000001</v>
      </c>
      <c r="P286" s="14">
        <v>0.5</v>
      </c>
      <c r="Q286" s="1" t="s">
        <v>61</v>
      </c>
      <c r="R286" s="14">
        <v>0.11</v>
      </c>
      <c r="S286" s="1" t="str">
        <f>IF(tblDados[[#This Row],[Mandante]]="","",TEXT(tblDados[[#This Row],[Data]],"aaaa-mm-dd")&amp;"|"&amp;TRIM(tblDados[[#This Row],[Mandante]])&amp;"|"&amp;TRIM(tblDados[[#This Row],[Visitante]]))</f>
        <v>2026-08-05|RoPS (Rovaniemi)|Jazz Pori</v>
      </c>
      <c r="T286" s="1">
        <f>IF($G286="",0,IF(COUNTIF($S$2:$S286,$S286)=1,1,0))</f>
        <v>1</v>
      </c>
      <c r="U286" s="19" t="str" cm="1">
        <f t="array" ref="U2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6" s="19" t="str" cm="1">
        <f t="array" ref="V2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7" spans="1:22" ht="14.25" customHeight="1" x14ac:dyDescent="0.3">
      <c r="A287" s="1" t="s">
        <v>926</v>
      </c>
      <c r="B287" s="5">
        <v>46239</v>
      </c>
      <c r="C287" s="6">
        <v>0.5</v>
      </c>
      <c r="D287" s="1" t="s">
        <v>18</v>
      </c>
      <c r="E287" s="1" t="s">
        <v>21</v>
      </c>
      <c r="F287" s="1" t="s">
        <v>910</v>
      </c>
      <c r="G287" s="39" t="s">
        <v>775</v>
      </c>
      <c r="H287" s="1">
        <v>4</v>
      </c>
      <c r="I287" s="1">
        <v>2</v>
      </c>
      <c r="J287" s="39" t="s">
        <v>766</v>
      </c>
      <c r="K287" s="1">
        <v>2</v>
      </c>
      <c r="L287" s="1">
        <v>4</v>
      </c>
      <c r="M287" s="1" t="s">
        <v>59</v>
      </c>
      <c r="N287" s="1" t="s">
        <v>152</v>
      </c>
      <c r="O287" s="46">
        <v>1.1200000000000001</v>
      </c>
      <c r="P287" s="14">
        <v>0.5</v>
      </c>
      <c r="Q287" s="1" t="s">
        <v>61</v>
      </c>
      <c r="R287" s="14">
        <v>0.06</v>
      </c>
      <c r="S287" s="1" t="str">
        <f>IF(tblDados[[#This Row],[Mandante]]="","",TEXT(tblDados[[#This Row],[Data]],"aaaa-mm-dd")&amp;"|"&amp;TRIM(tblDados[[#This Row],[Mandante]])&amp;"|"&amp;TRIM(tblDados[[#This Row],[Visitante]]))</f>
        <v>2026-08-05|OLS Oulu|TPV</v>
      </c>
      <c r="T287" s="1">
        <f>IF($G287="",0,IF(COUNTIF($S$2:$S287,$S287)=1,1,0))</f>
        <v>1</v>
      </c>
      <c r="U287" s="19" t="str" cm="1">
        <f t="array" ref="U2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7" s="19" t="str" cm="1">
        <f t="array" ref="V2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8" spans="1:22" ht="14.25" customHeight="1" x14ac:dyDescent="0.3">
      <c r="A288" s="1" t="s">
        <v>927</v>
      </c>
      <c r="B288" s="5">
        <v>46238</v>
      </c>
      <c r="C288" s="6">
        <v>0.875</v>
      </c>
      <c r="D288" s="1" t="s">
        <v>10</v>
      </c>
      <c r="E288" s="1" t="s">
        <v>11</v>
      </c>
      <c r="F288" s="1" t="s">
        <v>912</v>
      </c>
      <c r="G288" s="39" t="s">
        <v>668</v>
      </c>
      <c r="H288" s="1">
        <v>3</v>
      </c>
      <c r="I288" s="1">
        <v>0</v>
      </c>
      <c r="J288" s="39" t="s">
        <v>189</v>
      </c>
      <c r="K288" s="1">
        <v>0</v>
      </c>
      <c r="L288" s="1">
        <v>3</v>
      </c>
      <c r="M288" s="1" t="s">
        <v>59</v>
      </c>
      <c r="N288" s="1" t="s">
        <v>120</v>
      </c>
      <c r="O288" s="46">
        <v>1.115</v>
      </c>
      <c r="P288" s="14">
        <v>0.5</v>
      </c>
      <c r="Q288" s="1" t="s">
        <v>61</v>
      </c>
      <c r="R288" s="14">
        <v>0.06</v>
      </c>
      <c r="S288" s="1" t="str">
        <f>IF(tblDados[[#This Row],[Mandante]]="","",TEXT(tblDados[[#This Row],[Data]],"aaaa-mm-dd")&amp;"|"&amp;TRIM(tblDados[[#This Row],[Mandante]])&amp;"|"&amp;TRIM(tblDados[[#This Row],[Visitante]]))</f>
        <v>2026-08-04|Guabirá|Real Tomayapo</v>
      </c>
      <c r="T288" s="1">
        <f>IF($G288="",0,IF(COUNTIF($S$2:$S288,$S288)=1,1,0))</f>
        <v>1</v>
      </c>
      <c r="U288" s="19" t="str" cm="1">
        <f t="array" ref="U2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8" s="19" t="str" cm="1">
        <f t="array" ref="V2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9" spans="1:22" ht="14.25" customHeight="1" x14ac:dyDescent="0.3">
      <c r="A289" s="1" t="s">
        <v>928</v>
      </c>
      <c r="B289" s="5">
        <v>46238</v>
      </c>
      <c r="C289" s="6">
        <v>0.64583333333333337</v>
      </c>
      <c r="D289" s="1" t="s">
        <v>24</v>
      </c>
      <c r="E289" s="1" t="s">
        <v>4334</v>
      </c>
      <c r="F289" s="1" t="s">
        <v>4576</v>
      </c>
      <c r="G289" s="39" t="s">
        <v>4575</v>
      </c>
      <c r="H289" s="1">
        <v>1</v>
      </c>
      <c r="I289" s="1">
        <v>0</v>
      </c>
      <c r="J289" s="39" t="s">
        <v>77</v>
      </c>
      <c r="K289" s="1">
        <v>0</v>
      </c>
      <c r="L289" s="1">
        <v>1</v>
      </c>
      <c r="M289" s="1" t="s">
        <v>59</v>
      </c>
      <c r="N289" s="1" t="s">
        <v>60</v>
      </c>
      <c r="O289" s="46">
        <v>1.1299999999999999</v>
      </c>
      <c r="P289" s="14">
        <v>0.5</v>
      </c>
      <c r="Q289" s="1" t="s">
        <v>73</v>
      </c>
      <c r="R289" s="14">
        <v>-0.5</v>
      </c>
      <c r="S289" s="1" t="str">
        <f>IF(tblDados[[#This Row],[Mandante]]="","",TEXT(tblDados[[#This Row],[Data]],"aaaa-mm-dd")&amp;"|"&amp;TRIM(tblDados[[#This Row],[Mandante]])&amp;"|"&amp;TRIM(tblDados[[#This Row],[Visitante]]))</f>
        <v>2026-08-04|Thor Akureyri (Þór Akureyri)|Breidablik</v>
      </c>
      <c r="T289" s="1">
        <f>IF($G289="",0,IF(COUNTIF($S$2:$S289,$S289)=1,1,0))</f>
        <v>1</v>
      </c>
      <c r="U289" s="19" t="str" cm="1">
        <f t="array" ref="U2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9" s="19" t="str" cm="1">
        <f t="array" ref="V2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0" spans="1:22" ht="14.25" customHeight="1" x14ac:dyDescent="0.3">
      <c r="A290" s="1" t="s">
        <v>929</v>
      </c>
      <c r="B290" s="5">
        <v>46238</v>
      </c>
      <c r="C290" s="6">
        <v>0.66666666666666663</v>
      </c>
      <c r="D290" s="1" t="s">
        <v>10</v>
      </c>
      <c r="E290" s="1" t="s">
        <v>11</v>
      </c>
      <c r="F290" s="1" t="s">
        <v>915</v>
      </c>
      <c r="G290" s="39" t="s">
        <v>190</v>
      </c>
      <c r="H290" s="1">
        <v>4</v>
      </c>
      <c r="I290" s="1">
        <v>1</v>
      </c>
      <c r="J290" s="39" t="s">
        <v>227</v>
      </c>
      <c r="K290" s="1">
        <v>1</v>
      </c>
      <c r="L290" s="1">
        <v>4</v>
      </c>
      <c r="M290" s="1" t="s">
        <v>59</v>
      </c>
      <c r="N290" s="1" t="s">
        <v>60</v>
      </c>
      <c r="O290" s="46">
        <v>1.125</v>
      </c>
      <c r="P290" s="14">
        <v>0.5</v>
      </c>
      <c r="Q290" s="1" t="s">
        <v>61</v>
      </c>
      <c r="R290" s="14">
        <v>0.06</v>
      </c>
      <c r="S290" s="1" t="str">
        <f>IF(tblDados[[#This Row],[Mandante]]="","",TEXT(tblDados[[#This Row],[Data]],"aaaa-mm-dd")&amp;"|"&amp;TRIM(tblDados[[#This Row],[Mandante]])&amp;"|"&amp;TRIM(tblDados[[#This Row],[Visitante]]))</f>
        <v>2026-08-04|ABB|Real Oruro</v>
      </c>
      <c r="T290" s="1">
        <f>IF($G290="",0,IF(COUNTIF($S$2:$S290,$S290)=1,1,0))</f>
        <v>1</v>
      </c>
      <c r="U290" s="19" t="str" cm="1">
        <f t="array" ref="U2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0" s="19" t="str" cm="1">
        <f t="array" ref="V2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1" spans="1:22" ht="14.25" customHeight="1" x14ac:dyDescent="0.3">
      <c r="A291" s="1" t="s">
        <v>930</v>
      </c>
      <c r="B291" s="5">
        <v>46238</v>
      </c>
      <c r="C291" s="6">
        <v>0.54166666666666663</v>
      </c>
      <c r="D291" s="1" t="s">
        <v>18</v>
      </c>
      <c r="E291" s="1" t="s">
        <v>433</v>
      </c>
      <c r="F291" s="1" t="s">
        <v>463</v>
      </c>
      <c r="G291" s="39" t="s">
        <v>436</v>
      </c>
      <c r="H291" s="1">
        <v>7</v>
      </c>
      <c r="I291" s="1">
        <v>0</v>
      </c>
      <c r="J291" s="39" t="s">
        <v>442</v>
      </c>
      <c r="K291" s="1">
        <v>0</v>
      </c>
      <c r="L291" s="1">
        <v>7</v>
      </c>
      <c r="M291" s="1" t="s">
        <v>59</v>
      </c>
      <c r="N291" s="1" t="s">
        <v>207</v>
      </c>
      <c r="O291" s="46">
        <v>1.1399999999999999</v>
      </c>
      <c r="P291" s="14">
        <v>0.5</v>
      </c>
      <c r="Q291" s="1" t="s">
        <v>61</v>
      </c>
      <c r="R291" s="14">
        <v>7.0000000000000007E-2</v>
      </c>
      <c r="S291" s="1" t="str">
        <f>IF(tblDados[[#This Row],[Mandante]]="","",TEXT(tblDados[[#This Row],[Data]],"aaaa-mm-dd")&amp;"|"&amp;TRIM(tblDados[[#This Row],[Mandante]])&amp;"|"&amp;TRIM(tblDados[[#This Row],[Visitante]]))</f>
        <v>2026-08-04|Ilves 2|MuSa</v>
      </c>
      <c r="T291">
        <f>IF($G291="",0,IF(COUNTIF($S$2:$S291,$S291)=1,1,0))</f>
        <v>1</v>
      </c>
      <c r="U291" s="19" t="str" cm="1">
        <f t="array" ref="U2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1" s="19" t="str" cm="1">
        <f t="array" ref="V2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2" spans="1:22" ht="14.25" customHeight="1" x14ac:dyDescent="0.3">
      <c r="A292" s="1" t="s">
        <v>934</v>
      </c>
      <c r="B292" s="5">
        <v>46237</v>
      </c>
      <c r="C292" s="6">
        <v>0.91666666666666663</v>
      </c>
      <c r="D292" s="1" t="s">
        <v>17</v>
      </c>
      <c r="E292" s="1" t="s">
        <v>4102</v>
      </c>
      <c r="F292" s="1" t="s">
        <v>933</v>
      </c>
      <c r="G292" s="39" t="s">
        <v>932</v>
      </c>
      <c r="H292" s="1">
        <v>2</v>
      </c>
      <c r="I292" s="1">
        <v>1</v>
      </c>
      <c r="J292" s="39" t="s">
        <v>931</v>
      </c>
      <c r="K292" s="1">
        <v>1</v>
      </c>
      <c r="L292" s="1">
        <v>2</v>
      </c>
      <c r="M292" s="1" t="s">
        <v>59</v>
      </c>
      <c r="N292" s="1" t="s">
        <v>85</v>
      </c>
      <c r="O292" s="46">
        <v>1.18</v>
      </c>
      <c r="P292" s="14">
        <v>0.5</v>
      </c>
      <c r="Q292" s="1" t="s">
        <v>61</v>
      </c>
      <c r="R292" s="14">
        <v>0.09</v>
      </c>
      <c r="S292" s="1" t="str">
        <f>IF(tblDados[[#This Row],[Mandante]]="","",TEXT(tblDados[[#This Row],[Data]],"aaaa-mm-dd")&amp;"|"&amp;TRIM(tblDados[[#This Row],[Mandante]])&amp;"|"&amp;TRIM(tblDados[[#This Row],[Visitante]]))</f>
        <v>2026-08-03|LDU Quito|Delfín SC</v>
      </c>
      <c r="T292">
        <f>IF($G292="",0,IF(COUNTIF($S$2:$S292,$S292)=1,1,0))</f>
        <v>1</v>
      </c>
      <c r="U292" s="19" t="str" cm="1">
        <f t="array" ref="U2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2" s="19" t="str" cm="1">
        <f t="array" ref="V2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3" spans="1:22" ht="14.25" customHeight="1" x14ac:dyDescent="0.3">
      <c r="A293" s="1" t="s">
        <v>936</v>
      </c>
      <c r="B293" s="5">
        <v>46241</v>
      </c>
      <c r="C293" s="6">
        <v>0.54166666666666663</v>
      </c>
      <c r="D293" s="1" t="s">
        <v>18</v>
      </c>
      <c r="E293" s="1" t="s">
        <v>22</v>
      </c>
      <c r="F293" s="1" t="s">
        <v>3041</v>
      </c>
      <c r="G293" s="39" t="s">
        <v>3029</v>
      </c>
      <c r="H293" s="1">
        <v>4</v>
      </c>
      <c r="I293" s="1">
        <v>2</v>
      </c>
      <c r="J293" s="39" t="s">
        <v>3032</v>
      </c>
      <c r="K293" s="1">
        <v>2</v>
      </c>
      <c r="L293" s="1">
        <v>4</v>
      </c>
      <c r="M293" s="1" t="s">
        <v>59</v>
      </c>
      <c r="N293" s="1" t="s">
        <v>207</v>
      </c>
      <c r="O293" s="46">
        <v>1.1599999999999999</v>
      </c>
      <c r="P293" s="14">
        <v>0.5</v>
      </c>
      <c r="Q293" s="1" t="s">
        <v>61</v>
      </c>
      <c r="R293" s="14">
        <v>0.08</v>
      </c>
      <c r="S293" s="1" t="str">
        <f>IF(tblDados[[#This Row],[Mandante]]="","",TEXT(tblDados[[#This Row],[Data]],"aaaa-mm-dd")&amp;"|"&amp;TRIM(tblDados[[#This Row],[Mandante]])&amp;"|"&amp;TRIM(tblDados[[#This Row],[Visitante]]))</f>
        <v>2026-08-07|Atlantis FC|Reipas (Lahden Reipas)</v>
      </c>
      <c r="T293" s="1">
        <f>IF($G293="",0,IF(COUNTIF($S$2:$S293,$S293)=1,1,0))</f>
        <v>1</v>
      </c>
      <c r="U293" s="19" t="str" cm="1">
        <f t="array" ref="U2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3" s="19" t="str" cm="1">
        <f t="array" ref="V2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4" spans="1:22" ht="14.25" customHeight="1" x14ac:dyDescent="0.3">
      <c r="A294" s="1" t="s">
        <v>937</v>
      </c>
      <c r="B294" s="5">
        <v>46241</v>
      </c>
      <c r="C294" s="6">
        <v>0.54166666666666663</v>
      </c>
      <c r="D294" s="1" t="s">
        <v>18</v>
      </c>
      <c r="E294" s="1" t="s">
        <v>22</v>
      </c>
      <c r="F294" s="1" t="s">
        <v>888</v>
      </c>
      <c r="G294" s="39" t="s">
        <v>290</v>
      </c>
      <c r="H294" s="1">
        <v>2</v>
      </c>
      <c r="I294" s="1">
        <v>2</v>
      </c>
      <c r="J294" s="39" t="s">
        <v>308</v>
      </c>
      <c r="K294" s="1">
        <v>2</v>
      </c>
      <c r="L294" s="1">
        <v>2</v>
      </c>
      <c r="M294" s="1" t="s">
        <v>59</v>
      </c>
      <c r="N294" s="1" t="s">
        <v>120</v>
      </c>
      <c r="O294" s="46">
        <v>1.1000000000000001</v>
      </c>
      <c r="P294" s="14">
        <v>0.5</v>
      </c>
      <c r="Q294" s="1" t="s">
        <v>61</v>
      </c>
      <c r="R294" s="14">
        <v>0.05</v>
      </c>
      <c r="S294" s="1" t="str">
        <f>IF(tblDados[[#This Row],[Mandante]]="","",TEXT(tblDados[[#This Row],[Data]],"aaaa-mm-dd")&amp;"|"&amp;TRIM(tblDados[[#This Row],[Mandante]])&amp;"|"&amp;TRIM(tblDados[[#This Row],[Visitante]]))</f>
        <v>2026-08-07|PPJ|HPS</v>
      </c>
      <c r="T294">
        <f>IF($G294="",0,IF(COUNTIF($S$2:$S294,$S294)=1,1,0))</f>
        <v>1</v>
      </c>
      <c r="U294" s="19" t="str" cm="1">
        <f t="array" ref="U2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4" s="19" t="str" cm="1">
        <f t="array" ref="V2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5" spans="1:22" ht="14.25" customHeight="1" x14ac:dyDescent="0.3">
      <c r="A295" s="1" t="s">
        <v>944</v>
      </c>
      <c r="B295" s="5">
        <v>46237</v>
      </c>
      <c r="C295" s="6">
        <v>0.67708333333333337</v>
      </c>
      <c r="D295" s="1" t="s">
        <v>24</v>
      </c>
      <c r="E295" s="1" t="s">
        <v>4334</v>
      </c>
      <c r="F295" s="1" t="s">
        <v>943</v>
      </c>
      <c r="G295" s="39" t="s">
        <v>942</v>
      </c>
      <c r="H295" s="1">
        <v>2</v>
      </c>
      <c r="I295" s="1">
        <v>3</v>
      </c>
      <c r="J295" s="39" t="s">
        <v>941</v>
      </c>
      <c r="K295" s="1">
        <v>3</v>
      </c>
      <c r="L295" s="1">
        <v>2</v>
      </c>
      <c r="M295" s="1" t="s">
        <v>59</v>
      </c>
      <c r="N295" s="1" t="s">
        <v>207</v>
      </c>
      <c r="O295" s="46">
        <v>1.2749999999999999</v>
      </c>
      <c r="P295" s="14">
        <v>0.5</v>
      </c>
      <c r="Q295" s="1" t="s">
        <v>61</v>
      </c>
      <c r="R295" s="14">
        <v>0.14000000000000001</v>
      </c>
      <c r="S295" s="1" t="str">
        <f>IF(tblDados[[#This Row],[Mandante]]="","",TEXT(tblDados[[#This Row],[Data]],"aaaa-mm-dd")&amp;"|"&amp;TRIM(tblDados[[#This Row],[Mandante]])&amp;"|"&amp;TRIM(tblDados[[#This Row],[Visitante]]))</f>
        <v>2026-08-03|Valur Reykjavik|Stjarnan</v>
      </c>
      <c r="T295">
        <f>IF($G295="",0,IF(COUNTIF($S$2:$S295,$S295)=1,1,0))</f>
        <v>1</v>
      </c>
      <c r="U295" s="19" t="str" cm="1">
        <f t="array" ref="U2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5" s="19" t="str" cm="1">
        <f t="array" ref="V2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6" spans="1:22" ht="14.25" customHeight="1" x14ac:dyDescent="0.3">
      <c r="A296" s="1" t="s">
        <v>950</v>
      </c>
      <c r="B296" s="5">
        <v>46241</v>
      </c>
      <c r="C296" s="6">
        <v>0.67708333333333337</v>
      </c>
      <c r="D296" s="1" t="s">
        <v>24</v>
      </c>
      <c r="E296" s="1" t="s">
        <v>4335</v>
      </c>
      <c r="F296" s="1" t="s">
        <v>949</v>
      </c>
      <c r="G296" s="39" t="s">
        <v>126</v>
      </c>
      <c r="H296" s="1">
        <v>4</v>
      </c>
      <c r="I296" s="1">
        <v>1</v>
      </c>
      <c r="J296" s="39" t="s">
        <v>132</v>
      </c>
      <c r="K296" s="1">
        <v>1</v>
      </c>
      <c r="L296" s="1">
        <v>4</v>
      </c>
      <c r="M296" s="1" t="s">
        <v>59</v>
      </c>
      <c r="N296" s="1" t="s">
        <v>98</v>
      </c>
      <c r="O296" s="46">
        <v>1.25</v>
      </c>
      <c r="P296" s="14">
        <v>0.5</v>
      </c>
      <c r="Q296" s="1" t="s">
        <v>61</v>
      </c>
      <c r="R296" s="14">
        <v>0.13</v>
      </c>
      <c r="S296" s="1" t="str">
        <f>IF(tblDados[[#This Row],[Mandante]]="","",TEXT(tblDados[[#This Row],[Data]],"aaaa-mm-dd")&amp;"|"&amp;TRIM(tblDados[[#This Row],[Mandante]])&amp;"|"&amp;TRIM(tblDados[[#This Row],[Visitante]]))</f>
        <v>2026-08-07|Afturelding|Grindavik</v>
      </c>
      <c r="T296">
        <f>IF($G296="",0,IF(COUNTIF($S$2:$S296,$S296)=1,1,0))</f>
        <v>1</v>
      </c>
      <c r="U296" s="19" t="str" cm="1">
        <f t="array" ref="U2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6" s="19" t="str" cm="1">
        <f t="array" ref="V2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7" spans="1:22" ht="14.25" customHeight="1" x14ac:dyDescent="0.3">
      <c r="A297" s="1" t="s">
        <v>955</v>
      </c>
      <c r="B297" s="5">
        <v>46241</v>
      </c>
      <c r="C297" s="6">
        <v>0.58333333333333337</v>
      </c>
      <c r="D297" s="1" t="s">
        <v>30</v>
      </c>
      <c r="E297" s="1" t="s">
        <v>32</v>
      </c>
      <c r="F297" s="1" t="s">
        <v>954</v>
      </c>
      <c r="G297" s="39" t="s">
        <v>953</v>
      </c>
      <c r="H297" s="1">
        <v>1</v>
      </c>
      <c r="I297" s="1">
        <v>0</v>
      </c>
      <c r="J297" s="39" t="s">
        <v>952</v>
      </c>
      <c r="K297" s="1">
        <v>0</v>
      </c>
      <c r="L297" s="1">
        <v>1</v>
      </c>
      <c r="M297" s="1" t="s">
        <v>59</v>
      </c>
      <c r="N297" s="1" t="s">
        <v>120</v>
      </c>
      <c r="O297" s="46">
        <v>1.26</v>
      </c>
      <c r="P297" s="14">
        <v>0.5</v>
      </c>
      <c r="Q297" s="1" t="s">
        <v>73</v>
      </c>
      <c r="R297" s="14">
        <v>-0.5</v>
      </c>
      <c r="S297" s="1" t="str">
        <f>IF(tblDados[[#This Row],[Mandante]]="","",TEXT(tblDados[[#This Row],[Data]],"aaaa-mm-dd")&amp;"|"&amp;TRIM(tblDados[[#This Row],[Mandante]])&amp;"|"&amp;TRIM(tblDados[[#This Row],[Visitante]]))</f>
        <v>2026-08-07|Östersunds FK|GIF Sundsvall</v>
      </c>
      <c r="T297">
        <f>IF($G297="",0,IF(COUNTIF($S$2:$S297,$S297)=1,1,0))</f>
        <v>1</v>
      </c>
      <c r="U297" s="19" t="str" cm="1">
        <f t="array" ref="U2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7" s="19" t="str" cm="1">
        <f t="array" ref="V2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8" spans="1:22" ht="14.25" customHeight="1" x14ac:dyDescent="0.3">
      <c r="A298" s="1" t="s">
        <v>960</v>
      </c>
      <c r="B298" s="5">
        <v>46241</v>
      </c>
      <c r="C298" s="6">
        <v>0.58333333333333337</v>
      </c>
      <c r="D298" s="1" t="s">
        <v>30</v>
      </c>
      <c r="E298" s="1" t="s">
        <v>36</v>
      </c>
      <c r="F298" s="1" t="s">
        <v>959</v>
      </c>
      <c r="G298" s="39" t="s">
        <v>958</v>
      </c>
      <c r="H298" s="1">
        <v>1</v>
      </c>
      <c r="I298" s="1">
        <v>1</v>
      </c>
      <c r="J298" s="39" t="s">
        <v>274</v>
      </c>
      <c r="K298" s="1">
        <v>1</v>
      </c>
      <c r="L298" s="1">
        <v>1</v>
      </c>
      <c r="M298" s="1" t="s">
        <v>59</v>
      </c>
      <c r="N298" s="1" t="s">
        <v>98</v>
      </c>
      <c r="O298" s="46">
        <v>1.24</v>
      </c>
      <c r="P298" s="14">
        <v>0.5</v>
      </c>
      <c r="Q298" s="1" t="s">
        <v>961</v>
      </c>
      <c r="R298" s="14">
        <v>-0.25</v>
      </c>
      <c r="S298" s="1" t="str">
        <f>IF(tblDados[[#This Row],[Mandante]]="","",TEXT(tblDados[[#This Row],[Data]],"aaaa-mm-dd")&amp;"|"&amp;TRIM(tblDados[[#This Row],[Mandante]])&amp;"|"&amp;TRIM(tblDados[[#This Row],[Visitante]]))</f>
        <v>2026-08-07|Galtabäcks BK|Qviding FIF</v>
      </c>
      <c r="T298">
        <f>IF($G298="",0,IF(COUNTIF($S$2:$S298,$S298)=1,1,0))</f>
        <v>1</v>
      </c>
      <c r="U298" s="19" t="str" cm="1">
        <f t="array" ref="U2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8" s="19" t="str" cm="1">
        <f t="array" ref="V2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9" spans="1:22" ht="14.25" customHeight="1" x14ac:dyDescent="0.3">
      <c r="A299" s="1" t="s">
        <v>967</v>
      </c>
      <c r="B299" s="5">
        <v>46241</v>
      </c>
      <c r="C299" s="6">
        <v>0.60416666666666663</v>
      </c>
      <c r="D299" s="1" t="s">
        <v>30</v>
      </c>
      <c r="E299" s="1" t="s">
        <v>33</v>
      </c>
      <c r="F299" s="1" t="s">
        <v>966</v>
      </c>
      <c r="G299" s="39" t="s">
        <v>964</v>
      </c>
      <c r="H299" s="1">
        <v>2</v>
      </c>
      <c r="I299" s="1">
        <v>1</v>
      </c>
      <c r="J299" s="39" t="s">
        <v>965</v>
      </c>
      <c r="K299" s="1">
        <v>1</v>
      </c>
      <c r="L299" s="1">
        <v>2</v>
      </c>
      <c r="M299" s="1" t="s">
        <v>59</v>
      </c>
      <c r="N299" s="1" t="s">
        <v>60</v>
      </c>
      <c r="O299" s="46">
        <v>1.23</v>
      </c>
      <c r="P299" s="14">
        <v>0.5</v>
      </c>
      <c r="Q299" s="1" t="s">
        <v>61</v>
      </c>
      <c r="R299" s="14">
        <v>0.12</v>
      </c>
      <c r="S299" s="1" t="str">
        <f>IF(tblDados[[#This Row],[Mandante]]="","",TEXT(tblDados[[#This Row],[Data]],"aaaa-mm-dd")&amp;"|"&amp;TRIM(tblDados[[#This Row],[Mandante]])&amp;"|"&amp;TRIM(tblDados[[#This Row],[Visitante]]))</f>
        <v>2026-08-07|Enköpings SK|Karlbergs BK</v>
      </c>
      <c r="T299">
        <f>IF($G299="",0,IF(COUNTIF($S$2:$S299,$S299)=1,1,0))</f>
        <v>1</v>
      </c>
      <c r="U299" s="19" t="str" cm="1">
        <f t="array" ref="U2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9" s="19" t="str" cm="1">
        <f t="array" ref="V2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0" spans="1:22" ht="14.25" customHeight="1" x14ac:dyDescent="0.3">
      <c r="A300" s="1" t="s">
        <v>974</v>
      </c>
      <c r="B300" s="5">
        <v>46241</v>
      </c>
      <c r="C300" s="6">
        <v>0.3125</v>
      </c>
      <c r="D300" s="1" t="s">
        <v>7</v>
      </c>
      <c r="E300" s="1" t="s">
        <v>972</v>
      </c>
      <c r="F300" s="1" t="s">
        <v>973</v>
      </c>
      <c r="G300" s="39" t="s">
        <v>971</v>
      </c>
      <c r="H300" s="1">
        <v>6</v>
      </c>
      <c r="I300" s="1">
        <v>1</v>
      </c>
      <c r="J300" s="39" t="s">
        <v>970</v>
      </c>
      <c r="K300" s="1">
        <v>1</v>
      </c>
      <c r="L300" s="1">
        <v>6</v>
      </c>
      <c r="M300" s="1" t="s">
        <v>59</v>
      </c>
      <c r="N300" s="1" t="s">
        <v>98</v>
      </c>
      <c r="O300" s="46">
        <v>1.25</v>
      </c>
      <c r="P300" s="14">
        <v>0.5</v>
      </c>
      <c r="Q300" s="1" t="s">
        <v>61</v>
      </c>
      <c r="R300" s="14">
        <v>0.13</v>
      </c>
      <c r="S300" s="1" t="str">
        <f>IF(tblDados[[#This Row],[Mandante]]="","",TEXT(tblDados[[#This Row],[Data]],"aaaa-mm-dd")&amp;"|"&amp;TRIM(tblDados[[#This Row],[Mandante]])&amp;"|"&amp;TRIM(tblDados[[#This Row],[Visitante]]))</f>
        <v>2026-08-07|West Torrens Birkalla|West Adelaide SC</v>
      </c>
      <c r="T300">
        <f>IF($G300="",0,IF(COUNTIF($S$2:$S300,$S300)=1,1,0))</f>
        <v>1</v>
      </c>
      <c r="U300" s="19" t="str" cm="1">
        <f t="array" ref="U3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0" s="19" t="str" cm="1">
        <f t="array" ref="V3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1" spans="1:22" ht="14.25" customHeight="1" x14ac:dyDescent="0.3">
      <c r="A301" s="1" t="s">
        <v>981</v>
      </c>
      <c r="B301" s="5">
        <v>46241</v>
      </c>
      <c r="C301" s="6">
        <v>0.23958333333333334</v>
      </c>
      <c r="D301" s="1" t="s">
        <v>7</v>
      </c>
      <c r="E301" s="1" t="s">
        <v>972</v>
      </c>
      <c r="F301" s="1" t="s">
        <v>980</v>
      </c>
      <c r="G301" s="39" t="s">
        <v>978</v>
      </c>
      <c r="H301" s="1">
        <v>0</v>
      </c>
      <c r="I301" s="1">
        <v>1</v>
      </c>
      <c r="J301" s="39" t="s">
        <v>979</v>
      </c>
      <c r="K301" s="1">
        <v>1</v>
      </c>
      <c r="L301" s="1">
        <v>0</v>
      </c>
      <c r="M301" s="1" t="s">
        <v>59</v>
      </c>
      <c r="N301" s="1" t="s">
        <v>60</v>
      </c>
      <c r="O301" s="46">
        <v>1.175</v>
      </c>
      <c r="P301" s="14">
        <v>0.5</v>
      </c>
      <c r="Q301" s="1" t="s">
        <v>73</v>
      </c>
      <c r="R301" s="14">
        <v>-0.5</v>
      </c>
      <c r="S301" s="1" t="str">
        <f>IF(tblDados[[#This Row],[Mandante]]="","",TEXT(tblDados[[#This Row],[Data]],"aaaa-mm-dd")&amp;"|"&amp;TRIM(tblDados[[#This Row],[Mandante]])&amp;"|"&amp;TRIM(tblDados[[#This Row],[Visitante]]))</f>
        <v>2026-08-07|Adelaide Comets|MetroStars</v>
      </c>
      <c r="T301">
        <f>IF($G301="",0,IF(COUNTIF($S$2:$S301,$S301)=1,1,0))</f>
        <v>1</v>
      </c>
      <c r="U301" s="19" t="str" cm="1">
        <f t="array" ref="U3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1" s="19" t="str" cm="1">
        <f t="array" ref="V3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2" spans="1:22" ht="14.25" customHeight="1" x14ac:dyDescent="0.3">
      <c r="A302" s="1" t="s">
        <v>986</v>
      </c>
      <c r="B302" s="5">
        <v>46237</v>
      </c>
      <c r="C302" s="6">
        <v>0.58333333333333337</v>
      </c>
      <c r="D302" s="1" t="s">
        <v>30</v>
      </c>
      <c r="E302" s="1" t="s">
        <v>33</v>
      </c>
      <c r="F302" s="1" t="s">
        <v>985</v>
      </c>
      <c r="G302" s="39" t="s">
        <v>984</v>
      </c>
      <c r="H302" s="1">
        <v>1</v>
      </c>
      <c r="I302" s="1">
        <v>1</v>
      </c>
      <c r="J302" s="39" t="s">
        <v>983</v>
      </c>
      <c r="K302" s="1">
        <v>1</v>
      </c>
      <c r="L302" s="1">
        <v>1</v>
      </c>
      <c r="M302" s="1" t="s">
        <v>59</v>
      </c>
      <c r="N302" s="1" t="s">
        <v>60</v>
      </c>
      <c r="O302" s="46">
        <v>1.24</v>
      </c>
      <c r="P302" s="14">
        <v>0.5</v>
      </c>
      <c r="Q302" s="1" t="s">
        <v>68</v>
      </c>
      <c r="R302" s="14">
        <v>0</v>
      </c>
      <c r="S302" s="1" t="str">
        <f>IF(tblDados[[#This Row],[Mandante]]="","",TEXT(tblDados[[#This Row],[Data]],"aaaa-mm-dd")&amp;"|"&amp;TRIM(tblDados[[#This Row],[Mandante]])&amp;"|"&amp;TRIM(tblDados[[#This Row],[Visitante]]))</f>
        <v>2026-08-03|Vasalunds IF|Sollentuna FK</v>
      </c>
      <c r="T302">
        <f>IF($G302="",0,IF(COUNTIF($S$2:$S302,$S302)=1,1,0))</f>
        <v>1</v>
      </c>
      <c r="U302" s="19" t="str" cm="1">
        <f t="array" ref="U3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2" s="19" t="str" cm="1">
        <f t="array" ref="V3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3" spans="1:22" ht="14.25" customHeight="1" x14ac:dyDescent="0.3">
      <c r="A303" s="1" t="s">
        <v>988</v>
      </c>
      <c r="B303" s="5">
        <v>46237</v>
      </c>
      <c r="C303" s="6">
        <v>0.58333333333333337</v>
      </c>
      <c r="D303" s="1" t="s">
        <v>27</v>
      </c>
      <c r="E303" s="1" t="s">
        <v>29</v>
      </c>
      <c r="F303" s="1" t="s">
        <v>7036</v>
      </c>
      <c r="G303" s="39" t="s">
        <v>7037</v>
      </c>
      <c r="H303" s="1">
        <v>3</v>
      </c>
      <c r="I303" s="1">
        <v>4</v>
      </c>
      <c r="J303" s="39" t="s">
        <v>7038</v>
      </c>
      <c r="K303" s="1">
        <v>4</v>
      </c>
      <c r="L303" s="1">
        <v>3</v>
      </c>
      <c r="M303" s="1" t="s">
        <v>59</v>
      </c>
      <c r="N303" s="1" t="s">
        <v>207</v>
      </c>
      <c r="O303" s="46">
        <v>1.23</v>
      </c>
      <c r="P303" s="14">
        <v>0.5</v>
      </c>
      <c r="Q303" s="1" t="s">
        <v>61</v>
      </c>
      <c r="R303" s="14">
        <v>0.12</v>
      </c>
      <c r="S303" s="1" t="s">
        <v>7039</v>
      </c>
      <c r="T303">
        <f>IF($G303="",0,IF(COUNTIF($S$2:$S303,$S303)=1,1,0))</f>
        <v>1</v>
      </c>
      <c r="U303" s="19" t="str" cm="1">
        <f t="array" ref="U3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3" s="19" t="str" cm="1">
        <f t="array" ref="V3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4" spans="1:22" ht="14.25" customHeight="1" x14ac:dyDescent="0.3">
      <c r="A304" s="1" t="s">
        <v>995</v>
      </c>
      <c r="B304" s="5">
        <v>46237</v>
      </c>
      <c r="C304" s="6">
        <v>0.54166666666666663</v>
      </c>
      <c r="D304" s="1" t="s">
        <v>18</v>
      </c>
      <c r="E304" s="1" t="s">
        <v>19</v>
      </c>
      <c r="F304" s="1" t="s">
        <v>994</v>
      </c>
      <c r="G304" s="39" t="s">
        <v>993</v>
      </c>
      <c r="H304" s="1">
        <v>3</v>
      </c>
      <c r="I304" s="1">
        <v>0</v>
      </c>
      <c r="J304" s="39" t="s">
        <v>992</v>
      </c>
      <c r="K304" s="1">
        <v>0</v>
      </c>
      <c r="L304" s="1">
        <v>3</v>
      </c>
      <c r="M304" s="1" t="s">
        <v>59</v>
      </c>
      <c r="N304" s="1" t="s">
        <v>60</v>
      </c>
      <c r="O304" s="46">
        <v>1.21</v>
      </c>
      <c r="P304" s="14">
        <v>0.5</v>
      </c>
      <c r="Q304" s="1" t="s">
        <v>61</v>
      </c>
      <c r="R304" s="14">
        <v>0.11</v>
      </c>
      <c r="S304" s="1" t="str">
        <f>IF(tblDados[[#This Row],[Mandante]]="","",TEXT(tblDados[[#This Row],[Data]],"aaaa-mm-dd")&amp;"|"&amp;TRIM(tblDados[[#This Row],[Mandante]])&amp;"|"&amp;TRIM(tblDados[[#This Row],[Visitante]]))</f>
        <v>2026-08-03|SJK|HJK Helsinki</v>
      </c>
      <c r="T304">
        <f>IF($G304="",0,IF(COUNTIF($S$2:$S304,$S304)=1,1,0))</f>
        <v>1</v>
      </c>
      <c r="U304" s="19" t="str" cm="1">
        <f t="array" ref="U3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4" s="19" t="str" cm="1">
        <f t="array" ref="V3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5" spans="1:22" ht="14.25" customHeight="1" x14ac:dyDescent="0.3">
      <c r="A305" s="1" t="s">
        <v>1001</v>
      </c>
      <c r="B305" s="5">
        <v>46237</v>
      </c>
      <c r="C305" s="6">
        <v>0.58333333333333337</v>
      </c>
      <c r="D305" s="1" t="s">
        <v>30</v>
      </c>
      <c r="E305" s="1" t="s">
        <v>31</v>
      </c>
      <c r="F305" s="1" t="s">
        <v>1000</v>
      </c>
      <c r="G305" s="39" t="s">
        <v>998</v>
      </c>
      <c r="H305" s="1">
        <v>0</v>
      </c>
      <c r="I305" s="1">
        <v>2</v>
      </c>
      <c r="J305" s="39" t="s">
        <v>999</v>
      </c>
      <c r="K305" s="1">
        <v>2</v>
      </c>
      <c r="L305" s="1">
        <v>0</v>
      </c>
      <c r="M305" s="1" t="s">
        <v>59</v>
      </c>
      <c r="N305" s="1" t="s">
        <v>120</v>
      </c>
      <c r="O305" s="46">
        <v>1.1299999999999999</v>
      </c>
      <c r="P305" s="14">
        <v>0.5</v>
      </c>
      <c r="Q305" s="1" t="s">
        <v>61</v>
      </c>
      <c r="R305" s="14">
        <v>7.0000000000000007E-2</v>
      </c>
      <c r="S305" s="1" t="str">
        <f>IF(tblDados[[#This Row],[Mandante]]="","",TEXT(tblDados[[#This Row],[Data]],"aaaa-mm-dd")&amp;"|"&amp;TRIM(tblDados[[#This Row],[Mandante]])&amp;"|"&amp;TRIM(tblDados[[#This Row],[Visitante]]))</f>
        <v>2026-08-03|Halmstads BK|IK Sirius</v>
      </c>
      <c r="T305">
        <f>IF($G305="",0,IF(COUNTIF($S$2:$S305,$S305)=1,1,0))</f>
        <v>1</v>
      </c>
      <c r="U305" s="19" t="str" cm="1">
        <f t="array" ref="U3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5" s="19" t="str" cm="1">
        <f t="array" ref="V3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6" spans="1:22" ht="14.25" customHeight="1" x14ac:dyDescent="0.3">
      <c r="A306" s="1" t="s">
        <v>887</v>
      </c>
      <c r="B306" s="5">
        <v>46130</v>
      </c>
      <c r="C306" s="6">
        <v>0.45833333333333331</v>
      </c>
      <c r="D306" s="1" t="s">
        <v>18</v>
      </c>
      <c r="E306" s="1" t="s">
        <v>433</v>
      </c>
      <c r="F306" s="1" t="s">
        <v>1005</v>
      </c>
      <c r="G306" s="39" t="s">
        <v>439</v>
      </c>
      <c r="H306" s="1">
        <v>4</v>
      </c>
      <c r="I306" s="1">
        <v>0</v>
      </c>
      <c r="J306" s="39" t="s">
        <v>442</v>
      </c>
      <c r="K306" s="1">
        <v>0</v>
      </c>
      <c r="L306" s="1">
        <v>4</v>
      </c>
      <c r="S306" s="1" t="str">
        <f>IF(tblDados[[#This Row],[Mandante]]="","",TEXT(tblDados[[#This Row],[Data]],"aaaa-mm-dd")&amp;"|"&amp;TRIM(tblDados[[#This Row],[Mandante]])&amp;"|"&amp;TRIM(tblDados[[#This Row],[Visitante]]))</f>
        <v>2026-04-18|P-Iirot Rauma|MuSa</v>
      </c>
      <c r="T306" s="1">
        <f>IF($G306="",0,IF(COUNTIF($S$2:$S306,$S306)=1,1,0))</f>
        <v>1</v>
      </c>
      <c r="U306" s="19" t="str" cm="1">
        <f t="array" ref="U3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6" s="19" t="str" cm="1">
        <f t="array" ref="V3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7" spans="1:22" ht="14.25" customHeight="1" x14ac:dyDescent="0.3">
      <c r="A307" s="1" t="s">
        <v>889</v>
      </c>
      <c r="B307" s="5">
        <v>46136</v>
      </c>
      <c r="C307" s="6">
        <v>0.52083333333333337</v>
      </c>
      <c r="D307" s="1" t="s">
        <v>18</v>
      </c>
      <c r="E307" s="1" t="s">
        <v>433</v>
      </c>
      <c r="F307" s="1" t="s">
        <v>1006</v>
      </c>
      <c r="G307" s="39" t="s">
        <v>442</v>
      </c>
      <c r="H307" s="1">
        <v>0</v>
      </c>
      <c r="I307" s="1">
        <v>6</v>
      </c>
      <c r="J307" s="39" t="s">
        <v>435</v>
      </c>
      <c r="K307" s="1">
        <v>6</v>
      </c>
      <c r="L307" s="1">
        <v>0</v>
      </c>
      <c r="S307" s="1" t="str">
        <f>IF(tblDados[[#This Row],[Mandante]]="","",TEXT(tblDados[[#This Row],[Data]],"aaaa-mm-dd")&amp;"|"&amp;TRIM(tblDados[[#This Row],[Mandante]])&amp;"|"&amp;TRIM(tblDados[[#This Row],[Visitante]]))</f>
        <v>2026-04-24|MuSa|Honka</v>
      </c>
      <c r="T307" s="1">
        <f>IF($G307="",0,IF(COUNTIF($S$2:$S307,$S307)=1,1,0))</f>
        <v>1</v>
      </c>
      <c r="U307" s="19" t="str" cm="1">
        <f t="array" ref="U3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7" s="19" t="str" cm="1">
        <f t="array" ref="V3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8" spans="1:22" ht="14.25" customHeight="1" x14ac:dyDescent="0.3">
      <c r="A308" s="1" t="s">
        <v>890</v>
      </c>
      <c r="B308" s="5">
        <v>46144</v>
      </c>
      <c r="C308" s="6">
        <v>0.41666666666666669</v>
      </c>
      <c r="D308" s="1" t="s">
        <v>18</v>
      </c>
      <c r="E308" s="1" t="s">
        <v>433</v>
      </c>
      <c r="F308" s="1" t="s">
        <v>1007</v>
      </c>
      <c r="G308" s="39" t="s">
        <v>458</v>
      </c>
      <c r="H308" s="1">
        <v>1</v>
      </c>
      <c r="I308" s="1">
        <v>1</v>
      </c>
      <c r="J308" s="39" t="s">
        <v>442</v>
      </c>
      <c r="K308" s="1">
        <v>1</v>
      </c>
      <c r="L308" s="1">
        <v>1</v>
      </c>
      <c r="S308" s="1" t="str">
        <f>IF(tblDados[[#This Row],[Mandante]]="","",TEXT(tblDados[[#This Row],[Data]],"aaaa-mm-dd")&amp;"|"&amp;TRIM(tblDados[[#This Row],[Mandante]])&amp;"|"&amp;TRIM(tblDados[[#This Row],[Visitante]]))</f>
        <v>2026-05-02|GrIFK|MuSa</v>
      </c>
      <c r="T308" s="1">
        <f>IF($G308="",0,IF(COUNTIF($S$2:$S308,$S308)=1,1,0))</f>
        <v>1</v>
      </c>
      <c r="U308" s="19" t="str" cm="1">
        <f t="array" ref="U3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8" s="19" t="str" cm="1">
        <f t="array" ref="V3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9" spans="1:22" ht="14.25" customHeight="1" x14ac:dyDescent="0.3">
      <c r="A309" s="1" t="s">
        <v>896</v>
      </c>
      <c r="B309" s="5">
        <v>46151</v>
      </c>
      <c r="C309" s="6">
        <v>0.41666666666666669</v>
      </c>
      <c r="D309" s="1" t="s">
        <v>18</v>
      </c>
      <c r="E309" s="1" t="s">
        <v>433</v>
      </c>
      <c r="F309" s="1" t="s">
        <v>1008</v>
      </c>
      <c r="G309" s="39" t="s">
        <v>442</v>
      </c>
      <c r="H309" s="1">
        <v>0</v>
      </c>
      <c r="I309" s="1">
        <v>2</v>
      </c>
      <c r="J309" s="39" t="s">
        <v>445</v>
      </c>
      <c r="K309" s="1">
        <v>2</v>
      </c>
      <c r="L309" s="1">
        <v>0</v>
      </c>
      <c r="S309" s="1" t="str">
        <f>IF(tblDados[[#This Row],[Mandante]]="","",TEXT(tblDados[[#This Row],[Data]],"aaaa-mm-dd")&amp;"|"&amp;TRIM(tblDados[[#This Row],[Mandante]])&amp;"|"&amp;TRIM(tblDados[[#This Row],[Visitante]]))</f>
        <v>2026-05-09|MuSa|HJS</v>
      </c>
      <c r="T309" s="1">
        <f>IF($G309="",0,IF(COUNTIF($S$2:$S309,$S309)=1,1,0))</f>
        <v>1</v>
      </c>
      <c r="U309" s="19" t="str" cm="1">
        <f t="array" ref="U3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9" s="19" t="str" cm="1">
        <f t="array" ref="V3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0" spans="1:22" ht="14.25" customHeight="1" x14ac:dyDescent="0.3">
      <c r="A310" s="1" t="s">
        <v>899</v>
      </c>
      <c r="B310" s="5">
        <v>46158</v>
      </c>
      <c r="C310" s="6">
        <v>0.41666666666666669</v>
      </c>
      <c r="D310" s="1" t="s">
        <v>18</v>
      </c>
      <c r="E310" s="1" t="s">
        <v>433</v>
      </c>
      <c r="F310" s="1" t="s">
        <v>1009</v>
      </c>
      <c r="G310" s="39" t="s">
        <v>454</v>
      </c>
      <c r="H310" s="1">
        <v>6</v>
      </c>
      <c r="I310" s="1">
        <v>1</v>
      </c>
      <c r="J310" s="39" t="s">
        <v>442</v>
      </c>
      <c r="K310" s="1">
        <v>1</v>
      </c>
      <c r="L310" s="1">
        <v>6</v>
      </c>
      <c r="S310" s="1" t="str">
        <f>IF(tblDados[[#This Row],[Mandante]]="","",TEXT(tblDados[[#This Row],[Data]],"aaaa-mm-dd")&amp;"|"&amp;TRIM(tblDados[[#This Row],[Mandante]])&amp;"|"&amp;TRIM(tblDados[[#This Row],[Visitante]]))</f>
        <v>2026-05-16|EPS|MuSa</v>
      </c>
      <c r="T310" s="1">
        <f>IF($G310="",0,IF(COUNTIF($S$2:$S310,$S310)=1,1,0))</f>
        <v>1</v>
      </c>
      <c r="U310" s="19" t="str" cm="1">
        <f t="array" ref="U3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0" s="19" t="str" cm="1">
        <f t="array" ref="V3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1" spans="1:22" ht="14.25" customHeight="1" x14ac:dyDescent="0.3">
      <c r="A311" s="1" t="s">
        <v>902</v>
      </c>
      <c r="B311" s="5">
        <v>46171</v>
      </c>
      <c r="C311" s="6">
        <v>0.52083333333333337</v>
      </c>
      <c r="D311" s="1" t="s">
        <v>18</v>
      </c>
      <c r="E311" s="1" t="s">
        <v>433</v>
      </c>
      <c r="F311" s="1" t="s">
        <v>1505</v>
      </c>
      <c r="G311" s="39" t="s">
        <v>1502</v>
      </c>
      <c r="H311" s="1">
        <v>4</v>
      </c>
      <c r="I311" s="1">
        <v>2</v>
      </c>
      <c r="J311" s="39" t="s">
        <v>442</v>
      </c>
      <c r="K311" s="1">
        <v>2</v>
      </c>
      <c r="L311" s="1">
        <v>4</v>
      </c>
      <c r="S311" s="1" t="str">
        <f>IF(tblDados[[#This Row],[Mandante]]="","",TEXT(tblDados[[#This Row],[Data]],"aaaa-mm-dd")&amp;"|"&amp;TRIM(tblDados[[#This Row],[Mandante]])&amp;"|"&amp;TRIM(tblDados[[#This Row],[Visitante]]))</f>
        <v>2026-05-29|AIFK|MuSa</v>
      </c>
      <c r="T311" s="1">
        <f>IF($G311="",0,IF(COUNTIF($S$2:$S311,$S311)=1,1,0))</f>
        <v>1</v>
      </c>
      <c r="U311" s="19" t="str" cm="1">
        <f t="array" ref="U3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1" s="19" t="str" cm="1">
        <f t="array" ref="V3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2" spans="1:22" ht="14.25" customHeight="1" x14ac:dyDescent="0.3">
      <c r="A312" s="1" t="s">
        <v>905</v>
      </c>
      <c r="B312" s="5">
        <v>46178</v>
      </c>
      <c r="C312" s="6">
        <v>0.52083333333333337</v>
      </c>
      <c r="D312" s="1" t="s">
        <v>18</v>
      </c>
      <c r="E312" s="1" t="s">
        <v>433</v>
      </c>
      <c r="F312" s="1" t="s">
        <v>1010</v>
      </c>
      <c r="G312" s="39" t="s">
        <v>442</v>
      </c>
      <c r="H312" s="1">
        <v>0</v>
      </c>
      <c r="I312" s="1">
        <v>0</v>
      </c>
      <c r="J312" s="39" t="s">
        <v>448</v>
      </c>
      <c r="K312" s="1">
        <v>0</v>
      </c>
      <c r="L312" s="1">
        <v>0</v>
      </c>
      <c r="S312" s="1" t="str">
        <f>IF(tblDados[[#This Row],[Mandante]]="","",TEXT(tblDados[[#This Row],[Data]],"aaaa-mm-dd")&amp;"|"&amp;TRIM(tblDados[[#This Row],[Mandante]])&amp;"|"&amp;TRIM(tblDados[[#This Row],[Visitante]]))</f>
        <v>2026-06-05|MuSa|NJS</v>
      </c>
      <c r="T312" s="1">
        <f>IF($G312="",0,IF(COUNTIF($S$2:$S312,$S312)=1,1,0))</f>
        <v>1</v>
      </c>
      <c r="U312" s="19" t="str" cm="1">
        <f t="array" ref="U3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2" s="19" t="str" cm="1">
        <f t="array" ref="V3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3" spans="1:22" ht="14.25" customHeight="1" x14ac:dyDescent="0.3">
      <c r="A313" s="1" t="s">
        <v>907</v>
      </c>
      <c r="B313" s="5">
        <v>46185</v>
      </c>
      <c r="C313" s="6">
        <v>0.52083333333333337</v>
      </c>
      <c r="D313" s="1" t="s">
        <v>18</v>
      </c>
      <c r="E313" s="1" t="s">
        <v>433</v>
      </c>
      <c r="F313" s="1" t="s">
        <v>1011</v>
      </c>
      <c r="G313" s="39" t="s">
        <v>451</v>
      </c>
      <c r="H313" s="1">
        <v>0</v>
      </c>
      <c r="I313" s="1">
        <v>2</v>
      </c>
      <c r="J313" s="39" t="s">
        <v>442</v>
      </c>
      <c r="K313" s="1">
        <v>2</v>
      </c>
      <c r="L313" s="1">
        <v>0</v>
      </c>
      <c r="S313" s="1" t="str">
        <f>IF(tblDados[[#This Row],[Mandante]]="","",TEXT(tblDados[[#This Row],[Data]],"aaaa-mm-dd")&amp;"|"&amp;TRIM(tblDados[[#This Row],[Mandante]])&amp;"|"&amp;TRIM(tblDados[[#This Row],[Visitante]]))</f>
        <v>2026-06-12|EBK|MuSa</v>
      </c>
      <c r="T313" s="1">
        <f>IF($G313="",0,IF(COUNTIF($S$2:$S313,$S313)=1,1,0))</f>
        <v>1</v>
      </c>
      <c r="U313" s="19" t="str" cm="1">
        <f t="array" ref="U3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3" s="19" t="str" cm="1">
        <f t="array" ref="V3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4" spans="1:22" ht="14.25" customHeight="1" x14ac:dyDescent="0.3">
      <c r="A314" s="1" t="s">
        <v>909</v>
      </c>
      <c r="B314" s="5">
        <v>46200</v>
      </c>
      <c r="C314" s="6">
        <v>0.45833333333333331</v>
      </c>
      <c r="D314" s="1" t="s">
        <v>18</v>
      </c>
      <c r="E314" s="1" t="s">
        <v>433</v>
      </c>
      <c r="F314" s="1" t="s">
        <v>1012</v>
      </c>
      <c r="G314" s="39" t="s">
        <v>442</v>
      </c>
      <c r="H314" s="1">
        <v>2</v>
      </c>
      <c r="I314" s="1">
        <v>2</v>
      </c>
      <c r="J314" s="39" t="s">
        <v>439</v>
      </c>
      <c r="K314" s="1">
        <v>2</v>
      </c>
      <c r="L314" s="1">
        <v>2</v>
      </c>
      <c r="S314" s="1" t="str">
        <f>IF(tblDados[[#This Row],[Mandante]]="","",TEXT(tblDados[[#This Row],[Data]],"aaaa-mm-dd")&amp;"|"&amp;TRIM(tblDados[[#This Row],[Mandante]])&amp;"|"&amp;TRIM(tblDados[[#This Row],[Visitante]]))</f>
        <v>2026-06-27|MuSa|P-Iirot Rauma</v>
      </c>
      <c r="T314" s="1">
        <f>IF($G314="",0,IF(COUNTIF($S$2:$S314,$S314)=1,1,0))</f>
        <v>1</v>
      </c>
      <c r="U314" s="19" t="str" cm="1">
        <f t="array" ref="U3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4" s="19" t="str" cm="1">
        <f t="array" ref="V3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5" spans="1:22" ht="14.25" customHeight="1" x14ac:dyDescent="0.3">
      <c r="A315" s="1" t="s">
        <v>911</v>
      </c>
      <c r="B315" s="5">
        <v>46212</v>
      </c>
      <c r="C315" s="6">
        <v>0.52083333333333337</v>
      </c>
      <c r="D315" s="1" t="s">
        <v>18</v>
      </c>
      <c r="E315" s="1" t="s">
        <v>433</v>
      </c>
      <c r="F315" s="1" t="s">
        <v>1013</v>
      </c>
      <c r="G315" s="39" t="s">
        <v>442</v>
      </c>
      <c r="H315" s="1">
        <v>3</v>
      </c>
      <c r="I315" s="1">
        <v>1</v>
      </c>
      <c r="J315" s="39" t="s">
        <v>458</v>
      </c>
      <c r="K315" s="1">
        <v>1</v>
      </c>
      <c r="L315" s="1">
        <v>3</v>
      </c>
      <c r="S315" s="1" t="str">
        <f>IF(tblDados[[#This Row],[Mandante]]="","",TEXT(tblDados[[#This Row],[Data]],"aaaa-mm-dd")&amp;"|"&amp;TRIM(tblDados[[#This Row],[Mandante]])&amp;"|"&amp;TRIM(tblDados[[#This Row],[Visitante]]))</f>
        <v>2026-07-09|MuSa|GrIFK</v>
      </c>
      <c r="T315" s="1">
        <f>IF($G315="",0,IF(COUNTIF($S$2:$S315,$S315)=1,1,0))</f>
        <v>1</v>
      </c>
      <c r="U315" s="19" t="str" cm="1">
        <f t="array" ref="U3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5" s="19" t="str" cm="1">
        <f t="array" ref="V3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6" spans="1:22" ht="14.25" customHeight="1" x14ac:dyDescent="0.3">
      <c r="A316" s="1" t="s">
        <v>913</v>
      </c>
      <c r="B316" s="5">
        <v>46221</v>
      </c>
      <c r="C316" s="6">
        <v>0.41666666666666669</v>
      </c>
      <c r="D316" s="1" t="s">
        <v>18</v>
      </c>
      <c r="E316" s="1" t="s">
        <v>433</v>
      </c>
      <c r="F316" s="1" t="s">
        <v>1014</v>
      </c>
      <c r="G316" s="39" t="s">
        <v>445</v>
      </c>
      <c r="H316" s="1">
        <v>2</v>
      </c>
      <c r="I316" s="1">
        <v>1</v>
      </c>
      <c r="J316" s="39" t="s">
        <v>442</v>
      </c>
      <c r="K316" s="1">
        <v>1</v>
      </c>
      <c r="L316" s="1">
        <v>2</v>
      </c>
      <c r="S316" s="1" t="str">
        <f>IF(tblDados[[#This Row],[Mandante]]="","",TEXT(tblDados[[#This Row],[Data]],"aaaa-mm-dd")&amp;"|"&amp;TRIM(tblDados[[#This Row],[Mandante]])&amp;"|"&amp;TRIM(tblDados[[#This Row],[Visitante]]))</f>
        <v>2026-07-18|HJS|MuSa</v>
      </c>
      <c r="T316" s="1">
        <f>IF($G316="",0,IF(COUNTIF($S$2:$S316,$S316)=1,1,0))</f>
        <v>1</v>
      </c>
      <c r="U316" s="19" t="str" cm="1">
        <f t="array" ref="U3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6" s="19" t="str" cm="1">
        <f t="array" ref="V3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7" spans="1:22" ht="14.25" customHeight="1" x14ac:dyDescent="0.3">
      <c r="A317" s="1" t="s">
        <v>914</v>
      </c>
      <c r="B317" s="5">
        <v>46228</v>
      </c>
      <c r="C317" s="6">
        <v>0.41666666666666669</v>
      </c>
      <c r="D317" s="1" t="s">
        <v>18</v>
      </c>
      <c r="E317" s="1" t="s">
        <v>433</v>
      </c>
      <c r="F317" s="1" t="s">
        <v>1015</v>
      </c>
      <c r="G317" s="39" t="s">
        <v>442</v>
      </c>
      <c r="H317" s="1">
        <v>0</v>
      </c>
      <c r="I317" s="1">
        <v>2</v>
      </c>
      <c r="J317" s="39" t="s">
        <v>454</v>
      </c>
      <c r="K317" s="1">
        <v>2</v>
      </c>
      <c r="L317" s="1">
        <v>0</v>
      </c>
      <c r="S317" s="1" t="str">
        <f>IF(tblDados[[#This Row],[Mandante]]="","",TEXT(tblDados[[#This Row],[Data]],"aaaa-mm-dd")&amp;"|"&amp;TRIM(tblDados[[#This Row],[Mandante]])&amp;"|"&amp;TRIM(tblDados[[#This Row],[Visitante]]))</f>
        <v>2026-07-25|MuSa|EPS</v>
      </c>
      <c r="T317" s="1">
        <f>IF($G317="",0,IF(COUNTIF($S$2:$S317,$S317)=1,1,0))</f>
        <v>1</v>
      </c>
      <c r="U317" s="19" t="str" cm="1">
        <f t="array" ref="U3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7" s="19" t="str" cm="1">
        <f t="array" ref="V3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8" spans="1:22" ht="14.25" customHeight="1" x14ac:dyDescent="0.3">
      <c r="A318" s="1" t="s">
        <v>1016</v>
      </c>
      <c r="B318" s="5">
        <v>46131</v>
      </c>
      <c r="C318" s="6">
        <v>0.52083333333333337</v>
      </c>
      <c r="D318" s="1" t="s">
        <v>18</v>
      </c>
      <c r="E318" s="1" t="s">
        <v>21</v>
      </c>
      <c r="F318" s="1" t="s">
        <v>1017</v>
      </c>
      <c r="G318" s="39" t="s">
        <v>749</v>
      </c>
      <c r="H318" s="1">
        <v>1</v>
      </c>
      <c r="I318" s="1">
        <v>1</v>
      </c>
      <c r="J318" s="39" t="s">
        <v>775</v>
      </c>
      <c r="K318" s="1">
        <v>1</v>
      </c>
      <c r="L318" s="1">
        <v>1</v>
      </c>
      <c r="S318" s="1" t="str">
        <f>IF(tblDados[[#This Row],[Mandante]]="","",TEXT(tblDados[[#This Row],[Data]],"aaaa-mm-dd")&amp;"|"&amp;TRIM(tblDados[[#This Row],[Mandante]])&amp;"|"&amp;TRIM(tblDados[[#This Row],[Visitante]]))</f>
        <v>2026-04-19|Inter Turku 2|OLS Oulu</v>
      </c>
      <c r="T318">
        <f>IF($G318="",0,IF(COUNTIF($S$2:$S318,$S318)=1,1,0))</f>
        <v>1</v>
      </c>
      <c r="U318" s="19" t="str" cm="1">
        <f t="array" ref="U3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8" s="19" t="str" cm="1">
        <f t="array" ref="V3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9" spans="1:22" ht="14.25" customHeight="1" x14ac:dyDescent="0.3">
      <c r="A319" s="1" t="s">
        <v>1018</v>
      </c>
      <c r="B319" s="5">
        <v>46137</v>
      </c>
      <c r="C319" s="6">
        <v>0.41666666666666669</v>
      </c>
      <c r="D319" s="1" t="s">
        <v>18</v>
      </c>
      <c r="E319" s="1" t="s">
        <v>21</v>
      </c>
      <c r="F319" s="1" t="s">
        <v>1019</v>
      </c>
      <c r="G319" s="39" t="s">
        <v>775</v>
      </c>
      <c r="H319" s="1">
        <v>2</v>
      </c>
      <c r="I319" s="1">
        <v>0</v>
      </c>
      <c r="J319" s="39" t="s">
        <v>760</v>
      </c>
      <c r="K319" s="1">
        <v>0</v>
      </c>
      <c r="L319" s="1">
        <v>2</v>
      </c>
      <c r="S319" s="1" t="str">
        <f>IF(tblDados[[#This Row],[Mandante]]="","",TEXT(tblDados[[#This Row],[Data]],"aaaa-mm-dd")&amp;"|"&amp;TRIM(tblDados[[#This Row],[Mandante]])&amp;"|"&amp;TRIM(tblDados[[#This Row],[Visitante]]))</f>
        <v>2026-04-25|OLS Oulu|Keski-Uusimaa</v>
      </c>
      <c r="T319" s="1">
        <f>IF($G319="",0,IF(COUNTIF($S$2:$S319,$S319)=1,1,0))</f>
        <v>1</v>
      </c>
      <c r="U319" s="19" t="str" cm="1">
        <f t="array" ref="U3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9" s="19" t="str" cm="1">
        <f t="array" ref="V3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0" spans="1:22" ht="14.25" customHeight="1" x14ac:dyDescent="0.3">
      <c r="A320" s="1" t="s">
        <v>1020</v>
      </c>
      <c r="B320" s="5">
        <v>46144</v>
      </c>
      <c r="C320" s="6">
        <v>0.41666666666666669</v>
      </c>
      <c r="D320" s="1" t="s">
        <v>18</v>
      </c>
      <c r="E320" s="1" t="s">
        <v>21</v>
      </c>
      <c r="F320" s="1" t="s">
        <v>1021</v>
      </c>
      <c r="G320" s="39" t="s">
        <v>763</v>
      </c>
      <c r="H320" s="1">
        <v>0</v>
      </c>
      <c r="I320" s="1">
        <v>4</v>
      </c>
      <c r="J320" s="39" t="s">
        <v>775</v>
      </c>
      <c r="K320" s="1">
        <v>4</v>
      </c>
      <c r="L320" s="1">
        <v>0</v>
      </c>
      <c r="S320" s="1" t="str">
        <f>IF(tblDados[[#This Row],[Mandante]]="","",TEXT(tblDados[[#This Row],[Data]],"aaaa-mm-dd")&amp;"|"&amp;TRIM(tblDados[[#This Row],[Mandante]])&amp;"|"&amp;TRIM(tblDados[[#This Row],[Visitante]]))</f>
        <v>2026-05-02|KPV|OLS Oulu</v>
      </c>
      <c r="T320" s="1">
        <f>IF($G320="",0,IF(COUNTIF($S$2:$S320,$S320)=1,1,0))</f>
        <v>1</v>
      </c>
      <c r="U320" s="19" t="str" cm="1">
        <f t="array" ref="U3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0" s="19" t="str" cm="1">
        <f t="array" ref="V3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1" spans="1:22" ht="14.25" customHeight="1" x14ac:dyDescent="0.3">
      <c r="A321" s="1" t="s">
        <v>1022</v>
      </c>
      <c r="B321" s="5">
        <v>46151</v>
      </c>
      <c r="C321" s="6">
        <v>0.41666666666666669</v>
      </c>
      <c r="D321" s="1" t="s">
        <v>18</v>
      </c>
      <c r="E321" s="1" t="s">
        <v>21</v>
      </c>
      <c r="F321" s="1" t="s">
        <v>1023</v>
      </c>
      <c r="G321" s="39" t="s">
        <v>775</v>
      </c>
      <c r="H321" s="1">
        <v>2</v>
      </c>
      <c r="I321" s="1">
        <v>1</v>
      </c>
      <c r="J321" s="39" t="s">
        <v>772</v>
      </c>
      <c r="K321" s="1">
        <v>1</v>
      </c>
      <c r="L321" s="1">
        <v>2</v>
      </c>
      <c r="S321" s="1" t="str">
        <f>IF(tblDados[[#This Row],[Mandante]]="","",TEXT(tblDados[[#This Row],[Data]],"aaaa-mm-dd")&amp;"|"&amp;TRIM(tblDados[[#This Row],[Mandante]])&amp;"|"&amp;TRIM(tblDados[[#This Row],[Visitante]]))</f>
        <v>2026-05-09|OLS Oulu|JJK Jyvaskyla</v>
      </c>
      <c r="T321" s="1">
        <f>IF($G321="",0,IF(COUNTIF($S$2:$S321,$S321)=1,1,0))</f>
        <v>1</v>
      </c>
      <c r="U321" s="19" t="str" cm="1">
        <f t="array" ref="U3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1" s="19" t="str" cm="1">
        <f t="array" ref="V3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2" spans="1:22" ht="14.25" customHeight="1" x14ac:dyDescent="0.3">
      <c r="A322" s="1" t="s">
        <v>1024</v>
      </c>
      <c r="B322" s="5">
        <v>46158</v>
      </c>
      <c r="C322" s="6">
        <v>0.41666666666666669</v>
      </c>
      <c r="D322" s="1" t="s">
        <v>18</v>
      </c>
      <c r="E322" s="1" t="s">
        <v>21</v>
      </c>
      <c r="F322" s="1" t="s">
        <v>1025</v>
      </c>
      <c r="G322" s="39" t="s">
        <v>766</v>
      </c>
      <c r="H322" s="1">
        <v>2</v>
      </c>
      <c r="I322" s="1">
        <v>2</v>
      </c>
      <c r="J322" s="39" t="s">
        <v>775</v>
      </c>
      <c r="K322" s="1">
        <v>2</v>
      </c>
      <c r="L322" s="1">
        <v>2</v>
      </c>
      <c r="S322" s="1" t="str">
        <f>IF(tblDados[[#This Row],[Mandante]]="","",TEXT(tblDados[[#This Row],[Data]],"aaaa-mm-dd")&amp;"|"&amp;TRIM(tblDados[[#This Row],[Mandante]])&amp;"|"&amp;TRIM(tblDados[[#This Row],[Visitante]]))</f>
        <v>2026-05-16|TPV|OLS Oulu</v>
      </c>
      <c r="T322" s="1">
        <f>IF($G322="",0,IF(COUNTIF($S$2:$S322,$S322)=1,1,0))</f>
        <v>1</v>
      </c>
      <c r="U322" s="19" t="str" cm="1">
        <f t="array" ref="U3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2" s="19" t="str" cm="1">
        <f t="array" ref="V3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3" spans="1:22" ht="14.25" customHeight="1" x14ac:dyDescent="0.3">
      <c r="A323" s="1" t="s">
        <v>1026</v>
      </c>
      <c r="B323" s="5">
        <v>46166</v>
      </c>
      <c r="C323" s="6">
        <v>0.52083333333333337</v>
      </c>
      <c r="D323" s="1" t="s">
        <v>18</v>
      </c>
      <c r="E323" s="1" t="s">
        <v>21</v>
      </c>
      <c r="F323" s="1" t="s">
        <v>1027</v>
      </c>
      <c r="G323" s="39" t="s">
        <v>775</v>
      </c>
      <c r="H323" s="1">
        <v>1</v>
      </c>
      <c r="I323" s="1">
        <v>2</v>
      </c>
      <c r="J323" s="39" t="s">
        <v>769</v>
      </c>
      <c r="K323" s="1">
        <v>2</v>
      </c>
      <c r="L323" s="1">
        <v>1</v>
      </c>
      <c r="S323" s="1" t="str">
        <f>IF(tblDados[[#This Row],[Mandante]]="","",TEXT(tblDados[[#This Row],[Data]],"aaaa-mm-dd")&amp;"|"&amp;TRIM(tblDados[[#This Row],[Mandante]])&amp;"|"&amp;TRIM(tblDados[[#This Row],[Visitante]]))</f>
        <v>2026-05-24|OLS Oulu|Jazz Pori</v>
      </c>
      <c r="T323" s="1">
        <f>IF($G323="",0,IF(COUNTIF($S$2:$S323,$S323)=1,1,0))</f>
        <v>1</v>
      </c>
      <c r="U323" s="19" t="str" cm="1">
        <f t="array" ref="U3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3" s="19" t="str" cm="1">
        <f t="array" ref="V3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4" spans="1:22" ht="14.25" customHeight="1" x14ac:dyDescent="0.3">
      <c r="A324" s="1" t="s">
        <v>1028</v>
      </c>
      <c r="B324" s="5">
        <v>46170</v>
      </c>
      <c r="C324" s="6">
        <v>0.52083333333333337</v>
      </c>
      <c r="D324" s="1" t="s">
        <v>18</v>
      </c>
      <c r="E324" s="1" t="s">
        <v>21</v>
      </c>
      <c r="F324" s="1" t="s">
        <v>1029</v>
      </c>
      <c r="G324" s="39" t="s">
        <v>772</v>
      </c>
      <c r="H324" s="1">
        <v>1</v>
      </c>
      <c r="I324" s="1">
        <v>0</v>
      </c>
      <c r="J324" s="39" t="s">
        <v>775</v>
      </c>
      <c r="K324" s="1">
        <v>0</v>
      </c>
      <c r="L324" s="1">
        <v>1</v>
      </c>
      <c r="S324" s="1" t="str">
        <f>IF(tblDados[[#This Row],[Mandante]]="","",TEXT(tblDados[[#This Row],[Data]],"aaaa-mm-dd")&amp;"|"&amp;TRIM(tblDados[[#This Row],[Mandante]])&amp;"|"&amp;TRIM(tblDados[[#This Row],[Visitante]]))</f>
        <v>2026-05-28|JJK Jyvaskyla|OLS Oulu</v>
      </c>
      <c r="T324" s="1">
        <f>IF($G324="",0,IF(COUNTIF($S$2:$S324,$S324)=1,1,0))</f>
        <v>1</v>
      </c>
      <c r="U324" s="19" t="str" cm="1">
        <f t="array" ref="U3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4" s="19" t="str" cm="1">
        <f t="array" ref="V3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5" spans="1:22" ht="14.25" customHeight="1" x14ac:dyDescent="0.3">
      <c r="A325" s="1" t="s">
        <v>1030</v>
      </c>
      <c r="B325" s="5">
        <v>46175</v>
      </c>
      <c r="C325" s="6">
        <v>0.54166666666666663</v>
      </c>
      <c r="D325" s="1" t="s">
        <v>18</v>
      </c>
      <c r="E325" s="1" t="s">
        <v>21</v>
      </c>
      <c r="F325" s="1" t="s">
        <v>2975</v>
      </c>
      <c r="G325" s="39" t="s">
        <v>2971</v>
      </c>
      <c r="H325" s="1">
        <v>1</v>
      </c>
      <c r="I325" s="1">
        <v>1</v>
      </c>
      <c r="J325" s="39" t="s">
        <v>775</v>
      </c>
      <c r="K325" s="1">
        <v>1</v>
      </c>
      <c r="L325" s="1">
        <v>1</v>
      </c>
      <c r="S325" s="1" t="str">
        <f>IF(tblDados[[#This Row],[Mandante]]="","",TEXT(tblDados[[#This Row],[Data]],"aaaa-mm-dd")&amp;"|"&amp;TRIM(tblDados[[#This Row],[Mandante]])&amp;"|"&amp;TRIM(tblDados[[#This Row],[Visitante]]))</f>
        <v>2026-06-02|RoPS (Rovaniemi)|OLS Oulu</v>
      </c>
      <c r="T325" s="1">
        <f>IF($G325="",0,IF(COUNTIF($S$2:$S325,$S325)=1,1,0))</f>
        <v>1</v>
      </c>
      <c r="U325" s="19" t="str" cm="1">
        <f t="array" ref="U3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5" s="19" t="str" cm="1">
        <f t="array" ref="V3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6" spans="1:22" ht="14.25" customHeight="1" x14ac:dyDescent="0.3">
      <c r="A326" s="1" t="s">
        <v>1031</v>
      </c>
      <c r="B326" s="5">
        <v>46179</v>
      </c>
      <c r="C326" s="6">
        <v>0.41666666666666669</v>
      </c>
      <c r="D326" s="1" t="s">
        <v>18</v>
      </c>
      <c r="E326" s="1" t="s">
        <v>21</v>
      </c>
      <c r="F326" s="1" t="s">
        <v>1032</v>
      </c>
      <c r="G326" s="39" t="s">
        <v>775</v>
      </c>
      <c r="H326" s="1">
        <v>5</v>
      </c>
      <c r="I326" s="1">
        <v>0</v>
      </c>
      <c r="J326" s="39" t="s">
        <v>748</v>
      </c>
      <c r="K326" s="1">
        <v>0</v>
      </c>
      <c r="L326" s="1">
        <v>5</v>
      </c>
      <c r="S326" s="1" t="str">
        <f>IF(tblDados[[#This Row],[Mandante]]="","",TEXT(tblDados[[#This Row],[Data]],"aaaa-mm-dd")&amp;"|"&amp;TRIM(tblDados[[#This Row],[Mandante]])&amp;"|"&amp;TRIM(tblDados[[#This Row],[Visitante]]))</f>
        <v>2026-06-06|OLS Oulu|SalPa</v>
      </c>
      <c r="T326" s="1">
        <f>IF($G326="",0,IF(COUNTIF($S$2:$S326,$S326)=1,1,0))</f>
        <v>1</v>
      </c>
      <c r="U326" s="19" t="str" cm="1">
        <f t="array" ref="U3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6" s="19" t="str" cm="1">
        <f t="array" ref="V3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7" spans="1:22" ht="14.25" customHeight="1" x14ac:dyDescent="0.3">
      <c r="A327" s="1" t="s">
        <v>1033</v>
      </c>
      <c r="B327" s="5">
        <v>46184</v>
      </c>
      <c r="C327" s="6">
        <v>0.54166666666666663</v>
      </c>
      <c r="D327" s="1" t="s">
        <v>18</v>
      </c>
      <c r="E327" s="1" t="s">
        <v>21</v>
      </c>
      <c r="F327" s="1" t="s">
        <v>1034</v>
      </c>
      <c r="G327" s="39" t="s">
        <v>752</v>
      </c>
      <c r="H327" s="1">
        <v>3</v>
      </c>
      <c r="I327" s="1">
        <v>0</v>
      </c>
      <c r="J327" s="39" t="s">
        <v>775</v>
      </c>
      <c r="K327" s="1">
        <v>0</v>
      </c>
      <c r="L327" s="1">
        <v>3</v>
      </c>
      <c r="S327" s="1" t="str">
        <f>IF(tblDados[[#This Row],[Mandante]]="","",TEXT(tblDados[[#This Row],[Data]],"aaaa-mm-dd")&amp;"|"&amp;TRIM(tblDados[[#This Row],[Mandante]])&amp;"|"&amp;TRIM(tblDados[[#This Row],[Visitante]]))</f>
        <v>2026-06-11|Tampere Utd|OLS Oulu</v>
      </c>
      <c r="T327" s="1">
        <f>IF($G327="",0,IF(COUNTIF($S$2:$S327,$S327)=1,1,0))</f>
        <v>1</v>
      </c>
      <c r="U327" s="19" t="str" cm="1">
        <f t="array" ref="U3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7" s="19" t="str" cm="1">
        <f t="array" ref="V3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8" spans="1:22" ht="14.25" customHeight="1" x14ac:dyDescent="0.3">
      <c r="A328" s="1" t="s">
        <v>1035</v>
      </c>
      <c r="B328" s="5">
        <v>46214</v>
      </c>
      <c r="C328" s="6">
        <v>0.41666666666666669</v>
      </c>
      <c r="D328" s="1" t="s">
        <v>18</v>
      </c>
      <c r="E328" s="1" t="s">
        <v>21</v>
      </c>
      <c r="F328" s="1" t="s">
        <v>1036</v>
      </c>
      <c r="G328" s="39" t="s">
        <v>755</v>
      </c>
      <c r="H328" s="1">
        <v>4</v>
      </c>
      <c r="I328" s="1">
        <v>3</v>
      </c>
      <c r="J328" s="39" t="s">
        <v>775</v>
      </c>
      <c r="K328" s="1">
        <v>3</v>
      </c>
      <c r="L328" s="1">
        <v>4</v>
      </c>
      <c r="S328" s="1" t="str">
        <f>IF(tblDados[[#This Row],[Mandante]]="","",TEXT(tblDados[[#This Row],[Data]],"aaaa-mm-dd")&amp;"|"&amp;TRIM(tblDados[[#This Row],[Mandante]])&amp;"|"&amp;TRIM(tblDados[[#This Row],[Visitante]]))</f>
        <v>2026-07-11|VJS|OLS Oulu</v>
      </c>
      <c r="T328" s="1">
        <f>IF($G328="",0,IF(COUNTIF($S$2:$S328,$S328)=1,1,0))</f>
        <v>1</v>
      </c>
      <c r="U328" s="19" t="str" cm="1">
        <f t="array" ref="U3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8" s="19" t="str" cm="1">
        <f t="array" ref="V3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9" spans="1:22" ht="14.25" customHeight="1" x14ac:dyDescent="0.3">
      <c r="A329" s="1" t="s">
        <v>1037</v>
      </c>
      <c r="B329" s="5">
        <v>46221</v>
      </c>
      <c r="C329" s="6">
        <v>0.41666666666666669</v>
      </c>
      <c r="D329" s="1" t="s">
        <v>18</v>
      </c>
      <c r="E329" s="1" t="s">
        <v>21</v>
      </c>
      <c r="F329" s="1" t="s">
        <v>1038</v>
      </c>
      <c r="G329" s="39" t="s">
        <v>760</v>
      </c>
      <c r="H329" s="1">
        <v>1</v>
      </c>
      <c r="I329" s="1">
        <v>1</v>
      </c>
      <c r="J329" s="39" t="s">
        <v>775</v>
      </c>
      <c r="K329" s="1">
        <v>1</v>
      </c>
      <c r="L329" s="1">
        <v>1</v>
      </c>
      <c r="S329" s="1" t="str">
        <f>IF(tblDados[[#This Row],[Mandante]]="","",TEXT(tblDados[[#This Row],[Data]],"aaaa-mm-dd")&amp;"|"&amp;TRIM(tblDados[[#This Row],[Mandante]])&amp;"|"&amp;TRIM(tblDados[[#This Row],[Visitante]]))</f>
        <v>2026-07-18|Keski-Uusimaa|OLS Oulu</v>
      </c>
      <c r="T329" s="1">
        <f>IF($G329="",0,IF(COUNTIF($S$2:$S329,$S329)=1,1,0))</f>
        <v>1</v>
      </c>
      <c r="U329" s="19" t="str" cm="1">
        <f t="array" ref="U3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9" s="19" t="str" cm="1">
        <f t="array" ref="V3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0" spans="1:22" ht="14.25" customHeight="1" x14ac:dyDescent="0.3">
      <c r="A330" s="1" t="s">
        <v>1039</v>
      </c>
      <c r="B330" s="5">
        <v>46229</v>
      </c>
      <c r="C330" s="6">
        <v>0.52083333333333337</v>
      </c>
      <c r="D330" s="1" t="s">
        <v>18</v>
      </c>
      <c r="E330" s="1" t="s">
        <v>21</v>
      </c>
      <c r="F330" s="1" t="s">
        <v>1040</v>
      </c>
      <c r="G330" s="39" t="s">
        <v>775</v>
      </c>
      <c r="H330" s="1">
        <v>2</v>
      </c>
      <c r="I330" s="1">
        <v>1</v>
      </c>
      <c r="J330" s="39" t="s">
        <v>763</v>
      </c>
      <c r="K330" s="1">
        <v>1</v>
      </c>
      <c r="L330" s="1">
        <v>2</v>
      </c>
      <c r="S330" s="1" t="str">
        <f>IF(tblDados[[#This Row],[Mandante]]="","",TEXT(tblDados[[#This Row],[Data]],"aaaa-mm-dd")&amp;"|"&amp;TRIM(tblDados[[#This Row],[Mandante]])&amp;"|"&amp;TRIM(tblDados[[#This Row],[Visitante]]))</f>
        <v>2026-07-26|OLS Oulu|KPV</v>
      </c>
      <c r="T330" s="1">
        <f>IF($G330="",0,IF(COUNTIF($S$2:$S330,$S330)=1,1,0))</f>
        <v>1</v>
      </c>
      <c r="U330" s="19" t="str" cm="1">
        <f t="array" ref="U3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0" s="19" t="str" cm="1">
        <f t="array" ref="V3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1" spans="1:22" ht="14.25" customHeight="1" x14ac:dyDescent="0.3">
      <c r="A331" s="1" t="s">
        <v>1041</v>
      </c>
      <c r="B331" s="5">
        <v>46144</v>
      </c>
      <c r="C331" s="6">
        <v>0.41666666666666669</v>
      </c>
      <c r="D331" s="1" t="s">
        <v>18</v>
      </c>
      <c r="E331" s="1" t="s">
        <v>21</v>
      </c>
      <c r="F331" s="1" t="s">
        <v>2976</v>
      </c>
      <c r="G331" s="39" t="s">
        <v>772</v>
      </c>
      <c r="H331" s="1">
        <v>3</v>
      </c>
      <c r="I331" s="1">
        <v>3</v>
      </c>
      <c r="J331" s="39" t="s">
        <v>2971</v>
      </c>
      <c r="K331" s="1">
        <v>3</v>
      </c>
      <c r="L331" s="1">
        <v>3</v>
      </c>
      <c r="S331" s="1" t="str">
        <f>IF(tblDados[[#This Row],[Mandante]]="","",TEXT(tblDados[[#This Row],[Data]],"aaaa-mm-dd")&amp;"|"&amp;TRIM(tblDados[[#This Row],[Mandante]])&amp;"|"&amp;TRIM(tblDados[[#This Row],[Visitante]]))</f>
        <v>2026-05-02|JJK Jyvaskyla|RoPS (Rovaniemi)</v>
      </c>
      <c r="T331">
        <f>IF($G331="",0,IF(COUNTIF($S$2:$S331,$S331)=1,1,0))</f>
        <v>1</v>
      </c>
      <c r="U331" s="19" t="str" cm="1">
        <f t="array" ref="U3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1" s="19" t="str" cm="1">
        <f t="array" ref="V3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2" spans="1:22" ht="14.25" customHeight="1" x14ac:dyDescent="0.3">
      <c r="A332" s="1" t="s">
        <v>1042</v>
      </c>
      <c r="B332" s="5">
        <v>46158</v>
      </c>
      <c r="C332" s="6">
        <v>0.41666666666666669</v>
      </c>
      <c r="D332" s="1" t="s">
        <v>18</v>
      </c>
      <c r="E332" s="1" t="s">
        <v>21</v>
      </c>
      <c r="F332" s="1" t="s">
        <v>1043</v>
      </c>
      <c r="G332" s="39" t="s">
        <v>772</v>
      </c>
      <c r="H332" s="1">
        <v>2</v>
      </c>
      <c r="I332" s="1">
        <v>2</v>
      </c>
      <c r="J332" s="39" t="s">
        <v>748</v>
      </c>
      <c r="K332" s="1">
        <v>2</v>
      </c>
      <c r="L332" s="1">
        <v>2</v>
      </c>
      <c r="S332" s="1" t="str">
        <f>IF(tblDados[[#This Row],[Mandante]]="","",TEXT(tblDados[[#This Row],[Data]],"aaaa-mm-dd")&amp;"|"&amp;TRIM(tblDados[[#This Row],[Mandante]])&amp;"|"&amp;TRIM(tblDados[[#This Row],[Visitante]]))</f>
        <v>2026-05-16|JJK Jyvaskyla|SalPa</v>
      </c>
      <c r="T332" s="1">
        <f>IF($G332="",0,IF(COUNTIF($S$2:$S332,$S332)=1,1,0))</f>
        <v>1</v>
      </c>
      <c r="U332" s="19" t="str" cm="1">
        <f t="array" ref="U3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2" s="19" t="str" cm="1">
        <f t="array" ref="V3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3" spans="1:22" ht="14.25" customHeight="1" x14ac:dyDescent="0.3">
      <c r="A333" s="1" t="s">
        <v>1044</v>
      </c>
      <c r="B333" s="5">
        <v>46164</v>
      </c>
      <c r="C333" s="6">
        <v>0.52083333333333337</v>
      </c>
      <c r="D333" s="1" t="s">
        <v>18</v>
      </c>
      <c r="E333" s="1" t="s">
        <v>21</v>
      </c>
      <c r="F333" s="1" t="s">
        <v>1045</v>
      </c>
      <c r="G333" s="39" t="s">
        <v>752</v>
      </c>
      <c r="H333" s="1">
        <v>1</v>
      </c>
      <c r="I333" s="1">
        <v>0</v>
      </c>
      <c r="J333" s="39" t="s">
        <v>772</v>
      </c>
      <c r="K333" s="1">
        <v>0</v>
      </c>
      <c r="L333" s="1">
        <v>1</v>
      </c>
      <c r="S333" s="1" t="str">
        <f>IF(tblDados[[#This Row],[Mandante]]="","",TEXT(tblDados[[#This Row],[Data]],"aaaa-mm-dd")&amp;"|"&amp;TRIM(tblDados[[#This Row],[Mandante]])&amp;"|"&amp;TRIM(tblDados[[#This Row],[Visitante]]))</f>
        <v>2026-05-22|Tampere Utd|JJK Jyvaskyla</v>
      </c>
      <c r="T333" s="1">
        <f>IF($G333="",0,IF(COUNTIF($S$2:$S333,$S333)=1,1,0))</f>
        <v>1</v>
      </c>
      <c r="U333" s="19" t="str" cm="1">
        <f t="array" ref="U3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3" s="19" t="str" cm="1">
        <f t="array" ref="V3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4" spans="1:22" ht="14.25" customHeight="1" x14ac:dyDescent="0.3">
      <c r="A334" s="1" t="s">
        <v>1046</v>
      </c>
      <c r="B334" s="5">
        <v>46175</v>
      </c>
      <c r="C334" s="6">
        <v>0.54166666666666663</v>
      </c>
      <c r="D334" s="1" t="s">
        <v>18</v>
      </c>
      <c r="E334" s="1" t="s">
        <v>21</v>
      </c>
      <c r="F334" s="1" t="s">
        <v>1047</v>
      </c>
      <c r="G334" s="39" t="s">
        <v>772</v>
      </c>
      <c r="H334" s="1">
        <v>2</v>
      </c>
      <c r="I334" s="1">
        <v>2</v>
      </c>
      <c r="J334" s="39" t="s">
        <v>755</v>
      </c>
      <c r="K334" s="1">
        <v>2</v>
      </c>
      <c r="L334" s="1">
        <v>2</v>
      </c>
      <c r="S334" s="1" t="str">
        <f>IF(tblDados[[#This Row],[Mandante]]="","",TEXT(tblDados[[#This Row],[Data]],"aaaa-mm-dd")&amp;"|"&amp;TRIM(tblDados[[#This Row],[Mandante]])&amp;"|"&amp;TRIM(tblDados[[#This Row],[Visitante]]))</f>
        <v>2026-06-02|JJK Jyvaskyla|VJS</v>
      </c>
      <c r="T334" s="1">
        <f>IF($G334="",0,IF(COUNTIF($S$2:$S334,$S334)=1,1,0))</f>
        <v>1</v>
      </c>
      <c r="U334" s="19" t="str" cm="1">
        <f t="array" ref="U3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4" s="19" t="str" cm="1">
        <f t="array" ref="V3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5" spans="1:22" ht="14.25" customHeight="1" x14ac:dyDescent="0.3">
      <c r="A335" s="1" t="s">
        <v>1048</v>
      </c>
      <c r="B335" s="5">
        <v>46179</v>
      </c>
      <c r="C335" s="6">
        <v>0.41666666666666669</v>
      </c>
      <c r="D335" s="1" t="s">
        <v>18</v>
      </c>
      <c r="E335" s="1" t="s">
        <v>21</v>
      </c>
      <c r="F335" s="1" t="s">
        <v>1049</v>
      </c>
      <c r="G335" s="39" t="s">
        <v>772</v>
      </c>
      <c r="H335" s="1">
        <v>1</v>
      </c>
      <c r="I335" s="1">
        <v>3</v>
      </c>
      <c r="J335" s="39" t="s">
        <v>760</v>
      </c>
      <c r="K335" s="1">
        <v>3</v>
      </c>
      <c r="L335" s="1">
        <v>1</v>
      </c>
      <c r="S335" s="1" t="str">
        <f>IF(tblDados[[#This Row],[Mandante]]="","",TEXT(tblDados[[#This Row],[Data]],"aaaa-mm-dd")&amp;"|"&amp;TRIM(tblDados[[#This Row],[Mandante]])&amp;"|"&amp;TRIM(tblDados[[#This Row],[Visitante]]))</f>
        <v>2026-06-06|JJK Jyvaskyla|Keski-Uusimaa</v>
      </c>
      <c r="T335" s="1">
        <f>IF($G335="",0,IF(COUNTIF($S$2:$S335,$S335)=1,1,0))</f>
        <v>1</v>
      </c>
      <c r="U335" s="19" t="str" cm="1">
        <f t="array" ref="U3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5" s="19" t="str" cm="1">
        <f t="array" ref="V3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6" spans="1:22" ht="14.25" customHeight="1" x14ac:dyDescent="0.3">
      <c r="A336" s="1" t="s">
        <v>1050</v>
      </c>
      <c r="B336" s="5">
        <v>46186</v>
      </c>
      <c r="C336" s="6">
        <v>0.41666666666666669</v>
      </c>
      <c r="D336" s="1" t="s">
        <v>18</v>
      </c>
      <c r="E336" s="1" t="s">
        <v>21</v>
      </c>
      <c r="F336" s="1" t="s">
        <v>1051</v>
      </c>
      <c r="G336" s="39" t="s">
        <v>763</v>
      </c>
      <c r="H336" s="1">
        <v>2</v>
      </c>
      <c r="I336" s="1">
        <v>3</v>
      </c>
      <c r="J336" s="39" t="s">
        <v>772</v>
      </c>
      <c r="K336" s="1">
        <v>3</v>
      </c>
      <c r="L336" s="1">
        <v>2</v>
      </c>
      <c r="S336" s="1" t="str">
        <f>IF(tblDados[[#This Row],[Mandante]]="","",TEXT(tblDados[[#This Row],[Data]],"aaaa-mm-dd")&amp;"|"&amp;TRIM(tblDados[[#This Row],[Mandante]])&amp;"|"&amp;TRIM(tblDados[[#This Row],[Visitante]]))</f>
        <v>2026-06-13|KPV|JJK Jyvaskyla</v>
      </c>
      <c r="T336" s="1">
        <f>IF($G336="",0,IF(COUNTIF($S$2:$S336,$S336)=1,1,0))</f>
        <v>1</v>
      </c>
      <c r="U336" s="19" t="str" cm="1">
        <f t="array" ref="U3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6" s="19" t="str" cm="1">
        <f t="array" ref="V3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7" spans="1:22" ht="14.25" customHeight="1" x14ac:dyDescent="0.3">
      <c r="A337" s="1" t="s">
        <v>1052</v>
      </c>
      <c r="B337" s="5">
        <v>46208</v>
      </c>
      <c r="C337" s="6">
        <v>0.52083333333333337</v>
      </c>
      <c r="D337" s="1" t="s">
        <v>18</v>
      </c>
      <c r="E337" s="1" t="s">
        <v>21</v>
      </c>
      <c r="F337" s="1" t="s">
        <v>1053</v>
      </c>
      <c r="G337" s="39" t="s">
        <v>766</v>
      </c>
      <c r="H337" s="1">
        <v>1</v>
      </c>
      <c r="I337" s="1">
        <v>0</v>
      </c>
      <c r="J337" s="39" t="s">
        <v>772</v>
      </c>
      <c r="K337" s="1">
        <v>0</v>
      </c>
      <c r="L337" s="1">
        <v>1</v>
      </c>
      <c r="S337" s="1" t="str">
        <f>IF(tblDados[[#This Row],[Mandante]]="","",TEXT(tblDados[[#This Row],[Data]],"aaaa-mm-dd")&amp;"|"&amp;TRIM(tblDados[[#This Row],[Mandante]])&amp;"|"&amp;TRIM(tblDados[[#This Row],[Visitante]]))</f>
        <v>2026-07-05|TPV|JJK Jyvaskyla</v>
      </c>
      <c r="T337" s="1">
        <f>IF($G337="",0,IF(COUNTIF($S$2:$S337,$S337)=1,1,0))</f>
        <v>1</v>
      </c>
      <c r="U337" s="19" t="str" cm="1">
        <f t="array" ref="U3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7" s="19" t="str" cm="1">
        <f t="array" ref="V3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8" spans="1:22" ht="14.25" customHeight="1" x14ac:dyDescent="0.3">
      <c r="A338" s="1" t="s">
        <v>1054</v>
      </c>
      <c r="B338" s="5">
        <v>46221</v>
      </c>
      <c r="C338" s="6">
        <v>0.41666666666666669</v>
      </c>
      <c r="D338" s="1" t="s">
        <v>18</v>
      </c>
      <c r="E338" s="1" t="s">
        <v>21</v>
      </c>
      <c r="F338" s="1" t="s">
        <v>1055</v>
      </c>
      <c r="G338" s="39" t="s">
        <v>772</v>
      </c>
      <c r="H338" s="1">
        <v>1</v>
      </c>
      <c r="I338" s="1">
        <v>3</v>
      </c>
      <c r="J338" s="39" t="s">
        <v>769</v>
      </c>
      <c r="K338" s="1">
        <v>3</v>
      </c>
      <c r="L338" s="1">
        <v>1</v>
      </c>
      <c r="S338" s="1" t="str">
        <f>IF(tblDados[[#This Row],[Mandante]]="","",TEXT(tblDados[[#This Row],[Data]],"aaaa-mm-dd")&amp;"|"&amp;TRIM(tblDados[[#This Row],[Mandante]])&amp;"|"&amp;TRIM(tblDados[[#This Row],[Visitante]]))</f>
        <v>2026-07-18|JJK Jyvaskyla|Jazz Pori</v>
      </c>
      <c r="T338" s="1">
        <f>IF($G338="",0,IF(COUNTIF($S$2:$S338,$S338)=1,1,0))</f>
        <v>1</v>
      </c>
      <c r="U338" s="19" t="str" cm="1">
        <f t="array" ref="U3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8" s="19" t="str" cm="1">
        <f t="array" ref="V3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9" spans="1:22" ht="14.25" customHeight="1" x14ac:dyDescent="0.3">
      <c r="A339" s="1" t="s">
        <v>1056</v>
      </c>
      <c r="B339" s="5">
        <v>46228</v>
      </c>
      <c r="C339" s="6">
        <v>0.41666666666666669</v>
      </c>
      <c r="D339" s="1" t="s">
        <v>18</v>
      </c>
      <c r="E339" s="1" t="s">
        <v>21</v>
      </c>
      <c r="F339" s="1" t="s">
        <v>2977</v>
      </c>
      <c r="G339" s="39" t="s">
        <v>2971</v>
      </c>
      <c r="H339" s="1">
        <v>4</v>
      </c>
      <c r="I339" s="1">
        <v>0</v>
      </c>
      <c r="J339" s="39" t="s">
        <v>772</v>
      </c>
      <c r="K339" s="1">
        <v>0</v>
      </c>
      <c r="L339" s="1">
        <v>4</v>
      </c>
      <c r="S339" s="1" t="str">
        <f>IF(tblDados[[#This Row],[Mandante]]="","",TEXT(tblDados[[#This Row],[Data]],"aaaa-mm-dd")&amp;"|"&amp;TRIM(tblDados[[#This Row],[Mandante]])&amp;"|"&amp;TRIM(tblDados[[#This Row],[Visitante]]))</f>
        <v>2026-07-25|RoPS (Rovaniemi)|JJK Jyvaskyla</v>
      </c>
      <c r="T339" s="1">
        <f>IF($G339="",0,IF(COUNTIF($S$2:$S339,$S339)=1,1,0))</f>
        <v>1</v>
      </c>
      <c r="U339" s="19" t="str" cm="1">
        <f t="array" ref="U3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9" s="19" t="str" cm="1">
        <f t="array" ref="V3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0" spans="1:22" ht="14.25" customHeight="1" x14ac:dyDescent="0.3">
      <c r="A340" s="1" t="s">
        <v>1060</v>
      </c>
      <c r="B340" s="5">
        <v>46145</v>
      </c>
      <c r="C340" s="6">
        <v>0.52083333333333337</v>
      </c>
      <c r="D340" s="1" t="s">
        <v>18</v>
      </c>
      <c r="E340" s="1" t="s">
        <v>22</v>
      </c>
      <c r="F340" s="1" t="s">
        <v>1061</v>
      </c>
      <c r="G340" s="39" t="s">
        <v>290</v>
      </c>
      <c r="H340" s="1">
        <v>0</v>
      </c>
      <c r="I340" s="1">
        <v>0</v>
      </c>
      <c r="J340" s="39" t="s">
        <v>294</v>
      </c>
      <c r="K340" s="1">
        <v>0</v>
      </c>
      <c r="L340" s="1">
        <v>0</v>
      </c>
      <c r="S340" s="1" t="str">
        <f>IF(tblDados[[#This Row],[Mandante]]="","",TEXT(tblDados[[#This Row],[Data]],"aaaa-mm-dd")&amp;"|"&amp;TRIM(tblDados[[#This Row],[Mandante]])&amp;"|"&amp;TRIM(tblDados[[#This Row],[Visitante]]))</f>
        <v>2026-05-03|PPJ|PuiU</v>
      </c>
      <c r="T340">
        <f>IF($G340="",0,IF(COUNTIF($S$2:$S340,$S340)=1,1,0))</f>
        <v>1</v>
      </c>
      <c r="U340" s="19" t="str" cm="1">
        <f t="array" ref="U3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0" s="19" t="str" cm="1">
        <f t="array" ref="V3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1" spans="1:22" ht="14.25" customHeight="1" x14ac:dyDescent="0.3">
      <c r="A341" s="1" t="s">
        <v>1062</v>
      </c>
      <c r="B341" s="5">
        <v>46150</v>
      </c>
      <c r="C341" s="6">
        <v>0.52083333333333337</v>
      </c>
      <c r="D341" s="1" t="s">
        <v>18</v>
      </c>
      <c r="E341" s="1" t="s">
        <v>22</v>
      </c>
      <c r="F341" s="1" t="s">
        <v>3044</v>
      </c>
      <c r="G341" s="39" t="s">
        <v>3032</v>
      </c>
      <c r="H341" s="1">
        <v>3</v>
      </c>
      <c r="I341" s="1">
        <v>1</v>
      </c>
      <c r="J341" s="39" t="s">
        <v>294</v>
      </c>
      <c r="K341" s="1">
        <v>1</v>
      </c>
      <c r="L341" s="1">
        <v>3</v>
      </c>
      <c r="S341" s="1" t="str">
        <f>IF(tblDados[[#This Row],[Mandante]]="","",TEXT(tblDados[[#This Row],[Data]],"aaaa-mm-dd")&amp;"|"&amp;TRIM(tblDados[[#This Row],[Mandante]])&amp;"|"&amp;TRIM(tblDados[[#This Row],[Visitante]]))</f>
        <v>2026-05-08|Reipas (Lahden Reipas)|PuiU</v>
      </c>
      <c r="T341" s="1">
        <f>IF($G341="",0,IF(COUNTIF($S$2:$S341,$S341)=1,1,0))</f>
        <v>1</v>
      </c>
      <c r="U341" s="19" t="str" cm="1">
        <f t="array" ref="U3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1" s="19" t="str" cm="1">
        <f t="array" ref="V3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2" spans="1:22" ht="14.25" customHeight="1" x14ac:dyDescent="0.3">
      <c r="A342" s="1" t="s">
        <v>1063</v>
      </c>
      <c r="B342" s="5">
        <v>46158</v>
      </c>
      <c r="C342" s="6">
        <v>0.41666666666666669</v>
      </c>
      <c r="D342" s="1" t="s">
        <v>18</v>
      </c>
      <c r="E342" s="1" t="s">
        <v>22</v>
      </c>
      <c r="F342" s="1" t="s">
        <v>1064</v>
      </c>
      <c r="G342" s="39" t="s">
        <v>294</v>
      </c>
      <c r="H342" s="1">
        <v>1</v>
      </c>
      <c r="I342" s="1">
        <v>2</v>
      </c>
      <c r="J342" s="39" t="s">
        <v>302</v>
      </c>
      <c r="K342" s="1">
        <v>2</v>
      </c>
      <c r="L342" s="1">
        <v>1</v>
      </c>
      <c r="S342" s="1" t="str">
        <f>IF(tblDados[[#This Row],[Mandante]]="","",TEXT(tblDados[[#This Row],[Data]],"aaaa-mm-dd")&amp;"|"&amp;TRIM(tblDados[[#This Row],[Mandante]])&amp;"|"&amp;TRIM(tblDados[[#This Row],[Visitante]]))</f>
        <v>2026-05-16|PuiU|PEPO</v>
      </c>
      <c r="T342" s="1">
        <f>IF($G342="",0,IF(COUNTIF($S$2:$S342,$S342)=1,1,0))</f>
        <v>1</v>
      </c>
      <c r="U342" s="19" t="str" cm="1">
        <f t="array" ref="U3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2" s="19" t="str" cm="1">
        <f t="array" ref="V3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3" spans="1:22" ht="14.25" customHeight="1" x14ac:dyDescent="0.3">
      <c r="A343" s="1" t="s">
        <v>1065</v>
      </c>
      <c r="B343" s="5">
        <v>46171</v>
      </c>
      <c r="C343" s="6">
        <v>0.52083333333333337</v>
      </c>
      <c r="D343" s="1" t="s">
        <v>18</v>
      </c>
      <c r="E343" s="1" t="s">
        <v>22</v>
      </c>
      <c r="F343" s="1" t="s">
        <v>1066</v>
      </c>
      <c r="G343" s="39" t="s">
        <v>294</v>
      </c>
      <c r="H343" s="1">
        <v>0</v>
      </c>
      <c r="I343" s="1">
        <v>2</v>
      </c>
      <c r="J343" s="39" t="s">
        <v>297</v>
      </c>
      <c r="K343" s="1">
        <v>2</v>
      </c>
      <c r="L343" s="1">
        <v>0</v>
      </c>
      <c r="S343" s="1" t="str">
        <f>IF(tblDados[[#This Row],[Mandante]]="","",TEXT(tblDados[[#This Row],[Data]],"aaaa-mm-dd")&amp;"|"&amp;TRIM(tblDados[[#This Row],[Mandante]])&amp;"|"&amp;TRIM(tblDados[[#This Row],[Visitante]]))</f>
        <v>2026-05-29|PuiU|HIFK</v>
      </c>
      <c r="T343" s="1">
        <f>IF($G343="",0,IF(COUNTIF($S$2:$S343,$S343)=1,1,0))</f>
        <v>1</v>
      </c>
      <c r="U343" s="19" t="str" cm="1">
        <f t="array" ref="U3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3" s="19" t="str" cm="1">
        <f t="array" ref="V3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4" spans="1:22" ht="14.25" customHeight="1" x14ac:dyDescent="0.3">
      <c r="A344" s="1" t="s">
        <v>1067</v>
      </c>
      <c r="B344" s="5">
        <v>46186</v>
      </c>
      <c r="C344" s="6">
        <v>0.45833333333333331</v>
      </c>
      <c r="D344" s="1" t="s">
        <v>18</v>
      </c>
      <c r="E344" s="1" t="s">
        <v>22</v>
      </c>
      <c r="F344" s="1" t="s">
        <v>1068</v>
      </c>
      <c r="G344" s="39" t="s">
        <v>294</v>
      </c>
      <c r="H344" s="1">
        <v>1</v>
      </c>
      <c r="I344" s="1">
        <v>1</v>
      </c>
      <c r="J344" s="39" t="s">
        <v>300</v>
      </c>
      <c r="K344" s="1">
        <v>1</v>
      </c>
      <c r="L344" s="1">
        <v>1</v>
      </c>
      <c r="S344" s="1" t="str">
        <f>IF(tblDados[[#This Row],[Mandante]]="","",TEXT(tblDados[[#This Row],[Data]],"aaaa-mm-dd")&amp;"|"&amp;TRIM(tblDados[[#This Row],[Mandante]])&amp;"|"&amp;TRIM(tblDados[[#This Row],[Visitante]]))</f>
        <v>2026-06-13|PuiU|MyPa</v>
      </c>
      <c r="T344" s="1">
        <f>IF($G344="",0,IF(COUNTIF($S$2:$S344,$S344)=1,1,0))</f>
        <v>1</v>
      </c>
      <c r="U344" s="19" t="str" cm="1">
        <f t="array" ref="U3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4" s="19" t="str" cm="1">
        <f t="array" ref="V3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5" spans="1:22" ht="14.25" customHeight="1" x14ac:dyDescent="0.3">
      <c r="A345" s="1" t="s">
        <v>1069</v>
      </c>
      <c r="B345" s="5">
        <v>46207</v>
      </c>
      <c r="C345" s="6">
        <v>0.41666666666666669</v>
      </c>
      <c r="D345" s="1" t="s">
        <v>18</v>
      </c>
      <c r="E345" s="1" t="s">
        <v>22</v>
      </c>
      <c r="F345" s="1" t="s">
        <v>1070</v>
      </c>
      <c r="G345" s="39" t="s">
        <v>306</v>
      </c>
      <c r="H345" s="1">
        <v>2</v>
      </c>
      <c r="I345" s="1">
        <v>1</v>
      </c>
      <c r="J345" s="39" t="s">
        <v>294</v>
      </c>
      <c r="K345" s="1">
        <v>1</v>
      </c>
      <c r="L345" s="1">
        <v>2</v>
      </c>
      <c r="S345" s="1" t="str">
        <f>IF(tblDados[[#This Row],[Mandante]]="","",TEXT(tblDados[[#This Row],[Data]],"aaaa-mm-dd")&amp;"|"&amp;TRIM(tblDados[[#This Row],[Mandante]])&amp;"|"&amp;TRIM(tblDados[[#This Row],[Visitante]]))</f>
        <v>2026-07-04|Union Plaani|PuiU</v>
      </c>
      <c r="T345" s="1">
        <f>IF($G345="",0,IF(COUNTIF($S$2:$S345,$S345)=1,1,0))</f>
        <v>1</v>
      </c>
      <c r="U345" s="19" t="str" cm="1">
        <f t="array" ref="U3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5" s="19" t="str" cm="1">
        <f t="array" ref="V3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6" spans="1:22" ht="14.25" customHeight="1" x14ac:dyDescent="0.3">
      <c r="A346" s="1" t="s">
        <v>1071</v>
      </c>
      <c r="B346" s="5">
        <v>46214</v>
      </c>
      <c r="C346" s="6">
        <v>0.41666666666666669</v>
      </c>
      <c r="D346" s="1" t="s">
        <v>18</v>
      </c>
      <c r="E346" s="1" t="s">
        <v>22</v>
      </c>
      <c r="F346" s="1" t="s">
        <v>1072</v>
      </c>
      <c r="G346" s="39" t="s">
        <v>294</v>
      </c>
      <c r="H346" s="1">
        <v>4</v>
      </c>
      <c r="I346" s="1">
        <v>1</v>
      </c>
      <c r="J346" s="39" t="s">
        <v>290</v>
      </c>
      <c r="K346" s="1">
        <v>1</v>
      </c>
      <c r="L346" s="1">
        <v>4</v>
      </c>
      <c r="S346" s="1" t="str">
        <f>IF(tblDados[[#This Row],[Mandante]]="","",TEXT(tblDados[[#This Row],[Data]],"aaaa-mm-dd")&amp;"|"&amp;TRIM(tblDados[[#This Row],[Mandante]])&amp;"|"&amp;TRIM(tblDados[[#This Row],[Visitante]]))</f>
        <v>2026-07-11|PuiU|PPJ</v>
      </c>
      <c r="T346" s="1">
        <f>IF($G346="",0,IF(COUNTIF($S$2:$S346,$S346)=1,1,0))</f>
        <v>1</v>
      </c>
      <c r="U346" s="19" t="str" cm="1">
        <f t="array" ref="U3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6" s="19" t="str" cm="1">
        <f t="array" ref="V3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7" spans="1:22" ht="14.25" customHeight="1" x14ac:dyDescent="0.3">
      <c r="A347" s="1" t="s">
        <v>1073</v>
      </c>
      <c r="B347" s="5">
        <v>46221</v>
      </c>
      <c r="C347" s="6">
        <v>0.45833333333333331</v>
      </c>
      <c r="D347" s="1" t="s">
        <v>18</v>
      </c>
      <c r="E347" s="1" t="s">
        <v>22</v>
      </c>
      <c r="F347" s="1" t="s">
        <v>3045</v>
      </c>
      <c r="G347" s="39" t="s">
        <v>294</v>
      </c>
      <c r="H347" s="1">
        <v>4</v>
      </c>
      <c r="I347" s="1">
        <v>1</v>
      </c>
      <c r="J347" s="39" t="s">
        <v>3032</v>
      </c>
      <c r="K347" s="1">
        <v>1</v>
      </c>
      <c r="L347" s="1">
        <v>4</v>
      </c>
      <c r="S347" s="1" t="str">
        <f>IF(tblDados[[#This Row],[Mandante]]="","",TEXT(tblDados[[#This Row],[Data]],"aaaa-mm-dd")&amp;"|"&amp;TRIM(tblDados[[#This Row],[Mandante]])&amp;"|"&amp;TRIM(tblDados[[#This Row],[Visitante]]))</f>
        <v>2026-07-18|PuiU|Reipas (Lahden Reipas)</v>
      </c>
      <c r="T347" s="1">
        <f>IF($G347="",0,IF(COUNTIF($S$2:$S347,$S347)=1,1,0))</f>
        <v>1</v>
      </c>
      <c r="U347" s="19" t="str" cm="1">
        <f t="array" ref="U3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7" s="19" t="str" cm="1">
        <f t="array" ref="V3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8" spans="1:22" ht="14.25" customHeight="1" x14ac:dyDescent="0.3">
      <c r="A348" s="1" t="s">
        <v>1074</v>
      </c>
      <c r="B348" s="5">
        <v>46227</v>
      </c>
      <c r="C348" s="6">
        <v>0.52083333333333337</v>
      </c>
      <c r="D348" s="1" t="s">
        <v>18</v>
      </c>
      <c r="E348" s="1" t="s">
        <v>22</v>
      </c>
      <c r="F348" s="1" t="s">
        <v>1075</v>
      </c>
      <c r="G348" s="39" t="s">
        <v>302</v>
      </c>
      <c r="H348" s="1">
        <v>3</v>
      </c>
      <c r="I348" s="1">
        <v>2</v>
      </c>
      <c r="J348" s="39" t="s">
        <v>294</v>
      </c>
      <c r="K348" s="1">
        <v>2</v>
      </c>
      <c r="L348" s="1">
        <v>3</v>
      </c>
      <c r="S348" s="1" t="str">
        <f>IF(tblDados[[#This Row],[Mandante]]="","",TEXT(tblDados[[#This Row],[Data]],"aaaa-mm-dd")&amp;"|"&amp;TRIM(tblDados[[#This Row],[Mandante]])&amp;"|"&amp;TRIM(tblDados[[#This Row],[Visitante]]))</f>
        <v>2026-07-24|PEPO|PuiU</v>
      </c>
      <c r="T348" s="1">
        <f>IF($G348="",0,IF(COUNTIF($S$2:$S348,$S348)=1,1,0))</f>
        <v>1</v>
      </c>
      <c r="U348" s="19" t="str" cm="1">
        <f t="array" ref="U3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8" s="19" t="str" cm="1">
        <f t="array" ref="V3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9" spans="1:22" ht="14.25" customHeight="1" x14ac:dyDescent="0.3">
      <c r="A349" s="1" t="s">
        <v>1076</v>
      </c>
      <c r="B349" s="5">
        <v>46151</v>
      </c>
      <c r="C349" s="6">
        <v>0.52083333333333337</v>
      </c>
      <c r="D349" s="1" t="s">
        <v>18</v>
      </c>
      <c r="E349" s="1" t="s">
        <v>22</v>
      </c>
      <c r="F349" s="1" t="s">
        <v>1077</v>
      </c>
      <c r="G349" s="39" t="s">
        <v>290</v>
      </c>
      <c r="H349" s="1">
        <v>1</v>
      </c>
      <c r="I349" s="1">
        <v>1</v>
      </c>
      <c r="J349" s="39" t="s">
        <v>297</v>
      </c>
      <c r="K349" s="1">
        <v>1</v>
      </c>
      <c r="L349" s="1">
        <v>1</v>
      </c>
      <c r="S349" s="1" t="str">
        <f>IF(tblDados[[#This Row],[Mandante]]="","",TEXT(tblDados[[#This Row],[Data]],"aaaa-mm-dd")&amp;"|"&amp;TRIM(tblDados[[#This Row],[Mandante]])&amp;"|"&amp;TRIM(tblDados[[#This Row],[Visitante]]))</f>
        <v>2026-05-09|PPJ|HIFK</v>
      </c>
      <c r="T349" s="1">
        <f>IF($G349="",0,IF(COUNTIF($S$2:$S349,$S349)=1,1,0))</f>
        <v>1</v>
      </c>
      <c r="U349" s="19" t="str" cm="1">
        <f t="array" ref="U3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9" s="19" t="str" cm="1">
        <f t="array" ref="V3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0" spans="1:22" ht="14.25" customHeight="1" x14ac:dyDescent="0.3">
      <c r="A350" s="1" t="s">
        <v>1078</v>
      </c>
      <c r="B350" s="5">
        <v>46158</v>
      </c>
      <c r="C350" s="6">
        <v>0.41666666666666669</v>
      </c>
      <c r="D350" s="1" t="s">
        <v>18</v>
      </c>
      <c r="E350" s="1" t="s">
        <v>22</v>
      </c>
      <c r="F350" s="1" t="s">
        <v>1079</v>
      </c>
      <c r="G350" s="39" t="s">
        <v>306</v>
      </c>
      <c r="H350" s="1">
        <v>2</v>
      </c>
      <c r="I350" s="1">
        <v>2</v>
      </c>
      <c r="J350" s="39" t="s">
        <v>290</v>
      </c>
      <c r="K350" s="1">
        <v>2</v>
      </c>
      <c r="L350" s="1">
        <v>2</v>
      </c>
      <c r="S350" s="1" t="str">
        <f>IF(tblDados[[#This Row],[Mandante]]="","",TEXT(tblDados[[#This Row],[Data]],"aaaa-mm-dd")&amp;"|"&amp;TRIM(tblDados[[#This Row],[Mandante]])&amp;"|"&amp;TRIM(tblDados[[#This Row],[Visitante]]))</f>
        <v>2026-05-16|Union Plaani|PPJ</v>
      </c>
      <c r="T350" s="1">
        <f>IF($G350="",0,IF(COUNTIF($S$2:$S350,$S350)=1,1,0))</f>
        <v>1</v>
      </c>
      <c r="U350" s="19" t="str" cm="1">
        <f t="array" ref="U3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0" s="19" t="str" cm="1">
        <f t="array" ref="V3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1" spans="1:22" ht="14.25" customHeight="1" x14ac:dyDescent="0.3">
      <c r="A351" s="1" t="s">
        <v>1080</v>
      </c>
      <c r="B351" s="5">
        <v>46164</v>
      </c>
      <c r="C351" s="6">
        <v>0.52083333333333337</v>
      </c>
      <c r="D351" s="1" t="s">
        <v>18</v>
      </c>
      <c r="E351" s="1" t="s">
        <v>22</v>
      </c>
      <c r="F351" s="1" t="s">
        <v>3046</v>
      </c>
      <c r="G351" s="39" t="s">
        <v>290</v>
      </c>
      <c r="H351" s="1">
        <v>3</v>
      </c>
      <c r="I351" s="1">
        <v>0</v>
      </c>
      <c r="J351" s="39" t="s">
        <v>3032</v>
      </c>
      <c r="K351" s="1">
        <v>0</v>
      </c>
      <c r="L351" s="1">
        <v>3</v>
      </c>
      <c r="S351" s="1" t="str">
        <f>IF(tblDados[[#This Row],[Mandante]]="","",TEXT(tblDados[[#This Row],[Data]],"aaaa-mm-dd")&amp;"|"&amp;TRIM(tblDados[[#This Row],[Mandante]])&amp;"|"&amp;TRIM(tblDados[[#This Row],[Visitante]]))</f>
        <v>2026-05-22|PPJ|Reipas (Lahden Reipas)</v>
      </c>
      <c r="T351" s="1">
        <f>IF($G351="",0,IF(COUNTIF($S$2:$S351,$S351)=1,1,0))</f>
        <v>1</v>
      </c>
      <c r="U351" s="19" t="str" cm="1">
        <f t="array" ref="U3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1" s="19" t="str" cm="1">
        <f t="array" ref="V3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2" spans="1:22" ht="14.25" customHeight="1" x14ac:dyDescent="0.3">
      <c r="A352" s="1" t="s">
        <v>1081</v>
      </c>
      <c r="B352" s="5">
        <v>46173</v>
      </c>
      <c r="C352" s="6">
        <v>0.52083333333333337</v>
      </c>
      <c r="D352" s="1" t="s">
        <v>18</v>
      </c>
      <c r="E352" s="1" t="s">
        <v>22</v>
      </c>
      <c r="F352" s="1" t="s">
        <v>1082</v>
      </c>
      <c r="G352" s="39" t="s">
        <v>308</v>
      </c>
      <c r="H352" s="1">
        <v>2</v>
      </c>
      <c r="I352" s="1">
        <v>2</v>
      </c>
      <c r="J352" s="39" t="s">
        <v>290</v>
      </c>
      <c r="K352" s="1">
        <v>2</v>
      </c>
      <c r="L352" s="1">
        <v>2</v>
      </c>
      <c r="S352" s="1" t="str">
        <f>IF(tblDados[[#This Row],[Mandante]]="","",TEXT(tblDados[[#This Row],[Data]],"aaaa-mm-dd")&amp;"|"&amp;TRIM(tblDados[[#This Row],[Mandante]])&amp;"|"&amp;TRIM(tblDados[[#This Row],[Visitante]]))</f>
        <v>2026-05-31|HPS|PPJ</v>
      </c>
      <c r="T352" s="1">
        <f>IF($G352="",0,IF(COUNTIF($S$2:$S352,$S352)=1,1,0))</f>
        <v>1</v>
      </c>
      <c r="U352" s="19" t="str" cm="1">
        <f t="array" ref="U3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2" s="19" t="str" cm="1">
        <f t="array" ref="V3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3" spans="1:22" ht="14.25" customHeight="1" x14ac:dyDescent="0.3">
      <c r="A353" s="1" t="s">
        <v>1083</v>
      </c>
      <c r="B353" s="5">
        <v>46179</v>
      </c>
      <c r="C353" s="6">
        <v>0.52083333333333337</v>
      </c>
      <c r="D353" s="1" t="s">
        <v>18</v>
      </c>
      <c r="E353" s="1" t="s">
        <v>22</v>
      </c>
      <c r="F353" s="1" t="s">
        <v>1084</v>
      </c>
      <c r="G353" s="39" t="s">
        <v>300</v>
      </c>
      <c r="H353" s="1">
        <v>1</v>
      </c>
      <c r="I353" s="1">
        <v>3</v>
      </c>
      <c r="J353" s="39" t="s">
        <v>290</v>
      </c>
      <c r="K353" s="1">
        <v>3</v>
      </c>
      <c r="L353" s="1">
        <v>1</v>
      </c>
      <c r="S353" s="1" t="str">
        <f>IF(tblDados[[#This Row],[Mandante]]="","",TEXT(tblDados[[#This Row],[Data]],"aaaa-mm-dd")&amp;"|"&amp;TRIM(tblDados[[#This Row],[Mandante]])&amp;"|"&amp;TRIM(tblDados[[#This Row],[Visitante]]))</f>
        <v>2026-06-06|MyPa|PPJ</v>
      </c>
      <c r="T353" s="1">
        <f>IF($G353="",0,IF(COUNTIF($S$2:$S353,$S353)=1,1,0))</f>
        <v>1</v>
      </c>
      <c r="U353" s="19" t="str" cm="1">
        <f t="array" ref="U3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3" s="19" t="str" cm="1">
        <f t="array" ref="V3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4" spans="1:22" ht="14.25" customHeight="1" x14ac:dyDescent="0.3">
      <c r="A354" s="1" t="s">
        <v>1085</v>
      </c>
      <c r="B354" s="5">
        <v>46200</v>
      </c>
      <c r="C354" s="6">
        <v>0.45833333333333331</v>
      </c>
      <c r="D354" s="1" t="s">
        <v>18</v>
      </c>
      <c r="E354" s="1" t="s">
        <v>22</v>
      </c>
      <c r="F354" s="1" t="s">
        <v>1086</v>
      </c>
      <c r="G354" s="39" t="s">
        <v>302</v>
      </c>
      <c r="H354" s="1">
        <v>2</v>
      </c>
      <c r="I354" s="1">
        <v>2</v>
      </c>
      <c r="J354" s="39" t="s">
        <v>290</v>
      </c>
      <c r="K354" s="1">
        <v>2</v>
      </c>
      <c r="L354" s="1">
        <v>2</v>
      </c>
      <c r="S354" s="1" t="str">
        <f>IF(tblDados[[#This Row],[Mandante]]="","",TEXT(tblDados[[#This Row],[Data]],"aaaa-mm-dd")&amp;"|"&amp;TRIM(tblDados[[#This Row],[Mandante]])&amp;"|"&amp;TRIM(tblDados[[#This Row],[Visitante]]))</f>
        <v>2026-06-27|PEPO|PPJ</v>
      </c>
      <c r="T354" s="1">
        <f>IF($G354="",0,IF(COUNTIF($S$2:$S354,$S354)=1,1,0))</f>
        <v>1</v>
      </c>
      <c r="U354" s="19" t="str" cm="1">
        <f t="array" ref="U3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4" s="19" t="str" cm="1">
        <f t="array" ref="V3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5" spans="1:22" ht="14.25" customHeight="1" x14ac:dyDescent="0.3">
      <c r="A355" s="1" t="s">
        <v>1087</v>
      </c>
      <c r="B355" s="5">
        <v>46219</v>
      </c>
      <c r="C355" s="6">
        <v>0.54166666666666663</v>
      </c>
      <c r="D355" s="1" t="s">
        <v>18</v>
      </c>
      <c r="E355" s="1" t="s">
        <v>22</v>
      </c>
      <c r="F355" s="1" t="s">
        <v>1088</v>
      </c>
      <c r="G355" s="39" t="s">
        <v>297</v>
      </c>
      <c r="H355" s="1">
        <v>1</v>
      </c>
      <c r="I355" s="1">
        <v>2</v>
      </c>
      <c r="J355" s="39" t="s">
        <v>290</v>
      </c>
      <c r="K355" s="1">
        <v>2</v>
      </c>
      <c r="L355" s="1">
        <v>1</v>
      </c>
      <c r="S355" s="1" t="str">
        <f>IF(tblDados[[#This Row],[Mandante]]="","",TEXT(tblDados[[#This Row],[Data]],"aaaa-mm-dd")&amp;"|"&amp;TRIM(tblDados[[#This Row],[Mandante]])&amp;"|"&amp;TRIM(tblDados[[#This Row],[Visitante]]))</f>
        <v>2026-07-16|HIFK|PPJ</v>
      </c>
      <c r="T355" s="1">
        <f>IF($G355="",0,IF(COUNTIF($S$2:$S355,$S355)=1,1,0))</f>
        <v>1</v>
      </c>
      <c r="U355" s="19" t="str" cm="1">
        <f t="array" ref="U3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5" s="19" t="str" cm="1">
        <f t="array" ref="V3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6" spans="1:22" ht="14.25" customHeight="1" x14ac:dyDescent="0.3">
      <c r="A356" s="1" t="s">
        <v>1089</v>
      </c>
      <c r="B356" s="5">
        <v>46227</v>
      </c>
      <c r="C356" s="6">
        <v>0.52083333333333337</v>
      </c>
      <c r="D356" s="1" t="s">
        <v>18</v>
      </c>
      <c r="E356" s="1" t="s">
        <v>22</v>
      </c>
      <c r="F356" s="1" t="s">
        <v>1090</v>
      </c>
      <c r="G356" s="39" t="s">
        <v>290</v>
      </c>
      <c r="H356" s="1">
        <v>0</v>
      </c>
      <c r="I356" s="1">
        <v>1</v>
      </c>
      <c r="J356" s="39" t="s">
        <v>306</v>
      </c>
      <c r="K356" s="1">
        <v>1</v>
      </c>
      <c r="L356" s="1">
        <v>0</v>
      </c>
      <c r="S356" s="1" t="str">
        <f>IF(tblDados[[#This Row],[Mandante]]="","",TEXT(tblDados[[#This Row],[Data]],"aaaa-mm-dd")&amp;"|"&amp;TRIM(tblDados[[#This Row],[Mandante]])&amp;"|"&amp;TRIM(tblDados[[#This Row],[Visitante]]))</f>
        <v>2026-07-24|PPJ|Union Plaani</v>
      </c>
      <c r="T356" s="1">
        <f>IF($G356="",0,IF(COUNTIF($S$2:$S356,$S356)=1,1,0))</f>
        <v>1</v>
      </c>
      <c r="U356" s="19" t="str" cm="1">
        <f t="array" ref="U3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6" s="19" t="str" cm="1">
        <f t="array" ref="V3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7" spans="1:22" ht="14.25" customHeight="1" x14ac:dyDescent="0.3">
      <c r="A357" s="1" t="s">
        <v>1091</v>
      </c>
      <c r="B357" s="5">
        <v>46116</v>
      </c>
      <c r="C357" s="6">
        <v>0.66666666666666663</v>
      </c>
      <c r="D357" s="1" t="s">
        <v>10</v>
      </c>
      <c r="E357" s="1" t="s">
        <v>11</v>
      </c>
      <c r="F357" s="1" t="s">
        <v>1117</v>
      </c>
      <c r="G357" s="39" t="s">
        <v>664</v>
      </c>
      <c r="H357" s="1">
        <v>4</v>
      </c>
      <c r="I357" s="1">
        <v>0</v>
      </c>
      <c r="J357" s="39" t="s">
        <v>189</v>
      </c>
      <c r="K357" s="1">
        <v>0</v>
      </c>
      <c r="L357" s="1">
        <v>4</v>
      </c>
      <c r="S357" s="1" t="str">
        <f>IF(tblDados[[#This Row],[Mandante]]="","",TEXT(tblDados[[#This Row],[Data]],"aaaa-mm-dd")&amp;"|"&amp;TRIM(tblDados[[#This Row],[Mandante]])&amp;"|"&amp;TRIM(tblDados[[#This Row],[Visitante]]))</f>
        <v>2026-04-04|Always Ready|Real Tomayapo</v>
      </c>
      <c r="T357">
        <f>IF($G357="",0,IF(COUNTIF($S$2:$S357,$S357)=1,1,0))</f>
        <v>1</v>
      </c>
      <c r="U357" s="19" t="str" cm="1">
        <f t="array" ref="U3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7" s="19" t="str" cm="1">
        <f t="array" ref="V3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8" spans="1:22" ht="14.25" customHeight="1" x14ac:dyDescent="0.3">
      <c r="A358" s="1" t="s">
        <v>1092</v>
      </c>
      <c r="B358" s="5">
        <v>46125</v>
      </c>
      <c r="C358" s="6">
        <v>0.77083333333333337</v>
      </c>
      <c r="D358" s="1" t="s">
        <v>10</v>
      </c>
      <c r="E358" s="1" t="s">
        <v>11</v>
      </c>
      <c r="F358" s="1" t="s">
        <v>1599</v>
      </c>
      <c r="G358" s="39" t="s">
        <v>189</v>
      </c>
      <c r="H358" s="1">
        <v>1</v>
      </c>
      <c r="I358" s="1">
        <v>1</v>
      </c>
      <c r="J358" s="39" t="s">
        <v>1598</v>
      </c>
      <c r="K358" s="1">
        <v>1</v>
      </c>
      <c r="L358" s="1">
        <v>1</v>
      </c>
      <c r="S358" s="1" t="str">
        <f>IF(tblDados[[#This Row],[Mandante]]="","",TEXT(tblDados[[#This Row],[Data]],"aaaa-mm-dd")&amp;"|"&amp;TRIM(tblDados[[#This Row],[Mandante]])&amp;"|"&amp;TRIM(tblDados[[#This Row],[Visitante]]))</f>
        <v>2026-04-13|Real Tomayapo|Real Potosí</v>
      </c>
      <c r="T358" s="1">
        <f>IF($G358="",0,IF(COUNTIF($S$2:$S358,$S358)=1,1,0))</f>
        <v>1</v>
      </c>
      <c r="U358" s="19" t="str" cm="1">
        <f t="array" ref="U3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8" s="19" t="str" cm="1">
        <f t="array" ref="V3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9" spans="1:22" ht="14.25" customHeight="1" x14ac:dyDescent="0.3">
      <c r="A359" s="1" t="s">
        <v>1093</v>
      </c>
      <c r="B359" s="5">
        <v>46135</v>
      </c>
      <c r="C359" s="6">
        <v>0.875</v>
      </c>
      <c r="D359" s="1" t="s">
        <v>10</v>
      </c>
      <c r="E359" s="1" t="s">
        <v>11</v>
      </c>
      <c r="F359" s="1" t="s">
        <v>1118</v>
      </c>
      <c r="G359" s="39" t="s">
        <v>189</v>
      </c>
      <c r="H359" s="1">
        <v>0</v>
      </c>
      <c r="I359" s="1">
        <v>0</v>
      </c>
      <c r="J359" s="39" t="s">
        <v>181</v>
      </c>
      <c r="K359" s="1">
        <v>0</v>
      </c>
      <c r="L359" s="1">
        <v>0</v>
      </c>
      <c r="S359" s="1" t="str">
        <f>IF(tblDados[[#This Row],[Mandante]]="","",TEXT(tblDados[[#This Row],[Data]],"aaaa-mm-dd")&amp;"|"&amp;TRIM(tblDados[[#This Row],[Mandante]])&amp;"|"&amp;TRIM(tblDados[[#This Row],[Visitante]]))</f>
        <v>2026-04-23|Real Tomayapo|The Strongest</v>
      </c>
      <c r="T359" s="1">
        <f>IF($G359="",0,IF(COUNTIF($S$2:$S359,$S359)=1,1,0))</f>
        <v>1</v>
      </c>
      <c r="U359" s="19" t="str" cm="1">
        <f t="array" ref="U3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9" s="19" t="str" cm="1">
        <f t="array" ref="V3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0" spans="1:22" ht="14.25" customHeight="1" x14ac:dyDescent="0.3">
      <c r="A360" s="1" t="s">
        <v>1094</v>
      </c>
      <c r="B360" s="5">
        <v>46138</v>
      </c>
      <c r="C360" s="6">
        <v>0.66666666666666663</v>
      </c>
      <c r="D360" s="1" t="s">
        <v>10</v>
      </c>
      <c r="E360" s="1" t="s">
        <v>11</v>
      </c>
      <c r="F360" s="1" t="s">
        <v>1576</v>
      </c>
      <c r="G360" s="39" t="s">
        <v>684</v>
      </c>
      <c r="H360" s="1">
        <v>6</v>
      </c>
      <c r="I360" s="1">
        <v>0</v>
      </c>
      <c r="J360" s="39" t="s">
        <v>189</v>
      </c>
      <c r="K360" s="1">
        <v>0</v>
      </c>
      <c r="L360" s="1">
        <v>6</v>
      </c>
      <c r="S360" s="1" t="str">
        <f>IF(tblDados[[#This Row],[Mandante]]="","",TEXT(tblDados[[#This Row],[Data]],"aaaa-mm-dd")&amp;"|"&amp;TRIM(tblDados[[#This Row],[Mandante]])&amp;"|"&amp;TRIM(tblDados[[#This Row],[Visitante]]))</f>
        <v>2026-04-26|Bolívar|Real Tomayapo</v>
      </c>
      <c r="T360" s="1">
        <f>IF($G360="",0,IF(COUNTIF($S$2:$S360,$S360)=1,1,0))</f>
        <v>1</v>
      </c>
      <c r="U360" s="19" t="str" cm="1">
        <f t="array" ref="U3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0" s="19" t="str" cm="1">
        <f t="array" ref="V3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1" spans="1:22" ht="14.25" customHeight="1" x14ac:dyDescent="0.3">
      <c r="A361" s="1" t="s">
        <v>1095</v>
      </c>
      <c r="B361" s="5">
        <v>46144</v>
      </c>
      <c r="C361" s="6">
        <v>0.77083333333333337</v>
      </c>
      <c r="D361" s="1" t="s">
        <v>10</v>
      </c>
      <c r="E361" s="1" t="s">
        <v>11</v>
      </c>
      <c r="F361" s="1" t="s">
        <v>1119</v>
      </c>
      <c r="G361" s="39" t="s">
        <v>665</v>
      </c>
      <c r="H361" s="1">
        <v>3</v>
      </c>
      <c r="I361" s="1">
        <v>1</v>
      </c>
      <c r="J361" s="39" t="s">
        <v>189</v>
      </c>
      <c r="K361" s="1">
        <v>1</v>
      </c>
      <c r="L361" s="1">
        <v>3</v>
      </c>
      <c r="S361" s="1" t="str">
        <f>IF(tblDados[[#This Row],[Mandante]]="","",TEXT(tblDados[[#This Row],[Data]],"aaaa-mm-dd")&amp;"|"&amp;TRIM(tblDados[[#This Row],[Mandante]])&amp;"|"&amp;TRIM(tblDados[[#This Row],[Visitante]]))</f>
        <v>2026-05-02|Oriente Petrolero|Real Tomayapo</v>
      </c>
      <c r="T361" s="1">
        <f>IF($G361="",0,IF(COUNTIF($S$2:$S361,$S361)=1,1,0))</f>
        <v>1</v>
      </c>
      <c r="U361" s="19" t="str" cm="1">
        <f t="array" ref="U3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1" s="19" t="str" cm="1">
        <f t="array" ref="V3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2" spans="1:22" ht="14.25" customHeight="1" x14ac:dyDescent="0.3">
      <c r="A362" s="1" t="s">
        <v>1096</v>
      </c>
      <c r="B362" s="5">
        <v>46151</v>
      </c>
      <c r="C362" s="6">
        <v>0.85416666666666663</v>
      </c>
      <c r="D362" s="1" t="s">
        <v>10</v>
      </c>
      <c r="E362" s="1" t="s">
        <v>11</v>
      </c>
      <c r="F362" s="1" t="s">
        <v>1120</v>
      </c>
      <c r="G362" s="39" t="s">
        <v>189</v>
      </c>
      <c r="H362" s="1">
        <v>1</v>
      </c>
      <c r="I362" s="1">
        <v>0</v>
      </c>
      <c r="J362" s="39" t="s">
        <v>1097</v>
      </c>
      <c r="K362" s="1">
        <v>0</v>
      </c>
      <c r="L362" s="1">
        <v>1</v>
      </c>
      <c r="S362" s="1" t="str">
        <f>IF(tblDados[[#This Row],[Mandante]]="","",TEXT(tblDados[[#This Row],[Data]],"aaaa-mm-dd")&amp;"|"&amp;TRIM(tblDados[[#This Row],[Mandante]])&amp;"|"&amp;TRIM(tblDados[[#This Row],[Visitante]]))</f>
        <v>2026-05-09|Real Tomayapo|SA Bulo Bulo</v>
      </c>
      <c r="T362" s="1">
        <f>IF($G362="",0,IF(COUNTIF($S$2:$S362,$S362)=1,1,0))</f>
        <v>1</v>
      </c>
      <c r="U362" s="19" t="str" cm="1">
        <f t="array" ref="U3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2" s="19" t="str" cm="1">
        <f t="array" ref="V3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3" spans="1:22" ht="14.25" customHeight="1" x14ac:dyDescent="0.3">
      <c r="A363" s="1" t="s">
        <v>1098</v>
      </c>
      <c r="B363" s="5">
        <v>46157</v>
      </c>
      <c r="C363" s="6">
        <v>0.875</v>
      </c>
      <c r="D363" s="1" t="s">
        <v>10</v>
      </c>
      <c r="E363" s="1" t="s">
        <v>11</v>
      </c>
      <c r="F363" s="1" t="s">
        <v>1600</v>
      </c>
      <c r="G363" s="39" t="s">
        <v>189</v>
      </c>
      <c r="H363" s="1">
        <v>0</v>
      </c>
      <c r="I363" s="1">
        <v>2</v>
      </c>
      <c r="J363" s="39" t="s">
        <v>182</v>
      </c>
      <c r="K363" s="1">
        <v>2</v>
      </c>
      <c r="L363" s="1">
        <v>0</v>
      </c>
      <c r="S363" s="1" t="str">
        <f>IF(tblDados[[#This Row],[Mandante]]="","",TEXT(tblDados[[#This Row],[Data]],"aaaa-mm-dd")&amp;"|"&amp;TRIM(tblDados[[#This Row],[Mandante]])&amp;"|"&amp;TRIM(tblDados[[#This Row],[Visitante]]))</f>
        <v>2026-05-15|Real Tomayapo|Club Aurora</v>
      </c>
      <c r="T363" s="1">
        <f>IF($G363="",0,IF(COUNTIF($S$2:$S363,$S363)=1,1,0))</f>
        <v>1</v>
      </c>
      <c r="U363" s="19" t="str" cm="1">
        <f t="array" ref="U3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3" s="19" t="str" cm="1">
        <f t="array" ref="V3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4" spans="1:22" ht="14.25" customHeight="1" x14ac:dyDescent="0.3">
      <c r="A364" s="1" t="s">
        <v>1099</v>
      </c>
      <c r="B364" s="5">
        <v>46210</v>
      </c>
      <c r="C364" s="6">
        <v>0.85416666666666663</v>
      </c>
      <c r="D364" s="1" t="s">
        <v>10</v>
      </c>
      <c r="E364" s="1" t="s">
        <v>11</v>
      </c>
      <c r="F364" s="1" t="s">
        <v>1620</v>
      </c>
      <c r="G364" s="39" t="s">
        <v>1619</v>
      </c>
      <c r="H364" s="1">
        <v>3</v>
      </c>
      <c r="I364" s="1">
        <v>2</v>
      </c>
      <c r="J364" s="39" t="s">
        <v>189</v>
      </c>
      <c r="K364" s="1">
        <v>2</v>
      </c>
      <c r="L364" s="1">
        <v>3</v>
      </c>
      <c r="S364" s="1" t="str">
        <f>IF(tblDados[[#This Row],[Mandante]]="","",TEXT(tblDados[[#This Row],[Data]],"aaaa-mm-dd")&amp;"|"&amp;TRIM(tblDados[[#This Row],[Mandante]])&amp;"|"&amp;TRIM(tblDados[[#This Row],[Visitante]]))</f>
        <v>2026-07-07|GV San José|Real Tomayapo</v>
      </c>
      <c r="T364" s="1">
        <f>IF($G364="",0,IF(COUNTIF($S$2:$S364,$S364)=1,1,0))</f>
        <v>1</v>
      </c>
      <c r="U364" s="19" t="str" cm="1">
        <f t="array" ref="U3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4" s="19" t="str" cm="1">
        <f t="array" ref="V3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5" spans="1:22" ht="14.25" customHeight="1" x14ac:dyDescent="0.3">
      <c r="A365" s="1" t="s">
        <v>1100</v>
      </c>
      <c r="B365" s="5">
        <v>46215</v>
      </c>
      <c r="C365" s="6">
        <v>0.66666666666666663</v>
      </c>
      <c r="D365" s="1" t="s">
        <v>10</v>
      </c>
      <c r="E365" s="1" t="s">
        <v>11</v>
      </c>
      <c r="F365" s="1" t="s">
        <v>1601</v>
      </c>
      <c r="G365" s="39" t="s">
        <v>189</v>
      </c>
      <c r="H365" s="1">
        <v>2</v>
      </c>
      <c r="I365" s="1">
        <v>1</v>
      </c>
      <c r="J365" s="39" t="s">
        <v>228</v>
      </c>
      <c r="K365" s="1">
        <v>1</v>
      </c>
      <c r="L365" s="1">
        <v>2</v>
      </c>
      <c r="S365" s="1" t="str">
        <f>IF(tblDados[[#This Row],[Mandante]]="","",TEXT(tblDados[[#This Row],[Data]],"aaaa-mm-dd")&amp;"|"&amp;TRIM(tblDados[[#This Row],[Mandante]])&amp;"|"&amp;TRIM(tblDados[[#This Row],[Visitante]]))</f>
        <v>2026-07-12|Real Tomayapo|Independiente Petrolero</v>
      </c>
      <c r="T365" s="1">
        <f>IF($G365="",0,IF(COUNTIF($S$2:$S365,$S365)=1,1,0))</f>
        <v>1</v>
      </c>
      <c r="U365" s="19" t="str" cm="1">
        <f t="array" ref="U3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5" s="19" t="str" cm="1">
        <f t="array" ref="V3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6" spans="1:22" ht="14.25" customHeight="1" x14ac:dyDescent="0.3">
      <c r="A366" s="1" t="s">
        <v>1101</v>
      </c>
      <c r="B366" s="5">
        <v>46222</v>
      </c>
      <c r="C366" s="6">
        <v>0.77083333333333337</v>
      </c>
      <c r="D366" s="1" t="s">
        <v>10</v>
      </c>
      <c r="E366" s="1" t="s">
        <v>11</v>
      </c>
      <c r="F366" s="1" t="s">
        <v>1121</v>
      </c>
      <c r="G366" s="39" t="s">
        <v>235</v>
      </c>
      <c r="H366" s="1">
        <v>1</v>
      </c>
      <c r="I366" s="1">
        <v>0</v>
      </c>
      <c r="J366" s="39" t="s">
        <v>189</v>
      </c>
      <c r="K366" s="1">
        <v>0</v>
      </c>
      <c r="L366" s="1">
        <v>1</v>
      </c>
      <c r="S366" s="1" t="str">
        <f>IF(tblDados[[#This Row],[Mandante]]="","",TEXT(tblDados[[#This Row],[Data]],"aaaa-mm-dd")&amp;"|"&amp;TRIM(tblDados[[#This Row],[Mandante]])&amp;"|"&amp;TRIM(tblDados[[#This Row],[Visitante]]))</f>
        <v>2026-07-19|Blooming|Real Tomayapo</v>
      </c>
      <c r="T366" s="1">
        <f>IF($G366="",0,IF(COUNTIF($S$2:$S366,$S366)=1,1,0))</f>
        <v>1</v>
      </c>
      <c r="U366" s="19" t="str" cm="1">
        <f t="array" ref="U3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6" s="19" t="str" cm="1">
        <f t="array" ref="V3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7" spans="1:22" ht="14.25" customHeight="1" x14ac:dyDescent="0.3">
      <c r="A367" s="1" t="s">
        <v>1102</v>
      </c>
      <c r="B367" s="5">
        <v>46229</v>
      </c>
      <c r="C367" s="6">
        <v>0.66666666666666663</v>
      </c>
      <c r="D367" s="1" t="s">
        <v>10</v>
      </c>
      <c r="E367" s="1" t="s">
        <v>11</v>
      </c>
      <c r="F367" s="1" t="s">
        <v>1577</v>
      </c>
      <c r="G367" s="39" t="s">
        <v>671</v>
      </c>
      <c r="H367" s="1">
        <v>4</v>
      </c>
      <c r="I367" s="1">
        <v>1</v>
      </c>
      <c r="J367" s="39" t="s">
        <v>189</v>
      </c>
      <c r="K367" s="1">
        <v>1</v>
      </c>
      <c r="L367" s="1">
        <v>4</v>
      </c>
      <c r="S367" s="1" t="str">
        <f>IF(tblDados[[#This Row],[Mandante]]="","",TEXT(tblDados[[#This Row],[Data]],"aaaa-mm-dd")&amp;"|"&amp;TRIM(tblDados[[#This Row],[Mandante]])&amp;"|"&amp;TRIM(tblDados[[#This Row],[Visitante]]))</f>
        <v>2026-07-26|Nacional Potosí|Real Tomayapo</v>
      </c>
      <c r="T367" s="1">
        <f>IF($G367="",0,IF(COUNTIF($S$2:$S367,$S367)=1,1,0))</f>
        <v>1</v>
      </c>
      <c r="U367" s="19" t="str" cm="1">
        <f t="array" ref="U3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7" s="19" t="str" cm="1">
        <f t="array" ref="V3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8" spans="1:22" ht="14.25" customHeight="1" x14ac:dyDescent="0.3">
      <c r="A368" s="1" t="s">
        <v>1103</v>
      </c>
      <c r="B368" s="5">
        <v>46115</v>
      </c>
      <c r="C368" s="6">
        <v>0.66666666666666663</v>
      </c>
      <c r="D368" s="1" t="s">
        <v>10</v>
      </c>
      <c r="E368" s="1" t="s">
        <v>11</v>
      </c>
      <c r="F368" s="1" t="s">
        <v>1578</v>
      </c>
      <c r="G368" s="39" t="s">
        <v>684</v>
      </c>
      <c r="H368" s="1">
        <v>5</v>
      </c>
      <c r="I368" s="1">
        <v>2</v>
      </c>
      <c r="J368" s="39" t="s">
        <v>227</v>
      </c>
      <c r="K368" s="1">
        <v>2</v>
      </c>
      <c r="L368" s="1">
        <v>5</v>
      </c>
      <c r="S368" s="1" t="str">
        <f>IF(tblDados[[#This Row],[Mandante]]="","",TEXT(tblDados[[#This Row],[Data]],"aaaa-mm-dd")&amp;"|"&amp;TRIM(tblDados[[#This Row],[Mandante]])&amp;"|"&amp;TRIM(tblDados[[#This Row],[Visitante]]))</f>
        <v>2026-04-03|Bolívar|Real Oruro</v>
      </c>
      <c r="T368">
        <f>IF($G368="",0,IF(COUNTIF($S$2:$S368,$S368)=1,1,0))</f>
        <v>1</v>
      </c>
      <c r="U368" s="19" t="str" cm="1">
        <f t="array" ref="U3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8" s="19" t="str" cm="1">
        <f t="array" ref="V3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9" spans="1:22" ht="14.25" customHeight="1" x14ac:dyDescent="0.3">
      <c r="A369" s="1" t="s">
        <v>1104</v>
      </c>
      <c r="B369" s="5">
        <v>46124</v>
      </c>
      <c r="C369" s="6">
        <v>0.66666666666666663</v>
      </c>
      <c r="D369" s="1" t="s">
        <v>10</v>
      </c>
      <c r="E369" s="1" t="s">
        <v>11</v>
      </c>
      <c r="F369" s="1" t="s">
        <v>1105</v>
      </c>
      <c r="G369" s="39" t="s">
        <v>227</v>
      </c>
      <c r="H369" s="1">
        <v>2</v>
      </c>
      <c r="I369" s="1">
        <v>2</v>
      </c>
      <c r="J369" s="39" t="s">
        <v>235</v>
      </c>
      <c r="K369" s="1">
        <v>2</v>
      </c>
      <c r="L369" s="1">
        <v>2</v>
      </c>
      <c r="S369" s="1" t="str">
        <f>IF(tblDados[[#This Row],[Mandante]]="","",TEXT(tblDados[[#This Row],[Data]],"aaaa-mm-dd")&amp;"|"&amp;TRIM(tblDados[[#This Row],[Mandante]])&amp;"|"&amp;TRIM(tblDados[[#This Row],[Visitante]]))</f>
        <v>2026-04-12|Real Oruro|Blooming</v>
      </c>
      <c r="T369" s="1">
        <f>IF($G369="",0,IF(COUNTIF($S$2:$S369,$S369)=1,1,0))</f>
        <v>1</v>
      </c>
      <c r="U369" s="19" t="str" cm="1">
        <f t="array" ref="U3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9" s="19" t="str" cm="1">
        <f t="array" ref="V3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0" spans="1:22" ht="14.25" customHeight="1" x14ac:dyDescent="0.3">
      <c r="A370" s="1" t="s">
        <v>1106</v>
      </c>
      <c r="B370" s="5">
        <v>46135</v>
      </c>
      <c r="C370" s="6">
        <v>0.66666666666666663</v>
      </c>
      <c r="D370" s="1" t="s">
        <v>10</v>
      </c>
      <c r="E370" s="1" t="s">
        <v>11</v>
      </c>
      <c r="F370" s="1" t="s">
        <v>1107</v>
      </c>
      <c r="G370" s="39" t="s">
        <v>1097</v>
      </c>
      <c r="H370" s="1">
        <v>2</v>
      </c>
      <c r="I370" s="1">
        <v>1</v>
      </c>
      <c r="J370" s="39" t="s">
        <v>227</v>
      </c>
      <c r="K370" s="1">
        <v>1</v>
      </c>
      <c r="L370" s="1">
        <v>2</v>
      </c>
      <c r="S370" s="1" t="str">
        <f>IF(tblDados[[#This Row],[Mandante]]="","",TEXT(tblDados[[#This Row],[Data]],"aaaa-mm-dd")&amp;"|"&amp;TRIM(tblDados[[#This Row],[Mandante]])&amp;"|"&amp;TRIM(tblDados[[#This Row],[Visitante]]))</f>
        <v>2026-04-23|SA Bulo Bulo|Real Oruro</v>
      </c>
      <c r="T370" s="1">
        <f>IF($G370="",0,IF(COUNTIF($S$2:$S370,$S370)=1,1,0))</f>
        <v>1</v>
      </c>
      <c r="U370" s="19" t="str" cm="1">
        <f t="array" ref="U3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0" s="19" t="str" cm="1">
        <f t="array" ref="V3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1" spans="1:22" ht="14.25" customHeight="1" x14ac:dyDescent="0.3">
      <c r="A371" s="1" t="s">
        <v>1108</v>
      </c>
      <c r="B371" s="5">
        <v>46138</v>
      </c>
      <c r="C371" s="6">
        <v>0.77083333333333337</v>
      </c>
      <c r="D371" s="1" t="s">
        <v>10</v>
      </c>
      <c r="E371" s="1" t="s">
        <v>11</v>
      </c>
      <c r="F371" s="1" t="s">
        <v>1109</v>
      </c>
      <c r="G371" s="39" t="s">
        <v>227</v>
      </c>
      <c r="H371" s="1">
        <v>2</v>
      </c>
      <c r="I371" s="1">
        <v>3</v>
      </c>
      <c r="J371" s="39" t="s">
        <v>181</v>
      </c>
      <c r="K371" s="1">
        <v>3</v>
      </c>
      <c r="L371" s="1">
        <v>2</v>
      </c>
      <c r="S371" s="1" t="str">
        <f>IF(tblDados[[#This Row],[Mandante]]="","",TEXT(tblDados[[#This Row],[Data]],"aaaa-mm-dd")&amp;"|"&amp;TRIM(tblDados[[#This Row],[Mandante]])&amp;"|"&amp;TRIM(tblDados[[#This Row],[Visitante]]))</f>
        <v>2026-04-26|Real Oruro|The Strongest</v>
      </c>
      <c r="T371" s="1">
        <f>IF($G371="",0,IF(COUNTIF($S$2:$S371,$S371)=1,1,0))</f>
        <v>1</v>
      </c>
      <c r="U371" s="19" t="str" cm="1">
        <f t="array" ref="U3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1" s="19" t="str" cm="1">
        <f t="array" ref="V3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2" spans="1:22" ht="14.25" customHeight="1" x14ac:dyDescent="0.3">
      <c r="A372" s="1" t="s">
        <v>1110</v>
      </c>
      <c r="B372" s="5">
        <v>46143</v>
      </c>
      <c r="C372" s="6">
        <v>0.875</v>
      </c>
      <c r="D372" s="1" t="s">
        <v>10</v>
      </c>
      <c r="E372" s="1" t="s">
        <v>11</v>
      </c>
      <c r="F372" s="1" t="s">
        <v>1602</v>
      </c>
      <c r="G372" s="39" t="s">
        <v>1598</v>
      </c>
      <c r="H372" s="1">
        <v>1</v>
      </c>
      <c r="I372" s="1">
        <v>2</v>
      </c>
      <c r="J372" s="39" t="s">
        <v>227</v>
      </c>
      <c r="K372" s="1">
        <v>2</v>
      </c>
      <c r="L372" s="1">
        <v>1</v>
      </c>
      <c r="S372" s="1" t="str">
        <f>IF(tblDados[[#This Row],[Mandante]]="","",TEXT(tblDados[[#This Row],[Data]],"aaaa-mm-dd")&amp;"|"&amp;TRIM(tblDados[[#This Row],[Mandante]])&amp;"|"&amp;TRIM(tblDados[[#This Row],[Visitante]]))</f>
        <v>2026-05-01|Real Potosí|Real Oruro</v>
      </c>
      <c r="T372" s="1">
        <f>IF($G372="",0,IF(COUNTIF($S$2:$S372,$S372)=1,1,0))</f>
        <v>1</v>
      </c>
      <c r="U372" s="19" t="str" cm="1">
        <f t="array" ref="U3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2" s="19" t="str" cm="1">
        <f t="array" ref="V3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3" spans="1:22" ht="14.25" customHeight="1" x14ac:dyDescent="0.3">
      <c r="A373" s="1" t="s">
        <v>1111</v>
      </c>
      <c r="B373" s="5">
        <v>46154</v>
      </c>
      <c r="C373" s="6">
        <v>0.875</v>
      </c>
      <c r="D373" s="1" t="s">
        <v>10</v>
      </c>
      <c r="E373" s="1" t="s">
        <v>11</v>
      </c>
      <c r="F373" s="1" t="s">
        <v>1603</v>
      </c>
      <c r="G373" s="39" t="s">
        <v>182</v>
      </c>
      <c r="H373" s="1">
        <v>1</v>
      </c>
      <c r="I373" s="1">
        <v>1</v>
      </c>
      <c r="J373" s="39" t="s">
        <v>227</v>
      </c>
      <c r="K373" s="1">
        <v>1</v>
      </c>
      <c r="L373" s="1">
        <v>1</v>
      </c>
      <c r="S373" s="1" t="str">
        <f>IF(tblDados[[#This Row],[Mandante]]="","",TEXT(tblDados[[#This Row],[Data]],"aaaa-mm-dd")&amp;"|"&amp;TRIM(tblDados[[#This Row],[Mandante]])&amp;"|"&amp;TRIM(tblDados[[#This Row],[Visitante]]))</f>
        <v>2026-05-12|Club Aurora|Real Oruro</v>
      </c>
      <c r="T373" s="1">
        <f>IF($G373="",0,IF(COUNTIF($S$2:$S373,$S373)=1,1,0))</f>
        <v>1</v>
      </c>
      <c r="U373" s="19" t="str" cm="1">
        <f t="array" ref="U3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3" s="19" t="str" cm="1">
        <f t="array" ref="V3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4" spans="1:22" ht="14.25" customHeight="1" x14ac:dyDescent="0.3">
      <c r="A374" s="1" t="s">
        <v>1112</v>
      </c>
      <c r="B374" s="5">
        <v>46211</v>
      </c>
      <c r="C374" s="6">
        <v>0.79166666666666663</v>
      </c>
      <c r="D374" s="1" t="s">
        <v>10</v>
      </c>
      <c r="E374" s="1" t="s">
        <v>11</v>
      </c>
      <c r="F374" s="1" t="s">
        <v>1113</v>
      </c>
      <c r="G374" s="39" t="s">
        <v>227</v>
      </c>
      <c r="H374" s="1">
        <v>4</v>
      </c>
      <c r="I374" s="1">
        <v>1</v>
      </c>
      <c r="J374" s="39" t="s">
        <v>680</v>
      </c>
      <c r="K374" s="1">
        <v>1</v>
      </c>
      <c r="L374" s="1">
        <v>4</v>
      </c>
      <c r="S374" s="1" t="str">
        <f>IF(tblDados[[#This Row],[Mandante]]="","",TEXT(tblDados[[#This Row],[Data]],"aaaa-mm-dd")&amp;"|"&amp;TRIM(tblDados[[#This Row],[Mandante]])&amp;"|"&amp;TRIM(tblDados[[#This Row],[Visitante]]))</f>
        <v>2026-07-08|Real Oruro|Universitario de Vinto</v>
      </c>
      <c r="T374" s="1">
        <f>IF($G374="",0,IF(COUNTIF($S$2:$S374,$S374)=1,1,0))</f>
        <v>1</v>
      </c>
      <c r="U374" s="19" t="str" cm="1">
        <f t="array" ref="U3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4" s="19" t="str" cm="1">
        <f t="array" ref="V3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5" spans="1:22" ht="14.25" customHeight="1" x14ac:dyDescent="0.3">
      <c r="A375" s="1" t="s">
        <v>1114</v>
      </c>
      <c r="B375" s="5">
        <v>46214</v>
      </c>
      <c r="C375" s="6">
        <v>0.66666666666666663</v>
      </c>
      <c r="D375" s="1" t="s">
        <v>10</v>
      </c>
      <c r="E375" s="1" t="s">
        <v>11</v>
      </c>
      <c r="F375" s="1" t="s">
        <v>1621</v>
      </c>
      <c r="G375" s="39" t="s">
        <v>227</v>
      </c>
      <c r="H375" s="1">
        <v>3</v>
      </c>
      <c r="I375" s="1">
        <v>1</v>
      </c>
      <c r="J375" s="39" t="s">
        <v>1619</v>
      </c>
      <c r="K375" s="1">
        <v>1</v>
      </c>
      <c r="L375" s="1">
        <v>3</v>
      </c>
      <c r="S375" s="1" t="str">
        <f>IF(tblDados[[#This Row],[Mandante]]="","",TEXT(tblDados[[#This Row],[Data]],"aaaa-mm-dd")&amp;"|"&amp;TRIM(tblDados[[#This Row],[Mandante]])&amp;"|"&amp;TRIM(tblDados[[#This Row],[Visitante]]))</f>
        <v>2026-07-11|Real Oruro|GV San José</v>
      </c>
      <c r="T375" s="1">
        <f>IF($G375="",0,IF(COUNTIF($S$2:$S375,$S375)=1,1,0))</f>
        <v>1</v>
      </c>
      <c r="U375" s="19" t="str" cm="1">
        <f t="array" ref="U3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5" s="19" t="str" cm="1">
        <f t="array" ref="V3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6" spans="1:22" ht="14.25" customHeight="1" x14ac:dyDescent="0.3">
      <c r="A376" s="1" t="s">
        <v>1115</v>
      </c>
      <c r="B376" s="5">
        <v>46223</v>
      </c>
      <c r="C376" s="6">
        <v>0.83333333333333337</v>
      </c>
      <c r="D376" s="1" t="s">
        <v>10</v>
      </c>
      <c r="E376" s="1" t="s">
        <v>11</v>
      </c>
      <c r="F376" s="1" t="s">
        <v>1579</v>
      </c>
      <c r="G376" s="39" t="s">
        <v>671</v>
      </c>
      <c r="H376" s="1">
        <v>1</v>
      </c>
      <c r="I376" s="1">
        <v>4</v>
      </c>
      <c r="J376" s="39" t="s">
        <v>227</v>
      </c>
      <c r="K376" s="1">
        <v>4</v>
      </c>
      <c r="L376" s="1">
        <v>1</v>
      </c>
      <c r="S376" s="1" t="str">
        <f>IF(tblDados[[#This Row],[Mandante]]="","",TEXT(tblDados[[#This Row],[Data]],"aaaa-mm-dd")&amp;"|"&amp;TRIM(tblDados[[#This Row],[Mandante]])&amp;"|"&amp;TRIM(tblDados[[#This Row],[Visitante]]))</f>
        <v>2026-07-20|Nacional Potosí|Real Oruro</v>
      </c>
      <c r="T376" s="1">
        <f>IF($G376="",0,IF(COUNTIF($S$2:$S376,$S376)=1,1,0))</f>
        <v>1</v>
      </c>
      <c r="U376" s="19" t="str" cm="1">
        <f t="array" ref="U3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6" s="19" t="str" cm="1">
        <f t="array" ref="V3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7" spans="1:22" ht="14.25" customHeight="1" x14ac:dyDescent="0.3">
      <c r="A377" s="1" t="s">
        <v>1116</v>
      </c>
      <c r="B377" s="5">
        <v>46228</v>
      </c>
      <c r="C377" s="6">
        <v>0.66666666666666663</v>
      </c>
      <c r="D377" s="1" t="s">
        <v>10</v>
      </c>
      <c r="E377" s="1" t="s">
        <v>11</v>
      </c>
      <c r="F377" s="1" t="s">
        <v>1580</v>
      </c>
      <c r="G377" s="39" t="s">
        <v>668</v>
      </c>
      <c r="H377" s="1">
        <v>4</v>
      </c>
      <c r="I377" s="1">
        <v>1</v>
      </c>
      <c r="J377" s="39" t="s">
        <v>227</v>
      </c>
      <c r="K377" s="1">
        <v>1</v>
      </c>
      <c r="L377" s="1">
        <v>4</v>
      </c>
      <c r="S377" s="1" t="str">
        <f>IF(tblDados[[#This Row],[Mandante]]="","",TEXT(tblDados[[#This Row],[Data]],"aaaa-mm-dd")&amp;"|"&amp;TRIM(tblDados[[#This Row],[Mandante]])&amp;"|"&amp;TRIM(tblDados[[#This Row],[Visitante]]))</f>
        <v>2026-07-25|Guabirá|Real Oruro</v>
      </c>
      <c r="T377" s="1">
        <f>IF($G377="",0,IF(COUNTIF($S$2:$S377,$S377)=1,1,0))</f>
        <v>1</v>
      </c>
      <c r="U377" s="19" t="str" cm="1">
        <f t="array" ref="U3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7" s="19" t="str" cm="1">
        <f t="array" ref="V3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8" spans="1:22" ht="14.25" customHeight="1" x14ac:dyDescent="0.3">
      <c r="A378" s="1" t="s">
        <v>1122</v>
      </c>
      <c r="B378" s="5">
        <v>46089</v>
      </c>
      <c r="C378" s="6">
        <v>0.16666666666666666</v>
      </c>
      <c r="D378" s="1" t="s">
        <v>7</v>
      </c>
      <c r="E378" s="1" t="s">
        <v>8</v>
      </c>
      <c r="F378" s="1" t="s">
        <v>1123</v>
      </c>
      <c r="G378" s="39" t="s">
        <v>258</v>
      </c>
      <c r="H378" s="1">
        <v>0</v>
      </c>
      <c r="I378" s="1">
        <v>7</v>
      </c>
      <c r="J378" s="39" t="s">
        <v>1124</v>
      </c>
      <c r="K378" s="1">
        <v>7</v>
      </c>
      <c r="L378" s="1">
        <v>0</v>
      </c>
      <c r="S378" s="1" t="str">
        <f>IF(tblDados[[#This Row],[Mandante]]="","",TEXT(tblDados[[#This Row],[Data]],"aaaa-mm-dd")&amp;"|"&amp;TRIM(tblDados[[#This Row],[Mandante]])&amp;"|"&amp;TRIM(tblDados[[#This Row],[Visitante]]))</f>
        <v>2026-03-08|Magic United|Gold Coast Knights</v>
      </c>
      <c r="T378">
        <f>IF($G378="",0,IF(COUNTIF($S$2:$S378,$S378)=1,1,0))</f>
        <v>1</v>
      </c>
      <c r="U378" s="19" t="str" cm="1">
        <f t="array" ref="U3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8" s="19" t="str" cm="1">
        <f t="array" ref="V3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9" spans="1:22" ht="14.25" customHeight="1" x14ac:dyDescent="0.3">
      <c r="A379" s="1" t="s">
        <v>1125</v>
      </c>
      <c r="B379" s="5">
        <v>46103</v>
      </c>
      <c r="C379" s="6">
        <v>0.20833333333333334</v>
      </c>
      <c r="D379" s="1" t="s">
        <v>7</v>
      </c>
      <c r="E379" s="1" t="s">
        <v>8</v>
      </c>
      <c r="F379" s="1" t="s">
        <v>1126</v>
      </c>
      <c r="G379" s="39" t="s">
        <v>203</v>
      </c>
      <c r="H379" s="1">
        <v>4</v>
      </c>
      <c r="I379" s="1">
        <v>0</v>
      </c>
      <c r="J379" s="39" t="s">
        <v>258</v>
      </c>
      <c r="K379" s="1">
        <v>0</v>
      </c>
      <c r="L379" s="1">
        <v>4</v>
      </c>
      <c r="S379" s="1" t="str">
        <f>IF(tblDados[[#This Row],[Mandante]]="","",TEXT(tblDados[[#This Row],[Data]],"aaaa-mm-dd")&amp;"|"&amp;TRIM(tblDados[[#This Row],[Mandante]])&amp;"|"&amp;TRIM(tblDados[[#This Row],[Visitante]]))</f>
        <v>2026-03-22|Queensland Lions|Magic United</v>
      </c>
      <c r="T379" s="1">
        <f>IF($G379="",0,IF(COUNTIF($S$2:$S379,$S379)=1,1,0))</f>
        <v>1</v>
      </c>
      <c r="U379" s="19" t="str" cm="1">
        <f t="array" ref="U3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9" s="19" t="str" cm="1">
        <f t="array" ref="V3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0" spans="1:22" ht="14.25" customHeight="1" x14ac:dyDescent="0.3">
      <c r="A380" s="1" t="s">
        <v>1127</v>
      </c>
      <c r="B380" s="5">
        <v>46110</v>
      </c>
      <c r="C380" s="6">
        <v>0.19791666666666666</v>
      </c>
      <c r="D380" s="1" t="s">
        <v>7</v>
      </c>
      <c r="E380" s="1" t="s">
        <v>8</v>
      </c>
      <c r="F380" s="1" t="s">
        <v>1156</v>
      </c>
      <c r="G380" s="39" t="s">
        <v>262</v>
      </c>
      <c r="H380" s="1">
        <v>0</v>
      </c>
      <c r="I380" s="1">
        <v>1</v>
      </c>
      <c r="J380" s="39" t="s">
        <v>258</v>
      </c>
      <c r="K380" s="1">
        <v>1</v>
      </c>
      <c r="L380" s="1">
        <v>0</v>
      </c>
      <c r="S380" s="1" t="str">
        <f>IF(tblDados[[#This Row],[Mandante]]="","",TEXT(tblDados[[#This Row],[Data]],"aaaa-mm-dd")&amp;"|"&amp;TRIM(tblDados[[#This Row],[Mandante]])&amp;"|"&amp;TRIM(tblDados[[#This Row],[Visitante]]))</f>
        <v>2026-03-29|Brisbane Roar NPL|Magic United</v>
      </c>
      <c r="T380" s="1">
        <f>IF($G380="",0,IF(COUNTIF($S$2:$S380,$S380)=1,1,0))</f>
        <v>1</v>
      </c>
      <c r="U380" s="19" t="str" cm="1">
        <f t="array" ref="U3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0" s="19" t="str" cm="1">
        <f t="array" ref="V3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1" spans="1:22" ht="14.25" customHeight="1" x14ac:dyDescent="0.3">
      <c r="A381" s="1" t="s">
        <v>1128</v>
      </c>
      <c r="B381" s="5">
        <v>46119</v>
      </c>
      <c r="C381" s="6">
        <v>0.27083333333333331</v>
      </c>
      <c r="D381" s="1" t="s">
        <v>7</v>
      </c>
      <c r="E381" s="1" t="s">
        <v>8</v>
      </c>
      <c r="F381" s="1" t="s">
        <v>1129</v>
      </c>
      <c r="G381" s="39" t="s">
        <v>258</v>
      </c>
      <c r="H381" s="1">
        <v>0</v>
      </c>
      <c r="I381" s="1">
        <v>5</v>
      </c>
      <c r="J381" s="39" t="s">
        <v>263</v>
      </c>
      <c r="K381" s="1">
        <v>5</v>
      </c>
      <c r="L381" s="1">
        <v>0</v>
      </c>
      <c r="S381" s="1" t="str">
        <f>IF(tblDados[[#This Row],[Mandante]]="","",TEXT(tblDados[[#This Row],[Data]],"aaaa-mm-dd")&amp;"|"&amp;TRIM(tblDados[[#This Row],[Mandante]])&amp;"|"&amp;TRIM(tblDados[[#This Row],[Visitante]]))</f>
        <v>2026-04-07|Magic United|Moreton City Excelsior</v>
      </c>
      <c r="T381" s="1">
        <f>IF($G381="",0,IF(COUNTIF($S$2:$S381,$S381)=1,1,0))</f>
        <v>1</v>
      </c>
      <c r="U381" s="19" t="str" cm="1">
        <f t="array" ref="U3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1" s="19" t="str" cm="1">
        <f t="array" ref="V3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2" spans="1:22" ht="14.25" customHeight="1" x14ac:dyDescent="0.3">
      <c r="A382" s="1" t="s">
        <v>1130</v>
      </c>
      <c r="B382" s="5">
        <v>46124</v>
      </c>
      <c r="C382" s="6">
        <v>0.1875</v>
      </c>
      <c r="D382" s="1" t="s">
        <v>7</v>
      </c>
      <c r="E382" s="1" t="s">
        <v>8</v>
      </c>
      <c r="F382" s="1" t="s">
        <v>1131</v>
      </c>
      <c r="G382" s="39" t="s">
        <v>1132</v>
      </c>
      <c r="H382" s="1">
        <v>2</v>
      </c>
      <c r="I382" s="1">
        <v>2</v>
      </c>
      <c r="J382" s="39" t="s">
        <v>258</v>
      </c>
      <c r="K382" s="1">
        <v>2</v>
      </c>
      <c r="L382" s="1">
        <v>2</v>
      </c>
      <c r="S382" s="1" t="str">
        <f>IF(tblDados[[#This Row],[Mandante]]="","",TEXT(tblDados[[#This Row],[Data]],"aaaa-mm-dd")&amp;"|"&amp;TRIM(tblDados[[#This Row],[Mandante]])&amp;"|"&amp;TRIM(tblDados[[#This Row],[Visitante]]))</f>
        <v>2026-04-12|Brisbane City|Magic United</v>
      </c>
      <c r="T382" s="1">
        <f>IF($G382="",0,IF(COUNTIF($S$2:$S382,$S382)=1,1,0))</f>
        <v>1</v>
      </c>
      <c r="U382" s="19" t="str" cm="1">
        <f t="array" ref="U3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2" s="19" t="str" cm="1">
        <f t="array" ref="V3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3" spans="1:22" ht="14.25" customHeight="1" x14ac:dyDescent="0.3">
      <c r="A383" s="1" t="s">
        <v>1133</v>
      </c>
      <c r="B383" s="5">
        <v>46130</v>
      </c>
      <c r="C383" s="6">
        <v>0.19791666666666666</v>
      </c>
      <c r="D383" s="1" t="s">
        <v>7</v>
      </c>
      <c r="E383" s="1" t="s">
        <v>8</v>
      </c>
      <c r="F383" s="1" t="s">
        <v>1134</v>
      </c>
      <c r="G383" s="39" t="s">
        <v>258</v>
      </c>
      <c r="H383" s="1">
        <v>0</v>
      </c>
      <c r="I383" s="1">
        <v>2</v>
      </c>
      <c r="J383" s="39" t="s">
        <v>1135</v>
      </c>
      <c r="K383" s="1">
        <v>2</v>
      </c>
      <c r="L383" s="1">
        <v>0</v>
      </c>
      <c r="S383" s="1" t="str">
        <f>IF(tblDados[[#This Row],[Mandante]]="","",TEXT(tblDados[[#This Row],[Data]],"aaaa-mm-dd")&amp;"|"&amp;TRIM(tblDados[[#This Row],[Mandante]])&amp;"|"&amp;TRIM(tblDados[[#This Row],[Visitante]]))</f>
        <v>2026-04-18|Magic United|Eastern Suburbs</v>
      </c>
      <c r="T383" s="1">
        <f>IF($G383="",0,IF(COUNTIF($S$2:$S383,$S383)=1,1,0))</f>
        <v>1</v>
      </c>
      <c r="U383" s="19" t="str" cm="1">
        <f t="array" ref="U3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3" s="19" t="str" cm="1">
        <f t="array" ref="V3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4" spans="1:22" ht="14.25" customHeight="1" x14ac:dyDescent="0.3">
      <c r="A384" s="1" t="s">
        <v>1136</v>
      </c>
      <c r="B384" s="5">
        <v>46136</v>
      </c>
      <c r="C384" s="6">
        <v>0.27083333333333331</v>
      </c>
      <c r="D384" s="1" t="s">
        <v>7</v>
      </c>
      <c r="E384" s="1" t="s">
        <v>8</v>
      </c>
      <c r="F384" s="1" t="s">
        <v>1157</v>
      </c>
      <c r="G384" s="39" t="s">
        <v>259</v>
      </c>
      <c r="H384" s="1">
        <v>2</v>
      </c>
      <c r="I384" s="1">
        <v>0</v>
      </c>
      <c r="J384" s="39" t="s">
        <v>258</v>
      </c>
      <c r="K384" s="1">
        <v>0</v>
      </c>
      <c r="L384" s="1">
        <v>2</v>
      </c>
      <c r="S384" s="1" t="str">
        <f>IF(tblDados[[#This Row],[Mandante]]="","",TEXT(tblDados[[#This Row],[Data]],"aaaa-mm-dd")&amp;"|"&amp;TRIM(tblDados[[#This Row],[Mandante]])&amp;"|"&amp;TRIM(tblDados[[#This Row],[Visitante]]))</f>
        <v>2026-04-24|Brisbane Olympic FC|Magic United</v>
      </c>
      <c r="T384" s="1">
        <f>IF($G384="",0,IF(COUNTIF($S$2:$S384,$S384)=1,1,0))</f>
        <v>1</v>
      </c>
      <c r="U384" s="19" t="str" cm="1">
        <f t="array" ref="U3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4" s="19" t="str" cm="1">
        <f t="array" ref="V3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5" spans="1:22" ht="14.25" customHeight="1" x14ac:dyDescent="0.3">
      <c r="A385" s="1" t="s">
        <v>1137</v>
      </c>
      <c r="B385" s="5">
        <v>46152</v>
      </c>
      <c r="C385" s="6">
        <v>0.21875</v>
      </c>
      <c r="D385" s="1" t="s">
        <v>7</v>
      </c>
      <c r="E385" s="1" t="s">
        <v>8</v>
      </c>
      <c r="F385" s="1" t="s">
        <v>1138</v>
      </c>
      <c r="G385" s="39" t="s">
        <v>258</v>
      </c>
      <c r="H385" s="1">
        <v>1</v>
      </c>
      <c r="I385" s="1">
        <v>3</v>
      </c>
      <c r="J385" s="39" t="s">
        <v>1139</v>
      </c>
      <c r="K385" s="1">
        <v>3</v>
      </c>
      <c r="L385" s="1">
        <v>1</v>
      </c>
      <c r="S385" s="1" t="str">
        <f>IF(tblDados[[#This Row],[Mandante]]="","",TEXT(tblDados[[#This Row],[Data]],"aaaa-mm-dd")&amp;"|"&amp;TRIM(tblDados[[#This Row],[Mandante]])&amp;"|"&amp;TRIM(tblDados[[#This Row],[Visitante]]))</f>
        <v>2026-05-10|Magic United|Wynnum Wolves</v>
      </c>
      <c r="T385" s="1">
        <f>IF($G385="",0,IF(COUNTIF($S$2:$S385,$S385)=1,1,0))</f>
        <v>1</v>
      </c>
      <c r="U385" s="19" t="str" cm="1">
        <f t="array" ref="U3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5" s="19" t="str" cm="1">
        <f t="array" ref="V3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6" spans="1:22" ht="14.25" customHeight="1" x14ac:dyDescent="0.3">
      <c r="A386" s="1" t="s">
        <v>1140</v>
      </c>
      <c r="B386" s="5">
        <v>46165</v>
      </c>
      <c r="C386" s="6">
        <v>0.20833333333333334</v>
      </c>
      <c r="D386" s="1" t="s">
        <v>7</v>
      </c>
      <c r="E386" s="1" t="s">
        <v>8</v>
      </c>
      <c r="F386" s="1" t="s">
        <v>1158</v>
      </c>
      <c r="G386" s="39" t="s">
        <v>204</v>
      </c>
      <c r="H386" s="1">
        <v>3</v>
      </c>
      <c r="I386" s="1">
        <v>2</v>
      </c>
      <c r="J386" s="39" t="s">
        <v>258</v>
      </c>
      <c r="K386" s="1">
        <v>2</v>
      </c>
      <c r="L386" s="1">
        <v>3</v>
      </c>
      <c r="S386" s="1" t="str">
        <f>IF(tblDados[[#This Row],[Mandante]]="","",TEXT(tblDados[[#This Row],[Data]],"aaaa-mm-dd")&amp;"|"&amp;TRIM(tblDados[[#This Row],[Mandante]])&amp;"|"&amp;TRIM(tblDados[[#This Row],[Visitante]]))</f>
        <v>2026-05-23|Peninsula Power|Magic United</v>
      </c>
      <c r="T386" s="1">
        <f>IF($G386="",0,IF(COUNTIF($S$2:$S386,$S386)=1,1,0))</f>
        <v>1</v>
      </c>
      <c r="U386" s="19" t="str" cm="1">
        <f t="array" ref="U3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6" s="19" t="str" cm="1">
        <f t="array" ref="V3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7" spans="1:22" ht="14.25" customHeight="1" x14ac:dyDescent="0.3">
      <c r="A387" s="1" t="s">
        <v>1141</v>
      </c>
      <c r="B387" s="5">
        <v>46173</v>
      </c>
      <c r="C387" s="6">
        <v>0.19791666666666666</v>
      </c>
      <c r="D387" s="1" t="s">
        <v>7</v>
      </c>
      <c r="E387" s="1" t="s">
        <v>8</v>
      </c>
      <c r="F387" s="1" t="s">
        <v>1142</v>
      </c>
      <c r="G387" s="39" t="s">
        <v>258</v>
      </c>
      <c r="H387" s="1">
        <v>3</v>
      </c>
      <c r="I387" s="1">
        <v>5</v>
      </c>
      <c r="J387" s="39" t="s">
        <v>203</v>
      </c>
      <c r="K387" s="1">
        <v>5</v>
      </c>
      <c r="L387" s="1">
        <v>3</v>
      </c>
      <c r="S387" s="1" t="str">
        <f>IF(tblDados[[#This Row],[Mandante]]="","",TEXT(tblDados[[#This Row],[Data]],"aaaa-mm-dd")&amp;"|"&amp;TRIM(tblDados[[#This Row],[Mandante]])&amp;"|"&amp;TRIM(tblDados[[#This Row],[Visitante]]))</f>
        <v>2026-05-31|Magic United|Queensland Lions</v>
      </c>
      <c r="T387" s="1">
        <f>IF($G387="",0,IF(COUNTIF($S$2:$S387,$S387)=1,1,0))</f>
        <v>1</v>
      </c>
      <c r="U387" s="19" t="str" cm="1">
        <f t="array" ref="U3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7" s="19" t="str" cm="1">
        <f t="array" ref="V3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8" spans="1:22" ht="14.25" customHeight="1" x14ac:dyDescent="0.3">
      <c r="A388" s="1" t="s">
        <v>1143</v>
      </c>
      <c r="B388" s="5">
        <v>46176</v>
      </c>
      <c r="C388" s="6">
        <v>0.27083333333333331</v>
      </c>
      <c r="D388" s="1" t="s">
        <v>7</v>
      </c>
      <c r="E388" s="1" t="s">
        <v>8</v>
      </c>
      <c r="F388" s="1" t="s">
        <v>1160</v>
      </c>
      <c r="G388" s="39" t="s">
        <v>1159</v>
      </c>
      <c r="H388" s="1">
        <v>4</v>
      </c>
      <c r="I388" s="1">
        <v>0</v>
      </c>
      <c r="J388" s="39" t="s">
        <v>258</v>
      </c>
      <c r="K388" s="1">
        <v>0</v>
      </c>
      <c r="L388" s="1">
        <v>4</v>
      </c>
      <c r="S388" s="1" t="str">
        <f>IF(tblDados[[#This Row],[Mandante]]="","",TEXT(tblDados[[#This Row],[Data]],"aaaa-mm-dd")&amp;"|"&amp;TRIM(tblDados[[#This Row],[Mandante]])&amp;"|"&amp;TRIM(tblDados[[#This Row],[Visitante]]))</f>
        <v>2026-06-03|Rochedale Rovers|Magic United</v>
      </c>
      <c r="T388" s="1">
        <f>IF($G388="",0,IF(COUNTIF($S$2:$S388,$S388)=1,1,0))</f>
        <v>1</v>
      </c>
      <c r="U388" s="19" t="str" cm="1">
        <f t="array" ref="U3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8" s="19" t="str" cm="1">
        <f t="array" ref="V3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9" spans="1:22" ht="14.25" customHeight="1" x14ac:dyDescent="0.3">
      <c r="A389" s="1" t="s">
        <v>1144</v>
      </c>
      <c r="B389" s="5">
        <v>46179</v>
      </c>
      <c r="C389" s="6">
        <v>0.23958333333333334</v>
      </c>
      <c r="D389" s="1" t="s">
        <v>7</v>
      </c>
      <c r="E389" s="1" t="s">
        <v>8</v>
      </c>
      <c r="F389" s="1" t="s">
        <v>1161</v>
      </c>
      <c r="G389" s="39" t="s">
        <v>258</v>
      </c>
      <c r="H389" s="1">
        <v>2</v>
      </c>
      <c r="I389" s="1">
        <v>1</v>
      </c>
      <c r="J389" s="39" t="s">
        <v>262</v>
      </c>
      <c r="K389" s="1">
        <v>1</v>
      </c>
      <c r="L389" s="1">
        <v>2</v>
      </c>
      <c r="S389" s="1" t="str">
        <f>IF(tblDados[[#This Row],[Mandante]]="","",TEXT(tblDados[[#This Row],[Data]],"aaaa-mm-dd")&amp;"|"&amp;TRIM(tblDados[[#This Row],[Mandante]])&amp;"|"&amp;TRIM(tblDados[[#This Row],[Visitante]]))</f>
        <v>2026-06-06|Magic United|Brisbane Roar NPL</v>
      </c>
      <c r="T389" s="1">
        <f>IF($G389="",0,IF(COUNTIF($S$2:$S389,$S389)=1,1,0))</f>
        <v>1</v>
      </c>
      <c r="U389" s="19" t="str" cm="1">
        <f t="array" ref="U3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9" s="19" t="str" cm="1">
        <f t="array" ref="V3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0" spans="1:22" ht="14.25" customHeight="1" x14ac:dyDescent="0.3">
      <c r="A390" s="1" t="s">
        <v>1145</v>
      </c>
      <c r="B390" s="5">
        <v>46192</v>
      </c>
      <c r="C390" s="6">
        <v>0.27083333333333331</v>
      </c>
      <c r="D390" s="1" t="s">
        <v>7</v>
      </c>
      <c r="E390" s="1" t="s">
        <v>8</v>
      </c>
      <c r="F390" s="1" t="s">
        <v>1146</v>
      </c>
      <c r="G390" s="39" t="s">
        <v>1124</v>
      </c>
      <c r="H390" s="1">
        <v>2</v>
      </c>
      <c r="I390" s="1">
        <v>1</v>
      </c>
      <c r="J390" s="39" t="s">
        <v>258</v>
      </c>
      <c r="K390" s="1">
        <v>1</v>
      </c>
      <c r="L390" s="1">
        <v>2</v>
      </c>
      <c r="S390" s="1" t="str">
        <f>IF(tblDados[[#This Row],[Mandante]]="","",TEXT(tblDados[[#This Row],[Data]],"aaaa-mm-dd")&amp;"|"&amp;TRIM(tblDados[[#This Row],[Mandante]])&amp;"|"&amp;TRIM(tblDados[[#This Row],[Visitante]]))</f>
        <v>2026-06-19|Gold Coast Knights|Magic United</v>
      </c>
      <c r="T390" s="1">
        <f>IF($G390="",0,IF(COUNTIF($S$2:$S390,$S390)=1,1,0))</f>
        <v>1</v>
      </c>
      <c r="U390" s="19" t="str" cm="1">
        <f t="array" ref="U3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0" s="19" t="str" cm="1">
        <f t="array" ref="V3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1" spans="1:22" ht="14.25" customHeight="1" x14ac:dyDescent="0.3">
      <c r="A391" s="1" t="s">
        <v>1147</v>
      </c>
      <c r="B391" s="5">
        <v>46200</v>
      </c>
      <c r="C391" s="6">
        <v>0.20833333333333334</v>
      </c>
      <c r="D391" s="1" t="s">
        <v>7</v>
      </c>
      <c r="E391" s="1" t="s">
        <v>8</v>
      </c>
      <c r="F391" s="1" t="s">
        <v>1148</v>
      </c>
      <c r="G391" s="39" t="s">
        <v>258</v>
      </c>
      <c r="H391" s="1">
        <v>3</v>
      </c>
      <c r="I391" s="1">
        <v>5</v>
      </c>
      <c r="J391" s="39" t="s">
        <v>1132</v>
      </c>
      <c r="K391" s="1">
        <v>5</v>
      </c>
      <c r="L391" s="1">
        <v>3</v>
      </c>
      <c r="S391" s="1" t="str">
        <f>IF(tblDados[[#This Row],[Mandante]]="","",TEXT(tblDados[[#This Row],[Data]],"aaaa-mm-dd")&amp;"|"&amp;TRIM(tblDados[[#This Row],[Mandante]])&amp;"|"&amp;TRIM(tblDados[[#This Row],[Visitante]]))</f>
        <v>2026-06-27|Magic United|Brisbane City</v>
      </c>
      <c r="T391" s="1">
        <f>IF($G391="",0,IF(COUNTIF($S$2:$S391,$S391)=1,1,0))</f>
        <v>1</v>
      </c>
      <c r="U391" s="19" t="str" cm="1">
        <f t="array" ref="U3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1" s="19" t="str" cm="1">
        <f t="array" ref="V3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2" spans="1:22" ht="14.25" customHeight="1" x14ac:dyDescent="0.3">
      <c r="A392" s="1" t="s">
        <v>1149</v>
      </c>
      <c r="B392" s="5">
        <v>46208</v>
      </c>
      <c r="C392" s="6">
        <v>0.16666666666666666</v>
      </c>
      <c r="D392" s="1" t="s">
        <v>7</v>
      </c>
      <c r="E392" s="1" t="s">
        <v>8</v>
      </c>
      <c r="F392" s="1" t="s">
        <v>1150</v>
      </c>
      <c r="G392" s="39" t="s">
        <v>1151</v>
      </c>
      <c r="H392" s="1">
        <v>1</v>
      </c>
      <c r="I392" s="1">
        <v>3</v>
      </c>
      <c r="J392" s="39" t="s">
        <v>258</v>
      </c>
      <c r="K392" s="1">
        <v>3</v>
      </c>
      <c r="L392" s="1">
        <v>1</v>
      </c>
      <c r="S392" s="1" t="str">
        <f>IF(tblDados[[#This Row],[Mandante]]="","",TEXT(tblDados[[#This Row],[Data]],"aaaa-mm-dd")&amp;"|"&amp;TRIM(tblDados[[#This Row],[Mandante]])&amp;"|"&amp;TRIM(tblDados[[#This Row],[Visitante]]))</f>
        <v>2026-07-05|Gold Coast Utd|Magic United</v>
      </c>
      <c r="T392" s="1">
        <f>IF($G392="",0,IF(COUNTIF($S$2:$S392,$S392)=1,1,0))</f>
        <v>1</v>
      </c>
      <c r="U392" s="19" t="str" cm="1">
        <f t="array" ref="U3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2" s="19" t="str" cm="1">
        <f t="array" ref="V3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3" spans="1:22" ht="14.25" customHeight="1" x14ac:dyDescent="0.3">
      <c r="A393" s="1" t="s">
        <v>1152</v>
      </c>
      <c r="B393" s="5">
        <v>46214</v>
      </c>
      <c r="C393" s="6">
        <v>0.20833333333333334</v>
      </c>
      <c r="D393" s="1" t="s">
        <v>7</v>
      </c>
      <c r="E393" s="1" t="s">
        <v>8</v>
      </c>
      <c r="F393" s="1" t="s">
        <v>1153</v>
      </c>
      <c r="G393" s="39" t="s">
        <v>263</v>
      </c>
      <c r="H393" s="1">
        <v>4</v>
      </c>
      <c r="I393" s="1">
        <v>3</v>
      </c>
      <c r="J393" s="39" t="s">
        <v>258</v>
      </c>
      <c r="K393" s="1">
        <v>3</v>
      </c>
      <c r="L393" s="1">
        <v>4</v>
      </c>
      <c r="S393" s="1" t="str">
        <f>IF(tblDados[[#This Row],[Mandante]]="","",TEXT(tblDados[[#This Row],[Data]],"aaaa-mm-dd")&amp;"|"&amp;TRIM(tblDados[[#This Row],[Mandante]])&amp;"|"&amp;TRIM(tblDados[[#This Row],[Visitante]]))</f>
        <v>2026-07-11|Moreton City Excelsior|Magic United</v>
      </c>
      <c r="T393" s="1">
        <f>IF($G393="",0,IF(COUNTIF($S$2:$S393,$S393)=1,1,0))</f>
        <v>1</v>
      </c>
      <c r="U393" s="19" t="str" cm="1">
        <f t="array" ref="U3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3" s="19" t="str" cm="1">
        <f t="array" ref="V3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4" spans="1:22" ht="14.25" customHeight="1" x14ac:dyDescent="0.3">
      <c r="A394" s="1" t="s">
        <v>1154</v>
      </c>
      <c r="B394" s="5">
        <v>46221</v>
      </c>
      <c r="C394" s="6">
        <v>0.20833333333333334</v>
      </c>
      <c r="D394" s="1" t="s">
        <v>7</v>
      </c>
      <c r="E394" s="1" t="s">
        <v>8</v>
      </c>
      <c r="F394" s="1" t="s">
        <v>1155</v>
      </c>
      <c r="G394" s="39" t="s">
        <v>1135</v>
      </c>
      <c r="H394" s="1">
        <v>1</v>
      </c>
      <c r="I394" s="1">
        <v>4</v>
      </c>
      <c r="J394" s="39" t="s">
        <v>258</v>
      </c>
      <c r="K394" s="1">
        <v>4</v>
      </c>
      <c r="L394" s="1">
        <v>1</v>
      </c>
      <c r="S394" s="1" t="str">
        <f>IF(tblDados[[#This Row],[Mandante]]="","",TEXT(tblDados[[#This Row],[Data]],"aaaa-mm-dd")&amp;"|"&amp;TRIM(tblDados[[#This Row],[Mandante]])&amp;"|"&amp;TRIM(tblDados[[#This Row],[Visitante]]))</f>
        <v>2026-07-18|Eastern Suburbs|Magic United</v>
      </c>
      <c r="T394" s="1">
        <f>IF($G394="",0,IF(COUNTIF($S$2:$S394,$S394)=1,1,0))</f>
        <v>1</v>
      </c>
      <c r="U394" s="19" t="str" cm="1">
        <f t="array" ref="U3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4" s="19" t="str" cm="1">
        <f t="array" ref="V3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5" spans="1:22" ht="14.25" customHeight="1" x14ac:dyDescent="0.3">
      <c r="A395" s="1" t="s">
        <v>1162</v>
      </c>
      <c r="B395" s="5">
        <v>46102</v>
      </c>
      <c r="C395" s="6">
        <v>0.19791666666666666</v>
      </c>
      <c r="D395" s="1" t="s">
        <v>7</v>
      </c>
      <c r="E395" s="1" t="s">
        <v>8</v>
      </c>
      <c r="F395" s="1" t="s">
        <v>1177</v>
      </c>
      <c r="G395" s="39" t="s">
        <v>263</v>
      </c>
      <c r="H395" s="1">
        <v>3</v>
      </c>
      <c r="I395" s="1">
        <v>1</v>
      </c>
      <c r="J395" s="39" t="s">
        <v>1159</v>
      </c>
      <c r="K395" s="1">
        <v>1</v>
      </c>
      <c r="L395" s="1">
        <v>3</v>
      </c>
      <c r="S395" s="1" t="str">
        <f>IF(tblDados[[#This Row],[Mandante]]="","",TEXT(tblDados[[#This Row],[Data]],"aaaa-mm-dd")&amp;"|"&amp;TRIM(tblDados[[#This Row],[Mandante]])&amp;"|"&amp;TRIM(tblDados[[#This Row],[Visitante]]))</f>
        <v>2026-03-21|Moreton City Excelsior|Rochedale Rovers</v>
      </c>
      <c r="T395">
        <f>IF($G395="",0,IF(COUNTIF($S$2:$S395,$S395)=1,1,0))</f>
        <v>1</v>
      </c>
      <c r="U395" s="19" t="str" cm="1">
        <f t="array" ref="U3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5" s="19" t="str" cm="1">
        <f t="array" ref="V3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6" spans="1:22" ht="14.25" customHeight="1" x14ac:dyDescent="0.3">
      <c r="A396" s="1" t="s">
        <v>1163</v>
      </c>
      <c r="B396" s="5">
        <v>46110</v>
      </c>
      <c r="C396" s="6">
        <v>0.16666666666666666</v>
      </c>
      <c r="D396" s="1" t="s">
        <v>7</v>
      </c>
      <c r="E396" s="1" t="s">
        <v>8</v>
      </c>
      <c r="F396" s="1" t="s">
        <v>1178</v>
      </c>
      <c r="G396" s="39" t="s">
        <v>204</v>
      </c>
      <c r="H396" s="1">
        <v>3</v>
      </c>
      <c r="I396" s="1">
        <v>1</v>
      </c>
      <c r="J396" s="39" t="s">
        <v>1159</v>
      </c>
      <c r="K396" s="1">
        <v>1</v>
      </c>
      <c r="L396" s="1">
        <v>3</v>
      </c>
      <c r="S396" s="1" t="str">
        <f>IF(tblDados[[#This Row],[Mandante]]="","",TEXT(tblDados[[#This Row],[Data]],"aaaa-mm-dd")&amp;"|"&amp;TRIM(tblDados[[#This Row],[Mandante]])&amp;"|"&amp;TRIM(tblDados[[#This Row],[Visitante]]))</f>
        <v>2026-03-29|Peninsula Power|Rochedale Rovers</v>
      </c>
      <c r="T396" s="1">
        <f>IF($G396="",0,IF(COUNTIF($S$2:$S396,$S396)=1,1,0))</f>
        <v>1</v>
      </c>
      <c r="U396" s="19" t="str" cm="1">
        <f t="array" ref="U3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6" s="19" t="str" cm="1">
        <f t="array" ref="V3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7" spans="1:22" ht="14.25" customHeight="1" x14ac:dyDescent="0.3">
      <c r="A397" s="1" t="s">
        <v>1164</v>
      </c>
      <c r="B397" s="5">
        <v>46122</v>
      </c>
      <c r="C397" s="6">
        <v>0.27083333333333331</v>
      </c>
      <c r="D397" s="1" t="s">
        <v>7</v>
      </c>
      <c r="E397" s="1" t="s">
        <v>8</v>
      </c>
      <c r="F397" s="1" t="s">
        <v>1179</v>
      </c>
      <c r="G397" s="39" t="s">
        <v>1124</v>
      </c>
      <c r="H397" s="1">
        <v>1</v>
      </c>
      <c r="I397" s="1">
        <v>1</v>
      </c>
      <c r="J397" s="39" t="s">
        <v>1159</v>
      </c>
      <c r="K397" s="1">
        <v>1</v>
      </c>
      <c r="L397" s="1">
        <v>1</v>
      </c>
      <c r="S397" s="1" t="str">
        <f>IF(tblDados[[#This Row],[Mandante]]="","",TEXT(tblDados[[#This Row],[Data]],"aaaa-mm-dd")&amp;"|"&amp;TRIM(tblDados[[#This Row],[Mandante]])&amp;"|"&amp;TRIM(tblDados[[#This Row],[Visitante]]))</f>
        <v>2026-04-10|Gold Coast Knights|Rochedale Rovers</v>
      </c>
      <c r="T397" s="1">
        <f>IF($G397="",0,IF(COUNTIF($S$2:$S397,$S397)=1,1,0))</f>
        <v>1</v>
      </c>
      <c r="U397" s="19" t="str" cm="1">
        <f t="array" ref="U3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7" s="19" t="str" cm="1">
        <f t="array" ref="V3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8" spans="1:22" ht="14.25" customHeight="1" x14ac:dyDescent="0.3">
      <c r="A398" s="1" t="s">
        <v>1165</v>
      </c>
      <c r="B398" s="5">
        <v>46131</v>
      </c>
      <c r="C398" s="6">
        <v>0.19791666666666666</v>
      </c>
      <c r="D398" s="1" t="s">
        <v>7</v>
      </c>
      <c r="E398" s="1" t="s">
        <v>8</v>
      </c>
      <c r="F398" s="1" t="s">
        <v>1180</v>
      </c>
      <c r="G398" s="39" t="s">
        <v>1132</v>
      </c>
      <c r="H398" s="1">
        <v>2</v>
      </c>
      <c r="I398" s="1">
        <v>2</v>
      </c>
      <c r="J398" s="39" t="s">
        <v>1159</v>
      </c>
      <c r="K398" s="1">
        <v>2</v>
      </c>
      <c r="L398" s="1">
        <v>2</v>
      </c>
      <c r="S398" s="1" t="str">
        <f>IF(tblDados[[#This Row],[Mandante]]="","",TEXT(tblDados[[#This Row],[Data]],"aaaa-mm-dd")&amp;"|"&amp;TRIM(tblDados[[#This Row],[Mandante]])&amp;"|"&amp;TRIM(tblDados[[#This Row],[Visitante]]))</f>
        <v>2026-04-19|Brisbane City|Rochedale Rovers</v>
      </c>
      <c r="T398" s="1">
        <f>IF($G398="",0,IF(COUNTIF($S$2:$S398,$S398)=1,1,0))</f>
        <v>1</v>
      </c>
      <c r="U398" s="19" t="str" cm="1">
        <f t="array" ref="U3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8" s="19" t="str" cm="1">
        <f t="array" ref="V3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9" spans="1:22" ht="14.25" customHeight="1" x14ac:dyDescent="0.3">
      <c r="A399" s="1" t="s">
        <v>1166</v>
      </c>
      <c r="B399" s="5">
        <v>46137</v>
      </c>
      <c r="C399" s="6">
        <v>0.20833333333333334</v>
      </c>
      <c r="D399" s="1" t="s">
        <v>7</v>
      </c>
      <c r="E399" s="1" t="s">
        <v>8</v>
      </c>
      <c r="F399" s="1" t="s">
        <v>1181</v>
      </c>
      <c r="G399" s="39" t="s">
        <v>1135</v>
      </c>
      <c r="H399" s="1">
        <v>6</v>
      </c>
      <c r="I399" s="1">
        <v>1</v>
      </c>
      <c r="J399" s="39" t="s">
        <v>1159</v>
      </c>
      <c r="K399" s="1">
        <v>1</v>
      </c>
      <c r="L399" s="1">
        <v>6</v>
      </c>
      <c r="S399" s="1" t="str">
        <f>IF(tblDados[[#This Row],[Mandante]]="","",TEXT(tblDados[[#This Row],[Data]],"aaaa-mm-dd")&amp;"|"&amp;TRIM(tblDados[[#This Row],[Mandante]])&amp;"|"&amp;TRIM(tblDados[[#This Row],[Visitante]]))</f>
        <v>2026-04-25|Eastern Suburbs|Rochedale Rovers</v>
      </c>
      <c r="T399" s="1">
        <f>IF($G399="",0,IF(COUNTIF($S$2:$S399,$S399)=1,1,0))</f>
        <v>1</v>
      </c>
      <c r="U399" s="19" t="str" cm="1">
        <f t="array" ref="U3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9" s="19" t="str" cm="1">
        <f t="array" ref="V3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0" spans="1:22" ht="14.25" customHeight="1" x14ac:dyDescent="0.3">
      <c r="A400" s="1" t="s">
        <v>1167</v>
      </c>
      <c r="B400" s="5">
        <v>46152</v>
      </c>
      <c r="C400" s="6">
        <v>0.21875</v>
      </c>
      <c r="D400" s="1" t="s">
        <v>7</v>
      </c>
      <c r="E400" s="1" t="s">
        <v>8</v>
      </c>
      <c r="F400" s="1" t="s">
        <v>1182</v>
      </c>
      <c r="G400" s="39" t="s">
        <v>1159</v>
      </c>
      <c r="H400" s="1">
        <v>3</v>
      </c>
      <c r="I400" s="1">
        <v>1</v>
      </c>
      <c r="J400" s="39" t="s">
        <v>259</v>
      </c>
      <c r="K400" s="1">
        <v>1</v>
      </c>
      <c r="L400" s="1">
        <v>3</v>
      </c>
      <c r="S400" s="1" t="str">
        <f>IF(tblDados[[#This Row],[Mandante]]="","",TEXT(tblDados[[#This Row],[Data]],"aaaa-mm-dd")&amp;"|"&amp;TRIM(tblDados[[#This Row],[Mandante]])&amp;"|"&amp;TRIM(tblDados[[#This Row],[Visitante]]))</f>
        <v>2026-05-10|Rochedale Rovers|Brisbane Olympic FC</v>
      </c>
      <c r="T400" s="1">
        <f>IF($G400="",0,IF(COUNTIF($S$2:$S400,$S400)=1,1,0))</f>
        <v>1</v>
      </c>
      <c r="U400" s="19" t="str" cm="1">
        <f t="array" ref="U4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0" s="19" t="str" cm="1">
        <f t="array" ref="V4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1" spans="1:22" ht="14.25" customHeight="1" x14ac:dyDescent="0.3">
      <c r="A401" s="1" t="s">
        <v>1168</v>
      </c>
      <c r="B401" s="5">
        <v>46165</v>
      </c>
      <c r="C401" s="6">
        <v>0.16666666666666666</v>
      </c>
      <c r="D401" s="1" t="s">
        <v>7</v>
      </c>
      <c r="E401" s="1" t="s">
        <v>8</v>
      </c>
      <c r="F401" s="1" t="s">
        <v>1183</v>
      </c>
      <c r="G401" s="39" t="s">
        <v>1151</v>
      </c>
      <c r="H401" s="1">
        <v>4</v>
      </c>
      <c r="I401" s="1">
        <v>0</v>
      </c>
      <c r="J401" s="39" t="s">
        <v>1159</v>
      </c>
      <c r="K401" s="1">
        <v>0</v>
      </c>
      <c r="L401" s="1">
        <v>4</v>
      </c>
      <c r="S401" s="1" t="str">
        <f>IF(tblDados[[#This Row],[Mandante]]="","",TEXT(tblDados[[#This Row],[Data]],"aaaa-mm-dd")&amp;"|"&amp;TRIM(tblDados[[#This Row],[Mandante]])&amp;"|"&amp;TRIM(tblDados[[#This Row],[Visitante]]))</f>
        <v>2026-05-23|Gold Coast Utd|Rochedale Rovers</v>
      </c>
      <c r="T401" s="1">
        <f>IF($G401="",0,IF(COUNTIF($S$2:$S401,$S401)=1,1,0))</f>
        <v>1</v>
      </c>
      <c r="U401" s="19" t="str" cm="1">
        <f t="array" ref="U4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1" s="19" t="str" cm="1">
        <f t="array" ref="V4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2" spans="1:22" ht="14.25" customHeight="1" x14ac:dyDescent="0.3">
      <c r="A402" s="1" t="s">
        <v>1169</v>
      </c>
      <c r="B402" s="5">
        <v>46179</v>
      </c>
      <c r="C402" s="6">
        <v>0.23958333333333334</v>
      </c>
      <c r="D402" s="1" t="s">
        <v>7</v>
      </c>
      <c r="E402" s="1" t="s">
        <v>8</v>
      </c>
      <c r="F402" s="1" t="s">
        <v>1184</v>
      </c>
      <c r="G402" s="39" t="s">
        <v>1159</v>
      </c>
      <c r="H402" s="1">
        <v>0</v>
      </c>
      <c r="I402" s="1">
        <v>2</v>
      </c>
      <c r="J402" s="39" t="s">
        <v>204</v>
      </c>
      <c r="K402" s="1">
        <v>2</v>
      </c>
      <c r="L402" s="1">
        <v>0</v>
      </c>
      <c r="S402" s="1" t="str">
        <f>IF(tblDados[[#This Row],[Mandante]]="","",TEXT(tblDados[[#This Row],[Data]],"aaaa-mm-dd")&amp;"|"&amp;TRIM(tblDados[[#This Row],[Mandante]])&amp;"|"&amp;TRIM(tblDados[[#This Row],[Visitante]]))</f>
        <v>2026-06-06|Rochedale Rovers|Peninsula Power</v>
      </c>
      <c r="T402" s="1">
        <f>IF($G402="",0,IF(COUNTIF($S$2:$S402,$S402)=1,1,0))</f>
        <v>1</v>
      </c>
      <c r="U402" s="19" t="str" cm="1">
        <f t="array" ref="U4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2" s="19" t="str" cm="1">
        <f t="array" ref="V4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3" spans="1:22" ht="14.25" customHeight="1" x14ac:dyDescent="0.3">
      <c r="A403" s="1" t="s">
        <v>1170</v>
      </c>
      <c r="B403" s="5">
        <v>46189</v>
      </c>
      <c r="C403" s="6">
        <v>0.27083333333333331</v>
      </c>
      <c r="D403" s="1" t="s">
        <v>7</v>
      </c>
      <c r="E403" s="1" t="s">
        <v>8</v>
      </c>
      <c r="F403" s="1" t="s">
        <v>1185</v>
      </c>
      <c r="G403" s="39" t="s">
        <v>1159</v>
      </c>
      <c r="H403" s="1">
        <v>2</v>
      </c>
      <c r="I403" s="1">
        <v>5</v>
      </c>
      <c r="J403" s="39" t="s">
        <v>263</v>
      </c>
      <c r="K403" s="1">
        <v>5</v>
      </c>
      <c r="L403" s="1">
        <v>2</v>
      </c>
      <c r="S403" s="1" t="str">
        <f>IF(tblDados[[#This Row],[Mandante]]="","",TEXT(tblDados[[#This Row],[Data]],"aaaa-mm-dd")&amp;"|"&amp;TRIM(tblDados[[#This Row],[Mandante]])&amp;"|"&amp;TRIM(tblDados[[#This Row],[Visitante]]))</f>
        <v>2026-06-16|Rochedale Rovers|Moreton City Excelsior</v>
      </c>
      <c r="T403" s="1">
        <f>IF($G403="",0,IF(COUNTIF($S$2:$S403,$S403)=1,1,0))</f>
        <v>1</v>
      </c>
      <c r="U403" s="19" t="str" cm="1">
        <f t="array" ref="U4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3" s="19" t="str" cm="1">
        <f t="array" ref="V4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4" spans="1:22" ht="14.25" customHeight="1" x14ac:dyDescent="0.3">
      <c r="A404" s="1" t="s">
        <v>1171</v>
      </c>
      <c r="B404" s="5">
        <v>46194</v>
      </c>
      <c r="C404" s="6">
        <v>0.20833333333333334</v>
      </c>
      <c r="D404" s="1" t="s">
        <v>7</v>
      </c>
      <c r="E404" s="1" t="s">
        <v>8</v>
      </c>
      <c r="F404" s="1" t="s">
        <v>1186</v>
      </c>
      <c r="G404" s="39" t="s">
        <v>203</v>
      </c>
      <c r="H404" s="1">
        <v>2</v>
      </c>
      <c r="I404" s="1">
        <v>1</v>
      </c>
      <c r="J404" s="39" t="s">
        <v>1159</v>
      </c>
      <c r="K404" s="1">
        <v>1</v>
      </c>
      <c r="L404" s="1">
        <v>2</v>
      </c>
      <c r="S404" s="1" t="str">
        <f>IF(tblDados[[#This Row],[Mandante]]="","",TEXT(tblDados[[#This Row],[Data]],"aaaa-mm-dd")&amp;"|"&amp;TRIM(tblDados[[#This Row],[Mandante]])&amp;"|"&amp;TRIM(tblDados[[#This Row],[Visitante]]))</f>
        <v>2026-06-21|Queensland Lions|Rochedale Rovers</v>
      </c>
      <c r="T404" s="1">
        <f>IF($G404="",0,IF(COUNTIF($S$2:$S404,$S404)=1,1,0))</f>
        <v>1</v>
      </c>
      <c r="U404" s="19" t="str" cm="1">
        <f t="array" ref="U4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4" s="19" t="str" cm="1">
        <f t="array" ref="V4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5" spans="1:22" ht="14.25" customHeight="1" x14ac:dyDescent="0.3">
      <c r="A405" s="1" t="s">
        <v>1172</v>
      </c>
      <c r="B405" s="5">
        <v>46199</v>
      </c>
      <c r="C405" s="6">
        <v>0.27083333333333331</v>
      </c>
      <c r="D405" s="1" t="s">
        <v>7</v>
      </c>
      <c r="E405" s="1" t="s">
        <v>8</v>
      </c>
      <c r="F405" s="1" t="s">
        <v>1187</v>
      </c>
      <c r="G405" s="39" t="s">
        <v>1159</v>
      </c>
      <c r="H405" s="1">
        <v>4</v>
      </c>
      <c r="I405" s="1">
        <v>1</v>
      </c>
      <c r="J405" s="39" t="s">
        <v>1124</v>
      </c>
      <c r="K405" s="1">
        <v>1</v>
      </c>
      <c r="L405" s="1">
        <v>4</v>
      </c>
      <c r="S405" s="1" t="str">
        <f>IF(tblDados[[#This Row],[Mandante]]="","",TEXT(tblDados[[#This Row],[Data]],"aaaa-mm-dd")&amp;"|"&amp;TRIM(tblDados[[#This Row],[Mandante]])&amp;"|"&amp;TRIM(tblDados[[#This Row],[Visitante]]))</f>
        <v>2026-06-26|Rochedale Rovers|Gold Coast Knights</v>
      </c>
      <c r="T405" s="1">
        <f>IF($G405="",0,IF(COUNTIF($S$2:$S405,$S405)=1,1,0))</f>
        <v>1</v>
      </c>
      <c r="U405" s="19" t="str" cm="1">
        <f t="array" ref="U4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5" s="19" t="str" cm="1">
        <f t="array" ref="V4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6" spans="1:22" ht="14.25" customHeight="1" x14ac:dyDescent="0.3">
      <c r="A406" s="1" t="s">
        <v>1173</v>
      </c>
      <c r="B406" s="5">
        <v>46206</v>
      </c>
      <c r="C406" s="6">
        <v>0.27083333333333331</v>
      </c>
      <c r="D406" s="1" t="s">
        <v>7</v>
      </c>
      <c r="E406" s="1" t="s">
        <v>8</v>
      </c>
      <c r="F406" s="1" t="s">
        <v>1188</v>
      </c>
      <c r="G406" s="39" t="s">
        <v>1139</v>
      </c>
      <c r="H406" s="1">
        <v>1</v>
      </c>
      <c r="I406" s="1">
        <v>1</v>
      </c>
      <c r="J406" s="39" t="s">
        <v>1159</v>
      </c>
      <c r="K406" s="1">
        <v>1</v>
      </c>
      <c r="L406" s="1">
        <v>1</v>
      </c>
      <c r="S406" s="1" t="str">
        <f>IF(tblDados[[#This Row],[Mandante]]="","",TEXT(tblDados[[#This Row],[Data]],"aaaa-mm-dd")&amp;"|"&amp;TRIM(tblDados[[#This Row],[Mandante]])&amp;"|"&amp;TRIM(tblDados[[#This Row],[Visitante]]))</f>
        <v>2026-07-03|Wynnum Wolves|Rochedale Rovers</v>
      </c>
      <c r="T406" s="1">
        <f>IF($G406="",0,IF(COUNTIF($S$2:$S406,$S406)=1,1,0))</f>
        <v>1</v>
      </c>
      <c r="U406" s="19" t="str" cm="1">
        <f t="array" ref="U4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6" s="19" t="str" cm="1">
        <f t="array" ref="V4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7" spans="1:22" ht="14.25" customHeight="1" x14ac:dyDescent="0.3">
      <c r="A407" s="1" t="s">
        <v>1174</v>
      </c>
      <c r="B407" s="5">
        <v>46213</v>
      </c>
      <c r="C407" s="6">
        <v>0.27083333333333331</v>
      </c>
      <c r="D407" s="1" t="s">
        <v>7</v>
      </c>
      <c r="E407" s="1" t="s">
        <v>8</v>
      </c>
      <c r="F407" s="1" t="s">
        <v>1189</v>
      </c>
      <c r="G407" s="39" t="s">
        <v>262</v>
      </c>
      <c r="H407" s="1">
        <v>4</v>
      </c>
      <c r="I407" s="1">
        <v>1</v>
      </c>
      <c r="J407" s="39" t="s">
        <v>1159</v>
      </c>
      <c r="K407" s="1">
        <v>1</v>
      </c>
      <c r="L407" s="1">
        <v>4</v>
      </c>
      <c r="S407" s="1" t="str">
        <f>IF(tblDados[[#This Row],[Mandante]]="","",TEXT(tblDados[[#This Row],[Data]],"aaaa-mm-dd")&amp;"|"&amp;TRIM(tblDados[[#This Row],[Mandante]])&amp;"|"&amp;TRIM(tblDados[[#This Row],[Visitante]]))</f>
        <v>2026-07-10|Brisbane Roar NPL|Rochedale Rovers</v>
      </c>
      <c r="T407" s="1">
        <f>IF($G407="",0,IF(COUNTIF($S$2:$S407,$S407)=1,1,0))</f>
        <v>1</v>
      </c>
      <c r="U407" s="19" t="str" cm="1">
        <f t="array" ref="U4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7" s="19" t="str" cm="1">
        <f t="array" ref="V4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8" spans="1:22" ht="14.25" customHeight="1" x14ac:dyDescent="0.3">
      <c r="A408" s="1" t="s">
        <v>1175</v>
      </c>
      <c r="B408" s="5">
        <v>46221</v>
      </c>
      <c r="C408" s="6">
        <v>0.20833333333333334</v>
      </c>
      <c r="D408" s="1" t="s">
        <v>7</v>
      </c>
      <c r="E408" s="1" t="s">
        <v>8</v>
      </c>
      <c r="F408" s="1" t="s">
        <v>1190</v>
      </c>
      <c r="G408" s="39" t="s">
        <v>1159</v>
      </c>
      <c r="H408" s="1">
        <v>2</v>
      </c>
      <c r="I408" s="1">
        <v>3</v>
      </c>
      <c r="J408" s="39" t="s">
        <v>1132</v>
      </c>
      <c r="K408" s="1">
        <v>3</v>
      </c>
      <c r="L408" s="1">
        <v>2</v>
      </c>
      <c r="S408" s="1" t="str">
        <f>IF(tblDados[[#This Row],[Mandante]]="","",TEXT(tblDados[[#This Row],[Data]],"aaaa-mm-dd")&amp;"|"&amp;TRIM(tblDados[[#This Row],[Mandante]])&amp;"|"&amp;TRIM(tblDados[[#This Row],[Visitante]]))</f>
        <v>2026-07-18|Rochedale Rovers|Brisbane City</v>
      </c>
      <c r="T408" s="1">
        <f>IF($G408="",0,IF(COUNTIF($S$2:$S408,$S408)=1,1,0))</f>
        <v>1</v>
      </c>
      <c r="U408" s="19" t="str" cm="1">
        <f t="array" ref="U4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8" s="19" t="str" cm="1">
        <f t="array" ref="V4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9" spans="1:22" ht="14.25" customHeight="1" x14ac:dyDescent="0.3">
      <c r="A409" s="1" t="s">
        <v>1176</v>
      </c>
      <c r="B409" s="5">
        <v>46234</v>
      </c>
      <c r="C409" s="6">
        <v>0.27083333333333331</v>
      </c>
      <c r="D409" s="1" t="s">
        <v>7</v>
      </c>
      <c r="E409" s="1" t="s">
        <v>8</v>
      </c>
      <c r="F409" s="1" t="s">
        <v>1191</v>
      </c>
      <c r="G409" s="39" t="s">
        <v>1159</v>
      </c>
      <c r="H409" s="1">
        <v>2</v>
      </c>
      <c r="I409" s="1">
        <v>1</v>
      </c>
      <c r="J409" s="39" t="s">
        <v>1135</v>
      </c>
      <c r="K409" s="1">
        <v>1</v>
      </c>
      <c r="L409" s="1">
        <v>2</v>
      </c>
      <c r="S409" s="1" t="str">
        <f>IF(tblDados[[#This Row],[Mandante]]="","",TEXT(tblDados[[#This Row],[Data]],"aaaa-mm-dd")&amp;"|"&amp;TRIM(tblDados[[#This Row],[Mandante]])&amp;"|"&amp;TRIM(tblDados[[#This Row],[Visitante]]))</f>
        <v>2026-07-31|Rochedale Rovers|Eastern Suburbs</v>
      </c>
      <c r="T409" s="1">
        <f>IF($G409="",0,IF(COUNTIF($S$2:$S409,$S409)=1,1,0))</f>
        <v>1</v>
      </c>
      <c r="U409" s="19" t="str" cm="1">
        <f t="array" ref="U4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9" s="19" t="str" cm="1">
        <f t="array" ref="V4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0" spans="1:22" ht="14.25" customHeight="1" x14ac:dyDescent="0.3">
      <c r="A410" s="1" t="s">
        <v>1192</v>
      </c>
      <c r="B410" s="5">
        <v>46096</v>
      </c>
      <c r="C410" s="6">
        <v>0.16666666666666666</v>
      </c>
      <c r="D410" s="1" t="s">
        <v>7</v>
      </c>
      <c r="E410" s="1" t="s">
        <v>8</v>
      </c>
      <c r="F410" s="1" t="s">
        <v>1206</v>
      </c>
      <c r="G410" s="39" t="s">
        <v>259</v>
      </c>
      <c r="H410" s="1">
        <v>2</v>
      </c>
      <c r="I410" s="1">
        <v>0</v>
      </c>
      <c r="J410" s="39" t="s">
        <v>1151</v>
      </c>
      <c r="K410" s="1">
        <v>0</v>
      </c>
      <c r="L410" s="1">
        <v>2</v>
      </c>
      <c r="S410" s="1" t="str">
        <f>IF(tblDados[[#This Row],[Mandante]]="","",TEXT(tblDados[[#This Row],[Data]],"aaaa-mm-dd")&amp;"|"&amp;TRIM(tblDados[[#This Row],[Mandante]])&amp;"|"&amp;TRIM(tblDados[[#This Row],[Visitante]]))</f>
        <v>2026-03-15|Brisbane Olympic FC|Gold Coast Utd</v>
      </c>
      <c r="T410">
        <f>IF($G410="",0,IF(COUNTIF($S$2:$S410,$S410)=1,1,0))</f>
        <v>1</v>
      </c>
      <c r="U410" s="19" t="str" cm="1">
        <f t="array" ref="U4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0" s="19" t="str" cm="1">
        <f t="array" ref="V4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1" spans="1:22" ht="14.25" customHeight="1" x14ac:dyDescent="0.3">
      <c r="A411" s="1" t="s">
        <v>1193</v>
      </c>
      <c r="B411" s="5">
        <v>46102</v>
      </c>
      <c r="C411" s="6">
        <v>0.19791666666666666</v>
      </c>
      <c r="D411" s="1" t="s">
        <v>7</v>
      </c>
      <c r="E411" s="1" t="s">
        <v>8</v>
      </c>
      <c r="F411" s="1" t="s">
        <v>1207</v>
      </c>
      <c r="G411" s="39" t="s">
        <v>1132</v>
      </c>
      <c r="H411" s="1">
        <v>4</v>
      </c>
      <c r="I411" s="1">
        <v>4</v>
      </c>
      <c r="J411" s="39" t="s">
        <v>259</v>
      </c>
      <c r="K411" s="1">
        <v>4</v>
      </c>
      <c r="L411" s="1">
        <v>4</v>
      </c>
      <c r="S411" s="1" t="str">
        <f>IF(tblDados[[#This Row],[Mandante]]="","",TEXT(tblDados[[#This Row],[Data]],"aaaa-mm-dd")&amp;"|"&amp;TRIM(tblDados[[#This Row],[Mandante]])&amp;"|"&amp;TRIM(tblDados[[#This Row],[Visitante]]))</f>
        <v>2026-03-21|Brisbane City|Brisbane Olympic FC</v>
      </c>
      <c r="T411" s="1">
        <f>IF($G411="",0,IF(COUNTIF($S$2:$S411,$S411)=1,1,0))</f>
        <v>1</v>
      </c>
      <c r="U411" s="19" t="str" cm="1">
        <f t="array" ref="U4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1" s="19" t="str" cm="1">
        <f t="array" ref="V4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2" spans="1:22" ht="14.25" customHeight="1" x14ac:dyDescent="0.3">
      <c r="A412" s="1" t="s">
        <v>1194</v>
      </c>
      <c r="B412" s="5">
        <v>46109</v>
      </c>
      <c r="C412" s="6">
        <v>0.16666666666666666</v>
      </c>
      <c r="D412" s="1" t="s">
        <v>7</v>
      </c>
      <c r="E412" s="1" t="s">
        <v>8</v>
      </c>
      <c r="F412" s="1" t="s">
        <v>1208</v>
      </c>
      <c r="G412" s="39" t="s">
        <v>259</v>
      </c>
      <c r="H412" s="1">
        <v>1</v>
      </c>
      <c r="I412" s="1">
        <v>0</v>
      </c>
      <c r="J412" s="39" t="s">
        <v>1124</v>
      </c>
      <c r="K412" s="1">
        <v>0</v>
      </c>
      <c r="L412" s="1">
        <v>1</v>
      </c>
      <c r="S412" s="1" t="str">
        <f>IF(tblDados[[#This Row],[Mandante]]="","",TEXT(tblDados[[#This Row],[Data]],"aaaa-mm-dd")&amp;"|"&amp;TRIM(tblDados[[#This Row],[Mandante]])&amp;"|"&amp;TRIM(tblDados[[#This Row],[Visitante]]))</f>
        <v>2026-03-28|Brisbane Olympic FC|Gold Coast Knights</v>
      </c>
      <c r="T412" s="1">
        <f>IF($G412="",0,IF(COUNTIF($S$2:$S412,$S412)=1,1,0))</f>
        <v>1</v>
      </c>
      <c r="U412" s="19" t="str" cm="1">
        <f t="array" ref="U4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2" s="19" t="str" cm="1">
        <f t="array" ref="V4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3" spans="1:22" ht="14.25" customHeight="1" x14ac:dyDescent="0.3">
      <c r="A413" s="1" t="s">
        <v>1195</v>
      </c>
      <c r="B413" s="5">
        <v>46123</v>
      </c>
      <c r="C413" s="6">
        <v>0.1875</v>
      </c>
      <c r="D413" s="1" t="s">
        <v>7</v>
      </c>
      <c r="E413" s="1" t="s">
        <v>8</v>
      </c>
      <c r="F413" s="1" t="s">
        <v>1209</v>
      </c>
      <c r="G413" s="39" t="s">
        <v>259</v>
      </c>
      <c r="H413" s="1">
        <v>1</v>
      </c>
      <c r="I413" s="1">
        <v>2</v>
      </c>
      <c r="J413" s="39" t="s">
        <v>1135</v>
      </c>
      <c r="K413" s="1">
        <v>2</v>
      </c>
      <c r="L413" s="1">
        <v>1</v>
      </c>
      <c r="S413" s="1" t="str">
        <f>IF(tblDados[[#This Row],[Mandante]]="","",TEXT(tblDados[[#This Row],[Data]],"aaaa-mm-dd")&amp;"|"&amp;TRIM(tblDados[[#This Row],[Mandante]])&amp;"|"&amp;TRIM(tblDados[[#This Row],[Visitante]]))</f>
        <v>2026-04-11|Brisbane Olympic FC|Eastern Suburbs</v>
      </c>
      <c r="T413" s="1">
        <f>IF($G413="",0,IF(COUNTIF($S$2:$S413,$S413)=1,1,0))</f>
        <v>1</v>
      </c>
      <c r="U413" s="19" t="str" cm="1">
        <f t="array" ref="U4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3" s="19" t="str" cm="1">
        <f t="array" ref="V4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4" spans="1:22" ht="14.25" customHeight="1" x14ac:dyDescent="0.3">
      <c r="A414" s="1" t="s">
        <v>1196</v>
      </c>
      <c r="B414" s="5">
        <v>46131</v>
      </c>
      <c r="C414" s="6">
        <v>0.19791666666666666</v>
      </c>
      <c r="D414" s="1" t="s">
        <v>7</v>
      </c>
      <c r="E414" s="1" t="s">
        <v>8</v>
      </c>
      <c r="F414" s="1" t="s">
        <v>1210</v>
      </c>
      <c r="G414" s="39" t="s">
        <v>262</v>
      </c>
      <c r="H414" s="1">
        <v>1</v>
      </c>
      <c r="I414" s="1">
        <v>5</v>
      </c>
      <c r="J414" s="39" t="s">
        <v>259</v>
      </c>
      <c r="K414" s="1">
        <v>5</v>
      </c>
      <c r="L414" s="1">
        <v>1</v>
      </c>
      <c r="S414" s="1" t="str">
        <f>IF(tblDados[[#This Row],[Mandante]]="","",TEXT(tblDados[[#This Row],[Data]],"aaaa-mm-dd")&amp;"|"&amp;TRIM(tblDados[[#This Row],[Mandante]])&amp;"|"&amp;TRIM(tblDados[[#This Row],[Visitante]]))</f>
        <v>2026-04-19|Brisbane Roar NPL|Brisbane Olympic FC</v>
      </c>
      <c r="T414" s="1">
        <f>IF($G414="",0,IF(COUNTIF($S$2:$S414,$S414)=1,1,0))</f>
        <v>1</v>
      </c>
      <c r="U414" s="19" t="str" cm="1">
        <f t="array" ref="U4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4" s="19" t="str" cm="1">
        <f t="array" ref="V4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5" spans="1:22" ht="14.25" customHeight="1" x14ac:dyDescent="0.3">
      <c r="A415" s="1" t="s">
        <v>1197</v>
      </c>
      <c r="B415" s="5">
        <v>46158</v>
      </c>
      <c r="C415" s="6">
        <v>0.20833333333333334</v>
      </c>
      <c r="D415" s="1" t="s">
        <v>7</v>
      </c>
      <c r="E415" s="1" t="s">
        <v>8</v>
      </c>
      <c r="F415" s="1" t="s">
        <v>1211</v>
      </c>
      <c r="G415" s="39" t="s">
        <v>263</v>
      </c>
      <c r="H415" s="1">
        <v>4</v>
      </c>
      <c r="I415" s="1">
        <v>3</v>
      </c>
      <c r="J415" s="39" t="s">
        <v>259</v>
      </c>
      <c r="K415" s="1">
        <v>3</v>
      </c>
      <c r="L415" s="1">
        <v>4</v>
      </c>
      <c r="S415" s="1" t="str">
        <f>IF(tblDados[[#This Row],[Mandante]]="","",TEXT(tblDados[[#This Row],[Data]],"aaaa-mm-dd")&amp;"|"&amp;TRIM(tblDados[[#This Row],[Mandante]])&amp;"|"&amp;TRIM(tblDados[[#This Row],[Visitante]]))</f>
        <v>2026-05-16|Moreton City Excelsior|Brisbane Olympic FC</v>
      </c>
      <c r="T415" s="1">
        <f>IF($G415="",0,IF(COUNTIF($S$2:$S415,$S415)=1,1,0))</f>
        <v>1</v>
      </c>
      <c r="U415" s="19" t="str" cm="1">
        <f t="array" ref="U4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5" s="19" t="str" cm="1">
        <f t="array" ref="V4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6" spans="1:22" ht="14.25" customHeight="1" x14ac:dyDescent="0.3">
      <c r="A416" s="1" t="s">
        <v>1198</v>
      </c>
      <c r="B416" s="5">
        <v>46164</v>
      </c>
      <c r="C416" s="6">
        <v>0.27083333333333331</v>
      </c>
      <c r="D416" s="1" t="s">
        <v>7</v>
      </c>
      <c r="E416" s="1" t="s">
        <v>8</v>
      </c>
      <c r="F416" s="1" t="s">
        <v>1212</v>
      </c>
      <c r="G416" s="39" t="s">
        <v>1139</v>
      </c>
      <c r="H416" s="1">
        <v>2</v>
      </c>
      <c r="I416" s="1">
        <v>1</v>
      </c>
      <c r="J416" s="39" t="s">
        <v>259</v>
      </c>
      <c r="K416" s="1">
        <v>1</v>
      </c>
      <c r="L416" s="1">
        <v>2</v>
      </c>
      <c r="S416" s="1" t="str">
        <f>IF(tblDados[[#This Row],[Mandante]]="","",TEXT(tblDados[[#This Row],[Data]],"aaaa-mm-dd")&amp;"|"&amp;TRIM(tblDados[[#This Row],[Mandante]])&amp;"|"&amp;TRIM(tblDados[[#This Row],[Visitante]]))</f>
        <v>2026-05-22|Wynnum Wolves|Brisbane Olympic FC</v>
      </c>
      <c r="T416" s="1">
        <f>IF($G416="",0,IF(COUNTIF($S$2:$S416,$S416)=1,1,0))</f>
        <v>1</v>
      </c>
      <c r="U416" s="19" t="str" cm="1">
        <f t="array" ref="U4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6" s="19" t="str" cm="1">
        <f t="array" ref="V4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7" spans="1:22" ht="14.25" customHeight="1" x14ac:dyDescent="0.3">
      <c r="A417" s="1" t="s">
        <v>1199</v>
      </c>
      <c r="B417" s="5">
        <v>46173</v>
      </c>
      <c r="C417" s="6">
        <v>0.19791666666666666</v>
      </c>
      <c r="D417" s="1" t="s">
        <v>7</v>
      </c>
      <c r="E417" s="1" t="s">
        <v>8</v>
      </c>
      <c r="F417" s="1" t="s">
        <v>1213</v>
      </c>
      <c r="G417" s="39" t="s">
        <v>259</v>
      </c>
      <c r="H417" s="1">
        <v>2</v>
      </c>
      <c r="I417" s="1">
        <v>3</v>
      </c>
      <c r="J417" s="39" t="s">
        <v>1132</v>
      </c>
      <c r="K417" s="1">
        <v>3</v>
      </c>
      <c r="L417" s="1">
        <v>2</v>
      </c>
      <c r="S417" s="1" t="str">
        <f>IF(tblDados[[#This Row],[Mandante]]="","",TEXT(tblDados[[#This Row],[Data]],"aaaa-mm-dd")&amp;"|"&amp;TRIM(tblDados[[#This Row],[Mandante]])&amp;"|"&amp;TRIM(tblDados[[#This Row],[Visitante]]))</f>
        <v>2026-05-31|Brisbane Olympic FC|Brisbane City</v>
      </c>
      <c r="T417" s="1">
        <f>IF($G417="",0,IF(COUNTIF($S$2:$S417,$S417)=1,1,0))</f>
        <v>1</v>
      </c>
      <c r="U417" s="19" t="str" cm="1">
        <f t="array" ref="U4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7" s="19" t="str" cm="1">
        <f t="array" ref="V4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8" spans="1:22" ht="14.25" customHeight="1" x14ac:dyDescent="0.3">
      <c r="A418" s="1" t="s">
        <v>1200</v>
      </c>
      <c r="B418" s="5">
        <v>46178</v>
      </c>
      <c r="C418" s="6">
        <v>0.27083333333333331</v>
      </c>
      <c r="D418" s="1" t="s">
        <v>7</v>
      </c>
      <c r="E418" s="1" t="s">
        <v>8</v>
      </c>
      <c r="F418" s="1" t="s">
        <v>1214</v>
      </c>
      <c r="G418" s="39" t="s">
        <v>1124</v>
      </c>
      <c r="H418" s="1">
        <v>5</v>
      </c>
      <c r="I418" s="1">
        <v>2</v>
      </c>
      <c r="J418" s="39" t="s">
        <v>259</v>
      </c>
      <c r="K418" s="1">
        <v>2</v>
      </c>
      <c r="L418" s="1">
        <v>5</v>
      </c>
      <c r="S418" s="1" t="str">
        <f>IF(tblDados[[#This Row],[Mandante]]="","",TEXT(tblDados[[#This Row],[Data]],"aaaa-mm-dd")&amp;"|"&amp;TRIM(tblDados[[#This Row],[Mandante]])&amp;"|"&amp;TRIM(tblDados[[#This Row],[Visitante]]))</f>
        <v>2026-06-05|Gold Coast Knights|Brisbane Olympic FC</v>
      </c>
      <c r="T418" s="1">
        <f>IF($G418="",0,IF(COUNTIF($S$2:$S418,$S418)=1,1,0))</f>
        <v>1</v>
      </c>
      <c r="U418" s="19" t="str" cm="1">
        <f t="array" ref="U4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8" s="19" t="str" cm="1">
        <f t="array" ref="V4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9" spans="1:22" ht="14.25" customHeight="1" x14ac:dyDescent="0.3">
      <c r="A419" s="1" t="s">
        <v>1201</v>
      </c>
      <c r="B419" s="5">
        <v>46194</v>
      </c>
      <c r="C419" s="6">
        <v>0.20833333333333334</v>
      </c>
      <c r="D419" s="1" t="s">
        <v>7</v>
      </c>
      <c r="E419" s="1" t="s">
        <v>8</v>
      </c>
      <c r="F419" s="1" t="s">
        <v>1215</v>
      </c>
      <c r="G419" s="39" t="s">
        <v>259</v>
      </c>
      <c r="H419" s="1">
        <v>1</v>
      </c>
      <c r="I419" s="1">
        <v>3</v>
      </c>
      <c r="J419" s="39" t="s">
        <v>204</v>
      </c>
      <c r="K419" s="1">
        <v>3</v>
      </c>
      <c r="L419" s="1">
        <v>1</v>
      </c>
      <c r="S419" s="1" t="str">
        <f>IF(tblDados[[#This Row],[Mandante]]="","",TEXT(tblDados[[#This Row],[Data]],"aaaa-mm-dd")&amp;"|"&amp;TRIM(tblDados[[#This Row],[Mandante]])&amp;"|"&amp;TRIM(tblDados[[#This Row],[Visitante]]))</f>
        <v>2026-06-21|Brisbane Olympic FC|Peninsula Power</v>
      </c>
      <c r="T419" s="1">
        <f>IF($G419="",0,IF(COUNTIF($S$2:$S419,$S419)=1,1,0))</f>
        <v>1</v>
      </c>
      <c r="U419" s="19" t="str" cm="1">
        <f t="array" ref="U4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9" s="19" t="str" cm="1">
        <f t="array" ref="V4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0" spans="1:22" ht="14.25" customHeight="1" x14ac:dyDescent="0.3">
      <c r="A420" s="1" t="s">
        <v>1202</v>
      </c>
      <c r="B420" s="5">
        <v>46200</v>
      </c>
      <c r="C420" s="6">
        <v>0.20833333333333334</v>
      </c>
      <c r="D420" s="1" t="s">
        <v>7</v>
      </c>
      <c r="E420" s="1" t="s">
        <v>8</v>
      </c>
      <c r="F420" s="1" t="s">
        <v>1216</v>
      </c>
      <c r="G420" s="39" t="s">
        <v>1135</v>
      </c>
      <c r="H420" s="1">
        <v>1</v>
      </c>
      <c r="I420" s="1">
        <v>2</v>
      </c>
      <c r="J420" s="39" t="s">
        <v>259</v>
      </c>
      <c r="K420" s="1">
        <v>2</v>
      </c>
      <c r="L420" s="1">
        <v>1</v>
      </c>
      <c r="S420" s="1" t="str">
        <f>IF(tblDados[[#This Row],[Mandante]]="","",TEXT(tblDados[[#This Row],[Data]],"aaaa-mm-dd")&amp;"|"&amp;TRIM(tblDados[[#This Row],[Mandante]])&amp;"|"&amp;TRIM(tblDados[[#This Row],[Visitante]]))</f>
        <v>2026-06-27|Eastern Suburbs|Brisbane Olympic FC</v>
      </c>
      <c r="T420" s="1">
        <f>IF($G420="",0,IF(COUNTIF($S$2:$S420,$S420)=1,1,0))</f>
        <v>1</v>
      </c>
      <c r="U420" s="19" t="str" cm="1">
        <f t="array" ref="U4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0" s="19" t="str" cm="1">
        <f t="array" ref="V4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1" spans="1:22" ht="14.25" customHeight="1" x14ac:dyDescent="0.3">
      <c r="A421" s="1" t="s">
        <v>1203</v>
      </c>
      <c r="B421" s="5">
        <v>46207</v>
      </c>
      <c r="C421" s="6">
        <v>0.20833333333333334</v>
      </c>
      <c r="D421" s="1" t="s">
        <v>7</v>
      </c>
      <c r="E421" s="1" t="s">
        <v>8</v>
      </c>
      <c r="F421" s="1" t="s">
        <v>1217</v>
      </c>
      <c r="G421" s="39" t="s">
        <v>203</v>
      </c>
      <c r="H421" s="1">
        <v>2</v>
      </c>
      <c r="I421" s="1">
        <v>0</v>
      </c>
      <c r="J421" s="39" t="s">
        <v>259</v>
      </c>
      <c r="K421" s="1">
        <v>0</v>
      </c>
      <c r="L421" s="1">
        <v>2</v>
      </c>
      <c r="S421" s="1" t="str">
        <f>IF(tblDados[[#This Row],[Mandante]]="","",TEXT(tblDados[[#This Row],[Data]],"aaaa-mm-dd")&amp;"|"&amp;TRIM(tblDados[[#This Row],[Mandante]])&amp;"|"&amp;TRIM(tblDados[[#This Row],[Visitante]]))</f>
        <v>2026-07-04|Queensland Lions|Brisbane Olympic FC</v>
      </c>
      <c r="T421" s="1">
        <f>IF($G421="",0,IF(COUNTIF($S$2:$S421,$S421)=1,1,0))</f>
        <v>1</v>
      </c>
      <c r="U421" s="19" t="str" cm="1">
        <f t="array" ref="U4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1" s="19" t="str" cm="1">
        <f t="array" ref="V4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2" spans="1:22" ht="14.25" customHeight="1" x14ac:dyDescent="0.3">
      <c r="A422" s="1" t="s">
        <v>1204</v>
      </c>
      <c r="B422" s="5">
        <v>46215</v>
      </c>
      <c r="C422" s="6">
        <v>0.16666666666666666</v>
      </c>
      <c r="D422" s="1" t="s">
        <v>7</v>
      </c>
      <c r="E422" s="1" t="s">
        <v>8</v>
      </c>
      <c r="F422" s="1" t="s">
        <v>1218</v>
      </c>
      <c r="G422" s="39" t="s">
        <v>1151</v>
      </c>
      <c r="H422" s="1">
        <v>3</v>
      </c>
      <c r="I422" s="1">
        <v>0</v>
      </c>
      <c r="J422" s="39" t="s">
        <v>259</v>
      </c>
      <c r="K422" s="1">
        <v>0</v>
      </c>
      <c r="L422" s="1">
        <v>3</v>
      </c>
      <c r="S422" s="1" t="str">
        <f>IF(tblDados[[#This Row],[Mandante]]="","",TEXT(tblDados[[#This Row],[Data]],"aaaa-mm-dd")&amp;"|"&amp;TRIM(tblDados[[#This Row],[Mandante]])&amp;"|"&amp;TRIM(tblDados[[#This Row],[Visitante]]))</f>
        <v>2026-07-12|Gold Coast Utd|Brisbane Olympic FC</v>
      </c>
      <c r="T422" s="1">
        <f>IF($G422="",0,IF(COUNTIF($S$2:$S422,$S422)=1,1,0))</f>
        <v>1</v>
      </c>
      <c r="U422" s="19" t="str" cm="1">
        <f t="array" ref="U4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2" s="19" t="str" cm="1">
        <f t="array" ref="V4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3" spans="1:22" ht="14.25" customHeight="1" x14ac:dyDescent="0.3">
      <c r="A423" s="1" t="s">
        <v>1205</v>
      </c>
      <c r="B423" s="5">
        <v>46222</v>
      </c>
      <c r="C423" s="6">
        <v>0.20833333333333334</v>
      </c>
      <c r="D423" s="1" t="s">
        <v>7</v>
      </c>
      <c r="E423" s="1" t="s">
        <v>8</v>
      </c>
      <c r="F423" s="1" t="s">
        <v>1219</v>
      </c>
      <c r="G423" s="39" t="s">
        <v>259</v>
      </c>
      <c r="H423" s="1">
        <v>3</v>
      </c>
      <c r="I423" s="1">
        <v>1</v>
      </c>
      <c r="J423" s="39" t="s">
        <v>262</v>
      </c>
      <c r="K423" s="1">
        <v>1</v>
      </c>
      <c r="L423" s="1">
        <v>3</v>
      </c>
      <c r="S423" s="1" t="str">
        <f>IF(tblDados[[#This Row],[Mandante]]="","",TEXT(tblDados[[#This Row],[Data]],"aaaa-mm-dd")&amp;"|"&amp;TRIM(tblDados[[#This Row],[Mandante]])&amp;"|"&amp;TRIM(tblDados[[#This Row],[Visitante]]))</f>
        <v>2026-07-19|Brisbane Olympic FC|Brisbane Roar NPL</v>
      </c>
      <c r="T423" s="1">
        <f>IF($G423="",0,IF(COUNTIF($S$2:$S423,$S423)=1,1,0))</f>
        <v>1</v>
      </c>
      <c r="U423" s="19" t="str" cm="1">
        <f t="array" ref="U4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3" s="19" t="str" cm="1">
        <f t="array" ref="V4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4" spans="1:22" ht="14.25" customHeight="1" x14ac:dyDescent="0.3">
      <c r="A424" s="1" t="s">
        <v>1220</v>
      </c>
      <c r="B424" s="5">
        <v>46087</v>
      </c>
      <c r="C424" s="6">
        <v>0.27083333333333331</v>
      </c>
      <c r="D424" s="1" t="s">
        <v>7</v>
      </c>
      <c r="E424" s="1" t="s">
        <v>8</v>
      </c>
      <c r="F424" s="1" t="s">
        <v>1221</v>
      </c>
      <c r="G424" s="39" t="s">
        <v>1139</v>
      </c>
      <c r="H424" s="1">
        <v>3</v>
      </c>
      <c r="I424" s="1">
        <v>0</v>
      </c>
      <c r="J424" s="39" t="s">
        <v>263</v>
      </c>
      <c r="K424" s="1">
        <v>0</v>
      </c>
      <c r="L424" s="1">
        <v>3</v>
      </c>
      <c r="S424" s="1" t="str">
        <f>IF(tblDados[[#This Row],[Mandante]]="","",TEXT(tblDados[[#This Row],[Data]],"aaaa-mm-dd")&amp;"|"&amp;TRIM(tblDados[[#This Row],[Mandante]])&amp;"|"&amp;TRIM(tblDados[[#This Row],[Visitante]]))</f>
        <v>2026-03-06|Wynnum Wolves|Moreton City Excelsior</v>
      </c>
      <c r="T424">
        <f>IF($G424="",0,IF(COUNTIF($S$2:$S424,$S424)=1,1,0))</f>
        <v>1</v>
      </c>
      <c r="U424" s="19" t="str" cm="1">
        <f t="array" ref="U4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4" s="19" t="str" cm="1">
        <f t="array" ref="V4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5" spans="1:22" ht="14.25" customHeight="1" x14ac:dyDescent="0.3">
      <c r="A425" s="1" t="s">
        <v>1222</v>
      </c>
      <c r="B425" s="5">
        <v>46109</v>
      </c>
      <c r="C425" s="6">
        <v>0.16666666666666666</v>
      </c>
      <c r="D425" s="1" t="s">
        <v>7</v>
      </c>
      <c r="E425" s="1" t="s">
        <v>8</v>
      </c>
      <c r="F425" s="1" t="s">
        <v>1223</v>
      </c>
      <c r="G425" s="39" t="s">
        <v>263</v>
      </c>
      <c r="H425" s="1">
        <v>3</v>
      </c>
      <c r="I425" s="1">
        <v>0</v>
      </c>
      <c r="J425" s="39" t="s">
        <v>1135</v>
      </c>
      <c r="K425" s="1">
        <v>0</v>
      </c>
      <c r="L425" s="1">
        <v>3</v>
      </c>
      <c r="S425" s="1" t="str">
        <f>IF(tblDados[[#This Row],[Mandante]]="","",TEXT(tblDados[[#This Row],[Data]],"aaaa-mm-dd")&amp;"|"&amp;TRIM(tblDados[[#This Row],[Mandante]])&amp;"|"&amp;TRIM(tblDados[[#This Row],[Visitante]]))</f>
        <v>2026-03-28|Moreton City Excelsior|Eastern Suburbs</v>
      </c>
      <c r="T425" s="1">
        <f>IF($G425="",0,IF(COUNTIF($S$2:$S425,$S425)=1,1,0))</f>
        <v>1</v>
      </c>
      <c r="U425" s="19" t="str" cm="1">
        <f t="array" ref="U4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5" s="19" t="str" cm="1">
        <f t="array" ref="V4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6" spans="1:22" ht="14.25" customHeight="1" x14ac:dyDescent="0.3">
      <c r="A426" s="1" t="s">
        <v>1224</v>
      </c>
      <c r="B426" s="5">
        <v>46123</v>
      </c>
      <c r="C426" s="6">
        <v>0.1875</v>
      </c>
      <c r="D426" s="1" t="s">
        <v>7</v>
      </c>
      <c r="E426" s="1" t="s">
        <v>8</v>
      </c>
      <c r="F426" s="1" t="s">
        <v>1225</v>
      </c>
      <c r="G426" s="39" t="s">
        <v>263</v>
      </c>
      <c r="H426" s="1">
        <v>2</v>
      </c>
      <c r="I426" s="1">
        <v>1</v>
      </c>
      <c r="J426" s="39" t="s">
        <v>1151</v>
      </c>
      <c r="K426" s="1">
        <v>1</v>
      </c>
      <c r="L426" s="1">
        <v>2</v>
      </c>
      <c r="S426" s="1" t="str">
        <f>IF(tblDados[[#This Row],[Mandante]]="","",TEXT(tblDados[[#This Row],[Data]],"aaaa-mm-dd")&amp;"|"&amp;TRIM(tblDados[[#This Row],[Mandante]])&amp;"|"&amp;TRIM(tblDados[[#This Row],[Visitante]]))</f>
        <v>2026-04-11|Moreton City Excelsior|Gold Coast Utd</v>
      </c>
      <c r="T426" s="1">
        <f>IF($G426="",0,IF(COUNTIF($S$2:$S426,$S426)=1,1,0))</f>
        <v>1</v>
      </c>
      <c r="U426" s="19" t="str" cm="1">
        <f t="array" ref="U4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6" s="19" t="str" cm="1">
        <f t="array" ref="V4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7" spans="1:22" ht="14.25" customHeight="1" x14ac:dyDescent="0.3">
      <c r="A427" s="1" t="s">
        <v>1226</v>
      </c>
      <c r="B427" s="5">
        <v>46130</v>
      </c>
      <c r="C427" s="6">
        <v>0.19791666666666666</v>
      </c>
      <c r="D427" s="1" t="s">
        <v>7</v>
      </c>
      <c r="E427" s="1" t="s">
        <v>8</v>
      </c>
      <c r="F427" s="1" t="s">
        <v>1241</v>
      </c>
      <c r="G427" s="39" t="s">
        <v>204</v>
      </c>
      <c r="H427" s="1">
        <v>1</v>
      </c>
      <c r="I427" s="1">
        <v>4</v>
      </c>
      <c r="J427" s="39" t="s">
        <v>263</v>
      </c>
      <c r="K427" s="1">
        <v>4</v>
      </c>
      <c r="L427" s="1">
        <v>1</v>
      </c>
      <c r="S427" s="1" t="str">
        <f>IF(tblDados[[#This Row],[Mandante]]="","",TEXT(tblDados[[#This Row],[Data]],"aaaa-mm-dd")&amp;"|"&amp;TRIM(tblDados[[#This Row],[Mandante]])&amp;"|"&amp;TRIM(tblDados[[#This Row],[Visitante]]))</f>
        <v>2026-04-18|Peninsula Power|Moreton City Excelsior</v>
      </c>
      <c r="T427" s="1">
        <f>IF($G427="",0,IF(COUNTIF($S$2:$S427,$S427)=1,1,0))</f>
        <v>1</v>
      </c>
      <c r="U427" s="19" t="str" cm="1">
        <f t="array" ref="U4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7" s="19" t="str" cm="1">
        <f t="array" ref="V4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8" spans="1:22" ht="14.25" customHeight="1" x14ac:dyDescent="0.3">
      <c r="A428" s="1" t="s">
        <v>1227</v>
      </c>
      <c r="B428" s="5">
        <v>46137</v>
      </c>
      <c r="C428" s="6">
        <v>0.20833333333333334</v>
      </c>
      <c r="D428" s="1" t="s">
        <v>7</v>
      </c>
      <c r="E428" s="1" t="s">
        <v>8</v>
      </c>
      <c r="F428" s="1" t="s">
        <v>1242</v>
      </c>
      <c r="G428" s="39" t="s">
        <v>263</v>
      </c>
      <c r="H428" s="1">
        <v>6</v>
      </c>
      <c r="I428" s="1">
        <v>0</v>
      </c>
      <c r="J428" s="39" t="s">
        <v>262</v>
      </c>
      <c r="K428" s="1">
        <v>0</v>
      </c>
      <c r="L428" s="1">
        <v>6</v>
      </c>
      <c r="S428" s="1" t="str">
        <f>IF(tblDados[[#This Row],[Mandante]]="","",TEXT(tblDados[[#This Row],[Data]],"aaaa-mm-dd")&amp;"|"&amp;TRIM(tblDados[[#This Row],[Mandante]])&amp;"|"&amp;TRIM(tblDados[[#This Row],[Visitante]]))</f>
        <v>2026-04-25|Moreton City Excelsior|Brisbane Roar NPL</v>
      </c>
      <c r="T428" s="1">
        <f>IF($G428="",0,IF(COUNTIF($S$2:$S428,$S428)=1,1,0))</f>
        <v>1</v>
      </c>
      <c r="U428" s="19" t="str" cm="1">
        <f t="array" ref="U4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8" s="19" t="str" cm="1">
        <f t="array" ref="V4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9" spans="1:22" ht="14.25" customHeight="1" x14ac:dyDescent="0.3">
      <c r="A429" s="1" t="s">
        <v>1228</v>
      </c>
      <c r="B429" s="5">
        <v>46151</v>
      </c>
      <c r="C429" s="6">
        <v>0.21875</v>
      </c>
      <c r="D429" s="1" t="s">
        <v>7</v>
      </c>
      <c r="E429" s="1" t="s">
        <v>8</v>
      </c>
      <c r="F429" s="1" t="s">
        <v>1229</v>
      </c>
      <c r="G429" s="39" t="s">
        <v>203</v>
      </c>
      <c r="H429" s="1">
        <v>2</v>
      </c>
      <c r="I429" s="1">
        <v>0</v>
      </c>
      <c r="J429" s="39" t="s">
        <v>263</v>
      </c>
      <c r="K429" s="1">
        <v>0</v>
      </c>
      <c r="L429" s="1">
        <v>2</v>
      </c>
      <c r="S429" s="1" t="str">
        <f>IF(tblDados[[#This Row],[Mandante]]="","",TEXT(tblDados[[#This Row],[Data]],"aaaa-mm-dd")&amp;"|"&amp;TRIM(tblDados[[#This Row],[Mandante]])&amp;"|"&amp;TRIM(tblDados[[#This Row],[Visitante]]))</f>
        <v>2026-05-09|Queensland Lions|Moreton City Excelsior</v>
      </c>
      <c r="T429" s="1">
        <f>IF($G429="",0,IF(COUNTIF($S$2:$S429,$S429)=1,1,0))</f>
        <v>1</v>
      </c>
      <c r="U429" s="19" t="str" cm="1">
        <f t="array" ref="U4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9" s="19" t="str" cm="1">
        <f t="array" ref="V4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0" spans="1:22" ht="14.25" customHeight="1" x14ac:dyDescent="0.3">
      <c r="A430" s="1" t="s">
        <v>1230</v>
      </c>
      <c r="B430" s="5">
        <v>46164</v>
      </c>
      <c r="C430" s="6">
        <v>0.27083333333333331</v>
      </c>
      <c r="D430" s="1" t="s">
        <v>7</v>
      </c>
      <c r="E430" s="1" t="s">
        <v>8</v>
      </c>
      <c r="F430" s="1" t="s">
        <v>1231</v>
      </c>
      <c r="G430" s="39" t="s">
        <v>263</v>
      </c>
      <c r="H430" s="1">
        <v>2</v>
      </c>
      <c r="I430" s="1">
        <v>5</v>
      </c>
      <c r="J430" s="39" t="s">
        <v>1132</v>
      </c>
      <c r="K430" s="1">
        <v>5</v>
      </c>
      <c r="L430" s="1">
        <v>2</v>
      </c>
      <c r="S430" s="1" t="str">
        <f>IF(tblDados[[#This Row],[Mandante]]="","",TEXT(tblDados[[#This Row],[Data]],"aaaa-mm-dd")&amp;"|"&amp;TRIM(tblDados[[#This Row],[Mandante]])&amp;"|"&amp;TRIM(tblDados[[#This Row],[Visitante]]))</f>
        <v>2026-05-22|Moreton City Excelsior|Brisbane City</v>
      </c>
      <c r="T430" s="1">
        <f>IF($G430="",0,IF(COUNTIF($S$2:$S430,$S430)=1,1,0))</f>
        <v>1</v>
      </c>
      <c r="U430" s="19" t="str" cm="1">
        <f t="array" ref="U4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0" s="19" t="str" cm="1">
        <f t="array" ref="V4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1" spans="1:22" ht="14.25" customHeight="1" x14ac:dyDescent="0.3">
      <c r="A431" s="1" t="s">
        <v>1232</v>
      </c>
      <c r="B431" s="5">
        <v>46178</v>
      </c>
      <c r="C431" s="6">
        <v>0.27083333333333331</v>
      </c>
      <c r="D431" s="1" t="s">
        <v>7</v>
      </c>
      <c r="E431" s="1" t="s">
        <v>8</v>
      </c>
      <c r="F431" s="1" t="s">
        <v>1233</v>
      </c>
      <c r="G431" s="39" t="s">
        <v>1135</v>
      </c>
      <c r="H431" s="1">
        <v>0</v>
      </c>
      <c r="I431" s="1">
        <v>0</v>
      </c>
      <c r="J431" s="39" t="s">
        <v>263</v>
      </c>
      <c r="K431" s="1">
        <v>0</v>
      </c>
      <c r="L431" s="1">
        <v>0</v>
      </c>
      <c r="S431" s="1" t="str">
        <f>IF(tblDados[[#This Row],[Mandante]]="","",TEXT(tblDados[[#This Row],[Data]],"aaaa-mm-dd")&amp;"|"&amp;TRIM(tblDados[[#This Row],[Mandante]])&amp;"|"&amp;TRIM(tblDados[[#This Row],[Visitante]]))</f>
        <v>2026-06-05|Eastern Suburbs|Moreton City Excelsior</v>
      </c>
      <c r="T431" s="1">
        <f>IF($G431="",0,IF(COUNTIF($S$2:$S431,$S431)=1,1,0))</f>
        <v>1</v>
      </c>
      <c r="U431" s="19" t="str" cm="1">
        <f t="array" ref="U4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1" s="19" t="str" cm="1">
        <f t="array" ref="V4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2" spans="1:22" ht="14.25" customHeight="1" x14ac:dyDescent="0.3">
      <c r="A432" s="1" t="s">
        <v>1234</v>
      </c>
      <c r="B432" s="5">
        <v>46193</v>
      </c>
      <c r="C432" s="6">
        <v>0.20833333333333334</v>
      </c>
      <c r="D432" s="1" t="s">
        <v>7</v>
      </c>
      <c r="E432" s="1" t="s">
        <v>8</v>
      </c>
      <c r="F432" s="1" t="s">
        <v>1235</v>
      </c>
      <c r="G432" s="39" t="s">
        <v>263</v>
      </c>
      <c r="H432" s="1">
        <v>2</v>
      </c>
      <c r="I432" s="1">
        <v>2</v>
      </c>
      <c r="J432" s="39" t="s">
        <v>1139</v>
      </c>
      <c r="K432" s="1">
        <v>2</v>
      </c>
      <c r="L432" s="1">
        <v>2</v>
      </c>
      <c r="S432" s="1" t="str">
        <f>IF(tblDados[[#This Row],[Mandante]]="","",TEXT(tblDados[[#This Row],[Data]],"aaaa-mm-dd")&amp;"|"&amp;TRIM(tblDados[[#This Row],[Mandante]])&amp;"|"&amp;TRIM(tblDados[[#This Row],[Visitante]]))</f>
        <v>2026-06-20|Moreton City Excelsior|Wynnum Wolves</v>
      </c>
      <c r="T432" s="1">
        <f>IF($G432="",0,IF(COUNTIF($S$2:$S432,$S432)=1,1,0))</f>
        <v>1</v>
      </c>
      <c r="U432" s="19" t="str" cm="1">
        <f t="array" ref="U4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2" s="19" t="str" cm="1">
        <f t="array" ref="V4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3" spans="1:22" ht="14.25" customHeight="1" x14ac:dyDescent="0.3">
      <c r="A433" s="1" t="s">
        <v>1236</v>
      </c>
      <c r="B433" s="5">
        <v>46201</v>
      </c>
      <c r="C433" s="6">
        <v>0.16666666666666666</v>
      </c>
      <c r="D433" s="1" t="s">
        <v>7</v>
      </c>
      <c r="E433" s="1" t="s">
        <v>8</v>
      </c>
      <c r="F433" s="1" t="s">
        <v>1237</v>
      </c>
      <c r="G433" s="39" t="s">
        <v>1151</v>
      </c>
      <c r="H433" s="1">
        <v>0</v>
      </c>
      <c r="I433" s="1">
        <v>1</v>
      </c>
      <c r="J433" s="39" t="s">
        <v>263</v>
      </c>
      <c r="K433" s="1">
        <v>1</v>
      </c>
      <c r="L433" s="1">
        <v>0</v>
      </c>
      <c r="S433" s="1" t="str">
        <f>IF(tblDados[[#This Row],[Mandante]]="","",TEXT(tblDados[[#This Row],[Data]],"aaaa-mm-dd")&amp;"|"&amp;TRIM(tblDados[[#This Row],[Mandante]])&amp;"|"&amp;TRIM(tblDados[[#This Row],[Visitante]]))</f>
        <v>2026-06-28|Gold Coast Utd|Moreton City Excelsior</v>
      </c>
      <c r="T433" s="1">
        <f>IF($G433="",0,IF(COUNTIF($S$2:$S433,$S433)=1,1,0))</f>
        <v>1</v>
      </c>
      <c r="U433" s="19" t="str" cm="1">
        <f t="array" ref="U4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3" s="19" t="str" cm="1">
        <f t="array" ref="V4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4" spans="1:22" ht="14.25" customHeight="1" x14ac:dyDescent="0.3">
      <c r="A434" s="1" t="s">
        <v>1238</v>
      </c>
      <c r="B434" s="5">
        <v>46207</v>
      </c>
      <c r="C434" s="6">
        <v>0.20833333333333334</v>
      </c>
      <c r="D434" s="1" t="s">
        <v>7</v>
      </c>
      <c r="E434" s="1" t="s">
        <v>8</v>
      </c>
      <c r="F434" s="1" t="s">
        <v>1239</v>
      </c>
      <c r="G434" s="39" t="s">
        <v>1124</v>
      </c>
      <c r="H434" s="1">
        <v>2</v>
      </c>
      <c r="I434" s="1">
        <v>1</v>
      </c>
      <c r="J434" s="39" t="s">
        <v>263</v>
      </c>
      <c r="K434" s="1">
        <v>1</v>
      </c>
      <c r="L434" s="1">
        <v>2</v>
      </c>
      <c r="S434" s="1" t="str">
        <f>IF(tblDados[[#This Row],[Mandante]]="","",TEXT(tblDados[[#This Row],[Data]],"aaaa-mm-dd")&amp;"|"&amp;TRIM(tblDados[[#This Row],[Mandante]])&amp;"|"&amp;TRIM(tblDados[[#This Row],[Visitante]]))</f>
        <v>2026-07-04|Gold Coast Knights|Moreton City Excelsior</v>
      </c>
      <c r="T434" s="1">
        <f>IF($G434="",0,IF(COUNTIF($S$2:$S434,$S434)=1,1,0))</f>
        <v>1</v>
      </c>
      <c r="U434" s="19" t="str" cm="1">
        <f t="array" ref="U4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4" s="19" t="str" cm="1">
        <f t="array" ref="V4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5" spans="1:22" ht="14.25" customHeight="1" x14ac:dyDescent="0.3">
      <c r="A435" s="1" t="s">
        <v>1240</v>
      </c>
      <c r="B435" s="5">
        <v>46221</v>
      </c>
      <c r="C435" s="6">
        <v>0.20833333333333334</v>
      </c>
      <c r="D435" s="1" t="s">
        <v>7</v>
      </c>
      <c r="E435" s="1" t="s">
        <v>8</v>
      </c>
      <c r="F435" s="1" t="s">
        <v>1243</v>
      </c>
      <c r="G435" s="39" t="s">
        <v>263</v>
      </c>
      <c r="H435" s="1">
        <v>2</v>
      </c>
      <c r="I435" s="1">
        <v>2</v>
      </c>
      <c r="J435" s="39" t="s">
        <v>204</v>
      </c>
      <c r="K435" s="1">
        <v>2</v>
      </c>
      <c r="L435" s="1">
        <v>2</v>
      </c>
      <c r="S435" s="1" t="str">
        <f>IF(tblDados[[#This Row],[Mandante]]="","",TEXT(tblDados[[#This Row],[Data]],"aaaa-mm-dd")&amp;"|"&amp;TRIM(tblDados[[#This Row],[Mandante]])&amp;"|"&amp;TRIM(tblDados[[#This Row],[Visitante]]))</f>
        <v>2026-07-18|Moreton City Excelsior|Peninsula Power</v>
      </c>
      <c r="T435" s="1">
        <f>IF($G435="",0,IF(COUNTIF($S$2:$S435,$S435)=1,1,0))</f>
        <v>1</v>
      </c>
      <c r="U435" s="19" t="str" cm="1">
        <f t="array" ref="U4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5" s="19" t="str" cm="1">
        <f t="array" ref="V4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6" spans="1:22" ht="14.25" customHeight="1" x14ac:dyDescent="0.3">
      <c r="A436" s="1" t="s">
        <v>1244</v>
      </c>
      <c r="B436" s="5">
        <v>46095</v>
      </c>
      <c r="C436" s="6">
        <v>0.1875</v>
      </c>
      <c r="D436" s="1" t="s">
        <v>7</v>
      </c>
      <c r="E436" s="1" t="s">
        <v>8</v>
      </c>
      <c r="F436" s="1" t="s">
        <v>1245</v>
      </c>
      <c r="G436" s="39" t="s">
        <v>1132</v>
      </c>
      <c r="H436" s="1">
        <v>2</v>
      </c>
      <c r="I436" s="1">
        <v>4</v>
      </c>
      <c r="J436" s="39" t="s">
        <v>1124</v>
      </c>
      <c r="K436" s="1">
        <v>4</v>
      </c>
      <c r="L436" s="1">
        <v>2</v>
      </c>
      <c r="S436" s="1" t="str">
        <f>IF(tblDados[[#This Row],[Mandante]]="","",TEXT(tblDados[[#This Row],[Data]],"aaaa-mm-dd")&amp;"|"&amp;TRIM(tblDados[[#This Row],[Mandante]])&amp;"|"&amp;TRIM(tblDados[[#This Row],[Visitante]]))</f>
        <v>2026-03-14|Brisbane City|Gold Coast Knights</v>
      </c>
      <c r="T436">
        <f>IF($G436="",0,IF(COUNTIF($S$2:$S436,$S436)=1,1,0))</f>
        <v>1</v>
      </c>
      <c r="U436" s="19" t="str" cm="1">
        <f t="array" ref="U4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6" s="19" t="str" cm="1">
        <f t="array" ref="V4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7" spans="1:22" ht="14.25" customHeight="1" x14ac:dyDescent="0.3">
      <c r="A437" s="1" t="s">
        <v>1246</v>
      </c>
      <c r="B437" s="5">
        <v>46109</v>
      </c>
      <c r="C437" s="6">
        <v>0.20833333333333334</v>
      </c>
      <c r="D437" s="1" t="s">
        <v>7</v>
      </c>
      <c r="E437" s="1" t="s">
        <v>8</v>
      </c>
      <c r="F437" s="1" t="s">
        <v>1247</v>
      </c>
      <c r="G437" s="39" t="s">
        <v>203</v>
      </c>
      <c r="H437" s="1">
        <v>2</v>
      </c>
      <c r="I437" s="1">
        <v>2</v>
      </c>
      <c r="J437" s="39" t="s">
        <v>1132</v>
      </c>
      <c r="K437" s="1">
        <v>2</v>
      </c>
      <c r="L437" s="1">
        <v>2</v>
      </c>
      <c r="S437" s="1" t="str">
        <f>IF(tblDados[[#This Row],[Mandante]]="","",TEXT(tblDados[[#This Row],[Data]],"aaaa-mm-dd")&amp;"|"&amp;TRIM(tblDados[[#This Row],[Mandante]])&amp;"|"&amp;TRIM(tblDados[[#This Row],[Visitante]]))</f>
        <v>2026-03-28|Queensland Lions|Brisbane City</v>
      </c>
      <c r="T437" s="1">
        <f>IF($G437="",0,IF(COUNTIF($S$2:$S437,$S437)=1,1,0))</f>
        <v>1</v>
      </c>
      <c r="U437" s="19" t="str" cm="1">
        <f t="array" ref="U4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7" s="19" t="str" cm="1">
        <f t="array" ref="V4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8" spans="1:22" ht="14.25" customHeight="1" x14ac:dyDescent="0.3">
      <c r="A438" s="1" t="s">
        <v>1248</v>
      </c>
      <c r="B438" s="5">
        <v>46138</v>
      </c>
      <c r="C438" s="6">
        <v>0.1875</v>
      </c>
      <c r="D438" s="1" t="s">
        <v>7</v>
      </c>
      <c r="E438" s="1" t="s">
        <v>8</v>
      </c>
      <c r="F438" s="1" t="s">
        <v>1249</v>
      </c>
      <c r="G438" s="39" t="s">
        <v>1132</v>
      </c>
      <c r="H438" s="1">
        <v>3</v>
      </c>
      <c r="I438" s="1">
        <v>0</v>
      </c>
      <c r="J438" s="39" t="s">
        <v>1139</v>
      </c>
      <c r="K438" s="1">
        <v>0</v>
      </c>
      <c r="L438" s="1">
        <v>3</v>
      </c>
      <c r="S438" s="1" t="str">
        <f>IF(tblDados[[#This Row],[Mandante]]="","",TEXT(tblDados[[#This Row],[Data]],"aaaa-mm-dd")&amp;"|"&amp;TRIM(tblDados[[#This Row],[Mandante]])&amp;"|"&amp;TRIM(tblDados[[#This Row],[Visitante]]))</f>
        <v>2026-04-26|Brisbane City|Wynnum Wolves</v>
      </c>
      <c r="T438" s="1">
        <f>IF($G438="",0,IF(COUNTIF($S$2:$S438,$S438)=1,1,0))</f>
        <v>1</v>
      </c>
      <c r="U438" s="19" t="str" cm="1">
        <f t="array" ref="U4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8" s="19" t="str" cm="1">
        <f t="array" ref="V4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9" spans="1:22" ht="14.25" customHeight="1" x14ac:dyDescent="0.3">
      <c r="A439" s="1" t="s">
        <v>1250</v>
      </c>
      <c r="B439" s="5">
        <v>46150</v>
      </c>
      <c r="C439" s="6">
        <v>0.27083333333333331</v>
      </c>
      <c r="D439" s="1" t="s">
        <v>7</v>
      </c>
      <c r="E439" s="1" t="s">
        <v>8</v>
      </c>
      <c r="F439" s="1" t="s">
        <v>1279</v>
      </c>
      <c r="G439" s="39" t="s">
        <v>1132</v>
      </c>
      <c r="H439" s="1">
        <v>1</v>
      </c>
      <c r="I439" s="1">
        <v>4</v>
      </c>
      <c r="J439" s="39" t="s">
        <v>204</v>
      </c>
      <c r="K439" s="1">
        <v>4</v>
      </c>
      <c r="L439" s="1">
        <v>1</v>
      </c>
      <c r="S439" s="1" t="str">
        <f>IF(tblDados[[#This Row],[Mandante]]="","",TEXT(tblDados[[#This Row],[Data]],"aaaa-mm-dd")&amp;"|"&amp;TRIM(tblDados[[#This Row],[Mandante]])&amp;"|"&amp;TRIM(tblDados[[#This Row],[Visitante]]))</f>
        <v>2026-05-08|Brisbane City|Peninsula Power</v>
      </c>
      <c r="T439" s="1">
        <f>IF($G439="",0,IF(COUNTIF($S$2:$S439,$S439)=1,1,0))</f>
        <v>1</v>
      </c>
      <c r="U439" s="19" t="str" cm="1">
        <f t="array" ref="U4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9" s="19" t="str" cm="1">
        <f t="array" ref="V4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0" spans="1:22" ht="14.25" customHeight="1" x14ac:dyDescent="0.3">
      <c r="A440" s="1" t="s">
        <v>1251</v>
      </c>
      <c r="B440" s="5">
        <v>46179</v>
      </c>
      <c r="C440" s="6">
        <v>0.23958333333333334</v>
      </c>
      <c r="D440" s="1" t="s">
        <v>7</v>
      </c>
      <c r="E440" s="1" t="s">
        <v>8</v>
      </c>
      <c r="F440" s="1" t="s">
        <v>1252</v>
      </c>
      <c r="G440" s="39" t="s">
        <v>1132</v>
      </c>
      <c r="H440" s="1">
        <v>0</v>
      </c>
      <c r="I440" s="1">
        <v>4</v>
      </c>
      <c r="J440" s="39" t="s">
        <v>203</v>
      </c>
      <c r="K440" s="1">
        <v>4</v>
      </c>
      <c r="L440" s="1">
        <v>0</v>
      </c>
      <c r="S440" s="1" t="str">
        <f>IF(tblDados[[#This Row],[Mandante]]="","",TEXT(tblDados[[#This Row],[Data]],"aaaa-mm-dd")&amp;"|"&amp;TRIM(tblDados[[#This Row],[Mandante]])&amp;"|"&amp;TRIM(tblDados[[#This Row],[Visitante]]))</f>
        <v>2026-06-06|Brisbane City|Queensland Lions</v>
      </c>
      <c r="T440" s="1">
        <f>IF($G440="",0,IF(COUNTIF($S$2:$S440,$S440)=1,1,0))</f>
        <v>1</v>
      </c>
      <c r="U440" s="19" t="str" cm="1">
        <f t="array" ref="U4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0" s="19" t="str" cm="1">
        <f t="array" ref="V4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1" spans="1:22" ht="14.25" customHeight="1" x14ac:dyDescent="0.3">
      <c r="A441" s="1" t="s">
        <v>1253</v>
      </c>
      <c r="B441" s="5">
        <v>46186</v>
      </c>
      <c r="C441" s="6">
        <v>0.20833333333333334</v>
      </c>
      <c r="D441" s="1" t="s">
        <v>7</v>
      </c>
      <c r="E441" s="1" t="s">
        <v>8</v>
      </c>
      <c r="F441" s="1" t="s">
        <v>1254</v>
      </c>
      <c r="G441" s="39" t="s">
        <v>1151</v>
      </c>
      <c r="H441" s="1">
        <v>0</v>
      </c>
      <c r="I441" s="1">
        <v>2</v>
      </c>
      <c r="J441" s="39" t="s">
        <v>1132</v>
      </c>
      <c r="K441" s="1">
        <v>2</v>
      </c>
      <c r="L441" s="1">
        <v>0</v>
      </c>
      <c r="S441" s="1" t="str">
        <f>IF(tblDados[[#This Row],[Mandante]]="","",TEXT(tblDados[[#This Row],[Data]],"aaaa-mm-dd")&amp;"|"&amp;TRIM(tblDados[[#This Row],[Mandante]])&amp;"|"&amp;TRIM(tblDados[[#This Row],[Visitante]]))</f>
        <v>2026-06-13|Gold Coast Utd|Brisbane City</v>
      </c>
      <c r="T441" s="1">
        <f>IF($G441="",0,IF(COUNTIF($S$2:$S441,$S441)=1,1,0))</f>
        <v>1</v>
      </c>
      <c r="U441" s="19" t="str" cm="1">
        <f t="array" ref="U4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1" s="19" t="str" cm="1">
        <f t="array" ref="V4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2" spans="1:22" ht="14.25" customHeight="1" x14ac:dyDescent="0.3">
      <c r="A442" s="1" t="s">
        <v>1255</v>
      </c>
      <c r="B442" s="5">
        <v>46193</v>
      </c>
      <c r="C442" s="6">
        <v>0.20833333333333334</v>
      </c>
      <c r="D442" s="1" t="s">
        <v>7</v>
      </c>
      <c r="E442" s="1" t="s">
        <v>8</v>
      </c>
      <c r="F442" s="1" t="s">
        <v>1256</v>
      </c>
      <c r="G442" s="39" t="s">
        <v>1135</v>
      </c>
      <c r="H442" s="1">
        <v>3</v>
      </c>
      <c r="I442" s="1">
        <v>1</v>
      </c>
      <c r="J442" s="39" t="s">
        <v>1132</v>
      </c>
      <c r="K442" s="1">
        <v>1</v>
      </c>
      <c r="L442" s="1">
        <v>3</v>
      </c>
      <c r="S442" s="1" t="str">
        <f>IF(tblDados[[#This Row],[Mandante]]="","",TEXT(tblDados[[#This Row],[Data]],"aaaa-mm-dd")&amp;"|"&amp;TRIM(tblDados[[#This Row],[Mandante]])&amp;"|"&amp;TRIM(tblDados[[#This Row],[Visitante]]))</f>
        <v>2026-06-20|Eastern Suburbs|Brisbane City</v>
      </c>
      <c r="T442" s="1">
        <f>IF($G442="",0,IF(COUNTIF($S$2:$S442,$S442)=1,1,0))</f>
        <v>1</v>
      </c>
      <c r="U442" s="19" t="str" cm="1">
        <f t="array" ref="U4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2" s="19" t="str" cm="1">
        <f t="array" ref="V4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3" spans="1:22" ht="14.25" customHeight="1" x14ac:dyDescent="0.3">
      <c r="A443" s="1" t="s">
        <v>1257</v>
      </c>
      <c r="B443" s="5">
        <v>46208</v>
      </c>
      <c r="C443" s="6">
        <v>0.16666666666666666</v>
      </c>
      <c r="D443" s="1" t="s">
        <v>7</v>
      </c>
      <c r="E443" s="1" t="s">
        <v>8</v>
      </c>
      <c r="F443" s="1" t="s">
        <v>1280</v>
      </c>
      <c r="G443" s="39" t="s">
        <v>1132</v>
      </c>
      <c r="H443" s="1">
        <v>1</v>
      </c>
      <c r="I443" s="1">
        <v>1</v>
      </c>
      <c r="J443" s="39" t="s">
        <v>262</v>
      </c>
      <c r="K443" s="1">
        <v>1</v>
      </c>
      <c r="L443" s="1">
        <v>1</v>
      </c>
      <c r="S443" s="1" t="str">
        <f>IF(tblDados[[#This Row],[Mandante]]="","",TEXT(tblDados[[#This Row],[Data]],"aaaa-mm-dd")&amp;"|"&amp;TRIM(tblDados[[#This Row],[Mandante]])&amp;"|"&amp;TRIM(tblDados[[#This Row],[Visitante]]))</f>
        <v>2026-07-05|Brisbane City|Brisbane Roar NPL</v>
      </c>
      <c r="T443" s="1">
        <f>IF($G443="",0,IF(COUNTIF($S$2:$S443,$S443)=1,1,0))</f>
        <v>1</v>
      </c>
      <c r="U443" s="19" t="str" cm="1">
        <f t="array" ref="U4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3" s="19" t="str" cm="1">
        <f t="array" ref="V4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4" spans="1:22" ht="14.25" customHeight="1" x14ac:dyDescent="0.3">
      <c r="A444" s="1" t="s">
        <v>1258</v>
      </c>
      <c r="B444" s="5">
        <v>46215</v>
      </c>
      <c r="C444" s="6">
        <v>0.16666666666666666</v>
      </c>
      <c r="D444" s="1" t="s">
        <v>7</v>
      </c>
      <c r="E444" s="1" t="s">
        <v>8</v>
      </c>
      <c r="F444" s="1" t="s">
        <v>1259</v>
      </c>
      <c r="G444" s="39" t="s">
        <v>1124</v>
      </c>
      <c r="H444" s="1">
        <v>0</v>
      </c>
      <c r="I444" s="1">
        <v>0</v>
      </c>
      <c r="J444" s="39" t="s">
        <v>1132</v>
      </c>
      <c r="K444" s="1">
        <v>0</v>
      </c>
      <c r="L444" s="1">
        <v>0</v>
      </c>
      <c r="S444" s="1" t="str">
        <f>IF(tblDados[[#This Row],[Mandante]]="","",TEXT(tblDados[[#This Row],[Data]],"aaaa-mm-dd")&amp;"|"&amp;TRIM(tblDados[[#This Row],[Mandante]])&amp;"|"&amp;TRIM(tblDados[[#This Row],[Visitante]]))</f>
        <v>2026-07-12|Gold Coast Knights|Brisbane City</v>
      </c>
      <c r="T444" s="1">
        <f>IF($G444="",0,IF(COUNTIF($S$2:$S444,$S444)=1,1,0))</f>
        <v>1</v>
      </c>
      <c r="U444" s="19" t="str" cm="1">
        <f t="array" ref="U4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4" s="19" t="str" cm="1">
        <f t="array" ref="V4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5" spans="1:22" ht="14.25" customHeight="1" x14ac:dyDescent="0.3">
      <c r="A445" s="1" t="s">
        <v>1260</v>
      </c>
      <c r="B445" s="5">
        <v>46234</v>
      </c>
      <c r="C445" s="6">
        <v>0.27083333333333331</v>
      </c>
      <c r="D445" s="1" t="s">
        <v>7</v>
      </c>
      <c r="E445" s="1" t="s">
        <v>8</v>
      </c>
      <c r="F445" s="1" t="s">
        <v>1261</v>
      </c>
      <c r="G445" s="39" t="s">
        <v>1139</v>
      </c>
      <c r="H445" s="1">
        <v>5</v>
      </c>
      <c r="I445" s="1">
        <v>2</v>
      </c>
      <c r="J445" s="39" t="s">
        <v>1132</v>
      </c>
      <c r="K445" s="1">
        <v>2</v>
      </c>
      <c r="L445" s="1">
        <v>5</v>
      </c>
      <c r="S445" s="1" t="str">
        <f>IF(tblDados[[#This Row],[Mandante]]="","",TEXT(tblDados[[#This Row],[Data]],"aaaa-mm-dd")&amp;"|"&amp;TRIM(tblDados[[#This Row],[Mandante]])&amp;"|"&amp;TRIM(tblDados[[#This Row],[Visitante]]))</f>
        <v>2026-07-31|Wynnum Wolves|Brisbane City</v>
      </c>
      <c r="T445" s="1">
        <f>IF($G445="",0,IF(COUNTIF($S$2:$S445,$S445)=1,1,0))</f>
        <v>1</v>
      </c>
      <c r="U445" s="19" t="str" cm="1">
        <f t="array" ref="U4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5" s="19" t="str" cm="1">
        <f t="array" ref="V4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6" spans="1:22" ht="14.25" customHeight="1" x14ac:dyDescent="0.3">
      <c r="A446" s="1" t="s">
        <v>1262</v>
      </c>
      <c r="B446" s="5">
        <v>46101</v>
      </c>
      <c r="C446" s="6">
        <v>0.27083333333333331</v>
      </c>
      <c r="D446" s="1" t="s">
        <v>7</v>
      </c>
      <c r="E446" s="1" t="s">
        <v>8</v>
      </c>
      <c r="F446" s="1" t="s">
        <v>1281</v>
      </c>
      <c r="G446" s="39" t="s">
        <v>204</v>
      </c>
      <c r="H446" s="1">
        <v>4</v>
      </c>
      <c r="I446" s="1">
        <v>2</v>
      </c>
      <c r="J446" s="39" t="s">
        <v>1151</v>
      </c>
      <c r="K446" s="1">
        <v>2</v>
      </c>
      <c r="L446" s="1">
        <v>4</v>
      </c>
      <c r="S446" s="1" t="str">
        <f>IF(tblDados[[#This Row],[Mandante]]="","",TEXT(tblDados[[#This Row],[Data]],"aaaa-mm-dd")&amp;"|"&amp;TRIM(tblDados[[#This Row],[Mandante]])&amp;"|"&amp;TRIM(tblDados[[#This Row],[Visitante]]))</f>
        <v>2026-03-20|Peninsula Power|Gold Coast Utd</v>
      </c>
      <c r="T446" s="1">
        <f>IF($G446="",0,IF(COUNTIF($S$2:$S446,$S446)=1,1,0))</f>
        <v>1</v>
      </c>
      <c r="U446" s="19" t="str" cm="1">
        <f t="array" ref="U4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6" s="19" t="str" cm="1">
        <f t="array" ref="V4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7" spans="1:22" ht="14.25" customHeight="1" x14ac:dyDescent="0.3">
      <c r="A447" s="1" t="s">
        <v>1263</v>
      </c>
      <c r="B447" s="5">
        <v>46119</v>
      </c>
      <c r="C447" s="6">
        <v>0.27083333333333331</v>
      </c>
      <c r="D447" s="1" t="s">
        <v>7</v>
      </c>
      <c r="E447" s="1" t="s">
        <v>8</v>
      </c>
      <c r="F447" s="1" t="s">
        <v>1264</v>
      </c>
      <c r="G447" s="39" t="s">
        <v>1139</v>
      </c>
      <c r="H447" s="1">
        <v>1</v>
      </c>
      <c r="I447" s="1">
        <v>1</v>
      </c>
      <c r="J447" s="39" t="s">
        <v>1151</v>
      </c>
      <c r="K447" s="1">
        <v>1</v>
      </c>
      <c r="L447" s="1">
        <v>1</v>
      </c>
      <c r="S447" s="1" t="str">
        <f>IF(tblDados[[#This Row],[Mandante]]="","",TEXT(tblDados[[#This Row],[Data]],"aaaa-mm-dd")&amp;"|"&amp;TRIM(tblDados[[#This Row],[Mandante]])&amp;"|"&amp;TRIM(tblDados[[#This Row],[Visitante]]))</f>
        <v>2026-04-07|Wynnum Wolves|Gold Coast Utd</v>
      </c>
      <c r="T447" s="1">
        <f>IF($G447="",0,IF(COUNTIF($S$2:$S447,$S447)=1,1,0))</f>
        <v>1</v>
      </c>
      <c r="U447" s="19" t="str" cm="1">
        <f t="array" ref="U4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7" s="19" t="str" cm="1">
        <f t="array" ref="V4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8" spans="1:22" ht="14.25" customHeight="1" x14ac:dyDescent="0.3">
      <c r="A448" s="1" t="s">
        <v>1265</v>
      </c>
      <c r="B448" s="5">
        <v>46131</v>
      </c>
      <c r="C448" s="6">
        <v>0.19791666666666666</v>
      </c>
      <c r="D448" s="1" t="s">
        <v>7</v>
      </c>
      <c r="E448" s="1" t="s">
        <v>8</v>
      </c>
      <c r="F448" s="1" t="s">
        <v>1266</v>
      </c>
      <c r="G448" s="39" t="s">
        <v>203</v>
      </c>
      <c r="H448" s="1">
        <v>1</v>
      </c>
      <c r="I448" s="1">
        <v>0</v>
      </c>
      <c r="J448" s="39" t="s">
        <v>1151</v>
      </c>
      <c r="K448" s="1">
        <v>0</v>
      </c>
      <c r="L448" s="1">
        <v>1</v>
      </c>
      <c r="S448" s="1" t="str">
        <f>IF(tblDados[[#This Row],[Mandante]]="","",TEXT(tblDados[[#This Row],[Data]],"aaaa-mm-dd")&amp;"|"&amp;TRIM(tblDados[[#This Row],[Mandante]])&amp;"|"&amp;TRIM(tblDados[[#This Row],[Visitante]]))</f>
        <v>2026-04-19|Queensland Lions|Gold Coast Utd</v>
      </c>
      <c r="T448" s="1">
        <f>IF($G448="",0,IF(COUNTIF($S$2:$S448,$S448)=1,1,0))</f>
        <v>1</v>
      </c>
      <c r="U448" s="19" t="str" cm="1">
        <f t="array" ref="U4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8" s="19" t="str" cm="1">
        <f t="array" ref="V4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9" spans="1:22" ht="14.25" customHeight="1" x14ac:dyDescent="0.3">
      <c r="A449" s="1" t="s">
        <v>1267</v>
      </c>
      <c r="B449" s="5">
        <v>46152</v>
      </c>
      <c r="C449" s="6">
        <v>0.21875</v>
      </c>
      <c r="D449" s="1" t="s">
        <v>7</v>
      </c>
      <c r="E449" s="1" t="s">
        <v>8</v>
      </c>
      <c r="F449" s="1" t="s">
        <v>1268</v>
      </c>
      <c r="G449" s="39" t="s">
        <v>1135</v>
      </c>
      <c r="H449" s="1">
        <v>2</v>
      </c>
      <c r="I449" s="1">
        <v>1</v>
      </c>
      <c r="J449" s="39" t="s">
        <v>1151</v>
      </c>
      <c r="K449" s="1">
        <v>1</v>
      </c>
      <c r="L449" s="1">
        <v>2</v>
      </c>
      <c r="S449" s="1" t="str">
        <f>IF(tblDados[[#This Row],[Mandante]]="","",TEXT(tblDados[[#This Row],[Data]],"aaaa-mm-dd")&amp;"|"&amp;TRIM(tblDados[[#This Row],[Mandante]])&amp;"|"&amp;TRIM(tblDados[[#This Row],[Visitante]]))</f>
        <v>2026-05-10|Eastern Suburbs|Gold Coast Utd</v>
      </c>
      <c r="T449" s="1">
        <f>IF($G449="",0,IF(COUNTIF($S$2:$S449,$S449)=1,1,0))</f>
        <v>1</v>
      </c>
      <c r="U449" s="19" t="str" cm="1">
        <f t="array" ref="U4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9" s="19" t="str" cm="1">
        <f t="array" ref="V4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0" spans="1:22" ht="14.25" customHeight="1" x14ac:dyDescent="0.3">
      <c r="A450" s="1" t="s">
        <v>1269</v>
      </c>
      <c r="B450" s="5">
        <v>46172</v>
      </c>
      <c r="C450" s="6">
        <v>0.20833333333333334</v>
      </c>
      <c r="D450" s="1" t="s">
        <v>7</v>
      </c>
      <c r="E450" s="1" t="s">
        <v>8</v>
      </c>
      <c r="F450" s="1" t="s">
        <v>1282</v>
      </c>
      <c r="G450" s="39" t="s">
        <v>1151</v>
      </c>
      <c r="H450" s="1">
        <v>0</v>
      </c>
      <c r="I450" s="1">
        <v>4</v>
      </c>
      <c r="J450" s="39" t="s">
        <v>204</v>
      </c>
      <c r="K450" s="1">
        <v>4</v>
      </c>
      <c r="L450" s="1">
        <v>0</v>
      </c>
      <c r="S450" s="1" t="str">
        <f>IF(tblDados[[#This Row],[Mandante]]="","",TEXT(tblDados[[#This Row],[Data]],"aaaa-mm-dd")&amp;"|"&amp;TRIM(tblDados[[#This Row],[Mandante]])&amp;"|"&amp;TRIM(tblDados[[#This Row],[Visitante]]))</f>
        <v>2026-05-30|Gold Coast Utd|Peninsula Power</v>
      </c>
      <c r="T450" s="1">
        <f>IF($G450="",0,IF(COUNTIF($S$2:$S450,$S450)=1,1,0))</f>
        <v>1</v>
      </c>
      <c r="U450" s="19" t="str" cm="1">
        <f t="array" ref="U4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0" s="19" t="str" cm="1">
        <f t="array" ref="V4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1" spans="1:22" ht="14.25" customHeight="1" x14ac:dyDescent="0.3">
      <c r="A451" s="1" t="s">
        <v>1270</v>
      </c>
      <c r="B451" s="5">
        <v>46180</v>
      </c>
      <c r="C451" s="6">
        <v>0.16666666666666666</v>
      </c>
      <c r="D451" s="1" t="s">
        <v>7</v>
      </c>
      <c r="E451" s="1" t="s">
        <v>8</v>
      </c>
      <c r="F451" s="1" t="s">
        <v>1271</v>
      </c>
      <c r="G451" s="39" t="s">
        <v>1151</v>
      </c>
      <c r="H451" s="1">
        <v>1</v>
      </c>
      <c r="I451" s="1">
        <v>2</v>
      </c>
      <c r="J451" s="39" t="s">
        <v>1139</v>
      </c>
      <c r="K451" s="1">
        <v>2</v>
      </c>
      <c r="L451" s="1">
        <v>1</v>
      </c>
      <c r="S451" s="1" t="str">
        <f>IF(tblDados[[#This Row],[Mandante]]="","",TEXT(tblDados[[#This Row],[Data]],"aaaa-mm-dd")&amp;"|"&amp;TRIM(tblDados[[#This Row],[Mandante]])&amp;"|"&amp;TRIM(tblDados[[#This Row],[Visitante]]))</f>
        <v>2026-06-07|Gold Coast Utd|Wynnum Wolves</v>
      </c>
      <c r="T451" s="1">
        <f>IF($G451="",0,IF(COUNTIF($S$2:$S451,$S451)=1,1,0))</f>
        <v>1</v>
      </c>
      <c r="U451" s="19" t="str" cm="1">
        <f t="array" ref="U4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1" s="19" t="str" cm="1">
        <f t="array" ref="V4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2" spans="1:22" ht="14.25" customHeight="1" x14ac:dyDescent="0.3">
      <c r="A452" s="1" t="s">
        <v>1272</v>
      </c>
      <c r="B452" s="5">
        <v>46193</v>
      </c>
      <c r="C452" s="6">
        <v>0.20833333333333334</v>
      </c>
      <c r="D452" s="1" t="s">
        <v>7</v>
      </c>
      <c r="E452" s="1" t="s">
        <v>8</v>
      </c>
      <c r="F452" s="1" t="s">
        <v>1283</v>
      </c>
      <c r="G452" s="39" t="s">
        <v>1151</v>
      </c>
      <c r="H452" s="1">
        <v>1</v>
      </c>
      <c r="I452" s="1">
        <v>4</v>
      </c>
      <c r="J452" s="39" t="s">
        <v>262</v>
      </c>
      <c r="K452" s="1">
        <v>4</v>
      </c>
      <c r="L452" s="1">
        <v>1</v>
      </c>
      <c r="S452" s="1" t="str">
        <f>IF(tblDados[[#This Row],[Mandante]]="","",TEXT(tblDados[[#This Row],[Data]],"aaaa-mm-dd")&amp;"|"&amp;TRIM(tblDados[[#This Row],[Mandante]])&amp;"|"&amp;TRIM(tblDados[[#This Row],[Visitante]]))</f>
        <v>2026-06-20|Gold Coast Utd|Brisbane Roar NPL</v>
      </c>
      <c r="T452" s="1">
        <f>IF($G452="",0,IF(COUNTIF($S$2:$S452,$S452)=1,1,0))</f>
        <v>1</v>
      </c>
      <c r="U452" s="19" t="str" cm="1">
        <f t="array" ref="U4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2" s="19" t="str" cm="1">
        <f t="array" ref="V4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3" spans="1:22" ht="14.25" customHeight="1" x14ac:dyDescent="0.3">
      <c r="A453" s="1" t="s">
        <v>1273</v>
      </c>
      <c r="B453" s="5">
        <v>46221</v>
      </c>
      <c r="C453" s="6">
        <v>0.20833333333333334</v>
      </c>
      <c r="D453" s="1" t="s">
        <v>7</v>
      </c>
      <c r="E453" s="1" t="s">
        <v>8</v>
      </c>
      <c r="F453" s="1" t="s">
        <v>1274</v>
      </c>
      <c r="G453" s="39" t="s">
        <v>1151</v>
      </c>
      <c r="H453" s="1">
        <v>0</v>
      </c>
      <c r="I453" s="1">
        <v>1</v>
      </c>
      <c r="J453" s="39" t="s">
        <v>203</v>
      </c>
      <c r="K453" s="1">
        <v>1</v>
      </c>
      <c r="L453" s="1">
        <v>0</v>
      </c>
      <c r="S453" s="1" t="str">
        <f>IF(tblDados[[#This Row],[Mandante]]="","",TEXT(tblDados[[#This Row],[Data]],"aaaa-mm-dd")&amp;"|"&amp;TRIM(tblDados[[#This Row],[Mandante]])&amp;"|"&amp;TRIM(tblDados[[#This Row],[Visitante]]))</f>
        <v>2026-07-18|Gold Coast Utd|Queensland Lions</v>
      </c>
      <c r="T453" s="1">
        <f>IF($G453="",0,IF(COUNTIF($S$2:$S453,$S453)=1,1,0))</f>
        <v>1</v>
      </c>
      <c r="U453" s="19" t="str" cm="1">
        <f t="array" ref="U4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3" s="19" t="str" cm="1">
        <f t="array" ref="V4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4" spans="1:22" ht="14.25" customHeight="1" x14ac:dyDescent="0.3">
      <c r="A454" s="1" t="s">
        <v>1275</v>
      </c>
      <c r="B454" s="5">
        <v>46228</v>
      </c>
      <c r="C454" s="6">
        <v>0.20833333333333334</v>
      </c>
      <c r="D454" s="1" t="s">
        <v>7</v>
      </c>
      <c r="E454" s="1" t="s">
        <v>8</v>
      </c>
      <c r="F454" s="1" t="s">
        <v>1276</v>
      </c>
      <c r="G454" s="39" t="s">
        <v>1124</v>
      </c>
      <c r="H454" s="1">
        <v>1</v>
      </c>
      <c r="I454" s="1">
        <v>1</v>
      </c>
      <c r="J454" s="39" t="s">
        <v>1151</v>
      </c>
      <c r="K454" s="1">
        <v>1</v>
      </c>
      <c r="L454" s="1">
        <v>1</v>
      </c>
      <c r="S454" s="1" t="str">
        <f>IF(tblDados[[#This Row],[Mandante]]="","",TEXT(tblDados[[#This Row],[Data]],"aaaa-mm-dd")&amp;"|"&amp;TRIM(tblDados[[#This Row],[Mandante]])&amp;"|"&amp;TRIM(tblDados[[#This Row],[Visitante]]))</f>
        <v>2026-07-25|Gold Coast Knights|Gold Coast Utd</v>
      </c>
      <c r="T454" s="1">
        <f>IF($G454="",0,IF(COUNTIF($S$2:$S454,$S454)=1,1,0))</f>
        <v>1</v>
      </c>
      <c r="U454" s="19" t="str" cm="1">
        <f t="array" ref="U4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4" s="19" t="str" cm="1">
        <f t="array" ref="V4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5" spans="1:22" ht="14.25" customHeight="1" x14ac:dyDescent="0.3">
      <c r="A455" s="1" t="s">
        <v>1277</v>
      </c>
      <c r="B455" s="5">
        <v>46235</v>
      </c>
      <c r="C455" s="6">
        <v>0.20833333333333334</v>
      </c>
      <c r="D455" s="1" t="s">
        <v>7</v>
      </c>
      <c r="E455" s="1" t="s">
        <v>8</v>
      </c>
      <c r="F455" s="1" t="s">
        <v>1278</v>
      </c>
      <c r="G455" s="39" t="s">
        <v>1151</v>
      </c>
      <c r="H455" s="1">
        <v>1</v>
      </c>
      <c r="I455" s="1">
        <v>0</v>
      </c>
      <c r="J455" s="39" t="s">
        <v>1124</v>
      </c>
      <c r="K455" s="1">
        <v>0</v>
      </c>
      <c r="L455" s="1">
        <v>1</v>
      </c>
      <c r="S455" s="1" t="str">
        <f>IF(tblDados[[#This Row],[Mandante]]="","",TEXT(tblDados[[#This Row],[Data]],"aaaa-mm-dd")&amp;"|"&amp;TRIM(tblDados[[#This Row],[Mandante]])&amp;"|"&amp;TRIM(tblDados[[#This Row],[Visitante]]))</f>
        <v>2026-08-01|Gold Coast Utd|Gold Coast Knights</v>
      </c>
      <c r="T455" s="1">
        <f>IF($G455="",0,IF(COUNTIF($S$2:$S455,$S455)=1,1,0))</f>
        <v>1</v>
      </c>
      <c r="U455" s="19" t="str" cm="1">
        <f t="array" ref="U4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5" s="19" t="str" cm="1">
        <f t="array" ref="V4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6" spans="1:22" ht="14.25" customHeight="1" x14ac:dyDescent="0.3">
      <c r="A456" s="1" t="s">
        <v>1284</v>
      </c>
      <c r="B456" s="5">
        <v>46082</v>
      </c>
      <c r="C456" s="6">
        <v>0.19791666666666666</v>
      </c>
      <c r="D456" s="1" t="s">
        <v>7</v>
      </c>
      <c r="E456" s="1" t="s">
        <v>8</v>
      </c>
      <c r="F456" s="1" t="s">
        <v>1298</v>
      </c>
      <c r="G456" s="39" t="s">
        <v>1135</v>
      </c>
      <c r="H456" s="1">
        <v>3</v>
      </c>
      <c r="I456" s="1">
        <v>2</v>
      </c>
      <c r="J456" s="39" t="s">
        <v>262</v>
      </c>
      <c r="K456" s="1">
        <v>2</v>
      </c>
      <c r="L456" s="1">
        <v>3</v>
      </c>
      <c r="S456" s="1" t="str">
        <f>IF(tblDados[[#This Row],[Mandante]]="","",TEXT(tblDados[[#This Row],[Data]],"aaaa-mm-dd")&amp;"|"&amp;TRIM(tblDados[[#This Row],[Mandante]])&amp;"|"&amp;TRIM(tblDados[[#This Row],[Visitante]]))</f>
        <v>2026-03-01|Eastern Suburbs|Brisbane Roar NPL</v>
      </c>
      <c r="T456">
        <f>IF($G456="",0,IF(COUNTIF($S$2:$S456,$S456)=1,1,0))</f>
        <v>1</v>
      </c>
      <c r="U456" s="19" t="str" cm="1">
        <f t="array" ref="U4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6" s="19" t="str" cm="1">
        <f t="array" ref="V4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7" spans="1:22" ht="14.25" customHeight="1" x14ac:dyDescent="0.3">
      <c r="A457" s="1" t="s">
        <v>1285</v>
      </c>
      <c r="B457" s="5">
        <v>46095</v>
      </c>
      <c r="C457" s="6">
        <v>0.19791666666666666</v>
      </c>
      <c r="D457" s="1" t="s">
        <v>7</v>
      </c>
      <c r="E457" s="1" t="s">
        <v>8</v>
      </c>
      <c r="F457" s="1" t="s">
        <v>1286</v>
      </c>
      <c r="G457" s="39" t="s">
        <v>1135</v>
      </c>
      <c r="H457" s="1">
        <v>1</v>
      </c>
      <c r="I457" s="1">
        <v>3</v>
      </c>
      <c r="J457" s="39" t="s">
        <v>203</v>
      </c>
      <c r="K457" s="1">
        <v>3</v>
      </c>
      <c r="L457" s="1">
        <v>1</v>
      </c>
      <c r="S457" s="1" t="str">
        <f>IF(tblDados[[#This Row],[Mandante]]="","",TEXT(tblDados[[#This Row],[Data]],"aaaa-mm-dd")&amp;"|"&amp;TRIM(tblDados[[#This Row],[Mandante]])&amp;"|"&amp;TRIM(tblDados[[#This Row],[Visitante]]))</f>
        <v>2026-03-14|Eastern Suburbs|Queensland Lions</v>
      </c>
      <c r="T457" s="1">
        <f>IF($G457="",0,IF(COUNTIF($S$2:$S457,$S457)=1,1,0))</f>
        <v>1</v>
      </c>
      <c r="U457" s="19" t="str" cm="1">
        <f t="array" ref="U4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7" s="19" t="str" cm="1">
        <f t="array" ref="V4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8" spans="1:22" ht="14.25" customHeight="1" x14ac:dyDescent="0.3">
      <c r="A458" s="1" t="s">
        <v>1287</v>
      </c>
      <c r="B458" s="5">
        <v>46101</v>
      </c>
      <c r="C458" s="6">
        <v>0.27083333333333331</v>
      </c>
      <c r="D458" s="1" t="s">
        <v>7</v>
      </c>
      <c r="E458" s="1" t="s">
        <v>8</v>
      </c>
      <c r="F458" s="1" t="s">
        <v>1288</v>
      </c>
      <c r="G458" s="39" t="s">
        <v>1135</v>
      </c>
      <c r="H458" s="1">
        <v>1</v>
      </c>
      <c r="I458" s="1">
        <v>2</v>
      </c>
      <c r="J458" s="39" t="s">
        <v>1124</v>
      </c>
      <c r="K458" s="1">
        <v>2</v>
      </c>
      <c r="L458" s="1">
        <v>1</v>
      </c>
      <c r="S458" s="1" t="str">
        <f>IF(tblDados[[#This Row],[Mandante]]="","",TEXT(tblDados[[#This Row],[Data]],"aaaa-mm-dd")&amp;"|"&amp;TRIM(tblDados[[#This Row],[Mandante]])&amp;"|"&amp;TRIM(tblDados[[#This Row],[Visitante]]))</f>
        <v>2026-03-20|Eastern Suburbs|Gold Coast Knights</v>
      </c>
      <c r="T458" s="1">
        <f>IF($G458="",0,IF(COUNTIF($S$2:$S458,$S458)=1,1,0))</f>
        <v>1</v>
      </c>
      <c r="U458" s="19" t="str" cm="1">
        <f t="array" ref="U4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8" s="19" t="str" cm="1">
        <f t="array" ref="V4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9" spans="1:22" ht="14.25" customHeight="1" x14ac:dyDescent="0.3">
      <c r="A459" s="1" t="s">
        <v>1289</v>
      </c>
      <c r="B459" s="5">
        <v>46207</v>
      </c>
      <c r="C459" s="6">
        <v>0.20833333333333334</v>
      </c>
      <c r="D459" s="1" t="s">
        <v>7</v>
      </c>
      <c r="E459" s="1" t="s">
        <v>8</v>
      </c>
      <c r="F459" s="1" t="s">
        <v>1299</v>
      </c>
      <c r="G459" s="39" t="s">
        <v>1135</v>
      </c>
      <c r="H459" s="1">
        <v>1</v>
      </c>
      <c r="I459" s="1">
        <v>3</v>
      </c>
      <c r="J459" s="39" t="s">
        <v>204</v>
      </c>
      <c r="K459" s="1">
        <v>3</v>
      </c>
      <c r="L459" s="1">
        <v>1</v>
      </c>
      <c r="S459" s="1" t="str">
        <f>IF(tblDados[[#This Row],[Mandante]]="","",TEXT(tblDados[[#This Row],[Data]],"aaaa-mm-dd")&amp;"|"&amp;TRIM(tblDados[[#This Row],[Mandante]])&amp;"|"&amp;TRIM(tblDados[[#This Row],[Visitante]]))</f>
        <v>2026-07-04|Eastern Suburbs|Peninsula Power</v>
      </c>
      <c r="T459" s="1">
        <f>IF($G459="",0,IF(COUNTIF($S$2:$S459,$S459)=1,1,0))</f>
        <v>1</v>
      </c>
      <c r="U459" s="19" t="str" cm="1">
        <f t="array" ref="U4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9" s="19" t="str" cm="1">
        <f t="array" ref="V4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0" spans="1:22" ht="14.25" customHeight="1" x14ac:dyDescent="0.3">
      <c r="A460" s="1" t="s">
        <v>1290</v>
      </c>
      <c r="B460" s="5">
        <v>46074</v>
      </c>
      <c r="C460" s="6">
        <v>0.21875</v>
      </c>
      <c r="D460" s="1" t="s">
        <v>7</v>
      </c>
      <c r="E460" s="1" t="s">
        <v>8</v>
      </c>
      <c r="F460" s="1" t="s">
        <v>1300</v>
      </c>
      <c r="G460" s="39" t="s">
        <v>1159</v>
      </c>
      <c r="H460" s="1">
        <v>0</v>
      </c>
      <c r="I460" s="1">
        <v>3</v>
      </c>
      <c r="J460" s="39" t="s">
        <v>1139</v>
      </c>
      <c r="K460" s="1">
        <v>3</v>
      </c>
      <c r="L460" s="1">
        <v>0</v>
      </c>
      <c r="S460" s="1" t="str">
        <f>IF(tblDados[[#This Row],[Mandante]]="","",TEXT(tblDados[[#This Row],[Data]],"aaaa-mm-dd")&amp;"|"&amp;TRIM(tblDados[[#This Row],[Mandante]])&amp;"|"&amp;TRIM(tblDados[[#This Row],[Visitante]]))</f>
        <v>2026-02-21|Rochedale Rovers|Wynnum Wolves</v>
      </c>
      <c r="T460">
        <f>IF($G460="",0,IF(COUNTIF($S$2:$S460,$S460)=1,1,0))</f>
        <v>1</v>
      </c>
      <c r="U460" s="19" t="str" cm="1">
        <f t="array" ref="U4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0" s="19" t="str" cm="1">
        <f t="array" ref="V4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1" spans="1:22" ht="14.25" customHeight="1" x14ac:dyDescent="0.3">
      <c r="A461" s="1" t="s">
        <v>1291</v>
      </c>
      <c r="B461" s="5">
        <v>46082</v>
      </c>
      <c r="C461" s="6">
        <v>0.21875</v>
      </c>
      <c r="D461" s="1" t="s">
        <v>7</v>
      </c>
      <c r="E461" s="1" t="s">
        <v>8</v>
      </c>
      <c r="F461" s="1" t="s">
        <v>1301</v>
      </c>
      <c r="G461" s="39" t="s">
        <v>259</v>
      </c>
      <c r="H461" s="1">
        <v>1</v>
      </c>
      <c r="I461" s="1">
        <v>3</v>
      </c>
      <c r="J461" s="39" t="s">
        <v>1139</v>
      </c>
      <c r="K461" s="1">
        <v>3</v>
      </c>
      <c r="L461" s="1">
        <v>1</v>
      </c>
      <c r="S461" s="1" t="str">
        <f>IF(tblDados[[#This Row],[Mandante]]="","",TEXT(tblDados[[#This Row],[Data]],"aaaa-mm-dd")&amp;"|"&amp;TRIM(tblDados[[#This Row],[Mandante]])&amp;"|"&amp;TRIM(tblDados[[#This Row],[Visitante]]))</f>
        <v>2026-03-01|Brisbane Olympic FC|Wynnum Wolves</v>
      </c>
      <c r="T461" s="1">
        <f>IF($G461="",0,IF(COUNTIF($S$2:$S461,$S461)=1,1,0))</f>
        <v>1</v>
      </c>
      <c r="U461" s="19" t="str" cm="1">
        <f t="array" ref="U4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1" s="19" t="str" cm="1">
        <f t="array" ref="V4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2" spans="1:22" ht="14.25" customHeight="1" x14ac:dyDescent="0.3">
      <c r="A462" s="1" t="s">
        <v>1292</v>
      </c>
      <c r="B462" s="5">
        <v>46103</v>
      </c>
      <c r="C462" s="6">
        <v>0.21875</v>
      </c>
      <c r="D462" s="1" t="s">
        <v>7</v>
      </c>
      <c r="E462" s="1" t="s">
        <v>8</v>
      </c>
      <c r="F462" s="1" t="s">
        <v>1302</v>
      </c>
      <c r="G462" s="39" t="s">
        <v>262</v>
      </c>
      <c r="H462" s="1">
        <v>3</v>
      </c>
      <c r="I462" s="1">
        <v>2</v>
      </c>
      <c r="J462" s="39" t="s">
        <v>1139</v>
      </c>
      <c r="K462" s="1">
        <v>2</v>
      </c>
      <c r="L462" s="1">
        <v>3</v>
      </c>
      <c r="S462" s="1" t="str">
        <f>IF(tblDados[[#This Row],[Mandante]]="","",TEXT(tblDados[[#This Row],[Data]],"aaaa-mm-dd")&amp;"|"&amp;TRIM(tblDados[[#This Row],[Mandante]])&amp;"|"&amp;TRIM(tblDados[[#This Row],[Visitante]]))</f>
        <v>2026-03-22|Brisbane Roar NPL|Wynnum Wolves</v>
      </c>
      <c r="T462" s="1">
        <f>IF($G462="",0,IF(COUNTIF($S$2:$S462,$S462)=1,1,0))</f>
        <v>1</v>
      </c>
      <c r="U462" s="19" t="str" cm="1">
        <f t="array" ref="U4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2" s="19" t="str" cm="1">
        <f t="array" ref="V4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3" spans="1:22" ht="14.25" customHeight="1" x14ac:dyDescent="0.3">
      <c r="A463" s="1" t="s">
        <v>1293</v>
      </c>
      <c r="B463" s="5">
        <v>46201</v>
      </c>
      <c r="C463" s="6">
        <v>0.16666666666666666</v>
      </c>
      <c r="D463" s="1" t="s">
        <v>7</v>
      </c>
      <c r="E463" s="1" t="s">
        <v>8</v>
      </c>
      <c r="F463" s="1" t="s">
        <v>1294</v>
      </c>
      <c r="G463" s="39" t="s">
        <v>203</v>
      </c>
      <c r="H463" s="1">
        <v>6</v>
      </c>
      <c r="I463" s="1">
        <v>2</v>
      </c>
      <c r="J463" s="39" t="s">
        <v>1139</v>
      </c>
      <c r="K463" s="1">
        <v>2</v>
      </c>
      <c r="L463" s="1">
        <v>6</v>
      </c>
      <c r="S463" s="1" t="str">
        <f>IF(tblDados[[#This Row],[Mandante]]="","",TEXT(tblDados[[#This Row],[Data]],"aaaa-mm-dd")&amp;"|"&amp;TRIM(tblDados[[#This Row],[Mandante]])&amp;"|"&amp;TRIM(tblDados[[#This Row],[Visitante]]))</f>
        <v>2026-06-28|Queensland Lions|Wynnum Wolves</v>
      </c>
      <c r="T463" s="1">
        <f>IF($G463="",0,IF(COUNTIF($S$2:$S463,$S463)=1,1,0))</f>
        <v>1</v>
      </c>
      <c r="U463" s="19" t="str" cm="1">
        <f t="array" ref="U4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3" s="19" t="str" cm="1">
        <f t="array" ref="V4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4" spans="1:22" ht="14.25" customHeight="1" x14ac:dyDescent="0.3">
      <c r="A464" s="1" t="s">
        <v>1295</v>
      </c>
      <c r="B464" s="5">
        <v>46213</v>
      </c>
      <c r="C464" s="6">
        <v>0.27083333333333331</v>
      </c>
      <c r="D464" s="1" t="s">
        <v>7</v>
      </c>
      <c r="E464" s="1" t="s">
        <v>8</v>
      </c>
      <c r="F464" s="1" t="s">
        <v>1303</v>
      </c>
      <c r="G464" s="39" t="s">
        <v>204</v>
      </c>
      <c r="H464" s="1">
        <v>0</v>
      </c>
      <c r="I464" s="1">
        <v>0</v>
      </c>
      <c r="J464" s="39" t="s">
        <v>1139</v>
      </c>
      <c r="K464" s="1">
        <v>0</v>
      </c>
      <c r="L464" s="1">
        <v>0</v>
      </c>
      <c r="S464" s="1" t="str">
        <f>IF(tblDados[[#This Row],[Mandante]]="","",TEXT(tblDados[[#This Row],[Data]],"aaaa-mm-dd")&amp;"|"&amp;TRIM(tblDados[[#This Row],[Mandante]])&amp;"|"&amp;TRIM(tblDados[[#This Row],[Visitante]]))</f>
        <v>2026-07-10|Peninsula Power|Wynnum Wolves</v>
      </c>
      <c r="T464" s="1">
        <f>IF($G464="",0,IF(COUNTIF($S$2:$S464,$S464)=1,1,0))</f>
        <v>1</v>
      </c>
      <c r="U464" s="19" t="str" cm="1">
        <f t="array" ref="U4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4" s="19" t="str" cm="1">
        <f t="array" ref="V4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5" spans="1:22" ht="14.25" customHeight="1" x14ac:dyDescent="0.3">
      <c r="A465" s="1" t="s">
        <v>1296</v>
      </c>
      <c r="B465" s="5">
        <v>46221</v>
      </c>
      <c r="C465" s="6">
        <v>0.20833333333333334</v>
      </c>
      <c r="D465" s="1" t="s">
        <v>7</v>
      </c>
      <c r="E465" s="1" t="s">
        <v>8</v>
      </c>
      <c r="F465" s="1" t="s">
        <v>1297</v>
      </c>
      <c r="G465" s="39" t="s">
        <v>1124</v>
      </c>
      <c r="H465" s="1">
        <v>1</v>
      </c>
      <c r="I465" s="1">
        <v>2</v>
      </c>
      <c r="J465" s="39" t="s">
        <v>1139</v>
      </c>
      <c r="K465" s="1">
        <v>2</v>
      </c>
      <c r="L465" s="1">
        <v>1</v>
      </c>
      <c r="S465" s="1" t="str">
        <f>IF(tblDados[[#This Row],[Mandante]]="","",TEXT(tblDados[[#This Row],[Data]],"aaaa-mm-dd")&amp;"|"&amp;TRIM(tblDados[[#This Row],[Mandante]])&amp;"|"&amp;TRIM(tblDados[[#This Row],[Visitante]]))</f>
        <v>2026-07-18|Gold Coast Knights|Wynnum Wolves</v>
      </c>
      <c r="T465" s="1">
        <f>IF($G465="",0,IF(COUNTIF($S$2:$S465,$S465)=1,1,0))</f>
        <v>1</v>
      </c>
      <c r="U465" s="19" t="str" cm="1">
        <f t="array" ref="U4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5" s="19" t="str" cm="1">
        <f t="array" ref="V4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6" spans="1:22" ht="14.25" customHeight="1" x14ac:dyDescent="0.3">
      <c r="A466" s="1" t="s">
        <v>1304</v>
      </c>
      <c r="B466" s="5">
        <v>46152</v>
      </c>
      <c r="C466" s="6">
        <v>0.21875</v>
      </c>
      <c r="D466" s="1" t="s">
        <v>7</v>
      </c>
      <c r="E466" s="1" t="s">
        <v>8</v>
      </c>
      <c r="F466" s="1" t="s">
        <v>1313</v>
      </c>
      <c r="G466" s="39" t="s">
        <v>1124</v>
      </c>
      <c r="H466" s="1">
        <v>3</v>
      </c>
      <c r="I466" s="1">
        <v>2</v>
      </c>
      <c r="J466" s="39" t="s">
        <v>262</v>
      </c>
      <c r="K466" s="1">
        <v>2</v>
      </c>
      <c r="L466" s="1">
        <v>3</v>
      </c>
      <c r="S466" s="1" t="str">
        <f>IF(tblDados[[#This Row],[Mandante]]="","",TEXT(tblDados[[#This Row],[Data]],"aaaa-mm-dd")&amp;"|"&amp;TRIM(tblDados[[#This Row],[Mandante]])&amp;"|"&amp;TRIM(tblDados[[#This Row],[Visitante]]))</f>
        <v>2026-05-10|Gold Coast Knights|Brisbane Roar NPL</v>
      </c>
      <c r="T466" s="1">
        <f>IF($G466="",0,IF(COUNTIF($S$2:$S466,$S466)=1,1,0))</f>
        <v>1</v>
      </c>
      <c r="U466" s="19" t="str" cm="1">
        <f t="array" ref="U4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6" s="19" t="str" cm="1">
        <f t="array" ref="V4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7" spans="1:22" ht="14.25" customHeight="1" x14ac:dyDescent="0.3">
      <c r="A467" s="1" t="s">
        <v>1305</v>
      </c>
      <c r="B467" s="5">
        <v>46196</v>
      </c>
      <c r="C467" s="6">
        <v>0.27083333333333331</v>
      </c>
      <c r="D467" s="1" t="s">
        <v>7</v>
      </c>
      <c r="E467" s="1" t="s">
        <v>8</v>
      </c>
      <c r="F467" s="1" t="s">
        <v>1306</v>
      </c>
      <c r="G467" s="39" t="s">
        <v>1124</v>
      </c>
      <c r="H467" s="1">
        <v>4</v>
      </c>
      <c r="I467" s="1">
        <v>1</v>
      </c>
      <c r="J467" s="39" t="s">
        <v>1135</v>
      </c>
      <c r="K467" s="1">
        <v>1</v>
      </c>
      <c r="L467" s="1">
        <v>4</v>
      </c>
      <c r="S467" s="1" t="str">
        <f>IF(tblDados[[#This Row],[Mandante]]="","",TEXT(tblDados[[#This Row],[Data]],"aaaa-mm-dd")&amp;"|"&amp;TRIM(tblDados[[#This Row],[Mandante]])&amp;"|"&amp;TRIM(tblDados[[#This Row],[Visitante]]))</f>
        <v>2026-06-23|Gold Coast Knights|Eastern Suburbs</v>
      </c>
      <c r="T467" s="1">
        <f>IF($G467="",0,IF(COUNTIF($S$2:$S467,$S467)=1,1,0))</f>
        <v>1</v>
      </c>
      <c r="U467" s="19" t="str" cm="1">
        <f t="array" ref="U4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7" s="19" t="str" cm="1">
        <f t="array" ref="V4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8" spans="1:22" ht="14.25" customHeight="1" x14ac:dyDescent="0.3">
      <c r="A468" s="1" t="s">
        <v>1307</v>
      </c>
      <c r="B468" s="5">
        <v>46210</v>
      </c>
      <c r="C468" s="6">
        <v>0.27083333333333331</v>
      </c>
      <c r="D468" s="1" t="s">
        <v>7</v>
      </c>
      <c r="E468" s="1" t="s">
        <v>8</v>
      </c>
      <c r="F468" s="1" t="s">
        <v>1308</v>
      </c>
      <c r="G468" s="39" t="s">
        <v>1124</v>
      </c>
      <c r="H468" s="1">
        <v>2</v>
      </c>
      <c r="I468" s="1">
        <v>1</v>
      </c>
      <c r="J468" s="39" t="s">
        <v>203</v>
      </c>
      <c r="K468" s="1">
        <v>1</v>
      </c>
      <c r="L468" s="1">
        <v>2</v>
      </c>
      <c r="S468" s="1" t="str">
        <f>IF(tblDados[[#This Row],[Mandante]]="","",TEXT(tblDados[[#This Row],[Data]],"aaaa-mm-dd")&amp;"|"&amp;TRIM(tblDados[[#This Row],[Mandante]])&amp;"|"&amp;TRIM(tblDados[[#This Row],[Visitante]]))</f>
        <v>2026-07-07|Gold Coast Knights|Queensland Lions</v>
      </c>
      <c r="T468" s="1">
        <f>IF($G468="",0,IF(COUNTIF($S$2:$S468,$S468)=1,1,0))</f>
        <v>1</v>
      </c>
      <c r="U468" s="19" t="str" cm="1">
        <f t="array" ref="U4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8" s="19" t="str" cm="1">
        <f t="array" ref="V4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9" spans="1:22" ht="14.25" customHeight="1" x14ac:dyDescent="0.3">
      <c r="A469" s="1" t="s">
        <v>1309</v>
      </c>
      <c r="B469" s="5">
        <v>45906</v>
      </c>
      <c r="C469" s="6">
        <v>0.16666666666666666</v>
      </c>
      <c r="D469" s="1" t="s">
        <v>7</v>
      </c>
      <c r="E469" s="1" t="s">
        <v>8</v>
      </c>
      <c r="F469" s="1" t="s">
        <v>1314</v>
      </c>
      <c r="G469" s="39" t="s">
        <v>203</v>
      </c>
      <c r="H469" s="1">
        <v>3</v>
      </c>
      <c r="I469" s="1">
        <v>0</v>
      </c>
      <c r="J469" s="39" t="s">
        <v>204</v>
      </c>
      <c r="K469" s="1">
        <v>0</v>
      </c>
      <c r="L469" s="1">
        <v>3</v>
      </c>
      <c r="S469" s="1" t="str">
        <f>IF(tblDados[[#This Row],[Mandante]]="","",TEXT(tblDados[[#This Row],[Data]],"aaaa-mm-dd")&amp;"|"&amp;TRIM(tblDados[[#This Row],[Mandante]])&amp;"|"&amp;TRIM(tblDados[[#This Row],[Visitante]]))</f>
        <v>2025-09-06|Queensland Lions|Peninsula Power</v>
      </c>
      <c r="T469">
        <f>IF($G469="",0,IF(COUNTIF($S$2:$S469,$S469)=1,1,0))</f>
        <v>1</v>
      </c>
      <c r="U469" s="19" t="str" cm="1">
        <f t="array" ref="U4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9" s="19" t="str" cm="1">
        <f t="array" ref="V4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0" spans="1:22" ht="14.25" customHeight="1" x14ac:dyDescent="0.3">
      <c r="A470" s="1" t="s">
        <v>1310</v>
      </c>
      <c r="B470" s="5">
        <v>46081</v>
      </c>
      <c r="C470" s="6">
        <v>0.20833333333333334</v>
      </c>
      <c r="D470" s="1" t="s">
        <v>7</v>
      </c>
      <c r="E470" s="1" t="s">
        <v>8</v>
      </c>
      <c r="F470" s="1" t="s">
        <v>1315</v>
      </c>
      <c r="G470" s="39" t="s">
        <v>258</v>
      </c>
      <c r="H470" s="1">
        <v>0</v>
      </c>
      <c r="I470" s="1">
        <v>3</v>
      </c>
      <c r="J470" s="39" t="s">
        <v>204</v>
      </c>
      <c r="K470" s="1">
        <v>3</v>
      </c>
      <c r="L470" s="1">
        <v>0</v>
      </c>
      <c r="S470" s="1" t="str">
        <f>IF(tblDados[[#This Row],[Mandante]]="","",TEXT(tblDados[[#This Row],[Data]],"aaaa-mm-dd")&amp;"|"&amp;TRIM(tblDados[[#This Row],[Mandante]])&amp;"|"&amp;TRIM(tblDados[[#This Row],[Visitante]]))</f>
        <v>2026-02-28|Magic United|Peninsula Power</v>
      </c>
      <c r="T470" s="1">
        <f>IF($G470="",0,IF(COUNTIF($S$2:$S470,$S470)=1,1,0))</f>
        <v>1</v>
      </c>
      <c r="U470" s="19" t="str" cm="1">
        <f t="array" ref="U4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0" s="19" t="str" cm="1">
        <f t="array" ref="V4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1" spans="1:22" ht="14.25" customHeight="1" x14ac:dyDescent="0.3">
      <c r="A471" s="1" t="s">
        <v>1311</v>
      </c>
      <c r="B471" s="5">
        <v>46094</v>
      </c>
      <c r="C471" s="6">
        <v>0.27083333333333331</v>
      </c>
      <c r="D471" s="1" t="s">
        <v>7</v>
      </c>
      <c r="E471" s="1" t="s">
        <v>8</v>
      </c>
      <c r="F471" s="1" t="s">
        <v>1316</v>
      </c>
      <c r="G471" s="39" t="s">
        <v>1139</v>
      </c>
      <c r="H471" s="1">
        <v>2</v>
      </c>
      <c r="I471" s="1">
        <v>2</v>
      </c>
      <c r="J471" s="39" t="s">
        <v>204</v>
      </c>
      <c r="K471" s="1">
        <v>2</v>
      </c>
      <c r="L471" s="1">
        <v>2</v>
      </c>
      <c r="S471" s="1" t="str">
        <f>IF(tblDados[[#This Row],[Mandante]]="","",TEXT(tblDados[[#This Row],[Data]],"aaaa-mm-dd")&amp;"|"&amp;TRIM(tblDados[[#This Row],[Mandante]])&amp;"|"&amp;TRIM(tblDados[[#This Row],[Visitante]]))</f>
        <v>2026-03-13|Wynnum Wolves|Peninsula Power</v>
      </c>
      <c r="T471" s="1">
        <f>IF($G471="",0,IF(COUNTIF($S$2:$S471,$S471)=1,1,0))</f>
        <v>1</v>
      </c>
      <c r="U471" s="19" t="str" cm="1">
        <f t="array" ref="U4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1" s="19" t="str" cm="1">
        <f t="array" ref="V4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2" spans="1:22" ht="14.25" customHeight="1" x14ac:dyDescent="0.3">
      <c r="A472" s="1" t="s">
        <v>1312</v>
      </c>
      <c r="B472" s="5">
        <v>46124</v>
      </c>
      <c r="C472" s="6">
        <v>0.16666666666666666</v>
      </c>
      <c r="D472" s="1" t="s">
        <v>7</v>
      </c>
      <c r="E472" s="1" t="s">
        <v>8</v>
      </c>
      <c r="F472" s="1" t="s">
        <v>1317</v>
      </c>
      <c r="G472" s="39" t="s">
        <v>262</v>
      </c>
      <c r="H472" s="1">
        <v>2</v>
      </c>
      <c r="I472" s="1">
        <v>1</v>
      </c>
      <c r="J472" s="39" t="s">
        <v>204</v>
      </c>
      <c r="K472" s="1">
        <v>1</v>
      </c>
      <c r="L472" s="1">
        <v>2</v>
      </c>
      <c r="S472" s="1" t="str">
        <f>IF(tblDados[[#This Row],[Mandante]]="","",TEXT(tblDados[[#This Row],[Data]],"aaaa-mm-dd")&amp;"|"&amp;TRIM(tblDados[[#This Row],[Mandante]])&amp;"|"&amp;TRIM(tblDados[[#This Row],[Visitante]]))</f>
        <v>2026-04-12|Brisbane Roar NPL|Peninsula Power</v>
      </c>
      <c r="T472" s="1">
        <f>IF($G472="",0,IF(COUNTIF($S$2:$S472,$S472)=1,1,0))</f>
        <v>1</v>
      </c>
      <c r="U472" s="19" t="str" cm="1">
        <f t="array" ref="U4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2" s="19" t="str" cm="1">
        <f t="array" ref="V4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3" spans="1:22" ht="14.25" customHeight="1" x14ac:dyDescent="0.3">
      <c r="A473" s="1" t="s">
        <v>1318</v>
      </c>
      <c r="B473" s="5">
        <v>46080</v>
      </c>
      <c r="C473" s="6">
        <v>0.25</v>
      </c>
      <c r="D473" s="1" t="s">
        <v>7</v>
      </c>
      <c r="E473" s="1" t="s">
        <v>972</v>
      </c>
      <c r="F473" s="1" t="s">
        <v>1319</v>
      </c>
      <c r="G473" s="39" t="s">
        <v>1320</v>
      </c>
      <c r="H473" s="1">
        <v>3</v>
      </c>
      <c r="I473" s="1">
        <v>2</v>
      </c>
      <c r="J473" s="39" t="s">
        <v>1321</v>
      </c>
      <c r="K473" s="1">
        <v>2</v>
      </c>
      <c r="L473" s="1">
        <v>3</v>
      </c>
      <c r="S473" s="1" t="str">
        <f>IF(tblDados[[#This Row],[Mandante]]="","",TEXT(tblDados[[#This Row],[Data]],"aaaa-mm-dd")&amp;"|"&amp;TRIM(tblDados[[#This Row],[Mandante]])&amp;"|"&amp;TRIM(tblDados[[#This Row],[Visitante]]))</f>
        <v>2026-02-27|Croydon|Para</v>
      </c>
      <c r="T473">
        <f>IF($G473="",0,IF(COUNTIF($S$2:$S473,$S473)=1,1,0))</f>
        <v>1</v>
      </c>
      <c r="U473" s="19" t="str" cm="1">
        <f t="array" ref="U4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3" s="19" t="str" cm="1">
        <f t="array" ref="V4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4" spans="1:22" ht="14.25" customHeight="1" x14ac:dyDescent="0.3">
      <c r="A474" s="1" t="s">
        <v>1322</v>
      </c>
      <c r="B474" s="5">
        <v>46088</v>
      </c>
      <c r="C474" s="6">
        <v>0.22916666666666666</v>
      </c>
      <c r="D474" s="1" t="s">
        <v>7</v>
      </c>
      <c r="E474" s="1" t="s">
        <v>972</v>
      </c>
      <c r="F474" s="1" t="s">
        <v>1323</v>
      </c>
      <c r="G474" s="39" t="s">
        <v>1320</v>
      </c>
      <c r="H474" s="1">
        <v>0</v>
      </c>
      <c r="I474" s="1">
        <v>4</v>
      </c>
      <c r="J474" s="39" t="s">
        <v>1324</v>
      </c>
      <c r="K474" s="1">
        <v>4</v>
      </c>
      <c r="L474" s="1">
        <v>0</v>
      </c>
      <c r="S474" s="1" t="str">
        <f>IF(tblDados[[#This Row],[Mandante]]="","",TEXT(tblDados[[#This Row],[Data]],"aaaa-mm-dd")&amp;"|"&amp;TRIM(tblDados[[#This Row],[Mandante]])&amp;"|"&amp;TRIM(tblDados[[#This Row],[Visitante]]))</f>
        <v>2026-03-07|Croydon|Adelaide City</v>
      </c>
      <c r="T474" s="1">
        <f>IF($G474="",0,IF(COUNTIF($S$2:$S474,$S474)=1,1,0))</f>
        <v>1</v>
      </c>
      <c r="U474" s="19" t="str" cm="1">
        <f t="array" ref="U4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4" s="19" t="str" cm="1">
        <f t="array" ref="V4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5" spans="1:22" ht="14.25" customHeight="1" x14ac:dyDescent="0.3">
      <c r="A475" s="1" t="s">
        <v>1325</v>
      </c>
      <c r="B475" s="5">
        <v>46102</v>
      </c>
      <c r="C475" s="6">
        <v>0.22916666666666666</v>
      </c>
      <c r="D475" s="1" t="s">
        <v>7</v>
      </c>
      <c r="E475" s="1" t="s">
        <v>972</v>
      </c>
      <c r="F475" s="1" t="s">
        <v>1581</v>
      </c>
      <c r="G475" s="39" t="s">
        <v>1320</v>
      </c>
      <c r="H475" s="1">
        <v>1</v>
      </c>
      <c r="I475" s="1">
        <v>2</v>
      </c>
      <c r="J475" s="39" t="s">
        <v>970</v>
      </c>
      <c r="K475" s="1">
        <v>2</v>
      </c>
      <c r="L475" s="1">
        <v>1</v>
      </c>
      <c r="S475" s="1" t="str">
        <f>IF(tblDados[[#This Row],[Mandante]]="","",TEXT(tblDados[[#This Row],[Data]],"aaaa-mm-dd")&amp;"|"&amp;TRIM(tblDados[[#This Row],[Mandante]])&amp;"|"&amp;TRIM(tblDados[[#This Row],[Visitante]]))</f>
        <v>2026-03-21|Croydon|West Adelaide SC</v>
      </c>
      <c r="T475" s="1">
        <f>IF($G475="",0,IF(COUNTIF($S$2:$S475,$S475)=1,1,0))</f>
        <v>1</v>
      </c>
      <c r="U475" s="19" t="str" cm="1">
        <f t="array" ref="U4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5" s="19" t="str" cm="1">
        <f t="array" ref="V4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6" spans="1:22" ht="14.25" customHeight="1" x14ac:dyDescent="0.3">
      <c r="A476" s="1" t="s">
        <v>1326</v>
      </c>
      <c r="B476" s="5">
        <v>46123</v>
      </c>
      <c r="C476" s="6">
        <v>0.22916666666666666</v>
      </c>
      <c r="D476" s="1" t="s">
        <v>7</v>
      </c>
      <c r="E476" s="1" t="s">
        <v>972</v>
      </c>
      <c r="F476" s="1" t="s">
        <v>1327</v>
      </c>
      <c r="G476" s="39" t="s">
        <v>1320</v>
      </c>
      <c r="H476" s="1">
        <v>2</v>
      </c>
      <c r="I476" s="1">
        <v>2</v>
      </c>
      <c r="J476" s="39" t="s">
        <v>978</v>
      </c>
      <c r="K476" s="1">
        <v>2</v>
      </c>
      <c r="L476" s="1">
        <v>2</v>
      </c>
      <c r="S476" s="1" t="str">
        <f>IF(tblDados[[#This Row],[Mandante]]="","",TEXT(tblDados[[#This Row],[Data]],"aaaa-mm-dd")&amp;"|"&amp;TRIM(tblDados[[#This Row],[Mandante]])&amp;"|"&amp;TRIM(tblDados[[#This Row],[Visitante]]))</f>
        <v>2026-04-11|Croydon|Adelaide Comets</v>
      </c>
      <c r="T476" s="1">
        <f>IF($G476="",0,IF(COUNTIF($S$2:$S476,$S476)=1,1,0))</f>
        <v>1</v>
      </c>
      <c r="U476" s="19" t="str" cm="1">
        <f t="array" ref="U4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6" s="19" t="str" cm="1">
        <f t="array" ref="V4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7" spans="1:22" ht="14.25" customHeight="1" x14ac:dyDescent="0.3">
      <c r="A477" s="1" t="s">
        <v>1328</v>
      </c>
      <c r="B477" s="5">
        <v>46129</v>
      </c>
      <c r="C477" s="6">
        <v>0.25</v>
      </c>
      <c r="D477" s="1" t="s">
        <v>7</v>
      </c>
      <c r="E477" s="1" t="s">
        <v>972</v>
      </c>
      <c r="F477" s="1" t="s">
        <v>1329</v>
      </c>
      <c r="G477" s="39" t="s">
        <v>1320</v>
      </c>
      <c r="H477" s="1">
        <v>4</v>
      </c>
      <c r="I477" s="1">
        <v>2</v>
      </c>
      <c r="J477" s="39" t="s">
        <v>1330</v>
      </c>
      <c r="K477" s="1">
        <v>2</v>
      </c>
      <c r="L477" s="1">
        <v>4</v>
      </c>
      <c r="S477" s="1" t="str">
        <f>IF(tblDados[[#This Row],[Mandante]]="","",TEXT(tblDados[[#This Row],[Data]],"aaaa-mm-dd")&amp;"|"&amp;TRIM(tblDados[[#This Row],[Mandante]])&amp;"|"&amp;TRIM(tblDados[[#This Row],[Visitante]]))</f>
        <v>2026-04-17|Croydon|West Torrens</v>
      </c>
      <c r="T477" s="1">
        <f>IF($G477="",0,IF(COUNTIF($S$2:$S477,$S477)=1,1,0))</f>
        <v>1</v>
      </c>
      <c r="U477" s="19" t="str" cm="1">
        <f t="array" ref="U4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7" s="19" t="str" cm="1">
        <f t="array" ref="V4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8" spans="1:22" ht="14.25" customHeight="1" x14ac:dyDescent="0.3">
      <c r="A478" s="1" t="s">
        <v>1331</v>
      </c>
      <c r="B478" s="5">
        <v>46151</v>
      </c>
      <c r="C478" s="6">
        <v>0.22916666666666666</v>
      </c>
      <c r="D478" s="1" t="s">
        <v>7</v>
      </c>
      <c r="E478" s="1" t="s">
        <v>972</v>
      </c>
      <c r="F478" s="1" t="s">
        <v>1332</v>
      </c>
      <c r="G478" s="39" t="s">
        <v>1320</v>
      </c>
      <c r="H478" s="1">
        <v>0</v>
      </c>
      <c r="I478" s="1">
        <v>2</v>
      </c>
      <c r="J478" s="39" t="s">
        <v>1333</v>
      </c>
      <c r="K478" s="1">
        <v>2</v>
      </c>
      <c r="L478" s="1">
        <v>0</v>
      </c>
      <c r="S478" s="1" t="str">
        <f>IF(tblDados[[#This Row],[Mandante]]="","",TEXT(tblDados[[#This Row],[Data]],"aaaa-mm-dd")&amp;"|"&amp;TRIM(tblDados[[#This Row],[Mandante]])&amp;"|"&amp;TRIM(tblDados[[#This Row],[Visitante]]))</f>
        <v>2026-05-09|Croydon|FK Beograd</v>
      </c>
      <c r="T478" s="1">
        <f>IF($G478="",0,IF(COUNTIF($S$2:$S478,$S478)=1,1,0))</f>
        <v>1</v>
      </c>
      <c r="U478" s="19" t="str" cm="1">
        <f t="array" ref="U4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8" s="19" t="str" cm="1">
        <f t="array" ref="V4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9" spans="1:22" ht="14.25" customHeight="1" x14ac:dyDescent="0.3">
      <c r="A479" s="1" t="s">
        <v>1334</v>
      </c>
      <c r="B479" s="5">
        <v>46165</v>
      </c>
      <c r="C479" s="6">
        <v>0.22916666666666666</v>
      </c>
      <c r="D479" s="1" t="s">
        <v>7</v>
      </c>
      <c r="E479" s="1" t="s">
        <v>972</v>
      </c>
      <c r="F479" s="1" t="s">
        <v>1335</v>
      </c>
      <c r="G479" s="39" t="s">
        <v>1320</v>
      </c>
      <c r="H479" s="1">
        <v>2</v>
      </c>
      <c r="I479" s="1">
        <v>3</v>
      </c>
      <c r="J479" s="39" t="s">
        <v>1336</v>
      </c>
      <c r="K479" s="1">
        <v>3</v>
      </c>
      <c r="L479" s="1">
        <v>2</v>
      </c>
      <c r="S479" s="1" t="str">
        <f>IF(tblDados[[#This Row],[Mandante]]="","",TEXT(tblDados[[#This Row],[Data]],"aaaa-mm-dd")&amp;"|"&amp;TRIM(tblDados[[#This Row],[Mandante]])&amp;"|"&amp;TRIM(tblDados[[#This Row],[Visitante]]))</f>
        <v>2026-05-23|Croydon|NE Metrostars</v>
      </c>
      <c r="T479" s="1">
        <f>IF($G479="",0,IF(COUNTIF($S$2:$S479,$S479)=1,1,0))</f>
        <v>1</v>
      </c>
      <c r="U479" s="19" t="str" cm="1">
        <f t="array" ref="U4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9" s="19" t="str" cm="1">
        <f t="array" ref="V4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0" spans="1:22" ht="14.25" customHeight="1" x14ac:dyDescent="0.3">
      <c r="A480" s="1" t="s">
        <v>1337</v>
      </c>
      <c r="B480" s="5">
        <v>46186</v>
      </c>
      <c r="C480" s="6">
        <v>0.22916666666666666</v>
      </c>
      <c r="D480" s="1" t="s">
        <v>7</v>
      </c>
      <c r="E480" s="1" t="s">
        <v>972</v>
      </c>
      <c r="F480" s="1" t="s">
        <v>1338</v>
      </c>
      <c r="G480" s="39" t="s">
        <v>1320</v>
      </c>
      <c r="H480" s="1">
        <v>4</v>
      </c>
      <c r="I480" s="1">
        <v>1</v>
      </c>
      <c r="J480" s="39" t="s">
        <v>1339</v>
      </c>
      <c r="K480" s="1">
        <v>1</v>
      </c>
      <c r="L480" s="1">
        <v>4</v>
      </c>
      <c r="S480" s="1" t="str">
        <f>IF(tblDados[[#This Row],[Mandante]]="","",TEXT(tblDados[[#This Row],[Data]],"aaaa-mm-dd")&amp;"|"&amp;TRIM(tblDados[[#This Row],[Mandante]])&amp;"|"&amp;TRIM(tblDados[[#This Row],[Visitante]]))</f>
        <v>2026-06-13|Croydon|Playford Patriots</v>
      </c>
      <c r="T480" s="1">
        <f>IF($G480="",0,IF(COUNTIF($S$2:$S480,$S480)=1,1,0))</f>
        <v>1</v>
      </c>
      <c r="U480" s="19" t="str" cm="1">
        <f t="array" ref="U4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0" s="19" t="str" cm="1">
        <f t="array" ref="V4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1" spans="1:22" x14ac:dyDescent="0.3">
      <c r="A481" s="1" t="s">
        <v>1340</v>
      </c>
      <c r="B481" s="5">
        <v>46199</v>
      </c>
      <c r="C481" s="6">
        <v>0.25</v>
      </c>
      <c r="D481" s="1" t="s">
        <v>7</v>
      </c>
      <c r="E481" s="1" t="s">
        <v>972</v>
      </c>
      <c r="F481" s="1" t="s">
        <v>1341</v>
      </c>
      <c r="G481" s="39" t="s">
        <v>1320</v>
      </c>
      <c r="H481" s="1">
        <v>3</v>
      </c>
      <c r="I481" s="1">
        <v>0</v>
      </c>
      <c r="J481" s="39" t="s">
        <v>1342</v>
      </c>
      <c r="K481" s="1">
        <v>0</v>
      </c>
      <c r="L481" s="1">
        <v>3</v>
      </c>
      <c r="S481" s="1" t="str">
        <f>IF(tblDados[[#This Row],[Mandante]]="","",TEXT(tblDados[[#This Row],[Data]],"aaaa-mm-dd")&amp;"|"&amp;TRIM(tblDados[[#This Row],[Mandante]])&amp;"|"&amp;TRIM(tblDados[[#This Row],[Visitante]]))</f>
        <v>2026-06-26|Croydon|Adelaide United U23</v>
      </c>
      <c r="T481" s="1">
        <f>IF($G481="",0,IF(COUNTIF($S$2:$S481,$S481)=1,1,0))</f>
        <v>1</v>
      </c>
      <c r="U481" s="19" t="str" cm="1">
        <f t="array" ref="U4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1" s="19" t="str" cm="1">
        <f t="array" ref="V4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2" spans="1:22" x14ac:dyDescent="0.3">
      <c r="A482" s="1" t="s">
        <v>1343</v>
      </c>
      <c r="B482" s="5">
        <v>46228</v>
      </c>
      <c r="C482" s="6">
        <v>0.22916666666666666</v>
      </c>
      <c r="D482" s="1" t="s">
        <v>7</v>
      </c>
      <c r="E482" s="1" t="s">
        <v>972</v>
      </c>
      <c r="F482" s="1" t="s">
        <v>1344</v>
      </c>
      <c r="G482" s="39" t="s">
        <v>1320</v>
      </c>
      <c r="H482" s="1">
        <v>2</v>
      </c>
      <c r="I482" s="1">
        <v>2</v>
      </c>
      <c r="J482" s="39" t="s">
        <v>1345</v>
      </c>
      <c r="K482" s="1">
        <v>2</v>
      </c>
      <c r="L482" s="1">
        <v>2</v>
      </c>
      <c r="S482" s="1" t="str">
        <f>IF(tblDados[[#This Row],[Mandante]]="","",TEXT(tblDados[[#This Row],[Data]],"aaaa-mm-dd")&amp;"|"&amp;TRIM(tblDados[[#This Row],[Mandante]])&amp;"|"&amp;TRIM(tblDados[[#This Row],[Visitante]]))</f>
        <v>2026-07-25|Croydon|Campbelltown City</v>
      </c>
      <c r="T482" s="1">
        <f>IF($G482="",0,IF(COUNTIF($S$2:$S482,$S482)=1,1,0))</f>
        <v>1</v>
      </c>
      <c r="U482" s="19" t="str" cm="1">
        <f t="array" ref="U4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2" s="19" t="str" cm="1">
        <f t="array" ref="V4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3" spans="1:22" ht="14.4" x14ac:dyDescent="0.3">
      <c r="A483" s="1" t="s">
        <v>1346</v>
      </c>
      <c r="B483" s="5">
        <v>46081</v>
      </c>
      <c r="C483" s="6">
        <v>0.25</v>
      </c>
      <c r="D483" s="1" t="s">
        <v>7</v>
      </c>
      <c r="E483" s="1" t="s">
        <v>972</v>
      </c>
      <c r="F483" s="1" t="s">
        <v>1347</v>
      </c>
      <c r="G483" s="39" t="s">
        <v>1333</v>
      </c>
      <c r="H483" s="1">
        <v>1</v>
      </c>
      <c r="I483" s="1">
        <v>3</v>
      </c>
      <c r="J483" s="39" t="s">
        <v>1348</v>
      </c>
      <c r="K483" s="1">
        <v>3</v>
      </c>
      <c r="L483" s="1">
        <v>1</v>
      </c>
      <c r="S483" s="1" t="str">
        <f>IF(tblDados[[#This Row],[Mandante]]="","",TEXT(tblDados[[#This Row],[Data]],"aaaa-mm-dd")&amp;"|"&amp;TRIM(tblDados[[#This Row],[Mandante]])&amp;"|"&amp;TRIM(tblDados[[#This Row],[Visitante]]))</f>
        <v>2026-02-28|FK Beograd|Sturt Lions</v>
      </c>
      <c r="T483">
        <f>IF($G483="",0,IF(COUNTIF($S$2:$S483,$S483)=1,1,0))</f>
        <v>1</v>
      </c>
      <c r="U483" s="19" t="str" cm="1">
        <f t="array" ref="U4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3" s="19" t="str" cm="1">
        <f t="array" ref="V4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4" spans="1:22" x14ac:dyDescent="0.3">
      <c r="A484" s="1" t="s">
        <v>1349</v>
      </c>
      <c r="B484" s="5">
        <v>46102</v>
      </c>
      <c r="C484" s="6">
        <v>0.22916666666666666</v>
      </c>
      <c r="D484" s="1" t="s">
        <v>7</v>
      </c>
      <c r="E484" s="1" t="s">
        <v>972</v>
      </c>
      <c r="F484" s="1" t="s">
        <v>1350</v>
      </c>
      <c r="G484" s="39" t="s">
        <v>1321</v>
      </c>
      <c r="H484" s="1">
        <v>0</v>
      </c>
      <c r="I484" s="1">
        <v>5</v>
      </c>
      <c r="J484" s="39" t="s">
        <v>1348</v>
      </c>
      <c r="K484" s="1">
        <v>5</v>
      </c>
      <c r="L484" s="1">
        <v>0</v>
      </c>
      <c r="S484" s="1" t="str">
        <f>IF(tblDados[[#This Row],[Mandante]]="","",TEXT(tblDados[[#This Row],[Data]],"aaaa-mm-dd")&amp;"|"&amp;TRIM(tblDados[[#This Row],[Mandante]])&amp;"|"&amp;TRIM(tblDados[[#This Row],[Visitante]]))</f>
        <v>2026-03-21|Para|Sturt Lions</v>
      </c>
      <c r="T484" s="1">
        <f>IF($G484="",0,IF(COUNTIF($S$2:$S484,$S484)=1,1,0))</f>
        <v>1</v>
      </c>
      <c r="U484" s="19" t="str" cm="1">
        <f t="array" ref="U4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4" s="19" t="str" cm="1">
        <f t="array" ref="V4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5" spans="1:22" x14ac:dyDescent="0.3">
      <c r="A485" s="1" t="s">
        <v>1351</v>
      </c>
      <c r="B485" s="5">
        <v>46123</v>
      </c>
      <c r="C485" s="6">
        <v>0.22916666666666666</v>
      </c>
      <c r="D485" s="1" t="s">
        <v>7</v>
      </c>
      <c r="E485" s="1" t="s">
        <v>972</v>
      </c>
      <c r="F485" s="1" t="s">
        <v>1352</v>
      </c>
      <c r="G485" s="39" t="s">
        <v>1339</v>
      </c>
      <c r="H485" s="1">
        <v>2</v>
      </c>
      <c r="I485" s="1">
        <v>1</v>
      </c>
      <c r="J485" s="39" t="s">
        <v>1348</v>
      </c>
      <c r="K485" s="1">
        <v>1</v>
      </c>
      <c r="L485" s="1">
        <v>2</v>
      </c>
      <c r="S485" s="1" t="str">
        <f>IF(tblDados[[#This Row],[Mandante]]="","",TEXT(tblDados[[#This Row],[Data]],"aaaa-mm-dd")&amp;"|"&amp;TRIM(tblDados[[#This Row],[Mandante]])&amp;"|"&amp;TRIM(tblDados[[#This Row],[Visitante]]))</f>
        <v>2026-04-11|Playford Patriots|Sturt Lions</v>
      </c>
      <c r="T485" s="1">
        <f>IF($G485="",0,IF(COUNTIF($S$2:$S485,$S485)=1,1,0))</f>
        <v>1</v>
      </c>
      <c r="U485" s="19" t="str" cm="1">
        <f t="array" ref="U4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5" s="19" t="str" cm="1">
        <f t="array" ref="V4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6" spans="1:22" x14ac:dyDescent="0.3">
      <c r="A486" s="1" t="s">
        <v>1353</v>
      </c>
      <c r="B486" s="5">
        <v>46150</v>
      </c>
      <c r="C486" s="6">
        <v>0.25</v>
      </c>
      <c r="D486" s="1" t="s">
        <v>7</v>
      </c>
      <c r="E486" s="1" t="s">
        <v>972</v>
      </c>
      <c r="F486" s="1" t="s">
        <v>1354</v>
      </c>
      <c r="G486" s="39" t="s">
        <v>978</v>
      </c>
      <c r="H486" s="1">
        <v>2</v>
      </c>
      <c r="I486" s="1">
        <v>1</v>
      </c>
      <c r="J486" s="39" t="s">
        <v>1348</v>
      </c>
      <c r="K486" s="1">
        <v>1</v>
      </c>
      <c r="L486" s="1">
        <v>2</v>
      </c>
      <c r="S486" s="1" t="str">
        <f>IF(tblDados[[#This Row],[Mandante]]="","",TEXT(tblDados[[#This Row],[Data]],"aaaa-mm-dd")&amp;"|"&amp;TRIM(tblDados[[#This Row],[Mandante]])&amp;"|"&amp;TRIM(tblDados[[#This Row],[Visitante]]))</f>
        <v>2026-05-08|Adelaide Comets|Sturt Lions</v>
      </c>
      <c r="T486" s="1">
        <f>IF($G486="",0,IF(COUNTIF($S$2:$S486,$S486)=1,1,0))</f>
        <v>1</v>
      </c>
      <c r="U486" s="19" t="str" cm="1">
        <f t="array" ref="U4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6" s="19" t="str" cm="1">
        <f t="array" ref="V4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7" spans="1:22" x14ac:dyDescent="0.3">
      <c r="A487" s="1" t="s">
        <v>1355</v>
      </c>
      <c r="B487" s="5">
        <v>46165</v>
      </c>
      <c r="C487" s="6">
        <v>0.22916666666666666</v>
      </c>
      <c r="D487" s="1" t="s">
        <v>7</v>
      </c>
      <c r="E487" s="1" t="s">
        <v>972</v>
      </c>
      <c r="F487" s="1" t="s">
        <v>1356</v>
      </c>
      <c r="G487" s="39" t="s">
        <v>1345</v>
      </c>
      <c r="H487" s="1">
        <v>2</v>
      </c>
      <c r="I487" s="1">
        <v>0</v>
      </c>
      <c r="J487" s="39" t="s">
        <v>1348</v>
      </c>
      <c r="K487" s="1">
        <v>0</v>
      </c>
      <c r="L487" s="1">
        <v>2</v>
      </c>
      <c r="S487" s="1" t="str">
        <f>IF(tblDados[[#This Row],[Mandante]]="","",TEXT(tblDados[[#This Row],[Data]],"aaaa-mm-dd")&amp;"|"&amp;TRIM(tblDados[[#This Row],[Mandante]])&amp;"|"&amp;TRIM(tblDados[[#This Row],[Visitante]]))</f>
        <v>2026-05-23|Campbelltown City|Sturt Lions</v>
      </c>
      <c r="T487" s="1">
        <f>IF($G487="",0,IF(COUNTIF($S$2:$S487,$S487)=1,1,0))</f>
        <v>1</v>
      </c>
      <c r="U487" s="19" t="str" cm="1">
        <f t="array" ref="U4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7" s="19" t="str" cm="1">
        <f t="array" ref="V4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8" spans="1:22" x14ac:dyDescent="0.3">
      <c r="A488" s="1" t="s">
        <v>1357</v>
      </c>
      <c r="B488" s="5">
        <v>46178</v>
      </c>
      <c r="C488" s="6">
        <v>0.25</v>
      </c>
      <c r="D488" s="1" t="s">
        <v>7</v>
      </c>
      <c r="E488" s="1" t="s">
        <v>972</v>
      </c>
      <c r="F488" s="1" t="s">
        <v>1358</v>
      </c>
      <c r="G488" s="39" t="s">
        <v>1324</v>
      </c>
      <c r="H488" s="1">
        <v>4</v>
      </c>
      <c r="I488" s="1">
        <v>1</v>
      </c>
      <c r="J488" s="39" t="s">
        <v>1348</v>
      </c>
      <c r="K488" s="1">
        <v>1</v>
      </c>
      <c r="L488" s="1">
        <v>4</v>
      </c>
      <c r="S488" s="1" t="str">
        <f>IF(tblDados[[#This Row],[Mandante]]="","",TEXT(tblDados[[#This Row],[Data]],"aaaa-mm-dd")&amp;"|"&amp;TRIM(tblDados[[#This Row],[Mandante]])&amp;"|"&amp;TRIM(tblDados[[#This Row],[Visitante]]))</f>
        <v>2026-06-05|Adelaide City|Sturt Lions</v>
      </c>
      <c r="T488" s="1">
        <f>IF($G488="",0,IF(COUNTIF($S$2:$S488,$S488)=1,1,0))</f>
        <v>1</v>
      </c>
      <c r="U488" s="19" t="str" cm="1">
        <f t="array" ref="U4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8" s="19" t="str" cm="1">
        <f t="array" ref="V4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9" spans="1:22" x14ac:dyDescent="0.3">
      <c r="A489" s="1" t="s">
        <v>1359</v>
      </c>
      <c r="B489" s="5">
        <v>46186</v>
      </c>
      <c r="C489" s="6">
        <v>0.22916666666666666</v>
      </c>
      <c r="D489" s="1" t="s">
        <v>7</v>
      </c>
      <c r="E489" s="1" t="s">
        <v>972</v>
      </c>
      <c r="F489" s="1" t="s">
        <v>1360</v>
      </c>
      <c r="G489" s="39" t="s">
        <v>1336</v>
      </c>
      <c r="H489" s="1">
        <v>1</v>
      </c>
      <c r="I489" s="1">
        <v>0</v>
      </c>
      <c r="J489" s="39" t="s">
        <v>1348</v>
      </c>
      <c r="K489" s="1">
        <v>0</v>
      </c>
      <c r="L489" s="1">
        <v>1</v>
      </c>
      <c r="S489" s="1" t="str">
        <f>IF(tblDados[[#This Row],[Mandante]]="","",TEXT(tblDados[[#This Row],[Data]],"aaaa-mm-dd")&amp;"|"&amp;TRIM(tblDados[[#This Row],[Mandante]])&amp;"|"&amp;TRIM(tblDados[[#This Row],[Visitante]]))</f>
        <v>2026-06-13|NE Metrostars|Sturt Lions</v>
      </c>
      <c r="T489" s="1">
        <f>IF($G489="",0,IF(COUNTIF($S$2:$S489,$S489)=1,1,0))</f>
        <v>1</v>
      </c>
      <c r="U489" s="19" t="str" cm="1">
        <f t="array" ref="U4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9" s="19" t="str" cm="1">
        <f t="array" ref="V4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0" spans="1:22" x14ac:dyDescent="0.3">
      <c r="A490" s="1" t="s">
        <v>1361</v>
      </c>
      <c r="B490" s="5">
        <v>46199</v>
      </c>
      <c r="C490" s="6">
        <v>0.25</v>
      </c>
      <c r="D490" s="1" t="s">
        <v>7</v>
      </c>
      <c r="E490" s="1" t="s">
        <v>972</v>
      </c>
      <c r="F490" s="1" t="s">
        <v>1362</v>
      </c>
      <c r="G490" s="39" t="s">
        <v>1330</v>
      </c>
      <c r="H490" s="1">
        <v>4</v>
      </c>
      <c r="I490" s="1">
        <v>1</v>
      </c>
      <c r="J490" s="39" t="s">
        <v>1348</v>
      </c>
      <c r="K490" s="1">
        <v>1</v>
      </c>
      <c r="L490" s="1">
        <v>4</v>
      </c>
      <c r="S490" s="1" t="str">
        <f>IF(tblDados[[#This Row],[Mandante]]="","",TEXT(tblDados[[#This Row],[Data]],"aaaa-mm-dd")&amp;"|"&amp;TRIM(tblDados[[#This Row],[Mandante]])&amp;"|"&amp;TRIM(tblDados[[#This Row],[Visitante]]))</f>
        <v>2026-06-26|West Torrens|Sturt Lions</v>
      </c>
      <c r="T490" s="1">
        <f>IF($G490="",0,IF(COUNTIF($S$2:$S490,$S490)=1,1,0))</f>
        <v>1</v>
      </c>
      <c r="U490" s="19" t="str" cm="1">
        <f t="array" ref="U4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0" s="19" t="str" cm="1">
        <f t="array" ref="V4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1" spans="1:22" x14ac:dyDescent="0.3">
      <c r="A491" s="1" t="s">
        <v>1363</v>
      </c>
      <c r="B491" s="5">
        <v>46221</v>
      </c>
      <c r="C491" s="6">
        <v>0.22916666666666666</v>
      </c>
      <c r="D491" s="1" t="s">
        <v>7</v>
      </c>
      <c r="E491" s="1" t="s">
        <v>972</v>
      </c>
      <c r="F491" s="1" t="s">
        <v>1582</v>
      </c>
      <c r="G491" s="39" t="s">
        <v>970</v>
      </c>
      <c r="H491" s="1">
        <v>0</v>
      </c>
      <c r="I491" s="1">
        <v>0</v>
      </c>
      <c r="J491" s="39" t="s">
        <v>1348</v>
      </c>
      <c r="K491" s="1">
        <v>0</v>
      </c>
      <c r="L491" s="1">
        <v>0</v>
      </c>
      <c r="S491" s="1" t="str">
        <f>IF(tblDados[[#This Row],[Mandante]]="","",TEXT(tblDados[[#This Row],[Data]],"aaaa-mm-dd")&amp;"|"&amp;TRIM(tblDados[[#This Row],[Mandante]])&amp;"|"&amp;TRIM(tblDados[[#This Row],[Visitante]]))</f>
        <v>2026-07-18|West Adelaide SC|Sturt Lions</v>
      </c>
      <c r="T491" s="1">
        <f>IF($G491="",0,IF(COUNTIF($S$2:$S491,$S491)=1,1,0))</f>
        <v>1</v>
      </c>
      <c r="U491" s="19" t="str" cm="1">
        <f t="array" ref="U4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1" s="19" t="str" cm="1">
        <f t="array" ref="V4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2" spans="1:22" x14ac:dyDescent="0.3">
      <c r="A492" s="1" t="s">
        <v>1364</v>
      </c>
      <c r="B492" s="5">
        <v>46228</v>
      </c>
      <c r="C492" s="6">
        <v>0.22916666666666666</v>
      </c>
      <c r="D492" s="1" t="s">
        <v>7</v>
      </c>
      <c r="E492" s="1" t="s">
        <v>972</v>
      </c>
      <c r="F492" s="1" t="s">
        <v>1365</v>
      </c>
      <c r="G492" s="39" t="s">
        <v>1342</v>
      </c>
      <c r="H492" s="1">
        <v>2</v>
      </c>
      <c r="I492" s="1">
        <v>3</v>
      </c>
      <c r="J492" s="39" t="s">
        <v>1348</v>
      </c>
      <c r="K492" s="1">
        <v>3</v>
      </c>
      <c r="L492" s="1">
        <v>2</v>
      </c>
      <c r="S492" s="1" t="str">
        <f>IF(tblDados[[#This Row],[Mandante]]="","",TEXT(tblDados[[#This Row],[Data]],"aaaa-mm-dd")&amp;"|"&amp;TRIM(tblDados[[#This Row],[Mandante]])&amp;"|"&amp;TRIM(tblDados[[#This Row],[Visitante]]))</f>
        <v>2026-07-25|Adelaide United U23|Sturt Lions</v>
      </c>
      <c r="T492" s="1">
        <f>IF($G492="",0,IF(COUNTIF($S$2:$S492,$S492)=1,1,0))</f>
        <v>1</v>
      </c>
      <c r="U492" s="19" t="str" cm="1">
        <f t="array" ref="U4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2" s="19" t="str" cm="1">
        <f t="array" ref="V4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3" spans="1:22" ht="14.4" x14ac:dyDescent="0.3">
      <c r="A493" s="1" t="s">
        <v>1424</v>
      </c>
      <c r="B493" s="5">
        <v>46080</v>
      </c>
      <c r="C493" s="6">
        <v>0.33333333333333331</v>
      </c>
      <c r="D493" s="1" t="s">
        <v>7</v>
      </c>
      <c r="E493" s="1" t="s">
        <v>1425</v>
      </c>
      <c r="F493" s="1" t="s">
        <v>1451</v>
      </c>
      <c r="G493" s="1" t="s">
        <v>1422</v>
      </c>
      <c r="H493" s="15">
        <v>7</v>
      </c>
      <c r="I493" s="15">
        <v>0</v>
      </c>
      <c r="J493" s="1" t="s">
        <v>1426</v>
      </c>
      <c r="K493" s="1">
        <v>0</v>
      </c>
      <c r="L493" s="1">
        <v>7</v>
      </c>
      <c r="S493" s="1" t="str">
        <f>IF(tblDados[[#This Row],[Mandante]]="","",TEXT(tblDados[[#This Row],[Data]],"aaaa-mm-dd")&amp;"|"&amp;TRIM(tblDados[[#This Row],[Mandante]])&amp;"|"&amp;TRIM(tblDados[[#This Row],[Visitante]]))</f>
        <v>2026-02-27|Bayswater City|Balcatta</v>
      </c>
      <c r="T493">
        <f>IF($G493="",0,IF(COUNTIF($S$2:$S493,$S493)=1,1,0))</f>
        <v>1</v>
      </c>
      <c r="U493" s="19" t="str" cm="1">
        <f t="array" ref="U4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3" s="19" t="str" cm="1">
        <f t="array" ref="V4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4" spans="1:22" x14ac:dyDescent="0.3">
      <c r="A494" s="1" t="s">
        <v>1427</v>
      </c>
      <c r="B494" s="5">
        <v>46087</v>
      </c>
      <c r="C494" s="6">
        <v>0.33333333333333331</v>
      </c>
      <c r="D494" s="1" t="s">
        <v>7</v>
      </c>
      <c r="E494" s="1" t="s">
        <v>1425</v>
      </c>
      <c r="F494" s="1" t="s">
        <v>1452</v>
      </c>
      <c r="G494" s="1" t="s">
        <v>1422</v>
      </c>
      <c r="H494" s="15">
        <v>2</v>
      </c>
      <c r="I494" s="15">
        <v>0</v>
      </c>
      <c r="J494" s="1" t="s">
        <v>1428</v>
      </c>
      <c r="K494" s="1">
        <v>0</v>
      </c>
      <c r="L494" s="1">
        <v>2</v>
      </c>
      <c r="S494" s="1" t="str">
        <f>IF(tblDados[[#This Row],[Mandante]]="","",TEXT(tblDados[[#This Row],[Data]],"aaaa-mm-dd")&amp;"|"&amp;TRIM(tblDados[[#This Row],[Mandante]])&amp;"|"&amp;TRIM(tblDados[[#This Row],[Visitante]]))</f>
        <v>2026-03-06|Bayswater City|Armadale</v>
      </c>
      <c r="T494" s="1">
        <f>IF($G494="",0,IF(COUNTIF($S$2:$S494,$S494)=1,1,0))</f>
        <v>1</v>
      </c>
      <c r="U494" s="19" t="str" cm="1">
        <f t="array" ref="U4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4" s="19" t="str" cm="1">
        <f t="array" ref="V4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5" spans="1:22" x14ac:dyDescent="0.3">
      <c r="A495" s="1" t="s">
        <v>1429</v>
      </c>
      <c r="B495" s="5">
        <v>46101</v>
      </c>
      <c r="C495" s="6">
        <v>0.33333333333333331</v>
      </c>
      <c r="D495" s="1" t="s">
        <v>7</v>
      </c>
      <c r="E495" s="1" t="s">
        <v>1425</v>
      </c>
      <c r="F495" s="1" t="s">
        <v>1453</v>
      </c>
      <c r="G495" s="1" t="s">
        <v>1422</v>
      </c>
      <c r="H495" s="15">
        <v>0</v>
      </c>
      <c r="I495" s="15">
        <v>0</v>
      </c>
      <c r="J495" s="1" t="s">
        <v>200</v>
      </c>
      <c r="K495" s="1">
        <v>0</v>
      </c>
      <c r="L495" s="1">
        <v>0</v>
      </c>
      <c r="S495" s="1" t="str">
        <f>IF(tblDados[[#This Row],[Mandante]]="","",TEXT(tblDados[[#This Row],[Data]],"aaaa-mm-dd")&amp;"|"&amp;TRIM(tblDados[[#This Row],[Mandante]])&amp;"|"&amp;TRIM(tblDados[[#This Row],[Visitante]]))</f>
        <v>2026-03-20|Bayswater City|Western Knights</v>
      </c>
      <c r="T495" s="1">
        <f>IF($G495="",0,IF(COUNTIF($S$2:$S495,$S495)=1,1,0))</f>
        <v>1</v>
      </c>
      <c r="U495" s="19" t="str" cm="1">
        <f t="array" ref="U4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5" s="19" t="str" cm="1">
        <f t="array" ref="V4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6" spans="1:22" x14ac:dyDescent="0.3">
      <c r="A496" s="1" t="s">
        <v>1430</v>
      </c>
      <c r="B496" s="5">
        <v>46114</v>
      </c>
      <c r="C496" s="6">
        <v>0.33333333333333331</v>
      </c>
      <c r="D496" s="1" t="s">
        <v>7</v>
      </c>
      <c r="E496" s="1" t="s">
        <v>1425</v>
      </c>
      <c r="F496" s="1" t="s">
        <v>1454</v>
      </c>
      <c r="G496" s="1" t="s">
        <v>1422</v>
      </c>
      <c r="H496" s="15">
        <v>3</v>
      </c>
      <c r="I496" s="15">
        <v>3</v>
      </c>
      <c r="J496" s="1" t="s">
        <v>1431</v>
      </c>
      <c r="K496" s="1">
        <v>3</v>
      </c>
      <c r="L496" s="1">
        <v>3</v>
      </c>
      <c r="S496" s="1" t="str">
        <f>IF(tblDados[[#This Row],[Mandante]]="","",TEXT(tblDados[[#This Row],[Data]],"aaaa-mm-dd")&amp;"|"&amp;TRIM(tblDados[[#This Row],[Mandante]])&amp;"|"&amp;TRIM(tblDados[[#This Row],[Visitante]]))</f>
        <v>2026-04-02|Bayswater City|Fremantle City</v>
      </c>
      <c r="T496" s="1">
        <f>IF($G496="",0,IF(COUNTIF($S$2:$S496,$S496)=1,1,0))</f>
        <v>1</v>
      </c>
      <c r="U496" s="19" t="str" cm="1">
        <f t="array" ref="U4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6" s="19" t="str" cm="1">
        <f t="array" ref="V4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7" spans="1:22" x14ac:dyDescent="0.3">
      <c r="A497" s="1" t="s">
        <v>1432</v>
      </c>
      <c r="B497" s="5">
        <v>46136</v>
      </c>
      <c r="C497" s="6">
        <v>0.33333333333333331</v>
      </c>
      <c r="D497" s="1" t="s">
        <v>7</v>
      </c>
      <c r="E497" s="1" t="s">
        <v>1425</v>
      </c>
      <c r="F497" s="1" t="s">
        <v>1455</v>
      </c>
      <c r="G497" s="1" t="s">
        <v>1422</v>
      </c>
      <c r="H497" s="15">
        <v>3</v>
      </c>
      <c r="I497" s="15">
        <v>2</v>
      </c>
      <c r="J497" s="1" t="s">
        <v>1433</v>
      </c>
      <c r="K497" s="1">
        <v>2</v>
      </c>
      <c r="L497" s="1">
        <v>3</v>
      </c>
      <c r="S497" s="1" t="str">
        <f>IF(tblDados[[#This Row],[Mandante]]="","",TEXT(tblDados[[#This Row],[Data]],"aaaa-mm-dd")&amp;"|"&amp;TRIM(tblDados[[#This Row],[Mandante]])&amp;"|"&amp;TRIM(tblDados[[#This Row],[Visitante]]))</f>
        <v>2026-04-24|Bayswater City|Perth Azzurri</v>
      </c>
      <c r="T497" s="1">
        <f>IF($G497="",0,IF(COUNTIF($S$2:$S497,$S497)=1,1,0))</f>
        <v>1</v>
      </c>
      <c r="U497" s="19" t="str" cm="1">
        <f t="array" ref="U4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7" s="19" t="str" cm="1">
        <f t="array" ref="V4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8" spans="1:22" x14ac:dyDescent="0.3">
      <c r="A498" s="1" t="s">
        <v>1434</v>
      </c>
      <c r="B498" s="5">
        <v>46150</v>
      </c>
      <c r="C498" s="6">
        <v>0.33333333333333331</v>
      </c>
      <c r="D498" s="1" t="s">
        <v>7</v>
      </c>
      <c r="E498" s="1" t="s">
        <v>1425</v>
      </c>
      <c r="F498" s="1" t="s">
        <v>1456</v>
      </c>
      <c r="G498" s="1" t="s">
        <v>1422</v>
      </c>
      <c r="H498" s="15">
        <v>3</v>
      </c>
      <c r="I498" s="15">
        <v>2</v>
      </c>
      <c r="J498" s="1" t="s">
        <v>1435</v>
      </c>
      <c r="K498" s="1">
        <v>2</v>
      </c>
      <c r="L498" s="1">
        <v>3</v>
      </c>
      <c r="S498" s="1" t="str">
        <f>IF(tblDados[[#This Row],[Mandante]]="","",TEXT(tblDados[[#This Row],[Data]],"aaaa-mm-dd")&amp;"|"&amp;TRIM(tblDados[[#This Row],[Mandante]])&amp;"|"&amp;TRIM(tblDados[[#This Row],[Visitante]]))</f>
        <v>2026-05-08|Bayswater City|Olympic Kingsway</v>
      </c>
      <c r="T498" s="1">
        <f>IF($G498="",0,IF(COUNTIF($S$2:$S498,$S498)=1,1,0))</f>
        <v>1</v>
      </c>
      <c r="U498" s="19" t="str" cm="1">
        <f t="array" ref="U4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8" s="19" t="str" cm="1">
        <f t="array" ref="V4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9" spans="1:22" x14ac:dyDescent="0.3">
      <c r="A499" s="1" t="s">
        <v>1436</v>
      </c>
      <c r="B499" s="5">
        <v>46178</v>
      </c>
      <c r="C499" s="6">
        <v>0.33333333333333331</v>
      </c>
      <c r="D499" s="1" t="s">
        <v>7</v>
      </c>
      <c r="E499" s="1" t="s">
        <v>1425</v>
      </c>
      <c r="F499" s="1" t="s">
        <v>1457</v>
      </c>
      <c r="G499" s="1" t="s">
        <v>1422</v>
      </c>
      <c r="H499" s="15">
        <v>4</v>
      </c>
      <c r="I499" s="15">
        <v>3</v>
      </c>
      <c r="J499" s="1" t="s">
        <v>1437</v>
      </c>
      <c r="K499" s="1">
        <v>3</v>
      </c>
      <c r="L499" s="1">
        <v>4</v>
      </c>
      <c r="S499" s="1" t="str">
        <f>IF(tblDados[[#This Row],[Mandante]]="","",TEXT(tblDados[[#This Row],[Data]],"aaaa-mm-dd")&amp;"|"&amp;TRIM(tblDados[[#This Row],[Mandante]])&amp;"|"&amp;TRIM(tblDados[[#This Row],[Visitante]]))</f>
        <v>2026-06-05|Bayswater City|Dianella White Eagle</v>
      </c>
      <c r="T499" s="1">
        <f>IF($G499="",0,IF(COUNTIF($S$2:$S499,$S499)=1,1,0))</f>
        <v>1</v>
      </c>
      <c r="U499" s="19" t="str" cm="1">
        <f t="array" ref="U4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9" s="19" t="str" cm="1">
        <f t="array" ref="V4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0" spans="1:22" x14ac:dyDescent="0.3">
      <c r="A500" s="1" t="s">
        <v>1438</v>
      </c>
      <c r="B500" s="5">
        <v>46199</v>
      </c>
      <c r="C500" s="6">
        <v>0.33333333333333331</v>
      </c>
      <c r="D500" s="1" t="s">
        <v>7</v>
      </c>
      <c r="E500" s="1" t="s">
        <v>1425</v>
      </c>
      <c r="F500" s="1" t="s">
        <v>1458</v>
      </c>
      <c r="G500" s="1" t="s">
        <v>1422</v>
      </c>
      <c r="H500" s="15">
        <v>3</v>
      </c>
      <c r="I500" s="15">
        <v>0</v>
      </c>
      <c r="J500" s="1" t="s">
        <v>1439</v>
      </c>
      <c r="K500" s="1">
        <v>0</v>
      </c>
      <c r="L500" s="1">
        <v>3</v>
      </c>
      <c r="S500" s="1" t="str">
        <f>IF(tblDados[[#This Row],[Mandante]]="","",TEXT(tblDados[[#This Row],[Data]],"aaaa-mm-dd")&amp;"|"&amp;TRIM(tblDados[[#This Row],[Mandante]])&amp;"|"&amp;TRIM(tblDados[[#This Row],[Visitante]]))</f>
        <v>2026-06-26|Bayswater City|Perth RedStar</v>
      </c>
      <c r="T500" s="1">
        <f>IF($G500="",0,IF(COUNTIF($S$2:$S500,$S500)=1,1,0))</f>
        <v>1</v>
      </c>
      <c r="U500" s="19" t="str" cm="1">
        <f t="array" ref="U5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0" s="19" t="str" cm="1">
        <f t="array" ref="V5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1" spans="1:22" ht="14.4" x14ac:dyDescent="0.3">
      <c r="A501" s="1" t="s">
        <v>1440</v>
      </c>
      <c r="B501" s="5">
        <v>46102</v>
      </c>
      <c r="C501" s="6">
        <v>0.16666666666666666</v>
      </c>
      <c r="D501" s="1" t="s">
        <v>7</v>
      </c>
      <c r="E501" s="1" t="s">
        <v>1425</v>
      </c>
      <c r="F501" s="1" t="s">
        <v>1459</v>
      </c>
      <c r="G501" s="1" t="s">
        <v>1428</v>
      </c>
      <c r="H501" s="15">
        <v>1</v>
      </c>
      <c r="I501" s="15">
        <v>1</v>
      </c>
      <c r="J501" s="1" t="s">
        <v>1423</v>
      </c>
      <c r="K501" s="1">
        <v>1</v>
      </c>
      <c r="L501" s="1">
        <v>1</v>
      </c>
      <c r="S501" s="1" t="str">
        <f>IF(tblDados[[#This Row],[Mandante]]="","",TEXT(tblDados[[#This Row],[Data]],"aaaa-mm-dd")&amp;"|"&amp;TRIM(tblDados[[#This Row],[Mandante]])&amp;"|"&amp;TRIM(tblDados[[#This Row],[Visitante]]))</f>
        <v>2026-03-21|Armadale|Sorrento FC</v>
      </c>
      <c r="T501">
        <f>IF($G501="",0,IF(COUNTIF($S$2:$S501,$S501)=1,1,0))</f>
        <v>1</v>
      </c>
      <c r="U501" s="19" t="str" cm="1">
        <f t="array" ref="U5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1" s="19" t="str" cm="1">
        <f t="array" ref="V5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2" spans="1:22" x14ac:dyDescent="0.3">
      <c r="A502" s="1" t="s">
        <v>1441</v>
      </c>
      <c r="B502" s="5">
        <v>46130</v>
      </c>
      <c r="C502" s="6">
        <v>0.16666666666666666</v>
      </c>
      <c r="D502" s="1" t="s">
        <v>7</v>
      </c>
      <c r="E502" s="1" t="s">
        <v>1425</v>
      </c>
      <c r="F502" s="1" t="s">
        <v>1460</v>
      </c>
      <c r="G502" s="1" t="s">
        <v>1442</v>
      </c>
      <c r="H502" s="15">
        <v>0</v>
      </c>
      <c r="I502" s="15">
        <v>1</v>
      </c>
      <c r="J502" s="1" t="s">
        <v>1423</v>
      </c>
      <c r="K502" s="1">
        <v>1</v>
      </c>
      <c r="L502" s="1">
        <v>0</v>
      </c>
      <c r="S502" s="1" t="str">
        <f>IF(tblDados[[#This Row],[Mandante]]="","",TEXT(tblDados[[#This Row],[Data]],"aaaa-mm-dd")&amp;"|"&amp;TRIM(tblDados[[#This Row],[Mandante]])&amp;"|"&amp;TRIM(tblDados[[#This Row],[Visitante]]))</f>
        <v>2026-04-18|Perth Glory U23|Sorrento FC</v>
      </c>
      <c r="T502" s="1">
        <f>IF($G502="",0,IF(COUNTIF($S$2:$S502,$S502)=1,1,0))</f>
        <v>1</v>
      </c>
      <c r="U502" s="19" t="str" cm="1">
        <f t="array" ref="U5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2" s="19" t="str" cm="1">
        <f t="array" ref="V5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3" spans="1:22" x14ac:dyDescent="0.3">
      <c r="A503" s="1" t="s">
        <v>1443</v>
      </c>
      <c r="B503" s="5">
        <v>46137</v>
      </c>
      <c r="C503" s="6">
        <v>0.16666666666666666</v>
      </c>
      <c r="D503" s="1" t="s">
        <v>7</v>
      </c>
      <c r="E503" s="1" t="s">
        <v>1425</v>
      </c>
      <c r="F503" s="1" t="s">
        <v>1461</v>
      </c>
      <c r="G503" s="1" t="s">
        <v>1431</v>
      </c>
      <c r="H503" s="15">
        <v>0</v>
      </c>
      <c r="I503" s="15">
        <v>1</v>
      </c>
      <c r="J503" s="1" t="s">
        <v>1423</v>
      </c>
      <c r="K503" s="1">
        <v>1</v>
      </c>
      <c r="L503" s="1">
        <v>0</v>
      </c>
      <c r="S503" s="1" t="str">
        <f>IF(tblDados[[#This Row],[Mandante]]="","",TEXT(tblDados[[#This Row],[Data]],"aaaa-mm-dd")&amp;"|"&amp;TRIM(tblDados[[#This Row],[Mandante]])&amp;"|"&amp;TRIM(tblDados[[#This Row],[Visitante]]))</f>
        <v>2026-04-25|Fremantle City|Sorrento FC</v>
      </c>
      <c r="T503" s="1">
        <f>IF($G503="",0,IF(COUNTIF($S$2:$S503,$S503)=1,1,0))</f>
        <v>1</v>
      </c>
      <c r="U503" s="19" t="str" cm="1">
        <f t="array" ref="U5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3" s="19" t="str" cm="1">
        <f t="array" ref="V5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4" spans="1:22" x14ac:dyDescent="0.3">
      <c r="A504" s="1" t="s">
        <v>1444</v>
      </c>
      <c r="B504" s="5">
        <v>46150</v>
      </c>
      <c r="C504" s="6">
        <v>0.3125</v>
      </c>
      <c r="D504" s="1" t="s">
        <v>7</v>
      </c>
      <c r="E504" s="1" t="s">
        <v>1425</v>
      </c>
      <c r="F504" s="1" t="s">
        <v>1462</v>
      </c>
      <c r="G504" s="1" t="s">
        <v>1439</v>
      </c>
      <c r="H504" s="15">
        <v>4</v>
      </c>
      <c r="I504" s="15">
        <v>1</v>
      </c>
      <c r="J504" s="1" t="s">
        <v>1423</v>
      </c>
      <c r="K504" s="1">
        <v>1</v>
      </c>
      <c r="L504" s="1">
        <v>4</v>
      </c>
      <c r="S504" s="1" t="str">
        <f>IF(tblDados[[#This Row],[Mandante]]="","",TEXT(tblDados[[#This Row],[Data]],"aaaa-mm-dd")&amp;"|"&amp;TRIM(tblDados[[#This Row],[Mandante]])&amp;"|"&amp;TRIM(tblDados[[#This Row],[Visitante]]))</f>
        <v>2026-05-08|Perth RedStar|Sorrento FC</v>
      </c>
      <c r="T504" s="1">
        <f>IF($G504="",0,IF(COUNTIF($S$2:$S504,$S504)=1,1,0))</f>
        <v>1</v>
      </c>
      <c r="U504" s="19" t="str" cm="1">
        <f t="array" ref="U5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4" s="19" t="str" cm="1">
        <f t="array" ref="V5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5" spans="1:22" x14ac:dyDescent="0.3">
      <c r="A505" s="1" t="s">
        <v>1445</v>
      </c>
      <c r="B505" s="5">
        <v>46179</v>
      </c>
      <c r="C505" s="6">
        <v>0.16666666666666666</v>
      </c>
      <c r="D505" s="1" t="s">
        <v>7</v>
      </c>
      <c r="E505" s="1" t="s">
        <v>1425</v>
      </c>
      <c r="F505" s="1" t="s">
        <v>1463</v>
      </c>
      <c r="G505" s="1" t="s">
        <v>1426</v>
      </c>
      <c r="H505" s="15">
        <v>0</v>
      </c>
      <c r="I505" s="15">
        <v>3</v>
      </c>
      <c r="J505" s="1" t="s">
        <v>1423</v>
      </c>
      <c r="K505" s="1">
        <v>3</v>
      </c>
      <c r="L505" s="1">
        <v>0</v>
      </c>
      <c r="S505" s="1" t="str">
        <f>IF(tblDados[[#This Row],[Mandante]]="","",TEXT(tblDados[[#This Row],[Data]],"aaaa-mm-dd")&amp;"|"&amp;TRIM(tblDados[[#This Row],[Mandante]])&amp;"|"&amp;TRIM(tblDados[[#This Row],[Visitante]]))</f>
        <v>2026-06-06|Balcatta|Sorrento FC</v>
      </c>
      <c r="T505" s="1">
        <f>IF($G505="",0,IF(COUNTIF($S$2:$S505,$S505)=1,1,0))</f>
        <v>1</v>
      </c>
      <c r="U505" s="19" t="str" cm="1">
        <f t="array" ref="U5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5" s="19" t="str" cm="1">
        <f t="array" ref="V5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6" spans="1:22" x14ac:dyDescent="0.3">
      <c r="A506" s="1" t="s">
        <v>1446</v>
      </c>
      <c r="B506" s="5">
        <v>46186</v>
      </c>
      <c r="C506" s="6">
        <v>0.16666666666666666</v>
      </c>
      <c r="D506" s="1" t="s">
        <v>7</v>
      </c>
      <c r="E506" s="1" t="s">
        <v>1425</v>
      </c>
      <c r="F506" s="1" t="s">
        <v>1464</v>
      </c>
      <c r="G506" s="1" t="s">
        <v>1447</v>
      </c>
      <c r="H506" s="15">
        <v>0</v>
      </c>
      <c r="I506" s="15">
        <v>1</v>
      </c>
      <c r="J506" s="1" t="s">
        <v>1423</v>
      </c>
      <c r="K506" s="1">
        <v>1</v>
      </c>
      <c r="L506" s="1">
        <v>0</v>
      </c>
      <c r="S506" s="1" t="str">
        <f>IF(tblDados[[#This Row],[Mandante]]="","",TEXT(tblDados[[#This Row],[Data]],"aaaa-mm-dd")&amp;"|"&amp;TRIM(tblDados[[#This Row],[Mandante]])&amp;"|"&amp;TRIM(tblDados[[#This Row],[Visitante]]))</f>
        <v>2026-06-13|Stirling Macedonia|Sorrento FC</v>
      </c>
      <c r="T506" s="1">
        <f>IF($G506="",0,IF(COUNTIF($S$2:$S506,$S506)=1,1,0))</f>
        <v>1</v>
      </c>
      <c r="U506" s="19" t="str" cm="1">
        <f t="array" ref="U5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6" s="19" t="str" cm="1">
        <f t="array" ref="V5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7" spans="1:22" x14ac:dyDescent="0.3">
      <c r="A507" s="1" t="s">
        <v>1448</v>
      </c>
      <c r="B507" s="5">
        <v>46200</v>
      </c>
      <c r="C507" s="6">
        <v>0.16666666666666666</v>
      </c>
      <c r="D507" s="1" t="s">
        <v>7</v>
      </c>
      <c r="E507" s="1" t="s">
        <v>1425</v>
      </c>
      <c r="F507" s="1" t="s">
        <v>1465</v>
      </c>
      <c r="G507" s="1" t="s">
        <v>1437</v>
      </c>
      <c r="H507" s="15">
        <v>2</v>
      </c>
      <c r="I507" s="15">
        <v>1</v>
      </c>
      <c r="J507" s="1" t="s">
        <v>1423</v>
      </c>
      <c r="K507" s="1">
        <v>1</v>
      </c>
      <c r="L507" s="1">
        <v>2</v>
      </c>
      <c r="S507" s="1" t="str">
        <f>IF(tblDados[[#This Row],[Mandante]]="","",TEXT(tblDados[[#This Row],[Data]],"aaaa-mm-dd")&amp;"|"&amp;TRIM(tblDados[[#This Row],[Mandante]])&amp;"|"&amp;TRIM(tblDados[[#This Row],[Visitante]]))</f>
        <v>2026-06-27|Dianella White Eagle|Sorrento FC</v>
      </c>
      <c r="T507" s="1">
        <f>IF($G507="",0,IF(COUNTIF($S$2:$S507,$S507)=1,1,0))</f>
        <v>1</v>
      </c>
      <c r="U507" s="19" t="str" cm="1">
        <f t="array" ref="U5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7" s="19" t="str" cm="1">
        <f t="array" ref="V5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8" spans="1:22" x14ac:dyDescent="0.3">
      <c r="A508" s="1" t="s">
        <v>1449</v>
      </c>
      <c r="B508" s="5">
        <v>46207</v>
      </c>
      <c r="C508" s="6">
        <v>0.16666666666666666</v>
      </c>
      <c r="D508" s="1" t="s">
        <v>7</v>
      </c>
      <c r="E508" s="1" t="s">
        <v>1425</v>
      </c>
      <c r="F508" s="1" t="s">
        <v>1466</v>
      </c>
      <c r="G508" s="39" t="s">
        <v>200</v>
      </c>
      <c r="H508" s="1">
        <v>2</v>
      </c>
      <c r="I508" s="1">
        <v>0</v>
      </c>
      <c r="J508" s="39" t="s">
        <v>1423</v>
      </c>
      <c r="K508" s="1">
        <v>0</v>
      </c>
      <c r="L508" s="1">
        <v>2</v>
      </c>
      <c r="S508" s="1" t="str">
        <f>IF(tblDados[[#This Row],[Mandante]]="","",TEXT(tblDados[[#This Row],[Data]],"aaaa-mm-dd")&amp;"|"&amp;TRIM(tblDados[[#This Row],[Mandante]])&amp;"|"&amp;TRIM(tblDados[[#This Row],[Visitante]]))</f>
        <v>2026-07-04|Western Knights|Sorrento FC</v>
      </c>
      <c r="T508" s="1">
        <f>IF($G508="",0,IF(COUNTIF($S$2:$S508,$S508)=1,1,0))</f>
        <v>1</v>
      </c>
      <c r="U508" s="19" t="str" cm="1">
        <f t="array" ref="U5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8" s="19" t="str" cm="1">
        <f t="array" ref="V5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9" spans="1:22" ht="14.4" x14ac:dyDescent="0.3">
      <c r="A509" s="1" t="s">
        <v>1495</v>
      </c>
      <c r="B509" s="5">
        <v>46130</v>
      </c>
      <c r="C509" s="6">
        <v>0.41666666666666669</v>
      </c>
      <c r="D509" s="1" t="s">
        <v>18</v>
      </c>
      <c r="E509" s="1" t="s">
        <v>433</v>
      </c>
      <c r="F509" s="1" t="s">
        <v>1506</v>
      </c>
      <c r="G509" s="39" t="s">
        <v>435</v>
      </c>
      <c r="H509" s="1">
        <v>1</v>
      </c>
      <c r="I509" s="1">
        <v>1</v>
      </c>
      <c r="J509" s="39" t="s">
        <v>1502</v>
      </c>
      <c r="K509" s="1">
        <v>1</v>
      </c>
      <c r="L509" s="1">
        <v>1</v>
      </c>
      <c r="S509" s="1" t="str">
        <f>IF(tblDados[[#This Row],[Mandante]]="","",TEXT(tblDados[[#This Row],[Data]],"aaaa-mm-dd")&amp;"|"&amp;TRIM(tblDados[[#This Row],[Mandante]])&amp;"|"&amp;TRIM(tblDados[[#This Row],[Visitante]]))</f>
        <v>2026-04-18|Honka|AIFK</v>
      </c>
      <c r="T509">
        <f>IF($G509="",0,IF(COUNTIF($S$2:$S509,$S509)=1,1,0))</f>
        <v>1</v>
      </c>
      <c r="U509" s="19" t="str" cm="1">
        <f t="array" ref="U5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9" s="19" t="str" cm="1">
        <f t="array" ref="V5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0" spans="1:22" x14ac:dyDescent="0.3">
      <c r="A510" s="1" t="s">
        <v>1496</v>
      </c>
      <c r="B510" s="5">
        <v>46147</v>
      </c>
      <c r="C510" s="6">
        <v>0.52083333333333337</v>
      </c>
      <c r="D510" s="1" t="s">
        <v>18</v>
      </c>
      <c r="E510" s="1" t="s">
        <v>433</v>
      </c>
      <c r="F510" s="1" t="s">
        <v>1507</v>
      </c>
      <c r="G510" s="39" t="s">
        <v>436</v>
      </c>
      <c r="H510" s="1">
        <v>1</v>
      </c>
      <c r="I510" s="1">
        <v>2</v>
      </c>
      <c r="J510" s="39" t="s">
        <v>1502</v>
      </c>
      <c r="K510" s="1">
        <v>2</v>
      </c>
      <c r="L510" s="1">
        <v>1</v>
      </c>
      <c r="S510" s="1" t="str">
        <f>IF(tblDados[[#This Row],[Mandante]]="","",TEXT(tblDados[[#This Row],[Data]],"aaaa-mm-dd")&amp;"|"&amp;TRIM(tblDados[[#This Row],[Mandante]])&amp;"|"&amp;TRIM(tblDados[[#This Row],[Visitante]]))</f>
        <v>2026-05-05|Ilves 2|AIFK</v>
      </c>
      <c r="T510" s="1">
        <f>IF($G510="",0,IF(COUNTIF($S$2:$S510,$S510)=1,1,0))</f>
        <v>1</v>
      </c>
      <c r="U510" s="19" t="str" cm="1">
        <f t="array" ref="U5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0" s="19" t="str" cm="1">
        <f t="array" ref="V5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1" spans="1:22" x14ac:dyDescent="0.3">
      <c r="A511" s="1" t="s">
        <v>1497</v>
      </c>
      <c r="B511" s="5">
        <v>46165</v>
      </c>
      <c r="C511" s="6">
        <v>0.41666666666666669</v>
      </c>
      <c r="D511" s="1" t="s">
        <v>18</v>
      </c>
      <c r="E511" s="1" t="s">
        <v>433</v>
      </c>
      <c r="F511" s="1" t="s">
        <v>1508</v>
      </c>
      <c r="G511" s="39" t="s">
        <v>445</v>
      </c>
      <c r="H511" s="1">
        <v>1</v>
      </c>
      <c r="I511" s="1">
        <v>1</v>
      </c>
      <c r="J511" s="39" t="s">
        <v>1502</v>
      </c>
      <c r="K511" s="1">
        <v>1</v>
      </c>
      <c r="L511" s="1">
        <v>1</v>
      </c>
      <c r="S511" s="1" t="str">
        <f>IF(tblDados[[#This Row],[Mandante]]="","",TEXT(tblDados[[#This Row],[Data]],"aaaa-mm-dd")&amp;"|"&amp;TRIM(tblDados[[#This Row],[Mandante]])&amp;"|"&amp;TRIM(tblDados[[#This Row],[Visitante]]))</f>
        <v>2026-05-23|HJS|AIFK</v>
      </c>
      <c r="T511" s="1">
        <f>IF($G511="",0,IF(COUNTIF($S$2:$S511,$S511)=1,1,0))</f>
        <v>1</v>
      </c>
      <c r="U511" s="19" t="str" cm="1">
        <f t="array" ref="U5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1" s="19" t="str" cm="1">
        <f t="array" ref="V5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2" spans="1:22" x14ac:dyDescent="0.3">
      <c r="A512" s="1" t="s">
        <v>1498</v>
      </c>
      <c r="B512" s="5">
        <v>46186</v>
      </c>
      <c r="C512" s="6">
        <v>0.52083333333333337</v>
      </c>
      <c r="D512" s="1" t="s">
        <v>18</v>
      </c>
      <c r="E512" s="1" t="s">
        <v>433</v>
      </c>
      <c r="F512" s="1" t="s">
        <v>1509</v>
      </c>
      <c r="G512" s="39" t="s">
        <v>454</v>
      </c>
      <c r="H512" s="1">
        <v>1</v>
      </c>
      <c r="I512" s="1">
        <v>2</v>
      </c>
      <c r="J512" s="39" t="s">
        <v>1502</v>
      </c>
      <c r="K512" s="1">
        <v>2</v>
      </c>
      <c r="L512" s="1">
        <v>1</v>
      </c>
      <c r="S512" s="1" t="str">
        <f>IF(tblDados[[#This Row],[Mandante]]="","",TEXT(tblDados[[#This Row],[Data]],"aaaa-mm-dd")&amp;"|"&amp;TRIM(tblDados[[#This Row],[Mandante]])&amp;"|"&amp;TRIM(tblDados[[#This Row],[Visitante]]))</f>
        <v>2026-06-13|EPS|AIFK</v>
      </c>
      <c r="T512" s="1">
        <f>IF($G512="",0,IF(COUNTIF($S$2:$S512,$S512)=1,1,0))</f>
        <v>1</v>
      </c>
      <c r="U512" s="19" t="str" cm="1">
        <f t="array" ref="U5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2" s="19" t="str" cm="1">
        <f t="array" ref="V5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3" spans="1:22" x14ac:dyDescent="0.3">
      <c r="A513" s="1" t="s">
        <v>1499</v>
      </c>
      <c r="B513" s="5">
        <v>46205</v>
      </c>
      <c r="C513" s="6">
        <v>0.54166666666666663</v>
      </c>
      <c r="D513" s="1" t="s">
        <v>18</v>
      </c>
      <c r="E513" s="1" t="s">
        <v>433</v>
      </c>
      <c r="F513" s="1" t="s">
        <v>1510</v>
      </c>
      <c r="G513" s="39" t="s">
        <v>451</v>
      </c>
      <c r="H513" s="1">
        <v>1</v>
      </c>
      <c r="I513" s="1">
        <v>6</v>
      </c>
      <c r="J513" s="39" t="s">
        <v>1502</v>
      </c>
      <c r="K513" s="1">
        <v>6</v>
      </c>
      <c r="L513" s="1">
        <v>1</v>
      </c>
      <c r="S513" s="1" t="str">
        <f>IF(tblDados[[#This Row],[Mandante]]="","",TEXT(tblDados[[#This Row],[Data]],"aaaa-mm-dd")&amp;"|"&amp;TRIM(tblDados[[#This Row],[Mandante]])&amp;"|"&amp;TRIM(tblDados[[#This Row],[Visitante]]))</f>
        <v>2026-07-02|EBK|AIFK</v>
      </c>
      <c r="T513" s="1">
        <f>IF($G513="",0,IF(COUNTIF($S$2:$S513,$S513)=1,1,0))</f>
        <v>1</v>
      </c>
      <c r="U513" s="19" t="str" cm="1">
        <f t="array" ref="U5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3" s="19" t="str" cm="1">
        <f t="array" ref="V5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4" spans="1:22" x14ac:dyDescent="0.3">
      <c r="A514" s="1" t="s">
        <v>1500</v>
      </c>
      <c r="B514" s="5">
        <v>46220</v>
      </c>
      <c r="C514" s="6">
        <v>0.54166666666666663</v>
      </c>
      <c r="D514" s="1" t="s">
        <v>18</v>
      </c>
      <c r="E514" s="1" t="s">
        <v>433</v>
      </c>
      <c r="F514" s="1" t="s">
        <v>1511</v>
      </c>
      <c r="G514" s="39" t="s">
        <v>458</v>
      </c>
      <c r="H514" s="1">
        <v>0</v>
      </c>
      <c r="I514" s="1">
        <v>1</v>
      </c>
      <c r="J514" s="39" t="s">
        <v>1502</v>
      </c>
      <c r="K514" s="1">
        <v>1</v>
      </c>
      <c r="L514" s="1">
        <v>0</v>
      </c>
      <c r="S514" s="1" t="str">
        <f>IF(tblDados[[#This Row],[Mandante]]="","",TEXT(tblDados[[#This Row],[Data]],"aaaa-mm-dd")&amp;"|"&amp;TRIM(tblDados[[#This Row],[Mandante]])&amp;"|"&amp;TRIM(tblDados[[#This Row],[Visitante]]))</f>
        <v>2026-07-17|GrIFK|AIFK</v>
      </c>
      <c r="T514" s="1">
        <f>IF($G514="",0,IF(COUNTIF($S$2:$S514,$S514)=1,1,0))</f>
        <v>1</v>
      </c>
      <c r="U514" s="19" t="str" cm="1">
        <f t="array" ref="U5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4" s="19" t="str" cm="1">
        <f t="array" ref="V5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5" spans="1:22" x14ac:dyDescent="0.3">
      <c r="A515" s="1" t="s">
        <v>1501</v>
      </c>
      <c r="B515" s="5">
        <v>46227</v>
      </c>
      <c r="C515" s="6">
        <v>0.54166666666666663</v>
      </c>
      <c r="D515" s="1" t="s">
        <v>18</v>
      </c>
      <c r="E515" s="1" t="s">
        <v>433</v>
      </c>
      <c r="F515" s="1" t="s">
        <v>1512</v>
      </c>
      <c r="G515" s="39" t="s">
        <v>448</v>
      </c>
      <c r="H515" s="1">
        <v>1</v>
      </c>
      <c r="I515" s="1">
        <v>2</v>
      </c>
      <c r="J515" s="39" t="s">
        <v>1502</v>
      </c>
      <c r="K515" s="1">
        <v>2</v>
      </c>
      <c r="L515" s="1">
        <v>1</v>
      </c>
      <c r="S515" s="1" t="str">
        <f>IF(tblDados[[#This Row],[Mandante]]="","",TEXT(tblDados[[#This Row],[Data]],"aaaa-mm-dd")&amp;"|"&amp;TRIM(tblDados[[#This Row],[Mandante]])&amp;"|"&amp;TRIM(tblDados[[#This Row],[Visitante]]))</f>
        <v>2026-07-24|NJS|AIFK</v>
      </c>
      <c r="T515" s="1">
        <f>IF($G515="",0,IF(COUNTIF($S$2:$S515,$S515)=1,1,0))</f>
        <v>1</v>
      </c>
      <c r="U515" s="19" t="str" cm="1">
        <f t="array" ref="U5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5" s="19" t="str" cm="1">
        <f t="array" ref="V5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6" spans="1:22" ht="14.4" x14ac:dyDescent="0.3">
      <c r="A516" s="1" t="s">
        <v>1518</v>
      </c>
      <c r="B516" s="5">
        <v>46129</v>
      </c>
      <c r="C516" s="6">
        <v>0.54166666666666663</v>
      </c>
      <c r="D516" s="1" t="s">
        <v>18</v>
      </c>
      <c r="E516" s="1" t="s">
        <v>22</v>
      </c>
      <c r="F516" s="1" t="s">
        <v>1519</v>
      </c>
      <c r="G516" s="39" t="s">
        <v>297</v>
      </c>
      <c r="H516" s="1">
        <v>5</v>
      </c>
      <c r="I516" s="1">
        <v>1</v>
      </c>
      <c r="J516" s="39" t="s">
        <v>306</v>
      </c>
      <c r="K516" s="1">
        <v>1</v>
      </c>
      <c r="L516" s="1">
        <v>5</v>
      </c>
      <c r="S516" s="1" t="str">
        <f>IF(tblDados[[#This Row],[Mandante]]="","",TEXT(tblDados[[#This Row],[Data]],"aaaa-mm-dd")&amp;"|"&amp;TRIM(tblDados[[#This Row],[Mandante]])&amp;"|"&amp;TRIM(tblDados[[#This Row],[Visitante]]))</f>
        <v>2026-04-17|HIFK|Union Plaani</v>
      </c>
      <c r="T516">
        <f>IF($G516="",0,IF(COUNTIF($S$2:$S516,$S516)=1,1,0))</f>
        <v>1</v>
      </c>
      <c r="U516" s="19" t="str" cm="1">
        <f t="array" ref="U5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6" s="19" t="str" cm="1">
        <f t="array" ref="V5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7" spans="1:22" x14ac:dyDescent="0.3">
      <c r="A517" s="1" t="s">
        <v>1520</v>
      </c>
      <c r="B517" s="5">
        <v>46145</v>
      </c>
      <c r="C517" s="6">
        <v>0.52083333333333337</v>
      </c>
      <c r="D517" s="1" t="s">
        <v>18</v>
      </c>
      <c r="E517" s="1" t="s">
        <v>22</v>
      </c>
      <c r="F517" s="1" t="s">
        <v>3048</v>
      </c>
      <c r="G517" s="39" t="s">
        <v>297</v>
      </c>
      <c r="H517" s="1">
        <v>2</v>
      </c>
      <c r="I517" s="1">
        <v>1</v>
      </c>
      <c r="J517" s="39" t="s">
        <v>3032</v>
      </c>
      <c r="K517" s="1">
        <v>1</v>
      </c>
      <c r="L517" s="1">
        <v>2</v>
      </c>
      <c r="S517" s="1" t="str">
        <f>IF(tblDados[[#This Row],[Mandante]]="","",TEXT(tblDados[[#This Row],[Data]],"aaaa-mm-dd")&amp;"|"&amp;TRIM(tblDados[[#This Row],[Mandante]])&amp;"|"&amp;TRIM(tblDados[[#This Row],[Visitante]]))</f>
        <v>2026-05-03|HIFK|Reipas (Lahden Reipas)</v>
      </c>
      <c r="T517" s="1">
        <f>IF($G517="",0,IF(COUNTIF($S$2:$S517,$S517)=1,1,0))</f>
        <v>1</v>
      </c>
      <c r="U517" s="19" t="str" cm="1">
        <f t="array" ref="U5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7" s="19" t="str" cm="1">
        <f t="array" ref="V5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8" spans="1:22" x14ac:dyDescent="0.3">
      <c r="A518" s="1" t="s">
        <v>1521</v>
      </c>
      <c r="B518" s="5">
        <v>46160</v>
      </c>
      <c r="C518" s="6">
        <v>0.54166666666666663</v>
      </c>
      <c r="D518" s="1" t="s">
        <v>18</v>
      </c>
      <c r="E518" s="1" t="s">
        <v>22</v>
      </c>
      <c r="F518" s="1" t="s">
        <v>1522</v>
      </c>
      <c r="G518" s="39" t="s">
        <v>297</v>
      </c>
      <c r="H518" s="1">
        <v>3</v>
      </c>
      <c r="I518" s="1">
        <v>3</v>
      </c>
      <c r="J518" s="39" t="s">
        <v>304</v>
      </c>
      <c r="K518" s="1">
        <v>3</v>
      </c>
      <c r="L518" s="1">
        <v>3</v>
      </c>
      <c r="S518" s="1" t="str">
        <f>IF(tblDados[[#This Row],[Mandante]]="","",TEXT(tblDados[[#This Row],[Data]],"aaaa-mm-dd")&amp;"|"&amp;TRIM(tblDados[[#This Row],[Mandante]])&amp;"|"&amp;TRIM(tblDados[[#This Row],[Visitante]]))</f>
        <v>2026-05-18|HIFK|Kiffen</v>
      </c>
      <c r="T518" s="1">
        <f>IF($G518="",0,IF(COUNTIF($S$2:$S518,$S518)=1,1,0))</f>
        <v>1</v>
      </c>
      <c r="U518" s="19" t="str" cm="1">
        <f t="array" ref="U5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8" s="19" t="str" cm="1">
        <f t="array" ref="V5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9" spans="1:22" x14ac:dyDescent="0.3">
      <c r="A519" s="1" t="s">
        <v>1523</v>
      </c>
      <c r="B519" s="5">
        <v>46164</v>
      </c>
      <c r="C519" s="6">
        <v>0.54166666666666663</v>
      </c>
      <c r="D519" s="1" t="s">
        <v>18</v>
      </c>
      <c r="E519" s="1" t="s">
        <v>22</v>
      </c>
      <c r="F519" s="1" t="s">
        <v>1524</v>
      </c>
      <c r="G519" s="39" t="s">
        <v>297</v>
      </c>
      <c r="H519" s="1">
        <v>0</v>
      </c>
      <c r="I519" s="1">
        <v>2</v>
      </c>
      <c r="J519" s="39" t="s">
        <v>308</v>
      </c>
      <c r="K519" s="1">
        <v>2</v>
      </c>
      <c r="L519" s="1">
        <v>0</v>
      </c>
      <c r="S519" s="1" t="str">
        <f>IF(tblDados[[#This Row],[Mandante]]="","",TEXT(tblDados[[#This Row],[Data]],"aaaa-mm-dd")&amp;"|"&amp;TRIM(tblDados[[#This Row],[Mandante]])&amp;"|"&amp;TRIM(tblDados[[#This Row],[Visitante]]))</f>
        <v>2026-05-22|HIFK|HPS</v>
      </c>
      <c r="T519" s="1">
        <f>IF($G519="",0,IF(COUNTIF($S$2:$S519,$S519)=1,1,0))</f>
        <v>1</v>
      </c>
      <c r="U519" s="19" t="str" cm="1">
        <f t="array" ref="U5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9" s="19" t="str" cm="1">
        <f t="array" ref="V5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0" spans="1:22" x14ac:dyDescent="0.3">
      <c r="A520" s="1" t="s">
        <v>1525</v>
      </c>
      <c r="B520" s="5">
        <v>46186</v>
      </c>
      <c r="C520" s="6">
        <v>0.45833333333333331</v>
      </c>
      <c r="D520" s="1" t="s">
        <v>18</v>
      </c>
      <c r="E520" s="1" t="s">
        <v>22</v>
      </c>
      <c r="F520" s="1" t="s">
        <v>1526</v>
      </c>
      <c r="G520" s="39" t="s">
        <v>297</v>
      </c>
      <c r="H520" s="1">
        <v>2</v>
      </c>
      <c r="I520" s="1">
        <v>1</v>
      </c>
      <c r="J520" s="39" t="s">
        <v>302</v>
      </c>
      <c r="K520" s="1">
        <v>1</v>
      </c>
      <c r="L520" s="1">
        <v>2</v>
      </c>
      <c r="S520" s="1" t="str">
        <f>IF(tblDados[[#This Row],[Mandante]]="","",TEXT(tblDados[[#This Row],[Data]],"aaaa-mm-dd")&amp;"|"&amp;TRIM(tblDados[[#This Row],[Mandante]])&amp;"|"&amp;TRIM(tblDados[[#This Row],[Visitante]]))</f>
        <v>2026-06-13|HIFK|PEPO</v>
      </c>
      <c r="T520" s="1">
        <f>IF($G520="",0,IF(COUNTIF($S$2:$S520,$S520)=1,1,0))</f>
        <v>1</v>
      </c>
      <c r="U520" s="19" t="str" cm="1">
        <f t="array" ref="U5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0" s="19" t="str" cm="1">
        <f t="array" ref="V5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1" spans="1:22" x14ac:dyDescent="0.3">
      <c r="A521" s="1" t="s">
        <v>1527</v>
      </c>
      <c r="B521" s="5">
        <v>46207</v>
      </c>
      <c r="C521" s="6">
        <v>0.45833333333333331</v>
      </c>
      <c r="D521" s="1" t="s">
        <v>18</v>
      </c>
      <c r="E521" s="1" t="s">
        <v>22</v>
      </c>
      <c r="F521" s="1" t="s">
        <v>1528</v>
      </c>
      <c r="G521" s="39" t="s">
        <v>297</v>
      </c>
      <c r="H521" s="1">
        <v>4</v>
      </c>
      <c r="I521" s="1">
        <v>0</v>
      </c>
      <c r="J521" s="39" t="s">
        <v>300</v>
      </c>
      <c r="K521" s="1">
        <v>0</v>
      </c>
      <c r="L521" s="1">
        <v>4</v>
      </c>
      <c r="S521" s="1" t="str">
        <f>IF(tblDados[[#This Row],[Mandante]]="","",TEXT(tblDados[[#This Row],[Data]],"aaaa-mm-dd")&amp;"|"&amp;TRIM(tblDados[[#This Row],[Mandante]])&amp;"|"&amp;TRIM(tblDados[[#This Row],[Visitante]]))</f>
        <v>2026-07-04|HIFK|MyPa</v>
      </c>
      <c r="T521" s="1">
        <f>IF($G521="",0,IF(COUNTIF($S$2:$S521,$S521)=1,1,0))</f>
        <v>1</v>
      </c>
      <c r="U521" s="19" t="str" cm="1">
        <f t="array" ref="U5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1" s="19" t="str" cm="1">
        <f t="array" ref="V5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2" spans="1:22" ht="14.4" x14ac:dyDescent="0.3">
      <c r="A522" s="1" t="s">
        <v>1529</v>
      </c>
      <c r="B522" s="5">
        <v>46130</v>
      </c>
      <c r="C522" s="6">
        <v>0.45833333333333331</v>
      </c>
      <c r="D522" s="1" t="s">
        <v>18</v>
      </c>
      <c r="E522" s="1" t="s">
        <v>22</v>
      </c>
      <c r="F522" s="1" t="s">
        <v>1530</v>
      </c>
      <c r="G522" s="39" t="s">
        <v>308</v>
      </c>
      <c r="H522" s="1">
        <v>1</v>
      </c>
      <c r="I522" s="1">
        <v>3</v>
      </c>
      <c r="J522" s="39" t="s">
        <v>294</v>
      </c>
      <c r="K522" s="1">
        <v>3</v>
      </c>
      <c r="L522" s="1">
        <v>1</v>
      </c>
      <c r="S522" s="1" t="str">
        <f>IF(tblDados[[#This Row],[Mandante]]="","",TEXT(tblDados[[#This Row],[Data]],"aaaa-mm-dd")&amp;"|"&amp;TRIM(tblDados[[#This Row],[Mandante]])&amp;"|"&amp;TRIM(tblDados[[#This Row],[Visitante]]))</f>
        <v>2026-04-18|HPS|PuiU</v>
      </c>
      <c r="T522">
        <f>IF($G522="",0,IF(COUNTIF($S$2:$S522,$S522)=1,1,0))</f>
        <v>1</v>
      </c>
      <c r="U522" s="19" t="str" cm="1">
        <f t="array" ref="U5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2" s="19" t="str" cm="1">
        <f t="array" ref="V5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3" spans="1:22" x14ac:dyDescent="0.3">
      <c r="A523" s="1" t="s">
        <v>1536</v>
      </c>
      <c r="B523" s="5">
        <v>46144</v>
      </c>
      <c r="C523" s="6">
        <v>0.41666666666666669</v>
      </c>
      <c r="D523" s="1" t="s">
        <v>18</v>
      </c>
      <c r="E523" s="1" t="s">
        <v>433</v>
      </c>
      <c r="F523" s="1" t="s">
        <v>1537</v>
      </c>
      <c r="G523" s="39" t="s">
        <v>439</v>
      </c>
      <c r="H523" s="1">
        <v>2</v>
      </c>
      <c r="I523" s="1">
        <v>1</v>
      </c>
      <c r="J523" s="39" t="s">
        <v>454</v>
      </c>
      <c r="K523" s="1">
        <v>1</v>
      </c>
      <c r="L523" s="1">
        <v>2</v>
      </c>
      <c r="S523" s="1" t="str">
        <f>IF(tblDados[[#This Row],[Mandante]]="","",TEXT(tblDados[[#This Row],[Data]],"aaaa-mm-dd")&amp;"|"&amp;TRIM(tblDados[[#This Row],[Mandante]])&amp;"|"&amp;TRIM(tblDados[[#This Row],[Visitante]]))</f>
        <v>2026-05-02|P-Iirot Rauma|EPS</v>
      </c>
      <c r="T523" s="1">
        <f>IF($G523="",0,IF(COUNTIF($S$2:$S523,$S523)=1,1,0))</f>
        <v>1</v>
      </c>
      <c r="U523" s="19" t="str" cm="1">
        <f t="array" ref="U5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3" s="19" t="str" cm="1">
        <f t="array" ref="V5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4" spans="1:22" x14ac:dyDescent="0.3">
      <c r="A524" s="1" t="s">
        <v>1538</v>
      </c>
      <c r="B524" s="5">
        <v>46151</v>
      </c>
      <c r="C524" s="6">
        <v>0.41666666666666669</v>
      </c>
      <c r="D524" s="1" t="s">
        <v>18</v>
      </c>
      <c r="E524" s="1" t="s">
        <v>433</v>
      </c>
      <c r="F524" s="1" t="s">
        <v>1539</v>
      </c>
      <c r="G524" s="39" t="s">
        <v>439</v>
      </c>
      <c r="H524" s="1">
        <v>1</v>
      </c>
      <c r="I524" s="1">
        <v>0</v>
      </c>
      <c r="J524" s="39" t="s">
        <v>451</v>
      </c>
      <c r="K524" s="1">
        <v>0</v>
      </c>
      <c r="L524" s="1">
        <v>1</v>
      </c>
      <c r="S524" s="1" t="str">
        <f>IF(tblDados[[#This Row],[Mandante]]="","",TEXT(tblDados[[#This Row],[Data]],"aaaa-mm-dd")&amp;"|"&amp;TRIM(tblDados[[#This Row],[Mandante]])&amp;"|"&amp;TRIM(tblDados[[#This Row],[Visitante]]))</f>
        <v>2026-05-09|P-Iirot Rauma|EBK</v>
      </c>
      <c r="T524" s="1">
        <f>IF($G524="",0,IF(COUNTIF($S$2:$S524,$S524)=1,1,0))</f>
        <v>1</v>
      </c>
      <c r="U524" s="19" t="str" cm="1">
        <f t="array" ref="U5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4" s="19" t="str" cm="1">
        <f t="array" ref="V5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5" spans="1:22" x14ac:dyDescent="0.3">
      <c r="A525" s="1" t="s">
        <v>1540</v>
      </c>
      <c r="B525" s="5">
        <v>46165</v>
      </c>
      <c r="C525" s="6">
        <v>0.41666666666666669</v>
      </c>
      <c r="D525" s="1" t="s">
        <v>18</v>
      </c>
      <c r="E525" s="1" t="s">
        <v>433</v>
      </c>
      <c r="F525" s="1" t="s">
        <v>1541</v>
      </c>
      <c r="G525" s="39" t="s">
        <v>439</v>
      </c>
      <c r="H525" s="1">
        <v>5</v>
      </c>
      <c r="I525" s="1">
        <v>0</v>
      </c>
      <c r="J525" s="39" t="s">
        <v>448</v>
      </c>
      <c r="K525" s="1">
        <v>0</v>
      </c>
      <c r="L525" s="1">
        <v>5</v>
      </c>
      <c r="S525" s="1" t="str">
        <f>IF(tblDados[[#This Row],[Mandante]]="","",TEXT(tblDados[[#This Row],[Data]],"aaaa-mm-dd")&amp;"|"&amp;TRIM(tblDados[[#This Row],[Mandante]])&amp;"|"&amp;TRIM(tblDados[[#This Row],[Visitante]]))</f>
        <v>2026-05-23|P-Iirot Rauma|NJS</v>
      </c>
      <c r="T525" s="1">
        <f>IF($G525="",0,IF(COUNTIF($S$2:$S525,$S525)=1,1,0))</f>
        <v>1</v>
      </c>
      <c r="U525" s="19" t="str" cm="1">
        <f t="array" ref="U5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5" s="19" t="str" cm="1">
        <f t="array" ref="V5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6" spans="1:22" x14ac:dyDescent="0.3">
      <c r="A526" s="1" t="s">
        <v>1542</v>
      </c>
      <c r="B526" s="5">
        <v>46207</v>
      </c>
      <c r="C526" s="6">
        <v>0.41666666666666669</v>
      </c>
      <c r="D526" s="1" t="s">
        <v>18</v>
      </c>
      <c r="E526" s="1" t="s">
        <v>433</v>
      </c>
      <c r="F526" s="1" t="s">
        <v>1543</v>
      </c>
      <c r="G526" s="39" t="s">
        <v>439</v>
      </c>
      <c r="H526" s="1">
        <v>3</v>
      </c>
      <c r="I526" s="1">
        <v>0</v>
      </c>
      <c r="J526" s="39" t="s">
        <v>445</v>
      </c>
      <c r="K526" s="1">
        <v>0</v>
      </c>
      <c r="L526" s="1">
        <v>3</v>
      </c>
      <c r="S526" s="1" t="str">
        <f>IF(tblDados[[#This Row],[Mandante]]="","",TEXT(tblDados[[#This Row],[Data]],"aaaa-mm-dd")&amp;"|"&amp;TRIM(tblDados[[#This Row],[Mandante]])&amp;"|"&amp;TRIM(tblDados[[#This Row],[Visitante]]))</f>
        <v>2026-07-04|P-Iirot Rauma|HJS</v>
      </c>
      <c r="T526" s="1">
        <f>IF($G526="",0,IF(COUNTIF($S$2:$S526,$S526)=1,1,0))</f>
        <v>1</v>
      </c>
      <c r="U526" s="19" t="str" cm="1">
        <f t="array" ref="U5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6" s="19" t="str" cm="1">
        <f t="array" ref="V5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7" spans="1:22" ht="14.4" x14ac:dyDescent="0.3">
      <c r="A527" s="1" t="s">
        <v>1544</v>
      </c>
      <c r="B527" s="5">
        <v>46136</v>
      </c>
      <c r="C527" s="6">
        <v>0.52083333333333337</v>
      </c>
      <c r="D527" s="1" t="s">
        <v>18</v>
      </c>
      <c r="E527" s="1" t="s">
        <v>433</v>
      </c>
      <c r="F527" s="1" t="s">
        <v>1545</v>
      </c>
      <c r="G527" s="39" t="s">
        <v>448</v>
      </c>
      <c r="H527" s="1">
        <v>0</v>
      </c>
      <c r="I527" s="1">
        <v>1</v>
      </c>
      <c r="J527" s="39" t="s">
        <v>458</v>
      </c>
      <c r="K527" s="1">
        <v>1</v>
      </c>
      <c r="L527" s="1">
        <v>0</v>
      </c>
      <c r="S527" s="1" t="str">
        <f>IF(tblDados[[#This Row],[Mandante]]="","",TEXT(tblDados[[#This Row],[Data]],"aaaa-mm-dd")&amp;"|"&amp;TRIM(tblDados[[#This Row],[Mandante]])&amp;"|"&amp;TRIM(tblDados[[#This Row],[Visitante]]))</f>
        <v>2026-04-24|NJS|GrIFK</v>
      </c>
      <c r="T527">
        <f>IF($G527="",0,IF(COUNTIF($S$2:$S527,$S527)=1,1,0))</f>
        <v>1</v>
      </c>
      <c r="U527" s="19" t="str" cm="1">
        <f t="array" ref="U5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7" s="19" t="str" cm="1">
        <f t="array" ref="V5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8" spans="1:22" x14ac:dyDescent="0.3">
      <c r="A528" s="1" t="s">
        <v>1546</v>
      </c>
      <c r="B528" s="5">
        <v>46151</v>
      </c>
      <c r="C528" s="6">
        <v>0.41666666666666669</v>
      </c>
      <c r="D528" s="1" t="s">
        <v>18</v>
      </c>
      <c r="E528" s="1" t="s">
        <v>433</v>
      </c>
      <c r="F528" s="1" t="s">
        <v>1551</v>
      </c>
      <c r="G528" s="39" t="s">
        <v>1502</v>
      </c>
      <c r="H528" s="1">
        <v>3</v>
      </c>
      <c r="I528" s="1">
        <v>1</v>
      </c>
      <c r="J528" s="39" t="s">
        <v>458</v>
      </c>
      <c r="K528" s="1">
        <v>1</v>
      </c>
      <c r="L528" s="1">
        <v>3</v>
      </c>
      <c r="S528" s="1" t="str">
        <f>IF(tblDados[[#This Row],[Mandante]]="","",TEXT(tblDados[[#This Row],[Data]],"aaaa-mm-dd")&amp;"|"&amp;TRIM(tblDados[[#This Row],[Mandante]])&amp;"|"&amp;TRIM(tblDados[[#This Row],[Visitante]]))</f>
        <v>2026-05-09|AIFK|GrIFK</v>
      </c>
      <c r="T528" s="1">
        <f>IF($G528="",0,IF(COUNTIF($S$2:$S528,$S528)=1,1,0))</f>
        <v>1</v>
      </c>
      <c r="U528" s="19" t="str" cm="1">
        <f t="array" ref="U5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8" s="19" t="str" cm="1">
        <f t="array" ref="V5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9" spans="1:22" x14ac:dyDescent="0.3">
      <c r="A529" s="1" t="s">
        <v>1547</v>
      </c>
      <c r="B529" s="5">
        <v>46166</v>
      </c>
      <c r="C529" s="6">
        <v>0.52083333333333337</v>
      </c>
      <c r="D529" s="1" t="s">
        <v>18</v>
      </c>
      <c r="E529" s="1" t="s">
        <v>433</v>
      </c>
      <c r="F529" s="1" t="s">
        <v>1548</v>
      </c>
      <c r="G529" s="39" t="s">
        <v>451</v>
      </c>
      <c r="H529" s="1">
        <v>1</v>
      </c>
      <c r="I529" s="1">
        <v>0</v>
      </c>
      <c r="J529" s="39" t="s">
        <v>458</v>
      </c>
      <c r="K529" s="1">
        <v>0</v>
      </c>
      <c r="L529" s="1">
        <v>1</v>
      </c>
      <c r="S529" s="1" t="str">
        <f>IF(tblDados[[#This Row],[Mandante]]="","",TEXT(tblDados[[#This Row],[Data]],"aaaa-mm-dd")&amp;"|"&amp;TRIM(tblDados[[#This Row],[Mandante]])&amp;"|"&amp;TRIM(tblDados[[#This Row],[Visitante]]))</f>
        <v>2026-05-24|EBK|GrIFK</v>
      </c>
      <c r="T529" s="1">
        <f>IF($G529="",0,IF(COUNTIF($S$2:$S529,$S529)=1,1,0))</f>
        <v>1</v>
      </c>
      <c r="U529" s="19" t="str" cm="1">
        <f t="array" ref="U5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9" s="19" t="str" cm="1">
        <f t="array" ref="V5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0" spans="1:22" x14ac:dyDescent="0.3">
      <c r="A530" s="1" t="s">
        <v>1549</v>
      </c>
      <c r="B530" s="5">
        <v>46200</v>
      </c>
      <c r="C530" s="6">
        <v>0.45833333333333331</v>
      </c>
      <c r="D530" s="1" t="s">
        <v>18</v>
      </c>
      <c r="E530" s="1" t="s">
        <v>433</v>
      </c>
      <c r="F530" s="1" t="s">
        <v>1550</v>
      </c>
      <c r="G530" s="39" t="s">
        <v>454</v>
      </c>
      <c r="H530" s="1">
        <v>1</v>
      </c>
      <c r="I530" s="1">
        <v>3</v>
      </c>
      <c r="J530" s="39" t="s">
        <v>458</v>
      </c>
      <c r="K530" s="1">
        <v>3</v>
      </c>
      <c r="L530" s="1">
        <v>1</v>
      </c>
      <c r="S530" s="1" t="str">
        <f>IF(tblDados[[#This Row],[Mandante]]="","",TEXT(tblDados[[#This Row],[Data]],"aaaa-mm-dd")&amp;"|"&amp;TRIM(tblDados[[#This Row],[Mandante]])&amp;"|"&amp;TRIM(tblDados[[#This Row],[Visitante]]))</f>
        <v>2026-06-27|EPS|GrIFK</v>
      </c>
      <c r="T530" s="1">
        <f>IF($G530="",0,IF(COUNTIF($S$2:$S530,$S530)=1,1,0))</f>
        <v>1</v>
      </c>
      <c r="U530" s="19" t="str" cm="1">
        <f t="array" ref="U5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0" s="19" t="str" cm="1">
        <f t="array" ref="V5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1" spans="1:22" ht="14.4" x14ac:dyDescent="0.3">
      <c r="A531" s="1" t="s">
        <v>1562</v>
      </c>
      <c r="B531" s="5">
        <v>46145</v>
      </c>
      <c r="C531" s="6">
        <v>0.52083333333333337</v>
      </c>
      <c r="D531" s="1" t="s">
        <v>18</v>
      </c>
      <c r="E531" s="1" t="s">
        <v>23</v>
      </c>
      <c r="F531" s="1" t="s">
        <v>1563</v>
      </c>
      <c r="G531" s="39" t="s">
        <v>582</v>
      </c>
      <c r="H531" s="1">
        <v>2</v>
      </c>
      <c r="I531" s="1">
        <v>2</v>
      </c>
      <c r="J531" s="39" t="s">
        <v>585</v>
      </c>
      <c r="K531" s="1">
        <v>2</v>
      </c>
      <c r="L531" s="1">
        <v>2</v>
      </c>
      <c r="S531" s="1" t="str">
        <f>IF(tblDados[[#This Row],[Mandante]]="","",TEXT(tblDados[[#This Row],[Data]],"aaaa-mm-dd")&amp;"|"&amp;TRIM(tblDados[[#This Row],[Mandante]])&amp;"|"&amp;TRIM(tblDados[[#This Row],[Visitante]]))</f>
        <v>2026-05-03|TP-47|SJK Akatemia 2</v>
      </c>
      <c r="T531">
        <f>IF($G531="",0,IF(COUNTIF($S$2:$S531,$S531)=1,1,0))</f>
        <v>1</v>
      </c>
      <c r="U531" s="19" t="str" cm="1">
        <f t="array" ref="U5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1" s="19" t="str" cm="1">
        <f t="array" ref="V5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2" spans="1:22" x14ac:dyDescent="0.3">
      <c r="A532" s="1" t="s">
        <v>1564</v>
      </c>
      <c r="B532" s="5">
        <v>46158</v>
      </c>
      <c r="C532" s="6">
        <v>0.41666666666666669</v>
      </c>
      <c r="D532" s="1" t="s">
        <v>18</v>
      </c>
      <c r="E532" s="1" t="s">
        <v>23</v>
      </c>
      <c r="F532" s="1" t="s">
        <v>3021</v>
      </c>
      <c r="G532" s="39" t="s">
        <v>582</v>
      </c>
      <c r="H532" s="1">
        <v>3</v>
      </c>
      <c r="I532" s="1">
        <v>1</v>
      </c>
      <c r="J532" s="39" t="s">
        <v>2991</v>
      </c>
      <c r="K532" s="1">
        <v>1</v>
      </c>
      <c r="L532" s="1">
        <v>3</v>
      </c>
      <c r="S532" s="1" t="str">
        <f>IF(tblDados[[#This Row],[Mandante]]="","",TEXT(tblDados[[#This Row],[Data]],"aaaa-mm-dd")&amp;"|"&amp;TRIM(tblDados[[#This Row],[Mandante]])&amp;"|"&amp;TRIM(tblDados[[#This Row],[Visitante]]))</f>
        <v>2026-05-16|TP-47|Jaro 2</v>
      </c>
      <c r="T532" s="1">
        <f>IF($G532="",0,IF(COUNTIF($S$2:$S532,$S532)=1,1,0))</f>
        <v>1</v>
      </c>
      <c r="U532" s="19" t="str" cm="1">
        <f t="array" ref="U5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2" s="19" t="str" cm="1">
        <f t="array" ref="V5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3" spans="1:22" x14ac:dyDescent="0.3">
      <c r="A533" s="1" t="s">
        <v>1565</v>
      </c>
      <c r="B533" s="5">
        <v>46179</v>
      </c>
      <c r="C533" s="6">
        <v>0.41666666666666669</v>
      </c>
      <c r="D533" s="1" t="s">
        <v>18</v>
      </c>
      <c r="E533" s="1" t="s">
        <v>23</v>
      </c>
      <c r="F533" s="1" t="s">
        <v>1566</v>
      </c>
      <c r="G533" s="39" t="s">
        <v>582</v>
      </c>
      <c r="H533" s="1">
        <v>1</v>
      </c>
      <c r="I533" s="1">
        <v>1</v>
      </c>
      <c r="J533" s="39" t="s">
        <v>568</v>
      </c>
      <c r="K533" s="1">
        <v>1</v>
      </c>
      <c r="L533" s="1">
        <v>1</v>
      </c>
      <c r="S533" s="1" t="str">
        <f>IF(tblDados[[#This Row],[Mandante]]="","",TEXT(tblDados[[#This Row],[Data]],"aaaa-mm-dd")&amp;"|"&amp;TRIM(tblDados[[#This Row],[Mandante]])&amp;"|"&amp;TRIM(tblDados[[#This Row],[Visitante]]))</f>
        <v>2026-06-06|TP-47|JBK</v>
      </c>
      <c r="T533" s="1">
        <f>IF($G533="",0,IF(COUNTIF($S$2:$S533,$S533)=1,1,0))</f>
        <v>1</v>
      </c>
      <c r="U533" s="19" t="str" cm="1">
        <f t="array" ref="U5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3" s="19" t="str" cm="1">
        <f t="array" ref="V5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4" spans="1:22" x14ac:dyDescent="0.3">
      <c r="A534" s="1" t="s">
        <v>1567</v>
      </c>
      <c r="B534" s="5">
        <v>46226</v>
      </c>
      <c r="C534" s="6">
        <v>0.52083333333333337</v>
      </c>
      <c r="D534" s="1" t="s">
        <v>18</v>
      </c>
      <c r="E534" s="1" t="s">
        <v>23</v>
      </c>
      <c r="F534" s="1" t="s">
        <v>1569</v>
      </c>
      <c r="G534" s="39" t="s">
        <v>582</v>
      </c>
      <c r="H534" s="1">
        <v>0</v>
      </c>
      <c r="I534" s="1">
        <v>1</v>
      </c>
      <c r="J534" s="39" t="s">
        <v>213</v>
      </c>
      <c r="K534" s="1">
        <v>1</v>
      </c>
      <c r="L534" s="1">
        <v>0</v>
      </c>
      <c r="S534" s="1" t="str">
        <f>IF(tblDados[[#This Row],[Mandante]]="","",TEXT(tblDados[[#This Row],[Data]],"aaaa-mm-dd")&amp;"|"&amp;TRIM(tblDados[[#This Row],[Mandante]])&amp;"|"&amp;TRIM(tblDados[[#This Row],[Visitante]]))</f>
        <v>2026-07-23|TP-47|JS Hercules</v>
      </c>
      <c r="T534" s="1">
        <f>IF($G534="",0,IF(COUNTIF($S$2:$S534,$S534)=1,1,0))</f>
        <v>1</v>
      </c>
      <c r="U534" s="19" t="str" cm="1">
        <f t="array" ref="U5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4" s="19" t="str" cm="1">
        <f t="array" ref="V5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5" spans="1:22" ht="14.4" x14ac:dyDescent="0.3">
      <c r="A535" s="1" t="s">
        <v>1568</v>
      </c>
      <c r="B535" s="5">
        <v>46129</v>
      </c>
      <c r="C535" s="6">
        <v>0.54166666666666663</v>
      </c>
      <c r="D535" s="1" t="s">
        <v>18</v>
      </c>
      <c r="E535" s="1" t="s">
        <v>23</v>
      </c>
      <c r="F535" s="1" t="s">
        <v>3022</v>
      </c>
      <c r="G535" s="39" t="s">
        <v>2991</v>
      </c>
      <c r="H535" s="1">
        <v>6</v>
      </c>
      <c r="I535" s="1">
        <v>5</v>
      </c>
      <c r="J535" s="39" t="s">
        <v>212</v>
      </c>
      <c r="K535" s="1">
        <v>5</v>
      </c>
      <c r="L535" s="1">
        <v>6</v>
      </c>
      <c r="S535" s="1" t="str">
        <f>IF(tblDados[[#This Row],[Mandante]]="","",TEXT(tblDados[[#This Row],[Data]],"aaaa-mm-dd")&amp;"|"&amp;TRIM(tblDados[[#This Row],[Mandante]])&amp;"|"&amp;TRIM(tblDados[[#This Row],[Visitante]]))</f>
        <v>2026-04-17|Jaro 2|Närpes Kraft</v>
      </c>
      <c r="T535">
        <f>IF($G535="",0,IF(COUNTIF($S$2:$S535,$S535)=1,1,0))</f>
        <v>1</v>
      </c>
      <c r="U535" s="19" t="str" cm="1">
        <f t="array" ref="U5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5" s="19" t="str" cm="1">
        <f t="array" ref="V5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6" spans="1:22" x14ac:dyDescent="0.3">
      <c r="A536" s="1" t="s">
        <v>1587</v>
      </c>
      <c r="B536" s="5">
        <v>46124</v>
      </c>
      <c r="C536" s="6">
        <v>0.77083333333333337</v>
      </c>
      <c r="D536" s="1" t="s">
        <v>10</v>
      </c>
      <c r="E536" s="1" t="s">
        <v>11</v>
      </c>
      <c r="F536" s="1" t="s">
        <v>1588</v>
      </c>
      <c r="G536" s="39" t="s">
        <v>181</v>
      </c>
      <c r="H536" s="1">
        <v>3</v>
      </c>
      <c r="I536" s="1">
        <v>2</v>
      </c>
      <c r="J536" s="39" t="s">
        <v>1097</v>
      </c>
      <c r="K536" s="1">
        <v>2</v>
      </c>
      <c r="L536" s="1">
        <v>3</v>
      </c>
      <c r="S536" s="1" t="str">
        <f>IF(tblDados[[#This Row],[Mandante]]="","",TEXT(tblDados[[#This Row],[Data]],"aaaa-mm-dd")&amp;"|"&amp;TRIM(tblDados[[#This Row],[Mandante]])&amp;"|"&amp;TRIM(tblDados[[#This Row],[Visitante]]))</f>
        <v>2026-04-12|The Strongest|SA Bulo Bulo</v>
      </c>
      <c r="T536" s="1">
        <f>IF($G536="",0,IF(COUNTIF($S$2:$S536,$S536)=1,1,0))</f>
        <v>1</v>
      </c>
      <c r="U536" s="19" t="str" cm="1">
        <f t="array" ref="U5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6" s="19" t="str" cm="1">
        <f t="array" ref="V5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7" spans="1:22" x14ac:dyDescent="0.3">
      <c r="A537" s="1" t="s">
        <v>1589</v>
      </c>
      <c r="B537" s="5">
        <v>46145</v>
      </c>
      <c r="C537" s="6">
        <v>0.77083333333333337</v>
      </c>
      <c r="D537" s="1" t="s">
        <v>10</v>
      </c>
      <c r="E537" s="1" t="s">
        <v>11</v>
      </c>
      <c r="F537" s="1" t="s">
        <v>1604</v>
      </c>
      <c r="G537" s="39" t="s">
        <v>181</v>
      </c>
      <c r="H537" s="1">
        <v>3</v>
      </c>
      <c r="I537" s="1">
        <v>1</v>
      </c>
      <c r="J537" s="39" t="s">
        <v>190</v>
      </c>
      <c r="K537" s="1">
        <v>1</v>
      </c>
      <c r="L537" s="1">
        <v>3</v>
      </c>
      <c r="S537" s="1" t="str">
        <f>IF(tblDados[[#This Row],[Mandante]]="","",TEXT(tblDados[[#This Row],[Data]],"aaaa-mm-dd")&amp;"|"&amp;TRIM(tblDados[[#This Row],[Mandante]])&amp;"|"&amp;TRIM(tblDados[[#This Row],[Visitante]]))</f>
        <v>2026-05-03|The Strongest|ABB</v>
      </c>
      <c r="T537" s="1">
        <f>IF($G537="",0,IF(COUNTIF($S$2:$S537,$S537)=1,1,0))</f>
        <v>1</v>
      </c>
      <c r="U537" s="19" t="str" cm="1">
        <f t="array" ref="U5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7" s="19" t="str" cm="1">
        <f t="array" ref="V5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8" spans="1:22" x14ac:dyDescent="0.3">
      <c r="A538" s="1" t="s">
        <v>1590</v>
      </c>
      <c r="B538" s="5">
        <v>46152</v>
      </c>
      <c r="C538" s="6">
        <v>0.66666666666666663</v>
      </c>
      <c r="D538" s="1" t="s">
        <v>10</v>
      </c>
      <c r="E538" s="1" t="s">
        <v>11</v>
      </c>
      <c r="F538" s="1" t="s">
        <v>1605</v>
      </c>
      <c r="G538" s="39" t="s">
        <v>181</v>
      </c>
      <c r="H538" s="1">
        <v>0</v>
      </c>
      <c r="I538" s="1">
        <v>0</v>
      </c>
      <c r="J538" s="39" t="s">
        <v>1598</v>
      </c>
      <c r="K538" s="1">
        <v>0</v>
      </c>
      <c r="L538" s="1">
        <v>0</v>
      </c>
      <c r="S538" s="1" t="str">
        <f>IF(tblDados[[#This Row],[Mandante]]="","",TEXT(tblDados[[#This Row],[Data]],"aaaa-mm-dd")&amp;"|"&amp;TRIM(tblDados[[#This Row],[Mandante]])&amp;"|"&amp;TRIM(tblDados[[#This Row],[Visitante]]))</f>
        <v>2026-05-10|The Strongest|Real Potosí</v>
      </c>
      <c r="T538" s="1">
        <f>IF($G538="",0,IF(COUNTIF($S$2:$S538,$S538)=1,1,0))</f>
        <v>1</v>
      </c>
      <c r="U538" s="19" t="str" cm="1">
        <f t="array" ref="U5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8" s="19" t="str" cm="1">
        <f t="array" ref="V5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9" spans="1:22" x14ac:dyDescent="0.3">
      <c r="A539" s="1" t="s">
        <v>1591</v>
      </c>
      <c r="B539" s="5">
        <v>46215</v>
      </c>
      <c r="C539" s="6">
        <v>0.77083333333333337</v>
      </c>
      <c r="D539" s="1" t="s">
        <v>10</v>
      </c>
      <c r="E539" s="1" t="s">
        <v>11</v>
      </c>
      <c r="F539" s="1" t="s">
        <v>1606</v>
      </c>
      <c r="G539" s="39" t="s">
        <v>181</v>
      </c>
      <c r="H539" s="1">
        <v>1</v>
      </c>
      <c r="I539" s="1">
        <v>1</v>
      </c>
      <c r="J539" s="39" t="s">
        <v>684</v>
      </c>
      <c r="K539" s="1">
        <v>1</v>
      </c>
      <c r="L539" s="1">
        <v>1</v>
      </c>
      <c r="S539" s="1" t="str">
        <f>IF(tblDados[[#This Row],[Mandante]]="","",TEXT(tblDados[[#This Row],[Data]],"aaaa-mm-dd")&amp;"|"&amp;TRIM(tblDados[[#This Row],[Mandante]])&amp;"|"&amp;TRIM(tblDados[[#This Row],[Visitante]]))</f>
        <v>2026-07-12|The Strongest|Bolívar</v>
      </c>
      <c r="T539" s="1">
        <f>IF($G539="",0,IF(COUNTIF($S$2:$S539,$S539)=1,1,0))</f>
        <v>1</v>
      </c>
      <c r="U539" s="19" t="str" cm="1">
        <f t="array" ref="U5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9" s="19" t="str" cm="1">
        <f t="array" ref="V5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0" spans="1:22" x14ac:dyDescent="0.3">
      <c r="A540" s="1" t="s">
        <v>1592</v>
      </c>
      <c r="B540" s="5">
        <v>46218</v>
      </c>
      <c r="C540" s="6">
        <v>0.875</v>
      </c>
      <c r="D540" s="1" t="s">
        <v>10</v>
      </c>
      <c r="E540" s="1" t="s">
        <v>11</v>
      </c>
      <c r="F540" s="1" t="s">
        <v>1593</v>
      </c>
      <c r="G540" s="39" t="s">
        <v>181</v>
      </c>
      <c r="H540" s="1">
        <v>2</v>
      </c>
      <c r="I540" s="1">
        <v>1</v>
      </c>
      <c r="J540" s="39" t="s">
        <v>665</v>
      </c>
      <c r="K540" s="1">
        <v>1</v>
      </c>
      <c r="L540" s="1">
        <v>2</v>
      </c>
      <c r="S540" s="1" t="str">
        <f>IF(tblDados[[#This Row],[Mandante]]="","",TEXT(tblDados[[#This Row],[Data]],"aaaa-mm-dd")&amp;"|"&amp;TRIM(tblDados[[#This Row],[Mandante]])&amp;"|"&amp;TRIM(tblDados[[#This Row],[Visitante]]))</f>
        <v>2026-07-15|The Strongest|Oriente Petrolero</v>
      </c>
      <c r="T540" s="1">
        <f>IF($G540="",0,IF(COUNTIF($S$2:$S540,$S540)=1,1,0))</f>
        <v>1</v>
      </c>
      <c r="U540" s="19" t="str" cm="1">
        <f t="array" ref="U5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0" s="19" t="str" cm="1">
        <f t="array" ref="V5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1" spans="1:22" ht="14.4" x14ac:dyDescent="0.3">
      <c r="A541" s="1" t="s">
        <v>1594</v>
      </c>
      <c r="B541" s="5">
        <v>46122</v>
      </c>
      <c r="C541" s="6">
        <v>0.875</v>
      </c>
      <c r="D541" s="1" t="s">
        <v>10</v>
      </c>
      <c r="E541" s="1" t="s">
        <v>11</v>
      </c>
      <c r="F541" s="1" t="s">
        <v>1607</v>
      </c>
      <c r="G541" s="39" t="s">
        <v>668</v>
      </c>
      <c r="H541" s="1">
        <v>2</v>
      </c>
      <c r="I541" s="1">
        <v>2</v>
      </c>
      <c r="J541" s="39" t="s">
        <v>228</v>
      </c>
      <c r="K541" s="1">
        <v>2</v>
      </c>
      <c r="L541" s="1">
        <v>2</v>
      </c>
      <c r="S541" s="1" t="str">
        <f>IF(tblDados[[#This Row],[Mandante]]="","",TEXT(tblDados[[#This Row],[Data]],"aaaa-mm-dd")&amp;"|"&amp;TRIM(tblDados[[#This Row],[Mandante]])&amp;"|"&amp;TRIM(tblDados[[#This Row],[Visitante]]))</f>
        <v>2026-04-10|Guabirá|Independiente Petrolero</v>
      </c>
      <c r="T541">
        <f>IF($G541="",0,IF(COUNTIF($S$2:$S541,$S541)=1,1,0))</f>
        <v>1</v>
      </c>
      <c r="U541" s="19" t="str" cm="1">
        <f t="array" ref="U5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1" s="19" t="str" cm="1">
        <f t="array" ref="V5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2" spans="1:22" x14ac:dyDescent="0.3">
      <c r="A542" s="1" t="s">
        <v>1595</v>
      </c>
      <c r="B542" s="5">
        <v>46133</v>
      </c>
      <c r="C542" s="6">
        <v>0.875</v>
      </c>
      <c r="D542" s="1" t="s">
        <v>10</v>
      </c>
      <c r="E542" s="1" t="s">
        <v>11</v>
      </c>
      <c r="F542" s="1" t="s">
        <v>1608</v>
      </c>
      <c r="G542" s="39" t="s">
        <v>684</v>
      </c>
      <c r="H542" s="1">
        <v>1</v>
      </c>
      <c r="I542" s="1">
        <v>2</v>
      </c>
      <c r="J542" s="39" t="s">
        <v>228</v>
      </c>
      <c r="K542" s="1">
        <v>2</v>
      </c>
      <c r="L542" s="1">
        <v>1</v>
      </c>
      <c r="S542" s="1" t="str">
        <f>IF(tblDados[[#This Row],[Mandante]]="","",TEXT(tblDados[[#This Row],[Data]],"aaaa-mm-dd")&amp;"|"&amp;TRIM(tblDados[[#This Row],[Mandante]])&amp;"|"&amp;TRIM(tblDados[[#This Row],[Visitante]]))</f>
        <v>2026-04-21|Bolívar|Independiente Petrolero</v>
      </c>
      <c r="T542" s="1">
        <f>IF($G542="",0,IF(COUNTIF($S$2:$S542,$S542)=1,1,0))</f>
        <v>1</v>
      </c>
      <c r="U542" s="19" t="str" cm="1">
        <f t="array" ref="U5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2" s="19" t="str" cm="1">
        <f t="array" ref="V5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3" spans="1:22" x14ac:dyDescent="0.3">
      <c r="A543" s="1" t="s">
        <v>1596</v>
      </c>
      <c r="B543" s="5">
        <v>46143</v>
      </c>
      <c r="C543" s="6">
        <v>0.875</v>
      </c>
      <c r="D543" s="1" t="s">
        <v>10</v>
      </c>
      <c r="E543" s="1" t="s">
        <v>11</v>
      </c>
      <c r="F543" s="1" t="s">
        <v>1650</v>
      </c>
      <c r="G543" s="39" t="s">
        <v>1097</v>
      </c>
      <c r="H543" s="1">
        <v>2</v>
      </c>
      <c r="I543" s="1">
        <v>2</v>
      </c>
      <c r="J543" s="39" t="s">
        <v>228</v>
      </c>
      <c r="K543" s="1">
        <v>2</v>
      </c>
      <c r="L543" s="1">
        <v>2</v>
      </c>
      <c r="S543" s="1" t="str">
        <f>IF(tblDados[[#This Row],[Mandante]]="","",TEXT(tblDados[[#This Row],[Data]],"aaaa-mm-dd")&amp;"|"&amp;TRIM(tblDados[[#This Row],[Mandante]])&amp;"|"&amp;TRIM(tblDados[[#This Row],[Visitante]]))</f>
        <v>2026-05-01|SA Bulo Bulo|Independiente Petrolero</v>
      </c>
      <c r="T543" s="1">
        <f>IF($G543="",0,IF(COUNTIF($S$2:$S543,$S543)=1,1,0))</f>
        <v>1</v>
      </c>
      <c r="U543" s="19" t="str" cm="1">
        <f t="array" ref="U5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3" s="19" t="str" cm="1">
        <f t="array" ref="V5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4" spans="1:22" x14ac:dyDescent="0.3">
      <c r="A544" s="1" t="s">
        <v>1597</v>
      </c>
      <c r="B544" s="5">
        <v>46219</v>
      </c>
      <c r="C544" s="6">
        <v>0.875</v>
      </c>
      <c r="D544" s="1" t="s">
        <v>10</v>
      </c>
      <c r="E544" s="1" t="s">
        <v>11</v>
      </c>
      <c r="F544" s="1" t="s">
        <v>1609</v>
      </c>
      <c r="G544" s="39" t="s">
        <v>190</v>
      </c>
      <c r="H544" s="1">
        <v>3</v>
      </c>
      <c r="I544" s="1">
        <v>1</v>
      </c>
      <c r="J544" s="39" t="s">
        <v>228</v>
      </c>
      <c r="K544" s="1">
        <v>1</v>
      </c>
      <c r="L544" s="1">
        <v>3</v>
      </c>
      <c r="S544" s="1" t="str">
        <f>IF(tblDados[[#This Row],[Mandante]]="","",TEXT(tblDados[[#This Row],[Data]],"aaaa-mm-dd")&amp;"|"&amp;TRIM(tblDados[[#This Row],[Mandante]])&amp;"|"&amp;TRIM(tblDados[[#This Row],[Visitante]]))</f>
        <v>2026-07-16|ABB|Independiente Petrolero</v>
      </c>
      <c r="T544" s="1">
        <f>IF($G544="",0,IF(COUNTIF($S$2:$S544,$S544)=1,1,0))</f>
        <v>1</v>
      </c>
      <c r="U544" s="19" t="str" cm="1">
        <f t="array" ref="U5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4" s="19" t="str" cm="1">
        <f t="array" ref="V5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5" spans="1:22" ht="14.4" x14ac:dyDescent="0.3">
      <c r="A545" s="1" t="s">
        <v>1610</v>
      </c>
      <c r="B545" s="5">
        <v>46123</v>
      </c>
      <c r="C545" s="6">
        <v>0.66666666666666663</v>
      </c>
      <c r="D545" s="1" t="s">
        <v>10</v>
      </c>
      <c r="E545" s="1" t="s">
        <v>11</v>
      </c>
      <c r="F545" s="1" t="s">
        <v>1622</v>
      </c>
      <c r="G545" s="39" t="s">
        <v>182</v>
      </c>
      <c r="H545" s="1">
        <v>1</v>
      </c>
      <c r="I545" s="1">
        <v>1</v>
      </c>
      <c r="J545" s="39" t="s">
        <v>664</v>
      </c>
      <c r="K545" s="1">
        <v>1</v>
      </c>
      <c r="L545" s="1">
        <v>1</v>
      </c>
      <c r="S545" s="1" t="str">
        <f>IF(tblDados[[#This Row],[Mandante]]="","",TEXT(tblDados[[#This Row],[Data]],"aaaa-mm-dd")&amp;"|"&amp;TRIM(tblDados[[#This Row],[Mandante]])&amp;"|"&amp;TRIM(tblDados[[#This Row],[Visitante]]))</f>
        <v>2026-04-11|Club Aurora|Always Ready</v>
      </c>
      <c r="T545">
        <f>IF($G545="",0,IF(COUNTIF($S$2:$S2834,$S545)=1,1,0))</f>
        <v>1</v>
      </c>
      <c r="U545" s="19" t="str" cm="1">
        <f t="array" ref="U5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5" s="19" t="str" cm="1">
        <f t="array" ref="V5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6" spans="1:22" x14ac:dyDescent="0.3">
      <c r="A546" s="1" t="s">
        <v>1611</v>
      </c>
      <c r="B546" s="5">
        <v>46139</v>
      </c>
      <c r="C546" s="6">
        <v>0.875</v>
      </c>
      <c r="D546" s="1" t="s">
        <v>10</v>
      </c>
      <c r="E546" s="1" t="s">
        <v>11</v>
      </c>
      <c r="F546" s="1" t="s">
        <v>1651</v>
      </c>
      <c r="G546" s="39" t="s">
        <v>182</v>
      </c>
      <c r="H546" s="1">
        <v>3</v>
      </c>
      <c r="I546" s="1">
        <v>1</v>
      </c>
      <c r="J546" s="39" t="s">
        <v>1097</v>
      </c>
      <c r="K546" s="1">
        <v>1</v>
      </c>
      <c r="L546" s="1">
        <v>3</v>
      </c>
      <c r="S546" s="1" t="str">
        <f>IF(tblDados[[#This Row],[Mandante]]="","",TEXT(tblDados[[#This Row],[Data]],"aaaa-mm-dd")&amp;"|"&amp;TRIM(tblDados[[#This Row],[Mandante]])&amp;"|"&amp;TRIM(tblDados[[#This Row],[Visitante]]))</f>
        <v>2026-04-27|Club Aurora|SA Bulo Bulo</v>
      </c>
      <c r="T546" s="1">
        <f>IF($G546="",0,IF(COUNTIF($S$2:$S546,$S546)=1,1,0))</f>
        <v>1</v>
      </c>
      <c r="U546" s="19" t="str" cm="1">
        <f t="array" ref="U5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6" s="19" t="str" cm="1">
        <f t="array" ref="V5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7" spans="1:22" x14ac:dyDescent="0.3">
      <c r="A547" s="1" t="s">
        <v>1612</v>
      </c>
      <c r="B547" s="5">
        <v>46144</v>
      </c>
      <c r="C547" s="6">
        <v>0.77083333333333337</v>
      </c>
      <c r="D547" s="1" t="s">
        <v>10</v>
      </c>
      <c r="E547" s="1" t="s">
        <v>11</v>
      </c>
      <c r="F547" s="1" t="s">
        <v>1623</v>
      </c>
      <c r="G547" s="39" t="s">
        <v>182</v>
      </c>
      <c r="H547" s="1">
        <v>4</v>
      </c>
      <c r="I547" s="1">
        <v>2</v>
      </c>
      <c r="J547" s="39" t="s">
        <v>668</v>
      </c>
      <c r="K547" s="1">
        <v>2</v>
      </c>
      <c r="L547" s="1">
        <v>4</v>
      </c>
      <c r="S547" s="1" t="str">
        <f>IF(tblDados[[#This Row],[Mandante]]="","",TEXT(tblDados[[#This Row],[Data]],"aaaa-mm-dd")&amp;"|"&amp;TRIM(tblDados[[#This Row],[Mandante]])&amp;"|"&amp;TRIM(tblDados[[#This Row],[Visitante]]))</f>
        <v>2026-05-02|Club Aurora|Guabirá</v>
      </c>
      <c r="T547" s="1">
        <f>IF($G547="",0,IF(COUNTIF($S$2:$S547,$S547)=1,1,0))</f>
        <v>1</v>
      </c>
      <c r="U547" s="19" t="str" cm="1">
        <f t="array" ref="U5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7" s="19" t="str" cm="1">
        <f t="array" ref="V5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8" spans="1:22" x14ac:dyDescent="0.3">
      <c r="A548" s="1" t="s">
        <v>1613</v>
      </c>
      <c r="B548" s="5">
        <v>46221</v>
      </c>
      <c r="C548" s="6">
        <v>0.66666666666666663</v>
      </c>
      <c r="D548" s="1" t="s">
        <v>10</v>
      </c>
      <c r="E548" s="1" t="s">
        <v>11</v>
      </c>
      <c r="F548" s="1" t="s">
        <v>1624</v>
      </c>
      <c r="G548" s="39" t="s">
        <v>182</v>
      </c>
      <c r="H548" s="1">
        <v>2</v>
      </c>
      <c r="I548" s="1">
        <v>2</v>
      </c>
      <c r="J548" s="39" t="s">
        <v>665</v>
      </c>
      <c r="K548" s="1">
        <v>2</v>
      </c>
      <c r="L548" s="1">
        <v>2</v>
      </c>
      <c r="S548" s="1" t="str">
        <f>IF(tblDados[[#This Row],[Mandante]]="","",TEXT(tblDados[[#This Row],[Data]],"aaaa-mm-dd")&amp;"|"&amp;TRIM(tblDados[[#This Row],[Mandante]])&amp;"|"&amp;TRIM(tblDados[[#This Row],[Visitante]]))</f>
        <v>2026-07-18|Club Aurora|Oriente Petrolero</v>
      </c>
      <c r="T548" s="1">
        <f>IF($G548="",0,IF(COUNTIF($S$2:$S548,$S548)=1,1,0))</f>
        <v>1</v>
      </c>
      <c r="U548" s="19" t="str" cm="1">
        <f t="array" ref="U5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8" s="19" t="str" cm="1">
        <f t="array" ref="V5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9" spans="1:22" x14ac:dyDescent="0.3">
      <c r="A549" s="1" t="s">
        <v>1614</v>
      </c>
      <c r="B549" s="5">
        <v>46227</v>
      </c>
      <c r="C549" s="6">
        <v>0.875</v>
      </c>
      <c r="D549" s="1" t="s">
        <v>10</v>
      </c>
      <c r="E549" s="1" t="s">
        <v>11</v>
      </c>
      <c r="F549" s="1" t="s">
        <v>1625</v>
      </c>
      <c r="G549" s="39" t="s">
        <v>182</v>
      </c>
      <c r="H549" s="1">
        <v>3</v>
      </c>
      <c r="I549" s="1">
        <v>2</v>
      </c>
      <c r="J549" s="39" t="s">
        <v>190</v>
      </c>
      <c r="K549" s="1">
        <v>2</v>
      </c>
      <c r="L549" s="1">
        <v>3</v>
      </c>
      <c r="S549" s="1" t="str">
        <f>IF(tblDados[[#This Row],[Mandante]]="","",TEXT(tblDados[[#This Row],[Data]],"aaaa-mm-dd")&amp;"|"&amp;TRIM(tblDados[[#This Row],[Mandante]])&amp;"|"&amp;TRIM(tblDados[[#This Row],[Visitante]]))</f>
        <v>2026-07-24|Club Aurora|ABB</v>
      </c>
      <c r="T549" s="1">
        <f>IF($G549="",0,IF(COUNTIF($S$2:$S549,$S549)=1,1,0))</f>
        <v>1</v>
      </c>
      <c r="U549" s="19" t="str" cm="1">
        <f t="array" ref="U5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9" s="19" t="str" cm="1">
        <f t="array" ref="V5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0" spans="1:22" ht="14.4" x14ac:dyDescent="0.3">
      <c r="A550" s="1" t="s">
        <v>1615</v>
      </c>
      <c r="B550" s="5">
        <v>46123</v>
      </c>
      <c r="C550" s="6">
        <v>0.66666666666666663</v>
      </c>
      <c r="D550" s="1" t="s">
        <v>10</v>
      </c>
      <c r="E550" s="1" t="s">
        <v>11</v>
      </c>
      <c r="F550" s="1" t="s">
        <v>1626</v>
      </c>
      <c r="G550" s="39" t="s">
        <v>190</v>
      </c>
      <c r="H550" s="1">
        <v>0</v>
      </c>
      <c r="I550" s="1">
        <v>2</v>
      </c>
      <c r="J550" s="39" t="s">
        <v>684</v>
      </c>
      <c r="K550" s="1">
        <v>2</v>
      </c>
      <c r="L550" s="1">
        <v>0</v>
      </c>
      <c r="S550" s="1" t="str">
        <f>IF(tblDados[[#This Row],[Mandante]]="","",TEXT(tblDados[[#This Row],[Data]],"aaaa-mm-dd")&amp;"|"&amp;TRIM(tblDados[[#This Row],[Mandante]])&amp;"|"&amp;TRIM(tblDados[[#This Row],[Visitante]]))</f>
        <v>2026-04-11|ABB|Bolívar</v>
      </c>
      <c r="T550">
        <f>IF($G550="",0,IF(COUNTIF($S$2:$S2834,$S550)=1,1,0))</f>
        <v>1</v>
      </c>
      <c r="U550" s="19" t="str" cm="1">
        <f t="array" ref="U5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0" s="19" t="str" cm="1">
        <f t="array" ref="V5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1" spans="1:22" x14ac:dyDescent="0.3">
      <c r="A551" s="1" t="s">
        <v>1616</v>
      </c>
      <c r="B551" s="5">
        <v>46145</v>
      </c>
      <c r="C551" s="6">
        <v>0.66666666666666663</v>
      </c>
      <c r="D551" s="1" t="s">
        <v>10</v>
      </c>
      <c r="E551" s="1" t="s">
        <v>11</v>
      </c>
      <c r="F551" s="1" t="s">
        <v>1627</v>
      </c>
      <c r="G551" s="39" t="s">
        <v>1619</v>
      </c>
      <c r="H551" s="1">
        <v>1</v>
      </c>
      <c r="I551" s="1">
        <v>2</v>
      </c>
      <c r="J551" s="39" t="s">
        <v>684</v>
      </c>
      <c r="K551" s="1">
        <v>2</v>
      </c>
      <c r="L551" s="1">
        <v>1</v>
      </c>
      <c r="S551" s="1" t="str">
        <f>IF(tblDados[[#This Row],[Mandante]]="","",TEXT(tblDados[[#This Row],[Data]],"aaaa-mm-dd")&amp;"|"&amp;TRIM(tblDados[[#This Row],[Mandante]])&amp;"|"&amp;TRIM(tblDados[[#This Row],[Visitante]]))</f>
        <v>2026-05-03|GV San José|Bolívar</v>
      </c>
      <c r="T551" s="1">
        <f>IF($G551="",0,IF(COUNTIF($S$2:$S551,$S551)=1,1,0))</f>
        <v>1</v>
      </c>
      <c r="U551" s="19" t="str" cm="1">
        <f t="array" ref="U5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1" s="19" t="str" cm="1">
        <f t="array" ref="V5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2" spans="1:22" x14ac:dyDescent="0.3">
      <c r="A552" s="1" t="s">
        <v>1617</v>
      </c>
      <c r="B552" s="5">
        <v>46152</v>
      </c>
      <c r="C552" s="6">
        <v>0.77083333333333337</v>
      </c>
      <c r="D552" s="1" t="s">
        <v>10</v>
      </c>
      <c r="E552" s="1" t="s">
        <v>11</v>
      </c>
      <c r="F552" s="1" t="s">
        <v>1628</v>
      </c>
      <c r="G552" s="39" t="s">
        <v>235</v>
      </c>
      <c r="H552" s="1">
        <v>0</v>
      </c>
      <c r="I552" s="1">
        <v>0</v>
      </c>
      <c r="J552" s="39" t="s">
        <v>684</v>
      </c>
      <c r="K552" s="1">
        <v>0</v>
      </c>
      <c r="L552" s="1">
        <v>0</v>
      </c>
      <c r="S552" s="1" t="str">
        <f>IF(tblDados[[#This Row],[Mandante]]="","",TEXT(tblDados[[#This Row],[Data]],"aaaa-mm-dd")&amp;"|"&amp;TRIM(tblDados[[#This Row],[Mandante]])&amp;"|"&amp;TRIM(tblDados[[#This Row],[Visitante]]))</f>
        <v>2026-05-10|Blooming|Bolívar</v>
      </c>
      <c r="T552" s="1">
        <f>IF($G552="",0,IF(COUNTIF($S$2:$S552,$S552)=1,1,0))</f>
        <v>1</v>
      </c>
      <c r="U552" s="19" t="str" cm="1">
        <f t="array" ref="U5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2" s="19" t="str" cm="1">
        <f t="array" ref="V5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3" spans="1:22" ht="14.4" x14ac:dyDescent="0.3">
      <c r="A553" s="1" t="s">
        <v>1618</v>
      </c>
      <c r="B553" s="5">
        <v>46158</v>
      </c>
      <c r="C553" s="6">
        <v>0.875</v>
      </c>
      <c r="D553" s="1" t="s">
        <v>10</v>
      </c>
      <c r="E553" s="1" t="s">
        <v>11</v>
      </c>
      <c r="F553" s="1" t="s">
        <v>1629</v>
      </c>
      <c r="G553" s="39" t="s">
        <v>680</v>
      </c>
      <c r="H553" s="1">
        <v>3</v>
      </c>
      <c r="I553" s="1">
        <v>2</v>
      </c>
      <c r="J553" s="39" t="s">
        <v>684</v>
      </c>
      <c r="K553" s="1">
        <v>2</v>
      </c>
      <c r="L553" s="1">
        <v>3</v>
      </c>
      <c r="S553" s="1" t="str">
        <f>IF(tblDados[[#This Row],[Mandante]]="","",TEXT(tblDados[[#This Row],[Data]],"aaaa-mm-dd")&amp;"|"&amp;TRIM(tblDados[[#This Row],[Mandante]])&amp;"|"&amp;TRIM(tblDados[[#This Row],[Visitante]]))</f>
        <v>2026-05-16|Universitario de Vinto|Bolívar</v>
      </c>
      <c r="T553">
        <f>IF($G553="",0,IF(COUNTIF($S$2:$S2834,$S553)=1,1,0))</f>
        <v>1</v>
      </c>
      <c r="U553" s="19" t="str" cm="1">
        <f t="array" ref="U5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3" s="19" t="str" cm="1">
        <f t="array" ref="V5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4" spans="1:22" x14ac:dyDescent="0.3">
      <c r="A554" s="1" t="s">
        <v>1630</v>
      </c>
      <c r="B554" s="5">
        <v>46116</v>
      </c>
      <c r="C554" s="6">
        <v>0.66666666666666663</v>
      </c>
      <c r="D554" s="1" t="s">
        <v>10</v>
      </c>
      <c r="E554" s="1" t="s">
        <v>11</v>
      </c>
      <c r="F554" s="1" t="s">
        <v>1631</v>
      </c>
      <c r="G554" s="39" t="s">
        <v>1097</v>
      </c>
      <c r="H554" s="1">
        <v>2</v>
      </c>
      <c r="I554" s="1">
        <v>0</v>
      </c>
      <c r="J554" s="39" t="s">
        <v>665</v>
      </c>
      <c r="K554" s="1">
        <v>0</v>
      </c>
      <c r="L554" s="1">
        <v>2</v>
      </c>
      <c r="S554" s="1" t="str">
        <f>IF(tblDados[[#This Row],[Mandante]]="","",TEXT(tblDados[[#This Row],[Data]],"aaaa-mm-dd")&amp;"|"&amp;TRIM(tblDados[[#This Row],[Mandante]])&amp;"|"&amp;TRIM(tblDados[[#This Row],[Visitante]]))</f>
        <v>2026-04-04|SA Bulo Bulo|Oriente Petrolero</v>
      </c>
      <c r="T554" s="1">
        <f>IF($G554="",0,IF(COUNTIF($S$2:$S554,$S554)=1,1,0))</f>
        <v>1</v>
      </c>
      <c r="U554" s="19" t="str" cm="1">
        <f t="array" ref="U5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4" s="19" t="str" cm="1">
        <f t="array" ref="V5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5" spans="1:22" x14ac:dyDescent="0.3">
      <c r="A555" s="1" t="s">
        <v>1632</v>
      </c>
      <c r="B555" s="5">
        <v>46154</v>
      </c>
      <c r="C555" s="6">
        <v>0.875</v>
      </c>
      <c r="D555" s="1" t="s">
        <v>10</v>
      </c>
      <c r="E555" s="1" t="s">
        <v>11</v>
      </c>
      <c r="F555" s="1" t="s">
        <v>1633</v>
      </c>
      <c r="G555" s="39" t="s">
        <v>1097</v>
      </c>
      <c r="H555" s="1">
        <v>0</v>
      </c>
      <c r="I555" s="1">
        <v>2</v>
      </c>
      <c r="J555" s="39" t="s">
        <v>680</v>
      </c>
      <c r="K555" s="1">
        <v>2</v>
      </c>
      <c r="L555" s="1">
        <v>0</v>
      </c>
      <c r="S555" s="1" t="str">
        <f>IF(tblDados[[#This Row],[Mandante]]="","",TEXT(tblDados[[#This Row],[Data]],"aaaa-mm-dd")&amp;"|"&amp;TRIM(tblDados[[#This Row],[Mandante]])&amp;"|"&amp;TRIM(tblDados[[#This Row],[Visitante]]))</f>
        <v>2026-05-12|SA Bulo Bulo|Universitario de Vinto</v>
      </c>
      <c r="T555" s="1">
        <f>IF($G555="",0,IF(COUNTIF($S$2:$S555,$S555)=1,1,0))</f>
        <v>1</v>
      </c>
      <c r="U555" s="19" t="str" cm="1">
        <f t="array" ref="U5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5" s="19" t="str" cm="1">
        <f t="array" ref="V5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6" spans="1:22" x14ac:dyDescent="0.3">
      <c r="A556" s="1" t="s">
        <v>1634</v>
      </c>
      <c r="B556" s="5">
        <v>46171</v>
      </c>
      <c r="C556" s="6">
        <v>0.875</v>
      </c>
      <c r="D556" s="1" t="s">
        <v>10</v>
      </c>
      <c r="E556" s="1" t="s">
        <v>11</v>
      </c>
      <c r="F556" s="1" t="s">
        <v>1652</v>
      </c>
      <c r="G556" s="39" t="s">
        <v>1097</v>
      </c>
      <c r="H556" s="1">
        <v>1</v>
      </c>
      <c r="I556" s="1">
        <v>2</v>
      </c>
      <c r="J556" s="39" t="s">
        <v>668</v>
      </c>
      <c r="K556" s="1">
        <v>2</v>
      </c>
      <c r="L556" s="1">
        <v>1</v>
      </c>
      <c r="S556" s="1" t="str">
        <f>IF(tblDados[[#This Row],[Mandante]]="","",TEXT(tblDados[[#This Row],[Data]],"aaaa-mm-dd")&amp;"|"&amp;TRIM(tblDados[[#This Row],[Mandante]])&amp;"|"&amp;TRIM(tblDados[[#This Row],[Visitante]]))</f>
        <v>2026-05-29|SA Bulo Bulo|Guabirá</v>
      </c>
      <c r="T556" s="1">
        <f>IF($G556="",0,IF(COUNTIF($S$2:$S556,$S556)=1,1,0))</f>
        <v>1</v>
      </c>
      <c r="U556" s="19" t="str" cm="1">
        <f t="array" ref="U5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6" s="19" t="str" cm="1">
        <f t="array" ref="V5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7" spans="1:22" x14ac:dyDescent="0.3">
      <c r="A557" s="1" t="s">
        <v>1635</v>
      </c>
      <c r="B557" s="5">
        <v>46223</v>
      </c>
      <c r="C557" s="6">
        <v>0.83333333333333337</v>
      </c>
      <c r="D557" s="1" t="s">
        <v>10</v>
      </c>
      <c r="E557" s="1" t="s">
        <v>11</v>
      </c>
      <c r="F557" s="1" t="s">
        <v>1653</v>
      </c>
      <c r="G557" s="39" t="s">
        <v>1097</v>
      </c>
      <c r="H557" s="1">
        <v>2</v>
      </c>
      <c r="I557" s="1">
        <v>1</v>
      </c>
      <c r="J557" s="39" t="s">
        <v>190</v>
      </c>
      <c r="K557" s="1">
        <v>1</v>
      </c>
      <c r="L557" s="1">
        <v>2</v>
      </c>
      <c r="S557" s="1" t="str">
        <f>IF(tblDados[[#This Row],[Mandante]]="","",TEXT(tblDados[[#This Row],[Data]],"aaaa-mm-dd")&amp;"|"&amp;TRIM(tblDados[[#This Row],[Mandante]])&amp;"|"&amp;TRIM(tblDados[[#This Row],[Visitante]]))</f>
        <v>2026-07-20|SA Bulo Bulo|ABB</v>
      </c>
      <c r="T557" s="1">
        <f>IF($G557="",0,IF(COUNTIF($S$2:$S557,$S557)=1,1,0))</f>
        <v>1</v>
      </c>
      <c r="U557" s="19" t="str" cm="1">
        <f t="array" ref="U5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7" s="19" t="str" cm="1">
        <f t="array" ref="V5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8" spans="1:22" ht="14.4" x14ac:dyDescent="0.3">
      <c r="A558" s="1" t="s">
        <v>1637</v>
      </c>
      <c r="B558" s="5">
        <v>46115</v>
      </c>
      <c r="C558" s="6">
        <v>0.875</v>
      </c>
      <c r="D558" s="1" t="s">
        <v>10</v>
      </c>
      <c r="E558" s="1" t="s">
        <v>11</v>
      </c>
      <c r="F558" s="1" t="s">
        <v>1643</v>
      </c>
      <c r="G558" s="39" t="s">
        <v>228</v>
      </c>
      <c r="H558" s="1">
        <v>0</v>
      </c>
      <c r="I558" s="1">
        <v>3</v>
      </c>
      <c r="J558" s="39" t="s">
        <v>671</v>
      </c>
      <c r="K558" s="1">
        <v>3</v>
      </c>
      <c r="L558" s="1">
        <v>0</v>
      </c>
      <c r="S558" s="1" t="str">
        <f>IF(tblDados[[#This Row],[Mandante]]="","",TEXT(tblDados[[#This Row],[Data]],"aaaa-mm-dd")&amp;"|"&amp;TRIM(tblDados[[#This Row],[Mandante]])&amp;"|"&amp;TRIM(tblDados[[#This Row],[Visitante]]))</f>
        <v>2026-04-03|Independiente Petrolero|Nacional Potosí</v>
      </c>
      <c r="T558">
        <f>IF($G558="",0,IF(COUNTIF($S$2:$S2834,$S558)=1,1,0))</f>
        <v>1</v>
      </c>
      <c r="U558" s="19" t="str" cm="1">
        <f t="array" ref="U5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8" s="19" t="str" cm="1">
        <f t="array" ref="V5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9" spans="1:22" x14ac:dyDescent="0.3">
      <c r="A559" s="1" t="s">
        <v>1638</v>
      </c>
      <c r="B559" s="5">
        <v>46134</v>
      </c>
      <c r="C559" s="6">
        <v>0.875</v>
      </c>
      <c r="D559" s="1" t="s">
        <v>10</v>
      </c>
      <c r="E559" s="1" t="s">
        <v>11</v>
      </c>
      <c r="F559" s="1" t="s">
        <v>1644</v>
      </c>
      <c r="G559" s="39" t="s">
        <v>235</v>
      </c>
      <c r="H559" s="1">
        <v>2</v>
      </c>
      <c r="I559" s="1">
        <v>1</v>
      </c>
      <c r="J559" s="39" t="s">
        <v>671</v>
      </c>
      <c r="K559" s="1">
        <v>1</v>
      </c>
      <c r="L559" s="1">
        <v>2</v>
      </c>
      <c r="S559" s="1" t="str">
        <f>IF(tblDados[[#This Row],[Mandante]]="","",TEXT(tblDados[[#This Row],[Data]],"aaaa-mm-dd")&amp;"|"&amp;TRIM(tblDados[[#This Row],[Mandante]])&amp;"|"&amp;TRIM(tblDados[[#This Row],[Visitante]]))</f>
        <v>2026-04-22|Blooming|Nacional Potosí</v>
      </c>
      <c r="T559" s="1">
        <f>IF($G559="",0,IF(COUNTIF($S$2:$S559,$S559)=1,1,0))</f>
        <v>1</v>
      </c>
      <c r="U559" s="19" t="str" cm="1">
        <f t="array" ref="U5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9" s="19" t="str" cm="1">
        <f t="array" ref="V5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0" spans="1:22" x14ac:dyDescent="0.3">
      <c r="A560" s="1" t="s">
        <v>1639</v>
      </c>
      <c r="B560" s="5">
        <v>46155</v>
      </c>
      <c r="C560" s="6">
        <v>0.875</v>
      </c>
      <c r="D560" s="1" t="s">
        <v>10</v>
      </c>
      <c r="E560" s="1" t="s">
        <v>11</v>
      </c>
      <c r="F560" s="1" t="s">
        <v>1645</v>
      </c>
      <c r="G560" s="39" t="s">
        <v>684</v>
      </c>
      <c r="H560" s="1">
        <v>1</v>
      </c>
      <c r="I560" s="1">
        <v>1</v>
      </c>
      <c r="J560" s="39" t="s">
        <v>671</v>
      </c>
      <c r="K560" s="1">
        <v>1</v>
      </c>
      <c r="L560" s="1">
        <v>1</v>
      </c>
      <c r="S560" s="1" t="str">
        <f>IF(tblDados[[#This Row],[Mandante]]="","",TEXT(tblDados[[#This Row],[Data]],"aaaa-mm-dd")&amp;"|"&amp;TRIM(tblDados[[#This Row],[Mandante]])&amp;"|"&amp;TRIM(tblDados[[#This Row],[Visitante]]))</f>
        <v>2026-05-13|Bolívar|Nacional Potosí</v>
      </c>
      <c r="T560" s="1">
        <f>IF($G560="",0,IF(COUNTIF($S$2:$S560,$S560)=1,1,0))</f>
        <v>1</v>
      </c>
      <c r="U560" s="19" t="str" cm="1">
        <f t="array" ref="U5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0" s="19" t="str" cm="1">
        <f t="array" ref="V5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1" spans="1:22" x14ac:dyDescent="0.3">
      <c r="A561" s="1" t="s">
        <v>1640</v>
      </c>
      <c r="B561" s="5">
        <v>46159</v>
      </c>
      <c r="C561" s="6">
        <v>0.77083333333333337</v>
      </c>
      <c r="D561" s="1" t="s">
        <v>10</v>
      </c>
      <c r="E561" s="1" t="s">
        <v>11</v>
      </c>
      <c r="F561" s="1" t="s">
        <v>1646</v>
      </c>
      <c r="G561" s="39" t="s">
        <v>668</v>
      </c>
      <c r="H561" s="1">
        <v>2</v>
      </c>
      <c r="I561" s="1">
        <v>1</v>
      </c>
      <c r="J561" s="39" t="s">
        <v>671</v>
      </c>
      <c r="K561" s="1">
        <v>1</v>
      </c>
      <c r="L561" s="1">
        <v>2</v>
      </c>
      <c r="S561" s="1" t="str">
        <f>IF(tblDados[[#This Row],[Mandante]]="","",TEXT(tblDados[[#This Row],[Data]],"aaaa-mm-dd")&amp;"|"&amp;TRIM(tblDados[[#This Row],[Mandante]])&amp;"|"&amp;TRIM(tblDados[[#This Row],[Visitante]]))</f>
        <v>2026-05-17|Guabirá|Nacional Potosí</v>
      </c>
      <c r="T561" s="1">
        <f>IF($G561="",0,IF(COUNTIF($S$2:$S561,$S561)=1,1,0))</f>
        <v>1</v>
      </c>
      <c r="U561" s="19" t="str" cm="1">
        <f t="array" ref="U5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1" s="19" t="str" cm="1">
        <f t="array" ref="V5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2" spans="1:22" x14ac:dyDescent="0.3">
      <c r="A562" s="1" t="s">
        <v>1641</v>
      </c>
      <c r="B562" s="5">
        <v>46215</v>
      </c>
      <c r="C562" s="6">
        <v>0.66666666666666663</v>
      </c>
      <c r="D562" s="1" t="s">
        <v>10</v>
      </c>
      <c r="E562" s="1" t="s">
        <v>11</v>
      </c>
      <c r="F562" s="1" t="s">
        <v>1647</v>
      </c>
      <c r="G562" s="39" t="s">
        <v>1598</v>
      </c>
      <c r="H562" s="1">
        <v>1</v>
      </c>
      <c r="I562" s="1">
        <v>1</v>
      </c>
      <c r="J562" s="39" t="s">
        <v>671</v>
      </c>
      <c r="K562" s="1">
        <v>1</v>
      </c>
      <c r="L562" s="1">
        <v>1</v>
      </c>
      <c r="S562" s="1" t="str">
        <f>IF(tblDados[[#This Row],[Mandante]]="","",TEXT(tblDados[[#This Row],[Data]],"aaaa-mm-dd")&amp;"|"&amp;TRIM(tblDados[[#This Row],[Mandante]])&amp;"|"&amp;TRIM(tblDados[[#This Row],[Visitante]]))</f>
        <v>2026-07-12|Real Potosí|Nacional Potosí</v>
      </c>
      <c r="T562" s="1">
        <f>IF($G562="",0,IF(COUNTIF($S$2:$S562,$S562)=1,1,0))</f>
        <v>1</v>
      </c>
      <c r="U562" s="19" t="str" cm="1">
        <f t="array" ref="U5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2" s="19" t="str" cm="1">
        <f t="array" ref="V5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3" spans="1:22" ht="14.4" x14ac:dyDescent="0.3">
      <c r="A563" s="1" t="s">
        <v>1642</v>
      </c>
      <c r="B563" s="5">
        <v>46236</v>
      </c>
      <c r="C563" s="6">
        <v>0.77083333333333337</v>
      </c>
      <c r="D563" s="1" t="s">
        <v>10</v>
      </c>
      <c r="E563" s="1" t="s">
        <v>11</v>
      </c>
      <c r="F563" s="1" t="s">
        <v>1648</v>
      </c>
      <c r="G563" s="39" t="s">
        <v>665</v>
      </c>
      <c r="H563" s="1">
        <v>1</v>
      </c>
      <c r="I563" s="1">
        <v>0</v>
      </c>
      <c r="J563" s="39" t="s">
        <v>671</v>
      </c>
      <c r="K563" s="1">
        <v>0</v>
      </c>
      <c r="L563" s="1">
        <v>1</v>
      </c>
      <c r="S563" s="1" t="str">
        <f>IF(tblDados[[#This Row],[Mandante]]="","",TEXT(tblDados[[#This Row],[Data]],"aaaa-mm-dd")&amp;"|"&amp;TRIM(tblDados[[#This Row],[Mandante]])&amp;"|"&amp;TRIM(tblDados[[#This Row],[Visitante]]))</f>
        <v>2026-08-02|Oriente Petrolero|Nacional Potosí</v>
      </c>
      <c r="T563">
        <f>IF($G563="",0,IF(COUNTIF($S$2:$S2834,$S563)=1,1,0))</f>
        <v>1</v>
      </c>
      <c r="U563" s="19" t="str" cm="1">
        <f t="array" ref="U5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3" s="19" t="str" cm="1">
        <f t="array" ref="V5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4" spans="1:22" ht="14.4" x14ac:dyDescent="0.3">
      <c r="A564" s="1" t="s">
        <v>1670</v>
      </c>
      <c r="B564" s="102">
        <v>46240</v>
      </c>
      <c r="C564" s="6">
        <v>0.6875</v>
      </c>
      <c r="D564" s="1" t="s">
        <v>10</v>
      </c>
      <c r="E564" s="1" t="s">
        <v>11</v>
      </c>
      <c r="F564" s="1" t="s">
        <v>1671</v>
      </c>
      <c r="G564" s="39" t="s">
        <v>235</v>
      </c>
      <c r="H564" s="1">
        <v>0</v>
      </c>
      <c r="I564" s="1">
        <v>0</v>
      </c>
      <c r="J564" s="39" t="s">
        <v>664</v>
      </c>
      <c r="K564" s="1">
        <v>0</v>
      </c>
      <c r="L564" s="1">
        <v>0</v>
      </c>
      <c r="S564" s="1" t="str">
        <f>IF(tblDados[[#This Row],[Mandante]]="","",TEXT(tblDados[[#This Row],[Data]],"aaaa-mm-dd")&amp;"|"&amp;TRIM(tblDados[[#This Row],[Mandante]])&amp;"|"&amp;TRIM(tblDados[[#This Row],[Visitante]]))</f>
        <v>2026-08-06|Blooming|Always Ready</v>
      </c>
      <c r="T564">
        <f>IF($G564="",0,IF(COUNTIF($S$2:$S2834,$S564)=1,1,0))</f>
        <v>1</v>
      </c>
      <c r="U564" s="19" t="str" cm="1">
        <f t="array" ref="U5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4" s="19" t="str" cm="1">
        <f t="array" ref="V5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5" spans="1:22" x14ac:dyDescent="0.3">
      <c r="A565" s="1" t="s">
        <v>1672</v>
      </c>
      <c r="B565" s="102">
        <v>46117</v>
      </c>
      <c r="C565" s="6">
        <v>0.76041666666666696</v>
      </c>
      <c r="D565" s="1" t="s">
        <v>10</v>
      </c>
      <c r="E565" s="1" t="s">
        <v>11</v>
      </c>
      <c r="F565" s="1" t="s">
        <v>1673</v>
      </c>
      <c r="G565" s="39" t="s">
        <v>680</v>
      </c>
      <c r="H565" s="1">
        <v>1</v>
      </c>
      <c r="I565" s="1">
        <v>2</v>
      </c>
      <c r="J565" s="39" t="s">
        <v>181</v>
      </c>
      <c r="K565" s="1">
        <v>2</v>
      </c>
      <c r="L565" s="1">
        <v>1</v>
      </c>
      <c r="S565" s="1" t="str">
        <f>IF(tblDados[[#This Row],[Mandante]]="","",TEXT(tblDados[[#This Row],[Data]],"aaaa-mm-dd")&amp;"|"&amp;TRIM(tblDados[[#This Row],[Mandante]])&amp;"|"&amp;TRIM(tblDados[[#This Row],[Visitante]]))</f>
        <v>2026-04-05|Universitario de Vinto|The Strongest</v>
      </c>
      <c r="T565" s="1">
        <f>IF($G565="",0,IF(COUNTIF($S$2:$S565,$S565)=1,1,0))</f>
        <v>1</v>
      </c>
      <c r="U565" s="19" t="str" cm="1">
        <f t="array" ref="U5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5" s="19" t="str" cm="1">
        <f t="array" ref="V5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6" spans="1:22" x14ac:dyDescent="0.3">
      <c r="A566" s="1" t="s">
        <v>1674</v>
      </c>
      <c r="B566" s="102">
        <v>46222</v>
      </c>
      <c r="C566" s="6">
        <v>0.5</v>
      </c>
      <c r="D566" s="1" t="s">
        <v>10</v>
      </c>
      <c r="E566" s="1" t="s">
        <v>11</v>
      </c>
      <c r="F566" s="1" t="s">
        <v>1675</v>
      </c>
      <c r="G566" s="39" t="s">
        <v>1619</v>
      </c>
      <c r="H566" s="1">
        <v>0</v>
      </c>
      <c r="I566" s="1">
        <v>0</v>
      </c>
      <c r="J566" s="39" t="s">
        <v>181</v>
      </c>
      <c r="K566" s="1">
        <v>0</v>
      </c>
      <c r="L566" s="1">
        <v>0</v>
      </c>
      <c r="S566" s="1" t="str">
        <f>IF(tblDados[[#This Row],[Mandante]]="","",TEXT(tblDados[[#This Row],[Data]],"aaaa-mm-dd")&amp;"|"&amp;TRIM(tblDados[[#This Row],[Mandante]])&amp;"|"&amp;TRIM(tblDados[[#This Row],[Visitante]]))</f>
        <v>2026-07-19|GV San José|The Strongest</v>
      </c>
      <c r="T566" s="1">
        <f>IF($G566="",0,IF(COUNTIF($S$2:$S566,$S566)=1,1,0))</f>
        <v>1</v>
      </c>
      <c r="U566" s="19" t="str" cm="1">
        <f t="array" ref="U5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6" s="19" t="str" cm="1">
        <f t="array" ref="V5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7" spans="1:22" ht="14.4" x14ac:dyDescent="0.3">
      <c r="A567" s="1" t="s">
        <v>1676</v>
      </c>
      <c r="B567" s="102">
        <v>46229</v>
      </c>
      <c r="C567" s="6">
        <v>0.66666666666666696</v>
      </c>
      <c r="D567" s="1" t="s">
        <v>10</v>
      </c>
      <c r="E567" s="1" t="s">
        <v>11</v>
      </c>
      <c r="F567" s="1" t="s">
        <v>1677</v>
      </c>
      <c r="G567" s="39" t="s">
        <v>235</v>
      </c>
      <c r="H567" s="1">
        <v>1</v>
      </c>
      <c r="I567" s="1">
        <v>1</v>
      </c>
      <c r="J567" s="39" t="s">
        <v>181</v>
      </c>
      <c r="K567" s="1">
        <v>1</v>
      </c>
      <c r="L567" s="1">
        <v>1</v>
      </c>
      <c r="S567" s="1" t="str">
        <f>IF(tblDados[[#This Row],[Mandante]]="","",TEXT(tblDados[[#This Row],[Data]],"aaaa-mm-dd")&amp;"|"&amp;TRIM(tblDados[[#This Row],[Mandante]])&amp;"|"&amp;TRIM(tblDados[[#This Row],[Visitante]]))</f>
        <v>2026-07-26|Blooming|The Strongest</v>
      </c>
      <c r="T567">
        <f>IF($G567="",0,IF(COUNTIF($S$2:$S2834,$S567)=1,1,0))</f>
        <v>1</v>
      </c>
      <c r="U567" s="19" t="str" cm="1">
        <f t="array" ref="U5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7" s="19" t="str" cm="1">
        <f t="array" ref="V5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8" spans="1:22" x14ac:dyDescent="0.3">
      <c r="A568" s="1" t="s">
        <v>1678</v>
      </c>
      <c r="B568" s="102">
        <v>46221</v>
      </c>
      <c r="C568" s="6">
        <v>0.875</v>
      </c>
      <c r="D568" s="1" t="s">
        <v>10</v>
      </c>
      <c r="E568" s="1" t="s">
        <v>11</v>
      </c>
      <c r="F568" s="1" t="s">
        <v>1679</v>
      </c>
      <c r="G568" s="39" t="s">
        <v>684</v>
      </c>
      <c r="H568" s="1">
        <v>4</v>
      </c>
      <c r="I568" s="1">
        <v>0</v>
      </c>
      <c r="J568" s="39" t="s">
        <v>668</v>
      </c>
      <c r="K568" s="1">
        <v>0</v>
      </c>
      <c r="L568" s="1">
        <v>4</v>
      </c>
      <c r="S568" s="1" t="str">
        <f>IF(tblDados[[#This Row],[Mandante]]="","",TEXT(tblDados[[#This Row],[Data]],"aaaa-mm-dd")&amp;"|"&amp;TRIM(tblDados[[#This Row],[Mandante]])&amp;"|"&amp;TRIM(tblDados[[#This Row],[Visitante]]))</f>
        <v>2026-07-18|Bolívar|Guabirá</v>
      </c>
      <c r="T568" s="1">
        <f>IF($G568="",0,IF(COUNTIF($S$2:$S568,$S568)=1,1,0))</f>
        <v>1</v>
      </c>
      <c r="U568" s="19" t="str" cm="1">
        <f t="array" ref="U5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8" s="19" t="str" cm="1">
        <f t="array" ref="V5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9" spans="1:22" ht="14.4" x14ac:dyDescent="0.3">
      <c r="A569" s="1" t="s">
        <v>1680</v>
      </c>
      <c r="B569" s="102">
        <v>46230</v>
      </c>
      <c r="C569" s="6">
        <v>0.76041666666666696</v>
      </c>
      <c r="D569" s="1" t="s">
        <v>10</v>
      </c>
      <c r="E569" s="1" t="s">
        <v>11</v>
      </c>
      <c r="F569" s="1" t="s">
        <v>1681</v>
      </c>
      <c r="G569" s="39" t="s">
        <v>684</v>
      </c>
      <c r="H569" s="1">
        <v>2</v>
      </c>
      <c r="I569" s="1">
        <v>1</v>
      </c>
      <c r="J569" s="39" t="s">
        <v>1598</v>
      </c>
      <c r="K569" s="1">
        <v>1</v>
      </c>
      <c r="L569" s="1">
        <v>2</v>
      </c>
      <c r="S569" s="1" t="str">
        <f>IF(tblDados[[#This Row],[Mandante]]="","",TEXT(tblDados[[#This Row],[Data]],"aaaa-mm-dd")&amp;"|"&amp;TRIM(tblDados[[#This Row],[Mandante]])&amp;"|"&amp;TRIM(tblDados[[#This Row],[Visitante]]))</f>
        <v>2026-07-27|Bolívar|Real Potosí</v>
      </c>
      <c r="T569">
        <f>IF($G569="",0,IF(COUNTIF($S$2:$S2834,$S569)=1,1,0))</f>
        <v>1</v>
      </c>
      <c r="U569" s="19" t="str" cm="1">
        <f t="array" ref="U5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9" s="19" t="str" cm="1">
        <f t="array" ref="V5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0" spans="1:22" x14ac:dyDescent="0.3">
      <c r="A570" s="1" t="s">
        <v>1682</v>
      </c>
      <c r="B570" s="102">
        <v>46116</v>
      </c>
      <c r="C570" s="6">
        <v>0.76041666666666696</v>
      </c>
      <c r="D570" s="1" t="s">
        <v>10</v>
      </c>
      <c r="E570" s="1" t="s">
        <v>11</v>
      </c>
      <c r="F570" s="1" t="s">
        <v>1683</v>
      </c>
      <c r="G570" s="39" t="s">
        <v>1598</v>
      </c>
      <c r="H570" s="1">
        <v>0</v>
      </c>
      <c r="I570" s="1">
        <v>0</v>
      </c>
      <c r="J570" s="39" t="s">
        <v>182</v>
      </c>
      <c r="K570" s="1">
        <v>0</v>
      </c>
      <c r="L570" s="1">
        <v>0</v>
      </c>
      <c r="S570" s="1" t="str">
        <f>IF(tblDados[[#This Row],[Mandante]]="","",TEXT(tblDados[[#This Row],[Data]],"aaaa-mm-dd")&amp;"|"&amp;TRIM(tblDados[[#This Row],[Mandante]])&amp;"|"&amp;TRIM(tblDados[[#This Row],[Visitante]]))</f>
        <v>2026-04-04|Real Potosí|Club Aurora</v>
      </c>
      <c r="T570" s="1">
        <f>IF($G570="",0,IF(COUNTIF($S$2:$S570,$S570)=1,1,0))</f>
        <v>1</v>
      </c>
      <c r="U570" s="19" t="str" cm="1">
        <f t="array" ref="U5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0" s="19" t="str" cm="1">
        <f t="array" ref="V5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1" spans="1:22" x14ac:dyDescent="0.3">
      <c r="A571" s="1" t="s">
        <v>1684</v>
      </c>
      <c r="B571" s="102">
        <v>46133</v>
      </c>
      <c r="C571" s="6">
        <v>0.79166666666666696</v>
      </c>
      <c r="D571" s="1" t="s">
        <v>10</v>
      </c>
      <c r="E571" s="1" t="s">
        <v>11</v>
      </c>
      <c r="F571" s="1" t="s">
        <v>1685</v>
      </c>
      <c r="G571" s="39" t="s">
        <v>1619</v>
      </c>
      <c r="H571" s="1">
        <v>1</v>
      </c>
      <c r="I571" s="1">
        <v>1</v>
      </c>
      <c r="J571" s="39" t="s">
        <v>182</v>
      </c>
      <c r="K571" s="1">
        <v>1</v>
      </c>
      <c r="L571" s="1">
        <v>1</v>
      </c>
      <c r="S571" s="1" t="str">
        <f>IF(tblDados[[#This Row],[Mandante]]="","",TEXT(tblDados[[#This Row],[Data]],"aaaa-mm-dd")&amp;"|"&amp;TRIM(tblDados[[#This Row],[Mandante]])&amp;"|"&amp;TRIM(tblDados[[#This Row],[Visitante]]))</f>
        <v>2026-04-21|GV San José|Club Aurora</v>
      </c>
      <c r="T571" s="1">
        <f>IF($G571="",0,IF(COUNTIF($S$2:$S571,$S571)=1,1,0))</f>
        <v>1</v>
      </c>
      <c r="U571" s="19" t="str" cm="1">
        <f t="array" ref="U5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1" s="19" t="str" cm="1">
        <f t="array" ref="V5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2" spans="1:22" x14ac:dyDescent="0.3">
      <c r="A572" s="1" t="s">
        <v>1686</v>
      </c>
      <c r="B572" s="102">
        <v>46174</v>
      </c>
      <c r="C572" s="6">
        <v>0.875</v>
      </c>
      <c r="D572" s="1" t="s">
        <v>10</v>
      </c>
      <c r="E572" s="1" t="s">
        <v>11</v>
      </c>
      <c r="F572" s="1" t="s">
        <v>1687</v>
      </c>
      <c r="G572" s="39" t="s">
        <v>680</v>
      </c>
      <c r="H572" s="1">
        <v>1</v>
      </c>
      <c r="I572" s="1">
        <v>2</v>
      </c>
      <c r="J572" s="39" t="s">
        <v>182</v>
      </c>
      <c r="K572" s="1">
        <v>2</v>
      </c>
      <c r="L572" s="1">
        <v>1</v>
      </c>
      <c r="S572" s="1" t="str">
        <f>IF(tblDados[[#This Row],[Mandante]]="","",TEXT(tblDados[[#This Row],[Data]],"aaaa-mm-dd")&amp;"|"&amp;TRIM(tblDados[[#This Row],[Mandante]])&amp;"|"&amp;TRIM(tblDados[[#This Row],[Visitante]]))</f>
        <v>2026-06-01|Universitario de Vinto|Club Aurora</v>
      </c>
      <c r="T572" s="1">
        <f>IF($G572="",0,IF(COUNTIF($S$2:$S572,$S572)=1,1,0))</f>
        <v>1</v>
      </c>
      <c r="U572" s="19" t="str" cm="1">
        <f t="array" ref="U5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2" s="19" t="str" cm="1">
        <f t="array" ref="V5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3" spans="1:22" x14ac:dyDescent="0.3">
      <c r="A573" s="1" t="s">
        <v>1688</v>
      </c>
      <c r="B573" s="102">
        <v>46212</v>
      </c>
      <c r="C573" s="6">
        <v>0.875</v>
      </c>
      <c r="D573" s="1" t="s">
        <v>10</v>
      </c>
      <c r="E573" s="1" t="s">
        <v>11</v>
      </c>
      <c r="F573" s="1" t="s">
        <v>1689</v>
      </c>
      <c r="G573" s="39" t="s">
        <v>671</v>
      </c>
      <c r="H573" s="1">
        <v>2</v>
      </c>
      <c r="I573" s="1">
        <v>0</v>
      </c>
      <c r="J573" s="39" t="s">
        <v>182</v>
      </c>
      <c r="K573" s="1">
        <v>0</v>
      </c>
      <c r="L573" s="1">
        <v>2</v>
      </c>
      <c r="S573" s="1" t="str">
        <f>IF(tblDados[[#This Row],[Mandante]]="","",TEXT(tblDados[[#This Row],[Data]],"aaaa-mm-dd")&amp;"|"&amp;TRIM(tblDados[[#This Row],[Mandante]])&amp;"|"&amp;TRIM(tblDados[[#This Row],[Visitante]]))</f>
        <v>2026-07-09|Nacional Potosí|Club Aurora</v>
      </c>
      <c r="T573" s="1">
        <f>IF($G573="",0,IF(COUNTIF($S$2:$S573,$S573)=1,1,0))</f>
        <v>1</v>
      </c>
      <c r="U573" s="19" t="str" cm="1">
        <f t="array" ref="U5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3" s="19" t="str" cm="1">
        <f t="array" ref="V5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4" spans="1:22" ht="14.4" x14ac:dyDescent="0.3">
      <c r="A574" s="1" t="s">
        <v>1690</v>
      </c>
      <c r="B574" s="102">
        <v>46238</v>
      </c>
      <c r="C574" s="6">
        <v>0.79166666666666696</v>
      </c>
      <c r="D574" s="1" t="s">
        <v>10</v>
      </c>
      <c r="E574" s="1" t="s">
        <v>11</v>
      </c>
      <c r="F574" s="1" t="s">
        <v>1691</v>
      </c>
      <c r="G574" s="39" t="s">
        <v>228</v>
      </c>
      <c r="H574" s="1">
        <v>1</v>
      </c>
      <c r="I574" s="1">
        <v>1</v>
      </c>
      <c r="J574" s="39" t="s">
        <v>182</v>
      </c>
      <c r="K574" s="1">
        <v>1</v>
      </c>
      <c r="L574" s="1">
        <v>1</v>
      </c>
      <c r="S574" s="1" t="str">
        <f>IF(tblDados[[#This Row],[Mandante]]="","",TEXT(tblDados[[#This Row],[Data]],"aaaa-mm-dd")&amp;"|"&amp;TRIM(tblDados[[#This Row],[Mandante]])&amp;"|"&amp;TRIM(tblDados[[#This Row],[Visitante]]))</f>
        <v>2026-08-04|Independiente Petrolero|Club Aurora</v>
      </c>
      <c r="T574">
        <f>IF($G574="",0,IF(COUNTIF($S$2:$S2834,$S574)=1,1,0))</f>
        <v>1</v>
      </c>
      <c r="U574" s="19" t="str" cm="1">
        <f t="array" ref="U5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4" s="19" t="str" cm="1">
        <f t="array" ref="V5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5" spans="1:22" x14ac:dyDescent="0.3">
      <c r="A575" s="1" t="s">
        <v>1692</v>
      </c>
      <c r="B575" s="102">
        <v>46115</v>
      </c>
      <c r="C575" s="6">
        <v>0.6875</v>
      </c>
      <c r="D575" s="1" t="s">
        <v>10</v>
      </c>
      <c r="E575" s="1" t="s">
        <v>11</v>
      </c>
      <c r="F575" s="1" t="s">
        <v>1693</v>
      </c>
      <c r="G575" s="39" t="s">
        <v>235</v>
      </c>
      <c r="H575" s="1">
        <v>5</v>
      </c>
      <c r="I575" s="1">
        <v>0</v>
      </c>
      <c r="J575" s="39" t="s">
        <v>668</v>
      </c>
      <c r="K575" s="1">
        <v>0</v>
      </c>
      <c r="L575" s="1">
        <v>5</v>
      </c>
      <c r="S575" s="1" t="str">
        <f>IF(tblDados[[#This Row],[Mandante]]="","",TEXT(tblDados[[#This Row],[Data]],"aaaa-mm-dd")&amp;"|"&amp;TRIM(tblDados[[#This Row],[Mandante]])&amp;"|"&amp;TRIM(tblDados[[#This Row],[Visitante]]))</f>
        <v>2026-04-03|Blooming|Guabirá</v>
      </c>
      <c r="T575" s="1">
        <f>IF($G575="",0,IF(COUNTIF($S$2:$S575,$S575)=1,1,0))</f>
        <v>1</v>
      </c>
      <c r="U575" s="19" t="str" cm="1">
        <f t="array" ref="U5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5" s="19" t="str" cm="1">
        <f t="array" ref="V5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6" spans="1:22" x14ac:dyDescent="0.3">
      <c r="A576" s="1" t="s">
        <v>1694</v>
      </c>
      <c r="B576" s="102">
        <v>46134</v>
      </c>
      <c r="C576" s="6">
        <v>0.79166666666666696</v>
      </c>
      <c r="D576" s="1" t="s">
        <v>10</v>
      </c>
      <c r="E576" s="1" t="s">
        <v>11</v>
      </c>
      <c r="F576" s="1" t="s">
        <v>1695</v>
      </c>
      <c r="G576" s="39" t="s">
        <v>1598</v>
      </c>
      <c r="H576" s="1">
        <v>3</v>
      </c>
      <c r="I576" s="1">
        <v>0</v>
      </c>
      <c r="J576" s="39" t="s">
        <v>668</v>
      </c>
      <c r="K576" s="1">
        <v>0</v>
      </c>
      <c r="L576" s="1">
        <v>3</v>
      </c>
      <c r="S576" s="1" t="str">
        <f>IF(tblDados[[#This Row],[Mandante]]="","",TEXT(tblDados[[#This Row],[Data]],"aaaa-mm-dd")&amp;"|"&amp;TRIM(tblDados[[#This Row],[Mandante]])&amp;"|"&amp;TRIM(tblDados[[#This Row],[Visitante]]))</f>
        <v>2026-04-22|Real Potosí|Guabirá</v>
      </c>
      <c r="T576" s="1">
        <f>IF($G576="",0,IF(COUNTIF($S$2:$S576,$S576)=1,1,0))</f>
        <v>1</v>
      </c>
      <c r="U576" s="19" t="str" cm="1">
        <f t="array" ref="U5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6" s="19" t="str" cm="1">
        <f t="array" ref="V5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7" spans="1:22" x14ac:dyDescent="0.3">
      <c r="A577" s="1" t="s">
        <v>1696</v>
      </c>
      <c r="B577" s="102">
        <v>46151</v>
      </c>
      <c r="C577" s="6">
        <v>0.76041666666666696</v>
      </c>
      <c r="D577" s="1" t="s">
        <v>10</v>
      </c>
      <c r="E577" s="1" t="s">
        <v>11</v>
      </c>
      <c r="F577" s="1" t="s">
        <v>1697</v>
      </c>
      <c r="G577" s="39" t="s">
        <v>668</v>
      </c>
      <c r="H577" s="1">
        <v>3</v>
      </c>
      <c r="I577" s="1">
        <v>0</v>
      </c>
      <c r="J577" s="39" t="s">
        <v>1619</v>
      </c>
      <c r="K577" s="1">
        <v>0</v>
      </c>
      <c r="L577" s="1">
        <v>3</v>
      </c>
      <c r="S577" s="1" t="str">
        <f>IF(tblDados[[#This Row],[Mandante]]="","",TEXT(tblDados[[#This Row],[Data]],"aaaa-mm-dd")&amp;"|"&amp;TRIM(tblDados[[#This Row],[Mandante]])&amp;"|"&amp;TRIM(tblDados[[#This Row],[Visitante]]))</f>
        <v>2026-05-09|Guabirá|GV San José</v>
      </c>
      <c r="T577" s="1">
        <f>IF($G577="",0,IF(COUNTIF($S$2:$S577,$S577)=1,1,0))</f>
        <v>1</v>
      </c>
      <c r="U577" s="19" t="str" cm="1">
        <f t="array" ref="U5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7" s="19" t="str" cm="1">
        <f t="array" ref="V5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8" spans="1:22" x14ac:dyDescent="0.3">
      <c r="A578" s="1" t="s">
        <v>1698</v>
      </c>
      <c r="B578" s="102">
        <v>46156</v>
      </c>
      <c r="C578" s="6">
        <v>0.875</v>
      </c>
      <c r="D578" s="1" t="s">
        <v>10</v>
      </c>
      <c r="E578" s="1" t="s">
        <v>11</v>
      </c>
      <c r="F578" s="1" t="s">
        <v>1699</v>
      </c>
      <c r="G578" s="39" t="s">
        <v>665</v>
      </c>
      <c r="H578" s="1">
        <v>2</v>
      </c>
      <c r="I578" s="1">
        <v>2</v>
      </c>
      <c r="J578" s="39" t="s">
        <v>668</v>
      </c>
      <c r="K578" s="1">
        <v>2</v>
      </c>
      <c r="L578" s="1">
        <v>2</v>
      </c>
      <c r="S578" s="1" t="str">
        <f>IF(tblDados[[#This Row],[Mandante]]="","",TEXT(tblDados[[#This Row],[Data]],"aaaa-mm-dd")&amp;"|"&amp;TRIM(tblDados[[#This Row],[Mandante]])&amp;"|"&amp;TRIM(tblDados[[#This Row],[Visitante]]))</f>
        <v>2026-05-14|Oriente Petrolero|Guabirá</v>
      </c>
      <c r="T578" s="1">
        <f>IF($G578="",0,IF(COUNTIF($S$2:$S578,$S578)=1,1,0))</f>
        <v>1</v>
      </c>
      <c r="U578" s="19" t="str" cm="1">
        <f t="array" ref="U5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8" s="19" t="str" cm="1">
        <f t="array" ref="V5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9" spans="1:22" ht="14.4" x14ac:dyDescent="0.3">
      <c r="A579" s="1" t="s">
        <v>1700</v>
      </c>
      <c r="B579" s="102">
        <v>46234</v>
      </c>
      <c r="C579" s="6">
        <v>0.66666666666666696</v>
      </c>
      <c r="D579" s="1" t="s">
        <v>10</v>
      </c>
      <c r="E579" s="1" t="s">
        <v>11</v>
      </c>
      <c r="F579" s="1" t="s">
        <v>1701</v>
      </c>
      <c r="G579" s="39" t="s">
        <v>680</v>
      </c>
      <c r="H579" s="1">
        <v>1</v>
      </c>
      <c r="I579" s="1">
        <v>1</v>
      </c>
      <c r="J579" s="39" t="s">
        <v>668</v>
      </c>
      <c r="K579" s="1">
        <v>1</v>
      </c>
      <c r="L579" s="1">
        <v>1</v>
      </c>
      <c r="S579" s="1" t="str">
        <f>IF(tblDados[[#This Row],[Mandante]]="","",TEXT(tblDados[[#This Row],[Data]],"aaaa-mm-dd")&amp;"|"&amp;TRIM(tblDados[[#This Row],[Mandante]])&amp;"|"&amp;TRIM(tblDados[[#This Row],[Visitante]]))</f>
        <v>2026-07-31|Universitario de Vinto|Guabirá</v>
      </c>
      <c r="T579">
        <f>IF($G579="",0,IF(COUNTIF($S$2:$S2834,$S579)=1,1,0))</f>
        <v>1</v>
      </c>
      <c r="U579" s="19" t="str" cm="1">
        <f t="array" ref="U5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9" s="19" t="str" cm="1">
        <f t="array" ref="V5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0" spans="1:22" ht="14.4" x14ac:dyDescent="0.3">
      <c r="A580" s="1" t="s">
        <v>1702</v>
      </c>
      <c r="B580" s="102">
        <v>46241</v>
      </c>
      <c r="C580" s="6">
        <v>0.6875</v>
      </c>
      <c r="D580" s="1" t="s">
        <v>10</v>
      </c>
      <c r="E580" s="1" t="s">
        <v>11</v>
      </c>
      <c r="F580" s="1" t="s">
        <v>1703</v>
      </c>
      <c r="G580" s="39" t="s">
        <v>189</v>
      </c>
      <c r="H580" s="1">
        <v>1</v>
      </c>
      <c r="I580" s="1">
        <v>2</v>
      </c>
      <c r="J580" s="39" t="s">
        <v>227</v>
      </c>
      <c r="K580" s="1">
        <v>2</v>
      </c>
      <c r="L580" s="1">
        <v>1</v>
      </c>
      <c r="S580" s="1" t="str">
        <f>IF(tblDados[[#This Row],[Mandante]]="","",TEXT(tblDados[[#This Row],[Data]],"aaaa-mm-dd")&amp;"|"&amp;TRIM(tblDados[[#This Row],[Mandante]])&amp;"|"&amp;TRIM(tblDados[[#This Row],[Visitante]]))</f>
        <v>2026-08-07|Real Tomayapo|Real Oruro</v>
      </c>
      <c r="T580">
        <f>IF($G580="",0,IF(COUNTIF($S$2:$S2834,$S580)=1,1,0))</f>
        <v>1</v>
      </c>
      <c r="U580" s="19" t="str" cm="1">
        <f t="array" ref="U5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0" s="19" t="str" cm="1">
        <f t="array" ref="V5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1" spans="1:22" x14ac:dyDescent="0.3">
      <c r="A581" s="1" t="s">
        <v>1704</v>
      </c>
      <c r="B581" s="102">
        <v>46117</v>
      </c>
      <c r="C581" s="6">
        <v>0.66666666666666696</v>
      </c>
      <c r="D581" s="1" t="s">
        <v>10</v>
      </c>
      <c r="E581" s="1" t="s">
        <v>11</v>
      </c>
      <c r="F581" s="1" t="s">
        <v>1705</v>
      </c>
      <c r="G581" s="39" t="s">
        <v>1619</v>
      </c>
      <c r="H581" s="1">
        <v>1</v>
      </c>
      <c r="I581" s="1">
        <v>2</v>
      </c>
      <c r="J581" s="39" t="s">
        <v>190</v>
      </c>
      <c r="K581" s="1">
        <v>2</v>
      </c>
      <c r="L581" s="1">
        <v>1</v>
      </c>
      <c r="S581" s="1" t="str">
        <f>IF(tblDados[[#This Row],[Mandante]]="","",TEXT(tblDados[[#This Row],[Data]],"aaaa-mm-dd")&amp;"|"&amp;TRIM(tblDados[[#This Row],[Mandante]])&amp;"|"&amp;TRIM(tblDados[[#This Row],[Visitante]]))</f>
        <v>2026-04-05|GV San José|ABB</v>
      </c>
      <c r="T581" s="1">
        <f>IF($G581="",0,IF(COUNTIF($S$2:$S581,$S581)=1,1,0))</f>
        <v>1</v>
      </c>
      <c r="U581" s="19" t="str" cm="1">
        <f t="array" ref="U5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1" s="19" t="str" cm="1">
        <f t="array" ref="V5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2" spans="1:22" x14ac:dyDescent="0.3">
      <c r="A582" s="1" t="s">
        <v>1706</v>
      </c>
      <c r="B582" s="102">
        <v>46133</v>
      </c>
      <c r="C582" s="6">
        <v>0.66666666666666696</v>
      </c>
      <c r="D582" s="1" t="s">
        <v>10</v>
      </c>
      <c r="E582" s="1" t="s">
        <v>11</v>
      </c>
      <c r="F582" s="1" t="s">
        <v>1707</v>
      </c>
      <c r="G582" s="39" t="s">
        <v>680</v>
      </c>
      <c r="H582" s="1">
        <v>5</v>
      </c>
      <c r="I582" s="1">
        <v>2</v>
      </c>
      <c r="J582" s="39" t="s">
        <v>190</v>
      </c>
      <c r="K582" s="1">
        <v>2</v>
      </c>
      <c r="L582" s="1">
        <v>5</v>
      </c>
      <c r="S582" s="1" t="str">
        <f>IF(tblDados[[#This Row],[Mandante]]="","",TEXT(tblDados[[#This Row],[Data]],"aaaa-mm-dd")&amp;"|"&amp;TRIM(tblDados[[#This Row],[Mandante]])&amp;"|"&amp;TRIM(tblDados[[#This Row],[Visitante]]))</f>
        <v>2026-04-21|Universitario de Vinto|ABB</v>
      </c>
      <c r="T582" s="1">
        <f>IF($G582="",0,IF(COUNTIF($S$2:$S582,$S582)=1,1,0))</f>
        <v>1</v>
      </c>
      <c r="U582" s="19" t="str" cm="1">
        <f t="array" ref="U5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2" s="19" t="str" cm="1">
        <f t="array" ref="V5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3" spans="1:22" x14ac:dyDescent="0.3">
      <c r="A583" s="1" t="s">
        <v>1708</v>
      </c>
      <c r="B583" s="102">
        <v>46137</v>
      </c>
      <c r="C583" s="6">
        <v>0.76041666666666696</v>
      </c>
      <c r="D583" s="1" t="s">
        <v>10</v>
      </c>
      <c r="E583" s="1" t="s">
        <v>11</v>
      </c>
      <c r="F583" s="1" t="s">
        <v>1709</v>
      </c>
      <c r="G583" s="39" t="s">
        <v>190</v>
      </c>
      <c r="H583" s="1">
        <v>3</v>
      </c>
      <c r="I583" s="1">
        <v>2</v>
      </c>
      <c r="J583" s="39" t="s">
        <v>235</v>
      </c>
      <c r="K583" s="1">
        <v>2</v>
      </c>
      <c r="L583" s="1">
        <v>3</v>
      </c>
      <c r="S583" s="1" t="str">
        <f>IF(tblDados[[#This Row],[Mandante]]="","",TEXT(tblDados[[#This Row],[Data]],"aaaa-mm-dd")&amp;"|"&amp;TRIM(tblDados[[#This Row],[Mandante]])&amp;"|"&amp;TRIM(tblDados[[#This Row],[Visitante]]))</f>
        <v>2026-04-25|ABB|Blooming</v>
      </c>
      <c r="T583" s="1">
        <f>IF($G583="",0,IF(COUNTIF($S$2:$S583,$S583)=1,1,0))</f>
        <v>1</v>
      </c>
      <c r="U583" s="19" t="str" cm="1">
        <f t="array" ref="U5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3" s="19" t="str" cm="1">
        <f t="array" ref="V5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4" spans="1:22" x14ac:dyDescent="0.3">
      <c r="A584" s="1" t="s">
        <v>1710</v>
      </c>
      <c r="B584" s="102">
        <v>46153</v>
      </c>
      <c r="C584" s="6">
        <v>0.66666666666666696</v>
      </c>
      <c r="D584" s="1" t="s">
        <v>10</v>
      </c>
      <c r="E584" s="1" t="s">
        <v>11</v>
      </c>
      <c r="F584" s="1" t="s">
        <v>1711</v>
      </c>
      <c r="G584" s="39" t="s">
        <v>190</v>
      </c>
      <c r="H584" s="1">
        <v>3</v>
      </c>
      <c r="I584" s="1">
        <v>1</v>
      </c>
      <c r="J584" s="39" t="s">
        <v>665</v>
      </c>
      <c r="K584" s="1">
        <v>1</v>
      </c>
      <c r="L584" s="1">
        <v>3</v>
      </c>
      <c r="S584" s="1" t="str">
        <f>IF(tblDados[[#This Row],[Mandante]]="","",TEXT(tblDados[[#This Row],[Data]],"aaaa-mm-dd")&amp;"|"&amp;TRIM(tblDados[[#This Row],[Mandante]])&amp;"|"&amp;TRIM(tblDados[[#This Row],[Visitante]]))</f>
        <v>2026-05-11|ABB|Oriente Petrolero</v>
      </c>
      <c r="T584" s="1">
        <f>IF($G584="",0,IF(COUNTIF($S$2:$S584,$S584)=1,1,0))</f>
        <v>1</v>
      </c>
      <c r="U584" s="19" t="str" cm="1">
        <f t="array" ref="U5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4" s="19" t="str" cm="1">
        <f t="array" ref="V5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5" spans="1:22" x14ac:dyDescent="0.3">
      <c r="A585" s="1" t="s">
        <v>1712</v>
      </c>
      <c r="B585" s="102">
        <v>46211</v>
      </c>
      <c r="C585" s="6">
        <v>0.875</v>
      </c>
      <c r="D585" s="1" t="s">
        <v>10</v>
      </c>
      <c r="E585" s="1" t="s">
        <v>11</v>
      </c>
      <c r="F585" s="1" t="s">
        <v>1713</v>
      </c>
      <c r="G585" s="39" t="s">
        <v>1598</v>
      </c>
      <c r="H585" s="1">
        <v>3</v>
      </c>
      <c r="I585" s="1">
        <v>1</v>
      </c>
      <c r="J585" s="39" t="s">
        <v>190</v>
      </c>
      <c r="K585" s="1">
        <v>1</v>
      </c>
      <c r="L585" s="1">
        <v>3</v>
      </c>
      <c r="S585" s="1" t="str">
        <f>IF(tblDados[[#This Row],[Mandante]]="","",TEXT(tblDados[[#This Row],[Data]],"aaaa-mm-dd")&amp;"|"&amp;TRIM(tblDados[[#This Row],[Mandante]])&amp;"|"&amp;TRIM(tblDados[[#This Row],[Visitante]]))</f>
        <v>2026-07-08|Real Potosí|ABB</v>
      </c>
      <c r="T585" s="1">
        <f>IF($G585="",0,IF(COUNTIF($S$2:$S585,$S585)=1,1,0))</f>
        <v>1</v>
      </c>
      <c r="U585" s="19" t="str" cm="1">
        <f t="array" ref="U5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5" s="19" t="str" cm="1">
        <f t="array" ref="V5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6" spans="1:22" ht="14.4" x14ac:dyDescent="0.3">
      <c r="A586" s="1" t="s">
        <v>1714</v>
      </c>
      <c r="B586" s="102">
        <v>46241</v>
      </c>
      <c r="C586" s="6">
        <v>0.76041666666666696</v>
      </c>
      <c r="D586" s="1" t="s">
        <v>10</v>
      </c>
      <c r="E586" s="1" t="s">
        <v>11</v>
      </c>
      <c r="F586" s="1" t="s">
        <v>1715</v>
      </c>
      <c r="G586" s="39" t="s">
        <v>190</v>
      </c>
      <c r="H586" s="1">
        <v>0</v>
      </c>
      <c r="I586" s="1">
        <v>1</v>
      </c>
      <c r="J586" s="39" t="s">
        <v>668</v>
      </c>
      <c r="K586" s="1">
        <v>1</v>
      </c>
      <c r="L586" s="1">
        <v>0</v>
      </c>
      <c r="S586" s="1" t="str">
        <f>IF(tblDados[[#This Row],[Mandante]]="","",TEXT(tblDados[[#This Row],[Data]],"aaaa-mm-dd")&amp;"|"&amp;TRIM(tblDados[[#This Row],[Mandante]])&amp;"|"&amp;TRIM(tblDados[[#This Row],[Visitante]]))</f>
        <v>2026-08-07|ABB|Guabirá</v>
      </c>
      <c r="T586">
        <f>IF($G586="",0,IF(COUNTIF($S$2:$S2834,$S586)=1,1,0))</f>
        <v>1</v>
      </c>
      <c r="U586" s="19" t="str" cm="1">
        <f t="array" ref="U5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6" s="19" t="str" cm="1">
        <f t="array" ref="V5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7" spans="1:22" x14ac:dyDescent="0.3">
      <c r="A587" s="1" t="s">
        <v>1716</v>
      </c>
      <c r="B587" s="102">
        <v>46218</v>
      </c>
      <c r="C587" s="6">
        <v>0.79166666666666696</v>
      </c>
      <c r="D587" s="1" t="s">
        <v>10</v>
      </c>
      <c r="E587" s="1" t="s">
        <v>11</v>
      </c>
      <c r="F587" s="1" t="s">
        <v>1717</v>
      </c>
      <c r="G587" s="39" t="s">
        <v>1598</v>
      </c>
      <c r="H587" s="1">
        <v>5</v>
      </c>
      <c r="I587" s="1">
        <v>0</v>
      </c>
      <c r="J587" s="39" t="s">
        <v>1097</v>
      </c>
      <c r="K587" s="1">
        <v>0</v>
      </c>
      <c r="L587" s="1">
        <v>5</v>
      </c>
      <c r="S587" s="1" t="str">
        <f>IF(tblDados[[#This Row],[Mandante]]="","",TEXT(tblDados[[#This Row],[Data]],"aaaa-mm-dd")&amp;"|"&amp;TRIM(tblDados[[#This Row],[Mandante]])&amp;"|"&amp;TRIM(tblDados[[#This Row],[Visitante]]))</f>
        <v>2026-07-15|Real Potosí|SA Bulo Bulo</v>
      </c>
      <c r="T587" s="1">
        <f>IF($G587="",0,IF(COUNTIF($S$2:$S587,$S587)=1,1,0))</f>
        <v>1</v>
      </c>
      <c r="U587" s="19" t="str" cm="1">
        <f t="array" ref="U5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7" s="19" t="str" cm="1">
        <f t="array" ref="V5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8" spans="1:22" ht="14.4" x14ac:dyDescent="0.3">
      <c r="A588" s="1" t="s">
        <v>1718</v>
      </c>
      <c r="B588" s="102">
        <v>46239</v>
      </c>
      <c r="C588" s="6">
        <v>0.66666666666666696</v>
      </c>
      <c r="D588" s="1" t="s">
        <v>10</v>
      </c>
      <c r="E588" s="1" t="s">
        <v>11</v>
      </c>
      <c r="F588" s="1" t="s">
        <v>1719</v>
      </c>
      <c r="G588" s="39" t="s">
        <v>1619</v>
      </c>
      <c r="H588" s="1">
        <v>0</v>
      </c>
      <c r="I588" s="1">
        <v>0</v>
      </c>
      <c r="J588" s="39" t="s">
        <v>1097</v>
      </c>
      <c r="K588" s="1">
        <v>0</v>
      </c>
      <c r="L588" s="1">
        <v>0</v>
      </c>
      <c r="S588" s="1" t="str">
        <f>IF(tblDados[[#This Row],[Mandante]]="","",TEXT(tblDados[[#This Row],[Data]],"aaaa-mm-dd")&amp;"|"&amp;TRIM(tblDados[[#This Row],[Mandante]])&amp;"|"&amp;TRIM(tblDados[[#This Row],[Visitante]]))</f>
        <v>2026-08-05|GV San José|SA Bulo Bulo</v>
      </c>
      <c r="T588">
        <f>IF($G588="",0,IF(COUNTIF($S$2:$S2834,$S588)=1,1,0))</f>
        <v>1</v>
      </c>
      <c r="U588" s="19" t="str" cm="1">
        <f t="array" ref="U5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8" s="19" t="str" cm="1">
        <f t="array" ref="V5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9" spans="1:22" x14ac:dyDescent="0.3">
      <c r="A589" s="1" t="s">
        <v>1720</v>
      </c>
      <c r="B589" s="102">
        <v>46136</v>
      </c>
      <c r="C589" s="6">
        <v>0.875</v>
      </c>
      <c r="D589" s="1" t="s">
        <v>10</v>
      </c>
      <c r="E589" s="1" t="s">
        <v>11</v>
      </c>
      <c r="F589" s="1" t="s">
        <v>1721</v>
      </c>
      <c r="G589" s="39" t="s">
        <v>228</v>
      </c>
      <c r="H589" s="1">
        <v>2</v>
      </c>
      <c r="I589" s="1">
        <v>1</v>
      </c>
      <c r="J589" s="39" t="s">
        <v>680</v>
      </c>
      <c r="K589" s="1">
        <v>1</v>
      </c>
      <c r="L589" s="1">
        <v>2</v>
      </c>
      <c r="S589" s="1" t="str">
        <f>IF(tblDados[[#This Row],[Mandante]]="","",TEXT(tblDados[[#This Row],[Data]],"aaaa-mm-dd")&amp;"|"&amp;TRIM(tblDados[[#This Row],[Mandante]])&amp;"|"&amp;TRIM(tblDados[[#This Row],[Visitante]]))</f>
        <v>2026-04-24|Independiente Petrolero|Universitario de Vinto</v>
      </c>
      <c r="T589" s="1">
        <f>IF($G589="",0,IF(COUNTIF($S$2:$S589,$S589)=1,1,0))</f>
        <v>1</v>
      </c>
      <c r="U589" s="19" t="str" cm="1">
        <f t="array" ref="U5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9" s="19" t="str" cm="1">
        <f t="array" ref="V5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0" spans="1:22" x14ac:dyDescent="0.3">
      <c r="A590" s="1" t="s">
        <v>1722</v>
      </c>
      <c r="B590" s="102">
        <v>46155</v>
      </c>
      <c r="C590" s="6">
        <v>0.79166666666666696</v>
      </c>
      <c r="D590" s="1" t="s">
        <v>10</v>
      </c>
      <c r="E590" s="1" t="s">
        <v>11</v>
      </c>
      <c r="F590" s="1" t="s">
        <v>1723</v>
      </c>
      <c r="G590" s="39" t="s">
        <v>228</v>
      </c>
      <c r="H590" s="1">
        <v>3</v>
      </c>
      <c r="I590" s="1">
        <v>1</v>
      </c>
      <c r="J590" s="39" t="s">
        <v>235</v>
      </c>
      <c r="K590" s="1">
        <v>1</v>
      </c>
      <c r="L590" s="1">
        <v>3</v>
      </c>
      <c r="S590" s="1" t="str">
        <f>IF(tblDados[[#This Row],[Mandante]]="","",TEXT(tblDados[[#This Row],[Data]],"aaaa-mm-dd")&amp;"|"&amp;TRIM(tblDados[[#This Row],[Mandante]])&amp;"|"&amp;TRIM(tblDados[[#This Row],[Visitante]]))</f>
        <v>2026-05-13|Independiente Petrolero|Blooming</v>
      </c>
      <c r="T590" s="1">
        <f>IF($G590="",0,IF(COUNTIF($S$2:$S590,$S590)=1,1,0))</f>
        <v>1</v>
      </c>
      <c r="U590" s="19" t="str" cm="1">
        <f t="array" ref="U5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0" s="19" t="str" cm="1">
        <f t="array" ref="V5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1" spans="1:22" x14ac:dyDescent="0.3">
      <c r="A591" s="1" t="s">
        <v>1724</v>
      </c>
      <c r="B591" s="102">
        <v>46224</v>
      </c>
      <c r="C591" s="6">
        <v>0.83333333333333304</v>
      </c>
      <c r="D591" s="1" t="s">
        <v>10</v>
      </c>
      <c r="E591" s="1" t="s">
        <v>11</v>
      </c>
      <c r="F591" s="1" t="s">
        <v>1725</v>
      </c>
      <c r="G591" s="39" t="s">
        <v>228</v>
      </c>
      <c r="H591" s="1">
        <v>1</v>
      </c>
      <c r="I591" s="1">
        <v>2</v>
      </c>
      <c r="J591" s="39" t="s">
        <v>1598</v>
      </c>
      <c r="K591" s="1">
        <v>2</v>
      </c>
      <c r="L591" s="1">
        <v>1</v>
      </c>
      <c r="S591" s="1" t="str">
        <f>IF(tblDados[[#This Row],[Mandante]]="","",TEXT(tblDados[[#This Row],[Data]],"aaaa-mm-dd")&amp;"|"&amp;TRIM(tblDados[[#This Row],[Mandante]])&amp;"|"&amp;TRIM(tblDados[[#This Row],[Visitante]]))</f>
        <v>2026-07-21|Independiente Petrolero|Real Potosí</v>
      </c>
      <c r="T591" s="1">
        <f>IF($G591="",0,IF(COUNTIF($S$2:$S591,$S591)=1,1,0))</f>
        <v>1</v>
      </c>
      <c r="U591" s="19" t="str" cm="1">
        <f t="array" ref="U5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1" s="19" t="str" cm="1">
        <f t="array" ref="V5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2" spans="1:22" ht="14.4" x14ac:dyDescent="0.3">
      <c r="A592" s="1" t="s">
        <v>1726</v>
      </c>
      <c r="B592" s="102">
        <v>46228</v>
      </c>
      <c r="C592" s="6">
        <v>0.85416666666666696</v>
      </c>
      <c r="D592" s="1" t="s">
        <v>10</v>
      </c>
      <c r="E592" s="1" t="s">
        <v>11</v>
      </c>
      <c r="F592" s="1" t="s">
        <v>1727</v>
      </c>
      <c r="G592" s="39" t="s">
        <v>228</v>
      </c>
      <c r="H592" s="1">
        <v>1</v>
      </c>
      <c r="I592" s="1">
        <v>2</v>
      </c>
      <c r="J592" s="39" t="s">
        <v>665</v>
      </c>
      <c r="K592" s="1">
        <v>2</v>
      </c>
      <c r="L592" s="1">
        <v>1</v>
      </c>
      <c r="S592" s="1" t="str">
        <f>IF(tblDados[[#This Row],[Mandante]]="","",TEXT(tblDados[[#This Row],[Data]],"aaaa-mm-dd")&amp;"|"&amp;TRIM(tblDados[[#This Row],[Mandante]])&amp;"|"&amp;TRIM(tblDados[[#This Row],[Visitante]]))</f>
        <v>2026-07-25|Independiente Petrolero|Oriente Petrolero</v>
      </c>
      <c r="T592">
        <f>IF($G592="",0,IF(COUNTIF($S$2:$S2834,$S592)=1,1,0))</f>
        <v>1</v>
      </c>
      <c r="U592" s="19" t="str" cm="1">
        <f t="array" ref="U5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2" s="19" t="str" cm="1">
        <f t="array" ref="V5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3" spans="1:22" x14ac:dyDescent="0.3">
      <c r="A593" s="1" t="s">
        <v>1728</v>
      </c>
      <c r="B593" s="102">
        <v>46123</v>
      </c>
      <c r="C593" s="6">
        <v>0.76041666666666696</v>
      </c>
      <c r="D593" s="1" t="s">
        <v>10</v>
      </c>
      <c r="E593" s="1" t="s">
        <v>11</v>
      </c>
      <c r="F593" s="1" t="s">
        <v>1729</v>
      </c>
      <c r="G593" s="39" t="s">
        <v>671</v>
      </c>
      <c r="H593" s="1">
        <v>1</v>
      </c>
      <c r="I593" s="1">
        <v>0</v>
      </c>
      <c r="J593" s="39" t="s">
        <v>680</v>
      </c>
      <c r="K593" s="1">
        <v>0</v>
      </c>
      <c r="L593" s="1">
        <v>1</v>
      </c>
      <c r="S593" s="1" t="str">
        <f>IF(tblDados[[#This Row],[Mandante]]="","",TEXT(tblDados[[#This Row],[Data]],"aaaa-mm-dd")&amp;"|"&amp;TRIM(tblDados[[#This Row],[Mandante]])&amp;"|"&amp;TRIM(tblDados[[#This Row],[Visitante]]))</f>
        <v>2026-04-11|Nacional Potosí|Universitario de Vinto</v>
      </c>
      <c r="T593" s="1">
        <f>IF($G593="",0,IF(COUNTIF($S$2:$S593,$S593)=1,1,0))</f>
        <v>1</v>
      </c>
      <c r="U593" s="19" t="str" cm="1">
        <f t="array" ref="U5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3" s="19" t="str" cm="1">
        <f t="array" ref="V5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4" spans="1:22" ht="14.4" x14ac:dyDescent="0.3">
      <c r="A594" s="1" t="s">
        <v>1730</v>
      </c>
      <c r="B594" s="102">
        <v>46137</v>
      </c>
      <c r="C594" s="6">
        <v>0.66666666666666696</v>
      </c>
      <c r="D594" s="1" t="s">
        <v>10</v>
      </c>
      <c r="E594" s="1" t="s">
        <v>11</v>
      </c>
      <c r="F594" s="1" t="s">
        <v>1731</v>
      </c>
      <c r="G594" s="39" t="s">
        <v>671</v>
      </c>
      <c r="H594" s="1">
        <v>1</v>
      </c>
      <c r="I594" s="1">
        <v>1</v>
      </c>
      <c r="J594" s="39" t="s">
        <v>1619</v>
      </c>
      <c r="K594" s="1">
        <v>1</v>
      </c>
      <c r="L594" s="1">
        <v>1</v>
      </c>
      <c r="S594" s="1" t="str">
        <f>IF(tblDados[[#This Row],[Mandante]]="","",TEXT(tblDados[[#This Row],[Data]],"aaaa-mm-dd")&amp;"|"&amp;TRIM(tblDados[[#This Row],[Mandante]])&amp;"|"&amp;TRIM(tblDados[[#This Row],[Visitante]]))</f>
        <v>2026-04-25|Nacional Potosí|GV San José</v>
      </c>
      <c r="T594">
        <f>IF($G594="",0,IF(COUNTIF($S$2:$S2834,$S594)=1,1,0))</f>
        <v>1</v>
      </c>
      <c r="U594" s="19" t="str" cm="1">
        <f t="array" ref="U5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4" s="19" t="str" cm="1">
        <f t="array" ref="V5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5" spans="1:22" x14ac:dyDescent="0.3">
      <c r="A595" s="1" t="s">
        <v>1732</v>
      </c>
      <c r="B595" s="102">
        <v>46117</v>
      </c>
      <c r="C595" s="6">
        <v>0.83333333333333337</v>
      </c>
      <c r="D595" s="1" t="s">
        <v>12</v>
      </c>
      <c r="E595" s="1" t="s">
        <v>13</v>
      </c>
      <c r="F595" s="1" t="s">
        <v>1733</v>
      </c>
      <c r="G595" s="39" t="s">
        <v>161</v>
      </c>
      <c r="H595" s="1">
        <v>1</v>
      </c>
      <c r="I595" s="1">
        <v>2</v>
      </c>
      <c r="J595" s="39" t="s">
        <v>151</v>
      </c>
      <c r="K595" s="1">
        <v>2</v>
      </c>
      <c r="L595" s="1">
        <v>1</v>
      </c>
      <c r="S595" s="1" t="str">
        <f>IF(tblDados[[#This Row],[Mandante]]="","",TEXT(tblDados[[#This Row],[Data]],"aaaa-mm-dd")&amp;"|"&amp;TRIM(tblDados[[#This Row],[Mandante]])&amp;"|"&amp;TRIM(tblDados[[#This Row],[Visitante]]))</f>
        <v>2026-04-05|Bahia|Palmeiras</v>
      </c>
      <c r="T595" s="1">
        <f>IF($G595="",0,IF(COUNTIF($S$2:$S595,$S595)=1,1,0))</f>
        <v>1</v>
      </c>
      <c r="U595" s="19" t="str" cm="1">
        <f t="array" ref="U5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5" s="19" t="str" cm="1">
        <f t="array" ref="V5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6" spans="1:22" x14ac:dyDescent="0.3">
      <c r="A596" s="1" t="s">
        <v>1734</v>
      </c>
      <c r="B596" s="102">
        <v>46124</v>
      </c>
      <c r="C596" s="6">
        <v>0.77083333333333337</v>
      </c>
      <c r="D596" s="1" t="s">
        <v>12</v>
      </c>
      <c r="E596" s="1" t="s">
        <v>13</v>
      </c>
      <c r="F596" s="1" t="s">
        <v>1735</v>
      </c>
      <c r="G596" s="39" t="s">
        <v>174</v>
      </c>
      <c r="H596" s="1">
        <v>0</v>
      </c>
      <c r="I596" s="1">
        <v>0</v>
      </c>
      <c r="J596" s="39" t="s">
        <v>151</v>
      </c>
      <c r="K596" s="1">
        <v>0</v>
      </c>
      <c r="L596" s="1">
        <v>0</v>
      </c>
      <c r="S596" s="1" t="str">
        <f>IF(tblDados[[#This Row],[Mandante]]="","",TEXT(tblDados[[#This Row],[Data]],"aaaa-mm-dd")&amp;"|"&amp;TRIM(tblDados[[#This Row],[Mandante]])&amp;"|"&amp;TRIM(tblDados[[#This Row],[Visitante]]))</f>
        <v>2026-04-12|Corinthians|Palmeiras</v>
      </c>
      <c r="T596" s="1">
        <f>IF($G596="",0,IF(COUNTIF($S$2:$S596,$S596)=1,1,0))</f>
        <v>1</v>
      </c>
      <c r="U596" s="19" t="str" cm="1">
        <f t="array" ref="U5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6" s="19" t="str" cm="1">
        <f t="array" ref="V5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7" spans="1:22" x14ac:dyDescent="0.3">
      <c r="A597" s="1" t="s">
        <v>1736</v>
      </c>
      <c r="B597" s="102">
        <v>46131</v>
      </c>
      <c r="C597" s="6">
        <v>0.77083333333333337</v>
      </c>
      <c r="D597" s="1" t="s">
        <v>12</v>
      </c>
      <c r="E597" s="1" t="s">
        <v>13</v>
      </c>
      <c r="F597" s="1" t="s">
        <v>1737</v>
      </c>
      <c r="G597" s="39" t="s">
        <v>151</v>
      </c>
      <c r="H597" s="1">
        <v>1</v>
      </c>
      <c r="I597" s="1">
        <v>0</v>
      </c>
      <c r="J597" s="39" t="s">
        <v>505</v>
      </c>
      <c r="K597" s="1">
        <v>0</v>
      </c>
      <c r="L597" s="1">
        <v>1</v>
      </c>
      <c r="S597" s="1" t="str">
        <f>IF(tblDados[[#This Row],[Mandante]]="","",TEXT(tblDados[[#This Row],[Data]],"aaaa-mm-dd")&amp;"|"&amp;TRIM(tblDados[[#This Row],[Mandante]])&amp;"|"&amp;TRIM(tblDados[[#This Row],[Visitante]]))</f>
        <v>2026-04-19|Palmeiras|Athletico-PR</v>
      </c>
      <c r="T597" s="1">
        <f>IF($G597="",0,IF(COUNTIF($S$2:$S597,$S597)=1,1,0))</f>
        <v>1</v>
      </c>
      <c r="U597" s="19" t="str" cm="1">
        <f t="array" ref="U5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7" s="19" t="str" cm="1">
        <f t="array" ref="V5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8" spans="1:22" ht="14.4" x14ac:dyDescent="0.3">
      <c r="A598" s="1" t="s">
        <v>1738</v>
      </c>
      <c r="B598" s="102">
        <v>46138</v>
      </c>
      <c r="C598" s="6">
        <v>0.77083333333333337</v>
      </c>
      <c r="D598" s="1" t="s">
        <v>12</v>
      </c>
      <c r="E598" s="1" t="s">
        <v>13</v>
      </c>
      <c r="F598" s="1" t="s">
        <v>1739</v>
      </c>
      <c r="G598" s="39" t="s">
        <v>1740</v>
      </c>
      <c r="H598" s="1">
        <v>0</v>
      </c>
      <c r="I598" s="1">
        <v>1</v>
      </c>
      <c r="J598" s="39" t="s">
        <v>151</v>
      </c>
      <c r="K598" s="1">
        <v>1</v>
      </c>
      <c r="L598" s="1">
        <v>0</v>
      </c>
      <c r="S598" s="1" t="str">
        <f>IF(tblDados[[#This Row],[Mandante]]="","",TEXT(tblDados[[#This Row],[Data]],"aaaa-mm-dd")&amp;"|"&amp;TRIM(tblDados[[#This Row],[Mandante]])&amp;"|"&amp;TRIM(tblDados[[#This Row],[Visitante]]))</f>
        <v>2026-04-26|Red Bull Bragantino|Palmeiras</v>
      </c>
      <c r="T598">
        <f>IF($G598="",0,IF(COUNTIF($S$2:$S2834,$S598)=1,1,0))</f>
        <v>1</v>
      </c>
      <c r="U598" s="19" t="str" cm="1">
        <f t="array" ref="U5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8" s="19" t="str" cm="1">
        <f t="array" ref="V5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9" spans="1:22" x14ac:dyDescent="0.3">
      <c r="A599" s="1" t="s">
        <v>1741</v>
      </c>
      <c r="B599" s="102">
        <v>46117</v>
      </c>
      <c r="C599" s="6">
        <v>0.72916666666666663</v>
      </c>
      <c r="D599" s="1" t="s">
        <v>12</v>
      </c>
      <c r="E599" s="1" t="s">
        <v>13</v>
      </c>
      <c r="F599" s="1" t="s">
        <v>1742</v>
      </c>
      <c r="G599" s="39" t="s">
        <v>144</v>
      </c>
      <c r="H599" s="1">
        <v>3</v>
      </c>
      <c r="I599" s="1">
        <v>1</v>
      </c>
      <c r="J599" s="39" t="s">
        <v>482</v>
      </c>
      <c r="K599" s="1">
        <v>1</v>
      </c>
      <c r="L599" s="1">
        <v>3</v>
      </c>
      <c r="S599" s="1" t="str">
        <f>IF(tblDados[[#This Row],[Mandante]]="","",TEXT(tblDados[[#This Row],[Data]],"aaaa-mm-dd")&amp;"|"&amp;TRIM(tblDados[[#This Row],[Mandante]])&amp;"|"&amp;TRIM(tblDados[[#This Row],[Visitante]]))</f>
        <v>2026-04-05|Flamengo|Santos</v>
      </c>
      <c r="T599" s="1">
        <f>IF($G599="",0,IF(COUNTIF($S$2:$S599,$S599)=1,1,0))</f>
        <v>1</v>
      </c>
      <c r="U599" s="19" t="str" cm="1">
        <f t="array" ref="U5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9" s="19" t="str" cm="1">
        <f t="array" ref="V5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0" spans="1:22" x14ac:dyDescent="0.3">
      <c r="A600" s="1" t="s">
        <v>1743</v>
      </c>
      <c r="B600" s="102">
        <v>46124</v>
      </c>
      <c r="C600" s="6">
        <v>0.75</v>
      </c>
      <c r="D600" s="1" t="s">
        <v>12</v>
      </c>
      <c r="E600" s="1" t="s">
        <v>13</v>
      </c>
      <c r="F600" s="1" t="s">
        <v>1744</v>
      </c>
      <c r="G600" s="39" t="s">
        <v>160</v>
      </c>
      <c r="H600" s="1">
        <v>1</v>
      </c>
      <c r="I600" s="1">
        <v>2</v>
      </c>
      <c r="J600" s="39" t="s">
        <v>144</v>
      </c>
      <c r="K600" s="1">
        <v>2</v>
      </c>
      <c r="L600" s="1">
        <v>1</v>
      </c>
      <c r="S600" s="1" t="str">
        <f>IF(tblDados[[#This Row],[Mandante]]="","",TEXT(tblDados[[#This Row],[Data]],"aaaa-mm-dd")&amp;"|"&amp;TRIM(tblDados[[#This Row],[Mandante]])&amp;"|"&amp;TRIM(tblDados[[#This Row],[Visitante]]))</f>
        <v>2026-04-12|Fluminense|Flamengo</v>
      </c>
      <c r="T600" s="1">
        <f>IF($G600="",0,IF(COUNTIF($S$2:$S600,$S600)=1,1,0))</f>
        <v>1</v>
      </c>
      <c r="U600" s="19" t="str" cm="1">
        <f t="array" ref="U6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0" s="19" t="str" cm="1">
        <f t="array" ref="V6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1" spans="1:22" ht="14.4" x14ac:dyDescent="0.3">
      <c r="A601" s="1" t="s">
        <v>1745</v>
      </c>
      <c r="B601" s="102">
        <v>46131</v>
      </c>
      <c r="C601" s="6">
        <v>0.8125</v>
      </c>
      <c r="D601" s="1" t="s">
        <v>12</v>
      </c>
      <c r="E601" s="1" t="s">
        <v>13</v>
      </c>
      <c r="F601" s="1" t="s">
        <v>1746</v>
      </c>
      <c r="G601" s="39" t="s">
        <v>144</v>
      </c>
      <c r="H601" s="1">
        <v>2</v>
      </c>
      <c r="I601" s="1">
        <v>0</v>
      </c>
      <c r="J601" s="39" t="s">
        <v>161</v>
      </c>
      <c r="K601" s="1">
        <v>0</v>
      </c>
      <c r="L601" s="1">
        <v>2</v>
      </c>
      <c r="S601" s="1" t="str">
        <f>IF(tblDados[[#This Row],[Mandante]]="","",TEXT(tblDados[[#This Row],[Data]],"aaaa-mm-dd")&amp;"|"&amp;TRIM(tblDados[[#This Row],[Mandante]])&amp;"|"&amp;TRIM(tblDados[[#This Row],[Visitante]]))</f>
        <v>2026-04-19|Flamengo|Bahia</v>
      </c>
      <c r="T601">
        <f>IF($G601="",0,IF(COUNTIF($S$2:$S2834,$S601)=1,1,0))</f>
        <v>1</v>
      </c>
      <c r="U601" s="19" t="str" cm="1">
        <f t="array" ref="U6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1" s="19" t="str" cm="1">
        <f t="array" ref="V6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2" spans="1:22" x14ac:dyDescent="0.3">
      <c r="A602" s="1" t="s">
        <v>1747</v>
      </c>
      <c r="B602" s="102">
        <v>46116</v>
      </c>
      <c r="C602" s="6">
        <v>0.875</v>
      </c>
      <c r="D602" s="1" t="s">
        <v>12</v>
      </c>
      <c r="E602" s="1" t="s">
        <v>13</v>
      </c>
      <c r="F602" s="1" t="s">
        <v>1748</v>
      </c>
      <c r="G602" s="39" t="s">
        <v>229</v>
      </c>
      <c r="H602" s="1">
        <v>1</v>
      </c>
      <c r="I602" s="1">
        <v>2</v>
      </c>
      <c r="J602" s="39" t="s">
        <v>525</v>
      </c>
      <c r="K602" s="1">
        <v>2</v>
      </c>
      <c r="L602" s="1">
        <v>1</v>
      </c>
      <c r="S602" s="1" t="str">
        <f>IF(tblDados[[#This Row],[Mandante]]="","",TEXT(tblDados[[#This Row],[Data]],"aaaa-mm-dd")&amp;"|"&amp;TRIM(tblDados[[#This Row],[Mandante]])&amp;"|"&amp;TRIM(tblDados[[#This Row],[Visitante]]))</f>
        <v>2026-04-04|Vasco da Gama|Botafogo-RJ</v>
      </c>
      <c r="T602" s="1">
        <f>IF($G602="",0,IF(COUNTIF($S$2:$S602,$S602)=1,1,0))</f>
        <v>1</v>
      </c>
      <c r="U602" s="19" t="str" cm="1">
        <f t="array" ref="U6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2" s="19" t="str" cm="1">
        <f t="array" ref="V6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3" spans="1:22" ht="14.4" x14ac:dyDescent="0.3">
      <c r="A603" s="1" t="s">
        <v>1749</v>
      </c>
      <c r="B603" s="102">
        <v>46124</v>
      </c>
      <c r="C603" s="6">
        <v>0.66666666666666663</v>
      </c>
      <c r="D603" s="1" t="s">
        <v>12</v>
      </c>
      <c r="E603" s="1" t="s">
        <v>13</v>
      </c>
      <c r="F603" s="1" t="s">
        <v>1750</v>
      </c>
      <c r="G603" s="39" t="s">
        <v>525</v>
      </c>
      <c r="H603" s="1">
        <v>2</v>
      </c>
      <c r="I603" s="1">
        <v>2</v>
      </c>
      <c r="J603" s="39" t="s">
        <v>177</v>
      </c>
      <c r="K603" s="1">
        <v>2</v>
      </c>
      <c r="L603" s="1">
        <v>2</v>
      </c>
      <c r="S603" s="1" t="str">
        <f>IF(tblDados[[#This Row],[Mandante]]="","",TEXT(tblDados[[#This Row],[Data]],"aaaa-mm-dd")&amp;"|"&amp;TRIM(tblDados[[#This Row],[Mandante]])&amp;"|"&amp;TRIM(tblDados[[#This Row],[Visitante]]))</f>
        <v>2026-04-12|Botafogo-RJ|Coritiba</v>
      </c>
      <c r="T603">
        <f>IF($G603="",0,IF(COUNTIF($S$2:$S2834,$S603)=1,1,0))</f>
        <v>1</v>
      </c>
      <c r="U603" s="19" t="str" cm="1">
        <f t="array" ref="U6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3" s="19" t="str" cm="1">
        <f t="array" ref="V6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4" spans="1:22" x14ac:dyDescent="0.3">
      <c r="A604" s="1" t="s">
        <v>1751</v>
      </c>
      <c r="B604" s="102">
        <v>46116</v>
      </c>
      <c r="C604" s="6">
        <v>0.85416666666666663</v>
      </c>
      <c r="D604" s="1" t="s">
        <v>12</v>
      </c>
      <c r="E604" s="1" t="s">
        <v>13</v>
      </c>
      <c r="F604" s="1" t="s">
        <v>1752</v>
      </c>
      <c r="G604" s="39" t="s">
        <v>177</v>
      </c>
      <c r="H604" s="1">
        <v>1</v>
      </c>
      <c r="I604" s="1">
        <v>1</v>
      </c>
      <c r="J604" s="39" t="s">
        <v>160</v>
      </c>
      <c r="K604" s="1">
        <v>1</v>
      </c>
      <c r="L604" s="1">
        <v>1</v>
      </c>
      <c r="S604" s="1" t="str">
        <f>IF(tblDados[[#This Row],[Mandante]]="","",TEXT(tblDados[[#This Row],[Data]],"aaaa-mm-dd")&amp;"|"&amp;TRIM(tblDados[[#This Row],[Mandante]])&amp;"|"&amp;TRIM(tblDados[[#This Row],[Visitante]]))</f>
        <v>2026-04-04|Coritiba|Fluminense</v>
      </c>
      <c r="T604" s="1">
        <f>IF($G604="",0,IF(COUNTIF($S$2:$S604,$S604)=1,1,0))</f>
        <v>1</v>
      </c>
      <c r="U604" s="19" t="str" cm="1">
        <f t="array" ref="U6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4" s="19" t="str" cm="1">
        <f t="array" ref="V6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5" spans="1:22" x14ac:dyDescent="0.3">
      <c r="A605" s="1" t="s">
        <v>1753</v>
      </c>
      <c r="B605" s="102">
        <v>46131</v>
      </c>
      <c r="C605" s="6">
        <v>0.8125</v>
      </c>
      <c r="D605" s="1" t="s">
        <v>12</v>
      </c>
      <c r="E605" s="1" t="s">
        <v>13</v>
      </c>
      <c r="F605" s="1" t="s">
        <v>1754</v>
      </c>
      <c r="G605" s="39" t="s">
        <v>482</v>
      </c>
      <c r="H605" s="1">
        <v>2</v>
      </c>
      <c r="I605" s="1">
        <v>3</v>
      </c>
      <c r="J605" s="39" t="s">
        <v>160</v>
      </c>
      <c r="K605" s="1">
        <v>3</v>
      </c>
      <c r="L605" s="1">
        <v>2</v>
      </c>
      <c r="S605" s="1" t="str">
        <f>IF(tblDados[[#This Row],[Mandante]]="","",TEXT(tblDados[[#This Row],[Data]],"aaaa-mm-dd")&amp;"|"&amp;TRIM(tblDados[[#This Row],[Mandante]])&amp;"|"&amp;TRIM(tblDados[[#This Row],[Visitante]]))</f>
        <v>2026-04-19|Santos|Fluminense</v>
      </c>
      <c r="T605" s="1">
        <f>IF($G605="",0,IF(COUNTIF($S$2:$S605,$S605)=1,1,0))</f>
        <v>1</v>
      </c>
      <c r="U605" s="19" t="str" cm="1">
        <f t="array" ref="U6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5" s="19" t="str" cm="1">
        <f t="array" ref="V6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6" spans="1:22" x14ac:dyDescent="0.3">
      <c r="A606" s="1" t="s">
        <v>1755</v>
      </c>
      <c r="B606" s="102">
        <v>46138</v>
      </c>
      <c r="C606" s="6">
        <v>0.85416666666666663</v>
      </c>
      <c r="D606" s="1" t="s">
        <v>12</v>
      </c>
      <c r="E606" s="1" t="s">
        <v>13</v>
      </c>
      <c r="F606" s="1" t="s">
        <v>1756</v>
      </c>
      <c r="G606" s="39" t="s">
        <v>160</v>
      </c>
      <c r="H606" s="1">
        <v>2</v>
      </c>
      <c r="I606" s="1">
        <v>1</v>
      </c>
      <c r="J606" s="39" t="s">
        <v>491</v>
      </c>
      <c r="K606" s="1">
        <v>1</v>
      </c>
      <c r="L606" s="1">
        <v>2</v>
      </c>
      <c r="S606" s="1" t="str">
        <f>IF(tblDados[[#This Row],[Mandante]]="","",TEXT(tblDados[[#This Row],[Data]],"aaaa-mm-dd")&amp;"|"&amp;TRIM(tblDados[[#This Row],[Mandante]])&amp;"|"&amp;TRIM(tblDados[[#This Row],[Visitante]]))</f>
        <v>2026-04-26|Fluminense|Chapecoense</v>
      </c>
      <c r="T606" s="1">
        <f>IF($G606="",0,IF(COUNTIF($S$2:$S606,$S606)=1,1,0))</f>
        <v>1</v>
      </c>
      <c r="U606" s="19" t="str" cm="1">
        <f t="array" ref="U6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6" s="19" t="str" cm="1">
        <f t="array" ref="V6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7" spans="1:22" x14ac:dyDescent="0.3">
      <c r="A607" s="1" t="s">
        <v>1757</v>
      </c>
      <c r="B607" s="102">
        <v>46145</v>
      </c>
      <c r="C607" s="6">
        <v>0.77083333333333337</v>
      </c>
      <c r="D607" s="1" t="s">
        <v>12</v>
      </c>
      <c r="E607" s="1" t="s">
        <v>13</v>
      </c>
      <c r="F607" s="1" t="s">
        <v>1758</v>
      </c>
      <c r="G607" s="39" t="s">
        <v>143</v>
      </c>
      <c r="H607" s="1">
        <v>2</v>
      </c>
      <c r="I607" s="1">
        <v>0</v>
      </c>
      <c r="J607" s="39" t="s">
        <v>160</v>
      </c>
      <c r="K607" s="1">
        <v>0</v>
      </c>
      <c r="L607" s="1">
        <v>2</v>
      </c>
      <c r="S607" s="1" t="str">
        <f>IF(tblDados[[#This Row],[Mandante]]="","",TEXT(tblDados[[#This Row],[Data]],"aaaa-mm-dd")&amp;"|"&amp;TRIM(tblDados[[#This Row],[Mandante]])&amp;"|"&amp;TRIM(tblDados[[#This Row],[Visitante]]))</f>
        <v>2026-05-03|Internacional|Fluminense</v>
      </c>
      <c r="T607" s="1">
        <f>IF($G607="",0,IF(COUNTIF($S$2:$S607,$S607)=1,1,0))</f>
        <v>1</v>
      </c>
      <c r="U607" s="19" t="str" cm="1">
        <f t="array" ref="U6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7" s="19" t="str" cm="1">
        <f t="array" ref="V6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8" spans="1:22" x14ac:dyDescent="0.3">
      <c r="A608" s="1" t="s">
        <v>1759</v>
      </c>
      <c r="B608" s="102">
        <v>46151</v>
      </c>
      <c r="C608" s="6">
        <v>0.75</v>
      </c>
      <c r="D608" s="1" t="s">
        <v>12</v>
      </c>
      <c r="E608" s="1" t="s">
        <v>13</v>
      </c>
      <c r="F608" s="1" t="s">
        <v>1760</v>
      </c>
      <c r="G608" s="39" t="s">
        <v>160</v>
      </c>
      <c r="H608" s="1">
        <v>2</v>
      </c>
      <c r="I608" s="1">
        <v>2</v>
      </c>
      <c r="J608" s="39" t="s">
        <v>150</v>
      </c>
      <c r="K608" s="1">
        <v>2</v>
      </c>
      <c r="L608" s="1">
        <v>2</v>
      </c>
      <c r="S608" s="1" t="str">
        <f>IF(tblDados[[#This Row],[Mandante]]="","",TEXT(tblDados[[#This Row],[Data]],"aaaa-mm-dd")&amp;"|"&amp;TRIM(tblDados[[#This Row],[Mandante]])&amp;"|"&amp;TRIM(tblDados[[#This Row],[Visitante]]))</f>
        <v>2026-05-09|Fluminense|Vitória</v>
      </c>
      <c r="T608" s="1">
        <f>IF($G608="",0,IF(COUNTIF($S$2:$S608,$S608)=1,1,0))</f>
        <v>1</v>
      </c>
      <c r="U608" s="19" t="str" cm="1">
        <f t="array" ref="U6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8" s="19" t="str" cm="1">
        <f t="array" ref="V6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9" spans="1:22" x14ac:dyDescent="0.3">
      <c r="A609" s="1" t="s">
        <v>1761</v>
      </c>
      <c r="B609" s="102">
        <v>46158</v>
      </c>
      <c r="C609" s="6">
        <v>0.79166666666666663</v>
      </c>
      <c r="D609" s="1" t="s">
        <v>12</v>
      </c>
      <c r="E609" s="1" t="s">
        <v>13</v>
      </c>
      <c r="F609" s="1" t="s">
        <v>1762</v>
      </c>
      <c r="G609" s="39" t="s">
        <v>160</v>
      </c>
      <c r="H609" s="1">
        <v>2</v>
      </c>
      <c r="I609" s="1">
        <v>1</v>
      </c>
      <c r="J609" s="39" t="s">
        <v>512</v>
      </c>
      <c r="K609" s="1">
        <v>1</v>
      </c>
      <c r="L609" s="1">
        <v>2</v>
      </c>
      <c r="S609" s="1" t="str">
        <f>IF(tblDados[[#This Row],[Mandante]]="","",TEXT(tblDados[[#This Row],[Data]],"aaaa-mm-dd")&amp;"|"&amp;TRIM(tblDados[[#This Row],[Mandante]])&amp;"|"&amp;TRIM(tblDados[[#This Row],[Visitante]]))</f>
        <v>2026-05-16|Fluminense|São Paulo</v>
      </c>
      <c r="T609" s="1">
        <f>IF($G609="",0,IF(COUNTIF($S$2:$S609,$S609)=1,1,0))</f>
        <v>1</v>
      </c>
      <c r="U609" s="19" t="str" cm="1">
        <f t="array" ref="U6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9" s="19" t="str" cm="1">
        <f t="array" ref="V6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0" spans="1:22" x14ac:dyDescent="0.3">
      <c r="A610" s="1" t="s">
        <v>1763</v>
      </c>
      <c r="B610" s="102">
        <v>46165</v>
      </c>
      <c r="C610" s="6">
        <v>0.79166666666666663</v>
      </c>
      <c r="D610" s="1" t="s">
        <v>12</v>
      </c>
      <c r="E610" s="1" t="s">
        <v>13</v>
      </c>
      <c r="F610" s="1" t="s">
        <v>1764</v>
      </c>
      <c r="G610" s="39" t="s">
        <v>135</v>
      </c>
      <c r="H610" s="1">
        <v>1</v>
      </c>
      <c r="I610" s="1">
        <v>0</v>
      </c>
      <c r="J610" s="39" t="s">
        <v>160</v>
      </c>
      <c r="K610" s="1">
        <v>0</v>
      </c>
      <c r="L610" s="1">
        <v>1</v>
      </c>
      <c r="S610" s="1" t="str">
        <f>IF(tblDados[[#This Row],[Mandante]]="","",TEXT(tblDados[[#This Row],[Data]],"aaaa-mm-dd")&amp;"|"&amp;TRIM(tblDados[[#This Row],[Mandante]])&amp;"|"&amp;TRIM(tblDados[[#This Row],[Visitante]]))</f>
        <v>2026-05-23|Mirassol|Fluminense</v>
      </c>
      <c r="T610" s="1">
        <f>IF($G610="",0,IF(COUNTIF($S$2:$S610,$S610)=1,1,0))</f>
        <v>1</v>
      </c>
      <c r="U610" s="19" t="str" cm="1">
        <f t="array" ref="U6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0" s="19" t="str" cm="1">
        <f t="array" ref="V6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1" spans="1:22" x14ac:dyDescent="0.3">
      <c r="A611" s="1" t="s">
        <v>1765</v>
      </c>
      <c r="B611" s="102">
        <v>46173</v>
      </c>
      <c r="C611" s="6">
        <v>0.85416666666666663</v>
      </c>
      <c r="D611" s="1" t="s">
        <v>12</v>
      </c>
      <c r="E611" s="1" t="s">
        <v>13</v>
      </c>
      <c r="F611" s="1" t="s">
        <v>1766</v>
      </c>
      <c r="G611" s="39" t="s">
        <v>178</v>
      </c>
      <c r="H611" s="1">
        <v>1</v>
      </c>
      <c r="I611" s="1">
        <v>1</v>
      </c>
      <c r="J611" s="39" t="s">
        <v>160</v>
      </c>
      <c r="K611" s="1">
        <v>1</v>
      </c>
      <c r="L611" s="1">
        <v>1</v>
      </c>
      <c r="S611" s="1" t="str">
        <f>IF(tblDados[[#This Row],[Mandante]]="","",TEXT(tblDados[[#This Row],[Data]],"aaaa-mm-dd")&amp;"|"&amp;TRIM(tblDados[[#This Row],[Mandante]])&amp;"|"&amp;TRIM(tblDados[[#This Row],[Visitante]]))</f>
        <v>2026-05-31|Cruzeiro|Fluminense</v>
      </c>
      <c r="T611" s="1">
        <f>IF($G611="",0,IF(COUNTIF($S$2:$S611,$S611)=1,1,0))</f>
        <v>1</v>
      </c>
      <c r="U611" s="19" t="str" cm="1">
        <f t="array" ref="U6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1" s="19" t="str" cm="1">
        <f t="array" ref="V6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2" spans="1:22" x14ac:dyDescent="0.3">
      <c r="A612" s="1" t="s">
        <v>1767</v>
      </c>
      <c r="B612" s="102">
        <v>46220</v>
      </c>
      <c r="C612" s="6">
        <v>0.83333333333333337</v>
      </c>
      <c r="D612" s="1" t="s">
        <v>12</v>
      </c>
      <c r="E612" s="1" t="s">
        <v>13</v>
      </c>
      <c r="F612" s="1" t="s">
        <v>1768</v>
      </c>
      <c r="G612" s="39" t="s">
        <v>160</v>
      </c>
      <c r="H612" s="1">
        <v>1</v>
      </c>
      <c r="I612" s="1">
        <v>1</v>
      </c>
      <c r="J612" s="39" t="s">
        <v>1740</v>
      </c>
      <c r="K612" s="1">
        <v>1</v>
      </c>
      <c r="L612" s="1">
        <v>1</v>
      </c>
      <c r="S612" s="1" t="str">
        <f>IF(tblDados[[#This Row],[Mandante]]="","",TEXT(tblDados[[#This Row],[Data]],"aaaa-mm-dd")&amp;"|"&amp;TRIM(tblDados[[#This Row],[Mandante]])&amp;"|"&amp;TRIM(tblDados[[#This Row],[Visitante]]))</f>
        <v>2026-07-17|Fluminense|Red Bull Bragantino</v>
      </c>
      <c r="T612" s="1">
        <f>IF($G612="",0,IF(COUNTIF($S$2:$S612,$S612)=1,1,0))</f>
        <v>1</v>
      </c>
      <c r="U612" s="19" t="str" cm="1">
        <f t="array" ref="U6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2" s="19" t="str" cm="1">
        <f t="array" ref="V6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3" spans="1:22" ht="14.4" x14ac:dyDescent="0.3">
      <c r="A613" s="1" t="s">
        <v>1769</v>
      </c>
      <c r="B613" s="102">
        <v>46229</v>
      </c>
      <c r="C613" s="6">
        <v>0.77083333333333337</v>
      </c>
      <c r="D613" s="1" t="s">
        <v>12</v>
      </c>
      <c r="E613" s="1" t="s">
        <v>13</v>
      </c>
      <c r="F613" s="1" t="s">
        <v>1770</v>
      </c>
      <c r="G613" s="39" t="s">
        <v>502</v>
      </c>
      <c r="H613" s="1">
        <v>1</v>
      </c>
      <c r="I613" s="1">
        <v>1</v>
      </c>
      <c r="J613" s="39" t="s">
        <v>160</v>
      </c>
      <c r="K613" s="1">
        <v>1</v>
      </c>
      <c r="L613" s="1">
        <v>1</v>
      </c>
      <c r="S613" s="1" t="str">
        <f>IF(tblDados[[#This Row],[Mandante]]="","",TEXT(tblDados[[#This Row],[Data]],"aaaa-mm-dd")&amp;"|"&amp;TRIM(tblDados[[#This Row],[Mandante]])&amp;"|"&amp;TRIM(tblDados[[#This Row],[Visitante]]))</f>
        <v>2026-07-26|Grêmio|Fluminense</v>
      </c>
      <c r="T613">
        <f>IF($G613="",0,IF(COUNTIF($S$2:$S2834,$S613)=1,1,0))</f>
        <v>1</v>
      </c>
      <c r="U613" s="19" t="str" cm="1">
        <f t="array" ref="U6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3" s="19" t="str" cm="1">
        <f t="array" ref="V6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4" spans="1:22" x14ac:dyDescent="0.3">
      <c r="A614" s="1" t="s">
        <v>1771</v>
      </c>
      <c r="B614" s="102">
        <v>46115</v>
      </c>
      <c r="C614" s="6">
        <v>0.89583333333333337</v>
      </c>
      <c r="D614" s="1" t="s">
        <v>12</v>
      </c>
      <c r="E614" s="1" t="s">
        <v>13</v>
      </c>
      <c r="F614" s="1" t="s">
        <v>1772</v>
      </c>
      <c r="G614" s="39" t="s">
        <v>151</v>
      </c>
      <c r="H614" s="1">
        <v>2</v>
      </c>
      <c r="I614" s="1">
        <v>1</v>
      </c>
      <c r="J614" s="39" t="s">
        <v>502</v>
      </c>
      <c r="K614" s="1">
        <v>1</v>
      </c>
      <c r="L614" s="1">
        <v>2</v>
      </c>
      <c r="S614" s="1" t="str">
        <f>IF(tblDados[[#This Row],[Mandante]]="","",TEXT(tblDados[[#This Row],[Data]],"aaaa-mm-dd")&amp;"|"&amp;TRIM(tblDados[[#This Row],[Mandante]])&amp;"|"&amp;TRIM(tblDados[[#This Row],[Visitante]]))</f>
        <v>2026-04-03|Palmeiras|Grêmio</v>
      </c>
      <c r="T614" s="1">
        <f>IF($G614="",0,IF(COUNTIF($S$2:$S614,$S614)=1,1,0))</f>
        <v>1</v>
      </c>
      <c r="U614" s="19" t="str" cm="1">
        <f t="array" ref="U6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4" s="19" t="str" cm="1">
        <f t="array" ref="V6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5" spans="1:22" x14ac:dyDescent="0.3">
      <c r="A615" s="1" t="s">
        <v>1773</v>
      </c>
      <c r="B615" s="102">
        <v>46117</v>
      </c>
      <c r="C615" s="6">
        <v>0.85416666666666663</v>
      </c>
      <c r="D615" s="1" t="s">
        <v>12</v>
      </c>
      <c r="E615" s="1" t="s">
        <v>13</v>
      </c>
      <c r="F615" s="1" t="s">
        <v>1774</v>
      </c>
      <c r="G615" s="39" t="s">
        <v>502</v>
      </c>
      <c r="H615" s="1">
        <v>0</v>
      </c>
      <c r="I615" s="1">
        <v>0</v>
      </c>
      <c r="J615" s="39" t="s">
        <v>136</v>
      </c>
      <c r="K615" s="1">
        <v>0</v>
      </c>
      <c r="L615" s="1">
        <v>0</v>
      </c>
      <c r="S615" s="1" t="str">
        <f>IF(tblDados[[#This Row],[Mandante]]="","",TEXT(tblDados[[#This Row],[Data]],"aaaa-mm-dd")&amp;"|"&amp;TRIM(tblDados[[#This Row],[Mandante]])&amp;"|"&amp;TRIM(tblDados[[#This Row],[Visitante]]))</f>
        <v>2026-04-05|Grêmio|Remo</v>
      </c>
      <c r="T615" s="1">
        <f>IF($G615="",0,IF(COUNTIF($S$2:$S615,$S615)=1,1,0))</f>
        <v>1</v>
      </c>
      <c r="U615" s="19" t="str" cm="1">
        <f t="array" ref="U6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5" s="19" t="str" cm="1">
        <f t="array" ref="V6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6" spans="1:22" x14ac:dyDescent="0.3">
      <c r="A616" s="1" t="s">
        <v>1775</v>
      </c>
      <c r="B616" s="102">
        <v>46123</v>
      </c>
      <c r="C616" s="6">
        <v>0.85416666666666663</v>
      </c>
      <c r="D616" s="1" t="s">
        <v>12</v>
      </c>
      <c r="E616" s="1" t="s">
        <v>13</v>
      </c>
      <c r="F616" s="1" t="s">
        <v>1776</v>
      </c>
      <c r="G616" s="39" t="s">
        <v>143</v>
      </c>
      <c r="H616" s="1">
        <v>0</v>
      </c>
      <c r="I616" s="1">
        <v>0</v>
      </c>
      <c r="J616" s="39" t="s">
        <v>502</v>
      </c>
      <c r="K616" s="1">
        <v>0</v>
      </c>
      <c r="L616" s="1">
        <v>0</v>
      </c>
      <c r="S616" s="1" t="str">
        <f>IF(tblDados[[#This Row],[Mandante]]="","",TEXT(tblDados[[#This Row],[Data]],"aaaa-mm-dd")&amp;"|"&amp;TRIM(tblDados[[#This Row],[Mandante]])&amp;"|"&amp;TRIM(tblDados[[#This Row],[Visitante]]))</f>
        <v>2026-04-11|Internacional|Grêmio</v>
      </c>
      <c r="T616" s="1">
        <f>IF($G616="",0,IF(COUNTIF($S$2:$S616,$S616)=1,1,0))</f>
        <v>1</v>
      </c>
      <c r="U616" s="19" t="str" cm="1">
        <f t="array" ref="U6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6" s="19" t="str" cm="1">
        <f t="array" ref="V6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7" spans="1:22" x14ac:dyDescent="0.3">
      <c r="A617" s="1" t="s">
        <v>1777</v>
      </c>
      <c r="B617" s="102">
        <v>46130</v>
      </c>
      <c r="C617" s="6">
        <v>0.77083333333333337</v>
      </c>
      <c r="D617" s="1" t="s">
        <v>12</v>
      </c>
      <c r="E617" s="1" t="s">
        <v>13</v>
      </c>
      <c r="F617" s="1" t="s">
        <v>1778</v>
      </c>
      <c r="G617" s="39" t="s">
        <v>178</v>
      </c>
      <c r="H617" s="1">
        <v>2</v>
      </c>
      <c r="I617" s="1">
        <v>0</v>
      </c>
      <c r="J617" s="39" t="s">
        <v>502</v>
      </c>
      <c r="K617" s="1">
        <v>0</v>
      </c>
      <c r="L617" s="1">
        <v>2</v>
      </c>
      <c r="S617" s="1" t="str">
        <f>IF(tblDados[[#This Row],[Mandante]]="","",TEXT(tblDados[[#This Row],[Data]],"aaaa-mm-dd")&amp;"|"&amp;TRIM(tblDados[[#This Row],[Mandante]])&amp;"|"&amp;TRIM(tblDados[[#This Row],[Visitante]]))</f>
        <v>2026-04-18|Cruzeiro|Grêmio</v>
      </c>
      <c r="T617" s="1">
        <f>IF($G617="",0,IF(COUNTIF($S$2:$S617,$S617)=1,1,0))</f>
        <v>1</v>
      </c>
      <c r="U617" s="19" t="str" cm="1">
        <f t="array" ref="U6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7" s="19" t="str" cm="1">
        <f t="array" ref="V6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8" spans="1:22" x14ac:dyDescent="0.3">
      <c r="A618" s="1" t="s">
        <v>1779</v>
      </c>
      <c r="B618" s="102">
        <v>46138</v>
      </c>
      <c r="C618" s="6">
        <v>0.66666666666666663</v>
      </c>
      <c r="D618" s="1" t="s">
        <v>12</v>
      </c>
      <c r="E618" s="1" t="s">
        <v>13</v>
      </c>
      <c r="F618" s="1" t="s">
        <v>1780</v>
      </c>
      <c r="G618" s="39" t="s">
        <v>502</v>
      </c>
      <c r="H618" s="1">
        <v>1</v>
      </c>
      <c r="I618" s="1">
        <v>0</v>
      </c>
      <c r="J618" s="39" t="s">
        <v>177</v>
      </c>
      <c r="K618" s="1">
        <v>0</v>
      </c>
      <c r="L618" s="1">
        <v>1</v>
      </c>
      <c r="S618" s="1" t="str">
        <f>IF(tblDados[[#This Row],[Mandante]]="","",TEXT(tblDados[[#This Row],[Data]],"aaaa-mm-dd")&amp;"|"&amp;TRIM(tblDados[[#This Row],[Mandante]])&amp;"|"&amp;TRIM(tblDados[[#This Row],[Visitante]]))</f>
        <v>2026-04-26|Grêmio|Coritiba</v>
      </c>
      <c r="T618" s="1">
        <f>IF($G618="",0,IF(COUNTIF($S$2:$S618,$S618)=1,1,0))</f>
        <v>1</v>
      </c>
      <c r="U618" s="19" t="str" cm="1">
        <f t="array" ref="U6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8" s="19" t="str" cm="1">
        <f t="array" ref="V6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9" spans="1:22" x14ac:dyDescent="0.3">
      <c r="A619" s="1" t="s">
        <v>1781</v>
      </c>
      <c r="B619" s="102">
        <v>46144</v>
      </c>
      <c r="C619" s="6">
        <v>0.85416666666666663</v>
      </c>
      <c r="D619" s="1" t="s">
        <v>12</v>
      </c>
      <c r="E619" s="1" t="s">
        <v>13</v>
      </c>
      <c r="F619" s="1" t="s">
        <v>1782</v>
      </c>
      <c r="G619" s="39" t="s">
        <v>505</v>
      </c>
      <c r="H619" s="1">
        <v>0</v>
      </c>
      <c r="I619" s="1">
        <v>0</v>
      </c>
      <c r="J619" s="39" t="s">
        <v>502</v>
      </c>
      <c r="K619" s="1">
        <v>0</v>
      </c>
      <c r="L619" s="1">
        <v>0</v>
      </c>
      <c r="S619" s="1" t="str">
        <f>IF(tblDados[[#This Row],[Mandante]]="","",TEXT(tblDados[[#This Row],[Data]],"aaaa-mm-dd")&amp;"|"&amp;TRIM(tblDados[[#This Row],[Mandante]])&amp;"|"&amp;TRIM(tblDados[[#This Row],[Visitante]]))</f>
        <v>2026-05-02|Athletico-PR|Grêmio</v>
      </c>
      <c r="T619" s="1">
        <f>IF($G619="",0,IF(COUNTIF($S$2:$S619,$S619)=1,1,0))</f>
        <v>1</v>
      </c>
      <c r="U619" s="19" t="str" cm="1">
        <f t="array" ref="U6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9" s="19" t="str" cm="1">
        <f t="array" ref="V6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0" spans="1:22" x14ac:dyDescent="0.3">
      <c r="A620" s="1" t="s">
        <v>1783</v>
      </c>
      <c r="B620" s="102">
        <v>46159</v>
      </c>
      <c r="C620" s="6">
        <v>0.66666666666666663</v>
      </c>
      <c r="D620" s="1" t="s">
        <v>12</v>
      </c>
      <c r="E620" s="1" t="s">
        <v>13</v>
      </c>
      <c r="F620" s="1" t="s">
        <v>1784</v>
      </c>
      <c r="G620" s="39" t="s">
        <v>161</v>
      </c>
      <c r="H620" s="1">
        <v>1</v>
      </c>
      <c r="I620" s="1">
        <v>1</v>
      </c>
      <c r="J620" s="39" t="s">
        <v>502</v>
      </c>
      <c r="K620" s="1">
        <v>1</v>
      </c>
      <c r="L620" s="1">
        <v>1</v>
      </c>
      <c r="S620" s="1" t="str">
        <f>IF(tblDados[[#This Row],[Mandante]]="","",TEXT(tblDados[[#This Row],[Data]],"aaaa-mm-dd")&amp;"|"&amp;TRIM(tblDados[[#This Row],[Mandante]])&amp;"|"&amp;TRIM(tblDados[[#This Row],[Visitante]]))</f>
        <v>2026-05-17|Bahia|Grêmio</v>
      </c>
      <c r="T620" s="1">
        <f>IF($G620="",0,IF(COUNTIF($S$2:$S620,$S620)=1,1,0))</f>
        <v>1</v>
      </c>
      <c r="U620" s="19" t="str" cm="1">
        <f t="array" ref="U6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0" s="19" t="str" cm="1">
        <f t="array" ref="V6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1" spans="1:22" x14ac:dyDescent="0.3">
      <c r="A621" s="1" t="s">
        <v>1785</v>
      </c>
      <c r="B621" s="102">
        <v>46165</v>
      </c>
      <c r="C621" s="6">
        <v>0.79166666666666663</v>
      </c>
      <c r="D621" s="1" t="s">
        <v>12</v>
      </c>
      <c r="E621" s="1" t="s">
        <v>13</v>
      </c>
      <c r="F621" s="1" t="s">
        <v>1786</v>
      </c>
      <c r="G621" s="39" t="s">
        <v>502</v>
      </c>
      <c r="H621" s="1">
        <v>3</v>
      </c>
      <c r="I621" s="1">
        <v>2</v>
      </c>
      <c r="J621" s="39" t="s">
        <v>482</v>
      </c>
      <c r="K621" s="1">
        <v>2</v>
      </c>
      <c r="L621" s="1">
        <v>3</v>
      </c>
      <c r="S621" s="1" t="str">
        <f>IF(tblDados[[#This Row],[Mandante]]="","",TEXT(tblDados[[#This Row],[Data]],"aaaa-mm-dd")&amp;"|"&amp;TRIM(tblDados[[#This Row],[Mandante]])&amp;"|"&amp;TRIM(tblDados[[#This Row],[Visitante]]))</f>
        <v>2026-05-23|Grêmio|Santos</v>
      </c>
      <c r="T621" s="1">
        <f>IF($G621="",0,IF(COUNTIF($S$2:$S621,$S621)=1,1,0))</f>
        <v>1</v>
      </c>
      <c r="U621" s="19" t="str" cm="1">
        <f t="array" ref="U6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1" s="19" t="str" cm="1">
        <f t="array" ref="V6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2" spans="1:22" x14ac:dyDescent="0.3">
      <c r="A622" s="1" t="s">
        <v>1787</v>
      </c>
      <c r="B622" s="102">
        <v>46172</v>
      </c>
      <c r="C622" s="6">
        <v>0.72916666666666663</v>
      </c>
      <c r="D622" s="1" t="s">
        <v>12</v>
      </c>
      <c r="E622" s="1" t="s">
        <v>13</v>
      </c>
      <c r="F622" s="1" t="s">
        <v>1788</v>
      </c>
      <c r="G622" s="39" t="s">
        <v>502</v>
      </c>
      <c r="H622" s="1">
        <v>1</v>
      </c>
      <c r="I622" s="1">
        <v>3</v>
      </c>
      <c r="J622" s="39" t="s">
        <v>174</v>
      </c>
      <c r="K622" s="1">
        <v>3</v>
      </c>
      <c r="L622" s="1">
        <v>1</v>
      </c>
      <c r="S622" s="1" t="str">
        <f>IF(tblDados[[#This Row],[Mandante]]="","",TEXT(tblDados[[#This Row],[Data]],"aaaa-mm-dd")&amp;"|"&amp;TRIM(tblDados[[#This Row],[Mandante]])&amp;"|"&amp;TRIM(tblDados[[#This Row],[Visitante]]))</f>
        <v>2026-05-30|Grêmio|Corinthians</v>
      </c>
      <c r="T622" s="1">
        <f>IF($G622="",0,IF(COUNTIF($S$2:$S622,$S622)=1,1,0))</f>
        <v>1</v>
      </c>
      <c r="U622" s="19" t="str" cm="1">
        <f t="array" ref="U6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2" s="19" t="str" cm="1">
        <f t="array" ref="V6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3" spans="1:22" ht="14.4" x14ac:dyDescent="0.3">
      <c r="A623" s="1" t="s">
        <v>1789</v>
      </c>
      <c r="B623" s="102">
        <v>46220</v>
      </c>
      <c r="C623" s="6">
        <v>0.83333333333333337</v>
      </c>
      <c r="D623" s="1" t="s">
        <v>12</v>
      </c>
      <c r="E623" s="1" t="s">
        <v>13</v>
      </c>
      <c r="F623" s="1" t="s">
        <v>1790</v>
      </c>
      <c r="G623" s="39" t="s">
        <v>135</v>
      </c>
      <c r="H623" s="1">
        <v>2</v>
      </c>
      <c r="I623" s="1">
        <v>1</v>
      </c>
      <c r="J623" s="39" t="s">
        <v>502</v>
      </c>
      <c r="K623" s="1">
        <v>1</v>
      </c>
      <c r="L623" s="1">
        <v>2</v>
      </c>
      <c r="S623" s="1" t="str">
        <f>IF(tblDados[[#This Row],[Mandante]]="","",TEXT(tblDados[[#This Row],[Data]],"aaaa-mm-dd")&amp;"|"&amp;TRIM(tblDados[[#This Row],[Mandante]])&amp;"|"&amp;TRIM(tblDados[[#This Row],[Visitante]]))</f>
        <v>2026-07-17|Mirassol|Grêmio</v>
      </c>
      <c r="T623">
        <f>IF($G623="",0,IF(COUNTIF($S$2:$S2834,$S623)=1,1,0))</f>
        <v>1</v>
      </c>
      <c r="U623" s="19" t="str" cm="1">
        <f t="array" ref="U6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3" s="19" t="str" cm="1">
        <f t="array" ref="V6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4" spans="1:22" x14ac:dyDescent="0.3">
      <c r="A624" s="1" t="s">
        <v>1791</v>
      </c>
      <c r="B624" s="102">
        <v>46113</v>
      </c>
      <c r="C624" s="6">
        <v>0.8125</v>
      </c>
      <c r="D624" s="1" t="s">
        <v>12</v>
      </c>
      <c r="E624" s="1" t="s">
        <v>13</v>
      </c>
      <c r="F624" s="1" t="s">
        <v>1792</v>
      </c>
      <c r="G624" s="39" t="s">
        <v>143</v>
      </c>
      <c r="H624" s="1">
        <v>1</v>
      </c>
      <c r="I624" s="1">
        <v>1</v>
      </c>
      <c r="J624" s="39" t="s">
        <v>512</v>
      </c>
      <c r="K624" s="1">
        <v>1</v>
      </c>
      <c r="L624" s="1">
        <v>1</v>
      </c>
      <c r="S624" s="1" t="str">
        <f>IF(tblDados[[#This Row],[Mandante]]="","",TEXT(tblDados[[#This Row],[Data]],"aaaa-mm-dd")&amp;"|"&amp;TRIM(tblDados[[#This Row],[Mandante]])&amp;"|"&amp;TRIM(tblDados[[#This Row],[Visitante]]))</f>
        <v>2026-04-01|Internacional|São Paulo</v>
      </c>
      <c r="T624" s="1">
        <f>IF($G624="",0,IF(COUNTIF($S$2:$S624,$S624)=1,1,0))</f>
        <v>1</v>
      </c>
      <c r="U624" s="19" t="str" cm="1">
        <f t="array" ref="U6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4" s="19" t="str" cm="1">
        <f t="array" ref="V6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5" spans="1:22" x14ac:dyDescent="0.3">
      <c r="A625" s="1" t="s">
        <v>1793</v>
      </c>
      <c r="B625" s="102">
        <v>46116</v>
      </c>
      <c r="C625" s="6">
        <v>0.77083333333333337</v>
      </c>
      <c r="D625" s="1" t="s">
        <v>12</v>
      </c>
      <c r="E625" s="1" t="s">
        <v>13</v>
      </c>
      <c r="F625" s="1" t="s">
        <v>1794</v>
      </c>
      <c r="G625" s="39" t="s">
        <v>512</v>
      </c>
      <c r="H625" s="1">
        <v>4</v>
      </c>
      <c r="I625" s="1">
        <v>1</v>
      </c>
      <c r="J625" s="39" t="s">
        <v>178</v>
      </c>
      <c r="K625" s="1">
        <v>1</v>
      </c>
      <c r="L625" s="1">
        <v>4</v>
      </c>
      <c r="S625" s="1" t="str">
        <f>IF(tblDados[[#This Row],[Mandante]]="","",TEXT(tblDados[[#This Row],[Data]],"aaaa-mm-dd")&amp;"|"&amp;TRIM(tblDados[[#This Row],[Mandante]])&amp;"|"&amp;TRIM(tblDados[[#This Row],[Visitante]]))</f>
        <v>2026-04-04|São Paulo|Cruzeiro</v>
      </c>
      <c r="T625" s="1">
        <f>IF($G625="",0,IF(COUNTIF($S$2:$S625,$S625)=1,1,0))</f>
        <v>1</v>
      </c>
      <c r="U625" s="19" t="str" cm="1">
        <f t="array" ref="U6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5" s="19" t="str" cm="1">
        <f t="array" ref="V6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6" spans="1:22" x14ac:dyDescent="0.3">
      <c r="A626" s="1" t="s">
        <v>1795</v>
      </c>
      <c r="B626" s="102">
        <v>46123</v>
      </c>
      <c r="C626" s="6">
        <v>0.6875</v>
      </c>
      <c r="D626" s="1" t="s">
        <v>12</v>
      </c>
      <c r="E626" s="1" t="s">
        <v>13</v>
      </c>
      <c r="F626" s="1" t="s">
        <v>1796</v>
      </c>
      <c r="G626" s="39" t="s">
        <v>150</v>
      </c>
      <c r="H626" s="1">
        <v>2</v>
      </c>
      <c r="I626" s="1">
        <v>0</v>
      </c>
      <c r="J626" s="39" t="s">
        <v>512</v>
      </c>
      <c r="K626" s="1">
        <v>0</v>
      </c>
      <c r="L626" s="1">
        <v>2</v>
      </c>
      <c r="S626" s="1" t="str">
        <f>IF(tblDados[[#This Row],[Mandante]]="","",TEXT(tblDados[[#This Row],[Data]],"aaaa-mm-dd")&amp;"|"&amp;TRIM(tblDados[[#This Row],[Mandante]])&amp;"|"&amp;TRIM(tblDados[[#This Row],[Visitante]]))</f>
        <v>2026-04-11|Vitória|São Paulo</v>
      </c>
      <c r="T626" s="1">
        <f>IF($G626="",0,IF(COUNTIF($S$2:$S626,$S626)=1,1,0))</f>
        <v>1</v>
      </c>
      <c r="U626" s="19" t="str" cm="1">
        <f t="array" ref="U6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6" s="19" t="str" cm="1">
        <f t="array" ref="V6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7" spans="1:22" x14ac:dyDescent="0.3">
      <c r="A627" s="1" t="s">
        <v>1797</v>
      </c>
      <c r="B627" s="102">
        <v>46130</v>
      </c>
      <c r="C627" s="6">
        <v>0.77083333333333337</v>
      </c>
      <c r="D627" s="1" t="s">
        <v>12</v>
      </c>
      <c r="E627" s="1" t="s">
        <v>13</v>
      </c>
      <c r="F627" s="1" t="s">
        <v>1798</v>
      </c>
      <c r="G627" s="39" t="s">
        <v>229</v>
      </c>
      <c r="H627" s="1">
        <v>2</v>
      </c>
      <c r="I627" s="1">
        <v>1</v>
      </c>
      <c r="J627" s="39" t="s">
        <v>512</v>
      </c>
      <c r="K627" s="1">
        <v>1</v>
      </c>
      <c r="L627" s="1">
        <v>2</v>
      </c>
      <c r="S627" s="1" t="str">
        <f>IF(tblDados[[#This Row],[Mandante]]="","",TEXT(tblDados[[#This Row],[Data]],"aaaa-mm-dd")&amp;"|"&amp;TRIM(tblDados[[#This Row],[Mandante]])&amp;"|"&amp;TRIM(tblDados[[#This Row],[Visitante]]))</f>
        <v>2026-04-18|Vasco da Gama|São Paulo</v>
      </c>
      <c r="T627" s="1">
        <f>IF($G627="",0,IF(COUNTIF($S$2:$S627,$S627)=1,1,0))</f>
        <v>1</v>
      </c>
      <c r="U627" s="19" t="str" cm="1">
        <f t="array" ref="U6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7" s="19" t="str" cm="1">
        <f t="array" ref="V6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8" spans="1:22" x14ac:dyDescent="0.3">
      <c r="A628" s="1" t="s">
        <v>1799</v>
      </c>
      <c r="B628" s="102">
        <v>46137</v>
      </c>
      <c r="C628" s="6">
        <v>0.77083333333333337</v>
      </c>
      <c r="D628" s="1" t="s">
        <v>12</v>
      </c>
      <c r="E628" s="1" t="s">
        <v>13</v>
      </c>
      <c r="F628" s="1" t="s">
        <v>1800</v>
      </c>
      <c r="G628" s="39" t="s">
        <v>512</v>
      </c>
      <c r="H628" s="1">
        <v>1</v>
      </c>
      <c r="I628" s="1">
        <v>0</v>
      </c>
      <c r="J628" s="39" t="s">
        <v>135</v>
      </c>
      <c r="K628" s="1">
        <v>0</v>
      </c>
      <c r="L628" s="1">
        <v>1</v>
      </c>
      <c r="S628" s="1" t="str">
        <f>IF(tblDados[[#This Row],[Mandante]]="","",TEXT(tblDados[[#This Row],[Data]],"aaaa-mm-dd")&amp;"|"&amp;TRIM(tblDados[[#This Row],[Mandante]])&amp;"|"&amp;TRIM(tblDados[[#This Row],[Visitante]]))</f>
        <v>2026-04-25|São Paulo|Mirassol</v>
      </c>
      <c r="T628" s="1">
        <f>IF($G628="",0,IF(COUNTIF($S$2:$S628,$S628)=1,1,0))</f>
        <v>1</v>
      </c>
      <c r="U628" s="19" t="str" cm="1">
        <f t="array" ref="U6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8" s="19" t="str" cm="1">
        <f t="array" ref="V6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9" spans="1:22" x14ac:dyDescent="0.3">
      <c r="A629" s="1" t="s">
        <v>1801</v>
      </c>
      <c r="B629" s="102">
        <v>46145</v>
      </c>
      <c r="C629" s="6">
        <v>0.70833333333333337</v>
      </c>
      <c r="D629" s="1" t="s">
        <v>12</v>
      </c>
      <c r="E629" s="1" t="s">
        <v>13</v>
      </c>
      <c r="F629" s="1" t="s">
        <v>1802</v>
      </c>
      <c r="G629" s="39" t="s">
        <v>512</v>
      </c>
      <c r="H629" s="1">
        <v>2</v>
      </c>
      <c r="I629" s="1">
        <v>2</v>
      </c>
      <c r="J629" s="39" t="s">
        <v>161</v>
      </c>
      <c r="K629" s="1">
        <v>2</v>
      </c>
      <c r="L629" s="1">
        <v>2</v>
      </c>
      <c r="S629" s="1" t="str">
        <f>IF(tblDados[[#This Row],[Mandante]]="","",TEXT(tblDados[[#This Row],[Data]],"aaaa-mm-dd")&amp;"|"&amp;TRIM(tblDados[[#This Row],[Mandante]])&amp;"|"&amp;TRIM(tblDados[[#This Row],[Visitante]]))</f>
        <v>2026-05-03|São Paulo|Bahia</v>
      </c>
      <c r="T629" s="1">
        <f>IF($G629="",0,IF(COUNTIF($S$2:$S629,$S629)=1,1,0))</f>
        <v>1</v>
      </c>
      <c r="U629" s="19" t="str" cm="1">
        <f t="array" ref="U6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9" s="19" t="str" cm="1">
        <f t="array" ref="V6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0" spans="1:22" x14ac:dyDescent="0.3">
      <c r="A630" s="1" t="s">
        <v>1803</v>
      </c>
      <c r="B630" s="102">
        <v>46152</v>
      </c>
      <c r="C630" s="6">
        <v>0.77083333333333337</v>
      </c>
      <c r="D630" s="1" t="s">
        <v>12</v>
      </c>
      <c r="E630" s="1" t="s">
        <v>13</v>
      </c>
      <c r="F630" s="1" t="s">
        <v>1804</v>
      </c>
      <c r="G630" s="39" t="s">
        <v>174</v>
      </c>
      <c r="H630" s="1">
        <v>3</v>
      </c>
      <c r="I630" s="1">
        <v>2</v>
      </c>
      <c r="J630" s="39" t="s">
        <v>512</v>
      </c>
      <c r="K630" s="1">
        <v>2</v>
      </c>
      <c r="L630" s="1">
        <v>3</v>
      </c>
      <c r="S630" s="1" t="str">
        <f>IF(tblDados[[#This Row],[Mandante]]="","",TEXT(tblDados[[#This Row],[Data]],"aaaa-mm-dd")&amp;"|"&amp;TRIM(tblDados[[#This Row],[Mandante]])&amp;"|"&amp;TRIM(tblDados[[#This Row],[Visitante]]))</f>
        <v>2026-05-10|Corinthians|São Paulo</v>
      </c>
      <c r="T630" s="1">
        <f>IF($G630="",0,IF(COUNTIF($S$2:$S630,$S630)=1,1,0))</f>
        <v>1</v>
      </c>
      <c r="U630" s="19" t="str" cm="1">
        <f t="array" ref="U6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0" s="19" t="str" cm="1">
        <f t="array" ref="V6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1" spans="1:22" x14ac:dyDescent="0.3">
      <c r="A631" s="1" t="s">
        <v>1805</v>
      </c>
      <c r="B631" s="102">
        <v>46173</v>
      </c>
      <c r="C631" s="6">
        <v>0.85416666666666663</v>
      </c>
      <c r="D631" s="1" t="s">
        <v>12</v>
      </c>
      <c r="E631" s="1" t="s">
        <v>13</v>
      </c>
      <c r="F631" s="1" t="s">
        <v>1806</v>
      </c>
      <c r="G631" s="39" t="s">
        <v>136</v>
      </c>
      <c r="H631" s="1">
        <v>1</v>
      </c>
      <c r="I631" s="1">
        <v>0</v>
      </c>
      <c r="J631" s="39" t="s">
        <v>512</v>
      </c>
      <c r="K631" s="1">
        <v>0</v>
      </c>
      <c r="L631" s="1">
        <v>1</v>
      </c>
      <c r="S631" s="1" t="str">
        <f>IF(tblDados[[#This Row],[Mandante]]="","",TEXT(tblDados[[#This Row],[Data]],"aaaa-mm-dd")&amp;"|"&amp;TRIM(tblDados[[#This Row],[Mandante]])&amp;"|"&amp;TRIM(tblDados[[#This Row],[Visitante]]))</f>
        <v>2026-05-31|Remo|São Paulo</v>
      </c>
      <c r="T631" s="1">
        <f>IF($G631="",0,IF(COUNTIF($S$2:$S631,$S631)=1,1,0))</f>
        <v>1</v>
      </c>
      <c r="U631" s="19" t="str" cm="1">
        <f t="array" ref="U6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1" s="19" t="str" cm="1">
        <f t="array" ref="V6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2" spans="1:22" ht="14.4" x14ac:dyDescent="0.3">
      <c r="A632" s="1" t="s">
        <v>1807</v>
      </c>
      <c r="B632" s="102">
        <v>46225</v>
      </c>
      <c r="C632" s="6">
        <v>0.89583333333333337</v>
      </c>
      <c r="D632" s="1" t="s">
        <v>12</v>
      </c>
      <c r="E632" s="1" t="s">
        <v>13</v>
      </c>
      <c r="F632" s="1" t="s">
        <v>1808</v>
      </c>
      <c r="G632" s="39" t="s">
        <v>512</v>
      </c>
      <c r="H632" s="1">
        <v>1</v>
      </c>
      <c r="I632" s="1">
        <v>2</v>
      </c>
      <c r="J632" s="39" t="s">
        <v>505</v>
      </c>
      <c r="K632" s="1">
        <v>2</v>
      </c>
      <c r="L632" s="1">
        <v>1</v>
      </c>
      <c r="S632" s="1" t="str">
        <f>IF(tblDados[[#This Row],[Mandante]]="","",TEXT(tblDados[[#This Row],[Data]],"aaaa-mm-dd")&amp;"|"&amp;TRIM(tblDados[[#This Row],[Mandante]])&amp;"|"&amp;TRIM(tblDados[[#This Row],[Visitante]]))</f>
        <v>2026-07-22|São Paulo|Athletico-PR</v>
      </c>
      <c r="T632">
        <f>IF($G632="",0,IF(COUNTIF($S$2:$S2834,$S632)=1,1,0))</f>
        <v>1</v>
      </c>
      <c r="U632" s="19" t="str" cm="1">
        <f t="array" ref="U6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2" s="19" t="str" cm="1">
        <f t="array" ref="V6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3" spans="1:22" x14ac:dyDescent="0.3">
      <c r="A633" s="1" t="s">
        <v>1809</v>
      </c>
      <c r="B633" s="102">
        <v>46131</v>
      </c>
      <c r="C633" s="6">
        <v>0.66666666666666663</v>
      </c>
      <c r="D633" s="1" t="s">
        <v>12</v>
      </c>
      <c r="E633" s="1" t="s">
        <v>13</v>
      </c>
      <c r="F633" s="1" t="s">
        <v>1810</v>
      </c>
      <c r="G633" s="39" t="s">
        <v>177</v>
      </c>
      <c r="H633" s="1">
        <v>2</v>
      </c>
      <c r="I633" s="1">
        <v>0</v>
      </c>
      <c r="J633" s="39" t="s">
        <v>496</v>
      </c>
      <c r="K633" s="1">
        <v>0</v>
      </c>
      <c r="L633" s="1">
        <v>2</v>
      </c>
      <c r="S633" s="1" t="str">
        <f>IF(tblDados[[#This Row],[Mandante]]="","",TEXT(tblDados[[#This Row],[Data]],"aaaa-mm-dd")&amp;"|"&amp;TRIM(tblDados[[#This Row],[Mandante]])&amp;"|"&amp;TRIM(tblDados[[#This Row],[Visitante]]))</f>
        <v>2026-04-19|Coritiba|Atlético-MG</v>
      </c>
      <c r="T633" s="1">
        <f>IF($G633="",0,IF(COUNTIF($S$2:$S633,$S633)=1,1,0))</f>
        <v>1</v>
      </c>
      <c r="U633" s="19" t="str" cm="1">
        <f t="array" ref="U6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3" s="19" t="str" cm="1">
        <f t="array" ref="V6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4" spans="1:22" x14ac:dyDescent="0.3">
      <c r="A634" s="1" t="s">
        <v>1811</v>
      </c>
      <c r="B634" s="102">
        <v>46144</v>
      </c>
      <c r="C634" s="6">
        <v>0.83333333333333337</v>
      </c>
      <c r="D634" s="1" t="s">
        <v>12</v>
      </c>
      <c r="E634" s="1" t="s">
        <v>13</v>
      </c>
      <c r="F634" s="1" t="s">
        <v>1812</v>
      </c>
      <c r="G634" s="39" t="s">
        <v>150</v>
      </c>
      <c r="H634" s="1">
        <v>4</v>
      </c>
      <c r="I634" s="1">
        <v>1</v>
      </c>
      <c r="J634" s="39" t="s">
        <v>177</v>
      </c>
      <c r="K634" s="1">
        <v>1</v>
      </c>
      <c r="L634" s="1">
        <v>4</v>
      </c>
      <c r="S634" s="1" t="str">
        <f>IF(tblDados[[#This Row],[Mandante]]="","",TEXT(tblDados[[#This Row],[Data]],"aaaa-mm-dd")&amp;"|"&amp;TRIM(tblDados[[#This Row],[Mandante]])&amp;"|"&amp;TRIM(tblDados[[#This Row],[Visitante]]))</f>
        <v>2026-05-02|Vitória|Coritiba</v>
      </c>
      <c r="T634" s="1">
        <f>IF($G634="",0,IF(COUNTIF($S$2:$S634,$S634)=1,1,0))</f>
        <v>1</v>
      </c>
      <c r="U634" s="19" t="str" cm="1">
        <f t="array" ref="U6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4" s="19" t="str" cm="1">
        <f t="array" ref="V6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5" spans="1:22" x14ac:dyDescent="0.3">
      <c r="A635" s="1" t="s">
        <v>1813</v>
      </c>
      <c r="B635" s="102">
        <v>46151</v>
      </c>
      <c r="C635" s="6">
        <v>0.66666666666666663</v>
      </c>
      <c r="D635" s="1" t="s">
        <v>12</v>
      </c>
      <c r="E635" s="1" t="s">
        <v>13</v>
      </c>
      <c r="F635" s="1" t="s">
        <v>1814</v>
      </c>
      <c r="G635" s="39" t="s">
        <v>177</v>
      </c>
      <c r="H635" s="1">
        <v>2</v>
      </c>
      <c r="I635" s="1">
        <v>2</v>
      </c>
      <c r="J635" s="39" t="s">
        <v>143</v>
      </c>
      <c r="K635" s="1">
        <v>2</v>
      </c>
      <c r="L635" s="1">
        <v>2</v>
      </c>
      <c r="S635" s="1" t="str">
        <f>IF(tblDados[[#This Row],[Mandante]]="","",TEXT(tblDados[[#This Row],[Data]],"aaaa-mm-dd")&amp;"|"&amp;TRIM(tblDados[[#This Row],[Mandante]])&amp;"|"&amp;TRIM(tblDados[[#This Row],[Visitante]]))</f>
        <v>2026-05-09|Coritiba|Internacional</v>
      </c>
      <c r="T635" s="1">
        <f>IF($G635="",0,IF(COUNTIF($S$2:$S635,$S635)=1,1,0))</f>
        <v>1</v>
      </c>
      <c r="U635" s="19" t="str" cm="1">
        <f t="array" ref="U6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5" s="19" t="str" cm="1">
        <f t="array" ref="V6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6" spans="1:22" x14ac:dyDescent="0.3">
      <c r="A636" s="1" t="s">
        <v>1815</v>
      </c>
      <c r="B636" s="102">
        <v>46159</v>
      </c>
      <c r="C636" s="6">
        <v>0.77083333333333337</v>
      </c>
      <c r="D636" s="1" t="s">
        <v>12</v>
      </c>
      <c r="E636" s="1" t="s">
        <v>13</v>
      </c>
      <c r="F636" s="1" t="s">
        <v>1816</v>
      </c>
      <c r="G636" s="39" t="s">
        <v>482</v>
      </c>
      <c r="H636" s="1">
        <v>0</v>
      </c>
      <c r="I636" s="1">
        <v>3</v>
      </c>
      <c r="J636" s="39" t="s">
        <v>177</v>
      </c>
      <c r="K636" s="1">
        <v>3</v>
      </c>
      <c r="L636" s="1">
        <v>0</v>
      </c>
      <c r="S636" s="1" t="str">
        <f>IF(tblDados[[#This Row],[Mandante]]="","",TEXT(tblDados[[#This Row],[Data]],"aaaa-mm-dd")&amp;"|"&amp;TRIM(tblDados[[#This Row],[Mandante]])&amp;"|"&amp;TRIM(tblDados[[#This Row],[Visitante]]))</f>
        <v>2026-05-17|Santos|Coritiba</v>
      </c>
      <c r="T636" s="1">
        <f>IF($G636="",0,IF(COUNTIF($S$2:$S636,$S636)=1,1,0))</f>
        <v>1</v>
      </c>
      <c r="U636" s="19" t="str" cm="1">
        <f t="array" ref="U6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6" s="19" t="str" cm="1">
        <f t="array" ref="V6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7" spans="1:22" x14ac:dyDescent="0.3">
      <c r="A637" s="1" t="s">
        <v>1817</v>
      </c>
      <c r="B637" s="102">
        <v>46167</v>
      </c>
      <c r="C637" s="6">
        <v>0.83333333333333337</v>
      </c>
      <c r="D637" s="1" t="s">
        <v>12</v>
      </c>
      <c r="E637" s="1" t="s">
        <v>13</v>
      </c>
      <c r="F637" s="1" t="s">
        <v>1818</v>
      </c>
      <c r="G637" s="39" t="s">
        <v>177</v>
      </c>
      <c r="H637" s="1">
        <v>3</v>
      </c>
      <c r="I637" s="1">
        <v>2</v>
      </c>
      <c r="J637" s="39" t="s">
        <v>161</v>
      </c>
      <c r="K637" s="1">
        <v>2</v>
      </c>
      <c r="L637" s="1">
        <v>3</v>
      </c>
      <c r="S637" s="1" t="str">
        <f>IF(tblDados[[#This Row],[Mandante]]="","",TEXT(tblDados[[#This Row],[Data]],"aaaa-mm-dd")&amp;"|"&amp;TRIM(tblDados[[#This Row],[Mandante]])&amp;"|"&amp;TRIM(tblDados[[#This Row],[Visitante]]))</f>
        <v>2026-05-25|Coritiba|Bahia</v>
      </c>
      <c r="T637" s="1">
        <f>IF($G637="",0,IF(COUNTIF($S$2:$S637,$S637)=1,1,0))</f>
        <v>1</v>
      </c>
      <c r="U637" s="19" t="str" cm="1">
        <f t="array" ref="U6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7" s="19" t="str" cm="1">
        <f t="array" ref="V6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8" spans="1:22" ht="14.4" x14ac:dyDescent="0.3">
      <c r="A638" s="1" t="s">
        <v>1819</v>
      </c>
      <c r="B638" s="102">
        <v>46229</v>
      </c>
      <c r="C638" s="6">
        <v>0.77083333333333337</v>
      </c>
      <c r="D638" s="1" t="s">
        <v>12</v>
      </c>
      <c r="E638" s="1" t="s">
        <v>13</v>
      </c>
      <c r="F638" s="1" t="s">
        <v>1820</v>
      </c>
      <c r="G638" s="39" t="s">
        <v>1740</v>
      </c>
      <c r="H638" s="1">
        <v>0</v>
      </c>
      <c r="I638" s="1">
        <v>0</v>
      </c>
      <c r="J638" s="39" t="s">
        <v>177</v>
      </c>
      <c r="K638" s="1">
        <v>0</v>
      </c>
      <c r="L638" s="1">
        <v>0</v>
      </c>
      <c r="S638" s="1" t="str">
        <f>IF(tblDados[[#This Row],[Mandante]]="","",TEXT(tblDados[[#This Row],[Data]],"aaaa-mm-dd")&amp;"|"&amp;TRIM(tblDados[[#This Row],[Mandante]])&amp;"|"&amp;TRIM(tblDados[[#This Row],[Visitante]]))</f>
        <v>2026-07-26|Red Bull Bragantino|Coritiba</v>
      </c>
      <c r="T638">
        <f>IF($G638="",0,IF(COUNTIF($S$2:$S2834,$S638)=1,1,0))</f>
        <v>1</v>
      </c>
      <c r="U638" s="19" t="str" cm="1">
        <f t="array" ref="U6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8" s="19" t="str" cm="1">
        <f t="array" ref="V6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9" spans="1:22" x14ac:dyDescent="0.3">
      <c r="A639" s="1" t="s">
        <v>1821</v>
      </c>
      <c r="B639" s="102">
        <v>46124</v>
      </c>
      <c r="C639" s="6">
        <v>0.45833333333333331</v>
      </c>
      <c r="D639" s="1" t="s">
        <v>12</v>
      </c>
      <c r="E639" s="1" t="s">
        <v>13</v>
      </c>
      <c r="F639" s="1" t="s">
        <v>1822</v>
      </c>
      <c r="G639" s="39" t="s">
        <v>505</v>
      </c>
      <c r="H639" s="1">
        <v>2</v>
      </c>
      <c r="I639" s="1">
        <v>0</v>
      </c>
      <c r="J639" s="39" t="s">
        <v>491</v>
      </c>
      <c r="K639" s="1">
        <v>0</v>
      </c>
      <c r="L639" s="1">
        <v>2</v>
      </c>
      <c r="S639" s="1" t="str">
        <f>IF(tblDados[[#This Row],[Mandante]]="","",TEXT(tblDados[[#This Row],[Data]],"aaaa-mm-dd")&amp;"|"&amp;TRIM(tblDados[[#This Row],[Mandante]])&amp;"|"&amp;TRIM(tblDados[[#This Row],[Visitante]]))</f>
        <v>2026-04-12|Athletico-PR|Chapecoense</v>
      </c>
      <c r="T639" s="1">
        <f>IF($G639="",0,IF(COUNTIF($S$2:$S639,$S639)=1,1,0))</f>
        <v>1</v>
      </c>
      <c r="U639" s="19" t="str" cm="1">
        <f t="array" ref="U6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9" s="19" t="str" cm="1">
        <f t="array" ref="V6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0" spans="1:22" x14ac:dyDescent="0.3">
      <c r="A640" s="1" t="s">
        <v>1823</v>
      </c>
      <c r="B640" s="102">
        <v>46145</v>
      </c>
      <c r="C640" s="6">
        <v>0.77083333333333337</v>
      </c>
      <c r="D640" s="1" t="s">
        <v>12</v>
      </c>
      <c r="E640" s="1" t="s">
        <v>13</v>
      </c>
      <c r="F640" s="1" t="s">
        <v>1824</v>
      </c>
      <c r="G640" s="39" t="s">
        <v>491</v>
      </c>
      <c r="H640" s="1">
        <v>1</v>
      </c>
      <c r="I640" s="1">
        <v>2</v>
      </c>
      <c r="J640" s="39" t="s">
        <v>1740</v>
      </c>
      <c r="K640" s="1">
        <v>2</v>
      </c>
      <c r="L640" s="1">
        <v>1</v>
      </c>
      <c r="S640" s="1" t="str">
        <f>IF(tblDados[[#This Row],[Mandante]]="","",TEXT(tblDados[[#This Row],[Data]],"aaaa-mm-dd")&amp;"|"&amp;TRIM(tblDados[[#This Row],[Mandante]])&amp;"|"&amp;TRIM(tblDados[[#This Row],[Visitante]]))</f>
        <v>2026-05-03|Chapecoense|Red Bull Bragantino</v>
      </c>
      <c r="T640" s="1">
        <f>IF($G640="",0,IF(COUNTIF($S$2:$S640,$S640)=1,1,0))</f>
        <v>1</v>
      </c>
      <c r="U640" s="19" t="str" cm="1">
        <f t="array" ref="U6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0" s="19" t="str" cm="1">
        <f t="array" ref="V6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1" spans="1:22" x14ac:dyDescent="0.3">
      <c r="A641" s="1" t="s">
        <v>1825</v>
      </c>
      <c r="B641" s="102">
        <v>46152</v>
      </c>
      <c r="C641" s="6">
        <v>0.77083333333333337</v>
      </c>
      <c r="D641" s="1" t="s">
        <v>12</v>
      </c>
      <c r="E641" s="1" t="s">
        <v>13</v>
      </c>
      <c r="F641" s="1" t="s">
        <v>1826</v>
      </c>
      <c r="G641" s="39" t="s">
        <v>135</v>
      </c>
      <c r="H641" s="1">
        <v>1</v>
      </c>
      <c r="I641" s="1">
        <v>1</v>
      </c>
      <c r="J641" s="39" t="s">
        <v>491</v>
      </c>
      <c r="K641" s="1">
        <v>1</v>
      </c>
      <c r="L641" s="1">
        <v>1</v>
      </c>
      <c r="S641" s="1" t="str">
        <f>IF(tblDados[[#This Row],[Mandante]]="","",TEXT(tblDados[[#This Row],[Data]],"aaaa-mm-dd")&amp;"|"&amp;TRIM(tblDados[[#This Row],[Mandante]])&amp;"|"&amp;TRIM(tblDados[[#This Row],[Visitante]]))</f>
        <v>2026-05-10|Mirassol|Chapecoense</v>
      </c>
      <c r="T641" s="1">
        <f>IF($G641="",0,IF(COUNTIF($S$2:$S641,$S641)=1,1,0))</f>
        <v>1</v>
      </c>
      <c r="U641" s="19" t="str" cm="1">
        <f t="array" ref="U6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1" s="19" t="str" cm="1">
        <f t="array" ref="V6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2" spans="1:22" x14ac:dyDescent="0.3">
      <c r="A642" s="1" t="s">
        <v>1827</v>
      </c>
      <c r="B642" s="102">
        <v>46159</v>
      </c>
      <c r="C642" s="6">
        <v>0.77083333333333337</v>
      </c>
      <c r="D642" s="1" t="s">
        <v>12</v>
      </c>
      <c r="E642" s="1" t="s">
        <v>13</v>
      </c>
      <c r="F642" s="1" t="s">
        <v>1828</v>
      </c>
      <c r="G642" s="39" t="s">
        <v>491</v>
      </c>
      <c r="H642" s="1">
        <v>2</v>
      </c>
      <c r="I642" s="1">
        <v>3</v>
      </c>
      <c r="J642" s="39" t="s">
        <v>136</v>
      </c>
      <c r="K642" s="1">
        <v>3</v>
      </c>
      <c r="L642" s="1">
        <v>2</v>
      </c>
      <c r="S642" s="1" t="str">
        <f>IF(tblDados[[#This Row],[Mandante]]="","",TEXT(tblDados[[#This Row],[Data]],"aaaa-mm-dd")&amp;"|"&amp;TRIM(tblDados[[#This Row],[Mandante]])&amp;"|"&amp;TRIM(tblDados[[#This Row],[Visitante]]))</f>
        <v>2026-05-17|Chapecoense|Remo</v>
      </c>
      <c r="T642" s="1">
        <f>IF($G642="",0,IF(COUNTIF($S$2:$S642,$S642)=1,1,0))</f>
        <v>1</v>
      </c>
      <c r="U642" s="19" t="str" cm="1">
        <f t="array" ref="U6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2" s="19" t="str" cm="1">
        <f t="array" ref="V6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3" spans="1:22" x14ac:dyDescent="0.3">
      <c r="A643" s="1" t="s">
        <v>1829</v>
      </c>
      <c r="B643" s="102">
        <v>46166</v>
      </c>
      <c r="C643" s="6">
        <v>0.66666666666666663</v>
      </c>
      <c r="D643" s="1" t="s">
        <v>12</v>
      </c>
      <c r="E643" s="1" t="s">
        <v>13</v>
      </c>
      <c r="F643" s="1" t="s">
        <v>1830</v>
      </c>
      <c r="G643" s="39" t="s">
        <v>178</v>
      </c>
      <c r="H643" s="1">
        <v>2</v>
      </c>
      <c r="I643" s="1">
        <v>1</v>
      </c>
      <c r="J643" s="39" t="s">
        <v>491</v>
      </c>
      <c r="K643" s="1">
        <v>1</v>
      </c>
      <c r="L643" s="1">
        <v>2</v>
      </c>
      <c r="S643" s="1" t="str">
        <f>IF(tblDados[[#This Row],[Mandante]]="","",TEXT(tblDados[[#This Row],[Data]],"aaaa-mm-dd")&amp;"|"&amp;TRIM(tblDados[[#This Row],[Mandante]])&amp;"|"&amp;TRIM(tblDados[[#This Row],[Visitante]]))</f>
        <v>2026-05-24|Cruzeiro|Chapecoense</v>
      </c>
      <c r="T643" s="1">
        <f>IF($G643="",0,IF(COUNTIF($S$2:$S643,$S643)=1,1,0))</f>
        <v>1</v>
      </c>
      <c r="U643" s="19" t="str" cm="1">
        <f t="array" ref="U6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3" s="19" t="str" cm="1">
        <f t="array" ref="V6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4" spans="1:22" x14ac:dyDescent="0.3">
      <c r="A644" s="1" t="s">
        <v>1831</v>
      </c>
      <c r="B644" s="102">
        <v>46220</v>
      </c>
      <c r="C644" s="6">
        <v>0.8125</v>
      </c>
      <c r="D644" s="1" t="s">
        <v>12</v>
      </c>
      <c r="E644" s="1" t="s">
        <v>13</v>
      </c>
      <c r="F644" s="1" t="s">
        <v>1832</v>
      </c>
      <c r="G644" s="39" t="s">
        <v>161</v>
      </c>
      <c r="H644" s="1">
        <v>2</v>
      </c>
      <c r="I644" s="1">
        <v>0</v>
      </c>
      <c r="J644" s="39" t="s">
        <v>491</v>
      </c>
      <c r="K644" s="1">
        <v>0</v>
      </c>
      <c r="L644" s="1">
        <v>2</v>
      </c>
      <c r="S644" s="1" t="str">
        <f>IF(tblDados[[#This Row],[Mandante]]="","",TEXT(tblDados[[#This Row],[Data]],"aaaa-mm-dd")&amp;"|"&amp;TRIM(tblDados[[#This Row],[Mandante]])&amp;"|"&amp;TRIM(tblDados[[#This Row],[Visitante]]))</f>
        <v>2026-07-17|Bahia|Chapecoense</v>
      </c>
      <c r="T644" s="1">
        <f>IF($G644="",0,IF(COUNTIF($S$2:$S644,$S644)=1,1,0))</f>
        <v>1</v>
      </c>
      <c r="U644" s="19" t="str" cm="1">
        <f t="array" ref="U6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4" s="19" t="str" cm="1">
        <f t="array" ref="V6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5" spans="1:22" ht="14.4" x14ac:dyDescent="0.3">
      <c r="A645" s="1" t="s">
        <v>1833</v>
      </c>
      <c r="B645" s="102">
        <v>46228</v>
      </c>
      <c r="C645" s="6">
        <v>0.77083333333333337</v>
      </c>
      <c r="D645" s="1" t="s">
        <v>12</v>
      </c>
      <c r="E645" s="1" t="s">
        <v>13</v>
      </c>
      <c r="F645" s="1" t="s">
        <v>1834</v>
      </c>
      <c r="G645" s="39" t="s">
        <v>482</v>
      </c>
      <c r="H645" s="1">
        <v>2</v>
      </c>
      <c r="I645" s="1">
        <v>2</v>
      </c>
      <c r="J645" s="39" t="s">
        <v>491</v>
      </c>
      <c r="K645" s="1">
        <v>2</v>
      </c>
      <c r="L645" s="1">
        <v>2</v>
      </c>
      <c r="S645" s="1" t="str">
        <f>IF(tblDados[[#This Row],[Mandante]]="","",TEXT(tblDados[[#This Row],[Data]],"aaaa-mm-dd")&amp;"|"&amp;TRIM(tblDados[[#This Row],[Mandante]])&amp;"|"&amp;TRIM(tblDados[[#This Row],[Visitante]]))</f>
        <v>2026-07-25|Santos|Chapecoense</v>
      </c>
      <c r="T645">
        <f>IF($G645="",0,IF(COUNTIF($S$2:$S2834,$S645)=1,1,0))</f>
        <v>1</v>
      </c>
      <c r="U645" s="19" t="str" cm="1">
        <f t="array" ref="U6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5" s="19" t="str" cm="1">
        <f t="array" ref="V6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6" spans="1:22" ht="14.4" x14ac:dyDescent="0.3">
      <c r="A646" s="1" t="s">
        <v>1835</v>
      </c>
      <c r="B646" s="102">
        <v>46117</v>
      </c>
      <c r="C646" s="6">
        <v>0.66666666666666663</v>
      </c>
      <c r="D646" s="1" t="s">
        <v>12</v>
      </c>
      <c r="E646" s="1" t="s">
        <v>13</v>
      </c>
      <c r="F646" s="1" t="s">
        <v>1836</v>
      </c>
      <c r="G646" s="39" t="s">
        <v>491</v>
      </c>
      <c r="H646" s="1">
        <v>1</v>
      </c>
      <c r="I646" s="1">
        <v>1</v>
      </c>
      <c r="J646" s="39" t="s">
        <v>150</v>
      </c>
      <c r="K646" s="1">
        <v>1</v>
      </c>
      <c r="L646" s="1">
        <v>1</v>
      </c>
      <c r="S646" s="1" t="str">
        <f>IF(tblDados[[#This Row],[Mandante]]="","",TEXT(tblDados[[#This Row],[Data]],"aaaa-mm-dd")&amp;"|"&amp;TRIM(tblDados[[#This Row],[Mandante]])&amp;"|"&amp;TRIM(tblDados[[#This Row],[Visitante]]))</f>
        <v>2026-04-05|Chapecoense|Vitória</v>
      </c>
      <c r="T646">
        <f>IF($G646="",0,IF(COUNTIF($S$2:$S2834,$S646)=1,1,0))</f>
        <v>1</v>
      </c>
      <c r="U646" s="19" t="str" cm="1">
        <f t="array" ref="U6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6" s="19" t="str" cm="1">
        <f t="array" ref="V6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7" spans="1:22" x14ac:dyDescent="0.3">
      <c r="A647" s="1" t="s">
        <v>1837</v>
      </c>
      <c r="B647" s="102">
        <v>46123</v>
      </c>
      <c r="C647" s="6">
        <v>0.6875</v>
      </c>
      <c r="D647" s="1" t="s">
        <v>12</v>
      </c>
      <c r="E647" s="1" t="s">
        <v>13</v>
      </c>
      <c r="F647" s="1" t="s">
        <v>1838</v>
      </c>
      <c r="G647" s="39" t="s">
        <v>136</v>
      </c>
      <c r="H647" s="1">
        <v>1</v>
      </c>
      <c r="I647" s="1">
        <v>1</v>
      </c>
      <c r="J647" s="39" t="s">
        <v>229</v>
      </c>
      <c r="K647" s="1">
        <v>1</v>
      </c>
      <c r="L647" s="1">
        <v>1</v>
      </c>
      <c r="S647" s="1" t="str">
        <f>IF(tblDados[[#This Row],[Mandante]]="","",TEXT(tblDados[[#This Row],[Data]],"aaaa-mm-dd")&amp;"|"&amp;TRIM(tblDados[[#This Row],[Mandante]])&amp;"|"&amp;TRIM(tblDados[[#This Row],[Visitante]]))</f>
        <v>2026-04-11|Remo|Vasco da Gama</v>
      </c>
      <c r="T647" s="1">
        <f>IF($G647="",0,IF(COUNTIF($S$2:$S647,$S647)=1,1,0))</f>
        <v>1</v>
      </c>
      <c r="U647" s="19" t="str" cm="1">
        <f t="array" ref="U6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7" s="19" t="str" cm="1">
        <f t="array" ref="V6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8" spans="1:22" x14ac:dyDescent="0.3">
      <c r="A648" s="1" t="s">
        <v>1839</v>
      </c>
      <c r="B648" s="102">
        <v>46131</v>
      </c>
      <c r="C648" s="6">
        <v>0.77083333333333337</v>
      </c>
      <c r="D648" s="1" t="s">
        <v>12</v>
      </c>
      <c r="E648" s="1" t="s">
        <v>13</v>
      </c>
      <c r="F648" s="1" t="s">
        <v>1840</v>
      </c>
      <c r="G648" s="39" t="s">
        <v>1740</v>
      </c>
      <c r="H648" s="1">
        <v>4</v>
      </c>
      <c r="I648" s="1">
        <v>2</v>
      </c>
      <c r="J648" s="39" t="s">
        <v>136</v>
      </c>
      <c r="K648" s="1">
        <v>2</v>
      </c>
      <c r="L648" s="1">
        <v>4</v>
      </c>
      <c r="S648" s="1" t="str">
        <f>IF(tblDados[[#This Row],[Mandante]]="","",TEXT(tblDados[[#This Row],[Data]],"aaaa-mm-dd")&amp;"|"&amp;TRIM(tblDados[[#This Row],[Mandante]])&amp;"|"&amp;TRIM(tblDados[[#This Row],[Visitante]]))</f>
        <v>2026-04-19|Red Bull Bragantino|Remo</v>
      </c>
      <c r="T648" s="1">
        <f>IF($G648="",0,IF(COUNTIF($S$2:$S648,$S648)=1,1,0))</f>
        <v>1</v>
      </c>
      <c r="U648" s="19" t="str" cm="1">
        <f t="array" ref="U6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8" s="19" t="str" cm="1">
        <f t="array" ref="V6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9" spans="1:22" x14ac:dyDescent="0.3">
      <c r="A649" s="1" t="s">
        <v>1841</v>
      </c>
      <c r="B649" s="102">
        <v>46137</v>
      </c>
      <c r="C649" s="6">
        <v>0.77083333333333337</v>
      </c>
      <c r="D649" s="1" t="s">
        <v>12</v>
      </c>
      <c r="E649" s="1" t="s">
        <v>13</v>
      </c>
      <c r="F649" s="1" t="s">
        <v>1842</v>
      </c>
      <c r="G649" s="39" t="s">
        <v>136</v>
      </c>
      <c r="H649" s="1">
        <v>0</v>
      </c>
      <c r="I649" s="1">
        <v>1</v>
      </c>
      <c r="J649" s="39" t="s">
        <v>178</v>
      </c>
      <c r="K649" s="1">
        <v>1</v>
      </c>
      <c r="L649" s="1">
        <v>0</v>
      </c>
      <c r="S649" s="1" t="str">
        <f>IF(tblDados[[#This Row],[Mandante]]="","",TEXT(tblDados[[#This Row],[Data]],"aaaa-mm-dd")&amp;"|"&amp;TRIM(tblDados[[#This Row],[Mandante]])&amp;"|"&amp;TRIM(tblDados[[#This Row],[Visitante]]))</f>
        <v>2026-04-25|Remo|Cruzeiro</v>
      </c>
      <c r="T649" s="1">
        <f>IF($G649="",0,IF(COUNTIF($S$2:$S649,$S649)=1,1,0))</f>
        <v>1</v>
      </c>
      <c r="U649" s="19" t="str" cm="1">
        <f t="array" ref="U6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9" s="19" t="str" cm="1">
        <f t="array" ref="V6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0" spans="1:22" x14ac:dyDescent="0.3">
      <c r="A650" s="1" t="s">
        <v>1843</v>
      </c>
      <c r="B650" s="102">
        <v>46166</v>
      </c>
      <c r="C650" s="6">
        <v>0.66666666666666663</v>
      </c>
      <c r="D650" s="1" t="s">
        <v>12</v>
      </c>
      <c r="E650" s="1" t="s">
        <v>13</v>
      </c>
      <c r="F650" s="1" t="s">
        <v>1844</v>
      </c>
      <c r="G650" s="39" t="s">
        <v>136</v>
      </c>
      <c r="H650" s="1">
        <v>1</v>
      </c>
      <c r="I650" s="1">
        <v>2</v>
      </c>
      <c r="J650" s="39" t="s">
        <v>505</v>
      </c>
      <c r="K650" s="1">
        <v>2</v>
      </c>
      <c r="L650" s="1">
        <v>1</v>
      </c>
      <c r="S650" s="1" t="str">
        <f>IF(tblDados[[#This Row],[Mandante]]="","",TEXT(tblDados[[#This Row],[Data]],"aaaa-mm-dd")&amp;"|"&amp;TRIM(tblDados[[#This Row],[Mandante]])&amp;"|"&amp;TRIM(tblDados[[#This Row],[Visitante]]))</f>
        <v>2026-05-24|Remo|Athletico-PR</v>
      </c>
      <c r="T650" s="1">
        <f>IF($G650="",0,IF(COUNTIF($S$2:$S650,$S650)=1,1,0))</f>
        <v>1</v>
      </c>
      <c r="U650" s="19" t="str" cm="1">
        <f t="array" ref="U6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0" s="19" t="str" cm="1">
        <f t="array" ref="V6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1" spans="1:22" x14ac:dyDescent="0.3">
      <c r="A651" s="1" t="s">
        <v>1845</v>
      </c>
      <c r="B651" s="102">
        <v>46226</v>
      </c>
      <c r="C651" s="6">
        <v>0.8125</v>
      </c>
      <c r="D651" s="1" t="s">
        <v>12</v>
      </c>
      <c r="E651" s="1" t="s">
        <v>13</v>
      </c>
      <c r="F651" s="1" t="s">
        <v>1846</v>
      </c>
      <c r="G651" s="39" t="s">
        <v>174</v>
      </c>
      <c r="H651" s="1">
        <v>3</v>
      </c>
      <c r="I651" s="1">
        <v>0</v>
      </c>
      <c r="J651" s="39" t="s">
        <v>136</v>
      </c>
      <c r="K651" s="1">
        <v>0</v>
      </c>
      <c r="L651" s="1">
        <v>3</v>
      </c>
      <c r="S651" s="1" t="str">
        <f>IF(tblDados[[#This Row],[Mandante]]="","",TEXT(tblDados[[#This Row],[Data]],"aaaa-mm-dd")&amp;"|"&amp;TRIM(tblDados[[#This Row],[Mandante]])&amp;"|"&amp;TRIM(tblDados[[#This Row],[Visitante]]))</f>
        <v>2026-07-23|Corinthians|Remo</v>
      </c>
      <c r="T651" s="1">
        <f>IF($G651="",0,IF(COUNTIF($S$2:$S651,$S651)=1,1,0))</f>
        <v>1</v>
      </c>
      <c r="U651" s="19" t="str" cm="1">
        <f t="array" ref="U6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1" s="19" t="str" cm="1">
        <f t="array" ref="V6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2" spans="1:22" ht="14.4" x14ac:dyDescent="0.3">
      <c r="A652" s="1" t="s">
        <v>1847</v>
      </c>
      <c r="B652" s="102">
        <v>46229</v>
      </c>
      <c r="C652" s="6">
        <v>0.8125</v>
      </c>
      <c r="D652" s="1" t="s">
        <v>12</v>
      </c>
      <c r="E652" s="1" t="s">
        <v>13</v>
      </c>
      <c r="F652" s="1" t="s">
        <v>1848</v>
      </c>
      <c r="G652" s="39" t="s">
        <v>136</v>
      </c>
      <c r="H652" s="1">
        <v>2</v>
      </c>
      <c r="I652" s="1">
        <v>0</v>
      </c>
      <c r="J652" s="39" t="s">
        <v>150</v>
      </c>
      <c r="K652" s="1">
        <v>0</v>
      </c>
      <c r="L652" s="1">
        <v>2</v>
      </c>
      <c r="S652" s="1" t="str">
        <f>IF(tblDados[[#This Row],[Mandante]]="","",TEXT(tblDados[[#This Row],[Data]],"aaaa-mm-dd")&amp;"|"&amp;TRIM(tblDados[[#This Row],[Mandante]])&amp;"|"&amp;TRIM(tblDados[[#This Row],[Visitante]]))</f>
        <v>2026-07-26|Remo|Vitória</v>
      </c>
      <c r="T652">
        <f>IF($G652="",0,IF(COUNTIF($S$2:$S2834,$S652)=1,1,0))</f>
        <v>1</v>
      </c>
      <c r="U652" s="19" t="str" cm="1">
        <f t="array" ref="U6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2" s="19" t="str" cm="1">
        <f t="array" ref="V6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3" spans="1:22" x14ac:dyDescent="0.3">
      <c r="A653" s="1" t="s">
        <v>1849</v>
      </c>
      <c r="B653" s="102">
        <v>46114</v>
      </c>
      <c r="C653" s="6">
        <v>0.79166666666666663</v>
      </c>
      <c r="D653" s="1" t="s">
        <v>12</v>
      </c>
      <c r="E653" s="1" t="s">
        <v>13</v>
      </c>
      <c r="F653" s="1" t="s">
        <v>1850</v>
      </c>
      <c r="G653" s="39" t="s">
        <v>491</v>
      </c>
      <c r="H653" s="1">
        <v>0</v>
      </c>
      <c r="I653" s="1">
        <v>4</v>
      </c>
      <c r="J653" s="39" t="s">
        <v>496</v>
      </c>
      <c r="K653" s="1">
        <v>4</v>
      </c>
      <c r="L653" s="1">
        <v>0</v>
      </c>
      <c r="S653" s="1" t="str">
        <f>IF(tblDados[[#This Row],[Mandante]]="","",TEXT(tblDados[[#This Row],[Data]],"aaaa-mm-dd")&amp;"|"&amp;TRIM(tblDados[[#This Row],[Mandante]])&amp;"|"&amp;TRIM(tblDados[[#This Row],[Visitante]]))</f>
        <v>2026-04-02|Chapecoense|Atlético-MG</v>
      </c>
      <c r="T653" s="1">
        <f>IF($G653="",0,IF(COUNTIF($S$2:$S653,$S653)=1,1,0))</f>
        <v>1</v>
      </c>
      <c r="U653" s="19" t="str" cm="1">
        <f t="array" ref="U6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3" s="19" t="str" cm="1">
        <f t="array" ref="V6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4" spans="1:22" x14ac:dyDescent="0.3">
      <c r="A654" s="1" t="s">
        <v>1851</v>
      </c>
      <c r="B654" s="102">
        <v>46117</v>
      </c>
      <c r="C654" s="6">
        <v>0.72916666666666663</v>
      </c>
      <c r="D654" s="1" t="s">
        <v>12</v>
      </c>
      <c r="E654" s="1" t="s">
        <v>13</v>
      </c>
      <c r="F654" s="1" t="s">
        <v>1852</v>
      </c>
      <c r="G654" s="39" t="s">
        <v>496</v>
      </c>
      <c r="H654" s="1">
        <v>2</v>
      </c>
      <c r="I654" s="1">
        <v>1</v>
      </c>
      <c r="J654" s="39" t="s">
        <v>505</v>
      </c>
      <c r="K654" s="1">
        <v>1</v>
      </c>
      <c r="L654" s="1">
        <v>2</v>
      </c>
      <c r="S654" s="1" t="str">
        <f>IF(tblDados[[#This Row],[Mandante]]="","",TEXT(tblDados[[#This Row],[Data]],"aaaa-mm-dd")&amp;"|"&amp;TRIM(tblDados[[#This Row],[Mandante]])&amp;"|"&amp;TRIM(tblDados[[#This Row],[Visitante]]))</f>
        <v>2026-04-05|Atlético-MG|Athletico-PR</v>
      </c>
      <c r="T654" s="1">
        <f>IF($G654="",0,IF(COUNTIF($S$2:$S654,$S654)=1,1,0))</f>
        <v>1</v>
      </c>
      <c r="U654" s="19" t="str" cm="1">
        <f t="array" ref="U6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4" s="19" t="str" cm="1">
        <f t="array" ref="V6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5" spans="1:22" x14ac:dyDescent="0.3">
      <c r="A655" s="1" t="s">
        <v>1853</v>
      </c>
      <c r="B655" s="102">
        <v>46123</v>
      </c>
      <c r="C655" s="6">
        <v>0.83333333333333337</v>
      </c>
      <c r="D655" s="1" t="s">
        <v>12</v>
      </c>
      <c r="E655" s="1" t="s">
        <v>13</v>
      </c>
      <c r="F655" s="1" t="s">
        <v>1854</v>
      </c>
      <c r="G655" s="39" t="s">
        <v>482</v>
      </c>
      <c r="H655" s="1">
        <v>1</v>
      </c>
      <c r="I655" s="1">
        <v>0</v>
      </c>
      <c r="J655" s="39" t="s">
        <v>496</v>
      </c>
      <c r="K655" s="1">
        <v>0</v>
      </c>
      <c r="L655" s="1">
        <v>1</v>
      </c>
      <c r="S655" s="1" t="str">
        <f>IF(tblDados[[#This Row],[Mandante]]="","",TEXT(tblDados[[#This Row],[Data]],"aaaa-mm-dd")&amp;"|"&amp;TRIM(tblDados[[#This Row],[Mandante]])&amp;"|"&amp;TRIM(tblDados[[#This Row],[Visitante]]))</f>
        <v>2026-04-11|Santos|Atlético-MG</v>
      </c>
      <c r="T655" s="1">
        <f>IF($G655="",0,IF(COUNTIF($S$2:$S655,$S655)=1,1,0))</f>
        <v>1</v>
      </c>
      <c r="U655" s="19" t="str" cm="1">
        <f t="array" ref="U6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5" s="19" t="str" cm="1">
        <f t="array" ref="V6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6" spans="1:22" x14ac:dyDescent="0.3">
      <c r="A656" s="1" t="s">
        <v>1855</v>
      </c>
      <c r="B656" s="102">
        <v>46144</v>
      </c>
      <c r="C656" s="6">
        <v>0.875</v>
      </c>
      <c r="D656" s="1" t="s">
        <v>12</v>
      </c>
      <c r="E656" s="1" t="s">
        <v>13</v>
      </c>
      <c r="F656" s="1" t="s">
        <v>1856</v>
      </c>
      <c r="G656" s="39" t="s">
        <v>178</v>
      </c>
      <c r="H656" s="1">
        <v>1</v>
      </c>
      <c r="I656" s="1">
        <v>3</v>
      </c>
      <c r="J656" s="39" t="s">
        <v>496</v>
      </c>
      <c r="K656" s="1">
        <v>3</v>
      </c>
      <c r="L656" s="1">
        <v>1</v>
      </c>
      <c r="S656" s="1" t="str">
        <f>IF(tblDados[[#This Row],[Mandante]]="","",TEXT(tblDados[[#This Row],[Data]],"aaaa-mm-dd")&amp;"|"&amp;TRIM(tblDados[[#This Row],[Mandante]])&amp;"|"&amp;TRIM(tblDados[[#This Row],[Visitante]]))</f>
        <v>2026-05-02|Cruzeiro|Atlético-MG</v>
      </c>
      <c r="T656" s="1">
        <f>IF($G656="",0,IF(COUNTIF($S$2:$S656,$S656)=1,1,0))</f>
        <v>1</v>
      </c>
      <c r="U656" s="19" t="str" cm="1">
        <f t="array" ref="U6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6" s="19" t="str" cm="1">
        <f t="array" ref="V6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7" spans="1:22" x14ac:dyDescent="0.3">
      <c r="A657" s="1" t="s">
        <v>1857</v>
      </c>
      <c r="B657" s="102">
        <v>46158</v>
      </c>
      <c r="C657" s="6">
        <v>0.77083333333333337</v>
      </c>
      <c r="D657" s="1" t="s">
        <v>12</v>
      </c>
      <c r="E657" s="1" t="s">
        <v>13</v>
      </c>
      <c r="F657" s="1" t="s">
        <v>1858</v>
      </c>
      <c r="G657" s="39" t="s">
        <v>496</v>
      </c>
      <c r="H657" s="1">
        <v>3</v>
      </c>
      <c r="I657" s="1">
        <v>1</v>
      </c>
      <c r="J657" s="39" t="s">
        <v>135</v>
      </c>
      <c r="K657" s="1">
        <v>1</v>
      </c>
      <c r="L657" s="1">
        <v>3</v>
      </c>
      <c r="S657" s="1" t="str">
        <f>IF(tblDados[[#This Row],[Mandante]]="","",TEXT(tblDados[[#This Row],[Data]],"aaaa-mm-dd")&amp;"|"&amp;TRIM(tblDados[[#This Row],[Mandante]])&amp;"|"&amp;TRIM(tblDados[[#This Row],[Visitante]]))</f>
        <v>2026-05-16|Atlético-MG|Mirassol</v>
      </c>
      <c r="T657" s="1">
        <f>IF($G657="",0,IF(COUNTIF($S$2:$S657,$S657)=1,1,0))</f>
        <v>1</v>
      </c>
      <c r="U657" s="19" t="str" cm="1">
        <f t="array" ref="U6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7" s="19" t="str" cm="1">
        <f t="array" ref="V6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8" spans="1:22" x14ac:dyDescent="0.3">
      <c r="A658" s="1" t="s">
        <v>1859</v>
      </c>
      <c r="B658" s="102">
        <v>46166</v>
      </c>
      <c r="C658" s="6">
        <v>0.77083333333333337</v>
      </c>
      <c r="D658" s="1" t="s">
        <v>12</v>
      </c>
      <c r="E658" s="1" t="s">
        <v>13</v>
      </c>
      <c r="F658" s="1" t="s">
        <v>1860</v>
      </c>
      <c r="G658" s="39" t="s">
        <v>174</v>
      </c>
      <c r="H658" s="1">
        <v>1</v>
      </c>
      <c r="I658" s="1">
        <v>0</v>
      </c>
      <c r="J658" s="39" t="s">
        <v>496</v>
      </c>
      <c r="K658" s="1">
        <v>0</v>
      </c>
      <c r="L658" s="1">
        <v>1</v>
      </c>
      <c r="S658" s="1" t="str">
        <f>IF(tblDados[[#This Row],[Mandante]]="","",TEXT(tblDados[[#This Row],[Data]],"aaaa-mm-dd")&amp;"|"&amp;TRIM(tblDados[[#This Row],[Mandante]])&amp;"|"&amp;TRIM(tblDados[[#This Row],[Visitante]]))</f>
        <v>2026-05-24|Corinthians|Atlético-MG</v>
      </c>
      <c r="T658" s="1">
        <f>IF($G658="",0,IF(COUNTIF($S$2:$S658,$S658)=1,1,0))</f>
        <v>1</v>
      </c>
      <c r="U658" s="19" t="str" cm="1">
        <f t="array" ref="U6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8" s="19" t="str" cm="1">
        <f t="array" ref="V6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9" spans="1:22" x14ac:dyDescent="0.3">
      <c r="A659" s="1" t="s">
        <v>1861</v>
      </c>
      <c r="B659" s="102">
        <v>46173</v>
      </c>
      <c r="C659" s="6">
        <v>0.66666666666666663</v>
      </c>
      <c r="D659" s="1" t="s">
        <v>12</v>
      </c>
      <c r="E659" s="1" t="s">
        <v>13</v>
      </c>
      <c r="F659" s="1" t="s">
        <v>1862</v>
      </c>
      <c r="G659" s="39" t="s">
        <v>229</v>
      </c>
      <c r="H659" s="1">
        <v>0</v>
      </c>
      <c r="I659" s="1">
        <v>1</v>
      </c>
      <c r="J659" s="39" t="s">
        <v>496</v>
      </c>
      <c r="K659" s="1">
        <v>1</v>
      </c>
      <c r="L659" s="1">
        <v>0</v>
      </c>
      <c r="S659" s="1" t="str">
        <f>IF(tblDados[[#This Row],[Mandante]]="","",TEXT(tblDados[[#This Row],[Data]],"aaaa-mm-dd")&amp;"|"&amp;TRIM(tblDados[[#This Row],[Mandante]])&amp;"|"&amp;TRIM(tblDados[[#This Row],[Visitante]]))</f>
        <v>2026-05-31|Vasco da Gama|Atlético-MG</v>
      </c>
      <c r="T659" s="1">
        <f>IF($G659="",0,IF(COUNTIF($S$2:$S659,$S659)=1,1,0))</f>
        <v>1</v>
      </c>
      <c r="U659" s="19" t="str" cm="1">
        <f t="array" ref="U6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9" s="19" t="str" cm="1">
        <f t="array" ref="V6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0" spans="1:22" ht="14.4" x14ac:dyDescent="0.3">
      <c r="A660" s="1" t="s">
        <v>1863</v>
      </c>
      <c r="B660" s="102">
        <v>46224</v>
      </c>
      <c r="C660" s="6">
        <v>0.8125</v>
      </c>
      <c r="D660" s="1" t="s">
        <v>12</v>
      </c>
      <c r="E660" s="1" t="s">
        <v>13</v>
      </c>
      <c r="F660" s="1" t="s">
        <v>1864</v>
      </c>
      <c r="G660" s="39" t="s">
        <v>496</v>
      </c>
      <c r="H660" s="1">
        <v>1</v>
      </c>
      <c r="I660" s="1">
        <v>1</v>
      </c>
      <c r="J660" s="39" t="s">
        <v>161</v>
      </c>
      <c r="K660" s="1">
        <v>1</v>
      </c>
      <c r="L660" s="1">
        <v>1</v>
      </c>
      <c r="S660" s="1" t="str">
        <f>IF(tblDados[[#This Row],[Mandante]]="","",TEXT(tblDados[[#This Row],[Data]],"aaaa-mm-dd")&amp;"|"&amp;TRIM(tblDados[[#This Row],[Mandante]])&amp;"|"&amp;TRIM(tblDados[[#This Row],[Visitante]]))</f>
        <v>2026-07-21|Atlético-MG|Bahia</v>
      </c>
      <c r="T660">
        <f>IF($G660="",0,IF(COUNTIF($S$2:$S2834,$S660)=1,1,0))</f>
        <v>1</v>
      </c>
      <c r="U660" s="19" t="str" cm="1">
        <f t="array" ref="U6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0" s="19" t="str" cm="1">
        <f t="array" ref="V6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1" spans="1:22" x14ac:dyDescent="0.3">
      <c r="A661" s="1" t="s">
        <v>1884</v>
      </c>
      <c r="B661" s="102">
        <v>46159</v>
      </c>
      <c r="C661" s="6">
        <v>0.75</v>
      </c>
      <c r="D661" s="1" t="s">
        <v>12</v>
      </c>
      <c r="E661" s="1" t="s">
        <v>14</v>
      </c>
      <c r="F661" s="1" t="s">
        <v>1885</v>
      </c>
      <c r="G661" s="39" t="s">
        <v>84</v>
      </c>
      <c r="H661" s="1">
        <v>2</v>
      </c>
      <c r="I661" s="1">
        <v>0</v>
      </c>
      <c r="J661" s="39" t="s">
        <v>107</v>
      </c>
      <c r="K661" s="1">
        <v>0</v>
      </c>
      <c r="L661" s="1">
        <v>2</v>
      </c>
      <c r="S661" s="1" t="str">
        <f>IF(tblDados[[#This Row],[Mandante]]="","",TEXT(tblDados[[#This Row],[Data]],"aaaa-mm-dd")&amp;"|"&amp;TRIM(tblDados[[#This Row],[Mandante]])&amp;"|"&amp;TRIM(tblDados[[#This Row],[Visitante]]))</f>
        <v>2026-05-17|Vila Nova|Avaí</v>
      </c>
      <c r="T661" s="1">
        <f>IF($G661="",0,IF(COUNTIF($S$2:$S661,$S661)=1,1,0))</f>
        <v>1</v>
      </c>
      <c r="U661" s="19" t="str" cm="1">
        <f t="array" ref="U6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1" s="19" t="str" cm="1">
        <f t="array" ref="V6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2" spans="1:22" x14ac:dyDescent="0.3">
      <c r="A662" s="1" t="s">
        <v>1886</v>
      </c>
      <c r="B662" s="102">
        <v>46166</v>
      </c>
      <c r="C662" s="6">
        <v>0.77083333333333337</v>
      </c>
      <c r="D662" s="1" t="s">
        <v>12</v>
      </c>
      <c r="E662" s="1" t="s">
        <v>14</v>
      </c>
      <c r="F662" s="1" t="s">
        <v>1887</v>
      </c>
      <c r="G662" s="39" t="s">
        <v>1888</v>
      </c>
      <c r="H662" s="1">
        <v>1</v>
      </c>
      <c r="I662" s="1">
        <v>2</v>
      </c>
      <c r="J662" s="39" t="s">
        <v>84</v>
      </c>
      <c r="K662" s="1">
        <v>2</v>
      </c>
      <c r="L662" s="1">
        <v>1</v>
      </c>
      <c r="S662" s="1" t="str">
        <f>IF(tblDados[[#This Row],[Mandante]]="","",TEXT(tblDados[[#This Row],[Data]],"aaaa-mm-dd")&amp;"|"&amp;TRIM(tblDados[[#This Row],[Mandante]])&amp;"|"&amp;TRIM(tblDados[[#This Row],[Visitante]]))</f>
        <v>2026-05-24|América-MG|Vila Nova</v>
      </c>
      <c r="T662" s="1">
        <f>IF($G662="",0,IF(COUNTIF($S$2:$S662,$S662)=1,1,0))</f>
        <v>1</v>
      </c>
      <c r="U662" s="19" t="str" cm="1">
        <f t="array" ref="U6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2" s="19" t="str" cm="1">
        <f t="array" ref="V6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3" spans="1:22" x14ac:dyDescent="0.3">
      <c r="A663" s="1" t="s">
        <v>1889</v>
      </c>
      <c r="B663" s="102">
        <v>46173</v>
      </c>
      <c r="C663" s="6">
        <v>0.45833333333333331</v>
      </c>
      <c r="D663" s="1" t="s">
        <v>12</v>
      </c>
      <c r="E663" s="1" t="s">
        <v>14</v>
      </c>
      <c r="F663" s="1" t="s">
        <v>1890</v>
      </c>
      <c r="G663" s="39" t="s">
        <v>1891</v>
      </c>
      <c r="H663" s="1">
        <v>0</v>
      </c>
      <c r="I663" s="1">
        <v>1</v>
      </c>
      <c r="J663" s="39" t="s">
        <v>84</v>
      </c>
      <c r="K663" s="1">
        <v>1</v>
      </c>
      <c r="L663" s="1">
        <v>0</v>
      </c>
      <c r="S663" s="1" t="str">
        <f>IF(tblDados[[#This Row],[Mandante]]="","",TEXT(tblDados[[#This Row],[Data]],"aaaa-mm-dd")&amp;"|"&amp;TRIM(tblDados[[#This Row],[Mandante]])&amp;"|"&amp;TRIM(tblDados[[#This Row],[Visitante]]))</f>
        <v>2026-05-31|Londrina|Vila Nova</v>
      </c>
      <c r="T663" s="1">
        <f>IF($G663="",0,IF(COUNTIF($S$2:$S663,$S663)=1,1,0))</f>
        <v>1</v>
      </c>
      <c r="U663" s="19" t="str" cm="1">
        <f t="array" ref="U6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3" s="19" t="str" cm="1">
        <f t="array" ref="V6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4" spans="1:22" x14ac:dyDescent="0.3">
      <c r="A664" s="1" t="s">
        <v>1892</v>
      </c>
      <c r="B664" s="102">
        <v>46181</v>
      </c>
      <c r="C664" s="6">
        <v>0.83333333333333337</v>
      </c>
      <c r="D664" s="1" t="s">
        <v>12</v>
      </c>
      <c r="E664" s="1" t="s">
        <v>14</v>
      </c>
      <c r="F664" s="1" t="s">
        <v>2110</v>
      </c>
      <c r="G664" s="39" t="s">
        <v>84</v>
      </c>
      <c r="H664" s="1">
        <v>1</v>
      </c>
      <c r="I664" s="1">
        <v>0</v>
      </c>
      <c r="J664" s="39" t="s">
        <v>124</v>
      </c>
      <c r="K664" s="1">
        <v>0</v>
      </c>
      <c r="L664" s="1">
        <v>1</v>
      </c>
      <c r="S664" s="1" t="str">
        <f>IF(tblDados[[#This Row],[Mandante]]="","",TEXT(tblDados[[#This Row],[Data]],"aaaa-mm-dd")&amp;"|"&amp;TRIM(tblDados[[#This Row],[Mandante]])&amp;"|"&amp;TRIM(tblDados[[#This Row],[Visitante]]))</f>
        <v>2026-06-08|Vila Nova|Botafogo SP</v>
      </c>
      <c r="T664" s="1">
        <f>IF($G664="",0,IF(COUNTIF($S$2:$S664,$S664)=1,1,0))</f>
        <v>1</v>
      </c>
      <c r="U664" s="19" t="str" cm="1">
        <f t="array" ref="U6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4" s="19" t="str" cm="1">
        <f t="array" ref="V6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5" spans="1:22" x14ac:dyDescent="0.3">
      <c r="A665" s="1" t="s">
        <v>1893</v>
      </c>
      <c r="B665" s="102">
        <v>46187</v>
      </c>
      <c r="C665" s="6">
        <v>0.77083333333333337</v>
      </c>
      <c r="D665" s="1" t="s">
        <v>12</v>
      </c>
      <c r="E665" s="1" t="s">
        <v>14</v>
      </c>
      <c r="F665" s="1" t="s">
        <v>1894</v>
      </c>
      <c r="G665" s="39" t="s">
        <v>93</v>
      </c>
      <c r="H665" s="1">
        <v>1</v>
      </c>
      <c r="I665" s="1">
        <v>0</v>
      </c>
      <c r="J665" s="39" t="s">
        <v>84</v>
      </c>
      <c r="K665" s="1">
        <v>0</v>
      </c>
      <c r="L665" s="1">
        <v>1</v>
      </c>
      <c r="S665" s="1" t="str">
        <f>IF(tblDados[[#This Row],[Mandante]]="","",TEXT(tblDados[[#This Row],[Data]],"aaaa-mm-dd")&amp;"|"&amp;TRIM(tblDados[[#This Row],[Mandante]])&amp;"|"&amp;TRIM(tblDados[[#This Row],[Visitante]]))</f>
        <v>2026-06-14|Cuiabá|Vila Nova</v>
      </c>
      <c r="T665" s="1">
        <f>IF($G665="",0,IF(COUNTIF($S$2:$S665,$S665)=1,1,0))</f>
        <v>1</v>
      </c>
      <c r="U665" s="19" t="str" cm="1">
        <f t="array" ref="U6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5" s="19" t="str" cm="1">
        <f t="array" ref="V6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6" spans="1:22" x14ac:dyDescent="0.3">
      <c r="A666" s="1" t="s">
        <v>1895</v>
      </c>
      <c r="B666" s="102">
        <v>46193</v>
      </c>
      <c r="C666" s="6">
        <v>0.79166666666666663</v>
      </c>
      <c r="D666" s="1" t="s">
        <v>12</v>
      </c>
      <c r="E666" s="1" t="s">
        <v>14</v>
      </c>
      <c r="F666" s="1" t="s">
        <v>1896</v>
      </c>
      <c r="G666" s="39" t="s">
        <v>84</v>
      </c>
      <c r="H666" s="1">
        <v>4</v>
      </c>
      <c r="I666" s="1">
        <v>3</v>
      </c>
      <c r="J666" s="39" t="s">
        <v>1897</v>
      </c>
      <c r="K666" s="1">
        <v>3</v>
      </c>
      <c r="L666" s="1">
        <v>4</v>
      </c>
      <c r="S666" s="1" t="str">
        <f>IF(tblDados[[#This Row],[Mandante]]="","",TEXT(tblDados[[#This Row],[Data]],"aaaa-mm-dd")&amp;"|"&amp;TRIM(tblDados[[#This Row],[Mandante]])&amp;"|"&amp;TRIM(tblDados[[#This Row],[Visitante]]))</f>
        <v>2026-06-20|Vila Nova|Náutico</v>
      </c>
      <c r="T666" s="1">
        <f>IF($G666="",0,IF(COUNTIF($S$2:$S666,$S666)=1,1,0))</f>
        <v>1</v>
      </c>
      <c r="U666" s="19" t="str" cm="1">
        <f t="array" ref="U6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6" s="19" t="str" cm="1">
        <f t="array" ref="V6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7" spans="1:22" x14ac:dyDescent="0.3">
      <c r="A667" s="1" t="s">
        <v>1898</v>
      </c>
      <c r="B667" s="102">
        <v>46199</v>
      </c>
      <c r="C667" s="6">
        <v>0.79166666666666663</v>
      </c>
      <c r="D667" s="1" t="s">
        <v>12</v>
      </c>
      <c r="E667" s="1" t="s">
        <v>14</v>
      </c>
      <c r="F667" s="1" t="s">
        <v>1899</v>
      </c>
      <c r="G667" s="39" t="s">
        <v>1900</v>
      </c>
      <c r="H667" s="1">
        <v>2</v>
      </c>
      <c r="I667" s="1">
        <v>1</v>
      </c>
      <c r="J667" s="39" t="s">
        <v>84</v>
      </c>
      <c r="K667" s="1">
        <v>1</v>
      </c>
      <c r="L667" s="1">
        <v>2</v>
      </c>
      <c r="S667" s="1" t="str">
        <f>IF(tblDados[[#This Row],[Mandante]]="","",TEXT(tblDados[[#This Row],[Data]],"aaaa-mm-dd")&amp;"|"&amp;TRIM(tblDados[[#This Row],[Mandante]])&amp;"|"&amp;TRIM(tblDados[[#This Row],[Visitante]]))</f>
        <v>2026-06-26|Novorizontino|Vila Nova</v>
      </c>
      <c r="T667" s="1">
        <f>IF($G667="",0,IF(COUNTIF($S$2:$S667,$S667)=1,1,0))</f>
        <v>1</v>
      </c>
      <c r="U667" s="19" t="str" cm="1">
        <f t="array" ref="U6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7" s="19" t="str" cm="1">
        <f t="array" ref="V6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8" spans="1:22" x14ac:dyDescent="0.3">
      <c r="A668" s="1" t="s">
        <v>1901</v>
      </c>
      <c r="B668" s="102">
        <v>46209</v>
      </c>
      <c r="C668" s="6">
        <v>0.79166666666666663</v>
      </c>
      <c r="D668" s="1" t="s">
        <v>12</v>
      </c>
      <c r="E668" s="1" t="s">
        <v>14</v>
      </c>
      <c r="F668" s="1" t="s">
        <v>1902</v>
      </c>
      <c r="G668" s="39" t="s">
        <v>84</v>
      </c>
      <c r="H668" s="1">
        <v>2</v>
      </c>
      <c r="I668" s="1">
        <v>1</v>
      </c>
      <c r="J668" s="39" t="s">
        <v>1903</v>
      </c>
      <c r="K668" s="1">
        <v>1</v>
      </c>
      <c r="L668" s="1">
        <v>2</v>
      </c>
      <c r="S668" s="1" t="str">
        <f>IF(tblDados[[#This Row],[Mandante]]="","",TEXT(tblDados[[#This Row],[Data]],"aaaa-mm-dd")&amp;"|"&amp;TRIM(tblDados[[#This Row],[Mandante]])&amp;"|"&amp;TRIM(tblDados[[#This Row],[Visitante]]))</f>
        <v>2026-07-06|Vila Nova|São Bernardo</v>
      </c>
      <c r="T668" s="1">
        <f>IF($G668="",0,IF(COUNTIF($S$2:$S668,$S668)=1,1,0))</f>
        <v>1</v>
      </c>
      <c r="U668" s="19" t="str" cm="1">
        <f t="array" ref="U6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8" s="19" t="str" cm="1">
        <f t="array" ref="V6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9" spans="1:22" x14ac:dyDescent="0.3">
      <c r="A669" s="1" t="s">
        <v>1904</v>
      </c>
      <c r="B669" s="102">
        <v>46213</v>
      </c>
      <c r="C669" s="6">
        <v>0.79166666666666663</v>
      </c>
      <c r="D669" s="1" t="s">
        <v>12</v>
      </c>
      <c r="E669" s="1" t="s">
        <v>14</v>
      </c>
      <c r="F669" s="1" t="s">
        <v>1905</v>
      </c>
      <c r="G669" s="39" t="s">
        <v>106</v>
      </c>
      <c r="H669" s="1">
        <v>1</v>
      </c>
      <c r="I669" s="1">
        <v>0</v>
      </c>
      <c r="J669" s="39" t="s">
        <v>84</v>
      </c>
      <c r="K669" s="1">
        <v>0</v>
      </c>
      <c r="L669" s="1">
        <v>1</v>
      </c>
      <c r="S669" s="1" t="str">
        <f>IF(tblDados[[#This Row],[Mandante]]="","",TEXT(tblDados[[#This Row],[Data]],"aaaa-mm-dd")&amp;"|"&amp;TRIM(tblDados[[#This Row],[Mandante]])&amp;"|"&amp;TRIM(tblDados[[#This Row],[Visitante]]))</f>
        <v>2026-07-10|Juventude|Vila Nova</v>
      </c>
      <c r="T669" s="1">
        <f>IF($G669="",0,IF(COUNTIF($S$2:$S669,$S669)=1,1,0))</f>
        <v>1</v>
      </c>
      <c r="U669" s="19" t="str" cm="1">
        <f t="array" ref="U6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9" s="19" t="str" cm="1">
        <f t="array" ref="V6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0" spans="1:22" x14ac:dyDescent="0.3">
      <c r="A670" s="1" t="s">
        <v>1906</v>
      </c>
      <c r="B670" s="102">
        <v>46221</v>
      </c>
      <c r="C670" s="6">
        <v>0.66666666666666663</v>
      </c>
      <c r="D670" s="1" t="s">
        <v>12</v>
      </c>
      <c r="E670" s="1" t="s">
        <v>14</v>
      </c>
      <c r="F670" s="1" t="s">
        <v>1907</v>
      </c>
      <c r="G670" s="39" t="s">
        <v>1908</v>
      </c>
      <c r="H670" s="1">
        <v>2</v>
      </c>
      <c r="I670" s="1">
        <v>0</v>
      </c>
      <c r="J670" s="39" t="s">
        <v>84</v>
      </c>
      <c r="K670" s="1">
        <v>0</v>
      </c>
      <c r="L670" s="1">
        <v>2</v>
      </c>
      <c r="S670" s="1" t="str">
        <f>IF(tblDados[[#This Row],[Mandante]]="","",TEXT(tblDados[[#This Row],[Data]],"aaaa-mm-dd")&amp;"|"&amp;TRIM(tblDados[[#This Row],[Mandante]])&amp;"|"&amp;TRIM(tblDados[[#This Row],[Visitante]]))</f>
        <v>2026-07-18|Criciúma|Vila Nova</v>
      </c>
      <c r="T670" s="1">
        <f>IF($G670="",0,IF(COUNTIF($S$2:$S670,$S670)=1,1,0))</f>
        <v>1</v>
      </c>
      <c r="U670" s="19" t="str" cm="1">
        <f t="array" ref="U6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0" s="19" t="str" cm="1">
        <f t="array" ref="V6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1" spans="1:22" ht="14.4" x14ac:dyDescent="0.3">
      <c r="A671" s="1" t="s">
        <v>1909</v>
      </c>
      <c r="B671" s="102">
        <v>46224</v>
      </c>
      <c r="C671" s="6">
        <v>0.89930555555555558</v>
      </c>
      <c r="D671" s="1" t="s">
        <v>12</v>
      </c>
      <c r="E671" s="1" t="s">
        <v>14</v>
      </c>
      <c r="F671" s="1" t="s">
        <v>1910</v>
      </c>
      <c r="G671" s="39" t="s">
        <v>84</v>
      </c>
      <c r="H671" s="1">
        <v>2</v>
      </c>
      <c r="I671" s="1">
        <v>1</v>
      </c>
      <c r="J671" s="39" t="s">
        <v>123</v>
      </c>
      <c r="K671" s="1">
        <v>1</v>
      </c>
      <c r="L671" s="1">
        <v>2</v>
      </c>
      <c r="S671" s="1" t="str">
        <f>IF(tblDados[[#This Row],[Mandante]]="","",TEXT(tblDados[[#This Row],[Data]],"aaaa-mm-dd")&amp;"|"&amp;TRIM(tblDados[[#This Row],[Mandante]])&amp;"|"&amp;TRIM(tblDados[[#This Row],[Visitante]]))</f>
        <v>2026-07-21|Vila Nova|Fortaleza</v>
      </c>
      <c r="T671">
        <f>IF($G671="",0,IF(COUNTIF($S$2:$S2834,$S671)=1,1,0))</f>
        <v>1</v>
      </c>
      <c r="U671" s="19" t="str" cm="1">
        <f t="array" ref="U6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1" s="19" t="str" cm="1">
        <f t="array" ref="V6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2" spans="1:22" x14ac:dyDescent="0.3">
      <c r="A672" s="1" t="s">
        <v>1911</v>
      </c>
      <c r="B672" s="102">
        <v>46159</v>
      </c>
      <c r="C672" s="6">
        <v>0.85416666666666663</v>
      </c>
      <c r="D672" s="1" t="s">
        <v>12</v>
      </c>
      <c r="E672" s="1" t="s">
        <v>14</v>
      </c>
      <c r="F672" s="1" t="s">
        <v>1912</v>
      </c>
      <c r="G672" s="39" t="s">
        <v>92</v>
      </c>
      <c r="H672" s="1">
        <v>1</v>
      </c>
      <c r="I672" s="1">
        <v>2</v>
      </c>
      <c r="J672" s="39" t="s">
        <v>83</v>
      </c>
      <c r="K672" s="1">
        <v>2</v>
      </c>
      <c r="L672" s="1">
        <v>1</v>
      </c>
      <c r="S672" s="1" t="str">
        <f>IF(tblDados[[#This Row],[Mandante]]="","",TEXT(tblDados[[#This Row],[Data]],"aaaa-mm-dd")&amp;"|"&amp;TRIM(tblDados[[#This Row],[Mandante]])&amp;"|"&amp;TRIM(tblDados[[#This Row],[Visitante]]))</f>
        <v>2026-05-17|Sport Recife|CRB</v>
      </c>
      <c r="T672" s="1">
        <f>IF($G672="",0,IF(COUNTIF($S$2:$S672,$S672)=1,1,0))</f>
        <v>1</v>
      </c>
      <c r="U672" s="19" t="str" cm="1">
        <f t="array" ref="U6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2" s="19" t="str" cm="1">
        <f t="array" ref="V6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3" spans="1:22" x14ac:dyDescent="0.3">
      <c r="A673" s="1" t="s">
        <v>1913</v>
      </c>
      <c r="B673" s="102">
        <v>46165</v>
      </c>
      <c r="C673" s="6">
        <v>0.85416666666666663</v>
      </c>
      <c r="D673" s="1" t="s">
        <v>12</v>
      </c>
      <c r="E673" s="1" t="s">
        <v>14</v>
      </c>
      <c r="F673" s="1" t="s">
        <v>1914</v>
      </c>
      <c r="G673" s="39" t="s">
        <v>106</v>
      </c>
      <c r="H673" s="1">
        <v>0</v>
      </c>
      <c r="I673" s="1">
        <v>1</v>
      </c>
      <c r="J673" s="39" t="s">
        <v>92</v>
      </c>
      <c r="K673" s="1">
        <v>1</v>
      </c>
      <c r="L673" s="1">
        <v>0</v>
      </c>
      <c r="S673" s="1" t="str">
        <f>IF(tblDados[[#This Row],[Mandante]]="","",TEXT(tblDados[[#This Row],[Data]],"aaaa-mm-dd")&amp;"|"&amp;TRIM(tblDados[[#This Row],[Mandante]])&amp;"|"&amp;TRIM(tblDados[[#This Row],[Visitante]]))</f>
        <v>2026-05-23|Juventude|Sport Recife</v>
      </c>
      <c r="T673" s="1">
        <f>IF($G673="",0,IF(COUNTIF($S$2:$S673,$S673)=1,1,0))</f>
        <v>1</v>
      </c>
      <c r="U673" s="19" t="str" cm="1">
        <f t="array" ref="U6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3" s="19" t="str" cm="1">
        <f t="array" ref="V6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4" spans="1:22" x14ac:dyDescent="0.3">
      <c r="A674" s="1" t="s">
        <v>1915</v>
      </c>
      <c r="B674" s="102">
        <v>46172</v>
      </c>
      <c r="C674" s="6">
        <v>0.85416666666666663</v>
      </c>
      <c r="D674" s="1" t="s">
        <v>12</v>
      </c>
      <c r="E674" s="1" t="s">
        <v>14</v>
      </c>
      <c r="F674" s="1" t="s">
        <v>1916</v>
      </c>
      <c r="G674" s="39" t="s">
        <v>92</v>
      </c>
      <c r="H674" s="1">
        <v>2</v>
      </c>
      <c r="I674" s="1">
        <v>0</v>
      </c>
      <c r="J674" s="39" t="s">
        <v>1897</v>
      </c>
      <c r="K674" s="1">
        <v>0</v>
      </c>
      <c r="L674" s="1">
        <v>2</v>
      </c>
      <c r="S674" s="1" t="str">
        <f>IF(tblDados[[#This Row],[Mandante]]="","",TEXT(tblDados[[#This Row],[Data]],"aaaa-mm-dd")&amp;"|"&amp;TRIM(tblDados[[#This Row],[Mandante]])&amp;"|"&amp;TRIM(tblDados[[#This Row],[Visitante]]))</f>
        <v>2026-05-30|Sport Recife|Náutico</v>
      </c>
      <c r="T674" s="1">
        <f>IF($G674="",0,IF(COUNTIF($S$2:$S674,$S674)=1,1,0))</f>
        <v>1</v>
      </c>
      <c r="U674" s="19" t="str" cm="1">
        <f t="array" ref="U6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4" s="19" t="str" cm="1">
        <f t="array" ref="V6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5" spans="1:22" x14ac:dyDescent="0.3">
      <c r="A675" s="1" t="s">
        <v>1917</v>
      </c>
      <c r="B675" s="102">
        <v>46183</v>
      </c>
      <c r="C675" s="6">
        <v>0.875</v>
      </c>
      <c r="D675" s="1" t="s">
        <v>12</v>
      </c>
      <c r="E675" s="1" t="s">
        <v>14</v>
      </c>
      <c r="F675" s="1" t="s">
        <v>2081</v>
      </c>
      <c r="G675" s="39" t="s">
        <v>92</v>
      </c>
      <c r="H675" s="1">
        <v>1</v>
      </c>
      <c r="I675" s="1">
        <v>1</v>
      </c>
      <c r="J675" s="39" t="s">
        <v>102</v>
      </c>
      <c r="K675" s="1">
        <v>1</v>
      </c>
      <c r="L675" s="1">
        <v>1</v>
      </c>
      <c r="S675" s="1" t="str">
        <f>IF(tblDados[[#This Row],[Mandante]]="","",TEXT(tblDados[[#This Row],[Data]],"aaaa-mm-dd")&amp;"|"&amp;TRIM(tblDados[[#This Row],[Mandante]])&amp;"|"&amp;TRIM(tblDados[[#This Row],[Visitante]]))</f>
        <v>2026-06-10|Sport Recife|Athletic Club-MG</v>
      </c>
      <c r="T675" s="1">
        <f>IF($G675="",0,IF(COUNTIF($S$2:$S675,$S675)=1,1,0))</f>
        <v>1</v>
      </c>
      <c r="U675" s="19" t="str" cm="1">
        <f t="array" ref="U6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5" s="19" t="str" cm="1">
        <f t="array" ref="V6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6" spans="1:22" x14ac:dyDescent="0.3">
      <c r="A676" s="1" t="s">
        <v>1918</v>
      </c>
      <c r="B676" s="102">
        <v>46187</v>
      </c>
      <c r="C676" s="6">
        <v>0.45833333333333331</v>
      </c>
      <c r="D676" s="1" t="s">
        <v>12</v>
      </c>
      <c r="E676" s="1" t="s">
        <v>14</v>
      </c>
      <c r="F676" s="1" t="s">
        <v>1919</v>
      </c>
      <c r="G676" s="39" t="s">
        <v>1903</v>
      </c>
      <c r="H676" s="1">
        <v>0</v>
      </c>
      <c r="I676" s="1">
        <v>0</v>
      </c>
      <c r="J676" s="39" t="s">
        <v>92</v>
      </c>
      <c r="K676" s="1">
        <v>0</v>
      </c>
      <c r="L676" s="1">
        <v>0</v>
      </c>
      <c r="S676" s="1" t="str">
        <f>IF(tblDados[[#This Row],[Mandante]]="","",TEXT(tblDados[[#This Row],[Data]],"aaaa-mm-dd")&amp;"|"&amp;TRIM(tblDados[[#This Row],[Mandante]])&amp;"|"&amp;TRIM(tblDados[[#This Row],[Visitante]]))</f>
        <v>2026-06-14|São Bernardo|Sport Recife</v>
      </c>
      <c r="T676" s="1">
        <f>IF($G676="",0,IF(COUNTIF($S$2:$S676,$S676)=1,1,0))</f>
        <v>1</v>
      </c>
      <c r="U676" s="19" t="str" cm="1">
        <f t="array" ref="U6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6" s="19" t="str" cm="1">
        <f t="array" ref="V6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7" spans="1:22" x14ac:dyDescent="0.3">
      <c r="A677" s="1" t="s">
        <v>1920</v>
      </c>
      <c r="B677" s="102">
        <v>46191</v>
      </c>
      <c r="C677" s="6">
        <v>0.875</v>
      </c>
      <c r="D677" s="1" t="s">
        <v>12</v>
      </c>
      <c r="E677" s="1" t="s">
        <v>14</v>
      </c>
      <c r="F677" s="1" t="s">
        <v>1921</v>
      </c>
      <c r="G677" s="39" t="s">
        <v>92</v>
      </c>
      <c r="H677" s="1">
        <v>1</v>
      </c>
      <c r="I677" s="1">
        <v>1</v>
      </c>
      <c r="J677" s="39" t="s">
        <v>88</v>
      </c>
      <c r="K677" s="1">
        <v>1</v>
      </c>
      <c r="L677" s="1">
        <v>1</v>
      </c>
      <c r="S677" s="1" t="str">
        <f>IF(tblDados[[#This Row],[Mandante]]="","",TEXT(tblDados[[#This Row],[Data]],"aaaa-mm-dd")&amp;"|"&amp;TRIM(tblDados[[#This Row],[Mandante]])&amp;"|"&amp;TRIM(tblDados[[#This Row],[Visitante]]))</f>
        <v>2026-06-18|Sport Recife|Atlético-GO</v>
      </c>
      <c r="T677" s="1">
        <f>IF($G677="",0,IF(COUNTIF($S$2:$S677,$S677)=1,1,0))</f>
        <v>1</v>
      </c>
      <c r="U677" s="19" t="str" cm="1">
        <f t="array" ref="U6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7" s="19" t="str" cm="1">
        <f t="array" ref="V6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8" spans="1:22" x14ac:dyDescent="0.3">
      <c r="A678" s="1" t="s">
        <v>1922</v>
      </c>
      <c r="B678" s="102">
        <v>46201</v>
      </c>
      <c r="C678" s="6">
        <v>0.77083333333333337</v>
      </c>
      <c r="D678" s="1" t="s">
        <v>12</v>
      </c>
      <c r="E678" s="1" t="s">
        <v>14</v>
      </c>
      <c r="F678" s="1" t="s">
        <v>1923</v>
      </c>
      <c r="G678" s="39" t="s">
        <v>123</v>
      </c>
      <c r="H678" s="1">
        <v>2</v>
      </c>
      <c r="I678" s="1">
        <v>1</v>
      </c>
      <c r="J678" s="39" t="s">
        <v>92</v>
      </c>
      <c r="K678" s="1">
        <v>1</v>
      </c>
      <c r="L678" s="1">
        <v>2</v>
      </c>
      <c r="S678" s="1" t="str">
        <f>IF(tblDados[[#This Row],[Mandante]]="","",TEXT(tblDados[[#This Row],[Data]],"aaaa-mm-dd")&amp;"|"&amp;TRIM(tblDados[[#This Row],[Mandante]])&amp;"|"&amp;TRIM(tblDados[[#This Row],[Visitante]]))</f>
        <v>2026-06-28|Fortaleza|Sport Recife</v>
      </c>
      <c r="T678" s="1">
        <f>IF($G678="",0,IF(COUNTIF($S$2:$S678,$S678)=1,1,0))</f>
        <v>1</v>
      </c>
      <c r="U678" s="19" t="str" cm="1">
        <f t="array" ref="U6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8" s="19" t="str" cm="1">
        <f t="array" ref="V6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9" spans="1:22" x14ac:dyDescent="0.3">
      <c r="A679" s="1" t="s">
        <v>1924</v>
      </c>
      <c r="B679" s="102">
        <v>46207</v>
      </c>
      <c r="C679" s="6">
        <v>0.66666666666666663</v>
      </c>
      <c r="D679" s="1" t="s">
        <v>12</v>
      </c>
      <c r="E679" s="1" t="s">
        <v>14</v>
      </c>
      <c r="F679" s="1" t="s">
        <v>1925</v>
      </c>
      <c r="G679" s="39" t="s">
        <v>1908</v>
      </c>
      <c r="H679" s="1">
        <v>1</v>
      </c>
      <c r="I679" s="1">
        <v>0</v>
      </c>
      <c r="J679" s="39" t="s">
        <v>92</v>
      </c>
      <c r="K679" s="1">
        <v>0</v>
      </c>
      <c r="L679" s="1">
        <v>1</v>
      </c>
      <c r="S679" s="1" t="str">
        <f>IF(tblDados[[#This Row],[Mandante]]="","",TEXT(tblDados[[#This Row],[Data]],"aaaa-mm-dd")&amp;"|"&amp;TRIM(tblDados[[#This Row],[Mandante]])&amp;"|"&amp;TRIM(tblDados[[#This Row],[Visitante]]))</f>
        <v>2026-07-04|Criciúma|Sport Recife</v>
      </c>
      <c r="T679" s="1">
        <f>IF($G679="",0,IF(COUNTIF($S$2:$S679,$S679)=1,1,0))</f>
        <v>1</v>
      </c>
      <c r="U679" s="19" t="str" cm="1">
        <f t="array" ref="U6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9" s="19" t="str" cm="1">
        <f t="array" ref="V6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0" spans="1:22" x14ac:dyDescent="0.3">
      <c r="A680" s="1" t="s">
        <v>1926</v>
      </c>
      <c r="B680" s="102">
        <v>46213</v>
      </c>
      <c r="C680" s="6">
        <v>0.83333333333333337</v>
      </c>
      <c r="D680" s="1" t="s">
        <v>12</v>
      </c>
      <c r="E680" s="1" t="s">
        <v>14</v>
      </c>
      <c r="F680" s="1" t="s">
        <v>2111</v>
      </c>
      <c r="G680" s="39" t="s">
        <v>92</v>
      </c>
      <c r="H680" s="1">
        <v>3</v>
      </c>
      <c r="I680" s="1">
        <v>3</v>
      </c>
      <c r="J680" s="39" t="s">
        <v>124</v>
      </c>
      <c r="K680" s="1">
        <v>3</v>
      </c>
      <c r="L680" s="1">
        <v>3</v>
      </c>
      <c r="S680" s="1" t="str">
        <f>IF(tblDados[[#This Row],[Mandante]]="","",TEXT(tblDados[[#This Row],[Data]],"aaaa-mm-dd")&amp;"|"&amp;TRIM(tblDados[[#This Row],[Mandante]])&amp;"|"&amp;TRIM(tblDados[[#This Row],[Visitante]]))</f>
        <v>2026-07-10|Sport Recife|Botafogo SP</v>
      </c>
      <c r="T680" s="1">
        <f>IF($G680="",0,IF(COUNTIF($S$2:$S680,$S680)=1,1,0))</f>
        <v>1</v>
      </c>
      <c r="U680" s="19" t="str" cm="1">
        <f t="array" ref="U6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0" s="19" t="str" cm="1">
        <f t="array" ref="V6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1" spans="1:22" x14ac:dyDescent="0.3">
      <c r="A681" s="1" t="s">
        <v>1927</v>
      </c>
      <c r="B681" s="102">
        <v>46221</v>
      </c>
      <c r="C681" s="6">
        <v>0.66666666666666663</v>
      </c>
      <c r="D681" s="1" t="s">
        <v>12</v>
      </c>
      <c r="E681" s="1" t="s">
        <v>14</v>
      </c>
      <c r="F681" s="1" t="s">
        <v>1984</v>
      </c>
      <c r="G681" s="39" t="s">
        <v>92</v>
      </c>
      <c r="H681" s="1">
        <v>2</v>
      </c>
      <c r="I681" s="1">
        <v>2</v>
      </c>
      <c r="J681" s="39" t="s">
        <v>89</v>
      </c>
      <c r="K681" s="1">
        <v>2</v>
      </c>
      <c r="L681" s="1">
        <v>2</v>
      </c>
      <c r="S681" s="1" t="str">
        <f>IF(tblDados[[#This Row],[Mandante]]="","",TEXT(tblDados[[#This Row],[Data]],"aaaa-mm-dd")&amp;"|"&amp;TRIM(tblDados[[#This Row],[Mandante]])&amp;"|"&amp;TRIM(tblDados[[#This Row],[Visitante]]))</f>
        <v>2026-07-18|Sport Recife|Operário-PR</v>
      </c>
      <c r="T681" s="1">
        <f>IF($G681="",0,IF(COUNTIF($S$2:$S681,$S681)=1,1,0))</f>
        <v>1</v>
      </c>
      <c r="U681" s="19" t="str" cm="1">
        <f t="array" ref="U6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1" s="19" t="str" cm="1">
        <f t="array" ref="V6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2" spans="1:22" ht="14.4" x14ac:dyDescent="0.3">
      <c r="A682" s="1" t="s">
        <v>1928</v>
      </c>
      <c r="B682" s="102">
        <v>46225</v>
      </c>
      <c r="C682" s="6">
        <v>0.85416666666666663</v>
      </c>
      <c r="D682" s="1" t="s">
        <v>12</v>
      </c>
      <c r="E682" s="1" t="s">
        <v>14</v>
      </c>
      <c r="F682" s="1" t="s">
        <v>1929</v>
      </c>
      <c r="G682" s="39" t="s">
        <v>1930</v>
      </c>
      <c r="H682" s="1">
        <v>1</v>
      </c>
      <c r="I682" s="1">
        <v>1</v>
      </c>
      <c r="J682" s="39" t="s">
        <v>92</v>
      </c>
      <c r="K682" s="1">
        <v>1</v>
      </c>
      <c r="L682" s="1">
        <v>1</v>
      </c>
      <c r="S682" s="1" t="str">
        <f>IF(tblDados[[#This Row],[Mandante]]="","",TEXT(tblDados[[#This Row],[Data]],"aaaa-mm-dd")&amp;"|"&amp;TRIM(tblDados[[#This Row],[Mandante]])&amp;"|"&amp;TRIM(tblDados[[#This Row],[Visitante]]))</f>
        <v>2026-07-22|Goiás|Sport Recife</v>
      </c>
      <c r="T682">
        <f>IF($G682="",0,IF(COUNTIF($S$2:$S2834,$S682)=1,1,0))</f>
        <v>1</v>
      </c>
      <c r="U682" s="19" t="str" cm="1">
        <f t="array" ref="U6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2" s="19" t="str" cm="1">
        <f t="array" ref="V6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3" spans="1:22" x14ac:dyDescent="0.3">
      <c r="A683" s="1" t="s">
        <v>1940</v>
      </c>
      <c r="B683" s="5">
        <v>46229</v>
      </c>
      <c r="C683" s="6">
        <v>0.66666666666666663</v>
      </c>
      <c r="D683" s="1" t="s">
        <v>12</v>
      </c>
      <c r="E683" s="1" t="s">
        <v>14</v>
      </c>
      <c r="F683" s="1" t="s">
        <v>1941</v>
      </c>
      <c r="G683" s="39" t="s">
        <v>1908</v>
      </c>
      <c r="H683" s="1">
        <v>0</v>
      </c>
      <c r="I683" s="1">
        <v>0</v>
      </c>
      <c r="J683" s="39" t="s">
        <v>1897</v>
      </c>
      <c r="K683" s="1">
        <v>0</v>
      </c>
      <c r="L683" s="1">
        <v>0</v>
      </c>
      <c r="S683" s="1" t="str">
        <f>IF(tblDados[[#This Row],[Mandante]]="","",TEXT(tblDados[[#This Row],[Data]],"aaaa-mm-dd")&amp;"|"&amp;TRIM(tblDados[[#This Row],[Mandante]])&amp;"|"&amp;TRIM(tblDados[[#This Row],[Visitante]]))</f>
        <v>2026-07-26|Criciúma|Náutico</v>
      </c>
      <c r="T683" s="1">
        <f>IF($G683="",0,IF(COUNTIF($S$2:$S2835,$S683)=1,1,0))</f>
        <v>1</v>
      </c>
      <c r="U683" s="19" t="str" cm="1">
        <f t="array" ref="U6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3" s="19" t="str" cm="1">
        <f t="array" ref="V6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4" spans="1:22" x14ac:dyDescent="0.3">
      <c r="A684" s="1" t="s">
        <v>1942</v>
      </c>
      <c r="B684" s="5">
        <v>46224</v>
      </c>
      <c r="C684" s="6">
        <v>0.8125</v>
      </c>
      <c r="D684" s="1" t="s">
        <v>12</v>
      </c>
      <c r="E684" s="1" t="s">
        <v>14</v>
      </c>
      <c r="F684" s="1" t="s">
        <v>1943</v>
      </c>
      <c r="G684" s="39" t="s">
        <v>1900</v>
      </c>
      <c r="H684" s="1">
        <v>0</v>
      </c>
      <c r="I684" s="1">
        <v>1</v>
      </c>
      <c r="J684" s="39" t="s">
        <v>1908</v>
      </c>
      <c r="K684" s="1">
        <v>1</v>
      </c>
      <c r="L684" s="1">
        <v>0</v>
      </c>
      <c r="S684" s="1" t="str">
        <f>IF(tblDados[[#This Row],[Mandante]]="","",TEXT(tblDados[[#This Row],[Data]],"aaaa-mm-dd")&amp;"|"&amp;TRIM(tblDados[[#This Row],[Mandante]])&amp;"|"&amp;TRIM(tblDados[[#This Row],[Visitante]]))</f>
        <v>2026-07-21|Novorizontino|Criciúma</v>
      </c>
      <c r="T684" s="1">
        <f>IF($G684="",0,IF(COUNTIF($S$2:$S2836,$S684)=1,1,0))</f>
        <v>1</v>
      </c>
      <c r="U684" s="19" t="str" cm="1">
        <f t="array" ref="U6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4" s="19" t="str" cm="1">
        <f t="array" ref="V6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5" spans="1:22" x14ac:dyDescent="0.3">
      <c r="A685" s="1" t="s">
        <v>1944</v>
      </c>
      <c r="B685" s="5">
        <v>46211</v>
      </c>
      <c r="C685" s="6">
        <v>0.83333333333333337</v>
      </c>
      <c r="D685" s="1" t="s">
        <v>12</v>
      </c>
      <c r="E685" s="1" t="s">
        <v>14</v>
      </c>
      <c r="F685" s="1" t="s">
        <v>1945</v>
      </c>
      <c r="G685" s="39" t="s">
        <v>101</v>
      </c>
      <c r="H685" s="1">
        <v>1</v>
      </c>
      <c r="I685" s="1">
        <v>2</v>
      </c>
      <c r="J685" s="39" t="s">
        <v>1908</v>
      </c>
      <c r="K685" s="1">
        <v>2</v>
      </c>
      <c r="L685" s="1">
        <v>1</v>
      </c>
      <c r="S685" s="1" t="str">
        <f>IF(tblDados[[#This Row],[Mandante]]="","",TEXT(tblDados[[#This Row],[Data]],"aaaa-mm-dd")&amp;"|"&amp;TRIM(tblDados[[#This Row],[Mandante]])&amp;"|"&amp;TRIM(tblDados[[#This Row],[Visitante]]))</f>
        <v>2026-07-08|Ponte Preta|Criciúma</v>
      </c>
      <c r="T685" s="1">
        <f>IF($G685="",0,IF(COUNTIF($S$2:$S2837,$S685)=1,1,0))</f>
        <v>1</v>
      </c>
      <c r="U685" s="19" t="str" cm="1">
        <f t="array" ref="U6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5" s="19" t="str" cm="1">
        <f t="array" ref="V6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6" spans="1:22" x14ac:dyDescent="0.3">
      <c r="A686" s="1" t="s">
        <v>1946</v>
      </c>
      <c r="B686" s="5">
        <v>46200</v>
      </c>
      <c r="C686" s="6">
        <v>0.66666666666666663</v>
      </c>
      <c r="D686" s="1" t="s">
        <v>12</v>
      </c>
      <c r="E686" s="1" t="s">
        <v>14</v>
      </c>
      <c r="F686" s="1" t="s">
        <v>1947</v>
      </c>
      <c r="G686" s="39" t="s">
        <v>1908</v>
      </c>
      <c r="H686" s="1">
        <v>1</v>
      </c>
      <c r="I686" s="1">
        <v>0</v>
      </c>
      <c r="J686" s="39" t="s">
        <v>1903</v>
      </c>
      <c r="K686" s="1">
        <v>0</v>
      </c>
      <c r="L686" s="1">
        <v>1</v>
      </c>
      <c r="S686" s="1" t="str">
        <f>IF(tblDados[[#This Row],[Mandante]]="","",TEXT(tblDados[[#This Row],[Data]],"aaaa-mm-dd")&amp;"|"&amp;TRIM(tblDados[[#This Row],[Mandante]])&amp;"|"&amp;TRIM(tblDados[[#This Row],[Visitante]]))</f>
        <v>2026-06-27|Criciúma|São Bernardo</v>
      </c>
      <c r="T686" s="1">
        <f>IF($G686="",0,IF(COUNTIF($S$2:$S2838,$S686)=1,1,0))</f>
        <v>1</v>
      </c>
      <c r="U686" s="19" t="str" cm="1">
        <f t="array" ref="U6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6" s="19" t="str" cm="1">
        <f t="array" ref="V6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7" spans="1:22" x14ac:dyDescent="0.3">
      <c r="A687" s="1" t="s">
        <v>1948</v>
      </c>
      <c r="B687" s="5">
        <v>46196</v>
      </c>
      <c r="C687" s="6">
        <v>0.83333333333333337</v>
      </c>
      <c r="D687" s="1" t="s">
        <v>12</v>
      </c>
      <c r="E687" s="1" t="s">
        <v>14</v>
      </c>
      <c r="F687" s="1" t="s">
        <v>1949</v>
      </c>
      <c r="G687" s="39" t="s">
        <v>1888</v>
      </c>
      <c r="H687" s="1">
        <v>0</v>
      </c>
      <c r="I687" s="1">
        <v>1</v>
      </c>
      <c r="J687" s="39" t="s">
        <v>1908</v>
      </c>
      <c r="K687" s="1">
        <v>1</v>
      </c>
      <c r="L687" s="1">
        <v>0</v>
      </c>
      <c r="S687" s="1" t="str">
        <f>IF(tblDados[[#This Row],[Mandante]]="","",TEXT(tblDados[[#This Row],[Data]],"aaaa-mm-dd")&amp;"|"&amp;TRIM(tblDados[[#This Row],[Mandante]])&amp;"|"&amp;TRIM(tblDados[[#This Row],[Visitante]]))</f>
        <v>2026-06-23|América-MG|Criciúma</v>
      </c>
      <c r="T687" s="1">
        <f>IF($G687="",0,IF(COUNTIF($S$2:$S2839,$S687)=1,1,0))</f>
        <v>1</v>
      </c>
      <c r="U687" s="19" t="str" cm="1">
        <f t="array" ref="U6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7" s="19" t="str" cm="1">
        <f t="array" ref="V6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8" spans="1:22" x14ac:dyDescent="0.3">
      <c r="A688" s="1" t="s">
        <v>1950</v>
      </c>
      <c r="B688" s="5">
        <v>46188</v>
      </c>
      <c r="C688" s="6">
        <v>0.875</v>
      </c>
      <c r="D688" s="1" t="s">
        <v>12</v>
      </c>
      <c r="E688" s="1" t="s">
        <v>14</v>
      </c>
      <c r="F688" s="1" t="s">
        <v>1951</v>
      </c>
      <c r="G688" s="39" t="s">
        <v>1908</v>
      </c>
      <c r="H688" s="1">
        <v>1</v>
      </c>
      <c r="I688" s="1">
        <v>1</v>
      </c>
      <c r="J688" s="39" t="s">
        <v>1939</v>
      </c>
      <c r="K688" s="1">
        <v>1</v>
      </c>
      <c r="L688" s="1">
        <v>1</v>
      </c>
      <c r="S688" s="1" t="str">
        <f>IF(tblDados[[#This Row],[Mandante]]="","",TEXT(tblDados[[#This Row],[Data]],"aaaa-mm-dd")&amp;"|"&amp;TRIM(tblDados[[#This Row],[Mandante]])&amp;"|"&amp;TRIM(tblDados[[#This Row],[Visitante]]))</f>
        <v>2026-06-15|Criciúma|Ceará</v>
      </c>
      <c r="T688" s="1">
        <f>IF($G688="",0,IF(COUNTIF($S$2:$S2840,$S688)=1,1,0))</f>
        <v>1</v>
      </c>
      <c r="U688" s="19" t="str" cm="1">
        <f t="array" ref="U6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8" s="19" t="str" cm="1">
        <f t="array" ref="V6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9" spans="1:22" x14ac:dyDescent="0.3">
      <c r="A689" s="1" t="s">
        <v>1952</v>
      </c>
      <c r="B689" s="5">
        <v>46179</v>
      </c>
      <c r="C689" s="6">
        <v>0.45833333333333331</v>
      </c>
      <c r="D689" s="1" t="s">
        <v>12</v>
      </c>
      <c r="E689" s="1" t="s">
        <v>14</v>
      </c>
      <c r="F689" s="1" t="s">
        <v>1953</v>
      </c>
      <c r="G689" s="39" t="s">
        <v>1908</v>
      </c>
      <c r="H689" s="1">
        <v>1</v>
      </c>
      <c r="I689" s="1">
        <v>0</v>
      </c>
      <c r="J689" s="39" t="s">
        <v>1891</v>
      </c>
      <c r="K689" s="1">
        <v>0</v>
      </c>
      <c r="L689" s="1">
        <v>1</v>
      </c>
      <c r="S689" s="1" t="str">
        <f>IF(tblDados[[#This Row],[Mandante]]="","",TEXT(tblDados[[#This Row],[Data]],"aaaa-mm-dd")&amp;"|"&amp;TRIM(tblDados[[#This Row],[Mandante]])&amp;"|"&amp;TRIM(tblDados[[#This Row],[Visitante]]))</f>
        <v>2026-06-06|Criciúma|Londrina</v>
      </c>
      <c r="T689" s="1">
        <f>IF($G689="",0,IF(COUNTIF($S$2:$S2841,$S689)=1,1,0))</f>
        <v>1</v>
      </c>
      <c r="U689" s="19" t="str" cm="1">
        <f t="array" ref="U6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9" s="19" t="str" cm="1">
        <f t="array" ref="V6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0" spans="1:22" x14ac:dyDescent="0.3">
      <c r="A690" s="1" t="s">
        <v>1954</v>
      </c>
      <c r="B690" s="5">
        <v>46172</v>
      </c>
      <c r="C690" s="6">
        <v>0.66666666666666663</v>
      </c>
      <c r="D690" s="1" t="s">
        <v>12</v>
      </c>
      <c r="E690" s="1" t="s">
        <v>14</v>
      </c>
      <c r="F690" s="1" t="s">
        <v>1955</v>
      </c>
      <c r="G690" s="39" t="s">
        <v>107</v>
      </c>
      <c r="H690" s="1">
        <v>1</v>
      </c>
      <c r="I690" s="1">
        <v>2</v>
      </c>
      <c r="J690" s="39" t="s">
        <v>1908</v>
      </c>
      <c r="K690" s="1">
        <v>2</v>
      </c>
      <c r="L690" s="1">
        <v>1</v>
      </c>
      <c r="S690" s="1" t="str">
        <f>IF(tblDados[[#This Row],[Mandante]]="","",TEXT(tblDados[[#This Row],[Data]],"aaaa-mm-dd")&amp;"|"&amp;TRIM(tblDados[[#This Row],[Mandante]])&amp;"|"&amp;TRIM(tblDados[[#This Row],[Visitante]]))</f>
        <v>2026-05-30|Avaí|Criciúma</v>
      </c>
      <c r="T690" s="1">
        <f>IF($G690="",0,IF(COUNTIF($S$2:$S2842,$S690)=1,1,0))</f>
        <v>1</v>
      </c>
      <c r="U690" s="19" t="str" cm="1">
        <f t="array" ref="U6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0" s="19" t="str" cm="1">
        <f t="array" ref="V6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1" spans="1:22" x14ac:dyDescent="0.3">
      <c r="A691" s="1" t="s">
        <v>1956</v>
      </c>
      <c r="B691" s="5">
        <v>46166</v>
      </c>
      <c r="C691" s="6">
        <v>0.85416666666666663</v>
      </c>
      <c r="D691" s="1" t="s">
        <v>12</v>
      </c>
      <c r="E691" s="1" t="s">
        <v>14</v>
      </c>
      <c r="F691" s="1" t="s">
        <v>1957</v>
      </c>
      <c r="G691" s="39" t="s">
        <v>89</v>
      </c>
      <c r="H691" s="1">
        <v>1</v>
      </c>
      <c r="I691" s="1">
        <v>1</v>
      </c>
      <c r="J691" s="39" t="s">
        <v>1908</v>
      </c>
      <c r="K691" s="1">
        <v>1</v>
      </c>
      <c r="L691" s="1">
        <v>1</v>
      </c>
      <c r="S691" s="1" t="str">
        <f>IF(tblDados[[#This Row],[Mandante]]="","",TEXT(tblDados[[#This Row],[Data]],"aaaa-mm-dd")&amp;"|"&amp;TRIM(tblDados[[#This Row],[Mandante]])&amp;"|"&amp;TRIM(tblDados[[#This Row],[Visitante]]))</f>
        <v>2026-05-24|Operário-PR|Criciúma</v>
      </c>
      <c r="T691" s="1">
        <f>IF($G691="",0,IF(COUNTIF($S$2:$S2843,$S691)=1,1,0))</f>
        <v>1</v>
      </c>
      <c r="U691" s="19" t="str" cm="1">
        <f t="array" ref="U6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1" s="19" t="str" cm="1">
        <f t="array" ref="V6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2" spans="1:22" x14ac:dyDescent="0.3">
      <c r="A692" s="1" t="s">
        <v>1958</v>
      </c>
      <c r="B692" s="5">
        <v>46159</v>
      </c>
      <c r="C692" s="6">
        <v>0.77083333333333337</v>
      </c>
      <c r="D692" s="1" t="s">
        <v>12</v>
      </c>
      <c r="E692" s="1" t="s">
        <v>14</v>
      </c>
      <c r="F692" s="1" t="s">
        <v>1959</v>
      </c>
      <c r="G692" s="39" t="s">
        <v>1908</v>
      </c>
      <c r="H692" s="1">
        <v>1</v>
      </c>
      <c r="I692" s="1">
        <v>1</v>
      </c>
      <c r="J692" s="39" t="s">
        <v>88</v>
      </c>
      <c r="K692" s="1">
        <v>1</v>
      </c>
      <c r="L692" s="1">
        <v>1</v>
      </c>
      <c r="S692" s="1" t="str">
        <f>IF(tblDados[[#This Row],[Mandante]]="","",TEXT(tblDados[[#This Row],[Data]],"aaaa-mm-dd")&amp;"|"&amp;TRIM(tblDados[[#This Row],[Mandante]])&amp;"|"&amp;TRIM(tblDados[[#This Row],[Visitante]]))</f>
        <v>2026-05-17|Criciúma|Atlético-GO</v>
      </c>
      <c r="T692" s="1">
        <f>IF($G692="",0,IF(COUNTIF($S$2:$S2844,$S692)=1,1,0))</f>
        <v>1</v>
      </c>
      <c r="U692" s="19" t="str" cm="1">
        <f t="array" ref="U6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2" s="19" t="str" cm="1">
        <f t="array" ref="V6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3" spans="1:22" x14ac:dyDescent="0.3">
      <c r="A693" s="1" t="s">
        <v>1960</v>
      </c>
      <c r="B693" s="5">
        <v>46151</v>
      </c>
      <c r="C693" s="6">
        <v>0.88541666666666663</v>
      </c>
      <c r="D693" s="1" t="s">
        <v>12</v>
      </c>
      <c r="E693" s="1" t="s">
        <v>14</v>
      </c>
      <c r="F693" s="1" t="s">
        <v>1961</v>
      </c>
      <c r="G693" s="39" t="s">
        <v>106</v>
      </c>
      <c r="H693" s="1">
        <v>0</v>
      </c>
      <c r="I693" s="1">
        <v>0</v>
      </c>
      <c r="J693" s="39" t="s">
        <v>1908</v>
      </c>
      <c r="K693" s="1">
        <v>0</v>
      </c>
      <c r="L693" s="1">
        <v>0</v>
      </c>
      <c r="S693" s="1" t="str">
        <f>IF(tblDados[[#This Row],[Mandante]]="","",TEXT(tblDados[[#This Row],[Data]],"aaaa-mm-dd")&amp;"|"&amp;TRIM(tblDados[[#This Row],[Mandante]])&amp;"|"&amp;TRIM(tblDados[[#This Row],[Visitante]]))</f>
        <v>2026-05-09|Juventude|Criciúma</v>
      </c>
      <c r="T693" s="1">
        <f>IF($G693="",0,IF(COUNTIF($S$2:$S2845,$S693)=1,1,0))</f>
        <v>1</v>
      </c>
      <c r="U693" s="19" t="str" cm="1">
        <f t="array" ref="U6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3" s="19" t="str" cm="1">
        <f t="array" ref="V6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4" spans="1:22" x14ac:dyDescent="0.3">
      <c r="A694" s="1" t="s">
        <v>1962</v>
      </c>
      <c r="B694" s="5">
        <v>46144</v>
      </c>
      <c r="C694" s="6">
        <v>0.77083333333333337</v>
      </c>
      <c r="D694" s="1" t="s">
        <v>12</v>
      </c>
      <c r="E694" s="1" t="s">
        <v>14</v>
      </c>
      <c r="F694" s="1" t="s">
        <v>1963</v>
      </c>
      <c r="G694" s="39" t="s">
        <v>93</v>
      </c>
      <c r="H694" s="1">
        <v>1</v>
      </c>
      <c r="I694" s="1">
        <v>1</v>
      </c>
      <c r="J694" s="39" t="s">
        <v>1908</v>
      </c>
      <c r="K694" s="1">
        <v>1</v>
      </c>
      <c r="L694" s="1">
        <v>1</v>
      </c>
      <c r="S694" s="1" t="str">
        <f>IF(tblDados[[#This Row],[Mandante]]="","",TEXT(tblDados[[#This Row],[Data]],"aaaa-mm-dd")&amp;"|"&amp;TRIM(tblDados[[#This Row],[Mandante]])&amp;"|"&amp;TRIM(tblDados[[#This Row],[Visitante]]))</f>
        <v>2026-05-02|Cuiabá|Criciúma</v>
      </c>
      <c r="T694" s="1">
        <f>IF($G694="",0,IF(COUNTIF($S$2:$S2846,$S694)=1,1,0))</f>
        <v>1</v>
      </c>
      <c r="U694" s="19" t="str" cm="1">
        <f t="array" ref="U6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4" s="19" t="str" cm="1">
        <f t="array" ref="V6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5" spans="1:22" x14ac:dyDescent="0.3">
      <c r="A695" s="1" t="s">
        <v>1964</v>
      </c>
      <c r="B695" s="5">
        <v>46226</v>
      </c>
      <c r="C695" s="6">
        <v>0.89583333333333337</v>
      </c>
      <c r="D695" s="1" t="s">
        <v>12</v>
      </c>
      <c r="E695" s="1" t="s">
        <v>14</v>
      </c>
      <c r="F695" s="1" t="s">
        <v>1965</v>
      </c>
      <c r="G695" s="39" t="s">
        <v>124</v>
      </c>
      <c r="H695" s="1">
        <v>4</v>
      </c>
      <c r="I695" s="1">
        <v>2</v>
      </c>
      <c r="J695" s="39" t="s">
        <v>106</v>
      </c>
      <c r="K695" s="1">
        <v>2</v>
      </c>
      <c r="L695" s="1">
        <v>4</v>
      </c>
      <c r="S695" s="1" t="str">
        <f>IF(tblDados[[#This Row],[Mandante]]="","",TEXT(tblDados[[#This Row],[Data]],"aaaa-mm-dd")&amp;"|"&amp;TRIM(tblDados[[#This Row],[Mandante]])&amp;"|"&amp;TRIM(tblDados[[#This Row],[Visitante]]))</f>
        <v>2026-07-23|Botafogo SP|Juventude</v>
      </c>
      <c r="T695" s="1">
        <f>IF($G695="",0,IF(COUNTIF($S$2:$S695,$S695)=1,1,0))</f>
        <v>1</v>
      </c>
      <c r="U695" s="19" t="str" cm="1">
        <f t="array" ref="U6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5" s="19" t="str" cm="1">
        <f t="array" ref="V6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6" spans="1:22" x14ac:dyDescent="0.3">
      <c r="A696" s="1" t="s">
        <v>1966</v>
      </c>
      <c r="B696" s="5">
        <v>46220</v>
      </c>
      <c r="C696" s="6">
        <v>0.79166666666666663</v>
      </c>
      <c r="D696" s="1" t="s">
        <v>12</v>
      </c>
      <c r="E696" s="1" t="s">
        <v>14</v>
      </c>
      <c r="F696" s="1" t="s">
        <v>1967</v>
      </c>
      <c r="G696" s="39" t="s">
        <v>106</v>
      </c>
      <c r="H696" s="1">
        <v>2</v>
      </c>
      <c r="I696" s="1">
        <v>0</v>
      </c>
      <c r="J696" s="39" t="s">
        <v>93</v>
      </c>
      <c r="K696" s="1">
        <v>0</v>
      </c>
      <c r="L696" s="1">
        <v>2</v>
      </c>
      <c r="S696" s="1" t="str">
        <f>IF(tblDados[[#This Row],[Mandante]]="","",TEXT(tblDados[[#This Row],[Data]],"aaaa-mm-dd")&amp;"|"&amp;TRIM(tblDados[[#This Row],[Mandante]])&amp;"|"&amp;TRIM(tblDados[[#This Row],[Visitante]]))</f>
        <v>2026-07-17|Juventude|Cuiabá</v>
      </c>
      <c r="T696" s="1">
        <f>IF($G696="",0,IF(COUNTIF($S$2:$S696,$S696)=1,1,0))</f>
        <v>1</v>
      </c>
      <c r="U696" s="19" t="str" cm="1">
        <f t="array" ref="U6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6" s="19" t="str" cm="1">
        <f t="array" ref="V6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7" spans="1:22" x14ac:dyDescent="0.3">
      <c r="A697" s="1" t="s">
        <v>1968</v>
      </c>
      <c r="B697" s="5">
        <v>46208</v>
      </c>
      <c r="C697" s="6">
        <v>0.85416666666666663</v>
      </c>
      <c r="D697" s="1" t="s">
        <v>12</v>
      </c>
      <c r="E697" s="1" t="s">
        <v>14</v>
      </c>
      <c r="F697" s="1" t="s">
        <v>1969</v>
      </c>
      <c r="G697" s="39" t="s">
        <v>1897</v>
      </c>
      <c r="H697" s="1">
        <v>0</v>
      </c>
      <c r="I697" s="1">
        <v>0</v>
      </c>
      <c r="J697" s="39" t="s">
        <v>106</v>
      </c>
      <c r="K697" s="1">
        <v>0</v>
      </c>
      <c r="L697" s="1">
        <v>0</v>
      </c>
      <c r="S697" s="1" t="str">
        <f>IF(tblDados[[#This Row],[Mandante]]="","",TEXT(tblDados[[#This Row],[Data]],"aaaa-mm-dd")&amp;"|"&amp;TRIM(tblDados[[#This Row],[Mandante]])&amp;"|"&amp;TRIM(tblDados[[#This Row],[Visitante]]))</f>
        <v>2026-07-05|Náutico|Juventude</v>
      </c>
      <c r="T697" s="1">
        <f>IF($G697="",0,IF(COUNTIF($S$2:$S697,$S697)=1,1,0))</f>
        <v>1</v>
      </c>
      <c r="U697" s="19" t="str" cm="1">
        <f t="array" ref="U6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7" s="19" t="str" cm="1">
        <f t="array" ref="V6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8" spans="1:22" x14ac:dyDescent="0.3">
      <c r="A698" s="1" t="s">
        <v>1970</v>
      </c>
      <c r="B698" s="5">
        <v>46201</v>
      </c>
      <c r="C698" s="6">
        <v>0.66666666666666663</v>
      </c>
      <c r="D698" s="1" t="s">
        <v>12</v>
      </c>
      <c r="E698" s="1" t="s">
        <v>14</v>
      </c>
      <c r="F698" s="1" t="s">
        <v>1971</v>
      </c>
      <c r="G698" s="39" t="s">
        <v>106</v>
      </c>
      <c r="H698" s="1">
        <v>2</v>
      </c>
      <c r="I698" s="1">
        <v>0</v>
      </c>
      <c r="J698" s="39" t="s">
        <v>1939</v>
      </c>
      <c r="K698" s="1">
        <v>0</v>
      </c>
      <c r="L698" s="1">
        <v>2</v>
      </c>
      <c r="S698" s="1" t="str">
        <f>IF(tblDados[[#This Row],[Mandante]]="","",TEXT(tblDados[[#This Row],[Data]],"aaaa-mm-dd")&amp;"|"&amp;TRIM(tblDados[[#This Row],[Mandante]])&amp;"|"&amp;TRIM(tblDados[[#This Row],[Visitante]]))</f>
        <v>2026-06-28|Juventude|Ceará</v>
      </c>
      <c r="T698" s="1">
        <f>IF($G698="",0,IF(COUNTIF($S$2:$S698,$S698)=1,1,0))</f>
        <v>1</v>
      </c>
      <c r="U698" s="19" t="str" cm="1">
        <f t="array" ref="U6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8" s="19" t="str" cm="1">
        <f t="array" ref="V6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9" spans="1:22" x14ac:dyDescent="0.3">
      <c r="A699" s="1" t="s">
        <v>1972</v>
      </c>
      <c r="B699" s="5">
        <v>46194</v>
      </c>
      <c r="C699" s="6">
        <v>0.70833333333333337</v>
      </c>
      <c r="D699" s="1" t="s">
        <v>12</v>
      </c>
      <c r="E699" s="1" t="s">
        <v>14</v>
      </c>
      <c r="F699" s="1" t="s">
        <v>1973</v>
      </c>
      <c r="G699" s="39" t="s">
        <v>1903</v>
      </c>
      <c r="H699" s="1">
        <v>0</v>
      </c>
      <c r="I699" s="1">
        <v>1</v>
      </c>
      <c r="J699" s="39" t="s">
        <v>106</v>
      </c>
      <c r="K699" s="1">
        <v>1</v>
      </c>
      <c r="L699" s="1">
        <v>0</v>
      </c>
      <c r="S699" s="1" t="str">
        <f>IF(tblDados[[#This Row],[Mandante]]="","",TEXT(tblDados[[#This Row],[Data]],"aaaa-mm-dd")&amp;"|"&amp;TRIM(tblDados[[#This Row],[Mandante]])&amp;"|"&amp;TRIM(tblDados[[#This Row],[Visitante]]))</f>
        <v>2026-06-21|São Bernardo|Juventude</v>
      </c>
      <c r="T699" s="1">
        <f>IF($G699="",0,IF(COUNTIF($S$2:$S699,$S699)=1,1,0))</f>
        <v>1</v>
      </c>
      <c r="U699" s="19" t="str" cm="1">
        <f t="array" ref="U6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9" s="19" t="str" cm="1">
        <f t="array" ref="V6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0" spans="1:22" x14ac:dyDescent="0.3">
      <c r="A700" s="1" t="s">
        <v>1974</v>
      </c>
      <c r="B700" s="5">
        <v>46187</v>
      </c>
      <c r="C700" s="6">
        <v>0.45833333333333331</v>
      </c>
      <c r="D700" s="1" t="s">
        <v>12</v>
      </c>
      <c r="E700" s="1" t="s">
        <v>14</v>
      </c>
      <c r="F700" s="1" t="s">
        <v>1975</v>
      </c>
      <c r="G700" s="39" t="s">
        <v>106</v>
      </c>
      <c r="H700" s="1">
        <v>3</v>
      </c>
      <c r="I700" s="1">
        <v>0</v>
      </c>
      <c r="J700" s="39" t="s">
        <v>101</v>
      </c>
      <c r="K700" s="1">
        <v>0</v>
      </c>
      <c r="L700" s="1">
        <v>3</v>
      </c>
      <c r="S700" s="1" t="str">
        <f>IF(tblDados[[#This Row],[Mandante]]="","",TEXT(tblDados[[#This Row],[Data]],"aaaa-mm-dd")&amp;"|"&amp;TRIM(tblDados[[#This Row],[Mandante]])&amp;"|"&amp;TRIM(tblDados[[#This Row],[Visitante]]))</f>
        <v>2026-06-14|Juventude|Ponte Preta</v>
      </c>
      <c r="T700" s="1">
        <f>IF($G700="",0,IF(COUNTIF($S$2:$S700,$S700)=1,1,0))</f>
        <v>1</v>
      </c>
      <c r="U700" s="19" t="str" cm="1">
        <f t="array" ref="U7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0" s="19" t="str" cm="1">
        <f t="array" ref="V7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1" spans="1:22" x14ac:dyDescent="0.3">
      <c r="A701" s="1" t="s">
        <v>1976</v>
      </c>
      <c r="B701" s="5">
        <v>46178</v>
      </c>
      <c r="C701" s="6">
        <v>0.83333333333333337</v>
      </c>
      <c r="D701" s="1" t="s">
        <v>12</v>
      </c>
      <c r="E701" s="1" t="s">
        <v>14</v>
      </c>
      <c r="F701" s="1" t="s">
        <v>1977</v>
      </c>
      <c r="G701" s="39" t="s">
        <v>89</v>
      </c>
      <c r="H701" s="1">
        <v>2</v>
      </c>
      <c r="I701" s="1">
        <v>1</v>
      </c>
      <c r="J701" s="39" t="s">
        <v>106</v>
      </c>
      <c r="K701" s="1">
        <v>1</v>
      </c>
      <c r="L701" s="1">
        <v>2</v>
      </c>
      <c r="S701" s="1" t="str">
        <f>IF(tblDados[[#This Row],[Mandante]]="","",TEXT(tblDados[[#This Row],[Data]],"aaaa-mm-dd")&amp;"|"&amp;TRIM(tblDados[[#This Row],[Mandante]])&amp;"|"&amp;TRIM(tblDados[[#This Row],[Visitante]]))</f>
        <v>2026-06-05|Operário-PR|Juventude</v>
      </c>
      <c r="T701" s="1">
        <f>IF($G701="",0,IF(COUNTIF($S$2:$S701,$S701)=1,1,0))</f>
        <v>1</v>
      </c>
      <c r="U701" s="19" t="str" cm="1">
        <f t="array" ref="U7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1" s="19" t="str" cm="1">
        <f t="array" ref="V7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2" spans="1:22" x14ac:dyDescent="0.3">
      <c r="A702" s="1" t="s">
        <v>1978</v>
      </c>
      <c r="B702" s="5">
        <v>46171</v>
      </c>
      <c r="C702" s="6">
        <v>0.875</v>
      </c>
      <c r="D702" s="1" t="s">
        <v>12</v>
      </c>
      <c r="E702" s="1" t="s">
        <v>14</v>
      </c>
      <c r="F702" s="1" t="s">
        <v>1979</v>
      </c>
      <c r="G702" s="39" t="s">
        <v>106</v>
      </c>
      <c r="H702" s="1">
        <v>3</v>
      </c>
      <c r="I702" s="1">
        <v>0</v>
      </c>
      <c r="J702" s="39" t="s">
        <v>1888</v>
      </c>
      <c r="K702" s="1">
        <v>0</v>
      </c>
      <c r="L702" s="1">
        <v>3</v>
      </c>
      <c r="S702" s="1" t="str">
        <f>IF(tblDados[[#This Row],[Mandante]]="","",TEXT(tblDados[[#This Row],[Data]],"aaaa-mm-dd")&amp;"|"&amp;TRIM(tblDados[[#This Row],[Mandante]])&amp;"|"&amp;TRIM(tblDados[[#This Row],[Visitante]]))</f>
        <v>2026-05-29|Juventude|América-MG</v>
      </c>
      <c r="T702" s="1">
        <f>IF($G702="",0,IF(COUNTIF($S$2:$S702,$S702)=1,1,0))</f>
        <v>1</v>
      </c>
      <c r="U702" s="19" t="str" cm="1">
        <f t="array" ref="U7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2" s="19" t="str" cm="1">
        <f t="array" ref="V7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3" spans="1:22" x14ac:dyDescent="0.3">
      <c r="A703" s="1" t="s">
        <v>1980</v>
      </c>
      <c r="B703" s="5">
        <v>46159</v>
      </c>
      <c r="C703" s="6">
        <v>0.66666666666666663</v>
      </c>
      <c r="D703" s="1" t="s">
        <v>12</v>
      </c>
      <c r="E703" s="1" t="s">
        <v>14</v>
      </c>
      <c r="F703" s="1" t="s">
        <v>1981</v>
      </c>
      <c r="G703" s="39" t="s">
        <v>102</v>
      </c>
      <c r="H703" s="1">
        <v>1</v>
      </c>
      <c r="I703" s="1">
        <v>1</v>
      </c>
      <c r="J703" s="39" t="s">
        <v>106</v>
      </c>
      <c r="K703" s="1">
        <v>1</v>
      </c>
      <c r="L703" s="1">
        <v>1</v>
      </c>
      <c r="S703" s="1" t="str">
        <f>IF(tblDados[[#This Row],[Mandante]]="","",TEXT(tblDados[[#This Row],[Data]],"aaaa-mm-dd")&amp;"|"&amp;TRIM(tblDados[[#This Row],[Mandante]])&amp;"|"&amp;TRIM(tblDados[[#This Row],[Visitante]]))</f>
        <v>2026-05-17|Athletic Club-MG|Juventude</v>
      </c>
      <c r="T703" s="1">
        <f>IF($G703="",0,IF(COUNTIF($S$2:$S703,$S703)=1,1,0))</f>
        <v>1</v>
      </c>
      <c r="U703" s="19" t="str" cm="1">
        <f t="array" ref="U7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3" s="19" t="str" cm="1">
        <f t="array" ref="V7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4" spans="1:22" ht="14.4" x14ac:dyDescent="0.3">
      <c r="A704" s="1" t="s">
        <v>1982</v>
      </c>
      <c r="B704" s="5">
        <v>46145</v>
      </c>
      <c r="C704" s="6">
        <v>0.77083333333333337</v>
      </c>
      <c r="D704" s="1" t="s">
        <v>12</v>
      </c>
      <c r="E704" s="1" t="s">
        <v>14</v>
      </c>
      <c r="F704" s="1" t="s">
        <v>1983</v>
      </c>
      <c r="G704" s="39" t="s">
        <v>88</v>
      </c>
      <c r="H704" s="1">
        <v>0</v>
      </c>
      <c r="I704" s="1">
        <v>0</v>
      </c>
      <c r="J704" s="39" t="s">
        <v>106</v>
      </c>
      <c r="K704" s="1">
        <v>0</v>
      </c>
      <c r="L704" s="1">
        <v>0</v>
      </c>
      <c r="S704" s="1" t="str">
        <f>IF(tblDados[[#This Row],[Mandante]]="","",TEXT(tblDados[[#This Row],[Data]],"aaaa-mm-dd")&amp;"|"&amp;TRIM(tblDados[[#This Row],[Mandante]])&amp;"|"&amp;TRIM(tblDados[[#This Row],[Visitante]]))</f>
        <v>2026-05-03|Atlético-GO|Juventude</v>
      </c>
      <c r="T704">
        <f>IF($G704="",0,IF(COUNTIF($S$2:$S2834,$S704)=1,1,0))</f>
        <v>1</v>
      </c>
      <c r="U704" s="19" t="str" cm="1">
        <f t="array" ref="U7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4" s="19" t="str" cm="1">
        <f t="array" ref="V7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5" spans="1:22" x14ac:dyDescent="0.3">
      <c r="A705" s="1" t="s">
        <v>1985</v>
      </c>
      <c r="B705" s="5">
        <v>46241</v>
      </c>
      <c r="C705" s="6">
        <v>0.8125</v>
      </c>
      <c r="D705" s="1" t="s">
        <v>12</v>
      </c>
      <c r="E705" s="1" t="s">
        <v>14</v>
      </c>
      <c r="F705" s="1" t="s">
        <v>1986</v>
      </c>
      <c r="G705" s="39" t="s">
        <v>89</v>
      </c>
      <c r="H705" s="1">
        <v>1</v>
      </c>
      <c r="I705" s="1">
        <v>3</v>
      </c>
      <c r="J705" s="39" t="s">
        <v>1903</v>
      </c>
      <c r="K705" s="1">
        <v>3</v>
      </c>
      <c r="L705" s="1">
        <v>1</v>
      </c>
      <c r="S705" s="1" t="str">
        <f>IF(tblDados[[#This Row],[Mandante]]="","",TEXT(tblDados[[#This Row],[Data]],"aaaa-mm-dd")&amp;"|"&amp;TRIM(tblDados[[#This Row],[Mandante]])&amp;"|"&amp;TRIM(tblDados[[#This Row],[Visitante]]))</f>
        <v>2026-08-07|Operário-PR|São Bernardo</v>
      </c>
      <c r="T705" s="1">
        <f>IF($G705="",0,IF(COUNTIF($S$2:$S705,$S705)=1,1,0))</f>
        <v>1</v>
      </c>
      <c r="U705" s="19" t="str" cm="1">
        <f t="array" ref="U7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5" s="19" t="str" cm="1">
        <f t="array" ref="V7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6" spans="1:22" x14ac:dyDescent="0.3">
      <c r="A706" s="1" t="s">
        <v>1987</v>
      </c>
      <c r="B706" s="5">
        <v>46225</v>
      </c>
      <c r="C706" s="6">
        <v>0.8125</v>
      </c>
      <c r="D706" s="1" t="s">
        <v>12</v>
      </c>
      <c r="E706" s="1" t="s">
        <v>14</v>
      </c>
      <c r="F706" s="1" t="s">
        <v>1988</v>
      </c>
      <c r="G706" s="39" t="s">
        <v>89</v>
      </c>
      <c r="H706" s="1">
        <v>3</v>
      </c>
      <c r="I706" s="1">
        <v>2</v>
      </c>
      <c r="J706" s="39" t="s">
        <v>101</v>
      </c>
      <c r="K706" s="1">
        <v>2</v>
      </c>
      <c r="L706" s="1">
        <v>3</v>
      </c>
      <c r="S706" s="1" t="str">
        <f>IF(tblDados[[#This Row],[Mandante]]="","",TEXT(tblDados[[#This Row],[Data]],"aaaa-mm-dd")&amp;"|"&amp;TRIM(tblDados[[#This Row],[Mandante]])&amp;"|"&amp;TRIM(tblDados[[#This Row],[Visitante]]))</f>
        <v>2026-07-22|Operário-PR|Ponte Preta</v>
      </c>
      <c r="T706" s="1">
        <f>IF($G706="",0,IF(COUNTIF($S$2:$S706,$S706)=1,1,0))</f>
        <v>1</v>
      </c>
      <c r="U706" s="19" t="str" cm="1">
        <f t="array" ref="U7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6" s="19" t="str" cm="1">
        <f t="array" ref="V7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7" spans="1:22" x14ac:dyDescent="0.3">
      <c r="A707" s="1" t="s">
        <v>1989</v>
      </c>
      <c r="B707" s="5">
        <v>46215</v>
      </c>
      <c r="C707" s="6">
        <v>0.45833333333333331</v>
      </c>
      <c r="D707" s="1" t="s">
        <v>12</v>
      </c>
      <c r="E707" s="1" t="s">
        <v>14</v>
      </c>
      <c r="F707" s="1" t="s">
        <v>1990</v>
      </c>
      <c r="G707" s="39" t="s">
        <v>89</v>
      </c>
      <c r="H707" s="1">
        <v>2</v>
      </c>
      <c r="I707" s="1">
        <v>1</v>
      </c>
      <c r="J707" s="39" t="s">
        <v>1900</v>
      </c>
      <c r="K707" s="1">
        <v>1</v>
      </c>
      <c r="L707" s="1">
        <v>2</v>
      </c>
      <c r="S707" s="1" t="str">
        <f>IF(tblDados[[#This Row],[Mandante]]="","",TEXT(tblDados[[#This Row],[Data]],"aaaa-mm-dd")&amp;"|"&amp;TRIM(tblDados[[#This Row],[Mandante]])&amp;"|"&amp;TRIM(tblDados[[#This Row],[Visitante]]))</f>
        <v>2026-07-12|Operário-PR|Novorizontino</v>
      </c>
      <c r="T707" s="1">
        <f>IF($G707="",0,IF(COUNTIF($S$2:$S707,$S707)=1,1,0))</f>
        <v>1</v>
      </c>
      <c r="U707" s="19" t="str" cm="1">
        <f t="array" ref="U7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7" s="19" t="str" cm="1">
        <f t="array" ref="V7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8" spans="1:22" x14ac:dyDescent="0.3">
      <c r="A708" s="1" t="s">
        <v>1991</v>
      </c>
      <c r="B708" s="5">
        <v>46210</v>
      </c>
      <c r="C708" s="6">
        <v>0.83333333333333337</v>
      </c>
      <c r="D708" s="1" t="s">
        <v>12</v>
      </c>
      <c r="E708" s="1" t="s">
        <v>14</v>
      </c>
      <c r="F708" s="1" t="s">
        <v>1992</v>
      </c>
      <c r="G708" s="39" t="s">
        <v>102</v>
      </c>
      <c r="H708" s="1">
        <v>0</v>
      </c>
      <c r="I708" s="1">
        <v>1</v>
      </c>
      <c r="J708" s="39" t="s">
        <v>89</v>
      </c>
      <c r="K708" s="1">
        <v>1</v>
      </c>
      <c r="L708" s="1">
        <v>0</v>
      </c>
      <c r="S708" s="1" t="str">
        <f>IF(tblDados[[#This Row],[Mandante]]="","",TEXT(tblDados[[#This Row],[Data]],"aaaa-mm-dd")&amp;"|"&amp;TRIM(tblDados[[#This Row],[Mandante]])&amp;"|"&amp;TRIM(tblDados[[#This Row],[Visitante]]))</f>
        <v>2026-07-07|Athletic Club-MG|Operário-PR</v>
      </c>
      <c r="T708" s="1">
        <f>IF($G708="",0,IF(COUNTIF($S$2:$S708,$S708)=1,1,0))</f>
        <v>1</v>
      </c>
      <c r="U708" s="19" t="str" cm="1">
        <f t="array" ref="U7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8" s="19" t="str" cm="1">
        <f t="array" ref="V7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9" spans="1:22" x14ac:dyDescent="0.3">
      <c r="A709" s="1" t="s">
        <v>1993</v>
      </c>
      <c r="B709" s="5">
        <v>46200</v>
      </c>
      <c r="C709" s="6">
        <v>0.45833333333333331</v>
      </c>
      <c r="D709" s="1" t="s">
        <v>12</v>
      </c>
      <c r="E709" s="1" t="s">
        <v>14</v>
      </c>
      <c r="F709" s="1" t="s">
        <v>1994</v>
      </c>
      <c r="G709" s="39" t="s">
        <v>89</v>
      </c>
      <c r="H709" s="1">
        <v>1</v>
      </c>
      <c r="I709" s="1">
        <v>0</v>
      </c>
      <c r="J709" s="39" t="s">
        <v>1888</v>
      </c>
      <c r="K709" s="1">
        <v>0</v>
      </c>
      <c r="L709" s="1">
        <v>1</v>
      </c>
      <c r="S709" s="1" t="str">
        <f>IF(tblDados[[#This Row],[Mandante]]="","",TEXT(tblDados[[#This Row],[Data]],"aaaa-mm-dd")&amp;"|"&amp;TRIM(tblDados[[#This Row],[Mandante]])&amp;"|"&amp;TRIM(tblDados[[#This Row],[Visitante]]))</f>
        <v>2026-06-27|Operário-PR|América-MG</v>
      </c>
      <c r="T709" s="1">
        <f>IF($G709="",0,IF(COUNTIF($S$2:$S709,$S709)=1,1,0))</f>
        <v>1</v>
      </c>
      <c r="U709" s="19" t="str" cm="1">
        <f t="array" ref="U7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9" s="19" t="str" cm="1">
        <f t="array" ref="V7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0" spans="1:22" x14ac:dyDescent="0.3">
      <c r="A710" s="1" t="s">
        <v>1995</v>
      </c>
      <c r="B710" s="5">
        <v>46194</v>
      </c>
      <c r="C710" s="6">
        <v>0.77083333333333337</v>
      </c>
      <c r="D710" s="1" t="s">
        <v>12</v>
      </c>
      <c r="E710" s="1" t="s">
        <v>14</v>
      </c>
      <c r="F710" s="1" t="s">
        <v>1996</v>
      </c>
      <c r="G710" s="39" t="s">
        <v>1930</v>
      </c>
      <c r="H710" s="1">
        <v>0</v>
      </c>
      <c r="I710" s="1">
        <v>3</v>
      </c>
      <c r="J710" s="39" t="s">
        <v>89</v>
      </c>
      <c r="K710" s="1">
        <v>3</v>
      </c>
      <c r="L710" s="1">
        <v>0</v>
      </c>
      <c r="S710" s="1" t="str">
        <f>IF(tblDados[[#This Row],[Mandante]]="","",TEXT(tblDados[[#This Row],[Data]],"aaaa-mm-dd")&amp;"|"&amp;TRIM(tblDados[[#This Row],[Mandante]])&amp;"|"&amp;TRIM(tblDados[[#This Row],[Visitante]]))</f>
        <v>2026-06-21|Goiás|Operário-PR</v>
      </c>
      <c r="T710" s="1">
        <f>IF($G710="",0,IF(COUNTIF($S$2:$S710,$S710)=1,1,0))</f>
        <v>1</v>
      </c>
      <c r="U710" s="19" t="str" cm="1">
        <f t="array" ref="U7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0" s="19" t="str" cm="1">
        <f t="array" ref="V7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1" spans="1:22" x14ac:dyDescent="0.3">
      <c r="A711" s="1" t="s">
        <v>1997</v>
      </c>
      <c r="B711" s="5">
        <v>46187</v>
      </c>
      <c r="C711" s="6">
        <v>0.79166666666666663</v>
      </c>
      <c r="D711" s="1" t="s">
        <v>12</v>
      </c>
      <c r="E711" s="1" t="s">
        <v>14</v>
      </c>
      <c r="F711" s="1" t="s">
        <v>1998</v>
      </c>
      <c r="G711" s="39" t="s">
        <v>124</v>
      </c>
      <c r="H711" s="1">
        <v>2</v>
      </c>
      <c r="I711" s="1">
        <v>1</v>
      </c>
      <c r="J711" s="39" t="s">
        <v>89</v>
      </c>
      <c r="K711" s="1">
        <v>1</v>
      </c>
      <c r="L711" s="1">
        <v>2</v>
      </c>
      <c r="S711" s="1" t="str">
        <f>IF(tblDados[[#This Row],[Mandante]]="","",TEXT(tblDados[[#This Row],[Data]],"aaaa-mm-dd")&amp;"|"&amp;TRIM(tblDados[[#This Row],[Mandante]])&amp;"|"&amp;TRIM(tblDados[[#This Row],[Visitante]]))</f>
        <v>2026-06-14|Botafogo SP|Operário-PR</v>
      </c>
      <c r="T711" s="1">
        <f>IF($G711="",0,IF(COUNTIF($S$2:$S711,$S711)=1,1,0))</f>
        <v>1</v>
      </c>
      <c r="U711" s="19" t="str" cm="1">
        <f t="array" ref="U7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1" s="19" t="str" cm="1">
        <f t="array" ref="V7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2" spans="1:22" x14ac:dyDescent="0.3">
      <c r="A712" s="1" t="s">
        <v>1999</v>
      </c>
      <c r="B712" s="5">
        <v>46173</v>
      </c>
      <c r="C712" s="6">
        <v>0.66666666666666663</v>
      </c>
      <c r="D712" s="1" t="s">
        <v>12</v>
      </c>
      <c r="E712" s="1" t="s">
        <v>14</v>
      </c>
      <c r="F712" s="1" t="s">
        <v>2000</v>
      </c>
      <c r="G712" s="39" t="s">
        <v>1939</v>
      </c>
      <c r="H712" s="1">
        <v>1</v>
      </c>
      <c r="I712" s="1">
        <v>2</v>
      </c>
      <c r="J712" s="39" t="s">
        <v>89</v>
      </c>
      <c r="K712" s="1">
        <v>2</v>
      </c>
      <c r="L712" s="1">
        <v>1</v>
      </c>
      <c r="S712" s="1" t="str">
        <f>IF(tblDados[[#This Row],[Mandante]]="","",TEXT(tblDados[[#This Row],[Data]],"aaaa-mm-dd")&amp;"|"&amp;TRIM(tblDados[[#This Row],[Mandante]])&amp;"|"&amp;TRIM(tblDados[[#This Row],[Visitante]]))</f>
        <v>2026-05-31|Ceará|Operário-PR</v>
      </c>
      <c r="T712" s="1">
        <f>IF($G712="",0,IF(COUNTIF($S$2:$S712,$S712)=1,1,0))</f>
        <v>1</v>
      </c>
      <c r="U712" s="19" t="str" cm="1">
        <f t="array" ref="U7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2" s="19" t="str" cm="1">
        <f t="array" ref="V7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3" spans="1:22" x14ac:dyDescent="0.3">
      <c r="A713" s="1" t="s">
        <v>2001</v>
      </c>
      <c r="B713" s="5">
        <v>46158</v>
      </c>
      <c r="C713" s="6">
        <v>0.66666666666666663</v>
      </c>
      <c r="D713" s="1" t="s">
        <v>12</v>
      </c>
      <c r="E713" s="1" t="s">
        <v>14</v>
      </c>
      <c r="F713" s="1" t="s">
        <v>2002</v>
      </c>
      <c r="G713" s="39" t="s">
        <v>89</v>
      </c>
      <c r="H713" s="1">
        <v>2</v>
      </c>
      <c r="I713" s="1">
        <v>6</v>
      </c>
      <c r="J713" s="39" t="s">
        <v>1897</v>
      </c>
      <c r="K713" s="1">
        <v>6</v>
      </c>
      <c r="L713" s="1">
        <v>2</v>
      </c>
      <c r="S713" s="1" t="str">
        <f>IF(tblDados[[#This Row],[Mandante]]="","",TEXT(tblDados[[#This Row],[Data]],"aaaa-mm-dd")&amp;"|"&amp;TRIM(tblDados[[#This Row],[Mandante]])&amp;"|"&amp;TRIM(tblDados[[#This Row],[Visitante]]))</f>
        <v>2026-05-16|Operário-PR|Náutico</v>
      </c>
      <c r="T713" s="1">
        <f>IF($G713="",0,IF(COUNTIF($S$2:$S713,$S713)=1,1,0))</f>
        <v>1</v>
      </c>
      <c r="U713" s="19" t="str" cm="1">
        <f t="array" ref="U7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3" s="19" t="str" cm="1">
        <f t="array" ref="V7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4" spans="1:22" ht="14.4" x14ac:dyDescent="0.3">
      <c r="A714" s="1" t="s">
        <v>2003</v>
      </c>
      <c r="B714" s="5">
        <v>46151</v>
      </c>
      <c r="C714" s="6">
        <v>0.85416666666666663</v>
      </c>
      <c r="D714" s="1" t="s">
        <v>12</v>
      </c>
      <c r="E714" s="1" t="s">
        <v>14</v>
      </c>
      <c r="F714" s="1" t="s">
        <v>2004</v>
      </c>
      <c r="G714" s="39" t="s">
        <v>83</v>
      </c>
      <c r="H714" s="1">
        <v>3</v>
      </c>
      <c r="I714" s="1">
        <v>0</v>
      </c>
      <c r="J714" s="39" t="s">
        <v>89</v>
      </c>
      <c r="K714" s="1">
        <v>0</v>
      </c>
      <c r="L714" s="1">
        <v>3</v>
      </c>
      <c r="S714" s="1" t="str">
        <f>IF(tblDados[[#This Row],[Mandante]]="","",TEXT(tblDados[[#This Row],[Data]],"aaaa-mm-dd")&amp;"|"&amp;TRIM(tblDados[[#This Row],[Mandante]])&amp;"|"&amp;TRIM(tblDados[[#This Row],[Visitante]]))</f>
        <v>2026-05-09|CRB|Operário-PR</v>
      </c>
      <c r="T714">
        <f>IF($G714="",0,IF(COUNTIF($S$2:$S2834,$S714)=1,1,0))</f>
        <v>1</v>
      </c>
      <c r="U714" s="19" t="str" cm="1">
        <f t="array" ref="U7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4" s="19" t="str" cm="1">
        <f t="array" ref="V7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5" spans="1:22" x14ac:dyDescent="0.3">
      <c r="A715" s="1" t="s">
        <v>2005</v>
      </c>
      <c r="B715" s="5">
        <v>46220</v>
      </c>
      <c r="C715" s="6">
        <v>0.875</v>
      </c>
      <c r="D715" s="1" t="s">
        <v>12</v>
      </c>
      <c r="E715" s="1" t="s">
        <v>14</v>
      </c>
      <c r="F715" s="1" t="s">
        <v>2006</v>
      </c>
      <c r="G715" s="39" t="s">
        <v>123</v>
      </c>
      <c r="H715" s="1">
        <v>1</v>
      </c>
      <c r="I715" s="1">
        <v>0</v>
      </c>
      <c r="J715" s="39" t="s">
        <v>1900</v>
      </c>
      <c r="K715" s="1">
        <v>0</v>
      </c>
      <c r="L715" s="1">
        <v>1</v>
      </c>
      <c r="S715" s="1" t="str">
        <f>IF(tblDados[[#This Row],[Mandante]]="","",TEXT(tblDados[[#This Row],[Data]],"aaaa-mm-dd")&amp;"|"&amp;TRIM(tblDados[[#This Row],[Mandante]])&amp;"|"&amp;TRIM(tblDados[[#This Row],[Visitante]]))</f>
        <v>2026-07-17|Fortaleza|Novorizontino</v>
      </c>
      <c r="T715" s="1">
        <f>IF($G715="",0,IF(COUNTIF($S$2:$S715,$S715)=1,1,0))</f>
        <v>1</v>
      </c>
      <c r="U715" s="19" t="str" cm="1">
        <f t="array" ref="U7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5" s="19" t="str" cm="1">
        <f t="array" ref="V7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6" spans="1:22" x14ac:dyDescent="0.3">
      <c r="A716" s="1" t="s">
        <v>2007</v>
      </c>
      <c r="B716" s="5">
        <v>46215</v>
      </c>
      <c r="C716" s="6">
        <v>0.75</v>
      </c>
      <c r="D716" s="1" t="s">
        <v>12</v>
      </c>
      <c r="E716" s="1" t="s">
        <v>14</v>
      </c>
      <c r="F716" s="1" t="s">
        <v>2008</v>
      </c>
      <c r="G716" s="39" t="s">
        <v>88</v>
      </c>
      <c r="H716" s="1">
        <v>1</v>
      </c>
      <c r="I716" s="1">
        <v>0</v>
      </c>
      <c r="J716" s="39" t="s">
        <v>123</v>
      </c>
      <c r="K716" s="1">
        <v>0</v>
      </c>
      <c r="L716" s="1">
        <v>1</v>
      </c>
      <c r="S716" s="1" t="str">
        <f>IF(tblDados[[#This Row],[Mandante]]="","",TEXT(tblDados[[#This Row],[Data]],"aaaa-mm-dd")&amp;"|"&amp;TRIM(tblDados[[#This Row],[Mandante]])&amp;"|"&amp;TRIM(tblDados[[#This Row],[Visitante]]))</f>
        <v>2026-07-12|Atlético-GO|Fortaleza</v>
      </c>
      <c r="T716" s="1">
        <f>IF($G716="",0,IF(COUNTIF($S$2:$S716,$S716)=1,1,0))</f>
        <v>1</v>
      </c>
      <c r="U716" s="19" t="str" cm="1">
        <f t="array" ref="U7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6" s="19" t="str" cm="1">
        <f t="array" ref="V7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7" spans="1:22" x14ac:dyDescent="0.3">
      <c r="A717" s="1" t="s">
        <v>2009</v>
      </c>
      <c r="B717" s="5">
        <v>46205</v>
      </c>
      <c r="C717" s="6">
        <v>0.875</v>
      </c>
      <c r="D717" s="1" t="s">
        <v>12</v>
      </c>
      <c r="E717" s="1" t="s">
        <v>14</v>
      </c>
      <c r="F717" s="1" t="s">
        <v>2010</v>
      </c>
      <c r="G717" s="39" t="s">
        <v>123</v>
      </c>
      <c r="H717" s="1">
        <v>2</v>
      </c>
      <c r="I717" s="1">
        <v>0</v>
      </c>
      <c r="J717" s="39" t="s">
        <v>101</v>
      </c>
      <c r="K717" s="1">
        <v>0</v>
      </c>
      <c r="L717" s="1">
        <v>2</v>
      </c>
      <c r="S717" s="1" t="str">
        <f>IF(tblDados[[#This Row],[Mandante]]="","",TEXT(tblDados[[#This Row],[Data]],"aaaa-mm-dd")&amp;"|"&amp;TRIM(tblDados[[#This Row],[Mandante]])&amp;"|"&amp;TRIM(tblDados[[#This Row],[Visitante]]))</f>
        <v>2026-07-02|Fortaleza|Ponte Preta</v>
      </c>
      <c r="T717" s="1">
        <f>IF($G717="",0,IF(COUNTIF($S$2:$S717,$S717)=1,1,0))</f>
        <v>1</v>
      </c>
      <c r="U717" s="19" t="str" cm="1">
        <f t="array" ref="U7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7" s="19" t="str" cm="1">
        <f t="array" ref="V7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8" spans="1:22" x14ac:dyDescent="0.3">
      <c r="A718" s="1" t="s">
        <v>2011</v>
      </c>
      <c r="B718" s="5">
        <v>46194</v>
      </c>
      <c r="C718" s="6">
        <v>0.66666666666666663</v>
      </c>
      <c r="D718" s="1" t="s">
        <v>12</v>
      </c>
      <c r="E718" s="1" t="s">
        <v>14</v>
      </c>
      <c r="F718" s="1" t="s">
        <v>2012</v>
      </c>
      <c r="G718" s="39" t="s">
        <v>83</v>
      </c>
      <c r="H718" s="1">
        <v>1</v>
      </c>
      <c r="I718" s="1">
        <v>1</v>
      </c>
      <c r="J718" s="39" t="s">
        <v>123</v>
      </c>
      <c r="K718" s="1">
        <v>1</v>
      </c>
      <c r="L718" s="1">
        <v>1</v>
      </c>
      <c r="S718" s="1" t="str">
        <f>IF(tblDados[[#This Row],[Mandante]]="","",TEXT(tblDados[[#This Row],[Data]],"aaaa-mm-dd")&amp;"|"&amp;TRIM(tblDados[[#This Row],[Mandante]])&amp;"|"&amp;TRIM(tblDados[[#This Row],[Visitante]]))</f>
        <v>2026-06-21|CRB|Fortaleza</v>
      </c>
      <c r="T718" s="1">
        <f>IF($G718="",0,IF(COUNTIF($S$2:$S718,$S718)=1,1,0))</f>
        <v>1</v>
      </c>
      <c r="U718" s="19" t="str" cm="1">
        <f t="array" ref="U7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8" s="19" t="str" cm="1">
        <f t="array" ref="V7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9" spans="1:22" x14ac:dyDescent="0.3">
      <c r="A719" s="1" t="s">
        <v>2013</v>
      </c>
      <c r="B719" s="5">
        <v>46189</v>
      </c>
      <c r="C719" s="6">
        <v>0.83333333333333337</v>
      </c>
      <c r="D719" s="1" t="s">
        <v>12</v>
      </c>
      <c r="E719" s="1" t="s">
        <v>14</v>
      </c>
      <c r="F719" s="1" t="s">
        <v>2014</v>
      </c>
      <c r="G719" s="39" t="s">
        <v>123</v>
      </c>
      <c r="H719" s="1">
        <v>0</v>
      </c>
      <c r="I719" s="1">
        <v>3</v>
      </c>
      <c r="J719" s="39" t="s">
        <v>1888</v>
      </c>
      <c r="K719" s="1">
        <v>3</v>
      </c>
      <c r="L719" s="1">
        <v>0</v>
      </c>
      <c r="S719" s="1" t="str">
        <f>IF(tblDados[[#This Row],[Mandante]]="","",TEXT(tblDados[[#This Row],[Data]],"aaaa-mm-dd")&amp;"|"&amp;TRIM(tblDados[[#This Row],[Mandante]])&amp;"|"&amp;TRIM(tblDados[[#This Row],[Visitante]]))</f>
        <v>2026-06-16|Fortaleza|América-MG</v>
      </c>
      <c r="T719" s="1">
        <f>IF($G719="",0,IF(COUNTIF($S$2:$S719,$S719)=1,1,0))</f>
        <v>1</v>
      </c>
      <c r="U719" s="19" t="str" cm="1">
        <f t="array" ref="U7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9" s="19" t="str" cm="1">
        <f t="array" ref="V7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0" spans="1:22" x14ac:dyDescent="0.3">
      <c r="A720" s="1" t="s">
        <v>2015</v>
      </c>
      <c r="B720" s="5">
        <v>46182</v>
      </c>
      <c r="C720" s="6">
        <v>0.79166666666666663</v>
      </c>
      <c r="D720" s="1" t="s">
        <v>12</v>
      </c>
      <c r="E720" s="1" t="s">
        <v>14</v>
      </c>
      <c r="F720" s="1" t="s">
        <v>2016</v>
      </c>
      <c r="G720" s="39" t="s">
        <v>1897</v>
      </c>
      <c r="H720" s="1">
        <v>0</v>
      </c>
      <c r="I720" s="1">
        <v>1</v>
      </c>
      <c r="J720" s="39" t="s">
        <v>123</v>
      </c>
      <c r="K720" s="1">
        <v>1</v>
      </c>
      <c r="L720" s="1">
        <v>0</v>
      </c>
      <c r="S720" s="1" t="str">
        <f>IF(tblDados[[#This Row],[Mandante]]="","",TEXT(tblDados[[#This Row],[Data]],"aaaa-mm-dd")&amp;"|"&amp;TRIM(tblDados[[#This Row],[Mandante]])&amp;"|"&amp;TRIM(tblDados[[#This Row],[Visitante]]))</f>
        <v>2026-06-09|Náutico|Fortaleza</v>
      </c>
      <c r="T720" s="1">
        <f>IF($G720="",0,IF(COUNTIF($S$2:$S720,$S720)=1,1,0))</f>
        <v>1</v>
      </c>
      <c r="U720" s="19" t="str" cm="1">
        <f t="array" ref="U7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0" s="19" t="str" cm="1">
        <f t="array" ref="V7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1" spans="1:22" x14ac:dyDescent="0.3">
      <c r="A721" s="1" t="s">
        <v>2017</v>
      </c>
      <c r="B721" s="5">
        <v>46172</v>
      </c>
      <c r="C721" s="6">
        <v>0.75</v>
      </c>
      <c r="D721" s="1" t="s">
        <v>12</v>
      </c>
      <c r="E721" s="1" t="s">
        <v>14</v>
      </c>
      <c r="F721" s="1" t="s">
        <v>2018</v>
      </c>
      <c r="G721" s="39" t="s">
        <v>102</v>
      </c>
      <c r="H721" s="1">
        <v>1</v>
      </c>
      <c r="I721" s="1">
        <v>0</v>
      </c>
      <c r="J721" s="39" t="s">
        <v>123</v>
      </c>
      <c r="K721" s="1">
        <v>0</v>
      </c>
      <c r="L721" s="1">
        <v>1</v>
      </c>
      <c r="S721" s="1" t="str">
        <f>IF(tblDados[[#This Row],[Mandante]]="","",TEXT(tblDados[[#This Row],[Data]],"aaaa-mm-dd")&amp;"|"&amp;TRIM(tblDados[[#This Row],[Mandante]])&amp;"|"&amp;TRIM(tblDados[[#This Row],[Visitante]]))</f>
        <v>2026-05-30|Athletic Club-MG|Fortaleza</v>
      </c>
      <c r="T721" s="1">
        <f>IF($G721="",0,IF(COUNTIF($S$2:$S721,$S721)=1,1,0))</f>
        <v>1</v>
      </c>
      <c r="U721" s="19" t="str" cm="1">
        <f t="array" ref="U7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1" s="19" t="str" cm="1">
        <f t="array" ref="V7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2" spans="1:22" x14ac:dyDescent="0.3">
      <c r="A722" s="1" t="s">
        <v>2019</v>
      </c>
      <c r="B722" s="5">
        <v>46165</v>
      </c>
      <c r="C722" s="6">
        <v>0.77083333333333337</v>
      </c>
      <c r="D722" s="1" t="s">
        <v>12</v>
      </c>
      <c r="E722" s="1" t="s">
        <v>14</v>
      </c>
      <c r="F722" s="1" t="s">
        <v>2020</v>
      </c>
      <c r="G722" s="39" t="s">
        <v>123</v>
      </c>
      <c r="H722" s="1">
        <v>3</v>
      </c>
      <c r="I722" s="1">
        <v>0</v>
      </c>
      <c r="J722" s="39" t="s">
        <v>1891</v>
      </c>
      <c r="K722" s="1">
        <v>0</v>
      </c>
      <c r="L722" s="1">
        <v>3</v>
      </c>
      <c r="S722" s="1" t="str">
        <f>IF(tblDados[[#This Row],[Mandante]]="","",TEXT(tblDados[[#This Row],[Data]],"aaaa-mm-dd")&amp;"|"&amp;TRIM(tblDados[[#This Row],[Mandante]])&amp;"|"&amp;TRIM(tblDados[[#This Row],[Visitante]]))</f>
        <v>2026-05-23|Fortaleza|Londrina</v>
      </c>
      <c r="T722" s="1">
        <f>IF($G722="",0,IF(COUNTIF($S$2:$S722,$S722)=1,1,0))</f>
        <v>1</v>
      </c>
      <c r="U722" s="19" t="str" cm="1">
        <f t="array" ref="U7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2" s="19" t="str" cm="1">
        <f t="array" ref="V7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3" spans="1:22" x14ac:dyDescent="0.3">
      <c r="A723" s="1" t="s">
        <v>2021</v>
      </c>
      <c r="B723" s="5">
        <v>46159</v>
      </c>
      <c r="C723" s="6">
        <v>0.77083333333333337</v>
      </c>
      <c r="D723" s="1" t="s">
        <v>12</v>
      </c>
      <c r="E723" s="1" t="s">
        <v>14</v>
      </c>
      <c r="F723" s="1" t="s">
        <v>2022</v>
      </c>
      <c r="G723" s="39" t="s">
        <v>1939</v>
      </c>
      <c r="H723" s="1">
        <v>2</v>
      </c>
      <c r="I723" s="1">
        <v>1</v>
      </c>
      <c r="J723" s="39" t="s">
        <v>123</v>
      </c>
      <c r="K723" s="1">
        <v>1</v>
      </c>
      <c r="L723" s="1">
        <v>2</v>
      </c>
      <c r="S723" s="1" t="str">
        <f>IF(tblDados[[#This Row],[Mandante]]="","",TEXT(tblDados[[#This Row],[Data]],"aaaa-mm-dd")&amp;"|"&amp;TRIM(tblDados[[#This Row],[Mandante]])&amp;"|"&amp;TRIM(tblDados[[#This Row],[Visitante]]))</f>
        <v>2026-05-17|Ceará|Fortaleza</v>
      </c>
      <c r="T723" s="1">
        <f>IF($G723="",0,IF(COUNTIF($S$2:$S723,$S723)=1,1,0))</f>
        <v>1</v>
      </c>
      <c r="U723" s="19" t="str" cm="1">
        <f t="array" ref="U7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3" s="19" t="str" cm="1">
        <f t="array" ref="V7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4" spans="1:22" x14ac:dyDescent="0.3">
      <c r="A724" s="1" t="s">
        <v>2023</v>
      </c>
      <c r="B724" s="5">
        <v>46152</v>
      </c>
      <c r="C724" s="6">
        <v>0.77083333333333337</v>
      </c>
      <c r="D724" s="1" t="s">
        <v>12</v>
      </c>
      <c r="E724" s="1" t="s">
        <v>14</v>
      </c>
      <c r="F724" s="1" t="s">
        <v>2024</v>
      </c>
      <c r="G724" s="39" t="s">
        <v>107</v>
      </c>
      <c r="H724" s="1">
        <v>0</v>
      </c>
      <c r="I724" s="1">
        <v>0</v>
      </c>
      <c r="J724" s="39" t="s">
        <v>123</v>
      </c>
      <c r="K724" s="1">
        <v>0</v>
      </c>
      <c r="L724" s="1">
        <v>0</v>
      </c>
      <c r="S724" s="1" t="str">
        <f>IF(tblDados[[#This Row],[Mandante]]="","",TEXT(tblDados[[#This Row],[Data]],"aaaa-mm-dd")&amp;"|"&amp;TRIM(tblDados[[#This Row],[Mandante]])&amp;"|"&amp;TRIM(tblDados[[#This Row],[Visitante]]))</f>
        <v>2026-05-10|Avaí|Fortaleza</v>
      </c>
      <c r="T724" s="1">
        <f>IF($G724="",0,IF(COUNTIF($S$2:$S724,$S724)=1,1,0))</f>
        <v>1</v>
      </c>
      <c r="U724" s="19" t="str" cm="1">
        <f t="array" ref="U7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4" s="19" t="str" cm="1">
        <f t="array" ref="V7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5" spans="1:22" ht="14.4" x14ac:dyDescent="0.3">
      <c r="A725" s="1" t="s">
        <v>2025</v>
      </c>
      <c r="B725" s="5">
        <v>46144</v>
      </c>
      <c r="C725" s="6">
        <v>0.85416666666666663</v>
      </c>
      <c r="D725" s="1" t="s">
        <v>12</v>
      </c>
      <c r="E725" s="1" t="s">
        <v>14</v>
      </c>
      <c r="F725" s="1" t="s">
        <v>2026</v>
      </c>
      <c r="G725" s="39" t="s">
        <v>123</v>
      </c>
      <c r="H725" s="1">
        <v>4</v>
      </c>
      <c r="I725" s="1">
        <v>1</v>
      </c>
      <c r="J725" s="39" t="s">
        <v>1930</v>
      </c>
      <c r="K725" s="1">
        <v>1</v>
      </c>
      <c r="L725" s="1">
        <v>4</v>
      </c>
      <c r="S725" s="1" t="str">
        <f>IF(tblDados[[#This Row],[Mandante]]="","",TEXT(tblDados[[#This Row],[Data]],"aaaa-mm-dd")&amp;"|"&amp;TRIM(tblDados[[#This Row],[Mandante]])&amp;"|"&amp;TRIM(tblDados[[#This Row],[Visitante]]))</f>
        <v>2026-05-02|Fortaleza|Goiás</v>
      </c>
      <c r="T725">
        <f>IF($G725="",0,IF(COUNTIF($S$2:$S2834,$S725)=1,1,0))</f>
        <v>1</v>
      </c>
      <c r="U725" s="19" t="str" cm="1">
        <f t="array" ref="U7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5" s="19" t="str" cm="1">
        <f t="array" ref="V7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6" spans="1:22" x14ac:dyDescent="0.3">
      <c r="A726" s="1" t="s">
        <v>2027</v>
      </c>
      <c r="B726" s="5">
        <v>46229</v>
      </c>
      <c r="C726" s="6">
        <v>0.77083333333333337</v>
      </c>
      <c r="D726" s="1" t="s">
        <v>12</v>
      </c>
      <c r="E726" s="1" t="s">
        <v>14</v>
      </c>
      <c r="F726" s="1" t="s">
        <v>2028</v>
      </c>
      <c r="G726" s="39" t="s">
        <v>1891</v>
      </c>
      <c r="H726" s="1">
        <v>1</v>
      </c>
      <c r="I726" s="1">
        <v>4</v>
      </c>
      <c r="J726" s="39" t="s">
        <v>1900</v>
      </c>
      <c r="K726" s="1">
        <v>4</v>
      </c>
      <c r="L726" s="1">
        <v>1</v>
      </c>
      <c r="S726" s="1" t="str">
        <f>IF(tblDados[[#This Row],[Mandante]]="","",TEXT(tblDados[[#This Row],[Data]],"aaaa-mm-dd")&amp;"|"&amp;TRIM(tblDados[[#This Row],[Mandante]])&amp;"|"&amp;TRIM(tblDados[[#This Row],[Visitante]]))</f>
        <v>2026-07-26|Londrina|Novorizontino</v>
      </c>
      <c r="T726" s="1">
        <f>IF($G726="",0,IF(COUNTIF($S$2:$S726,$S726)=1,1,0))</f>
        <v>1</v>
      </c>
      <c r="U726" s="19" t="str" cm="1">
        <f t="array" ref="U7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6" s="19" t="str" cm="1">
        <f t="array" ref="V7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7" spans="1:22" x14ac:dyDescent="0.3">
      <c r="A727" s="1" t="s">
        <v>2029</v>
      </c>
      <c r="B727" s="5">
        <v>46207</v>
      </c>
      <c r="C727" s="6">
        <v>0.66666666666666663</v>
      </c>
      <c r="D727" s="1" t="s">
        <v>12</v>
      </c>
      <c r="E727" s="1" t="s">
        <v>14</v>
      </c>
      <c r="F727" s="1" t="s">
        <v>2030</v>
      </c>
      <c r="G727" s="39" t="s">
        <v>1900</v>
      </c>
      <c r="H727" s="1">
        <v>3</v>
      </c>
      <c r="I727" s="1">
        <v>0</v>
      </c>
      <c r="J727" s="39" t="s">
        <v>88</v>
      </c>
      <c r="K727" s="1">
        <v>0</v>
      </c>
      <c r="L727" s="1">
        <v>3</v>
      </c>
      <c r="S727" s="1" t="str">
        <f>IF(tblDados[[#This Row],[Mandante]]="","",TEXT(tblDados[[#This Row],[Data]],"aaaa-mm-dd")&amp;"|"&amp;TRIM(tblDados[[#This Row],[Mandante]])&amp;"|"&amp;TRIM(tblDados[[#This Row],[Visitante]]))</f>
        <v>2026-07-04|Novorizontino|Atlético-GO</v>
      </c>
      <c r="T727" s="1">
        <f>IF($G727="",0,IF(COUNTIF($S$2:$S727,$S727)=1,1,0))</f>
        <v>1</v>
      </c>
      <c r="U727" s="19" t="str" cm="1">
        <f t="array" ref="U7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7" s="19" t="str" cm="1">
        <f t="array" ref="V7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8" spans="1:22" x14ac:dyDescent="0.3">
      <c r="A728" s="1" t="s">
        <v>2031</v>
      </c>
      <c r="B728" s="5">
        <v>46195</v>
      </c>
      <c r="C728" s="6">
        <v>0.83333333333333337</v>
      </c>
      <c r="D728" s="1" t="s">
        <v>12</v>
      </c>
      <c r="E728" s="1" t="s">
        <v>14</v>
      </c>
      <c r="F728" s="1" t="s">
        <v>2032</v>
      </c>
      <c r="G728" s="39" t="s">
        <v>101</v>
      </c>
      <c r="H728" s="1">
        <v>0</v>
      </c>
      <c r="I728" s="1">
        <v>2</v>
      </c>
      <c r="J728" s="39" t="s">
        <v>1900</v>
      </c>
      <c r="K728" s="1">
        <v>2</v>
      </c>
      <c r="L728" s="1">
        <v>0</v>
      </c>
      <c r="S728" s="1" t="str">
        <f>IF(tblDados[[#This Row],[Mandante]]="","",TEXT(tblDados[[#This Row],[Data]],"aaaa-mm-dd")&amp;"|"&amp;TRIM(tblDados[[#This Row],[Mandante]])&amp;"|"&amp;TRIM(tblDados[[#This Row],[Visitante]]))</f>
        <v>2026-06-22|Ponte Preta|Novorizontino</v>
      </c>
      <c r="T728" s="1">
        <f>IF($G728="",0,IF(COUNTIF($S$2:$S728,$S728)=1,1,0))</f>
        <v>1</v>
      </c>
      <c r="U728" s="19" t="str" cm="1">
        <f t="array" ref="U7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8" s="19" t="str" cm="1">
        <f t="array" ref="V7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9" spans="1:22" x14ac:dyDescent="0.3">
      <c r="A729" s="1" t="s">
        <v>2033</v>
      </c>
      <c r="B729" s="5">
        <v>46187</v>
      </c>
      <c r="C729" s="6">
        <v>0.79166666666666663</v>
      </c>
      <c r="D729" s="1" t="s">
        <v>12</v>
      </c>
      <c r="E729" s="1" t="s">
        <v>14</v>
      </c>
      <c r="F729" s="1" t="s">
        <v>2034</v>
      </c>
      <c r="G729" s="39" t="s">
        <v>1900</v>
      </c>
      <c r="H729" s="1">
        <v>2</v>
      </c>
      <c r="I729" s="1">
        <v>2</v>
      </c>
      <c r="J729" s="39" t="s">
        <v>1897</v>
      </c>
      <c r="K729" s="1">
        <v>2</v>
      </c>
      <c r="L729" s="1">
        <v>2</v>
      </c>
      <c r="S729" s="1" t="str">
        <f>IF(tblDados[[#This Row],[Mandante]]="","",TEXT(tblDados[[#This Row],[Data]],"aaaa-mm-dd")&amp;"|"&amp;TRIM(tblDados[[#This Row],[Mandante]])&amp;"|"&amp;TRIM(tblDados[[#This Row],[Visitante]]))</f>
        <v>2026-06-14|Novorizontino|Náutico</v>
      </c>
      <c r="T729" s="1">
        <f>IF($G729="",0,IF(COUNTIF($S$2:$S729,$S729)=1,1,0))</f>
        <v>1</v>
      </c>
      <c r="U729" s="19" t="str" cm="1">
        <f t="array" ref="U7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9" s="19" t="str" cm="1">
        <f t="array" ref="V7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0" spans="1:22" x14ac:dyDescent="0.3">
      <c r="A730" s="1" t="s">
        <v>2035</v>
      </c>
      <c r="B730" s="5">
        <v>46183</v>
      </c>
      <c r="C730" s="6">
        <v>0.83333333333333337</v>
      </c>
      <c r="D730" s="1" t="s">
        <v>12</v>
      </c>
      <c r="E730" s="1" t="s">
        <v>14</v>
      </c>
      <c r="F730" s="1" t="s">
        <v>2036</v>
      </c>
      <c r="G730" s="39" t="s">
        <v>1930</v>
      </c>
      <c r="H730" s="1">
        <v>0</v>
      </c>
      <c r="I730" s="1">
        <v>4</v>
      </c>
      <c r="J730" s="39" t="s">
        <v>1900</v>
      </c>
      <c r="K730" s="1">
        <v>4</v>
      </c>
      <c r="L730" s="1">
        <v>0</v>
      </c>
      <c r="S730" s="1" t="str">
        <f>IF(tblDados[[#This Row],[Mandante]]="","",TEXT(tblDados[[#This Row],[Data]],"aaaa-mm-dd")&amp;"|"&amp;TRIM(tblDados[[#This Row],[Mandante]])&amp;"|"&amp;TRIM(tblDados[[#This Row],[Visitante]]))</f>
        <v>2026-06-10|Goiás|Novorizontino</v>
      </c>
      <c r="T730" s="1">
        <f>IF($G730="",0,IF(COUNTIF($S$2:$S730,$S730)=1,1,0))</f>
        <v>1</v>
      </c>
      <c r="U730" s="19" t="str" cm="1">
        <f t="array" ref="U7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0" s="19" t="str" cm="1">
        <f t="array" ref="V7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1" spans="1:22" x14ac:dyDescent="0.3">
      <c r="A731" s="1" t="s">
        <v>2037</v>
      </c>
      <c r="B731" s="5">
        <v>46173</v>
      </c>
      <c r="C731" s="6">
        <v>0.45833333333333331</v>
      </c>
      <c r="D731" s="1" t="s">
        <v>12</v>
      </c>
      <c r="E731" s="1" t="s">
        <v>14</v>
      </c>
      <c r="F731" s="1" t="s">
        <v>2038</v>
      </c>
      <c r="G731" s="39" t="s">
        <v>1903</v>
      </c>
      <c r="H731" s="1">
        <v>1</v>
      </c>
      <c r="I731" s="1">
        <v>1</v>
      </c>
      <c r="J731" s="39" t="s">
        <v>1900</v>
      </c>
      <c r="K731" s="1">
        <v>1</v>
      </c>
      <c r="L731" s="1">
        <v>1</v>
      </c>
      <c r="S731" s="1" t="str">
        <f>IF(tblDados[[#This Row],[Mandante]]="","",TEXT(tblDados[[#This Row],[Data]],"aaaa-mm-dd")&amp;"|"&amp;TRIM(tblDados[[#This Row],[Mandante]])&amp;"|"&amp;TRIM(tblDados[[#This Row],[Visitante]]))</f>
        <v>2026-05-31|São Bernardo|Novorizontino</v>
      </c>
      <c r="T731" s="1">
        <f>IF($G731="",0,IF(COUNTIF($S$2:$S731,$S731)=1,1,0))</f>
        <v>1</v>
      </c>
      <c r="U731" s="19" t="str" cm="1">
        <f t="array" ref="U7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1" s="19" t="str" cm="1">
        <f t="array" ref="V7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2" spans="1:22" x14ac:dyDescent="0.3">
      <c r="A732" s="1" t="s">
        <v>2039</v>
      </c>
      <c r="B732" s="5">
        <v>46165</v>
      </c>
      <c r="C732" s="6">
        <v>0.66666666666666663</v>
      </c>
      <c r="D732" s="1" t="s">
        <v>12</v>
      </c>
      <c r="E732" s="1" t="s">
        <v>14</v>
      </c>
      <c r="F732" s="1" t="s">
        <v>2040</v>
      </c>
      <c r="G732" s="39" t="s">
        <v>1900</v>
      </c>
      <c r="H732" s="1">
        <v>2</v>
      </c>
      <c r="I732" s="1">
        <v>1</v>
      </c>
      <c r="J732" s="39" t="s">
        <v>1939</v>
      </c>
      <c r="K732" s="1">
        <v>1</v>
      </c>
      <c r="L732" s="1">
        <v>2</v>
      </c>
      <c r="S732" s="1" t="str">
        <f>IF(tblDados[[#This Row],[Mandante]]="","",TEXT(tblDados[[#This Row],[Data]],"aaaa-mm-dd")&amp;"|"&amp;TRIM(tblDados[[#This Row],[Mandante]])&amp;"|"&amp;TRIM(tblDados[[#This Row],[Visitante]]))</f>
        <v>2026-05-23|Novorizontino|Ceará</v>
      </c>
      <c r="T732" s="1">
        <f>IF($G732="",0,IF(COUNTIF($S$2:$S732,$S732)=1,1,0))</f>
        <v>1</v>
      </c>
      <c r="U732" s="19" t="str" cm="1">
        <f t="array" ref="U7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2" s="19" t="str" cm="1">
        <f t="array" ref="V7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3" spans="1:22" x14ac:dyDescent="0.3">
      <c r="A733" s="1" t="s">
        <v>2041</v>
      </c>
      <c r="B733" s="5">
        <v>46158</v>
      </c>
      <c r="C733" s="6">
        <v>0.85416666666666663</v>
      </c>
      <c r="D733" s="1" t="s">
        <v>12</v>
      </c>
      <c r="E733" s="1" t="s">
        <v>14</v>
      </c>
      <c r="F733" s="1" t="s">
        <v>2042</v>
      </c>
      <c r="G733" s="39" t="s">
        <v>93</v>
      </c>
      <c r="H733" s="1">
        <v>0</v>
      </c>
      <c r="I733" s="1">
        <v>0</v>
      </c>
      <c r="J733" s="39" t="s">
        <v>1900</v>
      </c>
      <c r="K733" s="1">
        <v>0</v>
      </c>
      <c r="L733" s="1">
        <v>0</v>
      </c>
      <c r="S733" s="1" t="str">
        <f>IF(tblDados[[#This Row],[Mandante]]="","",TEXT(tblDados[[#This Row],[Data]],"aaaa-mm-dd")&amp;"|"&amp;TRIM(tblDados[[#This Row],[Mandante]])&amp;"|"&amp;TRIM(tblDados[[#This Row],[Visitante]]))</f>
        <v>2026-05-16|Cuiabá|Novorizontino</v>
      </c>
      <c r="T733" s="1">
        <f>IF($G733="",0,IF(COUNTIF($S$2:$S733,$S733)=1,1,0))</f>
        <v>1</v>
      </c>
      <c r="U733" s="19" t="str" cm="1">
        <f t="array" ref="U7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3" s="19" t="str" cm="1">
        <f t="array" ref="V7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4" spans="1:22" x14ac:dyDescent="0.3">
      <c r="A734" s="1" t="s">
        <v>2043</v>
      </c>
      <c r="B734" s="5">
        <v>46152</v>
      </c>
      <c r="C734" s="6">
        <v>0.8125</v>
      </c>
      <c r="D734" s="1" t="s">
        <v>12</v>
      </c>
      <c r="E734" s="1" t="s">
        <v>14</v>
      </c>
      <c r="F734" s="1" t="s">
        <v>2044</v>
      </c>
      <c r="G734" s="39" t="s">
        <v>1900</v>
      </c>
      <c r="H734" s="1">
        <v>1</v>
      </c>
      <c r="I734" s="1">
        <v>0</v>
      </c>
      <c r="J734" s="39" t="s">
        <v>124</v>
      </c>
      <c r="K734" s="1">
        <v>0</v>
      </c>
      <c r="L734" s="1">
        <v>1</v>
      </c>
      <c r="S734" s="1" t="str">
        <f>IF(tblDados[[#This Row],[Mandante]]="","",TEXT(tblDados[[#This Row],[Data]],"aaaa-mm-dd")&amp;"|"&amp;TRIM(tblDados[[#This Row],[Mandante]])&amp;"|"&amp;TRIM(tblDados[[#This Row],[Visitante]]))</f>
        <v>2026-05-10|Novorizontino|Botafogo SP</v>
      </c>
      <c r="T734" s="1">
        <f>IF($G734="",0,IF(COUNTIF($S$2:$S734,$S734)=1,1,0))</f>
        <v>1</v>
      </c>
      <c r="U734" s="19" t="str" cm="1">
        <f t="array" ref="U7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4" s="19" t="str" cm="1">
        <f t="array" ref="V7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5" spans="1:22" ht="14.4" x14ac:dyDescent="0.3">
      <c r="A735" s="1" t="s">
        <v>2045</v>
      </c>
      <c r="B735" s="5">
        <v>46145</v>
      </c>
      <c r="C735" s="6">
        <v>0.85416666666666663</v>
      </c>
      <c r="D735" s="1" t="s">
        <v>12</v>
      </c>
      <c r="E735" s="1" t="s">
        <v>14</v>
      </c>
      <c r="F735" s="1" t="s">
        <v>2046</v>
      </c>
      <c r="G735" s="39" t="s">
        <v>107</v>
      </c>
      <c r="H735" s="1">
        <v>3</v>
      </c>
      <c r="I735" s="1">
        <v>3</v>
      </c>
      <c r="J735" s="39" t="s">
        <v>1900</v>
      </c>
      <c r="K735" s="1">
        <v>3</v>
      </c>
      <c r="L735" s="1">
        <v>3</v>
      </c>
      <c r="S735" s="1" t="str">
        <f>IF(tblDados[[#This Row],[Mandante]]="","",TEXT(tblDados[[#This Row],[Data]],"aaaa-mm-dd")&amp;"|"&amp;TRIM(tblDados[[#This Row],[Mandante]])&amp;"|"&amp;TRIM(tblDados[[#This Row],[Visitante]]))</f>
        <v>2026-05-03|Avaí|Novorizontino</v>
      </c>
      <c r="T735">
        <f>IF($G735="",0,IF(COUNTIF($S$2:$S2834,$S735)=1,1,0))</f>
        <v>1</v>
      </c>
      <c r="U735" s="19" t="str" cm="1">
        <f t="array" ref="U7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5" s="19" t="str" cm="1">
        <f t="array" ref="V7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6" spans="1:22" x14ac:dyDescent="0.3">
      <c r="A736" s="1" t="s">
        <v>2047</v>
      </c>
      <c r="B736" s="5">
        <v>46226</v>
      </c>
      <c r="C736" s="6">
        <v>0.85416666666666663</v>
      </c>
      <c r="D736" s="1" t="s">
        <v>12</v>
      </c>
      <c r="E736" s="1" t="s">
        <v>14</v>
      </c>
      <c r="F736" s="1" t="s">
        <v>2048</v>
      </c>
      <c r="G736" s="39" t="s">
        <v>93</v>
      </c>
      <c r="H736" s="1">
        <v>0</v>
      </c>
      <c r="I736" s="1">
        <v>1</v>
      </c>
      <c r="J736" s="39" t="s">
        <v>88</v>
      </c>
      <c r="K736" s="1">
        <v>1</v>
      </c>
      <c r="L736" s="1">
        <v>0</v>
      </c>
      <c r="S736" s="1" t="str">
        <f>IF(tblDados[[#This Row],[Mandante]]="","",TEXT(tblDados[[#This Row],[Data]],"aaaa-mm-dd")&amp;"|"&amp;TRIM(tblDados[[#This Row],[Mandante]])&amp;"|"&amp;TRIM(tblDados[[#This Row],[Visitante]]))</f>
        <v>2026-07-23|Cuiabá|Atlético-GO</v>
      </c>
      <c r="T736" s="1">
        <f>IF($G736="",0,IF(COUNTIF($S$2:$S736,$S736)=1,1,0))</f>
        <v>1</v>
      </c>
      <c r="U736" s="19" t="str" cm="1">
        <f t="array" ref="U7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6" s="19" t="str" cm="1">
        <f t="array" ref="V7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7" spans="1:22" x14ac:dyDescent="0.3">
      <c r="A737" s="1" t="s">
        <v>2049</v>
      </c>
      <c r="B737" s="5">
        <v>46221</v>
      </c>
      <c r="C737" s="6">
        <v>0.75</v>
      </c>
      <c r="D737" s="1" t="s">
        <v>12</v>
      </c>
      <c r="E737" s="1" t="s">
        <v>14</v>
      </c>
      <c r="F737" s="1" t="s">
        <v>2050</v>
      </c>
      <c r="G737" s="39" t="s">
        <v>88</v>
      </c>
      <c r="H737" s="1">
        <v>0</v>
      </c>
      <c r="I737" s="1">
        <v>0</v>
      </c>
      <c r="J737" s="39" t="s">
        <v>102</v>
      </c>
      <c r="K737" s="1">
        <v>0</v>
      </c>
      <c r="L737" s="1">
        <v>0</v>
      </c>
      <c r="S737" s="1" t="str">
        <f>IF(tblDados[[#This Row],[Mandante]]="","",TEXT(tblDados[[#This Row],[Data]],"aaaa-mm-dd")&amp;"|"&amp;TRIM(tblDados[[#This Row],[Mandante]])&amp;"|"&amp;TRIM(tblDados[[#This Row],[Visitante]]))</f>
        <v>2026-07-18|Atlético-GO|Athletic Club-MG</v>
      </c>
      <c r="T737" s="1">
        <f>IF($G737="",0,IF(COUNTIF($S$2:$S737,$S737)=1,1,0))</f>
        <v>1</v>
      </c>
      <c r="U737" s="19" t="str" cm="1">
        <f t="array" ref="U7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7" s="19" t="str" cm="1">
        <f t="array" ref="V7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8" spans="1:22" x14ac:dyDescent="0.3">
      <c r="A738" s="1" t="s">
        <v>2051</v>
      </c>
      <c r="B738" s="5">
        <v>46201</v>
      </c>
      <c r="C738" s="6">
        <v>0.66666666666666663</v>
      </c>
      <c r="D738" s="1" t="s">
        <v>12</v>
      </c>
      <c r="E738" s="1" t="s">
        <v>14</v>
      </c>
      <c r="F738" s="1" t="s">
        <v>2052</v>
      </c>
      <c r="G738" s="39" t="s">
        <v>88</v>
      </c>
      <c r="H738" s="1">
        <v>2</v>
      </c>
      <c r="I738" s="1">
        <v>0</v>
      </c>
      <c r="J738" s="39" t="s">
        <v>101</v>
      </c>
      <c r="K738" s="1">
        <v>0</v>
      </c>
      <c r="L738" s="1">
        <v>2</v>
      </c>
      <c r="S738" s="1" t="str">
        <f>IF(tblDados[[#This Row],[Mandante]]="","",TEXT(tblDados[[#This Row],[Data]],"aaaa-mm-dd")&amp;"|"&amp;TRIM(tblDados[[#This Row],[Mandante]])&amp;"|"&amp;TRIM(tblDados[[#This Row],[Visitante]]))</f>
        <v>2026-06-28|Atlético-GO|Ponte Preta</v>
      </c>
      <c r="T738" s="1">
        <f>IF($G738="",0,IF(COUNTIF($S$2:$S738,$S738)=1,1,0))</f>
        <v>1</v>
      </c>
      <c r="U738" s="19" t="str" cm="1">
        <f t="array" ref="U7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8" s="19" t="str" cm="1">
        <f t="array" ref="V7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9" spans="1:22" x14ac:dyDescent="0.3">
      <c r="A739" s="1" t="s">
        <v>2053</v>
      </c>
      <c r="B739" s="5">
        <v>46185</v>
      </c>
      <c r="C739" s="6">
        <v>0.79166666666666663</v>
      </c>
      <c r="D739" s="1" t="s">
        <v>12</v>
      </c>
      <c r="E739" s="1" t="s">
        <v>14</v>
      </c>
      <c r="F739" s="1" t="s">
        <v>2054</v>
      </c>
      <c r="G739" s="39" t="s">
        <v>88</v>
      </c>
      <c r="H739" s="1">
        <v>3</v>
      </c>
      <c r="I739" s="1">
        <v>3</v>
      </c>
      <c r="J739" s="39" t="s">
        <v>83</v>
      </c>
      <c r="K739" s="1">
        <v>3</v>
      </c>
      <c r="L739" s="1">
        <v>3</v>
      </c>
      <c r="S739" s="1" t="str">
        <f>IF(tblDados[[#This Row],[Mandante]]="","",TEXT(tblDados[[#This Row],[Data]],"aaaa-mm-dd")&amp;"|"&amp;TRIM(tblDados[[#This Row],[Mandante]])&amp;"|"&amp;TRIM(tblDados[[#This Row],[Visitante]]))</f>
        <v>2026-06-12|Atlético-GO|CRB</v>
      </c>
      <c r="T739" s="1">
        <f>IF($G739="",0,IF(COUNTIF($S$2:$S739,$S739)=1,1,0))</f>
        <v>1</v>
      </c>
      <c r="U739" s="19" t="str" cm="1">
        <f t="array" ref="U7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9" s="19" t="str" cm="1">
        <f t="array" ref="V7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0" spans="1:22" x14ac:dyDescent="0.3">
      <c r="A740" s="1" t="s">
        <v>2055</v>
      </c>
      <c r="B740" s="5">
        <v>46181</v>
      </c>
      <c r="C740" s="6">
        <v>0.83333333333333337</v>
      </c>
      <c r="D740" s="1" t="s">
        <v>12</v>
      </c>
      <c r="E740" s="1" t="s">
        <v>14</v>
      </c>
      <c r="F740" s="1" t="s">
        <v>2056</v>
      </c>
      <c r="G740" s="39" t="s">
        <v>1888</v>
      </c>
      <c r="H740" s="1">
        <v>1</v>
      </c>
      <c r="I740" s="1">
        <v>2</v>
      </c>
      <c r="J740" s="39" t="s">
        <v>88</v>
      </c>
      <c r="K740" s="1">
        <v>2</v>
      </c>
      <c r="L740" s="1">
        <v>1</v>
      </c>
      <c r="S740" s="1" t="str">
        <f>IF(tblDados[[#This Row],[Mandante]]="","",TEXT(tblDados[[#This Row],[Data]],"aaaa-mm-dd")&amp;"|"&amp;TRIM(tblDados[[#This Row],[Mandante]])&amp;"|"&amp;TRIM(tblDados[[#This Row],[Visitante]]))</f>
        <v>2026-06-08|América-MG|Atlético-GO</v>
      </c>
      <c r="T740" s="1">
        <f>IF($G740="",0,IF(COUNTIF($S$2:$S740,$S740)=1,1,0))</f>
        <v>1</v>
      </c>
      <c r="U740" s="19" t="str" cm="1">
        <f t="array" ref="U7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0" s="19" t="str" cm="1">
        <f t="array" ref="V7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1" spans="1:22" x14ac:dyDescent="0.3">
      <c r="A741" s="1" t="s">
        <v>2057</v>
      </c>
      <c r="B741" s="5">
        <v>46172</v>
      </c>
      <c r="C741" s="6">
        <v>0.66666666666666663</v>
      </c>
      <c r="D741" s="1" t="s">
        <v>12</v>
      </c>
      <c r="E741" s="1" t="s">
        <v>14</v>
      </c>
      <c r="F741" s="1" t="s">
        <v>2058</v>
      </c>
      <c r="G741" s="39" t="s">
        <v>88</v>
      </c>
      <c r="H741" s="1">
        <v>1</v>
      </c>
      <c r="I741" s="1">
        <v>1</v>
      </c>
      <c r="J741" s="39" t="s">
        <v>1930</v>
      </c>
      <c r="K741" s="1">
        <v>1</v>
      </c>
      <c r="L741" s="1">
        <v>1</v>
      </c>
      <c r="S741" s="1" t="str">
        <f>IF(tblDados[[#This Row],[Mandante]]="","",TEXT(tblDados[[#This Row],[Data]],"aaaa-mm-dd")&amp;"|"&amp;TRIM(tblDados[[#This Row],[Mandante]])&amp;"|"&amp;TRIM(tblDados[[#This Row],[Visitante]]))</f>
        <v>2026-05-30|Atlético-GO|Goiás</v>
      </c>
      <c r="T741" s="1">
        <f>IF($G741="",0,IF(COUNTIF($S$2:$S741,$S741)=1,1,0))</f>
        <v>1</v>
      </c>
      <c r="U741" s="19" t="str" cm="1">
        <f t="array" ref="U7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1" s="19" t="str" cm="1">
        <f t="array" ref="V7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2" spans="1:22" x14ac:dyDescent="0.3">
      <c r="A742" s="1" t="s">
        <v>2059</v>
      </c>
      <c r="B742" s="5">
        <v>46166</v>
      </c>
      <c r="C742" s="6">
        <v>0.66666666666666663</v>
      </c>
      <c r="D742" s="1" t="s">
        <v>12</v>
      </c>
      <c r="E742" s="1" t="s">
        <v>14</v>
      </c>
      <c r="F742" s="1" t="s">
        <v>2060</v>
      </c>
      <c r="G742" s="39" t="s">
        <v>88</v>
      </c>
      <c r="H742" s="1">
        <v>0</v>
      </c>
      <c r="I742" s="1">
        <v>1</v>
      </c>
      <c r="J742" s="39" t="s">
        <v>1903</v>
      </c>
      <c r="K742" s="1">
        <v>1</v>
      </c>
      <c r="L742" s="1">
        <v>0</v>
      </c>
      <c r="S742" s="1" t="str">
        <f>IF(tblDados[[#This Row],[Mandante]]="","",TEXT(tblDados[[#This Row],[Data]],"aaaa-mm-dd")&amp;"|"&amp;TRIM(tblDados[[#This Row],[Mandante]])&amp;"|"&amp;TRIM(tblDados[[#This Row],[Visitante]]))</f>
        <v>2026-05-24|Atlético-GO|São Bernardo</v>
      </c>
      <c r="T742" s="1">
        <f>IF($G742="",0,IF(COUNTIF($S$2:$S742,$S742)=1,1,0))</f>
        <v>1</v>
      </c>
      <c r="U742" s="19" t="str" cm="1">
        <f t="array" ref="U7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2" s="19" t="str" cm="1">
        <f t="array" ref="V7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3" spans="1:22" ht="14.4" x14ac:dyDescent="0.3">
      <c r="A743" s="1" t="s">
        <v>2061</v>
      </c>
      <c r="B743" s="5">
        <v>46151</v>
      </c>
      <c r="C743" s="6">
        <v>0.79166666666666663</v>
      </c>
      <c r="D743" s="1" t="s">
        <v>12</v>
      </c>
      <c r="E743" s="1" t="s">
        <v>14</v>
      </c>
      <c r="F743" s="1" t="s">
        <v>2062</v>
      </c>
      <c r="G743" s="39" t="s">
        <v>1939</v>
      </c>
      <c r="H743" s="1">
        <v>0</v>
      </c>
      <c r="I743" s="1">
        <v>1</v>
      </c>
      <c r="J743" s="39" t="s">
        <v>88</v>
      </c>
      <c r="K743" s="1">
        <v>1</v>
      </c>
      <c r="L743" s="1">
        <v>0</v>
      </c>
      <c r="S743" s="1" t="str">
        <f>IF(tblDados[[#This Row],[Mandante]]="","",TEXT(tblDados[[#This Row],[Data]],"aaaa-mm-dd")&amp;"|"&amp;TRIM(tblDados[[#This Row],[Mandante]])&amp;"|"&amp;TRIM(tblDados[[#This Row],[Visitante]]))</f>
        <v>2026-05-09|Ceará|Atlético-GO</v>
      </c>
      <c r="T743">
        <f>IF($G743="",0,IF(COUNTIF($S$2:$S2834,$S743)=1,1,0))</f>
        <v>1</v>
      </c>
      <c r="U743" s="19" t="str" cm="1">
        <f t="array" ref="U7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3" s="19" t="str" cm="1">
        <f t="array" ref="V7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4" spans="1:22" x14ac:dyDescent="0.3">
      <c r="A744" s="1" t="s">
        <v>2063</v>
      </c>
      <c r="B744" s="5">
        <v>46225</v>
      </c>
      <c r="C744" s="6">
        <v>0.8125</v>
      </c>
      <c r="D744" s="1" t="s">
        <v>12</v>
      </c>
      <c r="E744" s="1" t="s">
        <v>14</v>
      </c>
      <c r="F744" s="1" t="s">
        <v>2064</v>
      </c>
      <c r="G744" s="39" t="s">
        <v>1939</v>
      </c>
      <c r="H744" s="1">
        <v>0</v>
      </c>
      <c r="I744" s="1">
        <v>1</v>
      </c>
      <c r="J744" s="39" t="s">
        <v>83</v>
      </c>
      <c r="K744" s="1">
        <v>1</v>
      </c>
      <c r="L744" s="1">
        <v>0</v>
      </c>
      <c r="S744" s="1" t="str">
        <f>IF(tblDados[[#This Row],[Mandante]]="","",TEXT(tblDados[[#This Row],[Data]],"aaaa-mm-dd")&amp;"|"&amp;TRIM(tblDados[[#This Row],[Mandante]])&amp;"|"&amp;TRIM(tblDados[[#This Row],[Visitante]]))</f>
        <v>2026-07-22|Ceará|CRB</v>
      </c>
      <c r="T744" s="1">
        <f>IF($G744="",0,IF(COUNTIF($S$2:$S744,$S744)=1,1,0))</f>
        <v>1</v>
      </c>
      <c r="U744" s="19" t="str" cm="1">
        <f t="array" ref="U7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4" s="19" t="str" cm="1">
        <f t="array" ref="V7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5" spans="1:22" x14ac:dyDescent="0.3">
      <c r="A745" s="1" t="s">
        <v>2065</v>
      </c>
      <c r="B745" s="5">
        <v>46219</v>
      </c>
      <c r="C745" s="6">
        <v>0.83333333333333337</v>
      </c>
      <c r="D745" s="1" t="s">
        <v>12</v>
      </c>
      <c r="E745" s="1" t="s">
        <v>14</v>
      </c>
      <c r="F745" s="1" t="s">
        <v>2066</v>
      </c>
      <c r="G745" s="39" t="s">
        <v>83</v>
      </c>
      <c r="H745" s="1">
        <v>2</v>
      </c>
      <c r="I745" s="1">
        <v>1</v>
      </c>
      <c r="J745" s="39" t="s">
        <v>1897</v>
      </c>
      <c r="K745" s="1">
        <v>1</v>
      </c>
      <c r="L745" s="1">
        <v>2</v>
      </c>
      <c r="S745" s="1" t="str">
        <f>IF(tblDados[[#This Row],[Mandante]]="","",TEXT(tblDados[[#This Row],[Data]],"aaaa-mm-dd")&amp;"|"&amp;TRIM(tblDados[[#This Row],[Mandante]])&amp;"|"&amp;TRIM(tblDados[[#This Row],[Visitante]]))</f>
        <v>2026-07-16|CRB|Náutico</v>
      </c>
      <c r="T745" s="1">
        <f>IF($G745="",0,IF(COUNTIF($S$2:$S745,$S745)=1,1,0))</f>
        <v>1</v>
      </c>
      <c r="U745" s="19" t="str" cm="1">
        <f t="array" ref="U7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5" s="19" t="str" cm="1">
        <f t="array" ref="V7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6" spans="1:22" x14ac:dyDescent="0.3">
      <c r="A746" s="1" t="s">
        <v>2067</v>
      </c>
      <c r="B746" s="5">
        <v>46215</v>
      </c>
      <c r="C746" s="6">
        <v>0.79166666666666663</v>
      </c>
      <c r="D746" s="1" t="s">
        <v>12</v>
      </c>
      <c r="E746" s="1" t="s">
        <v>14</v>
      </c>
      <c r="F746" s="1" t="s">
        <v>2068</v>
      </c>
      <c r="G746" s="39" t="s">
        <v>83</v>
      </c>
      <c r="H746" s="1">
        <v>2</v>
      </c>
      <c r="I746" s="1">
        <v>2</v>
      </c>
      <c r="J746" s="39" t="s">
        <v>1930</v>
      </c>
      <c r="K746" s="1">
        <v>2</v>
      </c>
      <c r="L746" s="1">
        <v>2</v>
      </c>
      <c r="S746" s="1" t="str">
        <f>IF(tblDados[[#This Row],[Mandante]]="","",TEXT(tblDados[[#This Row],[Data]],"aaaa-mm-dd")&amp;"|"&amp;TRIM(tblDados[[#This Row],[Mandante]])&amp;"|"&amp;TRIM(tblDados[[#This Row],[Visitante]]))</f>
        <v>2026-07-12|CRB|Goiás</v>
      </c>
      <c r="T746" s="1">
        <f>IF($G746="",0,IF(COUNTIF($S$2:$S746,$S746)=1,1,0))</f>
        <v>1</v>
      </c>
      <c r="U746" s="19" t="str" cm="1">
        <f t="array" ref="U7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6" s="19" t="str" cm="1">
        <f t="array" ref="V7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7" spans="1:22" x14ac:dyDescent="0.3">
      <c r="A747" s="1" t="s">
        <v>2069</v>
      </c>
      <c r="B747" s="5">
        <v>46207</v>
      </c>
      <c r="C747" s="6">
        <v>0.66666666666666663</v>
      </c>
      <c r="D747" s="1" t="s">
        <v>12</v>
      </c>
      <c r="E747" s="1" t="s">
        <v>14</v>
      </c>
      <c r="F747" s="1" t="s">
        <v>2070</v>
      </c>
      <c r="G747" s="39" t="s">
        <v>1891</v>
      </c>
      <c r="H747" s="1">
        <v>5</v>
      </c>
      <c r="I747" s="1">
        <v>0</v>
      </c>
      <c r="J747" s="39" t="s">
        <v>83</v>
      </c>
      <c r="K747" s="1">
        <v>0</v>
      </c>
      <c r="L747" s="1">
        <v>5</v>
      </c>
      <c r="S747" s="1" t="str">
        <f>IF(tblDados[[#This Row],[Mandante]]="","",TEXT(tblDados[[#This Row],[Data]],"aaaa-mm-dd")&amp;"|"&amp;TRIM(tblDados[[#This Row],[Mandante]])&amp;"|"&amp;TRIM(tblDados[[#This Row],[Visitante]]))</f>
        <v>2026-07-04|Londrina|CRB</v>
      </c>
      <c r="T747" s="1">
        <f>IF($G747="",0,IF(COUNTIF($S$2:$S747,$S747)=1,1,0))</f>
        <v>1</v>
      </c>
      <c r="U747" s="19" t="str" cm="1">
        <f t="array" ref="U7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7" s="19" t="str" cm="1">
        <f t="array" ref="V7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8" spans="1:22" x14ac:dyDescent="0.3">
      <c r="A748" s="1" t="s">
        <v>2071</v>
      </c>
      <c r="B748" s="5">
        <v>46203</v>
      </c>
      <c r="C748" s="6">
        <v>0.79166666666666663</v>
      </c>
      <c r="D748" s="1" t="s">
        <v>12</v>
      </c>
      <c r="E748" s="1" t="s">
        <v>14</v>
      </c>
      <c r="F748" s="1" t="s">
        <v>2072</v>
      </c>
      <c r="G748" s="39" t="s">
        <v>124</v>
      </c>
      <c r="H748" s="1">
        <v>0</v>
      </c>
      <c r="I748" s="1">
        <v>1</v>
      </c>
      <c r="J748" s="39" t="s">
        <v>83</v>
      </c>
      <c r="K748" s="1">
        <v>1</v>
      </c>
      <c r="L748" s="1">
        <v>0</v>
      </c>
      <c r="S748" s="1" t="str">
        <f>IF(tblDados[[#This Row],[Mandante]]="","",TEXT(tblDados[[#This Row],[Data]],"aaaa-mm-dd")&amp;"|"&amp;TRIM(tblDados[[#This Row],[Mandante]])&amp;"|"&amp;TRIM(tblDados[[#This Row],[Visitante]]))</f>
        <v>2026-06-30|Botafogo SP|CRB</v>
      </c>
      <c r="T748" s="1">
        <f>IF($G748="",0,IF(COUNTIF($S$2:$S748,$S748)=1,1,0))</f>
        <v>1</v>
      </c>
      <c r="U748" s="19" t="str" cm="1">
        <f t="array" ref="U7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8" s="19" t="str" cm="1">
        <f t="array" ref="V7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9" spans="1:22" x14ac:dyDescent="0.3">
      <c r="A749" s="1" t="s">
        <v>2073</v>
      </c>
      <c r="B749" s="5">
        <v>46180</v>
      </c>
      <c r="C749" s="6">
        <v>0.77083333333333337</v>
      </c>
      <c r="D749" s="1" t="s">
        <v>12</v>
      </c>
      <c r="E749" s="1" t="s">
        <v>14</v>
      </c>
      <c r="F749" s="1" t="s">
        <v>2074</v>
      </c>
      <c r="G749" s="39" t="s">
        <v>83</v>
      </c>
      <c r="H749" s="1">
        <v>2</v>
      </c>
      <c r="I749" s="1">
        <v>3</v>
      </c>
      <c r="J749" s="39" t="s">
        <v>1903</v>
      </c>
      <c r="K749" s="1">
        <v>3</v>
      </c>
      <c r="L749" s="1">
        <v>2</v>
      </c>
      <c r="S749" s="1" t="str">
        <f>IF(tblDados[[#This Row],[Mandante]]="","",TEXT(tblDados[[#This Row],[Data]],"aaaa-mm-dd")&amp;"|"&amp;TRIM(tblDados[[#This Row],[Mandante]])&amp;"|"&amp;TRIM(tblDados[[#This Row],[Visitante]]))</f>
        <v>2026-06-07|CRB|São Bernardo</v>
      </c>
      <c r="T749" s="1">
        <f>IF($G749="",0,IF(COUNTIF($S$2:$S749,$S749)=1,1,0))</f>
        <v>1</v>
      </c>
      <c r="U749" s="19" t="str" cm="1">
        <f t="array" ref="U7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9" s="19" t="str" cm="1">
        <f t="array" ref="V7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0" spans="1:22" x14ac:dyDescent="0.3">
      <c r="A750" s="1" t="s">
        <v>2075</v>
      </c>
      <c r="B750" s="5">
        <v>46173</v>
      </c>
      <c r="C750" s="6">
        <v>0.77083333333333337</v>
      </c>
      <c r="D750" s="1" t="s">
        <v>12</v>
      </c>
      <c r="E750" s="1" t="s">
        <v>14</v>
      </c>
      <c r="F750" s="1" t="s">
        <v>2076</v>
      </c>
      <c r="G750" s="39" t="s">
        <v>93</v>
      </c>
      <c r="H750" s="1">
        <v>2</v>
      </c>
      <c r="I750" s="1">
        <v>0</v>
      </c>
      <c r="J750" s="39" t="s">
        <v>83</v>
      </c>
      <c r="K750" s="1">
        <v>0</v>
      </c>
      <c r="L750" s="1">
        <v>2</v>
      </c>
      <c r="S750" s="1" t="str">
        <f>IF(tblDados[[#This Row],[Mandante]]="","",TEXT(tblDados[[#This Row],[Data]],"aaaa-mm-dd")&amp;"|"&amp;TRIM(tblDados[[#This Row],[Mandante]])&amp;"|"&amp;TRIM(tblDados[[#This Row],[Visitante]]))</f>
        <v>2026-05-31|Cuiabá|CRB</v>
      </c>
      <c r="T750" s="1">
        <f>IF($G750="",0,IF(COUNTIF($S$2:$S750,$S750)=1,1,0))</f>
        <v>1</v>
      </c>
      <c r="U750" s="19" t="str" cm="1">
        <f t="array" ref="U7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0" s="19" t="str" cm="1">
        <f t="array" ref="V7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1" spans="1:22" x14ac:dyDescent="0.3">
      <c r="A751" s="1" t="s">
        <v>2077</v>
      </c>
      <c r="B751" s="5">
        <v>46166</v>
      </c>
      <c r="C751" s="6">
        <v>0.75</v>
      </c>
      <c r="D751" s="1" t="s">
        <v>12</v>
      </c>
      <c r="E751" s="1" t="s">
        <v>14</v>
      </c>
      <c r="F751" s="1" t="s">
        <v>2078</v>
      </c>
      <c r="G751" s="39" t="s">
        <v>83</v>
      </c>
      <c r="H751" s="1">
        <v>4</v>
      </c>
      <c r="I751" s="1">
        <v>2</v>
      </c>
      <c r="J751" s="39" t="s">
        <v>101</v>
      </c>
      <c r="K751" s="1">
        <v>2</v>
      </c>
      <c r="L751" s="1">
        <v>4</v>
      </c>
      <c r="S751" s="1" t="str">
        <f>IF(tblDados[[#This Row],[Mandante]]="","",TEXT(tblDados[[#This Row],[Data]],"aaaa-mm-dd")&amp;"|"&amp;TRIM(tblDados[[#This Row],[Mandante]])&amp;"|"&amp;TRIM(tblDados[[#This Row],[Visitante]]))</f>
        <v>2026-05-24|CRB|Ponte Preta</v>
      </c>
      <c r="T751" s="1">
        <f>IF($G751="",0,IF(COUNTIF($S$2:$S751,$S751)=1,1,0))</f>
        <v>1</v>
      </c>
      <c r="U751" s="19" t="str" cm="1">
        <f t="array" ref="U7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1" s="19" t="str" cm="1">
        <f t="array" ref="V7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2" spans="1:22" ht="14.4" x14ac:dyDescent="0.3">
      <c r="A752" s="1" t="s">
        <v>2079</v>
      </c>
      <c r="B752" s="5">
        <v>46145</v>
      </c>
      <c r="C752" s="6">
        <v>0.85416666666666663</v>
      </c>
      <c r="D752" s="1" t="s">
        <v>12</v>
      </c>
      <c r="E752" s="1" t="s">
        <v>14</v>
      </c>
      <c r="F752" s="1" t="s">
        <v>2080</v>
      </c>
      <c r="G752" s="39" t="s">
        <v>1888</v>
      </c>
      <c r="H752" s="1">
        <v>1</v>
      </c>
      <c r="I752" s="1">
        <v>2</v>
      </c>
      <c r="J752" s="39" t="s">
        <v>83</v>
      </c>
      <c r="K752" s="1">
        <v>2</v>
      </c>
      <c r="L752" s="1">
        <v>1</v>
      </c>
      <c r="S752" s="1" t="str">
        <f>IF(tblDados[[#This Row],[Mandante]]="","",TEXT(tblDados[[#This Row],[Data]],"aaaa-mm-dd")&amp;"|"&amp;TRIM(tblDados[[#This Row],[Mandante]])&amp;"|"&amp;TRIM(tblDados[[#This Row],[Visitante]]))</f>
        <v>2026-05-03|América-MG|CRB</v>
      </c>
      <c r="T752">
        <f>IF($G752="",0,IF(COUNTIF($S$2:$S2834,$S752)=1,1,0))</f>
        <v>1</v>
      </c>
      <c r="U752" s="19" t="str" cm="1">
        <f t="array" ref="U7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2" s="19" t="str" cm="1">
        <f t="array" ref="V7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3" spans="1:22" x14ac:dyDescent="0.3">
      <c r="A753" s="1" t="s">
        <v>2082</v>
      </c>
      <c r="B753" s="5">
        <v>46226</v>
      </c>
      <c r="C753" s="6">
        <v>0.8125</v>
      </c>
      <c r="D753" s="1" t="s">
        <v>12</v>
      </c>
      <c r="E753" s="1" t="s">
        <v>14</v>
      </c>
      <c r="F753" s="1" t="s">
        <v>2083</v>
      </c>
      <c r="G753" s="39" t="s">
        <v>102</v>
      </c>
      <c r="H753" s="1">
        <v>2</v>
      </c>
      <c r="I753" s="1">
        <v>1</v>
      </c>
      <c r="J753" s="39" t="s">
        <v>1903</v>
      </c>
      <c r="K753" s="1">
        <v>1</v>
      </c>
      <c r="L753" s="1">
        <v>2</v>
      </c>
      <c r="S753" s="1" t="str">
        <f>IF(tblDados[[#This Row],[Mandante]]="","",TEXT(tblDados[[#This Row],[Data]],"aaaa-mm-dd")&amp;"|"&amp;TRIM(tblDados[[#This Row],[Mandante]])&amp;"|"&amp;TRIM(tblDados[[#This Row],[Visitante]]))</f>
        <v>2026-07-23|Athletic Club-MG|São Bernardo</v>
      </c>
      <c r="T753" s="1">
        <f>IF($G753="",0,IF(COUNTIF($S$2:$S753,$S753)=1,1,0))</f>
        <v>1</v>
      </c>
      <c r="U753" s="19" t="str" cm="1">
        <f t="array" ref="U7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3" s="19" t="str" cm="1">
        <f t="array" ref="V7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4" spans="1:22" x14ac:dyDescent="0.3">
      <c r="A754" s="1" t="s">
        <v>2084</v>
      </c>
      <c r="B754" s="5">
        <v>46216</v>
      </c>
      <c r="C754" s="6">
        <v>0.85416666666666663</v>
      </c>
      <c r="D754" s="1" t="s">
        <v>12</v>
      </c>
      <c r="E754" s="1" t="s">
        <v>14</v>
      </c>
      <c r="F754" s="1" t="s">
        <v>2085</v>
      </c>
      <c r="G754" s="39" t="s">
        <v>1939</v>
      </c>
      <c r="H754" s="1">
        <v>0</v>
      </c>
      <c r="I754" s="1">
        <v>0</v>
      </c>
      <c r="J754" s="39" t="s">
        <v>102</v>
      </c>
      <c r="K754" s="1">
        <v>0</v>
      </c>
      <c r="L754" s="1">
        <v>0</v>
      </c>
      <c r="S754" s="1" t="str">
        <f>IF(tblDados[[#This Row],[Mandante]]="","",TEXT(tblDados[[#This Row],[Data]],"aaaa-mm-dd")&amp;"|"&amp;TRIM(tblDados[[#This Row],[Mandante]])&amp;"|"&amp;TRIM(tblDados[[#This Row],[Visitante]]))</f>
        <v>2026-07-13|Ceará|Athletic Club-MG</v>
      </c>
      <c r="T754" s="1">
        <f>IF($G754="",0,IF(COUNTIF($S$2:$S754,$S754)=1,1,0))</f>
        <v>1</v>
      </c>
      <c r="U754" s="19" t="str" cm="1">
        <f t="array" ref="U7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4" s="19" t="str" cm="1">
        <f t="array" ref="V7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5" spans="1:22" x14ac:dyDescent="0.3">
      <c r="A755" s="1" t="s">
        <v>2086</v>
      </c>
      <c r="B755" s="5">
        <v>46201</v>
      </c>
      <c r="C755" s="6">
        <v>0.66666666666666663</v>
      </c>
      <c r="D755" s="1" t="s">
        <v>12</v>
      </c>
      <c r="E755" s="1" t="s">
        <v>14</v>
      </c>
      <c r="F755" s="1" t="s">
        <v>2087</v>
      </c>
      <c r="G755" s="39" t="s">
        <v>102</v>
      </c>
      <c r="H755" s="1">
        <v>1</v>
      </c>
      <c r="I755" s="1">
        <v>0</v>
      </c>
      <c r="J755" s="39" t="s">
        <v>107</v>
      </c>
      <c r="K755" s="1">
        <v>0</v>
      </c>
      <c r="L755" s="1">
        <v>1</v>
      </c>
      <c r="S755" s="1" t="str">
        <f>IF(tblDados[[#This Row],[Mandante]]="","",TEXT(tblDados[[#This Row],[Data]],"aaaa-mm-dd")&amp;"|"&amp;TRIM(tblDados[[#This Row],[Mandante]])&amp;"|"&amp;TRIM(tblDados[[#This Row],[Visitante]]))</f>
        <v>2026-06-28|Athletic Club-MG|Avaí</v>
      </c>
      <c r="T755" s="1">
        <f>IF($G755="",0,IF(COUNTIF($S$2:$S755,$S755)=1,1,0))</f>
        <v>1</v>
      </c>
      <c r="U755" s="19" t="str" cm="1">
        <f t="array" ref="U7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5" s="19" t="str" cm="1">
        <f t="array" ref="V7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6" spans="1:22" x14ac:dyDescent="0.3">
      <c r="A756" s="1" t="s">
        <v>2088</v>
      </c>
      <c r="B756" s="5">
        <v>46193</v>
      </c>
      <c r="C756" s="6">
        <v>0.45833333333333331</v>
      </c>
      <c r="D756" s="1" t="s">
        <v>12</v>
      </c>
      <c r="E756" s="1" t="s">
        <v>14</v>
      </c>
      <c r="F756" s="1" t="s">
        <v>2089</v>
      </c>
      <c r="G756" s="39" t="s">
        <v>1891</v>
      </c>
      <c r="H756" s="1">
        <v>2</v>
      </c>
      <c r="I756" s="1">
        <v>0</v>
      </c>
      <c r="J756" s="39" t="s">
        <v>102</v>
      </c>
      <c r="K756" s="1">
        <v>0</v>
      </c>
      <c r="L756" s="1">
        <v>2</v>
      </c>
      <c r="S756" s="1" t="str">
        <f>IF(tblDados[[#This Row],[Mandante]]="","",TEXT(tblDados[[#This Row],[Data]],"aaaa-mm-dd")&amp;"|"&amp;TRIM(tblDados[[#This Row],[Mandante]])&amp;"|"&amp;TRIM(tblDados[[#This Row],[Visitante]]))</f>
        <v>2026-06-20|Londrina|Athletic Club-MG</v>
      </c>
      <c r="T756" s="1">
        <f>IF($G756="",0,IF(COUNTIF($S$2:$S756,$S756)=1,1,0))</f>
        <v>1</v>
      </c>
      <c r="U756" s="19" t="str" cm="1">
        <f t="array" ref="U7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6" s="19" t="str" cm="1">
        <f t="array" ref="V7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7" spans="1:22" x14ac:dyDescent="0.3">
      <c r="A757" s="1" t="s">
        <v>2090</v>
      </c>
      <c r="B757" s="5">
        <v>46187</v>
      </c>
      <c r="C757" s="6">
        <v>0.66666666666666663</v>
      </c>
      <c r="D757" s="1" t="s">
        <v>12</v>
      </c>
      <c r="E757" s="1" t="s">
        <v>14</v>
      </c>
      <c r="F757" s="1" t="s">
        <v>2091</v>
      </c>
      <c r="G757" s="39" t="s">
        <v>102</v>
      </c>
      <c r="H757" s="1">
        <v>1</v>
      </c>
      <c r="I757" s="1">
        <v>1</v>
      </c>
      <c r="J757" s="39" t="s">
        <v>1930</v>
      </c>
      <c r="K757" s="1">
        <v>1</v>
      </c>
      <c r="L757" s="1">
        <v>1</v>
      </c>
      <c r="S757" s="1" t="str">
        <f>IF(tblDados[[#This Row],[Mandante]]="","",TEXT(tblDados[[#This Row],[Data]],"aaaa-mm-dd")&amp;"|"&amp;TRIM(tblDados[[#This Row],[Mandante]])&amp;"|"&amp;TRIM(tblDados[[#This Row],[Visitante]]))</f>
        <v>2026-06-14|Athletic Club-MG|Goiás</v>
      </c>
      <c r="T757" s="1">
        <f>IF($G757="",0,IF(COUNTIF($S$2:$S757,$S757)=1,1,0))</f>
        <v>1</v>
      </c>
      <c r="U757" s="19" t="str" cm="1">
        <f t="array" ref="U7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7" s="19" t="str" cm="1">
        <f t="array" ref="V7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8" spans="1:22" x14ac:dyDescent="0.3">
      <c r="A758" s="1" t="s">
        <v>2092</v>
      </c>
      <c r="B758" s="5">
        <v>46167</v>
      </c>
      <c r="C758" s="6">
        <v>0.79166666666666663</v>
      </c>
      <c r="D758" s="1" t="s">
        <v>12</v>
      </c>
      <c r="E758" s="1" t="s">
        <v>14</v>
      </c>
      <c r="F758" s="1" t="s">
        <v>2093</v>
      </c>
      <c r="G758" s="39" t="s">
        <v>124</v>
      </c>
      <c r="H758" s="1">
        <v>1</v>
      </c>
      <c r="I758" s="1">
        <v>2</v>
      </c>
      <c r="J758" s="39" t="s">
        <v>102</v>
      </c>
      <c r="K758" s="1">
        <v>2</v>
      </c>
      <c r="L758" s="1">
        <v>1</v>
      </c>
      <c r="S758" s="1" t="str">
        <f>IF(tblDados[[#This Row],[Mandante]]="","",TEXT(tblDados[[#This Row],[Data]],"aaaa-mm-dd")&amp;"|"&amp;TRIM(tblDados[[#This Row],[Mandante]])&amp;"|"&amp;TRIM(tblDados[[#This Row],[Visitante]]))</f>
        <v>2026-05-25|Botafogo SP|Athletic Club-MG</v>
      </c>
      <c r="T758" s="1">
        <f>IF($G758="",0,IF(COUNTIF($S$2:$S758,$S758)=1,1,0))</f>
        <v>1</v>
      </c>
      <c r="U758" s="19" t="str" cm="1">
        <f t="array" ref="U7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8" s="19" t="str" cm="1">
        <f t="array" ref="V7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9" spans="1:22" x14ac:dyDescent="0.3">
      <c r="A759" s="1" t="s">
        <v>2094</v>
      </c>
      <c r="B759" s="5">
        <v>46151</v>
      </c>
      <c r="C759" s="6">
        <v>0.79166666666666663</v>
      </c>
      <c r="D759" s="1" t="s">
        <v>12</v>
      </c>
      <c r="E759" s="1" t="s">
        <v>14</v>
      </c>
      <c r="F759" s="1" t="s">
        <v>2095</v>
      </c>
      <c r="G759" s="39" t="s">
        <v>102</v>
      </c>
      <c r="H759" s="1">
        <v>0</v>
      </c>
      <c r="I759" s="1">
        <v>0</v>
      </c>
      <c r="J759" s="39" t="s">
        <v>93</v>
      </c>
      <c r="K759" s="1">
        <v>0</v>
      </c>
      <c r="L759" s="1">
        <v>0</v>
      </c>
      <c r="S759" s="1" t="str">
        <f>IF(tblDados[[#This Row],[Mandante]]="","",TEXT(tblDados[[#This Row],[Data]],"aaaa-mm-dd")&amp;"|"&amp;TRIM(tblDados[[#This Row],[Mandante]])&amp;"|"&amp;TRIM(tblDados[[#This Row],[Visitante]]))</f>
        <v>2026-05-09|Athletic Club-MG|Cuiabá</v>
      </c>
      <c r="T759" s="1">
        <f>IF($G759="",0,IF(COUNTIF($S$2:$S759,$S759)=1,1,0))</f>
        <v>1</v>
      </c>
      <c r="U759" s="19" t="str" cm="1">
        <f t="array" ref="U7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9" s="19" t="str" cm="1">
        <f t="array" ref="V7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0" spans="1:22" ht="14.4" x14ac:dyDescent="0.3">
      <c r="A760" s="1" t="s">
        <v>2096</v>
      </c>
      <c r="B760" s="5">
        <v>46146</v>
      </c>
      <c r="C760" s="6">
        <v>0.79166666666666663</v>
      </c>
      <c r="D760" s="1" t="s">
        <v>12</v>
      </c>
      <c r="E760" s="1" t="s">
        <v>14</v>
      </c>
      <c r="F760" s="1" t="s">
        <v>2097</v>
      </c>
      <c r="G760" s="39" t="s">
        <v>84</v>
      </c>
      <c r="H760" s="1">
        <v>1</v>
      </c>
      <c r="I760" s="1">
        <v>1</v>
      </c>
      <c r="J760" s="39" t="s">
        <v>102</v>
      </c>
      <c r="K760" s="1">
        <v>1</v>
      </c>
      <c r="L760" s="1">
        <v>1</v>
      </c>
      <c r="S760" s="1" t="str">
        <f>IF(tblDados[[#This Row],[Mandante]]="","",TEXT(tblDados[[#This Row],[Data]],"aaaa-mm-dd")&amp;"|"&amp;TRIM(tblDados[[#This Row],[Mandante]])&amp;"|"&amp;TRIM(tblDados[[#This Row],[Visitante]]))</f>
        <v>2026-05-04|Vila Nova|Athletic Club-MG</v>
      </c>
      <c r="T760">
        <f>IF($G760="",0,IF(COUNTIF($S$2:$S2834,$S760)=1,1,0))</f>
        <v>1</v>
      </c>
      <c r="U760" s="19" t="str" cm="1">
        <f t="array" ref="U7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0" s="19" t="str" cm="1">
        <f t="array" ref="V7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1" spans="1:22" x14ac:dyDescent="0.3">
      <c r="A761" s="1" t="s">
        <v>2098</v>
      </c>
      <c r="B761" s="5">
        <v>46225</v>
      </c>
      <c r="C761" s="6">
        <v>0.89583333333333337</v>
      </c>
      <c r="D761" s="1" t="s">
        <v>12</v>
      </c>
      <c r="E761" s="1" t="s">
        <v>14</v>
      </c>
      <c r="F761" s="1" t="s">
        <v>2099</v>
      </c>
      <c r="G761" s="39" t="s">
        <v>1897</v>
      </c>
      <c r="H761" s="1">
        <v>2</v>
      </c>
      <c r="I761" s="1">
        <v>1</v>
      </c>
      <c r="J761" s="39" t="s">
        <v>1891</v>
      </c>
      <c r="K761" s="1">
        <v>1</v>
      </c>
      <c r="L761" s="1">
        <v>2</v>
      </c>
      <c r="S761" s="1" t="str">
        <f>IF(tblDados[[#This Row],[Mandante]]="","",TEXT(tblDados[[#This Row],[Data]],"aaaa-mm-dd")&amp;"|"&amp;TRIM(tblDados[[#This Row],[Mandante]])&amp;"|"&amp;TRIM(tblDados[[#This Row],[Visitante]]))</f>
        <v>2026-07-22|Náutico|Londrina</v>
      </c>
      <c r="T761" s="1">
        <f>IF($G761="",0,IF(COUNTIF($S$2:$S761,$S761)=1,1,0))</f>
        <v>1</v>
      </c>
      <c r="U761" s="19" t="str" cm="1">
        <f t="array" ref="U7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1" s="19" t="str" cm="1">
        <f t="array" ref="V7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2" spans="1:22" x14ac:dyDescent="0.3">
      <c r="A762" s="1" t="s">
        <v>2100</v>
      </c>
      <c r="B762" s="5">
        <v>46215</v>
      </c>
      <c r="C762" s="6">
        <v>0.66666666666666663</v>
      </c>
      <c r="D762" s="1" t="s">
        <v>12</v>
      </c>
      <c r="E762" s="1" t="s">
        <v>14</v>
      </c>
      <c r="F762" s="1" t="s">
        <v>2101</v>
      </c>
      <c r="G762" s="39" t="s">
        <v>107</v>
      </c>
      <c r="H762" s="1">
        <v>2</v>
      </c>
      <c r="I762" s="1">
        <v>0</v>
      </c>
      <c r="J762" s="39" t="s">
        <v>1897</v>
      </c>
      <c r="K762" s="1">
        <v>0</v>
      </c>
      <c r="L762" s="1">
        <v>2</v>
      </c>
      <c r="S762" s="1" t="str">
        <f>IF(tblDados[[#This Row],[Mandante]]="","",TEXT(tblDados[[#This Row],[Data]],"aaaa-mm-dd")&amp;"|"&amp;TRIM(tblDados[[#This Row],[Mandante]])&amp;"|"&amp;TRIM(tblDados[[#This Row],[Visitante]]))</f>
        <v>2026-07-12|Avaí|Náutico</v>
      </c>
      <c r="T762" s="1">
        <f>IF($G762="",0,IF(COUNTIF($S$2:$S762,$S762)=1,1,0))</f>
        <v>1</v>
      </c>
      <c r="U762" s="19" t="str" cm="1">
        <f t="array" ref="U7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2" s="19" t="str" cm="1">
        <f t="array" ref="V7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3" spans="1:22" x14ac:dyDescent="0.3">
      <c r="A763" s="1" t="s">
        <v>2102</v>
      </c>
      <c r="B763" s="5">
        <v>46201</v>
      </c>
      <c r="C763" s="6">
        <v>0.77083333333333337</v>
      </c>
      <c r="D763" s="1" t="s">
        <v>12</v>
      </c>
      <c r="E763" s="1" t="s">
        <v>14</v>
      </c>
      <c r="F763" s="1" t="s">
        <v>2103</v>
      </c>
      <c r="G763" s="39" t="s">
        <v>1897</v>
      </c>
      <c r="H763" s="1">
        <v>0</v>
      </c>
      <c r="I763" s="1">
        <v>1</v>
      </c>
      <c r="J763" s="39" t="s">
        <v>1930</v>
      </c>
      <c r="K763" s="1">
        <v>1</v>
      </c>
      <c r="L763" s="1">
        <v>0</v>
      </c>
      <c r="S763" s="1" t="str">
        <f>IF(tblDados[[#This Row],[Mandante]]="","",TEXT(tblDados[[#This Row],[Data]],"aaaa-mm-dd")&amp;"|"&amp;TRIM(tblDados[[#This Row],[Mandante]])&amp;"|"&amp;TRIM(tblDados[[#This Row],[Visitante]]))</f>
        <v>2026-06-28|Náutico|Goiás</v>
      </c>
      <c r="T763" s="1">
        <f>IF($G763="",0,IF(COUNTIF($S$2:$S763,$S763)=1,1,0))</f>
        <v>1</v>
      </c>
      <c r="U763" s="19" t="str" cm="1">
        <f t="array" ref="U7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3" s="19" t="str" cm="1">
        <f t="array" ref="V7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4" spans="1:22" x14ac:dyDescent="0.3">
      <c r="A764" s="1" t="s">
        <v>2104</v>
      </c>
      <c r="B764" s="5">
        <v>46164</v>
      </c>
      <c r="C764" s="6">
        <v>0.79166666666666663</v>
      </c>
      <c r="D764" s="1" t="s">
        <v>12</v>
      </c>
      <c r="E764" s="1" t="s">
        <v>14</v>
      </c>
      <c r="F764" s="1" t="s">
        <v>2105</v>
      </c>
      <c r="G764" s="39" t="s">
        <v>1897</v>
      </c>
      <c r="H764" s="1">
        <v>1</v>
      </c>
      <c r="I764" s="1">
        <v>0</v>
      </c>
      <c r="J764" s="39" t="s">
        <v>93</v>
      </c>
      <c r="K764" s="1">
        <v>0</v>
      </c>
      <c r="L764" s="1">
        <v>1</v>
      </c>
      <c r="S764" s="1" t="str">
        <f>IF(tblDados[[#This Row],[Mandante]]="","",TEXT(tblDados[[#This Row],[Data]],"aaaa-mm-dd")&amp;"|"&amp;TRIM(tblDados[[#This Row],[Mandante]])&amp;"|"&amp;TRIM(tblDados[[#This Row],[Visitante]]))</f>
        <v>2026-05-22|Náutico|Cuiabá</v>
      </c>
      <c r="T764" s="1">
        <f>IF($G764="",0,IF(COUNTIF($S$2:$S764,$S764)=1,1,0))</f>
        <v>1</v>
      </c>
      <c r="U764" s="19" t="str" cm="1">
        <f t="array" ref="U7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4" s="19" t="str" cm="1">
        <f t="array" ref="V7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5" spans="1:22" x14ac:dyDescent="0.3">
      <c r="A765" s="1" t="s">
        <v>2106</v>
      </c>
      <c r="B765" s="5">
        <v>46152</v>
      </c>
      <c r="C765" s="6">
        <v>0.66666666666666663</v>
      </c>
      <c r="D765" s="1" t="s">
        <v>12</v>
      </c>
      <c r="E765" s="1" t="s">
        <v>14</v>
      </c>
      <c r="F765" s="1" t="s">
        <v>2107</v>
      </c>
      <c r="G765" s="39" t="s">
        <v>1897</v>
      </c>
      <c r="H765" s="1">
        <v>4</v>
      </c>
      <c r="I765" s="1">
        <v>0</v>
      </c>
      <c r="J765" s="39" t="s">
        <v>1888</v>
      </c>
      <c r="K765" s="1">
        <v>0</v>
      </c>
      <c r="L765" s="1">
        <v>4</v>
      </c>
      <c r="S765" s="1" t="str">
        <f>IF(tblDados[[#This Row],[Mandante]]="","",TEXT(tblDados[[#This Row],[Data]],"aaaa-mm-dd")&amp;"|"&amp;TRIM(tblDados[[#This Row],[Mandante]])&amp;"|"&amp;TRIM(tblDados[[#This Row],[Visitante]]))</f>
        <v>2026-05-10|Náutico|América-MG</v>
      </c>
      <c r="T765" s="1">
        <f>IF($G765="",0,IF(COUNTIF($S$2:$S765,$S765)=1,1,0))</f>
        <v>1</v>
      </c>
      <c r="U765" s="19" t="str" cm="1">
        <f t="array" ref="U7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5" s="19" t="str" cm="1">
        <f t="array" ref="V7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6" spans="1:22" ht="14.4" x14ac:dyDescent="0.3">
      <c r="A766" s="1" t="s">
        <v>2108</v>
      </c>
      <c r="B766" s="5">
        <v>46144</v>
      </c>
      <c r="C766" s="6">
        <v>0.66666666666666663</v>
      </c>
      <c r="D766" s="1" t="s">
        <v>12</v>
      </c>
      <c r="E766" s="1" t="s">
        <v>14</v>
      </c>
      <c r="F766" s="1" t="s">
        <v>2109</v>
      </c>
      <c r="G766" s="39" t="s">
        <v>124</v>
      </c>
      <c r="H766" s="1">
        <v>1</v>
      </c>
      <c r="I766" s="1">
        <v>1</v>
      </c>
      <c r="J766" s="39" t="s">
        <v>1897</v>
      </c>
      <c r="K766" s="1">
        <v>1</v>
      </c>
      <c r="L766" s="1">
        <v>1</v>
      </c>
      <c r="S766" s="1" t="str">
        <f>IF(tblDados[[#This Row],[Mandante]]="","",TEXT(tblDados[[#This Row],[Data]],"aaaa-mm-dd")&amp;"|"&amp;TRIM(tblDados[[#This Row],[Mandante]])&amp;"|"&amp;TRIM(tblDados[[#This Row],[Visitante]]))</f>
        <v>2026-05-02|Botafogo SP|Náutico</v>
      </c>
      <c r="T766">
        <f>IF($G766="",0,IF(COUNTIF($S$2:$S2834,$S766)=1,1,0))</f>
        <v>1</v>
      </c>
      <c r="U766" s="19" t="str" cm="1">
        <f t="array" ref="U7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6" s="19" t="str" cm="1">
        <f t="array" ref="V7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7" spans="1:22" x14ac:dyDescent="0.3">
      <c r="A767" s="1" t="s">
        <v>2112</v>
      </c>
      <c r="B767" s="5">
        <v>46220</v>
      </c>
      <c r="C767" s="6">
        <v>0.875</v>
      </c>
      <c r="D767" s="1" t="s">
        <v>12</v>
      </c>
      <c r="E767" s="1" t="s">
        <v>14</v>
      </c>
      <c r="F767" s="1" t="s">
        <v>2113</v>
      </c>
      <c r="G767" s="39" t="s">
        <v>1891</v>
      </c>
      <c r="H767" s="1">
        <v>0</v>
      </c>
      <c r="I767" s="1">
        <v>0</v>
      </c>
      <c r="J767" s="39" t="s">
        <v>124</v>
      </c>
      <c r="K767" s="1">
        <v>0</v>
      </c>
      <c r="L767" s="1">
        <v>0</v>
      </c>
      <c r="S767" s="1" t="str">
        <f>IF(tblDados[[#This Row],[Mandante]]="","",TEXT(tblDados[[#This Row],[Data]],"aaaa-mm-dd")&amp;"|"&amp;TRIM(tblDados[[#This Row],[Mandante]])&amp;"|"&amp;TRIM(tblDados[[#This Row],[Visitante]]))</f>
        <v>2026-07-17|Londrina|Botafogo SP</v>
      </c>
      <c r="T767" s="1">
        <f>IF($G767="",0,IF(COUNTIF($S$2:$S767,$S767)=1,1,0))</f>
        <v>1</v>
      </c>
      <c r="U767" s="19" t="str" cm="1">
        <f t="array" ref="U7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7" s="19" t="str" cm="1">
        <f t="array" ref="V7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8" spans="1:22" x14ac:dyDescent="0.3">
      <c r="A768" s="1" t="s">
        <v>2114</v>
      </c>
      <c r="B768" s="5">
        <v>46209</v>
      </c>
      <c r="C768" s="6">
        <v>0.79166666666666663</v>
      </c>
      <c r="D768" s="1" t="s">
        <v>12</v>
      </c>
      <c r="E768" s="1" t="s">
        <v>14</v>
      </c>
      <c r="F768" s="1" t="s">
        <v>2115</v>
      </c>
      <c r="G768" s="39" t="s">
        <v>124</v>
      </c>
      <c r="H768" s="1">
        <v>3</v>
      </c>
      <c r="I768" s="1">
        <v>1</v>
      </c>
      <c r="J768" s="39" t="s">
        <v>107</v>
      </c>
      <c r="K768" s="1">
        <v>1</v>
      </c>
      <c r="L768" s="1">
        <v>3</v>
      </c>
      <c r="S768" s="1" t="str">
        <f>IF(tblDados[[#This Row],[Mandante]]="","",TEXT(tblDados[[#This Row],[Data]],"aaaa-mm-dd")&amp;"|"&amp;TRIM(tblDados[[#This Row],[Mandante]])&amp;"|"&amp;TRIM(tblDados[[#This Row],[Visitante]]))</f>
        <v>2026-07-06|Botafogo SP|Avaí</v>
      </c>
      <c r="T768" s="1">
        <f>IF($G768="",0,IF(COUNTIF($S$2:$S768,$S768)=1,1,0))</f>
        <v>1</v>
      </c>
      <c r="U768" s="19" t="str" cm="1">
        <f t="array" ref="U7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8" s="19" t="str" cm="1">
        <f t="array" ref="V7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9" spans="1:22" x14ac:dyDescent="0.3">
      <c r="A769" s="1" t="s">
        <v>2116</v>
      </c>
      <c r="B769" s="5">
        <v>46193</v>
      </c>
      <c r="C769" s="6">
        <v>0.79166666666666663</v>
      </c>
      <c r="D769" s="1" t="s">
        <v>12</v>
      </c>
      <c r="E769" s="1" t="s">
        <v>14</v>
      </c>
      <c r="F769" s="1" t="s">
        <v>2117</v>
      </c>
      <c r="G769" s="39" t="s">
        <v>1939</v>
      </c>
      <c r="H769" s="1">
        <v>0</v>
      </c>
      <c r="I769" s="1">
        <v>1</v>
      </c>
      <c r="J769" s="39" t="s">
        <v>124</v>
      </c>
      <c r="K769" s="1">
        <v>1</v>
      </c>
      <c r="L769" s="1">
        <v>0</v>
      </c>
      <c r="S769" s="1" t="str">
        <f>IF(tblDados[[#This Row],[Mandante]]="","",TEXT(tblDados[[#This Row],[Data]],"aaaa-mm-dd")&amp;"|"&amp;TRIM(tblDados[[#This Row],[Mandante]])&amp;"|"&amp;TRIM(tblDados[[#This Row],[Visitante]]))</f>
        <v>2026-06-20|Ceará|Botafogo SP</v>
      </c>
      <c r="T769" s="1">
        <f>IF($G769="",0,IF(COUNTIF($S$2:$S769,$S769)=1,1,0))</f>
        <v>1</v>
      </c>
      <c r="U769" s="19" t="str" cm="1">
        <f t="array" ref="U7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9" s="19" t="str" cm="1">
        <f t="array" ref="V7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0" spans="1:22" x14ac:dyDescent="0.3">
      <c r="A770" s="1" t="s">
        <v>2118</v>
      </c>
      <c r="B770" s="5">
        <v>46174</v>
      </c>
      <c r="C770" s="6">
        <v>0.79166666666666663</v>
      </c>
      <c r="D770" s="1" t="s">
        <v>12</v>
      </c>
      <c r="E770" s="1" t="s">
        <v>14</v>
      </c>
      <c r="F770" s="1" t="s">
        <v>2119</v>
      </c>
      <c r="G770" s="39" t="s">
        <v>101</v>
      </c>
      <c r="H770" s="1">
        <v>0</v>
      </c>
      <c r="I770" s="1">
        <v>0</v>
      </c>
      <c r="J770" s="39" t="s">
        <v>124</v>
      </c>
      <c r="K770" s="1">
        <v>0</v>
      </c>
      <c r="L770" s="1">
        <v>0</v>
      </c>
      <c r="S770" s="1" t="str">
        <f>IF(tblDados[[#This Row],[Mandante]]="","",TEXT(tblDados[[#This Row],[Data]],"aaaa-mm-dd")&amp;"|"&amp;TRIM(tblDados[[#This Row],[Mandante]])&amp;"|"&amp;TRIM(tblDados[[#This Row],[Visitante]]))</f>
        <v>2026-06-01|Ponte Preta|Botafogo SP</v>
      </c>
      <c r="T770" s="1">
        <f>IF($G770="",0,IF(COUNTIF($S$2:$S770,$S770)=1,1,0))</f>
        <v>1</v>
      </c>
      <c r="U770" s="19" t="str" cm="1">
        <f t="array" ref="U7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0" s="19" t="str" cm="1">
        <f t="array" ref="V7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1" spans="1:22" ht="14.4" x14ac:dyDescent="0.3">
      <c r="A771" s="1" t="s">
        <v>2120</v>
      </c>
      <c r="B771" s="5">
        <v>46158</v>
      </c>
      <c r="C771" s="6">
        <v>0.77083333333333337</v>
      </c>
      <c r="D771" s="1" t="s">
        <v>12</v>
      </c>
      <c r="E771" s="1" t="s">
        <v>14</v>
      </c>
      <c r="F771" s="1" t="s">
        <v>2121</v>
      </c>
      <c r="G771" s="39" t="s">
        <v>1930</v>
      </c>
      <c r="H771" s="1">
        <v>1</v>
      </c>
      <c r="I771" s="1">
        <v>0</v>
      </c>
      <c r="J771" s="39" t="s">
        <v>124</v>
      </c>
      <c r="K771" s="1">
        <v>0</v>
      </c>
      <c r="L771" s="1">
        <v>1</v>
      </c>
      <c r="S771" s="1" t="str">
        <f>IF(tblDados[[#This Row],[Mandante]]="","",TEXT(tblDados[[#This Row],[Data]],"aaaa-mm-dd")&amp;"|"&amp;TRIM(tblDados[[#This Row],[Mandante]])&amp;"|"&amp;TRIM(tblDados[[#This Row],[Visitante]]))</f>
        <v>2026-05-16|Goiás|Botafogo SP</v>
      </c>
      <c r="T771">
        <f>IF($G771="",0,IF(COUNTIF($S$2:$S2834,$S771)=1,1,0))</f>
        <v>1</v>
      </c>
      <c r="U771" s="19" t="str" cm="1">
        <f t="array" ref="U7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1" s="19" t="str" cm="1">
        <f t="array" ref="V7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2" spans="1:22" x14ac:dyDescent="0.3">
      <c r="A772" s="1" t="s">
        <v>2122</v>
      </c>
      <c r="B772" s="5">
        <v>46241</v>
      </c>
      <c r="C772" s="6">
        <v>0.85416666666666663</v>
      </c>
      <c r="D772" s="1" t="s">
        <v>12</v>
      </c>
      <c r="E772" s="1" t="s">
        <v>14</v>
      </c>
      <c r="F772" s="1" t="s">
        <v>2123</v>
      </c>
      <c r="G772" s="39" t="s">
        <v>1939</v>
      </c>
      <c r="H772" s="1">
        <v>2</v>
      </c>
      <c r="I772" s="1">
        <v>0</v>
      </c>
      <c r="J772" s="39" t="s">
        <v>101</v>
      </c>
      <c r="K772" s="1">
        <v>0</v>
      </c>
      <c r="L772" s="1">
        <v>2</v>
      </c>
      <c r="S772" s="1" t="str">
        <f>IF(tblDados[[#This Row],[Mandante]]="","",TEXT(tblDados[[#This Row],[Data]],"aaaa-mm-dd")&amp;"|"&amp;TRIM(tblDados[[#This Row],[Mandante]])&amp;"|"&amp;TRIM(tblDados[[#This Row],[Visitante]]))</f>
        <v>2026-08-07|Ceará|Ponte Preta</v>
      </c>
      <c r="T772" s="1">
        <f>IF($G772="",0,IF(COUNTIF($S$2:$S772,$S772)=1,1,0))</f>
        <v>1</v>
      </c>
      <c r="U772" s="19" t="str" cm="1">
        <f t="array" ref="U7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2" s="19" t="str" cm="1">
        <f t="array" ref="V7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3" spans="1:22" x14ac:dyDescent="0.3">
      <c r="A773" s="1" t="s">
        <v>2124</v>
      </c>
      <c r="B773" s="5">
        <v>46229</v>
      </c>
      <c r="C773" s="6">
        <v>0.66666666666666663</v>
      </c>
      <c r="D773" s="1" t="s">
        <v>12</v>
      </c>
      <c r="E773" s="1" t="s">
        <v>14</v>
      </c>
      <c r="F773" s="1" t="s">
        <v>2125</v>
      </c>
      <c r="G773" s="39" t="s">
        <v>1903</v>
      </c>
      <c r="H773" s="1">
        <v>3</v>
      </c>
      <c r="I773" s="1">
        <v>4</v>
      </c>
      <c r="J773" s="39" t="s">
        <v>1939</v>
      </c>
      <c r="K773" s="1">
        <v>4</v>
      </c>
      <c r="L773" s="1">
        <v>3</v>
      </c>
      <c r="S773" s="1" t="str">
        <f>IF(tblDados[[#This Row],[Mandante]]="","",TEXT(tblDados[[#This Row],[Data]],"aaaa-mm-dd")&amp;"|"&amp;TRIM(tblDados[[#This Row],[Mandante]])&amp;"|"&amp;TRIM(tblDados[[#This Row],[Visitante]]))</f>
        <v>2026-07-26|São Bernardo|Ceará</v>
      </c>
      <c r="T773" s="1">
        <f>IF($G773="",0,IF(COUNTIF($S$2:$S773,$S773)=1,1,0))</f>
        <v>1</v>
      </c>
      <c r="U773" s="19" t="str" cm="1">
        <f t="array" ref="U7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3" s="19" t="str" cm="1">
        <f t="array" ref="V7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4" spans="1:22" x14ac:dyDescent="0.3">
      <c r="A774" s="1" t="s">
        <v>2126</v>
      </c>
      <c r="B774" s="5">
        <v>46220</v>
      </c>
      <c r="C774" s="6">
        <v>0.79166666666666663</v>
      </c>
      <c r="D774" s="1" t="s">
        <v>12</v>
      </c>
      <c r="E774" s="1" t="s">
        <v>14</v>
      </c>
      <c r="F774" s="1" t="s">
        <v>2127</v>
      </c>
      <c r="G774" s="39" t="s">
        <v>1888</v>
      </c>
      <c r="H774" s="1">
        <v>1</v>
      </c>
      <c r="I774" s="1">
        <v>1</v>
      </c>
      <c r="J774" s="39" t="s">
        <v>1939</v>
      </c>
      <c r="K774" s="1">
        <v>1</v>
      </c>
      <c r="L774" s="1">
        <v>1</v>
      </c>
      <c r="S774" s="1" t="str">
        <f>IF(tblDados[[#This Row],[Mandante]]="","",TEXT(tblDados[[#This Row],[Data]],"aaaa-mm-dd")&amp;"|"&amp;TRIM(tblDados[[#This Row],[Mandante]])&amp;"|"&amp;TRIM(tblDados[[#This Row],[Visitante]]))</f>
        <v>2026-07-17|América-MG|Ceará</v>
      </c>
      <c r="T774" s="1">
        <f>IF($G774="",0,IF(COUNTIF($S$2:$S774,$S774)=1,1,0))</f>
        <v>1</v>
      </c>
      <c r="U774" s="19" t="str" cm="1">
        <f t="array" ref="U7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4" s="19" t="str" cm="1">
        <f t="array" ref="V7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5" spans="1:22" x14ac:dyDescent="0.3">
      <c r="A775" s="1" t="s">
        <v>2128</v>
      </c>
      <c r="B775" s="5">
        <v>46207</v>
      </c>
      <c r="C775" s="6">
        <v>0.83333333333333337</v>
      </c>
      <c r="D775" s="1" t="s">
        <v>12</v>
      </c>
      <c r="E775" s="1" t="s">
        <v>14</v>
      </c>
      <c r="F775" s="1" t="s">
        <v>2129</v>
      </c>
      <c r="G775" s="39" t="s">
        <v>1930</v>
      </c>
      <c r="H775" s="1">
        <v>2</v>
      </c>
      <c r="I775" s="1">
        <v>0</v>
      </c>
      <c r="J775" s="39" t="s">
        <v>1939</v>
      </c>
      <c r="K775" s="1">
        <v>0</v>
      </c>
      <c r="L775" s="1">
        <v>2</v>
      </c>
      <c r="S775" s="1" t="str">
        <f>IF(tblDados[[#This Row],[Mandante]]="","",TEXT(tblDados[[#This Row],[Data]],"aaaa-mm-dd")&amp;"|"&amp;TRIM(tblDados[[#This Row],[Mandante]])&amp;"|"&amp;TRIM(tblDados[[#This Row],[Visitante]]))</f>
        <v>2026-07-04|Goiás|Ceará</v>
      </c>
      <c r="T775" s="1">
        <f>IF($G775="",0,IF(COUNTIF($S$2:$S775,$S775)=1,1,0))</f>
        <v>1</v>
      </c>
      <c r="U775" s="19" t="str" cm="1">
        <f t="array" ref="U7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5" s="19" t="str" cm="1">
        <f t="array" ref="V7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6" spans="1:22" ht="14.4" x14ac:dyDescent="0.3">
      <c r="A776" s="1" t="s">
        <v>2130</v>
      </c>
      <c r="B776" s="5">
        <v>46183</v>
      </c>
      <c r="C776" s="6">
        <v>0.83333333333333337</v>
      </c>
      <c r="D776" s="1" t="s">
        <v>12</v>
      </c>
      <c r="E776" s="1" t="s">
        <v>14</v>
      </c>
      <c r="F776" s="1" t="s">
        <v>2131</v>
      </c>
      <c r="G776" s="39" t="s">
        <v>1939</v>
      </c>
      <c r="H776" s="1">
        <v>2</v>
      </c>
      <c r="I776" s="1">
        <v>1</v>
      </c>
      <c r="J776" s="39" t="s">
        <v>107</v>
      </c>
      <c r="K776" s="1">
        <v>1</v>
      </c>
      <c r="L776" s="1">
        <v>2</v>
      </c>
      <c r="S776" s="1" t="str">
        <f>IF(tblDados[[#This Row],[Mandante]]="","",TEXT(tblDados[[#This Row],[Data]],"aaaa-mm-dd")&amp;"|"&amp;TRIM(tblDados[[#This Row],[Mandante]])&amp;"|"&amp;TRIM(tblDados[[#This Row],[Visitante]]))</f>
        <v>2026-06-10|Ceará|Avaí</v>
      </c>
      <c r="T776">
        <f>IF($G776="",0,IF(COUNTIF($S$2:$S2834,$S776)=1,1,0))</f>
        <v>1</v>
      </c>
      <c r="U776" s="19" t="str" cm="1">
        <f t="array" ref="U7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6" s="19" t="str" cm="1">
        <f t="array" ref="V7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7" spans="1:22" x14ac:dyDescent="0.3">
      <c r="A777" s="1" t="s">
        <v>2132</v>
      </c>
      <c r="B777" s="5">
        <v>46215</v>
      </c>
      <c r="C777" s="6">
        <v>0.66666666666666663</v>
      </c>
      <c r="D777" s="1" t="s">
        <v>12</v>
      </c>
      <c r="E777" s="1" t="s">
        <v>14</v>
      </c>
      <c r="F777" s="1" t="s">
        <v>2133</v>
      </c>
      <c r="G777" s="39" t="s">
        <v>1903</v>
      </c>
      <c r="H777" s="1">
        <v>2</v>
      </c>
      <c r="I777" s="1">
        <v>2</v>
      </c>
      <c r="J777" s="39" t="s">
        <v>93</v>
      </c>
      <c r="K777" s="1">
        <v>2</v>
      </c>
      <c r="L777" s="1">
        <v>2</v>
      </c>
      <c r="S777" s="1" t="str">
        <f>IF(tblDados[[#This Row],[Mandante]]="","",TEXT(tblDados[[#This Row],[Data]],"aaaa-mm-dd")&amp;"|"&amp;TRIM(tblDados[[#This Row],[Mandante]])&amp;"|"&amp;TRIM(tblDados[[#This Row],[Visitante]]))</f>
        <v>2026-07-12|São Bernardo|Cuiabá</v>
      </c>
      <c r="T777" s="1">
        <f>IF($G777="",0,IF(COUNTIF($S$2:$S777,$S777)=1,1,0))</f>
        <v>1</v>
      </c>
      <c r="U777" s="19" t="str" cm="1">
        <f t="array" ref="U7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7" s="19" t="str" cm="1">
        <f t="array" ref="V7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8" spans="1:22" x14ac:dyDescent="0.3">
      <c r="A778" s="1" t="s">
        <v>2134</v>
      </c>
      <c r="B778" s="5">
        <v>46205</v>
      </c>
      <c r="C778" s="6">
        <v>0.83333333333333337</v>
      </c>
      <c r="D778" s="1" t="s">
        <v>12</v>
      </c>
      <c r="E778" s="1" t="s">
        <v>14</v>
      </c>
      <c r="F778" s="1" t="s">
        <v>2135</v>
      </c>
      <c r="G778" s="39" t="s">
        <v>93</v>
      </c>
      <c r="H778" s="1">
        <v>1</v>
      </c>
      <c r="I778" s="1">
        <v>0</v>
      </c>
      <c r="J778" s="39" t="s">
        <v>1888</v>
      </c>
      <c r="K778" s="1">
        <v>0</v>
      </c>
      <c r="L778" s="1">
        <v>1</v>
      </c>
      <c r="S778" s="1" t="str">
        <f>IF(tblDados[[#This Row],[Mandante]]="","",TEXT(tblDados[[#This Row],[Data]],"aaaa-mm-dd")&amp;"|"&amp;TRIM(tblDados[[#This Row],[Mandante]])&amp;"|"&amp;TRIM(tblDados[[#This Row],[Visitante]]))</f>
        <v>2026-07-02|Cuiabá|América-MG</v>
      </c>
      <c r="T778" s="1">
        <f>IF($G778="",0,IF(COUNTIF($S$2:$S778,$S778)=1,1,0))</f>
        <v>1</v>
      </c>
      <c r="U778" s="19" t="str" cm="1">
        <f t="array" ref="U7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8" s="19" t="str" cm="1">
        <f t="array" ref="V7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9" spans="1:22" x14ac:dyDescent="0.3">
      <c r="A779" s="1" t="s">
        <v>2136</v>
      </c>
      <c r="B779" s="5">
        <v>46198</v>
      </c>
      <c r="C779" s="6">
        <v>0.85416666666666663</v>
      </c>
      <c r="D779" s="1" t="s">
        <v>12</v>
      </c>
      <c r="E779" s="1" t="s">
        <v>14</v>
      </c>
      <c r="F779" s="1" t="s">
        <v>2137</v>
      </c>
      <c r="G779" s="39" t="s">
        <v>93</v>
      </c>
      <c r="H779" s="1">
        <v>2</v>
      </c>
      <c r="I779" s="1">
        <v>2</v>
      </c>
      <c r="J779" s="39" t="s">
        <v>1891</v>
      </c>
      <c r="K779" s="1">
        <v>2</v>
      </c>
      <c r="L779" s="1">
        <v>2</v>
      </c>
      <c r="S779" s="1" t="str">
        <f>IF(tblDados[[#This Row],[Mandante]]="","",TEXT(tblDados[[#This Row],[Data]],"aaaa-mm-dd")&amp;"|"&amp;TRIM(tblDados[[#This Row],[Mandante]])&amp;"|"&amp;TRIM(tblDados[[#This Row],[Visitante]]))</f>
        <v>2026-06-25|Cuiabá|Londrina</v>
      </c>
      <c r="T779" s="1">
        <f>IF($G779="",0,IF(COUNTIF($S$2:$S779,$S779)=1,1,0))</f>
        <v>1</v>
      </c>
      <c r="U779" s="19" t="str" cm="1">
        <f t="array" ref="U7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9" s="19" t="str" cm="1">
        <f t="array" ref="V7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0" spans="1:22" x14ac:dyDescent="0.3">
      <c r="A780" s="1" t="s">
        <v>2138</v>
      </c>
      <c r="B780" s="5">
        <v>46194</v>
      </c>
      <c r="C780" s="6">
        <v>0.45833333333333331</v>
      </c>
      <c r="D780" s="1" t="s">
        <v>12</v>
      </c>
      <c r="E780" s="1" t="s">
        <v>14</v>
      </c>
      <c r="F780" s="1" t="s">
        <v>2139</v>
      </c>
      <c r="G780" s="39" t="s">
        <v>107</v>
      </c>
      <c r="H780" s="1">
        <v>1</v>
      </c>
      <c r="I780" s="1">
        <v>0</v>
      </c>
      <c r="J780" s="39" t="s">
        <v>93</v>
      </c>
      <c r="K780" s="1">
        <v>0</v>
      </c>
      <c r="L780" s="1">
        <v>1</v>
      </c>
      <c r="S780" s="1" t="str">
        <f>IF(tblDados[[#This Row],[Mandante]]="","",TEXT(tblDados[[#This Row],[Data]],"aaaa-mm-dd")&amp;"|"&amp;TRIM(tblDados[[#This Row],[Mandante]])&amp;"|"&amp;TRIM(tblDados[[#This Row],[Visitante]]))</f>
        <v>2026-06-21|Avaí|Cuiabá</v>
      </c>
      <c r="T780" s="1">
        <f>IF($G780="",0,IF(COUNTIF($S$2:$S780,$S780)=1,1,0))</f>
        <v>1</v>
      </c>
      <c r="U780" s="19" t="str" cm="1">
        <f t="array" ref="U7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0" s="19" t="str" cm="1">
        <f t="array" ref="V7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1" spans="1:22" ht="14.4" x14ac:dyDescent="0.3">
      <c r="A781" s="1" t="s">
        <v>2140</v>
      </c>
      <c r="B781" s="5">
        <v>46182</v>
      </c>
      <c r="C781" s="6">
        <v>0.79166666666666663</v>
      </c>
      <c r="D781" s="1" t="s">
        <v>12</v>
      </c>
      <c r="E781" s="1" t="s">
        <v>14</v>
      </c>
      <c r="F781" s="1" t="s">
        <v>2141</v>
      </c>
      <c r="G781" s="39" t="s">
        <v>101</v>
      </c>
      <c r="H781" s="1">
        <v>1</v>
      </c>
      <c r="I781" s="1">
        <v>2</v>
      </c>
      <c r="J781" s="39" t="s">
        <v>93</v>
      </c>
      <c r="K781" s="1">
        <v>2</v>
      </c>
      <c r="L781" s="1">
        <v>1</v>
      </c>
      <c r="S781" s="1" t="str">
        <f>IF(tblDados[[#This Row],[Mandante]]="","",TEXT(tblDados[[#This Row],[Data]],"aaaa-mm-dd")&amp;"|"&amp;TRIM(tblDados[[#This Row],[Mandante]])&amp;"|"&amp;TRIM(tblDados[[#This Row],[Visitante]]))</f>
        <v>2026-06-09|Ponte Preta|Cuiabá</v>
      </c>
      <c r="T781">
        <f>IF($G781="",0,IF(COUNTIF($S$2:$S2834,$S781)=1,1,0))</f>
        <v>1</v>
      </c>
      <c r="U781" s="19" t="str" cm="1">
        <f t="array" ref="U7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1" s="19" t="str" cm="1">
        <f t="array" ref="V7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2" spans="1:22" x14ac:dyDescent="0.3">
      <c r="A782" s="1" t="s">
        <v>2142</v>
      </c>
      <c r="B782" s="5">
        <v>46216</v>
      </c>
      <c r="C782" s="6">
        <v>0.79166666666666663</v>
      </c>
      <c r="D782" s="1" t="s">
        <v>12</v>
      </c>
      <c r="E782" s="1" t="s">
        <v>14</v>
      </c>
      <c r="F782" s="1" t="s">
        <v>2143</v>
      </c>
      <c r="G782" s="39" t="s">
        <v>1888</v>
      </c>
      <c r="H782" s="1">
        <v>1</v>
      </c>
      <c r="I782" s="1">
        <v>1</v>
      </c>
      <c r="J782" s="39" t="s">
        <v>1891</v>
      </c>
      <c r="K782" s="1">
        <v>1</v>
      </c>
      <c r="L782" s="1">
        <v>1</v>
      </c>
      <c r="S782" s="1" t="str">
        <f>IF(tblDados[[#This Row],[Mandante]]="","",TEXT(tblDados[[#This Row],[Data]],"aaaa-mm-dd")&amp;"|"&amp;TRIM(tblDados[[#This Row],[Mandante]])&amp;"|"&amp;TRIM(tblDados[[#This Row],[Visitante]]))</f>
        <v>2026-07-13|América-MG|Londrina</v>
      </c>
      <c r="T782" s="1">
        <f>IF($G782="",0,IF(COUNTIF($S$2:$S782,$S782)=1,1,0))</f>
        <v>1</v>
      </c>
      <c r="U782" s="19" t="str" cm="1">
        <f t="array" ref="U7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2" s="19" t="str" cm="1">
        <f t="array" ref="V7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3" spans="1:22" x14ac:dyDescent="0.3">
      <c r="A783" s="1" t="s">
        <v>2144</v>
      </c>
      <c r="B783" s="5">
        <v>46188</v>
      </c>
      <c r="C783" s="6">
        <v>0.875</v>
      </c>
      <c r="D783" s="1" t="s">
        <v>12</v>
      </c>
      <c r="E783" s="1" t="s">
        <v>14</v>
      </c>
      <c r="F783" s="1" t="s">
        <v>2145</v>
      </c>
      <c r="G783" s="39" t="s">
        <v>1891</v>
      </c>
      <c r="H783" s="1">
        <v>3</v>
      </c>
      <c r="I783" s="1">
        <v>2</v>
      </c>
      <c r="J783" s="39" t="s">
        <v>107</v>
      </c>
      <c r="K783" s="1">
        <v>2</v>
      </c>
      <c r="L783" s="1">
        <v>3</v>
      </c>
      <c r="S783" s="1" t="str">
        <f>IF(tblDados[[#This Row],[Mandante]]="","",TEXT(tblDados[[#This Row],[Data]],"aaaa-mm-dd")&amp;"|"&amp;TRIM(tblDados[[#This Row],[Mandante]])&amp;"|"&amp;TRIM(tblDados[[#This Row],[Visitante]]))</f>
        <v>2026-06-15|Londrina|Avaí</v>
      </c>
      <c r="T783" s="1">
        <f>IF($G783="",0,IF(COUNTIF($S$2:$S783,$S783)=1,1,0))</f>
        <v>1</v>
      </c>
      <c r="U783" s="19" t="str" cm="1">
        <f t="array" ref="U7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3" s="19" t="str" cm="1">
        <f t="array" ref="V7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4" spans="1:22" x14ac:dyDescent="0.3">
      <c r="A784" s="1" t="s">
        <v>2146</v>
      </c>
      <c r="B784" s="5">
        <v>46160</v>
      </c>
      <c r="C784" s="6">
        <v>0.79166666666666663</v>
      </c>
      <c r="D784" s="1" t="s">
        <v>12</v>
      </c>
      <c r="E784" s="1" t="s">
        <v>14</v>
      </c>
      <c r="F784" s="1" t="s">
        <v>2147</v>
      </c>
      <c r="G784" s="39" t="s">
        <v>101</v>
      </c>
      <c r="H784" s="1">
        <v>1</v>
      </c>
      <c r="I784" s="1">
        <v>4</v>
      </c>
      <c r="J784" s="39" t="s">
        <v>1891</v>
      </c>
      <c r="K784" s="1">
        <v>4</v>
      </c>
      <c r="L784" s="1">
        <v>1</v>
      </c>
      <c r="S784" s="1" t="str">
        <f>IF(tblDados[[#This Row],[Mandante]]="","",TEXT(tblDados[[#This Row],[Data]],"aaaa-mm-dd")&amp;"|"&amp;TRIM(tblDados[[#This Row],[Mandante]])&amp;"|"&amp;TRIM(tblDados[[#This Row],[Visitante]]))</f>
        <v>2026-05-18|Ponte Preta|Londrina</v>
      </c>
      <c r="T784" s="1">
        <f>IF($G784="",0,IF(COUNTIF($S$2:$S784,$S784)=1,1,0))</f>
        <v>1</v>
      </c>
      <c r="U784" s="19" t="str" cm="1">
        <f t="array" ref="U7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4" s="19" t="str" cm="1">
        <f t="array" ref="V7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5" spans="1:22" x14ac:dyDescent="0.3">
      <c r="A785" s="1" t="s">
        <v>2148</v>
      </c>
      <c r="B785" s="5">
        <v>46154</v>
      </c>
      <c r="C785" s="6">
        <v>0.8125</v>
      </c>
      <c r="D785" s="1" t="s">
        <v>12</v>
      </c>
      <c r="E785" s="1" t="s">
        <v>14</v>
      </c>
      <c r="F785" s="1" t="s">
        <v>2149</v>
      </c>
      <c r="G785" s="39" t="s">
        <v>1891</v>
      </c>
      <c r="H785" s="1">
        <v>1</v>
      </c>
      <c r="I785" s="1">
        <v>3</v>
      </c>
      <c r="J785" s="39" t="s">
        <v>1903</v>
      </c>
      <c r="K785" s="1">
        <v>3</v>
      </c>
      <c r="L785" s="1">
        <v>1</v>
      </c>
      <c r="S785" s="1" t="str">
        <f>IF(tblDados[[#This Row],[Mandante]]="","",TEXT(tblDados[[#This Row],[Data]],"aaaa-mm-dd")&amp;"|"&amp;TRIM(tblDados[[#This Row],[Mandante]])&amp;"|"&amp;TRIM(tblDados[[#This Row],[Visitante]]))</f>
        <v>2026-05-12|Londrina|São Bernardo</v>
      </c>
      <c r="T785" s="1">
        <f>IF($G785="",0,IF(COUNTIF($S$2:$S785,$S785)=1,1,0))</f>
        <v>1</v>
      </c>
      <c r="U785" s="19" t="str" cm="1">
        <f t="array" ref="U7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5" s="19" t="str" cm="1">
        <f t="array" ref="V7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6" spans="1:22" ht="14.4" x14ac:dyDescent="0.3">
      <c r="A786" s="1" t="s">
        <v>2150</v>
      </c>
      <c r="B786" s="5">
        <v>46145</v>
      </c>
      <c r="C786" s="6">
        <v>0.66666666666666663</v>
      </c>
      <c r="D786" s="1" t="s">
        <v>12</v>
      </c>
      <c r="E786" s="1" t="s">
        <v>14</v>
      </c>
      <c r="F786" s="1" t="s">
        <v>2151</v>
      </c>
      <c r="G786" s="39" t="s">
        <v>89</v>
      </c>
      <c r="H786" s="1">
        <v>3</v>
      </c>
      <c r="I786" s="1">
        <v>0</v>
      </c>
      <c r="J786" s="39" t="s">
        <v>1891</v>
      </c>
      <c r="K786" s="1">
        <v>0</v>
      </c>
      <c r="L786" s="1">
        <v>3</v>
      </c>
      <c r="S786" s="1" t="str">
        <f>IF(tblDados[[#This Row],[Mandante]]="","",TEXT(tblDados[[#This Row],[Data]],"aaaa-mm-dd")&amp;"|"&amp;TRIM(tblDados[[#This Row],[Mandante]])&amp;"|"&amp;TRIM(tblDados[[#This Row],[Visitante]]))</f>
        <v>2026-05-03|Operário-PR|Londrina</v>
      </c>
      <c r="T786">
        <f>IF($G786="",0,IF(COUNTIF($S$2:$S2834,$S786)=1,1,0))</f>
        <v>1</v>
      </c>
      <c r="U786" s="19" t="str" cm="1">
        <f t="array" ref="U7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6" s="19" t="str" cm="1">
        <f t="array" ref="V7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7" spans="1:22" x14ac:dyDescent="0.3">
      <c r="A787" s="1" t="s">
        <v>2152</v>
      </c>
      <c r="B787" s="5">
        <v>46224</v>
      </c>
      <c r="C787" s="6">
        <v>0.8125</v>
      </c>
      <c r="D787" s="1" t="s">
        <v>12</v>
      </c>
      <c r="E787" s="1" t="s">
        <v>14</v>
      </c>
      <c r="F787" s="1" t="s">
        <v>2153</v>
      </c>
      <c r="G787" s="39" t="s">
        <v>107</v>
      </c>
      <c r="H787" s="1">
        <v>2</v>
      </c>
      <c r="I787" s="1">
        <v>1</v>
      </c>
      <c r="J787" s="39" t="s">
        <v>1888</v>
      </c>
      <c r="K787" s="1">
        <v>1</v>
      </c>
      <c r="L787" s="1">
        <v>2</v>
      </c>
      <c r="S787" s="1" t="str">
        <f>IF(tblDados[[#This Row],[Mandante]]="","",TEXT(tblDados[[#This Row],[Data]],"aaaa-mm-dd")&amp;"|"&amp;TRIM(tblDados[[#This Row],[Mandante]])&amp;"|"&amp;TRIM(tblDados[[#This Row],[Visitante]]))</f>
        <v>2026-07-21|Avaí|América-MG</v>
      </c>
      <c r="T787" s="1">
        <f>IF($G787="",0,IF(COUNTIF($S$2:$S787,$S787)=1,1,0))</f>
        <v>1</v>
      </c>
      <c r="U787" s="19" t="str" cm="1">
        <f t="array" ref="U7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7" s="19" t="str" cm="1">
        <f t="array" ref="V7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8" spans="1:22" x14ac:dyDescent="0.3">
      <c r="A788" s="1" t="s">
        <v>2154</v>
      </c>
      <c r="B788" s="5">
        <v>46220</v>
      </c>
      <c r="C788" s="6">
        <v>0.79166666666666663</v>
      </c>
      <c r="D788" s="1" t="s">
        <v>12</v>
      </c>
      <c r="E788" s="1" t="s">
        <v>14</v>
      </c>
      <c r="F788" s="1" t="s">
        <v>2155</v>
      </c>
      <c r="G788" s="39" t="s">
        <v>1903</v>
      </c>
      <c r="H788" s="1">
        <v>1</v>
      </c>
      <c r="I788" s="1">
        <v>1</v>
      </c>
      <c r="J788" s="39" t="s">
        <v>107</v>
      </c>
      <c r="K788" s="1">
        <v>1</v>
      </c>
      <c r="L788" s="1">
        <v>1</v>
      </c>
      <c r="S788" s="1" t="str">
        <f>IF(tblDados[[#This Row],[Mandante]]="","",TEXT(tblDados[[#This Row],[Data]],"aaaa-mm-dd")&amp;"|"&amp;TRIM(tblDados[[#This Row],[Mandante]])&amp;"|"&amp;TRIM(tblDados[[#This Row],[Visitante]]))</f>
        <v>2026-07-17|São Bernardo|Avaí</v>
      </c>
      <c r="T788" s="1">
        <f>IF($G788="",0,IF(COUNTIF($S$2:$S788,$S788)=1,1,0))</f>
        <v>1</v>
      </c>
      <c r="U788" s="19" t="str" cm="1">
        <f t="array" ref="U7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8" s="19" t="str" cm="1">
        <f t="array" ref="V7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9" spans="1:22" ht="14.4" x14ac:dyDescent="0.3">
      <c r="A789" s="1" t="s">
        <v>2156</v>
      </c>
      <c r="B789" s="5">
        <v>46166</v>
      </c>
      <c r="C789" s="6">
        <v>0.79166666666666663</v>
      </c>
      <c r="D789" s="1" t="s">
        <v>12</v>
      </c>
      <c r="E789" s="1" t="s">
        <v>14</v>
      </c>
      <c r="F789" s="1" t="s">
        <v>2157</v>
      </c>
      <c r="G789" s="39" t="s">
        <v>107</v>
      </c>
      <c r="H789" s="1">
        <v>0</v>
      </c>
      <c r="I789" s="1">
        <v>2</v>
      </c>
      <c r="J789" s="39" t="s">
        <v>1930</v>
      </c>
      <c r="K789" s="1">
        <v>2</v>
      </c>
      <c r="L789" s="1">
        <v>0</v>
      </c>
      <c r="S789" s="1" t="str">
        <f>IF(tblDados[[#This Row],[Mandante]]="","",TEXT(tblDados[[#This Row],[Data]],"aaaa-mm-dd")&amp;"|"&amp;TRIM(tblDados[[#This Row],[Mandante]])&amp;"|"&amp;TRIM(tblDados[[#This Row],[Visitante]]))</f>
        <v>2026-05-24|Avaí|Goiás</v>
      </c>
      <c r="T789">
        <f>IF($G789="",0,IF(COUNTIF($S$2:$S2834,$S789)=1,1,0))</f>
        <v>1</v>
      </c>
      <c r="U789" s="19" t="str" cm="1">
        <f t="array" ref="U7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9" s="19" t="str" cm="1">
        <f t="array" ref="V7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0" spans="1:22" x14ac:dyDescent="0.3">
      <c r="A790" s="1" t="s">
        <v>2158</v>
      </c>
      <c r="B790" s="5">
        <v>46229</v>
      </c>
      <c r="C790" s="6">
        <v>0.77083333333333337</v>
      </c>
      <c r="D790" s="1" t="s">
        <v>12</v>
      </c>
      <c r="E790" s="1" t="s">
        <v>14</v>
      </c>
      <c r="F790" s="1" t="s">
        <v>2159</v>
      </c>
      <c r="G790" s="39" t="s">
        <v>1888</v>
      </c>
      <c r="H790" s="1">
        <v>1</v>
      </c>
      <c r="I790" s="1">
        <v>0</v>
      </c>
      <c r="J790" s="39" t="s">
        <v>1930</v>
      </c>
      <c r="K790" s="1">
        <v>0</v>
      </c>
      <c r="L790" s="1">
        <v>1</v>
      </c>
      <c r="S790" s="1" t="str">
        <f>IF(tblDados[[#This Row],[Mandante]]="","",TEXT(tblDados[[#This Row],[Data]],"aaaa-mm-dd")&amp;"|"&amp;TRIM(tblDados[[#This Row],[Mandante]])&amp;"|"&amp;TRIM(tblDados[[#This Row],[Visitante]]))</f>
        <v>2026-07-26|América-MG|Goiás</v>
      </c>
      <c r="T790" s="1">
        <f>IF($G790="",0,IF(COUNTIF($S$2:$S790,$S790)=1,1,0))</f>
        <v>1</v>
      </c>
      <c r="U790" s="19" t="str" cm="1">
        <f t="array" ref="U7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0" s="19" t="str" cm="1">
        <f t="array" ref="V7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1" spans="1:22" ht="14.4" x14ac:dyDescent="0.3">
      <c r="A791" s="1" t="s">
        <v>2160</v>
      </c>
      <c r="B791" s="5">
        <v>46158</v>
      </c>
      <c r="C791" s="6">
        <v>0.66666666666666663</v>
      </c>
      <c r="D791" s="1" t="s">
        <v>12</v>
      </c>
      <c r="E791" s="1" t="s">
        <v>14</v>
      </c>
      <c r="F791" s="1" t="s">
        <v>2161</v>
      </c>
      <c r="G791" s="39" t="s">
        <v>1903</v>
      </c>
      <c r="H791" s="1">
        <v>1</v>
      </c>
      <c r="I791" s="1">
        <v>1</v>
      </c>
      <c r="J791" s="39" t="s">
        <v>1888</v>
      </c>
      <c r="K791" s="1">
        <v>1</v>
      </c>
      <c r="L791" s="1">
        <v>1</v>
      </c>
      <c r="S791" s="1" t="str">
        <f>IF(tblDados[[#This Row],[Mandante]]="","",TEXT(tblDados[[#This Row],[Data]],"aaaa-mm-dd")&amp;"|"&amp;TRIM(tblDados[[#This Row],[Mandante]])&amp;"|"&amp;TRIM(tblDados[[#This Row],[Visitante]]))</f>
        <v>2026-05-16|São Bernardo|América-MG</v>
      </c>
      <c r="T791">
        <f>IF($G791="",0,IF(COUNTIF($S$2:$S2834,$S791)=1,1,0))</f>
        <v>1</v>
      </c>
      <c r="U791" s="19" t="str" cm="1">
        <f t="array" ref="U7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1" s="19" t="str" cm="1">
        <f t="array" ref="V7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2" spans="1:22" x14ac:dyDescent="0.3">
      <c r="A792" s="1" t="s">
        <v>2162</v>
      </c>
      <c r="B792" s="5">
        <v>46221</v>
      </c>
      <c r="C792" s="6">
        <v>0.66666666666666663</v>
      </c>
      <c r="D792" s="1" t="s">
        <v>12</v>
      </c>
      <c r="E792" s="1" t="s">
        <v>14</v>
      </c>
      <c r="F792" s="1" t="s">
        <v>2163</v>
      </c>
      <c r="G792" s="39" t="s">
        <v>101</v>
      </c>
      <c r="H792" s="1">
        <v>1</v>
      </c>
      <c r="I792" s="1">
        <v>2</v>
      </c>
      <c r="J792" s="39" t="s">
        <v>1930</v>
      </c>
      <c r="K792" s="1">
        <v>2</v>
      </c>
      <c r="L792" s="1">
        <v>1</v>
      </c>
      <c r="S792" s="1" t="str">
        <f>IF(tblDados[[#This Row],[Mandante]]="","",TEXT(tblDados[[#This Row],[Data]],"aaaa-mm-dd")&amp;"|"&amp;TRIM(tblDados[[#This Row],[Mandante]])&amp;"|"&amp;TRIM(tblDados[[#This Row],[Visitante]]))</f>
        <v>2026-07-18|Ponte Preta|Goiás</v>
      </c>
      <c r="T792" s="1">
        <f>IF($G792="",0,IF(COUNTIF($S$2:$S792,$S792)=1,1,0))</f>
        <v>1</v>
      </c>
      <c r="U792" s="19" t="str" cm="1">
        <f t="array" ref="U7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2" s="19" t="str" cm="1">
        <f t="array" ref="V7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3" spans="1:22" ht="14.4" x14ac:dyDescent="0.3">
      <c r="A793" s="1" t="s">
        <v>2164</v>
      </c>
      <c r="B793" s="5">
        <v>46151</v>
      </c>
      <c r="C793" s="6">
        <v>0.77083333333333337</v>
      </c>
      <c r="D793" s="1" t="s">
        <v>12</v>
      </c>
      <c r="E793" s="1" t="s">
        <v>14</v>
      </c>
      <c r="F793" s="1" t="s">
        <v>2165</v>
      </c>
      <c r="G793" s="39" t="s">
        <v>101</v>
      </c>
      <c r="H793" s="1">
        <v>1</v>
      </c>
      <c r="I793" s="1">
        <v>3</v>
      </c>
      <c r="J793" s="39" t="s">
        <v>92</v>
      </c>
      <c r="K793" s="1">
        <v>3</v>
      </c>
      <c r="L793" s="1">
        <v>1</v>
      </c>
      <c r="S793" s="1" t="str">
        <f>IF(tblDados[[#This Row],[Mandante]]="","",TEXT(tblDados[[#This Row],[Data]],"aaaa-mm-dd")&amp;"|"&amp;TRIM(tblDados[[#This Row],[Mandante]])&amp;"|"&amp;TRIM(tblDados[[#This Row],[Visitante]]))</f>
        <v>2026-05-09|Ponte Preta|Sport Recife</v>
      </c>
      <c r="T793">
        <f>IF($G793="",0,IF(COUNTIF($S$2:$S2834,$S793)=1,1,0))</f>
        <v>1</v>
      </c>
      <c r="U793" s="19" t="str" cm="1">
        <f t="array" ref="U7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3" s="19" t="str" cm="1">
        <f t="array" ref="V7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4" spans="1:22" x14ac:dyDescent="0.3">
      <c r="A794" s="1" t="s">
        <v>2166</v>
      </c>
      <c r="B794" s="5">
        <v>46229</v>
      </c>
      <c r="C794" s="6">
        <v>0.66666666666666663</v>
      </c>
      <c r="D794" s="1" t="s">
        <v>12</v>
      </c>
      <c r="E794" s="1" t="s">
        <v>13</v>
      </c>
      <c r="F794" s="1" t="s">
        <v>2167</v>
      </c>
      <c r="G794" s="39" t="s">
        <v>161</v>
      </c>
      <c r="H794" s="1">
        <v>1</v>
      </c>
      <c r="I794" s="1">
        <v>1</v>
      </c>
      <c r="J794" s="39" t="s">
        <v>174</v>
      </c>
      <c r="K794" s="1">
        <v>1</v>
      </c>
      <c r="L794" s="1">
        <v>1</v>
      </c>
      <c r="S794" s="1" t="str">
        <f>IF(tblDados[[#This Row],[Mandante]]="","",TEXT(tblDados[[#This Row],[Data]],"aaaa-mm-dd")&amp;"|"&amp;TRIM(tblDados[[#This Row],[Mandante]])&amp;"|"&amp;TRIM(tblDados[[#This Row],[Visitante]]))</f>
        <v>2026-07-26|Bahia|Corinthians</v>
      </c>
      <c r="T794" s="1">
        <f>IF($G794="",0,IF(COUNTIF($S$2:$S794,$S794)=1,1,0))</f>
        <v>1</v>
      </c>
      <c r="U794" s="19" t="str" cm="1">
        <f t="array" ref="U7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4" s="19" t="str" cm="1">
        <f t="array" ref="V7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5" spans="1:22" x14ac:dyDescent="0.3">
      <c r="A795" s="1" t="s">
        <v>2168</v>
      </c>
      <c r="B795" s="5">
        <v>46151</v>
      </c>
      <c r="C795" s="6">
        <v>0.875</v>
      </c>
      <c r="D795" s="1" t="s">
        <v>12</v>
      </c>
      <c r="E795" s="1" t="s">
        <v>13</v>
      </c>
      <c r="F795" s="1" t="s">
        <v>2169</v>
      </c>
      <c r="G795" s="39" t="s">
        <v>161</v>
      </c>
      <c r="H795" s="1">
        <v>1</v>
      </c>
      <c r="I795" s="1">
        <v>2</v>
      </c>
      <c r="J795" s="39" t="s">
        <v>178</v>
      </c>
      <c r="K795" s="1">
        <v>2</v>
      </c>
      <c r="L795" s="1">
        <v>1</v>
      </c>
      <c r="S795" s="1" t="str">
        <f>IF(tblDados[[#This Row],[Mandante]]="","",TEXT(tblDados[[#This Row],[Data]],"aaaa-mm-dd")&amp;"|"&amp;TRIM(tblDados[[#This Row],[Mandante]])&amp;"|"&amp;TRIM(tblDados[[#This Row],[Visitante]]))</f>
        <v>2026-05-09|Bahia|Cruzeiro</v>
      </c>
      <c r="T795" s="1">
        <f>IF($G795="",0,IF(COUNTIF($S$2:$S795,$S795)=1,1,0))</f>
        <v>1</v>
      </c>
      <c r="U795" s="19" t="str" cm="1">
        <f t="array" ref="U7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5" s="19" t="str" cm="1">
        <f t="array" ref="V7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6" spans="1:22" ht="14.4" x14ac:dyDescent="0.3">
      <c r="A796" s="1" t="s">
        <v>2170</v>
      </c>
      <c r="B796" s="5">
        <v>46137</v>
      </c>
      <c r="C796" s="6">
        <v>0.77083333333333337</v>
      </c>
      <c r="D796" s="1" t="s">
        <v>12</v>
      </c>
      <c r="E796" s="1" t="s">
        <v>13</v>
      </c>
      <c r="F796" s="1" t="s">
        <v>2171</v>
      </c>
      <c r="G796" s="39" t="s">
        <v>161</v>
      </c>
      <c r="H796" s="1">
        <v>2</v>
      </c>
      <c r="I796" s="1">
        <v>2</v>
      </c>
      <c r="J796" s="39" t="s">
        <v>482</v>
      </c>
      <c r="K796" s="1">
        <v>2</v>
      </c>
      <c r="L796" s="1">
        <v>2</v>
      </c>
      <c r="S796" s="1" t="str">
        <f>IF(tblDados[[#This Row],[Mandante]]="","",TEXT(tblDados[[#This Row],[Data]],"aaaa-mm-dd")&amp;"|"&amp;TRIM(tblDados[[#This Row],[Mandante]])&amp;"|"&amp;TRIM(tblDados[[#This Row],[Visitante]]))</f>
        <v>2026-04-25|Bahia|Santos</v>
      </c>
      <c r="T796">
        <f>IF($G796="",0,IF(COUNTIF($S$2:$S2834,$S796)=1,1,0))</f>
        <v>1</v>
      </c>
      <c r="U796" s="19" t="str" cm="1">
        <f t="array" ref="U7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6" s="19" t="str" cm="1">
        <f t="array" ref="V7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7" spans="1:22" x14ac:dyDescent="0.3">
      <c r="A797" s="1" t="s">
        <v>2172</v>
      </c>
      <c r="B797" s="5">
        <v>46225</v>
      </c>
      <c r="C797" s="6">
        <v>0.89583333333333337</v>
      </c>
      <c r="D797" s="1" t="s">
        <v>12</v>
      </c>
      <c r="E797" s="1" t="s">
        <v>13</v>
      </c>
      <c r="F797" s="1" t="s">
        <v>2173</v>
      </c>
      <c r="G797" s="39" t="s">
        <v>143</v>
      </c>
      <c r="H797" s="1">
        <v>1</v>
      </c>
      <c r="I797" s="1">
        <v>2</v>
      </c>
      <c r="J797" s="39" t="s">
        <v>178</v>
      </c>
      <c r="K797" s="1">
        <v>2</v>
      </c>
      <c r="L797" s="1">
        <v>1</v>
      </c>
      <c r="S797" s="1" t="str">
        <f>IF(tblDados[[#This Row],[Mandante]]="","",TEXT(tblDados[[#This Row],[Data]],"aaaa-mm-dd")&amp;"|"&amp;TRIM(tblDados[[#This Row],[Mandante]])&amp;"|"&amp;TRIM(tblDados[[#This Row],[Visitante]]))</f>
        <v>2026-07-22|Internacional|Cruzeiro</v>
      </c>
      <c r="T797" s="1">
        <f>IF($G797="",0,IF(COUNTIF($S$2:$S797,$S797)=1,1,0))</f>
        <v>1</v>
      </c>
      <c r="U797" s="19" t="str" cm="1">
        <f t="array" ref="U7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7" s="19" t="str" cm="1">
        <f t="array" ref="V7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8" spans="1:22" ht="14.4" x14ac:dyDescent="0.3">
      <c r="A798" s="1" t="s">
        <v>2174</v>
      </c>
      <c r="B798" s="5">
        <v>46124</v>
      </c>
      <c r="C798" s="6">
        <v>0.77083333333333337</v>
      </c>
      <c r="D798" s="1" t="s">
        <v>12</v>
      </c>
      <c r="E798" s="1" t="s">
        <v>13</v>
      </c>
      <c r="F798" s="1" t="s">
        <v>2175</v>
      </c>
      <c r="G798" s="39" t="s">
        <v>178</v>
      </c>
      <c r="H798" s="1">
        <v>2</v>
      </c>
      <c r="I798" s="1">
        <v>1</v>
      </c>
      <c r="J798" s="39" t="s">
        <v>1740</v>
      </c>
      <c r="K798" s="1">
        <v>1</v>
      </c>
      <c r="L798" s="1">
        <v>2</v>
      </c>
      <c r="S798" s="1" t="str">
        <f>IF(tblDados[[#This Row],[Mandante]]="","",TEXT(tblDados[[#This Row],[Data]],"aaaa-mm-dd")&amp;"|"&amp;TRIM(tblDados[[#This Row],[Mandante]])&amp;"|"&amp;TRIM(tblDados[[#This Row],[Visitante]]))</f>
        <v>2026-04-12|Cruzeiro|Red Bull Bragantino</v>
      </c>
      <c r="T798">
        <f>IF($G798="",0,IF(COUNTIF($S$2:$S2834,$S798)=1,1,0))</f>
        <v>1</v>
      </c>
      <c r="U798" s="19" t="str" cm="1">
        <f t="array" ref="U7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8" s="19" t="str" cm="1">
        <f t="array" ref="V7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9" spans="1:22" x14ac:dyDescent="0.3">
      <c r="A799" s="1" t="s">
        <v>2176</v>
      </c>
      <c r="B799" s="5">
        <v>46228</v>
      </c>
      <c r="C799" s="6">
        <v>0.77083333333333337</v>
      </c>
      <c r="D799" s="1" t="s">
        <v>12</v>
      </c>
      <c r="E799" s="1" t="s">
        <v>13</v>
      </c>
      <c r="F799" s="1" t="s">
        <v>2177</v>
      </c>
      <c r="G799" s="39" t="s">
        <v>505</v>
      </c>
      <c r="H799" s="1">
        <v>2</v>
      </c>
      <c r="I799" s="1">
        <v>0</v>
      </c>
      <c r="J799" s="39" t="s">
        <v>143</v>
      </c>
      <c r="K799" s="1">
        <v>0</v>
      </c>
      <c r="L799" s="1">
        <v>2</v>
      </c>
      <c r="S799" s="1" t="str">
        <f>IF(tblDados[[#This Row],[Mandante]]="","",TEXT(tblDados[[#This Row],[Data]],"aaaa-mm-dd")&amp;"|"&amp;TRIM(tblDados[[#This Row],[Mandante]])&amp;"|"&amp;TRIM(tblDados[[#This Row],[Visitante]]))</f>
        <v>2026-07-25|Athletico-PR|Internacional</v>
      </c>
      <c r="T799" s="1">
        <f>IF($G799="",0,IF(COUNTIF($S$2:$S799,$S799)=1,1,0))</f>
        <v>1</v>
      </c>
      <c r="U799" s="19" t="str" cm="1">
        <f t="array" ref="U7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9" s="19" t="str" cm="1">
        <f t="array" ref="V7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0" spans="1:22" x14ac:dyDescent="0.3">
      <c r="A800" s="1" t="s">
        <v>2178</v>
      </c>
      <c r="B800" s="5">
        <v>46172</v>
      </c>
      <c r="C800" s="6">
        <v>0.66666666666666663</v>
      </c>
      <c r="D800" s="1" t="s">
        <v>12</v>
      </c>
      <c r="E800" s="1" t="s">
        <v>13</v>
      </c>
      <c r="F800" s="1" t="s">
        <v>2179</v>
      </c>
      <c r="G800" s="39" t="s">
        <v>505</v>
      </c>
      <c r="H800" s="1">
        <v>1</v>
      </c>
      <c r="I800" s="1">
        <v>0</v>
      </c>
      <c r="J800" s="39" t="s">
        <v>135</v>
      </c>
      <c r="K800" s="1">
        <v>0</v>
      </c>
      <c r="L800" s="1">
        <v>1</v>
      </c>
      <c r="S800" s="1" t="str">
        <f>IF(tblDados[[#This Row],[Mandante]]="","",TEXT(tblDados[[#This Row],[Data]],"aaaa-mm-dd")&amp;"|"&amp;TRIM(tblDados[[#This Row],[Mandante]])&amp;"|"&amp;TRIM(tblDados[[#This Row],[Visitante]]))</f>
        <v>2026-05-30|Athletico-PR|Mirassol</v>
      </c>
      <c r="T800" s="1">
        <f>IF($G800="",0,IF(COUNTIF($S$2:$S800,$S800)=1,1,0))</f>
        <v>1</v>
      </c>
      <c r="U800" s="19" t="str" cm="1">
        <f t="array" ref="U8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0" s="19" t="str" cm="1">
        <f t="array" ref="V8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1" spans="1:22" x14ac:dyDescent="0.3">
      <c r="A801" s="1" t="s">
        <v>2180</v>
      </c>
      <c r="B801" s="5">
        <v>46152</v>
      </c>
      <c r="C801" s="6">
        <v>0.85416666666666663</v>
      </c>
      <c r="D801" s="1" t="s">
        <v>12</v>
      </c>
      <c r="E801" s="1" t="s">
        <v>13</v>
      </c>
      <c r="F801" s="1" t="s">
        <v>2181</v>
      </c>
      <c r="G801" s="39" t="s">
        <v>229</v>
      </c>
      <c r="H801" s="1">
        <v>1</v>
      </c>
      <c r="I801" s="1">
        <v>0</v>
      </c>
      <c r="J801" s="39" t="s">
        <v>505</v>
      </c>
      <c r="K801" s="1">
        <v>0</v>
      </c>
      <c r="L801" s="1">
        <v>1</v>
      </c>
      <c r="S801" s="1" t="str">
        <f>IF(tblDados[[#This Row],[Mandante]]="","",TEXT(tblDados[[#This Row],[Data]],"aaaa-mm-dd")&amp;"|"&amp;TRIM(tblDados[[#This Row],[Mandante]])&amp;"|"&amp;TRIM(tblDados[[#This Row],[Visitante]]))</f>
        <v>2026-05-10|Vasco da Gama|Athletico-PR</v>
      </c>
      <c r="T801" s="1">
        <f>IF($G801="",0,IF(COUNTIF($S$2:$S801,$S801)=1,1,0))</f>
        <v>1</v>
      </c>
      <c r="U801" s="19" t="str" cm="1">
        <f t="array" ref="U8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1" s="19" t="str" cm="1">
        <f t="array" ref="V8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2" spans="1:22" ht="14.4" x14ac:dyDescent="0.3">
      <c r="A802" s="1" t="s">
        <v>2182</v>
      </c>
      <c r="B802" s="5">
        <v>46138</v>
      </c>
      <c r="C802" s="6">
        <v>0.77083333333333337</v>
      </c>
      <c r="D802" s="1" t="s">
        <v>12</v>
      </c>
      <c r="E802" s="1" t="s">
        <v>13</v>
      </c>
      <c r="F802" s="1" t="s">
        <v>2183</v>
      </c>
      <c r="G802" s="39" t="s">
        <v>505</v>
      </c>
      <c r="H802" s="1">
        <v>3</v>
      </c>
      <c r="I802" s="1">
        <v>1</v>
      </c>
      <c r="J802" s="39" t="s">
        <v>150</v>
      </c>
      <c r="K802" s="1">
        <v>1</v>
      </c>
      <c r="L802" s="1">
        <v>3</v>
      </c>
      <c r="S802" s="1" t="str">
        <f>IF(tblDados[[#This Row],[Mandante]]="","",TEXT(tblDados[[#This Row],[Data]],"aaaa-mm-dd")&amp;"|"&amp;TRIM(tblDados[[#This Row],[Mandante]])&amp;"|"&amp;TRIM(tblDados[[#This Row],[Visitante]]))</f>
        <v>2026-04-26|Athletico-PR|Vitória</v>
      </c>
      <c r="T802">
        <f>IF($G802="",0,IF(COUNTIF($S$2:$S2834,$S802)=1,1,0))</f>
        <v>1</v>
      </c>
      <c r="U802" s="19" t="str" cm="1">
        <f t="array" ref="U8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2" s="19" t="str" cm="1">
        <f t="array" ref="V8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3" spans="1:22" x14ac:dyDescent="0.3">
      <c r="A803" s="1" t="s">
        <v>2184</v>
      </c>
      <c r="B803" s="5">
        <v>46172</v>
      </c>
      <c r="C803" s="6">
        <v>0.83333333333333337</v>
      </c>
      <c r="D803" s="1" t="s">
        <v>12</v>
      </c>
      <c r="E803" s="1" t="s">
        <v>13</v>
      </c>
      <c r="F803" s="1" t="s">
        <v>2185</v>
      </c>
      <c r="G803" s="39" t="s">
        <v>482</v>
      </c>
      <c r="H803" s="1">
        <v>3</v>
      </c>
      <c r="I803" s="1">
        <v>1</v>
      </c>
      <c r="J803" s="39" t="s">
        <v>150</v>
      </c>
      <c r="K803" s="1">
        <v>1</v>
      </c>
      <c r="L803" s="1">
        <v>3</v>
      </c>
      <c r="S803" s="1" t="str">
        <f>IF(tblDados[[#This Row],[Mandante]]="","",TEXT(tblDados[[#This Row],[Data]],"aaaa-mm-dd")&amp;"|"&amp;TRIM(tblDados[[#This Row],[Mandante]])&amp;"|"&amp;TRIM(tblDados[[#This Row],[Visitante]]))</f>
        <v>2026-05-30|Santos|Vitória</v>
      </c>
      <c r="T803" s="1">
        <f>IF($G803="",0,IF(COUNTIF($S$2:$S803,$S803)=1,1,0))</f>
        <v>1</v>
      </c>
      <c r="U803" s="19" t="str" cm="1">
        <f t="array" ref="U8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3" s="19" t="str" cm="1">
        <f t="array" ref="V8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4" spans="1:22" x14ac:dyDescent="0.3">
      <c r="A804" s="1" t="s">
        <v>2186</v>
      </c>
      <c r="B804" s="5">
        <v>46152</v>
      </c>
      <c r="C804" s="6">
        <v>0.77083333333333337</v>
      </c>
      <c r="D804" s="1" t="s">
        <v>12</v>
      </c>
      <c r="E804" s="1" t="s">
        <v>13</v>
      </c>
      <c r="F804" s="1" t="s">
        <v>2187</v>
      </c>
      <c r="G804" s="39" t="s">
        <v>482</v>
      </c>
      <c r="H804" s="1">
        <v>2</v>
      </c>
      <c r="I804" s="1">
        <v>0</v>
      </c>
      <c r="J804" s="39" t="s">
        <v>1740</v>
      </c>
      <c r="K804" s="1">
        <v>0</v>
      </c>
      <c r="L804" s="1">
        <v>2</v>
      </c>
      <c r="S804" s="1" t="str">
        <f>IF(tblDados[[#This Row],[Mandante]]="","",TEXT(tblDados[[#This Row],[Data]],"aaaa-mm-dd")&amp;"|"&amp;TRIM(tblDados[[#This Row],[Mandante]])&amp;"|"&amp;TRIM(tblDados[[#This Row],[Visitante]]))</f>
        <v>2026-05-10|Santos|Red Bull Bragantino</v>
      </c>
      <c r="T804" s="1">
        <f>IF($G804="",0,IF(COUNTIF($S$2:$S804,$S804)=1,1,0))</f>
        <v>1</v>
      </c>
      <c r="U804" s="19" t="str" cm="1">
        <f t="array" ref="U8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4" s="19" t="str" cm="1">
        <f t="array" ref="V8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5" spans="1:22" ht="14.4" x14ac:dyDescent="0.3">
      <c r="A805" s="1" t="s">
        <v>2188</v>
      </c>
      <c r="B805" s="5">
        <v>46114</v>
      </c>
      <c r="C805" s="6">
        <v>0.79166666666666663</v>
      </c>
      <c r="D805" s="1" t="s">
        <v>12</v>
      </c>
      <c r="E805" s="1" t="s">
        <v>13</v>
      </c>
      <c r="F805" s="1" t="s">
        <v>2189</v>
      </c>
      <c r="G805" s="39" t="s">
        <v>482</v>
      </c>
      <c r="H805" s="1">
        <v>2</v>
      </c>
      <c r="I805" s="1">
        <v>0</v>
      </c>
      <c r="J805" s="39" t="s">
        <v>136</v>
      </c>
      <c r="K805" s="1">
        <v>0</v>
      </c>
      <c r="L805" s="1">
        <v>2</v>
      </c>
      <c r="S805" s="1" t="str">
        <f>IF(tblDados[[#This Row],[Mandante]]="","",TEXT(tblDados[[#This Row],[Data]],"aaaa-mm-dd")&amp;"|"&amp;TRIM(tblDados[[#This Row],[Mandante]])&amp;"|"&amp;TRIM(tblDados[[#This Row],[Visitante]]))</f>
        <v>2026-04-02|Santos|Remo</v>
      </c>
      <c r="T805">
        <f>IF($G805="",0,IF(COUNTIF($S$2:$S2834,$S805)=1,1,0))</f>
        <v>1</v>
      </c>
      <c r="U805" s="19" t="str" cm="1">
        <f t="array" ref="U8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5" s="19" t="str" cm="1">
        <f t="array" ref="V8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6" spans="1:22" x14ac:dyDescent="0.3">
      <c r="A806" s="1" t="s">
        <v>2190</v>
      </c>
      <c r="B806" s="5">
        <v>46145</v>
      </c>
      <c r="C806" s="6">
        <v>0.85416666666666663</v>
      </c>
      <c r="D806" s="1" t="s">
        <v>12</v>
      </c>
      <c r="E806" s="1" t="s">
        <v>13</v>
      </c>
      <c r="F806" s="1" t="s">
        <v>2191</v>
      </c>
      <c r="G806" s="39" t="s">
        <v>135</v>
      </c>
      <c r="H806" s="1">
        <v>2</v>
      </c>
      <c r="I806" s="1">
        <v>1</v>
      </c>
      <c r="J806" s="39" t="s">
        <v>174</v>
      </c>
      <c r="K806" s="1">
        <v>1</v>
      </c>
      <c r="L806" s="1">
        <v>2</v>
      </c>
      <c r="S806" s="1" t="str">
        <f>IF(tblDados[[#This Row],[Mandante]]="","",TEXT(tblDados[[#This Row],[Data]],"aaaa-mm-dd")&amp;"|"&amp;TRIM(tblDados[[#This Row],[Mandante]])&amp;"|"&amp;TRIM(tblDados[[#This Row],[Visitante]]))</f>
        <v>2026-05-03|Mirassol|Corinthians</v>
      </c>
      <c r="T806" s="1">
        <f>IF($G806="",0,IF(COUNTIF($S$2:$S806,$S806)=1,1,0))</f>
        <v>1</v>
      </c>
      <c r="U806" s="19" t="str" cm="1">
        <f t="array" ref="U8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6" s="19" t="str" cm="1">
        <f t="array" ref="V8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7" spans="1:22" x14ac:dyDescent="0.3">
      <c r="A807" s="1" t="s">
        <v>2192</v>
      </c>
      <c r="B807" s="5">
        <v>46138</v>
      </c>
      <c r="C807" s="6">
        <v>0.66666666666666663</v>
      </c>
      <c r="D807" s="1" t="s">
        <v>12</v>
      </c>
      <c r="E807" s="1" t="s">
        <v>13</v>
      </c>
      <c r="F807" s="1" t="s">
        <v>2193</v>
      </c>
      <c r="G807" s="39" t="s">
        <v>174</v>
      </c>
      <c r="H807" s="1">
        <v>1</v>
      </c>
      <c r="I807" s="1">
        <v>0</v>
      </c>
      <c r="J807" s="39" t="s">
        <v>229</v>
      </c>
      <c r="K807" s="1">
        <v>0</v>
      </c>
      <c r="L807" s="1">
        <v>1</v>
      </c>
      <c r="S807" s="1" t="str">
        <f>IF(tblDados[[#This Row],[Mandante]]="","",TEXT(tblDados[[#This Row],[Data]],"aaaa-mm-dd")&amp;"|"&amp;TRIM(tblDados[[#This Row],[Mandante]])&amp;"|"&amp;TRIM(tblDados[[#This Row],[Visitante]]))</f>
        <v>2026-04-26|Corinthians|Vasco da Gama</v>
      </c>
      <c r="T807" s="1">
        <f>IF($G807="",0,IF(COUNTIF($S$2:$S807,$S807)=1,1,0))</f>
        <v>1</v>
      </c>
      <c r="U807" s="19" t="str" cm="1">
        <f t="array" ref="U8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7" s="19" t="str" cm="1">
        <f t="array" ref="V8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8" spans="1:22" x14ac:dyDescent="0.3">
      <c r="A808" s="1" t="s">
        <v>2194</v>
      </c>
      <c r="B808" s="5">
        <v>46130</v>
      </c>
      <c r="C808" s="6">
        <v>0.83333333333333337</v>
      </c>
      <c r="D808" s="1" t="s">
        <v>12</v>
      </c>
      <c r="E808" s="1" t="s">
        <v>13</v>
      </c>
      <c r="F808" s="1" t="s">
        <v>2195</v>
      </c>
      <c r="G808" s="39" t="s">
        <v>150</v>
      </c>
      <c r="H808" s="1">
        <v>0</v>
      </c>
      <c r="I808" s="1">
        <v>0</v>
      </c>
      <c r="J808" s="39" t="s">
        <v>174</v>
      </c>
      <c r="K808" s="1">
        <v>0</v>
      </c>
      <c r="L808" s="1">
        <v>0</v>
      </c>
      <c r="S808" s="1" t="str">
        <f>IF(tblDados[[#This Row],[Mandante]]="","",TEXT(tblDados[[#This Row],[Data]],"aaaa-mm-dd")&amp;"|"&amp;TRIM(tblDados[[#This Row],[Mandante]])&amp;"|"&amp;TRIM(tblDados[[#This Row],[Visitante]]))</f>
        <v>2026-04-18|Vitória|Corinthians</v>
      </c>
      <c r="T808" s="1">
        <f>IF($G808="",0,IF(COUNTIF($S$2:$S808,$S808)=1,1,0))</f>
        <v>1</v>
      </c>
      <c r="U808" s="19" t="str" cm="1">
        <f t="array" ref="U8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8" s="19" t="str" cm="1">
        <f t="array" ref="V8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9" spans="1:22" ht="14.4" x14ac:dyDescent="0.3">
      <c r="A809" s="1" t="s">
        <v>2196</v>
      </c>
      <c r="B809" s="5">
        <v>46117</v>
      </c>
      <c r="C809" s="6">
        <v>0.8125</v>
      </c>
      <c r="D809" s="1" t="s">
        <v>12</v>
      </c>
      <c r="E809" s="1" t="s">
        <v>13</v>
      </c>
      <c r="F809" s="1" t="s">
        <v>2197</v>
      </c>
      <c r="G809" s="39" t="s">
        <v>174</v>
      </c>
      <c r="H809" s="1">
        <v>0</v>
      </c>
      <c r="I809" s="1">
        <v>1</v>
      </c>
      <c r="J809" s="39" t="s">
        <v>143</v>
      </c>
      <c r="K809" s="1">
        <v>1</v>
      </c>
      <c r="L809" s="1">
        <v>0</v>
      </c>
      <c r="S809" s="1" t="str">
        <f>IF(tblDados[[#This Row],[Mandante]]="","",TEXT(tblDados[[#This Row],[Data]],"aaaa-mm-dd")&amp;"|"&amp;TRIM(tblDados[[#This Row],[Mandante]])&amp;"|"&amp;TRIM(tblDados[[#This Row],[Visitante]]))</f>
        <v>2026-04-05|Corinthians|Internacional</v>
      </c>
      <c r="T809">
        <f>IF($G809="",0,IF(COUNTIF($S$2:$S2834,$S809)=1,1,0))</f>
        <v>1</v>
      </c>
      <c r="U809" s="19" t="str" cm="1">
        <f t="array" ref="U8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9" s="19" t="str" cm="1">
        <f t="array" ref="V8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0" spans="1:22" x14ac:dyDescent="0.3">
      <c r="A810" s="1" t="s">
        <v>2198</v>
      </c>
      <c r="B810" s="5">
        <v>46219</v>
      </c>
      <c r="C810" s="6">
        <v>0.8125</v>
      </c>
      <c r="D810" s="1" t="s">
        <v>12</v>
      </c>
      <c r="E810" s="1" t="s">
        <v>13</v>
      </c>
      <c r="F810" s="1" t="s">
        <v>2199</v>
      </c>
      <c r="G810" s="39" t="s">
        <v>150</v>
      </c>
      <c r="H810" s="1">
        <v>1</v>
      </c>
      <c r="I810" s="1">
        <v>0</v>
      </c>
      <c r="J810" s="39" t="s">
        <v>229</v>
      </c>
      <c r="K810" s="1">
        <v>0</v>
      </c>
      <c r="L810" s="1">
        <v>1</v>
      </c>
      <c r="S810" s="1" t="str">
        <f>IF(tblDados[[#This Row],[Mandante]]="","",TEXT(tblDados[[#This Row],[Data]],"aaaa-mm-dd")&amp;"|"&amp;TRIM(tblDados[[#This Row],[Mandante]])&amp;"|"&amp;TRIM(tblDados[[#This Row],[Visitante]]))</f>
        <v>2026-07-16|Vitória|Vasco da Gama</v>
      </c>
      <c r="T810" s="1">
        <f>IF($G810="",0,IF(COUNTIF($S$2:$S810,$S810)=1,1,0))</f>
        <v>1</v>
      </c>
      <c r="U810" s="19" t="str" cm="1">
        <f t="array" ref="U8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0" s="19" t="str" cm="1">
        <f t="array" ref="V8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1" spans="1:22" ht="14.4" x14ac:dyDescent="0.3">
      <c r="A811" s="1" t="s">
        <v>2200</v>
      </c>
      <c r="B811" s="5">
        <v>46165</v>
      </c>
      <c r="C811" s="6">
        <v>0.70833333333333337</v>
      </c>
      <c r="D811" s="1" t="s">
        <v>12</v>
      </c>
      <c r="E811" s="1" t="s">
        <v>13</v>
      </c>
      <c r="F811" s="1" t="s">
        <v>2201</v>
      </c>
      <c r="G811" s="39" t="s">
        <v>150</v>
      </c>
      <c r="H811" s="1">
        <v>2</v>
      </c>
      <c r="I811" s="1">
        <v>0</v>
      </c>
      <c r="J811" s="39" t="s">
        <v>143</v>
      </c>
      <c r="K811" s="1">
        <v>0</v>
      </c>
      <c r="L811" s="1">
        <v>2</v>
      </c>
      <c r="S811" s="1" t="str">
        <f>IF(tblDados[[#This Row],[Mandante]]="","",TEXT(tblDados[[#This Row],[Data]],"aaaa-mm-dd")&amp;"|"&amp;TRIM(tblDados[[#This Row],[Mandante]])&amp;"|"&amp;TRIM(tblDados[[#This Row],[Visitante]]))</f>
        <v>2026-05-23|Vitória|Internacional</v>
      </c>
      <c r="T811">
        <f>IF($G811="",0,IF(COUNTIF($S$2:$S2834,$S811)=1,1,0))</f>
        <v>1</v>
      </c>
      <c r="U811" s="19" t="str" cm="1">
        <f t="array" ref="U8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1" s="19" t="str" cm="1">
        <f t="array" ref="V8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2" spans="1:22" x14ac:dyDescent="0.3">
      <c r="A812" s="1" t="s">
        <v>2202</v>
      </c>
      <c r="B812" s="5">
        <v>46173</v>
      </c>
      <c r="C812" s="6">
        <v>0.45833333333333331</v>
      </c>
      <c r="D812" s="1" t="s">
        <v>12</v>
      </c>
      <c r="E812" s="1" t="s">
        <v>13</v>
      </c>
      <c r="F812" s="1" t="s">
        <v>2203</v>
      </c>
      <c r="G812" s="39" t="s">
        <v>1740</v>
      </c>
      <c r="H812" s="1">
        <v>3</v>
      </c>
      <c r="I812" s="1">
        <v>1</v>
      </c>
      <c r="J812" s="39" t="s">
        <v>143</v>
      </c>
      <c r="K812" s="1">
        <v>1</v>
      </c>
      <c r="L812" s="1">
        <v>3</v>
      </c>
      <c r="S812" s="1" t="str">
        <f>IF(tblDados[[#This Row],[Mandante]]="","",TEXT(tblDados[[#This Row],[Data]],"aaaa-mm-dd")&amp;"|"&amp;TRIM(tblDados[[#This Row],[Mandante]])&amp;"|"&amp;TRIM(tblDados[[#This Row],[Visitante]]))</f>
        <v>2026-05-31|Red Bull Bragantino|Internacional</v>
      </c>
      <c r="T812" s="1">
        <f>IF($G812="",0,IF(COUNTIF($S$2:$S812,$S812)=1,1,0))</f>
        <v>1</v>
      </c>
      <c r="U812" s="19" t="str" cm="1">
        <f t="array" ref="U8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2" s="19" t="str" cm="1">
        <f t="array" ref="V8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3" spans="1:22" ht="14.4" x14ac:dyDescent="0.3">
      <c r="A813" s="1" t="s">
        <v>2204</v>
      </c>
      <c r="B813" s="5">
        <v>46158</v>
      </c>
      <c r="C813" s="6">
        <v>0.77083333333333337</v>
      </c>
      <c r="D813" s="1" t="s">
        <v>12</v>
      </c>
      <c r="E813" s="1" t="s">
        <v>13</v>
      </c>
      <c r="F813" s="1" t="s">
        <v>2205</v>
      </c>
      <c r="G813" s="39" t="s">
        <v>143</v>
      </c>
      <c r="H813" s="1">
        <v>4</v>
      </c>
      <c r="I813" s="1">
        <v>1</v>
      </c>
      <c r="J813" s="39" t="s">
        <v>229</v>
      </c>
      <c r="K813" s="1">
        <v>1</v>
      </c>
      <c r="L813" s="1">
        <v>4</v>
      </c>
      <c r="S813" s="1" t="str">
        <f>IF(tblDados[[#This Row],[Mandante]]="","",TEXT(tblDados[[#This Row],[Data]],"aaaa-mm-dd")&amp;"|"&amp;TRIM(tblDados[[#This Row],[Mandante]])&amp;"|"&amp;TRIM(tblDados[[#This Row],[Visitante]]))</f>
        <v>2026-05-16|Internacional|Vasco da Gama</v>
      </c>
      <c r="T813">
        <f>IF($G813="",0,IF(COUNTIF($S$2:$S2834,$S813)=1,1,0))</f>
        <v>1</v>
      </c>
      <c r="U813" s="19" t="str" cm="1">
        <f t="array" ref="U8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3" s="19" t="str" cm="1">
        <f t="array" ref="V8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4" spans="1:22" x14ac:dyDescent="0.3">
      <c r="A814" s="1" t="s">
        <v>2206</v>
      </c>
      <c r="B814" s="5">
        <v>46228</v>
      </c>
      <c r="C814" s="6">
        <v>0.85416666666666663</v>
      </c>
      <c r="D814" s="1" t="s">
        <v>12</v>
      </c>
      <c r="E814" s="1" t="s">
        <v>13</v>
      </c>
      <c r="F814" s="1" t="s">
        <v>2207</v>
      </c>
      <c r="G814" s="39" t="s">
        <v>229</v>
      </c>
      <c r="H814" s="1">
        <v>1</v>
      </c>
      <c r="I814" s="1">
        <v>1</v>
      </c>
      <c r="J814" s="39" t="s">
        <v>135</v>
      </c>
      <c r="K814" s="1">
        <v>1</v>
      </c>
      <c r="L814" s="1">
        <v>1</v>
      </c>
      <c r="S814" s="1" t="str">
        <f>IF(tblDados[[#This Row],[Mandante]]="","",TEXT(tblDados[[#This Row],[Data]],"aaaa-mm-dd")&amp;"|"&amp;TRIM(tblDados[[#This Row],[Mandante]])&amp;"|"&amp;TRIM(tblDados[[#This Row],[Visitante]]))</f>
        <v>2026-07-25|Vasco da Gama|Mirassol</v>
      </c>
      <c r="T814" s="1">
        <f>IF($G814="",0,IF(COUNTIF($S$2:$S814,$S814)=1,1,0))</f>
        <v>1</v>
      </c>
      <c r="U814" s="19" t="str" cm="1">
        <f t="array" ref="U8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4" s="19" t="str" cm="1">
        <f t="array" ref="V8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5" spans="1:22" x14ac:dyDescent="0.3">
      <c r="A815" s="1" t="s">
        <v>2208</v>
      </c>
      <c r="B815" s="5">
        <v>46131</v>
      </c>
      <c r="C815" s="6">
        <v>0.45833333333333331</v>
      </c>
      <c r="D815" s="1" t="s">
        <v>12</v>
      </c>
      <c r="E815" s="1" t="s">
        <v>13</v>
      </c>
      <c r="F815" s="1" t="s">
        <v>2209</v>
      </c>
      <c r="G815" s="39" t="s">
        <v>143</v>
      </c>
      <c r="H815" s="1">
        <v>1</v>
      </c>
      <c r="I815" s="1">
        <v>2</v>
      </c>
      <c r="J815" s="39" t="s">
        <v>135</v>
      </c>
      <c r="K815" s="1">
        <v>2</v>
      </c>
      <c r="L815" s="1">
        <v>1</v>
      </c>
      <c r="S815" s="1" t="str">
        <f>IF(tblDados[[#This Row],[Mandante]]="","",TEXT(tblDados[[#This Row],[Data]],"aaaa-mm-dd")&amp;"|"&amp;TRIM(tblDados[[#This Row],[Mandante]])&amp;"|"&amp;TRIM(tblDados[[#This Row],[Visitante]]))</f>
        <v>2026-04-19|Internacional|Mirassol</v>
      </c>
      <c r="T815" s="1">
        <f>IF($G815="",0,IF(COUNTIF($S$2:$S815,$S815)=1,1,0))</f>
        <v>1</v>
      </c>
      <c r="U815" s="19" t="str" cm="1">
        <f t="array" ref="U8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5" s="19" t="str" cm="1">
        <f t="array" ref="V8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6" spans="1:22" x14ac:dyDescent="0.3">
      <c r="A816" s="1" t="s">
        <v>2210</v>
      </c>
      <c r="B816" s="5">
        <v>46123</v>
      </c>
      <c r="C816" s="6">
        <v>0.77083333333333337</v>
      </c>
      <c r="D816" s="1" t="s">
        <v>12</v>
      </c>
      <c r="E816" s="1" t="s">
        <v>13</v>
      </c>
      <c r="F816" s="1" t="s">
        <v>2211</v>
      </c>
      <c r="G816" s="39" t="s">
        <v>135</v>
      </c>
      <c r="H816" s="1">
        <v>1</v>
      </c>
      <c r="I816" s="1">
        <v>2</v>
      </c>
      <c r="J816" s="39" t="s">
        <v>161</v>
      </c>
      <c r="K816" s="1">
        <v>2</v>
      </c>
      <c r="L816" s="1">
        <v>1</v>
      </c>
      <c r="S816" s="1" t="str">
        <f>IF(tblDados[[#This Row],[Mandante]]="","",TEXT(tblDados[[#This Row],[Data]],"aaaa-mm-dd")&amp;"|"&amp;TRIM(tblDados[[#This Row],[Mandante]])&amp;"|"&amp;TRIM(tblDados[[#This Row],[Visitante]]))</f>
        <v>2026-04-11|Mirassol|Bahia</v>
      </c>
      <c r="T816" s="1">
        <f>IF($G816="",0,IF(COUNTIF($S$2:$S816,$S816)=1,1,0))</f>
        <v>1</v>
      </c>
      <c r="U816" s="19" t="str" cm="1">
        <f t="array" ref="U8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6" s="19" t="str" cm="1">
        <f t="array" ref="V8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7" spans="1:22" ht="14.4" x14ac:dyDescent="0.3">
      <c r="A817" s="1" t="s">
        <v>2212</v>
      </c>
      <c r="B817" s="5">
        <v>46117</v>
      </c>
      <c r="C817" s="6">
        <v>0.83333333333333337</v>
      </c>
      <c r="D817" s="1" t="s">
        <v>12</v>
      </c>
      <c r="E817" s="1" t="s">
        <v>13</v>
      </c>
      <c r="F817" s="1" t="s">
        <v>2213</v>
      </c>
      <c r="G817" s="39" t="s">
        <v>135</v>
      </c>
      <c r="H817" s="1">
        <v>0</v>
      </c>
      <c r="I817" s="1">
        <v>1</v>
      </c>
      <c r="J817" s="39" t="s">
        <v>1740</v>
      </c>
      <c r="K817" s="1">
        <v>1</v>
      </c>
      <c r="L817" s="1">
        <v>0</v>
      </c>
      <c r="S817" s="1" t="str">
        <f>IF(tblDados[[#This Row],[Mandante]]="","",TEXT(tblDados[[#This Row],[Data]],"aaaa-mm-dd")&amp;"|"&amp;TRIM(tblDados[[#This Row],[Mandante]])&amp;"|"&amp;TRIM(tblDados[[#This Row],[Visitante]]))</f>
        <v>2026-04-05|Mirassol|Red Bull Bragantino</v>
      </c>
      <c r="T817">
        <f>IF($G817="",0,IF(COUNTIF($S$2:$S2834,$S817)=1,1,0))</f>
        <v>1</v>
      </c>
      <c r="U817" s="19" t="str" cm="1">
        <f t="array" ref="U8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7" s="19" t="str" cm="1">
        <f t="array" ref="V8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8" spans="1:22" x14ac:dyDescent="0.3">
      <c r="A818" s="1" t="s">
        <v>2214</v>
      </c>
      <c r="B818" s="5">
        <v>46166</v>
      </c>
      <c r="C818" s="6">
        <v>0.85416666666666663</v>
      </c>
      <c r="D818" s="1" t="s">
        <v>12</v>
      </c>
      <c r="E818" s="1" t="s">
        <v>13</v>
      </c>
      <c r="F818" s="1" t="s">
        <v>2215</v>
      </c>
      <c r="G818" s="39" t="s">
        <v>229</v>
      </c>
      <c r="H818" s="1">
        <v>0</v>
      </c>
      <c r="I818" s="1">
        <v>3</v>
      </c>
      <c r="J818" s="39" t="s">
        <v>1740</v>
      </c>
      <c r="K818" s="1">
        <v>3</v>
      </c>
      <c r="L818" s="1">
        <v>0</v>
      </c>
      <c r="S818" s="1" t="str">
        <f>IF(tblDados[[#This Row],[Mandante]]="","",TEXT(tblDados[[#This Row],[Data]],"aaaa-mm-dd")&amp;"|"&amp;TRIM(tblDados[[#This Row],[Mandante]])&amp;"|"&amp;TRIM(tblDados[[#This Row],[Visitante]]))</f>
        <v>2026-05-24|Vasco da Gama|Red Bull Bragantino</v>
      </c>
      <c r="T818" s="1">
        <f>IF($G818="",0,IF(COUNTIF($S$2:$S818,$S818)=1,1,0))</f>
        <v>1</v>
      </c>
      <c r="U818" s="19" t="str" cm="1">
        <f t="array" ref="U8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8" s="19" t="str" cm="1">
        <f t="array" ref="V8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9" spans="1:22" x14ac:dyDescent="0.3">
      <c r="A819" s="1" t="s">
        <v>2216</v>
      </c>
      <c r="B819" s="5">
        <v>46159</v>
      </c>
      <c r="C819" s="6">
        <v>0.77083333333333337</v>
      </c>
      <c r="D819" s="1" t="s">
        <v>12</v>
      </c>
      <c r="E819" s="1" t="s">
        <v>13</v>
      </c>
      <c r="F819" s="1" t="s">
        <v>2217</v>
      </c>
      <c r="G819" s="39" t="s">
        <v>1740</v>
      </c>
      <c r="H819" s="1">
        <v>2</v>
      </c>
      <c r="I819" s="1">
        <v>0</v>
      </c>
      <c r="J819" s="39" t="s">
        <v>150</v>
      </c>
      <c r="K819" s="1">
        <v>0</v>
      </c>
      <c r="L819" s="1">
        <v>2</v>
      </c>
      <c r="S819" s="1" t="str">
        <f>IF(tblDados[[#This Row],[Mandante]]="","",TEXT(tblDados[[#This Row],[Data]],"aaaa-mm-dd")&amp;"|"&amp;TRIM(tblDados[[#This Row],[Mandante]])&amp;"|"&amp;TRIM(tblDados[[#This Row],[Visitante]]))</f>
        <v>2026-05-17|Red Bull Bragantino|Vitória</v>
      </c>
      <c r="T819" s="1">
        <f>IF($G819="",0,IF(COUNTIF($S$2:$S819,$S819)=1,1,0))</f>
        <v>1</v>
      </c>
      <c r="U819" s="19" t="str" cm="1">
        <f t="array" ref="U8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9" s="19" t="str" cm="1">
        <f t="array" ref="V8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0" spans="1:22" ht="14.4" x14ac:dyDescent="0.3">
      <c r="A820" s="1" t="s">
        <v>2218</v>
      </c>
      <c r="B820" s="5">
        <v>46114</v>
      </c>
      <c r="C820" s="6">
        <v>0.89583333333333337</v>
      </c>
      <c r="D820" s="1" t="s">
        <v>12</v>
      </c>
      <c r="E820" s="1" t="s">
        <v>13</v>
      </c>
      <c r="F820" s="1" t="s">
        <v>2219</v>
      </c>
      <c r="G820" s="39" t="s">
        <v>1740</v>
      </c>
      <c r="H820" s="1">
        <v>3</v>
      </c>
      <c r="I820" s="1">
        <v>0</v>
      </c>
      <c r="J820" s="39" t="s">
        <v>144</v>
      </c>
      <c r="K820" s="1">
        <v>0</v>
      </c>
      <c r="L820" s="1">
        <v>3</v>
      </c>
      <c r="S820" s="1" t="str">
        <f>IF(tblDados[[#This Row],[Mandante]]="","",TEXT(tblDados[[#This Row],[Data]],"aaaa-mm-dd")&amp;"|"&amp;TRIM(tblDados[[#This Row],[Mandante]])&amp;"|"&amp;TRIM(tblDados[[#This Row],[Visitante]]))</f>
        <v>2026-04-02|Red Bull Bragantino|Flamengo</v>
      </c>
      <c r="T820">
        <f>IF($G820="",0,IF(COUNTIF($S$2:$S2834,$S820)=1,1,0))</f>
        <v>1</v>
      </c>
      <c r="U820" s="19" t="str" cm="1">
        <f t="array" ref="U8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0" s="19" t="str" cm="1">
        <f t="array" ref="V8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1" spans="1:22" ht="14.4" x14ac:dyDescent="0.3">
      <c r="A821" s="1" t="s">
        <v>2220</v>
      </c>
      <c r="B821" s="5">
        <v>46113</v>
      </c>
      <c r="C821" s="6">
        <v>0.85416666666666663</v>
      </c>
      <c r="D821" s="1" t="s">
        <v>12</v>
      </c>
      <c r="E821" s="1" t="s">
        <v>13</v>
      </c>
      <c r="F821" s="1" t="s">
        <v>2221</v>
      </c>
      <c r="G821" s="39" t="s">
        <v>177</v>
      </c>
      <c r="H821" s="1">
        <v>1</v>
      </c>
      <c r="I821" s="1">
        <v>1</v>
      </c>
      <c r="J821" s="39" t="s">
        <v>229</v>
      </c>
      <c r="K821" s="1">
        <v>1</v>
      </c>
      <c r="L821" s="1">
        <v>1</v>
      </c>
      <c r="S821" s="1" t="str">
        <f>IF(tblDados[[#This Row],[Mandante]]="","",TEXT(tblDados[[#This Row],[Data]],"aaaa-mm-dd")&amp;"|"&amp;TRIM(tblDados[[#This Row],[Mandante]])&amp;"|"&amp;TRIM(tblDados[[#This Row],[Visitante]]))</f>
        <v>2026-04-01|Coritiba|Vasco da Gama</v>
      </c>
      <c r="T821">
        <f>IF($G821="",0,IF(COUNTIF($S$2:$S2834,$S821)=1,1,0))</f>
        <v>1</v>
      </c>
      <c r="U821" s="19" t="str" cm="1">
        <f t="array" ref="U8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1" s="19" t="str" cm="1">
        <f t="array" ref="V8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2" spans="1:22" x14ac:dyDescent="0.3">
      <c r="A822" s="1" t="s">
        <v>2230</v>
      </c>
      <c r="B822" s="5">
        <v>46242</v>
      </c>
      <c r="C822" s="6">
        <v>0.16666666666666666</v>
      </c>
      <c r="D822" s="1" t="s">
        <v>7</v>
      </c>
      <c r="E822" s="1" t="s">
        <v>2274</v>
      </c>
      <c r="F822" s="1" t="s">
        <v>2231</v>
      </c>
      <c r="G822" s="39" t="s">
        <v>2222</v>
      </c>
      <c r="H822" s="1">
        <v>3</v>
      </c>
      <c r="I822" s="1">
        <v>1</v>
      </c>
      <c r="J822" s="39" t="s">
        <v>270</v>
      </c>
      <c r="K822" s="1">
        <v>1</v>
      </c>
      <c r="L822" s="1">
        <v>3</v>
      </c>
      <c r="S822" s="1" t="str">
        <f>IF(tblDados[[#This Row],[Mandante]]="","",TEXT(tblDados[[#This Row],[Data]],"aaaa-mm-dd")&amp;"|"&amp;TRIM(tblDados[[#This Row],[Mandante]])&amp;"|"&amp;TRIM(tblDados[[#This Row],[Visitante]]))</f>
        <v>2026-08-08|Manly United|Marconi Stallions</v>
      </c>
      <c r="T822" s="1">
        <f>IF($G822="",0,IF(COUNTIF($S$2:$S822,$S822)=1,1,0))</f>
        <v>1</v>
      </c>
      <c r="U822" s="19" t="str" cm="1">
        <f t="array" ref="U8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2" s="19" t="str" cm="1">
        <f t="array" ref="V8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3" spans="1:22" x14ac:dyDescent="0.3">
      <c r="A823" s="1" t="s">
        <v>2232</v>
      </c>
      <c r="B823" s="5">
        <v>46228</v>
      </c>
      <c r="C823" s="6">
        <v>0.16666666666666666</v>
      </c>
      <c r="D823" s="1" t="s">
        <v>7</v>
      </c>
      <c r="E823" s="1" t="s">
        <v>2274</v>
      </c>
      <c r="F823" s="1" t="s">
        <v>2233</v>
      </c>
      <c r="G823" s="39" t="s">
        <v>2223</v>
      </c>
      <c r="H823" s="1">
        <v>2</v>
      </c>
      <c r="I823" s="1">
        <v>1</v>
      </c>
      <c r="J823" s="39" t="s">
        <v>270</v>
      </c>
      <c r="K823" s="1">
        <v>1</v>
      </c>
      <c r="L823" s="1">
        <v>2</v>
      </c>
      <c r="S823" s="1" t="str">
        <f>IF(tblDados[[#This Row],[Mandante]]="","",TEXT(tblDados[[#This Row],[Data]],"aaaa-mm-dd")&amp;"|"&amp;TRIM(tblDados[[#This Row],[Mandante]])&amp;"|"&amp;TRIM(tblDados[[#This Row],[Visitante]]))</f>
        <v>2026-07-25|SD Raiders|Marconi Stallions</v>
      </c>
      <c r="T823" s="1">
        <f>IF($G823="",0,IF(COUNTIF($S$2:$S823,$S823)=1,1,0))</f>
        <v>1</v>
      </c>
      <c r="U823" s="19" t="str" cm="1">
        <f t="array" ref="U8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3" s="19" t="str" cm="1">
        <f t="array" ref="V8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4" spans="1:22" x14ac:dyDescent="0.3">
      <c r="A824" s="1" t="s">
        <v>2234</v>
      </c>
      <c r="B824" s="5">
        <v>46222</v>
      </c>
      <c r="C824" s="6">
        <v>0.91666666666666663</v>
      </c>
      <c r="D824" s="1" t="s">
        <v>7</v>
      </c>
      <c r="E824" s="1" t="s">
        <v>2274</v>
      </c>
      <c r="F824" s="1" t="s">
        <v>2235</v>
      </c>
      <c r="G824" s="39" t="s">
        <v>270</v>
      </c>
      <c r="H824" s="1">
        <v>0</v>
      </c>
      <c r="I824" s="1">
        <v>1</v>
      </c>
      <c r="J824" s="39" t="s">
        <v>2224</v>
      </c>
      <c r="K824" s="1">
        <v>1</v>
      </c>
      <c r="L824" s="1">
        <v>0</v>
      </c>
      <c r="S824" s="1" t="str">
        <f>IF(tblDados[[#This Row],[Mandante]]="","",TEXT(tblDados[[#This Row],[Data]],"aaaa-mm-dd")&amp;"|"&amp;TRIM(tblDados[[#This Row],[Mandante]])&amp;"|"&amp;TRIM(tblDados[[#This Row],[Visitante]]))</f>
        <v>2026-07-19|Marconi Stallions|Sydney United</v>
      </c>
      <c r="T824" s="1">
        <f>IF($G824="",0,IF(COUNTIF($S$2:$S824,$S824)=1,1,0))</f>
        <v>1</v>
      </c>
      <c r="U824" s="19" t="str" cm="1">
        <f t="array" ref="U8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4" s="19" t="str" cm="1">
        <f t="array" ref="V8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5" spans="1:22" x14ac:dyDescent="0.3">
      <c r="A825" s="1" t="s">
        <v>2236</v>
      </c>
      <c r="B825" s="5">
        <v>46215</v>
      </c>
      <c r="C825" s="6">
        <v>8.3333333333333329E-2</v>
      </c>
      <c r="D825" s="1" t="s">
        <v>7</v>
      </c>
      <c r="E825" s="1" t="s">
        <v>2274</v>
      </c>
      <c r="F825" s="1" t="s">
        <v>2237</v>
      </c>
      <c r="G825" s="39" t="s">
        <v>270</v>
      </c>
      <c r="H825" s="1">
        <v>3</v>
      </c>
      <c r="I825" s="1">
        <v>0</v>
      </c>
      <c r="J825" s="39" t="s">
        <v>2225</v>
      </c>
      <c r="K825" s="1">
        <v>0</v>
      </c>
      <c r="L825" s="1">
        <v>3</v>
      </c>
      <c r="S825" s="1" t="str">
        <f>IF(tblDados[[#This Row],[Mandante]]="","",TEXT(tblDados[[#This Row],[Data]],"aaaa-mm-dd")&amp;"|"&amp;TRIM(tblDados[[#This Row],[Mandante]])&amp;"|"&amp;TRIM(tblDados[[#This Row],[Visitante]]))</f>
        <v>2026-07-12|Marconi Stallions|Western Sydney Youth</v>
      </c>
      <c r="T825" s="1">
        <f>IF($G825="",0,IF(COUNTIF($S$2:$S825,$S825)=1,1,0))</f>
        <v>1</v>
      </c>
      <c r="U825" s="19" t="str" cm="1">
        <f t="array" ref="U8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5" s="19" t="str" cm="1">
        <f t="array" ref="V8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6" spans="1:22" x14ac:dyDescent="0.3">
      <c r="A826" s="1" t="s">
        <v>2238</v>
      </c>
      <c r="B826" s="5">
        <v>46208</v>
      </c>
      <c r="C826" s="6">
        <v>8.3333333333333329E-2</v>
      </c>
      <c r="D826" s="1" t="s">
        <v>7</v>
      </c>
      <c r="E826" s="1" t="s">
        <v>2274</v>
      </c>
      <c r="F826" s="1" t="s">
        <v>2239</v>
      </c>
      <c r="G826" s="39" t="s">
        <v>270</v>
      </c>
      <c r="H826" s="1">
        <v>2</v>
      </c>
      <c r="I826" s="1">
        <v>0</v>
      </c>
      <c r="J826" s="39" t="s">
        <v>2226</v>
      </c>
      <c r="K826" s="1">
        <v>0</v>
      </c>
      <c r="L826" s="1">
        <v>2</v>
      </c>
      <c r="S826" s="1" t="str">
        <f>IF(tblDados[[#This Row],[Mandante]]="","",TEXT(tblDados[[#This Row],[Data]],"aaaa-mm-dd")&amp;"|"&amp;TRIM(tblDados[[#This Row],[Mandante]])&amp;"|"&amp;TRIM(tblDados[[#This Row],[Visitante]]))</f>
        <v>2026-07-05|Marconi Stallions|St George Saints</v>
      </c>
      <c r="T826" s="1">
        <f>IF($G826="",0,IF(COUNTIF($S$2:$S826,$S826)=1,1,0))</f>
        <v>1</v>
      </c>
      <c r="U826" s="19" t="str" cm="1">
        <f t="array" ref="U8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6" s="19" t="str" cm="1">
        <f t="array" ref="V8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7" spans="1:22" x14ac:dyDescent="0.3">
      <c r="A827" s="1" t="s">
        <v>2240</v>
      </c>
      <c r="B827" s="5">
        <v>46201</v>
      </c>
      <c r="C827" s="6">
        <v>8.3333333333333329E-2</v>
      </c>
      <c r="D827" s="1" t="s">
        <v>7</v>
      </c>
      <c r="E827" s="1" t="s">
        <v>2274</v>
      </c>
      <c r="F827" s="1" t="s">
        <v>2241</v>
      </c>
      <c r="G827" s="39" t="s">
        <v>270</v>
      </c>
      <c r="H827" s="1">
        <v>2</v>
      </c>
      <c r="I827" s="1">
        <v>0</v>
      </c>
      <c r="J827" s="39" t="s">
        <v>250</v>
      </c>
      <c r="K827" s="1">
        <v>0</v>
      </c>
      <c r="L827" s="1">
        <v>2</v>
      </c>
      <c r="S827" s="1" t="str">
        <f>IF(tblDados[[#This Row],[Mandante]]="","",TEXT(tblDados[[#This Row],[Data]],"aaaa-mm-dd")&amp;"|"&amp;TRIM(tblDados[[#This Row],[Mandante]])&amp;"|"&amp;TRIM(tblDados[[#This Row],[Visitante]]))</f>
        <v>2026-06-28|Marconi Stallions|Blacktown City</v>
      </c>
      <c r="T827" s="1">
        <f>IF($G827="",0,IF(COUNTIF($S$2:$S827,$S827)=1,1,0))</f>
        <v>1</v>
      </c>
      <c r="U827" s="19" t="str" cm="1">
        <f t="array" ref="U8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7" s="19" t="str" cm="1">
        <f t="array" ref="V8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8" spans="1:22" x14ac:dyDescent="0.3">
      <c r="A828" s="1" t="s">
        <v>2242</v>
      </c>
      <c r="B828" s="5">
        <v>46194</v>
      </c>
      <c r="C828" s="6">
        <v>8.3333333333333329E-2</v>
      </c>
      <c r="D828" s="1" t="s">
        <v>7</v>
      </c>
      <c r="E828" s="1" t="s">
        <v>2274</v>
      </c>
      <c r="F828" s="1" t="s">
        <v>2243</v>
      </c>
      <c r="G828" s="39" t="s">
        <v>270</v>
      </c>
      <c r="H828" s="1">
        <v>1</v>
      </c>
      <c r="I828" s="1">
        <v>0</v>
      </c>
      <c r="J828" s="39" t="s">
        <v>2227</v>
      </c>
      <c r="K828" s="1">
        <v>0</v>
      </c>
      <c r="L828" s="1">
        <v>1</v>
      </c>
      <c r="S828" s="1" t="str">
        <f>IF(tblDados[[#This Row],[Mandante]]="","",TEXT(tblDados[[#This Row],[Data]],"aaaa-mm-dd")&amp;"|"&amp;TRIM(tblDados[[#This Row],[Mandante]])&amp;"|"&amp;TRIM(tblDados[[#This Row],[Visitante]]))</f>
        <v>2026-06-21|Marconi Stallions|UNSW</v>
      </c>
      <c r="T828" s="1">
        <f>IF($G828="",0,IF(COUNTIF($S$2:$S828,$S828)=1,1,0))</f>
        <v>1</v>
      </c>
      <c r="U828" s="19" t="str" cm="1">
        <f t="array" ref="U8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8" s="19" t="str" cm="1">
        <f t="array" ref="V8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9" spans="1:22" x14ac:dyDescent="0.3">
      <c r="A829" s="1" t="s">
        <v>2244</v>
      </c>
      <c r="B829" s="5">
        <v>46185</v>
      </c>
      <c r="C829" s="6">
        <v>0.29166666666666669</v>
      </c>
      <c r="D829" s="1" t="s">
        <v>7</v>
      </c>
      <c r="E829" s="1" t="s">
        <v>2274</v>
      </c>
      <c r="F829" s="1" t="s">
        <v>2245</v>
      </c>
      <c r="G829" s="39" t="s">
        <v>270</v>
      </c>
      <c r="H829" s="1">
        <v>0</v>
      </c>
      <c r="I829" s="1">
        <v>0</v>
      </c>
      <c r="J829" s="39" t="s">
        <v>251</v>
      </c>
      <c r="K829" s="1">
        <v>0</v>
      </c>
      <c r="L829" s="1">
        <v>0</v>
      </c>
      <c r="S829" s="1" t="str">
        <f>IF(tblDados[[#This Row],[Mandante]]="","",TEXT(tblDados[[#This Row],[Data]],"aaaa-mm-dd")&amp;"|"&amp;TRIM(tblDados[[#This Row],[Mandante]])&amp;"|"&amp;TRIM(tblDados[[#This Row],[Visitante]]))</f>
        <v>2026-06-12|Marconi Stallions|Sydney FC NPL</v>
      </c>
      <c r="T829" s="1">
        <f>IF($G829="",0,IF(COUNTIF($S$2:$S829,$S829)=1,1,0))</f>
        <v>1</v>
      </c>
      <c r="U829" s="19" t="str" cm="1">
        <f t="array" ref="U8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9" s="19" t="str" cm="1">
        <f t="array" ref="V8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0" spans="1:22" x14ac:dyDescent="0.3">
      <c r="A830" s="1" t="s">
        <v>2246</v>
      </c>
      <c r="B830" s="5">
        <v>46180</v>
      </c>
      <c r="C830" s="6">
        <v>8.3333333333333329E-2</v>
      </c>
      <c r="D830" s="1" t="s">
        <v>7</v>
      </c>
      <c r="E830" s="1" t="s">
        <v>2274</v>
      </c>
      <c r="F830" s="1" t="s">
        <v>2247</v>
      </c>
      <c r="G830" s="39" t="s">
        <v>270</v>
      </c>
      <c r="H830" s="1">
        <v>1</v>
      </c>
      <c r="I830" s="1">
        <v>0</v>
      </c>
      <c r="J830" s="39" t="s">
        <v>2228</v>
      </c>
      <c r="K830" s="1">
        <v>0</v>
      </c>
      <c r="L830" s="1">
        <v>1</v>
      </c>
      <c r="S830" s="1" t="str">
        <f>IF(tblDados[[#This Row],[Mandante]]="","",TEXT(tblDados[[#This Row],[Data]],"aaaa-mm-dd")&amp;"|"&amp;TRIM(tblDados[[#This Row],[Mandante]])&amp;"|"&amp;TRIM(tblDados[[#This Row],[Visitante]]))</f>
        <v>2026-06-07|Marconi Stallions|Wollongong Wolves</v>
      </c>
      <c r="T830" s="1">
        <f>IF($G830="",0,IF(COUNTIF($S$2:$S830,$S830)=1,1,0))</f>
        <v>1</v>
      </c>
      <c r="U830" s="19" t="str" cm="1">
        <f t="array" ref="U8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0" s="19" t="str" cm="1">
        <f t="array" ref="V8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1" spans="1:22" x14ac:dyDescent="0.3">
      <c r="A831" s="1" t="s">
        <v>2248</v>
      </c>
      <c r="B831" s="5">
        <v>46172</v>
      </c>
      <c r="C831" s="6">
        <v>0.25</v>
      </c>
      <c r="D831" s="1" t="s">
        <v>7</v>
      </c>
      <c r="E831" s="1" t="s">
        <v>2274</v>
      </c>
      <c r="F831" s="1" t="s">
        <v>2249</v>
      </c>
      <c r="G831" s="39" t="s">
        <v>270</v>
      </c>
      <c r="H831" s="1">
        <v>1</v>
      </c>
      <c r="I831" s="1">
        <v>1</v>
      </c>
      <c r="J831" s="39" t="s">
        <v>2229</v>
      </c>
      <c r="K831" s="1">
        <v>1</v>
      </c>
      <c r="L831" s="1">
        <v>1</v>
      </c>
      <c r="S831" s="1" t="str">
        <f>IF(tblDados[[#This Row],[Mandante]]="","",TEXT(tblDados[[#This Row],[Data]],"aaaa-mm-dd")&amp;"|"&amp;TRIM(tblDados[[#This Row],[Mandante]])&amp;"|"&amp;TRIM(tblDados[[#This Row],[Visitante]]))</f>
        <v>2026-05-30|Marconi Stallions|Rockdale Ilinden</v>
      </c>
      <c r="T831" s="1">
        <f>IF($G831="",0,IF(COUNTIF($S$2:$S831,$S831)=1,1,0))</f>
        <v>1</v>
      </c>
      <c r="U831" s="19" t="str" cm="1">
        <f t="array" ref="U8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1" s="19" t="str" cm="1">
        <f t="array" ref="V8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2" spans="1:22" ht="14.4" x14ac:dyDescent="0.3">
      <c r="A832" s="1" t="s">
        <v>2250</v>
      </c>
      <c r="B832" s="5">
        <v>46166</v>
      </c>
      <c r="C832" s="6">
        <v>8.3333333333333329E-2</v>
      </c>
      <c r="D832" s="1" t="s">
        <v>7</v>
      </c>
      <c r="E832" s="1" t="s">
        <v>2274</v>
      </c>
      <c r="F832" s="1" t="s">
        <v>2251</v>
      </c>
      <c r="G832" s="39" t="s">
        <v>267</v>
      </c>
      <c r="H832" s="1">
        <v>1</v>
      </c>
      <c r="I832" s="1">
        <v>1</v>
      </c>
      <c r="J832" s="39" t="s">
        <v>270</v>
      </c>
      <c r="K832" s="1">
        <v>1</v>
      </c>
      <c r="L832" s="1">
        <v>1</v>
      </c>
      <c r="S832" s="1" t="str">
        <f>IF(tblDados[[#This Row],[Mandante]]="","",TEXT(tblDados[[#This Row],[Data]],"aaaa-mm-dd")&amp;"|"&amp;TRIM(tblDados[[#This Row],[Mandante]])&amp;"|"&amp;TRIM(tblDados[[#This Row],[Visitante]]))</f>
        <v>2026-05-24|Apia L Tigers|Marconi Stallions</v>
      </c>
      <c r="T832">
        <f>IF($G832="",0,IF(COUNTIF($S$2:$S2834,$S832)=1,1,0))</f>
        <v>1</v>
      </c>
      <c r="U832" s="19" t="str" cm="1">
        <f t="array" ref="U8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2" s="19" t="str" cm="1">
        <f t="array" ref="V8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3" spans="1:22" x14ac:dyDescent="0.3">
      <c r="A833" s="1" t="s">
        <v>2254</v>
      </c>
      <c r="B833" s="5">
        <v>46242</v>
      </c>
      <c r="C833" s="6">
        <v>0.22916666666666666</v>
      </c>
      <c r="D833" s="1" t="s">
        <v>7</v>
      </c>
      <c r="E833" s="1" t="s">
        <v>2274</v>
      </c>
      <c r="F833" s="1" t="s">
        <v>2255</v>
      </c>
      <c r="G833" s="39" t="s">
        <v>2226</v>
      </c>
      <c r="H833" s="1">
        <v>0</v>
      </c>
      <c r="I833" s="1">
        <v>0</v>
      </c>
      <c r="J833" s="39" t="s">
        <v>267</v>
      </c>
      <c r="K833" s="1">
        <v>0</v>
      </c>
      <c r="L833" s="1">
        <v>0</v>
      </c>
      <c r="S833" s="1" t="str">
        <f>IF(tblDados[[#This Row],[Mandante]]="","",TEXT(tblDados[[#This Row],[Data]],"aaaa-mm-dd")&amp;"|"&amp;TRIM(tblDados[[#This Row],[Mandante]])&amp;"|"&amp;TRIM(tblDados[[#This Row],[Visitante]]))</f>
        <v>2026-08-08|St George Saints|Apia L Tigers</v>
      </c>
      <c r="T833" s="1">
        <f>IF($G833="",0,IF(COUNTIF($S$2:$S833,$S833)=1,1,0))</f>
        <v>1</v>
      </c>
      <c r="U833" s="19" t="str" cm="1">
        <f t="array" ref="U8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3" s="19" t="str" cm="1">
        <f t="array" ref="V8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4" spans="1:22" x14ac:dyDescent="0.3">
      <c r="A834" s="1" t="s">
        <v>2256</v>
      </c>
      <c r="B834" s="5">
        <v>46228</v>
      </c>
      <c r="C834" s="6">
        <v>0.20833333333333334</v>
      </c>
      <c r="D834" s="1" t="s">
        <v>7</v>
      </c>
      <c r="E834" s="1" t="s">
        <v>2274</v>
      </c>
      <c r="F834" s="1" t="s">
        <v>2257</v>
      </c>
      <c r="G834" s="39" t="s">
        <v>267</v>
      </c>
      <c r="H834" s="1">
        <v>4</v>
      </c>
      <c r="I834" s="1">
        <v>1</v>
      </c>
      <c r="J834" s="39" t="s">
        <v>2227</v>
      </c>
      <c r="K834" s="1">
        <v>1</v>
      </c>
      <c r="L834" s="1">
        <v>4</v>
      </c>
      <c r="S834" s="1" t="str">
        <f>IF(tblDados[[#This Row],[Mandante]]="","",TEXT(tblDados[[#This Row],[Data]],"aaaa-mm-dd")&amp;"|"&amp;TRIM(tblDados[[#This Row],[Mandante]])&amp;"|"&amp;TRIM(tblDados[[#This Row],[Visitante]]))</f>
        <v>2026-07-25|Apia L Tigers|UNSW</v>
      </c>
      <c r="T834" s="1">
        <f>IF($G834="",0,IF(COUNTIF($S$2:$S834,$S834)=1,1,0))</f>
        <v>1</v>
      </c>
      <c r="U834" s="19" t="str" cm="1">
        <f t="array" ref="U8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4" s="19" t="str" cm="1">
        <f t="array" ref="V8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5" spans="1:22" x14ac:dyDescent="0.3">
      <c r="A835" s="1" t="s">
        <v>2258</v>
      </c>
      <c r="B835" s="5">
        <v>46221</v>
      </c>
      <c r="C835" s="6">
        <v>8.3333333333333329E-2</v>
      </c>
      <c r="D835" s="1" t="s">
        <v>7</v>
      </c>
      <c r="E835" s="1" t="s">
        <v>2274</v>
      </c>
      <c r="F835" s="1" t="s">
        <v>2259</v>
      </c>
      <c r="G835" s="39" t="s">
        <v>2225</v>
      </c>
      <c r="H835" s="1">
        <v>3</v>
      </c>
      <c r="I835" s="1">
        <v>5</v>
      </c>
      <c r="J835" s="39" t="s">
        <v>267</v>
      </c>
      <c r="K835" s="1">
        <v>5</v>
      </c>
      <c r="L835" s="1">
        <v>3</v>
      </c>
      <c r="S835" s="1" t="str">
        <f>IF(tblDados[[#This Row],[Mandante]]="","",TEXT(tblDados[[#This Row],[Data]],"aaaa-mm-dd")&amp;"|"&amp;TRIM(tblDados[[#This Row],[Mandante]])&amp;"|"&amp;TRIM(tblDados[[#This Row],[Visitante]]))</f>
        <v>2026-07-18|Western Sydney Youth|Apia L Tigers</v>
      </c>
      <c r="T835" s="1">
        <f>IF($G835="",0,IF(COUNTIF($S$2:$S835,$S835)=1,1,0))</f>
        <v>1</v>
      </c>
      <c r="U835" s="19" t="str" cm="1">
        <f t="array" ref="U8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5" s="19" t="str" cm="1">
        <f t="array" ref="V8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6" spans="1:22" x14ac:dyDescent="0.3">
      <c r="A836" s="1" t="s">
        <v>2260</v>
      </c>
      <c r="B836" s="5">
        <v>46214</v>
      </c>
      <c r="C836" s="6">
        <v>0.1875</v>
      </c>
      <c r="D836" s="1" t="s">
        <v>7</v>
      </c>
      <c r="E836" s="1" t="s">
        <v>2274</v>
      </c>
      <c r="F836" s="1" t="s">
        <v>2261</v>
      </c>
      <c r="G836" s="39" t="s">
        <v>267</v>
      </c>
      <c r="H836" s="1">
        <v>2</v>
      </c>
      <c r="I836" s="1">
        <v>1</v>
      </c>
      <c r="J836" s="39" t="s">
        <v>251</v>
      </c>
      <c r="K836" s="1">
        <v>1</v>
      </c>
      <c r="L836" s="1">
        <v>2</v>
      </c>
      <c r="S836" s="1" t="str">
        <f>IF(tblDados[[#This Row],[Mandante]]="","",TEXT(tblDados[[#This Row],[Data]],"aaaa-mm-dd")&amp;"|"&amp;TRIM(tblDados[[#This Row],[Mandante]])&amp;"|"&amp;TRIM(tblDados[[#This Row],[Visitante]]))</f>
        <v>2026-07-11|Apia L Tigers|Sydney FC NPL</v>
      </c>
      <c r="T836" s="1">
        <f>IF($G836="",0,IF(COUNTIF($S$2:$S836,$S836)=1,1,0))</f>
        <v>1</v>
      </c>
      <c r="U836" s="19" t="str" cm="1">
        <f t="array" ref="U8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6" s="19" t="str" cm="1">
        <f t="array" ref="V8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7" spans="1:22" x14ac:dyDescent="0.3">
      <c r="A837" s="1" t="s">
        <v>2262</v>
      </c>
      <c r="B837" s="5">
        <v>46207</v>
      </c>
      <c r="C837" s="6">
        <v>0.1875</v>
      </c>
      <c r="D837" s="1" t="s">
        <v>7</v>
      </c>
      <c r="E837" s="1" t="s">
        <v>2274</v>
      </c>
      <c r="F837" s="1" t="s">
        <v>2263</v>
      </c>
      <c r="G837" s="39" t="s">
        <v>2252</v>
      </c>
      <c r="H837" s="1">
        <v>3</v>
      </c>
      <c r="I837" s="1">
        <v>2</v>
      </c>
      <c r="J837" s="39" t="s">
        <v>267</v>
      </c>
      <c r="K837" s="1">
        <v>2</v>
      </c>
      <c r="L837" s="1">
        <v>3</v>
      </c>
      <c r="S837" s="1" t="str">
        <f>IF(tblDados[[#This Row],[Mandante]]="","",TEXT(tblDados[[#This Row],[Data]],"aaaa-mm-dd")&amp;"|"&amp;TRIM(tblDados[[#This Row],[Mandante]])&amp;"|"&amp;TRIM(tblDados[[#This Row],[Visitante]]))</f>
        <v>2026-07-04|Sutherland Sharks|Apia L Tigers</v>
      </c>
      <c r="T837" s="1">
        <f>IF($G837="",0,IF(COUNTIF($S$2:$S837,$S837)=1,1,0))</f>
        <v>1</v>
      </c>
      <c r="U837" s="19" t="str" cm="1">
        <f t="array" ref="U8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7" s="19" t="str" cm="1">
        <f t="array" ref="V8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8" spans="1:22" x14ac:dyDescent="0.3">
      <c r="A838" s="1" t="s">
        <v>2264</v>
      </c>
      <c r="B838" s="5">
        <v>46201</v>
      </c>
      <c r="C838" s="6">
        <v>8.3333333333333329E-2</v>
      </c>
      <c r="D838" s="1" t="s">
        <v>7</v>
      </c>
      <c r="E838" s="1" t="s">
        <v>2274</v>
      </c>
      <c r="F838" s="1" t="s">
        <v>2265</v>
      </c>
      <c r="G838" s="39" t="s">
        <v>267</v>
      </c>
      <c r="H838" s="1">
        <v>0</v>
      </c>
      <c r="I838" s="1">
        <v>2</v>
      </c>
      <c r="J838" s="39" t="s">
        <v>2229</v>
      </c>
      <c r="K838" s="1">
        <v>2</v>
      </c>
      <c r="L838" s="1">
        <v>0</v>
      </c>
      <c r="S838" s="1" t="str">
        <f>IF(tblDados[[#This Row],[Mandante]]="","",TEXT(tblDados[[#This Row],[Data]],"aaaa-mm-dd")&amp;"|"&amp;TRIM(tblDados[[#This Row],[Mandante]])&amp;"|"&amp;TRIM(tblDados[[#This Row],[Visitante]]))</f>
        <v>2026-06-28|Apia L Tigers|Rockdale Ilinden</v>
      </c>
      <c r="T838" s="1">
        <f>IF($G838="",0,IF(COUNTIF($S$2:$S838,$S838)=1,1,0))</f>
        <v>1</v>
      </c>
      <c r="U838" s="19" t="str" cm="1">
        <f t="array" ref="U8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8" s="19" t="str" cm="1">
        <f t="array" ref="V8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9" spans="1:22" x14ac:dyDescent="0.3">
      <c r="A839" s="1" t="s">
        <v>2266</v>
      </c>
      <c r="B839" s="5">
        <v>46194</v>
      </c>
      <c r="C839" s="6">
        <v>8.3333333333333329E-2</v>
      </c>
      <c r="D839" s="1" t="s">
        <v>7</v>
      </c>
      <c r="E839" s="1" t="s">
        <v>2274</v>
      </c>
      <c r="F839" s="1" t="s">
        <v>2267</v>
      </c>
      <c r="G839" s="39" t="s">
        <v>250</v>
      </c>
      <c r="H839" s="1">
        <v>1</v>
      </c>
      <c r="I839" s="1">
        <v>3</v>
      </c>
      <c r="J839" s="39" t="s">
        <v>267</v>
      </c>
      <c r="K839" s="1">
        <v>3</v>
      </c>
      <c r="L839" s="1">
        <v>1</v>
      </c>
      <c r="S839" s="1" t="str">
        <f>IF(tblDados[[#This Row],[Mandante]]="","",TEXT(tblDados[[#This Row],[Data]],"aaaa-mm-dd")&amp;"|"&amp;TRIM(tblDados[[#This Row],[Mandante]])&amp;"|"&amp;TRIM(tblDados[[#This Row],[Visitante]]))</f>
        <v>2026-06-21|Blacktown City|Apia L Tigers</v>
      </c>
      <c r="T839" s="1">
        <f>IF($G839="",0,IF(COUNTIF($S$2:$S839,$S839)=1,1,0))</f>
        <v>1</v>
      </c>
      <c r="U839" s="19" t="str" cm="1">
        <f t="array" ref="U8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9" s="19" t="str" cm="1">
        <f t="array" ref="V8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0" spans="1:22" x14ac:dyDescent="0.3">
      <c r="A840" s="1" t="s">
        <v>2268</v>
      </c>
      <c r="B840" s="5">
        <v>46186</v>
      </c>
      <c r="C840" s="6">
        <v>0.20833333333333334</v>
      </c>
      <c r="D840" s="1" t="s">
        <v>7</v>
      </c>
      <c r="E840" s="1" t="s">
        <v>2274</v>
      </c>
      <c r="F840" s="1" t="s">
        <v>2269</v>
      </c>
      <c r="G840" s="39" t="s">
        <v>2228</v>
      </c>
      <c r="H840" s="1">
        <v>0</v>
      </c>
      <c r="I840" s="1">
        <v>2</v>
      </c>
      <c r="J840" s="39" t="s">
        <v>267</v>
      </c>
      <c r="K840" s="1">
        <v>2</v>
      </c>
      <c r="L840" s="1">
        <v>0</v>
      </c>
      <c r="S840" s="1" t="str">
        <f>IF(tblDados[[#This Row],[Mandante]]="","",TEXT(tblDados[[#This Row],[Data]],"aaaa-mm-dd")&amp;"|"&amp;TRIM(tblDados[[#This Row],[Mandante]])&amp;"|"&amp;TRIM(tblDados[[#This Row],[Visitante]]))</f>
        <v>2026-06-13|Wollongong Wolves|Apia L Tigers</v>
      </c>
      <c r="T840" s="1">
        <f>IF($G840="",0,IF(COUNTIF($S$2:$S840,$S840)=1,1,0))</f>
        <v>1</v>
      </c>
      <c r="U840" s="19" t="str" cm="1">
        <f t="array" ref="U8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0" s="19" t="str" cm="1">
        <f t="array" ref="V8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1" spans="1:22" x14ac:dyDescent="0.3">
      <c r="A841" s="1" t="s">
        <v>2270</v>
      </c>
      <c r="B841" s="5">
        <v>46179</v>
      </c>
      <c r="C841" s="6">
        <v>0.20833333333333334</v>
      </c>
      <c r="D841" s="1" t="s">
        <v>7</v>
      </c>
      <c r="E841" s="1" t="s">
        <v>2274</v>
      </c>
      <c r="F841" s="1" t="s">
        <v>2271</v>
      </c>
      <c r="G841" s="39" t="s">
        <v>267</v>
      </c>
      <c r="H841" s="1">
        <v>2</v>
      </c>
      <c r="I841" s="1">
        <v>0</v>
      </c>
      <c r="J841" s="39" t="s">
        <v>2222</v>
      </c>
      <c r="K841" s="1">
        <v>0</v>
      </c>
      <c r="L841" s="1">
        <v>2</v>
      </c>
      <c r="S841" s="1" t="str">
        <f>IF(tblDados[[#This Row],[Mandante]]="","",TEXT(tblDados[[#This Row],[Data]],"aaaa-mm-dd")&amp;"|"&amp;TRIM(tblDados[[#This Row],[Mandante]])&amp;"|"&amp;TRIM(tblDados[[#This Row],[Visitante]]))</f>
        <v>2026-06-06|Apia L Tigers|Manly United</v>
      </c>
      <c r="T841" s="1">
        <f>IF($G841="",0,IF(COUNTIF($S$2:$S841,$S841)=1,1,0))</f>
        <v>1</v>
      </c>
      <c r="U841" s="19" t="str" cm="1">
        <f t="array" ref="U8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1" s="19" t="str" cm="1">
        <f t="array" ref="V8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2" spans="1:22" ht="14.4" x14ac:dyDescent="0.3">
      <c r="A842" s="1" t="s">
        <v>2272</v>
      </c>
      <c r="B842" s="5">
        <v>46172</v>
      </c>
      <c r="C842" s="6">
        <v>0.1875</v>
      </c>
      <c r="D842" s="1" t="s">
        <v>7</v>
      </c>
      <c r="E842" s="1" t="s">
        <v>2274</v>
      </c>
      <c r="F842" s="1" t="s">
        <v>2273</v>
      </c>
      <c r="G842" s="39" t="s">
        <v>2253</v>
      </c>
      <c r="H842" s="1">
        <v>1</v>
      </c>
      <c r="I842" s="1">
        <v>2</v>
      </c>
      <c r="J842" s="39" t="s">
        <v>267</v>
      </c>
      <c r="K842" s="1">
        <v>2</v>
      </c>
      <c r="L842" s="1">
        <v>1</v>
      </c>
      <c r="S842" s="1" t="str">
        <f>IF(tblDados[[#This Row],[Mandante]]="","",TEXT(tblDados[[#This Row],[Data]],"aaaa-mm-dd")&amp;"|"&amp;TRIM(tblDados[[#This Row],[Mandante]])&amp;"|"&amp;TRIM(tblDados[[#This Row],[Visitante]]))</f>
        <v>2026-05-30|NWS Spirit|Apia L Tigers</v>
      </c>
      <c r="T842">
        <f>IF($G842="",0,IF(COUNTIF($S$2:$S2834,$S842)=1,1,0))</f>
        <v>1</v>
      </c>
      <c r="U842" s="19" t="str" cm="1">
        <f t="array" ref="U8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2" s="19" t="str" cm="1">
        <f t="array" ref="V8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3" spans="1:22" x14ac:dyDescent="0.3">
      <c r="A843" s="1" t="s">
        <v>2276</v>
      </c>
      <c r="B843" s="5">
        <v>46236</v>
      </c>
      <c r="C843" s="6">
        <v>6.25E-2</v>
      </c>
      <c r="D843" s="1" t="s">
        <v>7</v>
      </c>
      <c r="E843" s="1" t="s">
        <v>2274</v>
      </c>
      <c r="F843" s="1" t="s">
        <v>2277</v>
      </c>
      <c r="G843" s="39" t="s">
        <v>2224</v>
      </c>
      <c r="H843" s="1">
        <v>2</v>
      </c>
      <c r="I843" s="1">
        <v>0</v>
      </c>
      <c r="J843" s="39" t="s">
        <v>2253</v>
      </c>
      <c r="K843" s="1">
        <v>0</v>
      </c>
      <c r="L843" s="1">
        <v>2</v>
      </c>
      <c r="S843" s="1" t="str">
        <f>IF(tblDados[[#This Row],[Mandante]]="","",TEXT(tblDados[[#This Row],[Data]],"aaaa-mm-dd")&amp;"|"&amp;TRIM(tblDados[[#This Row],[Mandante]])&amp;"|"&amp;TRIM(tblDados[[#This Row],[Visitante]]))</f>
        <v>2026-08-02|Sydney United|NWS Spirit</v>
      </c>
      <c r="T843" s="1">
        <f>IF($G843="",0,IF(COUNTIF($S$2:$S843,$S843)=1,1,0))</f>
        <v>1</v>
      </c>
      <c r="U843" s="19" t="str" cm="1">
        <f t="array" ref="U8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3" s="19" t="str" cm="1">
        <f t="array" ref="V8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4" spans="1:22" x14ac:dyDescent="0.3">
      <c r="A844" s="1" t="s">
        <v>2278</v>
      </c>
      <c r="B844" s="5">
        <v>46228</v>
      </c>
      <c r="C844" s="6">
        <v>0.26041666666666669</v>
      </c>
      <c r="D844" s="1" t="s">
        <v>7</v>
      </c>
      <c r="E844" s="1" t="s">
        <v>2274</v>
      </c>
      <c r="F844" s="1" t="s">
        <v>2279</v>
      </c>
      <c r="G844" s="39" t="s">
        <v>271</v>
      </c>
      <c r="H844" s="1">
        <v>1</v>
      </c>
      <c r="I844" s="1">
        <v>0</v>
      </c>
      <c r="J844" s="39" t="s">
        <v>2224</v>
      </c>
      <c r="K844" s="1">
        <v>0</v>
      </c>
      <c r="L844" s="1">
        <v>1</v>
      </c>
      <c r="S844" s="1" t="str">
        <f>IF(tblDados[[#This Row],[Mandante]]="","",TEXT(tblDados[[#This Row],[Data]],"aaaa-mm-dd")&amp;"|"&amp;TRIM(tblDados[[#This Row],[Mandante]])&amp;"|"&amp;TRIM(tblDados[[#This Row],[Visitante]]))</f>
        <v>2026-07-25|St George City FA|Sydney United</v>
      </c>
      <c r="T844" s="1">
        <f>IF($G844="",0,IF(COUNTIF($S$2:$S844,$S844)=1,1,0))</f>
        <v>1</v>
      </c>
      <c r="U844" s="19" t="str" cm="1">
        <f t="array" ref="U8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4" s="19" t="str" cm="1">
        <f t="array" ref="V8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5" spans="1:22" x14ac:dyDescent="0.3">
      <c r="A845" s="1" t="s">
        <v>2280</v>
      </c>
      <c r="B845" s="5">
        <v>46215</v>
      </c>
      <c r="C845" s="6">
        <v>0.89583333333333337</v>
      </c>
      <c r="D845" s="1" t="s">
        <v>7</v>
      </c>
      <c r="E845" s="1" t="s">
        <v>2274</v>
      </c>
      <c r="F845" s="1" t="s">
        <v>2281</v>
      </c>
      <c r="G845" s="39" t="s">
        <v>2224</v>
      </c>
      <c r="H845" s="1">
        <v>1</v>
      </c>
      <c r="I845" s="1">
        <v>0</v>
      </c>
      <c r="J845" s="39" t="s">
        <v>2229</v>
      </c>
      <c r="K845" s="1">
        <v>0</v>
      </c>
      <c r="L845" s="1">
        <v>1</v>
      </c>
      <c r="S845" s="1" t="str">
        <f>IF(tblDados[[#This Row],[Mandante]]="","",TEXT(tblDados[[#This Row],[Data]],"aaaa-mm-dd")&amp;"|"&amp;TRIM(tblDados[[#This Row],[Mandante]])&amp;"|"&amp;TRIM(tblDados[[#This Row],[Visitante]]))</f>
        <v>2026-07-12|Sydney United|Rockdale Ilinden</v>
      </c>
      <c r="T845" s="1">
        <f>IF($G845="",0,IF(COUNTIF($S$2:$S845,$S845)=1,1,0))</f>
        <v>1</v>
      </c>
      <c r="U845" s="19" t="str" cm="1">
        <f t="array" ref="U8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5" s="19" t="str" cm="1">
        <f t="array" ref="V8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6" spans="1:22" x14ac:dyDescent="0.3">
      <c r="A846" s="1" t="s">
        <v>2282</v>
      </c>
      <c r="B846" s="5">
        <v>46208</v>
      </c>
      <c r="C846" s="6">
        <v>8.3333333333333329E-2</v>
      </c>
      <c r="D846" s="1" t="s">
        <v>7</v>
      </c>
      <c r="E846" s="1" t="s">
        <v>2274</v>
      </c>
      <c r="F846" s="1" t="s">
        <v>2283</v>
      </c>
      <c r="G846" s="39" t="s">
        <v>250</v>
      </c>
      <c r="H846" s="1">
        <v>0</v>
      </c>
      <c r="I846" s="1">
        <v>0</v>
      </c>
      <c r="J846" s="39" t="s">
        <v>2224</v>
      </c>
      <c r="K846" s="1">
        <v>0</v>
      </c>
      <c r="L846" s="1">
        <v>0</v>
      </c>
      <c r="S846" s="1" t="str">
        <f>IF(tblDados[[#This Row],[Mandante]]="","",TEXT(tblDados[[#This Row],[Data]],"aaaa-mm-dd")&amp;"|"&amp;TRIM(tblDados[[#This Row],[Mandante]])&amp;"|"&amp;TRIM(tblDados[[#This Row],[Visitante]]))</f>
        <v>2026-07-05|Blacktown City|Sydney United</v>
      </c>
      <c r="T846" s="1">
        <f>IF($G846="",0,IF(COUNTIF($S$2:$S846,$S846)=1,1,0))</f>
        <v>1</v>
      </c>
      <c r="U846" s="19" t="str" cm="1">
        <f t="array" ref="U8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6" s="19" t="str" cm="1">
        <f t="array" ref="V8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7" spans="1:22" x14ac:dyDescent="0.3">
      <c r="A847" s="1" t="s">
        <v>2284</v>
      </c>
      <c r="B847" s="5">
        <v>46199</v>
      </c>
      <c r="C847" s="6">
        <v>0.27083333333333331</v>
      </c>
      <c r="D847" s="1" t="s">
        <v>7</v>
      </c>
      <c r="E847" s="1" t="s">
        <v>2274</v>
      </c>
      <c r="F847" s="1" t="s">
        <v>2285</v>
      </c>
      <c r="G847" s="39" t="s">
        <v>251</v>
      </c>
      <c r="H847" s="1">
        <v>1</v>
      </c>
      <c r="I847" s="1">
        <v>0</v>
      </c>
      <c r="J847" s="39" t="s">
        <v>2224</v>
      </c>
      <c r="K847" s="1">
        <v>0</v>
      </c>
      <c r="L847" s="1">
        <v>1</v>
      </c>
      <c r="S847" s="1" t="str">
        <f>IF(tblDados[[#This Row],[Mandante]]="","",TEXT(tblDados[[#This Row],[Data]],"aaaa-mm-dd")&amp;"|"&amp;TRIM(tblDados[[#This Row],[Mandante]])&amp;"|"&amp;TRIM(tblDados[[#This Row],[Visitante]]))</f>
        <v>2026-06-26|Sydney FC NPL|Sydney United</v>
      </c>
      <c r="T847" s="1">
        <f>IF($G847="",0,IF(COUNTIF($S$2:$S847,$S847)=1,1,0))</f>
        <v>1</v>
      </c>
      <c r="U847" s="19" t="str" cm="1">
        <f t="array" ref="U8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7" s="19" t="str" cm="1">
        <f t="array" ref="V8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8" spans="1:22" x14ac:dyDescent="0.3">
      <c r="A848" s="1" t="s">
        <v>2286</v>
      </c>
      <c r="B848" s="5">
        <v>46194</v>
      </c>
      <c r="C848" s="6">
        <v>0.89583333333333337</v>
      </c>
      <c r="D848" s="1" t="s">
        <v>7</v>
      </c>
      <c r="E848" s="1" t="s">
        <v>2274</v>
      </c>
      <c r="F848" s="1" t="s">
        <v>2287</v>
      </c>
      <c r="G848" s="39" t="s">
        <v>2224</v>
      </c>
      <c r="H848" s="1">
        <v>1</v>
      </c>
      <c r="I848" s="1">
        <v>0</v>
      </c>
      <c r="J848" s="39" t="s">
        <v>2223</v>
      </c>
      <c r="K848" s="1">
        <v>0</v>
      </c>
      <c r="L848" s="1">
        <v>1</v>
      </c>
      <c r="S848" s="1" t="str">
        <f>IF(tblDados[[#This Row],[Mandante]]="","",TEXT(tblDados[[#This Row],[Data]],"aaaa-mm-dd")&amp;"|"&amp;TRIM(tblDados[[#This Row],[Mandante]])&amp;"|"&amp;TRIM(tblDados[[#This Row],[Visitante]]))</f>
        <v>2026-06-21|Sydney United|SD Raiders</v>
      </c>
      <c r="T848" s="1">
        <f>IF($G848="",0,IF(COUNTIF($S$2:$S848,$S848)=1,1,0))</f>
        <v>1</v>
      </c>
      <c r="U848" s="19" t="str" cm="1">
        <f t="array" ref="U8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8" s="19" t="str" cm="1">
        <f t="array" ref="V8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9" spans="1:22" x14ac:dyDescent="0.3">
      <c r="A849" s="1" t="s">
        <v>2288</v>
      </c>
      <c r="B849" s="5">
        <v>46185</v>
      </c>
      <c r="C849" s="6">
        <v>0.27083333333333331</v>
      </c>
      <c r="D849" s="1" t="s">
        <v>7</v>
      </c>
      <c r="E849" s="1" t="s">
        <v>2274</v>
      </c>
      <c r="F849" s="1" t="s">
        <v>2289</v>
      </c>
      <c r="G849" s="39" t="s">
        <v>2222</v>
      </c>
      <c r="H849" s="1">
        <v>1</v>
      </c>
      <c r="I849" s="1">
        <v>1</v>
      </c>
      <c r="J849" s="39" t="s">
        <v>2224</v>
      </c>
      <c r="K849" s="1">
        <v>1</v>
      </c>
      <c r="L849" s="1">
        <v>1</v>
      </c>
      <c r="S849" s="1" t="str">
        <f>IF(tblDados[[#This Row],[Mandante]]="","",TEXT(tblDados[[#This Row],[Data]],"aaaa-mm-dd")&amp;"|"&amp;TRIM(tblDados[[#This Row],[Mandante]])&amp;"|"&amp;TRIM(tblDados[[#This Row],[Visitante]]))</f>
        <v>2026-06-12|Manly United|Sydney United</v>
      </c>
      <c r="T849" s="1">
        <f>IF($G849="",0,IF(COUNTIF($S$2:$S849,$S849)=1,1,0))</f>
        <v>1</v>
      </c>
      <c r="U849" s="19" t="str" cm="1">
        <f t="array" ref="U8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9" s="19" t="str" cm="1">
        <f t="array" ref="V8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0" spans="1:22" x14ac:dyDescent="0.3">
      <c r="A850" s="1" t="s">
        <v>2290</v>
      </c>
      <c r="B850" s="5">
        <v>46179</v>
      </c>
      <c r="C850" s="6">
        <v>8.3333333333333329E-2</v>
      </c>
      <c r="D850" s="1" t="s">
        <v>7</v>
      </c>
      <c r="E850" s="1" t="s">
        <v>2274</v>
      </c>
      <c r="F850" s="1" t="s">
        <v>2291</v>
      </c>
      <c r="G850" s="39" t="s">
        <v>2225</v>
      </c>
      <c r="H850" s="1">
        <v>0</v>
      </c>
      <c r="I850" s="1">
        <v>2</v>
      </c>
      <c r="J850" s="39" t="s">
        <v>2224</v>
      </c>
      <c r="K850" s="1">
        <v>2</v>
      </c>
      <c r="L850" s="1">
        <v>0</v>
      </c>
      <c r="S850" s="1" t="str">
        <f>IF(tblDados[[#This Row],[Mandante]]="","",TEXT(tblDados[[#This Row],[Data]],"aaaa-mm-dd")&amp;"|"&amp;TRIM(tblDados[[#This Row],[Mandante]])&amp;"|"&amp;TRIM(tblDados[[#This Row],[Visitante]]))</f>
        <v>2026-06-06|Western Sydney Youth|Sydney United</v>
      </c>
      <c r="T850" s="1">
        <f>IF($G850="",0,IF(COUNTIF($S$2:$S850,$S850)=1,1,0))</f>
        <v>1</v>
      </c>
      <c r="U850" s="19" t="str" cm="1">
        <f t="array" ref="U8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0" s="19" t="str" cm="1">
        <f t="array" ref="V8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1" spans="1:22" x14ac:dyDescent="0.3">
      <c r="A851" s="1" t="s">
        <v>2292</v>
      </c>
      <c r="B851" s="5">
        <v>46173</v>
      </c>
      <c r="C851" s="6">
        <v>6.25E-2</v>
      </c>
      <c r="D851" s="1" t="s">
        <v>7</v>
      </c>
      <c r="E851" s="1" t="s">
        <v>2274</v>
      </c>
      <c r="F851" s="1" t="s">
        <v>2293</v>
      </c>
      <c r="G851" s="39" t="s">
        <v>2224</v>
      </c>
      <c r="H851" s="1">
        <v>0</v>
      </c>
      <c r="I851" s="1">
        <v>1</v>
      </c>
      <c r="J851" s="39" t="s">
        <v>2252</v>
      </c>
      <c r="K851" s="1">
        <v>1</v>
      </c>
      <c r="L851" s="1">
        <v>0</v>
      </c>
      <c r="S851" s="1" t="str">
        <f>IF(tblDados[[#This Row],[Mandante]]="","",TEXT(tblDados[[#This Row],[Data]],"aaaa-mm-dd")&amp;"|"&amp;TRIM(tblDados[[#This Row],[Mandante]])&amp;"|"&amp;TRIM(tblDados[[#This Row],[Visitante]]))</f>
        <v>2026-05-31|Sydney United|Sutherland Sharks</v>
      </c>
      <c r="T851" s="1">
        <f>IF($G851="",0,IF(COUNTIF($S$2:$S851,$S851)=1,1,0))</f>
        <v>1</v>
      </c>
      <c r="U851" s="19" t="str" cm="1">
        <f t="array" ref="U8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1" s="19" t="str" cm="1">
        <f t="array" ref="V8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2" spans="1:22" x14ac:dyDescent="0.3">
      <c r="A852" s="1" t="s">
        <v>2294</v>
      </c>
      <c r="B852" s="5">
        <v>46165</v>
      </c>
      <c r="C852" s="6">
        <v>5.2083333333333336E-2</v>
      </c>
      <c r="D852" s="1" t="s">
        <v>7</v>
      </c>
      <c r="E852" s="1" t="s">
        <v>2274</v>
      </c>
      <c r="F852" s="1" t="s">
        <v>2295</v>
      </c>
      <c r="G852" s="39" t="s">
        <v>2227</v>
      </c>
      <c r="H852" s="1">
        <v>2</v>
      </c>
      <c r="I852" s="1">
        <v>0</v>
      </c>
      <c r="J852" s="39" t="s">
        <v>2224</v>
      </c>
      <c r="K852" s="1">
        <v>0</v>
      </c>
      <c r="L852" s="1">
        <v>2</v>
      </c>
      <c r="S852" s="1" t="str">
        <f>IF(tblDados[[#This Row],[Mandante]]="","",TEXT(tblDados[[#This Row],[Data]],"aaaa-mm-dd")&amp;"|"&amp;TRIM(tblDados[[#This Row],[Mandante]])&amp;"|"&amp;TRIM(tblDados[[#This Row],[Visitante]]))</f>
        <v>2026-05-23|UNSW|Sydney United</v>
      </c>
      <c r="T852" s="1">
        <f>IF($G852="",0,IF(COUNTIF($S$2:$S852,$S852)=1,1,0))</f>
        <v>1</v>
      </c>
      <c r="U852" s="19" t="str" cm="1">
        <f t="array" ref="U8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2" s="19" t="str" cm="1">
        <f t="array" ref="V8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3" spans="1:22" ht="14.4" x14ac:dyDescent="0.3">
      <c r="A853" s="1" t="s">
        <v>2296</v>
      </c>
      <c r="B853" s="5">
        <v>46158</v>
      </c>
      <c r="C853" s="6">
        <v>6.25E-2</v>
      </c>
      <c r="D853" s="1" t="s">
        <v>7</v>
      </c>
      <c r="E853" s="1" t="s">
        <v>2274</v>
      </c>
      <c r="F853" s="1" t="s">
        <v>2297</v>
      </c>
      <c r="G853" s="39" t="s">
        <v>2226</v>
      </c>
      <c r="H853" s="1">
        <v>1</v>
      </c>
      <c r="I853" s="1">
        <v>3</v>
      </c>
      <c r="J853" s="39" t="s">
        <v>2224</v>
      </c>
      <c r="K853" s="1">
        <v>3</v>
      </c>
      <c r="L853" s="1">
        <v>1</v>
      </c>
      <c r="S853" s="1" t="str">
        <f>IF(tblDados[[#This Row],[Mandante]]="","",TEXT(tblDados[[#This Row],[Data]],"aaaa-mm-dd")&amp;"|"&amp;TRIM(tblDados[[#This Row],[Mandante]])&amp;"|"&amp;TRIM(tblDados[[#This Row],[Visitante]]))</f>
        <v>2026-05-16|St George Saints|Sydney United</v>
      </c>
      <c r="T853">
        <f>IF($G853="",0,IF(COUNTIF($S$2:$S2834,$S853)=1,1,0))</f>
        <v>1</v>
      </c>
      <c r="U853" s="19" t="str" cm="1">
        <f t="array" ref="U8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3" s="19" t="str" cm="1">
        <f t="array" ref="V8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4" spans="1:22" x14ac:dyDescent="0.3">
      <c r="A854" s="1" t="s">
        <v>2298</v>
      </c>
      <c r="B854" s="5">
        <v>46242</v>
      </c>
      <c r="C854" s="6">
        <v>0.1875</v>
      </c>
      <c r="D854" s="1" t="s">
        <v>7</v>
      </c>
      <c r="E854" s="1" t="s">
        <v>2274</v>
      </c>
      <c r="F854" s="1" t="s">
        <v>2299</v>
      </c>
      <c r="G854" s="39" t="s">
        <v>2252</v>
      </c>
      <c r="H854" s="1">
        <v>1</v>
      </c>
      <c r="I854" s="1">
        <v>1</v>
      </c>
      <c r="J854" s="39" t="s">
        <v>251</v>
      </c>
      <c r="K854" s="1">
        <v>1</v>
      </c>
      <c r="L854" s="1">
        <v>1</v>
      </c>
      <c r="S854" s="1" t="str">
        <f>IF(tblDados[[#This Row],[Mandante]]="","",TEXT(tblDados[[#This Row],[Data]],"aaaa-mm-dd")&amp;"|"&amp;TRIM(tblDados[[#This Row],[Mandante]])&amp;"|"&amp;TRIM(tblDados[[#This Row],[Visitante]]))</f>
        <v>2026-08-08|Sutherland Sharks|Sydney FC NPL</v>
      </c>
      <c r="T854" s="1">
        <f>IF($G854="",0,IF(COUNTIF($S$2:$S854,$S854)=1,1,0))</f>
        <v>1</v>
      </c>
      <c r="U854" s="19" t="str" cm="1">
        <f t="array" ref="U8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4" s="19" t="str" cm="1">
        <f t="array" ref="V8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5" spans="1:22" x14ac:dyDescent="0.3">
      <c r="A855" s="1" t="s">
        <v>2300</v>
      </c>
      <c r="B855" s="5">
        <v>46235</v>
      </c>
      <c r="C855" s="6">
        <v>0.125</v>
      </c>
      <c r="D855" s="1" t="s">
        <v>7</v>
      </c>
      <c r="E855" s="1" t="s">
        <v>2274</v>
      </c>
      <c r="F855" s="1" t="s">
        <v>2301</v>
      </c>
      <c r="G855" s="39" t="s">
        <v>2252</v>
      </c>
      <c r="H855" s="1">
        <v>2</v>
      </c>
      <c r="I855" s="1">
        <v>1</v>
      </c>
      <c r="J855" s="39" t="s">
        <v>2228</v>
      </c>
      <c r="K855" s="1">
        <v>1</v>
      </c>
      <c r="L855" s="1">
        <v>2</v>
      </c>
      <c r="S855" s="1" t="str">
        <f>IF(tblDados[[#This Row],[Mandante]]="","",TEXT(tblDados[[#This Row],[Data]],"aaaa-mm-dd")&amp;"|"&amp;TRIM(tblDados[[#This Row],[Mandante]])&amp;"|"&amp;TRIM(tblDados[[#This Row],[Visitante]]))</f>
        <v>2026-08-01|Sutherland Sharks|Wollongong Wolves</v>
      </c>
      <c r="T855" s="1">
        <f>IF($G855="",0,IF(COUNTIF($S$2:$S855,$S855)=1,1,0))</f>
        <v>1</v>
      </c>
      <c r="U855" s="19" t="str" cm="1">
        <f t="array" ref="U8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5" s="19" t="str" cm="1">
        <f t="array" ref="V8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6" spans="1:22" x14ac:dyDescent="0.3">
      <c r="A856" s="1" t="s">
        <v>2302</v>
      </c>
      <c r="B856" s="5">
        <v>46229</v>
      </c>
      <c r="C856" s="6">
        <v>8.3333333333333329E-2</v>
      </c>
      <c r="D856" s="1" t="s">
        <v>7</v>
      </c>
      <c r="E856" s="1" t="s">
        <v>2274</v>
      </c>
      <c r="F856" s="1" t="s">
        <v>2303</v>
      </c>
      <c r="G856" s="39" t="s">
        <v>2229</v>
      </c>
      <c r="H856" s="1">
        <v>1</v>
      </c>
      <c r="I856" s="1">
        <v>3</v>
      </c>
      <c r="J856" s="39" t="s">
        <v>2252</v>
      </c>
      <c r="K856" s="1">
        <v>3</v>
      </c>
      <c r="L856" s="1">
        <v>1</v>
      </c>
      <c r="S856" s="1" t="str">
        <f>IF(tblDados[[#This Row],[Mandante]]="","",TEXT(tblDados[[#This Row],[Data]],"aaaa-mm-dd")&amp;"|"&amp;TRIM(tblDados[[#This Row],[Mandante]])&amp;"|"&amp;TRIM(tblDados[[#This Row],[Visitante]]))</f>
        <v>2026-07-26|Rockdale Ilinden|Sutherland Sharks</v>
      </c>
      <c r="T856" s="1">
        <f>IF($G856="",0,IF(COUNTIF($S$2:$S856,$S856)=1,1,0))</f>
        <v>1</v>
      </c>
      <c r="U856" s="19" t="str" cm="1">
        <f t="array" ref="U8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6" s="19" t="str" cm="1">
        <f t="array" ref="V8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7" spans="1:22" x14ac:dyDescent="0.3">
      <c r="A857" s="1" t="s">
        <v>2304</v>
      </c>
      <c r="B857" s="5">
        <v>46221</v>
      </c>
      <c r="C857" s="6">
        <v>0.1875</v>
      </c>
      <c r="D857" s="1" t="s">
        <v>7</v>
      </c>
      <c r="E857" s="1" t="s">
        <v>2274</v>
      </c>
      <c r="F857" s="1" t="s">
        <v>2305</v>
      </c>
      <c r="G857" s="39" t="s">
        <v>2252</v>
      </c>
      <c r="H857" s="1">
        <v>1</v>
      </c>
      <c r="I857" s="1">
        <v>1</v>
      </c>
      <c r="J857" s="39" t="s">
        <v>266</v>
      </c>
      <c r="K857" s="1">
        <v>1</v>
      </c>
      <c r="L857" s="1">
        <v>1</v>
      </c>
      <c r="S857" s="1" t="str">
        <f>IF(tblDados[[#This Row],[Mandante]]="","",TEXT(tblDados[[#This Row],[Data]],"aaaa-mm-dd")&amp;"|"&amp;TRIM(tblDados[[#This Row],[Mandante]])&amp;"|"&amp;TRIM(tblDados[[#This Row],[Visitante]]))</f>
        <v>2026-07-18|Sutherland Sharks|Sydney Olympic</v>
      </c>
      <c r="T857" s="1">
        <f>IF($G857="",0,IF(COUNTIF($S$2:$S857,$S857)=1,1,0))</f>
        <v>1</v>
      </c>
      <c r="U857" s="19" t="str" cm="1">
        <f t="array" ref="U8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7" s="19" t="str" cm="1">
        <f t="array" ref="V8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8" spans="1:22" x14ac:dyDescent="0.3">
      <c r="A858" s="1" t="s">
        <v>2306</v>
      </c>
      <c r="B858" s="5">
        <v>46214</v>
      </c>
      <c r="C858" s="6">
        <v>0.16666666666666666</v>
      </c>
      <c r="D858" s="1" t="s">
        <v>7</v>
      </c>
      <c r="E858" s="1" t="s">
        <v>2274</v>
      </c>
      <c r="F858" s="1" t="s">
        <v>2307</v>
      </c>
      <c r="G858" s="39" t="s">
        <v>2222</v>
      </c>
      <c r="H858" s="1">
        <v>2</v>
      </c>
      <c r="I858" s="1">
        <v>1</v>
      </c>
      <c r="J858" s="39" t="s">
        <v>2252</v>
      </c>
      <c r="K858" s="1">
        <v>1</v>
      </c>
      <c r="L858" s="1">
        <v>2</v>
      </c>
      <c r="S858" s="1" t="str">
        <f>IF(tblDados[[#This Row],[Mandante]]="","",TEXT(tblDados[[#This Row],[Data]],"aaaa-mm-dd")&amp;"|"&amp;TRIM(tblDados[[#This Row],[Mandante]])&amp;"|"&amp;TRIM(tblDados[[#This Row],[Visitante]]))</f>
        <v>2026-07-11|Manly United|Sutherland Sharks</v>
      </c>
      <c r="T858" s="1">
        <f>IF($G858="",0,IF(COUNTIF($S$2:$S858,$S858)=1,1,0))</f>
        <v>1</v>
      </c>
      <c r="U858" s="19" t="str" cm="1">
        <f t="array" ref="U8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8" s="19" t="str" cm="1">
        <f t="array" ref="V8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9" spans="1:22" x14ac:dyDescent="0.3">
      <c r="A859" s="1" t="s">
        <v>2308</v>
      </c>
      <c r="B859" s="5">
        <v>46200</v>
      </c>
      <c r="C859" s="6">
        <v>8.3333333333333329E-2</v>
      </c>
      <c r="D859" s="1" t="s">
        <v>7</v>
      </c>
      <c r="E859" s="1" t="s">
        <v>2274</v>
      </c>
      <c r="F859" s="1" t="s">
        <v>2309</v>
      </c>
      <c r="G859" s="39" t="s">
        <v>2227</v>
      </c>
      <c r="H859" s="1">
        <v>1</v>
      </c>
      <c r="I859" s="1">
        <v>3</v>
      </c>
      <c r="J859" s="39" t="s">
        <v>2252</v>
      </c>
      <c r="K859" s="1">
        <v>3</v>
      </c>
      <c r="L859" s="1">
        <v>1</v>
      </c>
      <c r="S859" s="1" t="str">
        <f>IF(tblDados[[#This Row],[Mandante]]="","",TEXT(tblDados[[#This Row],[Data]],"aaaa-mm-dd")&amp;"|"&amp;TRIM(tblDados[[#This Row],[Mandante]])&amp;"|"&amp;TRIM(tblDados[[#This Row],[Visitante]]))</f>
        <v>2026-06-27|UNSW|Sutherland Sharks</v>
      </c>
      <c r="T859" s="1">
        <f>IF($G859="",0,IF(COUNTIF($S$2:$S859,$S859)=1,1,0))</f>
        <v>1</v>
      </c>
      <c r="U859" s="19" t="str" cm="1">
        <f t="array" ref="U8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9" s="19" t="str" cm="1">
        <f t="array" ref="V8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0" spans="1:22" x14ac:dyDescent="0.3">
      <c r="A860" s="1" t="s">
        <v>2310</v>
      </c>
      <c r="B860" s="5">
        <v>46193</v>
      </c>
      <c r="C860" s="6">
        <v>8.3333333333333329E-2</v>
      </c>
      <c r="D860" s="1" t="s">
        <v>7</v>
      </c>
      <c r="E860" s="1" t="s">
        <v>2274</v>
      </c>
      <c r="F860" s="1" t="s">
        <v>2311</v>
      </c>
      <c r="G860" s="39" t="s">
        <v>2225</v>
      </c>
      <c r="H860" s="1">
        <v>0</v>
      </c>
      <c r="I860" s="1">
        <v>3</v>
      </c>
      <c r="J860" s="39" t="s">
        <v>2252</v>
      </c>
      <c r="K860" s="1">
        <v>3</v>
      </c>
      <c r="L860" s="1">
        <v>0</v>
      </c>
      <c r="S860" s="1" t="str">
        <f>IF(tblDados[[#This Row],[Mandante]]="","",TEXT(tblDados[[#This Row],[Data]],"aaaa-mm-dd")&amp;"|"&amp;TRIM(tblDados[[#This Row],[Mandante]])&amp;"|"&amp;TRIM(tblDados[[#This Row],[Visitante]]))</f>
        <v>2026-06-20|Western Sydney Youth|Sutherland Sharks</v>
      </c>
      <c r="T860" s="1">
        <f>IF($G860="",0,IF(COUNTIF($S$2:$S860,$S860)=1,1,0))</f>
        <v>1</v>
      </c>
      <c r="U860" s="19" t="str" cm="1">
        <f t="array" ref="U8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0" s="19" t="str" cm="1">
        <f t="array" ref="V8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1" spans="1:22" x14ac:dyDescent="0.3">
      <c r="A861" s="1" t="s">
        <v>2312</v>
      </c>
      <c r="B861" s="5">
        <v>46186</v>
      </c>
      <c r="C861" s="6">
        <v>0.1875</v>
      </c>
      <c r="D861" s="1" t="s">
        <v>7</v>
      </c>
      <c r="E861" s="1" t="s">
        <v>2274</v>
      </c>
      <c r="F861" s="1" t="s">
        <v>2313</v>
      </c>
      <c r="G861" s="39" t="s">
        <v>2252</v>
      </c>
      <c r="H861" s="1">
        <v>1</v>
      </c>
      <c r="I861" s="1">
        <v>2</v>
      </c>
      <c r="J861" s="39" t="s">
        <v>250</v>
      </c>
      <c r="K861" s="1">
        <v>2</v>
      </c>
      <c r="L861" s="1">
        <v>1</v>
      </c>
      <c r="S861" s="1" t="str">
        <f>IF(tblDados[[#This Row],[Mandante]]="","",TEXT(tblDados[[#This Row],[Data]],"aaaa-mm-dd")&amp;"|"&amp;TRIM(tblDados[[#This Row],[Mandante]])&amp;"|"&amp;TRIM(tblDados[[#This Row],[Visitante]]))</f>
        <v>2026-06-13|Sutherland Sharks|Blacktown City</v>
      </c>
      <c r="T861" s="1">
        <f>IF($G861="",0,IF(COUNTIF($S$2:$S861,$S861)=1,1,0))</f>
        <v>1</v>
      </c>
      <c r="U861" s="19" t="str" cm="1">
        <f t="array" ref="U8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1" s="19" t="str" cm="1">
        <f t="array" ref="V8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2" spans="1:22" x14ac:dyDescent="0.3">
      <c r="A862" s="1" t="s">
        <v>2314</v>
      </c>
      <c r="B862" s="5">
        <v>46179</v>
      </c>
      <c r="C862" s="6">
        <v>0.22916666666666666</v>
      </c>
      <c r="D862" s="1" t="s">
        <v>7</v>
      </c>
      <c r="E862" s="1" t="s">
        <v>2274</v>
      </c>
      <c r="F862" s="1" t="s">
        <v>2315</v>
      </c>
      <c r="G862" s="39" t="s">
        <v>2226</v>
      </c>
      <c r="H862" s="1">
        <v>1</v>
      </c>
      <c r="I862" s="1">
        <v>2</v>
      </c>
      <c r="J862" s="39" t="s">
        <v>2252</v>
      </c>
      <c r="K862" s="1">
        <v>2</v>
      </c>
      <c r="L862" s="1">
        <v>1</v>
      </c>
      <c r="S862" s="1" t="str">
        <f>IF(tblDados[[#This Row],[Mandante]]="","",TEXT(tblDados[[#This Row],[Data]],"aaaa-mm-dd")&amp;"|"&amp;TRIM(tblDados[[#This Row],[Mandante]])&amp;"|"&amp;TRIM(tblDados[[#This Row],[Visitante]]))</f>
        <v>2026-06-06|St George Saints|Sutherland Sharks</v>
      </c>
      <c r="T862" s="1">
        <f>IF($G862="",0,IF(COUNTIF($S$2:$S862,$S862)=1,1,0))</f>
        <v>1</v>
      </c>
      <c r="U862" s="19" t="str" cm="1">
        <f t="array" ref="U8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2" s="19" t="str" cm="1">
        <f t="array" ref="V8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3" spans="1:22" ht="14.4" x14ac:dyDescent="0.3">
      <c r="A863" s="1" t="s">
        <v>2316</v>
      </c>
      <c r="B863" s="5">
        <v>46165</v>
      </c>
      <c r="C863" s="6">
        <v>0.125</v>
      </c>
      <c r="D863" s="1" t="s">
        <v>7</v>
      </c>
      <c r="E863" s="1" t="s">
        <v>2274</v>
      </c>
      <c r="F863" s="1" t="s">
        <v>2317</v>
      </c>
      <c r="G863" s="39" t="s">
        <v>2252</v>
      </c>
      <c r="H863" s="1">
        <v>1</v>
      </c>
      <c r="I863" s="1">
        <v>0</v>
      </c>
      <c r="J863" s="39" t="s">
        <v>2253</v>
      </c>
      <c r="K863" s="1">
        <v>0</v>
      </c>
      <c r="L863" s="1">
        <v>1</v>
      </c>
      <c r="S863" s="1" t="str">
        <f>IF(tblDados[[#This Row],[Mandante]]="","",TEXT(tblDados[[#This Row],[Data]],"aaaa-mm-dd")&amp;"|"&amp;TRIM(tblDados[[#This Row],[Mandante]])&amp;"|"&amp;TRIM(tblDados[[#This Row],[Visitante]]))</f>
        <v>2026-05-23|Sutherland Sharks|NWS Spirit</v>
      </c>
      <c r="T863">
        <f>IF($G863="",0,IF(COUNTIF($S$2:$S2834,$S863)=1,1,0))</f>
        <v>1</v>
      </c>
      <c r="U863" s="19" t="str" cm="1">
        <f t="array" ref="U8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3" s="19" t="str" cm="1">
        <f t="array" ref="V8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4" spans="1:22" x14ac:dyDescent="0.3">
      <c r="A864" s="1" t="s">
        <v>2318</v>
      </c>
      <c r="B864" s="5">
        <v>46242</v>
      </c>
      <c r="C864" s="6">
        <v>0.26041666666666669</v>
      </c>
      <c r="D864" s="1" t="s">
        <v>7</v>
      </c>
      <c r="E864" s="1" t="s">
        <v>2274</v>
      </c>
      <c r="F864" s="1" t="s">
        <v>2319</v>
      </c>
      <c r="G864" s="39" t="s">
        <v>271</v>
      </c>
      <c r="H864" s="1">
        <v>1</v>
      </c>
      <c r="I864" s="1">
        <v>0</v>
      </c>
      <c r="J864" s="39" t="s">
        <v>2229</v>
      </c>
      <c r="K864" s="1">
        <v>0</v>
      </c>
      <c r="L864" s="1">
        <v>1</v>
      </c>
      <c r="S864" s="1" t="str">
        <f>IF(tblDados[[#This Row],[Mandante]]="","",TEXT(tblDados[[#This Row],[Data]],"aaaa-mm-dd")&amp;"|"&amp;TRIM(tblDados[[#This Row],[Mandante]])&amp;"|"&amp;TRIM(tblDados[[#This Row],[Visitante]]))</f>
        <v>2026-08-08|St George City FA|Rockdale Ilinden</v>
      </c>
      <c r="T864" s="1">
        <f>IF($G864="",0,IF(COUNTIF($S$2:$S864,$S864)=1,1,0))</f>
        <v>1</v>
      </c>
      <c r="U864" s="19" t="str" cm="1">
        <f t="array" ref="U8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4" s="19" t="str" cm="1">
        <f t="array" ref="V8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5" spans="1:22" x14ac:dyDescent="0.3">
      <c r="A865" s="1" t="s">
        <v>2320</v>
      </c>
      <c r="B865" s="5">
        <v>46236</v>
      </c>
      <c r="C865" s="6">
        <v>8.3333333333333329E-2</v>
      </c>
      <c r="D865" s="1" t="s">
        <v>7</v>
      </c>
      <c r="E865" s="1" t="s">
        <v>2274</v>
      </c>
      <c r="F865" s="1" t="s">
        <v>2321</v>
      </c>
      <c r="G865" s="39" t="s">
        <v>2229</v>
      </c>
      <c r="H865" s="1">
        <v>1</v>
      </c>
      <c r="I865" s="1">
        <v>1</v>
      </c>
      <c r="J865" s="39" t="s">
        <v>2222</v>
      </c>
      <c r="K865" s="1">
        <v>1</v>
      </c>
      <c r="L865" s="1">
        <v>1</v>
      </c>
      <c r="S865" s="1" t="str">
        <f>IF(tblDados[[#This Row],[Mandante]]="","",TEXT(tblDados[[#This Row],[Data]],"aaaa-mm-dd")&amp;"|"&amp;TRIM(tblDados[[#This Row],[Mandante]])&amp;"|"&amp;TRIM(tblDados[[#This Row],[Visitante]]))</f>
        <v>2026-08-02|Rockdale Ilinden|Manly United</v>
      </c>
      <c r="T865" s="1">
        <f>IF($G865="",0,IF(COUNTIF($S$2:$S865,$S865)=1,1,0))</f>
        <v>1</v>
      </c>
      <c r="U865" s="19" t="str" cm="1">
        <f t="array" ref="U8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5" s="19" t="str" cm="1">
        <f t="array" ref="V8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6" spans="1:22" x14ac:dyDescent="0.3">
      <c r="A866" s="1" t="s">
        <v>2322</v>
      </c>
      <c r="B866" s="5">
        <v>46221</v>
      </c>
      <c r="C866" s="6">
        <v>0.22916666666666666</v>
      </c>
      <c r="D866" s="1" t="s">
        <v>7</v>
      </c>
      <c r="E866" s="1" t="s">
        <v>2274</v>
      </c>
      <c r="F866" s="1" t="s">
        <v>2323</v>
      </c>
      <c r="G866" s="39" t="s">
        <v>2226</v>
      </c>
      <c r="H866" s="1">
        <v>1</v>
      </c>
      <c r="I866" s="1">
        <v>6</v>
      </c>
      <c r="J866" s="39" t="s">
        <v>2229</v>
      </c>
      <c r="K866" s="1">
        <v>6</v>
      </c>
      <c r="L866" s="1">
        <v>1</v>
      </c>
      <c r="S866" s="1" t="str">
        <f>IF(tblDados[[#This Row],[Mandante]]="","",TEXT(tblDados[[#This Row],[Data]],"aaaa-mm-dd")&amp;"|"&amp;TRIM(tblDados[[#This Row],[Mandante]])&amp;"|"&amp;TRIM(tblDados[[#This Row],[Visitante]]))</f>
        <v>2026-07-18|St George Saints|Rockdale Ilinden</v>
      </c>
      <c r="T866" s="1">
        <f>IF($G866="",0,IF(COUNTIF($S$2:$S866,$S866)=1,1,0))</f>
        <v>1</v>
      </c>
      <c r="U866" s="19" t="str" cm="1">
        <f t="array" ref="U8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6" s="19" t="str" cm="1">
        <f t="array" ref="V8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7" spans="1:22" x14ac:dyDescent="0.3">
      <c r="A867" s="1" t="s">
        <v>2324</v>
      </c>
      <c r="B867" s="5">
        <v>46208</v>
      </c>
      <c r="C867" s="6">
        <v>8.3333333333333329E-2</v>
      </c>
      <c r="D867" s="1" t="s">
        <v>7</v>
      </c>
      <c r="E867" s="1" t="s">
        <v>2274</v>
      </c>
      <c r="F867" s="1" t="s">
        <v>2325</v>
      </c>
      <c r="G867" s="39" t="s">
        <v>2229</v>
      </c>
      <c r="H867" s="1">
        <v>1</v>
      </c>
      <c r="I867" s="1">
        <v>1</v>
      </c>
      <c r="J867" s="39" t="s">
        <v>2253</v>
      </c>
      <c r="K867" s="1">
        <v>1</v>
      </c>
      <c r="L867" s="1">
        <v>1</v>
      </c>
      <c r="S867" s="1" t="str">
        <f>IF(tblDados[[#This Row],[Mandante]]="","",TEXT(tblDados[[#This Row],[Data]],"aaaa-mm-dd")&amp;"|"&amp;TRIM(tblDados[[#This Row],[Mandante]])&amp;"|"&amp;TRIM(tblDados[[#This Row],[Visitante]]))</f>
        <v>2026-07-05|Rockdale Ilinden|NWS Spirit</v>
      </c>
      <c r="T867" s="1">
        <f>IF($G867="",0,IF(COUNTIF($S$2:$S867,$S867)=1,1,0))</f>
        <v>1</v>
      </c>
      <c r="U867" s="19" t="str" cm="1">
        <f t="array" ref="U8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7" s="19" t="str" cm="1">
        <f t="array" ref="V8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8" spans="1:22" x14ac:dyDescent="0.3">
      <c r="A868" s="1" t="s">
        <v>2326</v>
      </c>
      <c r="B868" s="5">
        <v>46194</v>
      </c>
      <c r="C868" s="6">
        <v>8.3333333333333329E-2</v>
      </c>
      <c r="D868" s="1" t="s">
        <v>7</v>
      </c>
      <c r="E868" s="1" t="s">
        <v>2274</v>
      </c>
      <c r="F868" s="1" t="s">
        <v>2327</v>
      </c>
      <c r="G868" s="39" t="s">
        <v>266</v>
      </c>
      <c r="H868" s="1">
        <v>0</v>
      </c>
      <c r="I868" s="1">
        <v>4</v>
      </c>
      <c r="J868" s="39" t="s">
        <v>2229</v>
      </c>
      <c r="K868" s="1">
        <v>4</v>
      </c>
      <c r="L868" s="1">
        <v>0</v>
      </c>
      <c r="S868" s="1" t="str">
        <f>IF(tblDados[[#This Row],[Mandante]]="","",TEXT(tblDados[[#This Row],[Data]],"aaaa-mm-dd")&amp;"|"&amp;TRIM(tblDados[[#This Row],[Mandante]])&amp;"|"&amp;TRIM(tblDados[[#This Row],[Visitante]]))</f>
        <v>2026-06-21|Sydney Olympic|Rockdale Ilinden</v>
      </c>
      <c r="T868" s="1">
        <f>IF($G868="",0,IF(COUNTIF($S$2:$S868,$S868)=1,1,0))</f>
        <v>1</v>
      </c>
      <c r="U868" s="19" t="str" cm="1">
        <f t="array" ref="U8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8" s="19" t="str" cm="1">
        <f t="array" ref="V8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9" spans="1:22" x14ac:dyDescent="0.3">
      <c r="A869" s="1" t="s">
        <v>2328</v>
      </c>
      <c r="B869" s="5">
        <v>46187</v>
      </c>
      <c r="C869" s="6">
        <v>0.14583333333333334</v>
      </c>
      <c r="D869" s="1" t="s">
        <v>7</v>
      </c>
      <c r="E869" s="1" t="s">
        <v>2274</v>
      </c>
      <c r="F869" s="1" t="s">
        <v>2329</v>
      </c>
      <c r="G869" s="39" t="s">
        <v>2229</v>
      </c>
      <c r="H869" s="1">
        <v>0</v>
      </c>
      <c r="I869" s="1">
        <v>1</v>
      </c>
      <c r="J869" s="39" t="s">
        <v>2223</v>
      </c>
      <c r="K869" s="1">
        <v>1</v>
      </c>
      <c r="L869" s="1">
        <v>0</v>
      </c>
      <c r="S869" s="1" t="str">
        <f>IF(tblDados[[#This Row],[Mandante]]="","",TEXT(tblDados[[#This Row],[Data]],"aaaa-mm-dd")&amp;"|"&amp;TRIM(tblDados[[#This Row],[Mandante]])&amp;"|"&amp;TRIM(tblDados[[#This Row],[Visitante]]))</f>
        <v>2026-06-14|Rockdale Ilinden|SD Raiders</v>
      </c>
      <c r="T869" s="1">
        <f>IF($G869="",0,IF(COUNTIF($S$2:$S869,$S869)=1,1,0))</f>
        <v>1</v>
      </c>
      <c r="U869" s="19" t="str" cm="1">
        <f t="array" ref="U8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9" s="19" t="str" cm="1">
        <f t="array" ref="V8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0" spans="1:22" x14ac:dyDescent="0.3">
      <c r="A870" s="1" t="s">
        <v>2330</v>
      </c>
      <c r="B870" s="5">
        <v>46180</v>
      </c>
      <c r="C870" s="6">
        <v>8.3333333333333329E-2</v>
      </c>
      <c r="D870" s="1" t="s">
        <v>7</v>
      </c>
      <c r="E870" s="1" t="s">
        <v>2274</v>
      </c>
      <c r="F870" s="1" t="s">
        <v>2331</v>
      </c>
      <c r="G870" s="39" t="s">
        <v>250</v>
      </c>
      <c r="H870" s="1">
        <v>1</v>
      </c>
      <c r="I870" s="1">
        <v>2</v>
      </c>
      <c r="J870" s="39" t="s">
        <v>2229</v>
      </c>
      <c r="K870" s="1">
        <v>2</v>
      </c>
      <c r="L870" s="1">
        <v>1</v>
      </c>
      <c r="S870" s="1" t="str">
        <f>IF(tblDados[[#This Row],[Mandante]]="","",TEXT(tblDados[[#This Row],[Data]],"aaaa-mm-dd")&amp;"|"&amp;TRIM(tblDados[[#This Row],[Mandante]])&amp;"|"&amp;TRIM(tblDados[[#This Row],[Visitante]]))</f>
        <v>2026-06-07|Blacktown City|Rockdale Ilinden</v>
      </c>
      <c r="T870" s="1">
        <f>IF($G870="",0,IF(COUNTIF($S$2:$S870,$S870)=1,1,0))</f>
        <v>1</v>
      </c>
      <c r="U870" s="19" t="str" cm="1">
        <f t="array" ref="U8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0" s="19" t="str" cm="1">
        <f t="array" ref="V8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1" spans="1:22" ht="14.4" x14ac:dyDescent="0.3">
      <c r="A871" s="1" t="s">
        <v>2332</v>
      </c>
      <c r="B871" s="5">
        <v>46166</v>
      </c>
      <c r="C871" s="6">
        <v>8.3333333333333329E-2</v>
      </c>
      <c r="D871" s="1" t="s">
        <v>7</v>
      </c>
      <c r="E871" s="1" t="s">
        <v>2274</v>
      </c>
      <c r="F871" s="1" t="s">
        <v>2333</v>
      </c>
      <c r="G871" s="39" t="s">
        <v>2229</v>
      </c>
      <c r="H871" s="1">
        <v>0</v>
      </c>
      <c r="I871" s="1">
        <v>5</v>
      </c>
      <c r="J871" s="39" t="s">
        <v>2225</v>
      </c>
      <c r="K871" s="1">
        <v>5</v>
      </c>
      <c r="L871" s="1">
        <v>0</v>
      </c>
      <c r="S871" s="1" t="str">
        <f>IF(tblDados[[#This Row],[Mandante]]="","",TEXT(tblDados[[#This Row],[Data]],"aaaa-mm-dd")&amp;"|"&amp;TRIM(tblDados[[#This Row],[Mandante]])&amp;"|"&amp;TRIM(tblDados[[#This Row],[Visitante]]))</f>
        <v>2026-05-24|Rockdale Ilinden|Western Sydney Youth</v>
      </c>
      <c r="T871">
        <f>IF($G871="",0,IF(COUNTIF($S$2:$S2834,$S871)=1,1,0))</f>
        <v>1</v>
      </c>
      <c r="U871" s="19" t="str" cm="1">
        <f t="array" ref="U8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1" s="19" t="str" cm="1">
        <f t="array" ref="V8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2" spans="1:22" x14ac:dyDescent="0.3">
      <c r="A872" s="1" t="s">
        <v>2334</v>
      </c>
      <c r="B872" s="5">
        <v>46227</v>
      </c>
      <c r="C872" s="6">
        <v>0.27083333333333331</v>
      </c>
      <c r="D872" s="1" t="s">
        <v>7</v>
      </c>
      <c r="E872" s="1" t="s">
        <v>2274</v>
      </c>
      <c r="F872" s="1" t="s">
        <v>2335</v>
      </c>
      <c r="G872" s="39" t="s">
        <v>2222</v>
      </c>
      <c r="H872" s="1">
        <v>4</v>
      </c>
      <c r="I872" s="1">
        <v>0</v>
      </c>
      <c r="J872" s="39" t="s">
        <v>266</v>
      </c>
      <c r="K872" s="1">
        <v>0</v>
      </c>
      <c r="L872" s="1">
        <v>4</v>
      </c>
      <c r="S872" s="1" t="str">
        <f>IF(tblDados[[#This Row],[Mandante]]="","",TEXT(tblDados[[#This Row],[Data]],"aaaa-mm-dd")&amp;"|"&amp;TRIM(tblDados[[#This Row],[Mandante]])&amp;"|"&amp;TRIM(tblDados[[#This Row],[Visitante]]))</f>
        <v>2026-07-24|Manly United|Sydney Olympic</v>
      </c>
      <c r="T872" s="1">
        <f>IF($G872="",0,IF(COUNTIF($S$2:$S872,$S872)=1,1,0))</f>
        <v>1</v>
      </c>
      <c r="U872" s="19" t="str" cm="1">
        <f t="array" ref="U8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2" s="19" t="str" cm="1">
        <f t="array" ref="V8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3" spans="1:22" x14ac:dyDescent="0.3">
      <c r="A873" s="1" t="s">
        <v>2336</v>
      </c>
      <c r="B873" s="5">
        <v>46220</v>
      </c>
      <c r="C873" s="6">
        <v>0.27083333333333331</v>
      </c>
      <c r="D873" s="1" t="s">
        <v>7</v>
      </c>
      <c r="E873" s="1" t="s">
        <v>2274</v>
      </c>
      <c r="F873" s="1" t="s">
        <v>2337</v>
      </c>
      <c r="G873" s="39" t="s">
        <v>251</v>
      </c>
      <c r="H873" s="1">
        <v>0</v>
      </c>
      <c r="I873" s="1">
        <v>0</v>
      </c>
      <c r="J873" s="39" t="s">
        <v>2222</v>
      </c>
      <c r="K873" s="1">
        <v>0</v>
      </c>
      <c r="L873" s="1">
        <v>0</v>
      </c>
      <c r="S873" s="1" t="str">
        <f>IF(tblDados[[#This Row],[Mandante]]="","",TEXT(tblDados[[#This Row],[Data]],"aaaa-mm-dd")&amp;"|"&amp;TRIM(tblDados[[#This Row],[Mandante]])&amp;"|"&amp;TRIM(tblDados[[#This Row],[Visitante]]))</f>
        <v>2026-07-17|Sydney FC NPL|Manly United</v>
      </c>
      <c r="T873" s="1">
        <f>IF($G873="",0,IF(COUNTIF($S$2:$S873,$S873)=1,1,0))</f>
        <v>1</v>
      </c>
      <c r="U873" s="19" t="str" cm="1">
        <f t="array" ref="U8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3" s="19" t="str" cm="1">
        <f t="array" ref="V8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4" spans="1:22" x14ac:dyDescent="0.3">
      <c r="A874" s="1" t="s">
        <v>2338</v>
      </c>
      <c r="B874" s="5">
        <v>46207</v>
      </c>
      <c r="C874" s="6">
        <v>0.16666666666666666</v>
      </c>
      <c r="D874" s="1" t="s">
        <v>7</v>
      </c>
      <c r="E874" s="1" t="s">
        <v>2274</v>
      </c>
      <c r="F874" s="1" t="s">
        <v>2339</v>
      </c>
      <c r="G874" s="39" t="s">
        <v>2222</v>
      </c>
      <c r="H874" s="1">
        <v>1</v>
      </c>
      <c r="I874" s="1">
        <v>0</v>
      </c>
      <c r="J874" s="39" t="s">
        <v>2223</v>
      </c>
      <c r="K874" s="1">
        <v>0</v>
      </c>
      <c r="L874" s="1">
        <v>1</v>
      </c>
      <c r="S874" s="1" t="str">
        <f>IF(tblDados[[#This Row],[Mandante]]="","",TEXT(tblDados[[#This Row],[Data]],"aaaa-mm-dd")&amp;"|"&amp;TRIM(tblDados[[#This Row],[Mandante]])&amp;"|"&amp;TRIM(tblDados[[#This Row],[Visitante]]))</f>
        <v>2026-07-04|Manly United|SD Raiders</v>
      </c>
      <c r="T874" s="1">
        <f>IF($G874="",0,IF(COUNTIF($S$2:$S874,$S874)=1,1,0))</f>
        <v>1</v>
      </c>
      <c r="U874" s="19" t="str" cm="1">
        <f t="array" ref="U8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4" s="19" t="str" cm="1">
        <f t="array" ref="V8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5" spans="1:22" x14ac:dyDescent="0.3">
      <c r="A875" s="1" t="s">
        <v>2340</v>
      </c>
      <c r="B875" s="5">
        <v>46200</v>
      </c>
      <c r="C875" s="6">
        <v>8.3333333333333329E-2</v>
      </c>
      <c r="D875" s="1" t="s">
        <v>7</v>
      </c>
      <c r="E875" s="1" t="s">
        <v>2274</v>
      </c>
      <c r="F875" s="1" t="s">
        <v>2341</v>
      </c>
      <c r="G875" s="39" t="s">
        <v>2225</v>
      </c>
      <c r="H875" s="1">
        <v>3</v>
      </c>
      <c r="I875" s="1">
        <v>3</v>
      </c>
      <c r="J875" s="39" t="s">
        <v>2222</v>
      </c>
      <c r="K875" s="1">
        <v>3</v>
      </c>
      <c r="L875" s="1">
        <v>3</v>
      </c>
      <c r="S875" s="1" t="str">
        <f>IF(tblDados[[#This Row],[Mandante]]="","",TEXT(tblDados[[#This Row],[Data]],"aaaa-mm-dd")&amp;"|"&amp;TRIM(tblDados[[#This Row],[Mandante]])&amp;"|"&amp;TRIM(tblDados[[#This Row],[Visitante]]))</f>
        <v>2026-06-27|Western Sydney Youth|Manly United</v>
      </c>
      <c r="T875" s="1">
        <f>IF($G875="",0,IF(COUNTIF($S$2:$S875,$S875)=1,1,0))</f>
        <v>1</v>
      </c>
      <c r="U875" s="19" t="str" cm="1">
        <f t="array" ref="U8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5" s="19" t="str" cm="1">
        <f t="array" ref="V8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6" spans="1:22" x14ac:dyDescent="0.3">
      <c r="A876" s="1" t="s">
        <v>2342</v>
      </c>
      <c r="B876" s="5">
        <v>46193</v>
      </c>
      <c r="C876" s="6">
        <v>0.16666666666666666</v>
      </c>
      <c r="D876" s="1" t="s">
        <v>7</v>
      </c>
      <c r="E876" s="1" t="s">
        <v>2274</v>
      </c>
      <c r="F876" s="1" t="s">
        <v>2343</v>
      </c>
      <c r="G876" s="39" t="s">
        <v>2222</v>
      </c>
      <c r="H876" s="1">
        <v>2</v>
      </c>
      <c r="I876" s="1">
        <v>0</v>
      </c>
      <c r="J876" s="39" t="s">
        <v>2226</v>
      </c>
      <c r="K876" s="1">
        <v>0</v>
      </c>
      <c r="L876" s="1">
        <v>2</v>
      </c>
      <c r="S876" s="1" t="str">
        <f>IF(tblDados[[#This Row],[Mandante]]="","",TEXT(tblDados[[#This Row],[Data]],"aaaa-mm-dd")&amp;"|"&amp;TRIM(tblDados[[#This Row],[Mandante]])&amp;"|"&amp;TRIM(tblDados[[#This Row],[Visitante]]))</f>
        <v>2026-06-20|Manly United|St George Saints</v>
      </c>
      <c r="T876" s="1">
        <f>IF($G876="",0,IF(COUNTIF($S$2:$S876,$S876)=1,1,0))</f>
        <v>1</v>
      </c>
      <c r="U876" s="19" t="str" cm="1">
        <f t="array" ref="U8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6" s="19" t="str" cm="1">
        <f t="array" ref="V8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7" spans="1:22" x14ac:dyDescent="0.3">
      <c r="A877" s="1" t="s">
        <v>2344</v>
      </c>
      <c r="B877" s="5">
        <v>46172</v>
      </c>
      <c r="C877" s="6">
        <v>0.16666666666666666</v>
      </c>
      <c r="D877" s="1" t="s">
        <v>7</v>
      </c>
      <c r="E877" s="1" t="s">
        <v>2274</v>
      </c>
      <c r="F877" s="1" t="s">
        <v>2345</v>
      </c>
      <c r="G877" s="39" t="s">
        <v>2222</v>
      </c>
      <c r="H877" s="1">
        <v>0</v>
      </c>
      <c r="I877" s="1">
        <v>0</v>
      </c>
      <c r="J877" s="39" t="s">
        <v>250</v>
      </c>
      <c r="K877" s="1">
        <v>0</v>
      </c>
      <c r="L877" s="1">
        <v>0</v>
      </c>
      <c r="S877" s="1" t="str">
        <f>IF(tblDados[[#This Row],[Mandante]]="","",TEXT(tblDados[[#This Row],[Data]],"aaaa-mm-dd")&amp;"|"&amp;TRIM(tblDados[[#This Row],[Mandante]])&amp;"|"&amp;TRIM(tblDados[[#This Row],[Visitante]]))</f>
        <v>2026-05-30|Manly United|Blacktown City</v>
      </c>
      <c r="T877" s="1">
        <f>IF($G877="",0,IF(COUNTIF($S$2:$S877,$S877)=1,1,0))</f>
        <v>1</v>
      </c>
      <c r="U877" s="19" t="str" cm="1">
        <f t="array" ref="U8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7" s="19" t="str" cm="1">
        <f t="array" ref="V8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8" spans="1:22" ht="14.4" x14ac:dyDescent="0.3">
      <c r="A878" s="1" t="s">
        <v>2346</v>
      </c>
      <c r="B878" s="5">
        <v>46165</v>
      </c>
      <c r="C878" s="6">
        <v>0.26041666666666669</v>
      </c>
      <c r="D878" s="1" t="s">
        <v>7</v>
      </c>
      <c r="E878" s="1" t="s">
        <v>2274</v>
      </c>
      <c r="F878" s="1" t="s">
        <v>2347</v>
      </c>
      <c r="G878" s="39" t="s">
        <v>271</v>
      </c>
      <c r="H878" s="1">
        <v>1</v>
      </c>
      <c r="I878" s="1">
        <v>2</v>
      </c>
      <c r="J878" s="39" t="s">
        <v>2222</v>
      </c>
      <c r="K878" s="1">
        <v>2</v>
      </c>
      <c r="L878" s="1">
        <v>1</v>
      </c>
      <c r="S878" s="1" t="str">
        <f>IF(tblDados[[#This Row],[Mandante]]="","",TEXT(tblDados[[#This Row],[Data]],"aaaa-mm-dd")&amp;"|"&amp;TRIM(tblDados[[#This Row],[Mandante]])&amp;"|"&amp;TRIM(tblDados[[#This Row],[Visitante]]))</f>
        <v>2026-05-23|St George City FA|Manly United</v>
      </c>
      <c r="T878">
        <f>IF($G878="",0,IF(COUNTIF($S$2:$S2834,$S878)=1,1,0))</f>
        <v>1</v>
      </c>
      <c r="U878" s="19" t="str" cm="1">
        <f t="array" ref="U8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8" s="19" t="str" cm="1">
        <f t="array" ref="V8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9" spans="1:22" x14ac:dyDescent="0.3">
      <c r="A879" s="1" t="s">
        <v>2348</v>
      </c>
      <c r="B879" s="5">
        <v>46242</v>
      </c>
      <c r="C879" s="6">
        <v>0.16666666666666666</v>
      </c>
      <c r="D879" s="1" t="s">
        <v>7</v>
      </c>
      <c r="E879" s="1" t="s">
        <v>2274</v>
      </c>
      <c r="F879" s="1" t="s">
        <v>2349</v>
      </c>
      <c r="G879" s="39" t="s">
        <v>2223</v>
      </c>
      <c r="H879" s="1">
        <v>3</v>
      </c>
      <c r="I879" s="1">
        <v>0</v>
      </c>
      <c r="J879" s="39" t="s">
        <v>2225</v>
      </c>
      <c r="K879" s="1">
        <v>0</v>
      </c>
      <c r="L879" s="1">
        <v>3</v>
      </c>
      <c r="S879" s="1" t="str">
        <f>IF(tblDados[[#This Row],[Mandante]]="","",TEXT(tblDados[[#This Row],[Data]],"aaaa-mm-dd")&amp;"|"&amp;TRIM(tblDados[[#This Row],[Mandante]])&amp;"|"&amp;TRIM(tblDados[[#This Row],[Visitante]]))</f>
        <v>2026-08-08|SD Raiders|Western Sydney Youth</v>
      </c>
      <c r="T879" s="1">
        <f>IF($G879="",0,IF(COUNTIF($S$2:$S879,$S879)=1,1,0))</f>
        <v>1</v>
      </c>
      <c r="U879" s="19" t="str" cm="1">
        <f t="array" ref="U8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9" s="19" t="str" cm="1">
        <f t="array" ref="V8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0" spans="1:22" x14ac:dyDescent="0.3">
      <c r="A880" s="1" t="s">
        <v>2350</v>
      </c>
      <c r="B880" s="5">
        <v>46235</v>
      </c>
      <c r="C880" s="6">
        <v>0.22916666666666666</v>
      </c>
      <c r="D880" s="1" t="s">
        <v>7</v>
      </c>
      <c r="E880" s="1" t="s">
        <v>2274</v>
      </c>
      <c r="F880" s="1" t="s">
        <v>2351</v>
      </c>
      <c r="G880" s="39" t="s">
        <v>2226</v>
      </c>
      <c r="H880" s="1">
        <v>2</v>
      </c>
      <c r="I880" s="1">
        <v>3</v>
      </c>
      <c r="J880" s="39" t="s">
        <v>2223</v>
      </c>
      <c r="K880" s="1">
        <v>3</v>
      </c>
      <c r="L880" s="1">
        <v>2</v>
      </c>
      <c r="S880" s="1" t="str">
        <f>IF(tblDados[[#This Row],[Mandante]]="","",TEXT(tblDados[[#This Row],[Data]],"aaaa-mm-dd")&amp;"|"&amp;TRIM(tblDados[[#This Row],[Mandante]])&amp;"|"&amp;TRIM(tblDados[[#This Row],[Visitante]]))</f>
        <v>2026-08-01|St George Saints|SD Raiders</v>
      </c>
      <c r="T880" s="1">
        <f>IF($G880="",0,IF(COUNTIF($S$2:$S880,$S880)=1,1,0))</f>
        <v>1</v>
      </c>
      <c r="U880" s="19" t="str" cm="1">
        <f t="array" ref="U8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0" s="19" t="str" cm="1">
        <f t="array" ref="V8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1" spans="1:22" x14ac:dyDescent="0.3">
      <c r="A881" s="1" t="s">
        <v>2352</v>
      </c>
      <c r="B881" s="5">
        <v>46221</v>
      </c>
      <c r="C881" s="6">
        <v>0.20833333333333334</v>
      </c>
      <c r="D881" s="1" t="s">
        <v>7</v>
      </c>
      <c r="E881" s="1" t="s">
        <v>2274</v>
      </c>
      <c r="F881" s="1" t="s">
        <v>2353</v>
      </c>
      <c r="G881" s="39" t="s">
        <v>2228</v>
      </c>
      <c r="H881" s="1">
        <v>2</v>
      </c>
      <c r="I881" s="1">
        <v>3</v>
      </c>
      <c r="J881" s="39" t="s">
        <v>2223</v>
      </c>
      <c r="K881" s="1">
        <v>3</v>
      </c>
      <c r="L881" s="1">
        <v>2</v>
      </c>
      <c r="S881" s="1" t="str">
        <f>IF(tblDados[[#This Row],[Mandante]]="","",TEXT(tblDados[[#This Row],[Data]],"aaaa-mm-dd")&amp;"|"&amp;TRIM(tblDados[[#This Row],[Mandante]])&amp;"|"&amp;TRIM(tblDados[[#This Row],[Visitante]]))</f>
        <v>2026-07-18|Wollongong Wolves|SD Raiders</v>
      </c>
      <c r="T881" s="1">
        <f>IF($G881="",0,IF(COUNTIF($S$2:$S881,$S881)=1,1,0))</f>
        <v>1</v>
      </c>
      <c r="U881" s="19" t="str" cm="1">
        <f t="array" ref="U8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1" s="19" t="str" cm="1">
        <f t="array" ref="V8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2" spans="1:22" x14ac:dyDescent="0.3">
      <c r="A882" s="1" t="s">
        <v>2354</v>
      </c>
      <c r="B882" s="5">
        <v>46214</v>
      </c>
      <c r="C882" s="6">
        <v>0.16666666666666666</v>
      </c>
      <c r="D882" s="1" t="s">
        <v>7</v>
      </c>
      <c r="E882" s="1" t="s">
        <v>2274</v>
      </c>
      <c r="F882" s="1" t="s">
        <v>2355</v>
      </c>
      <c r="G882" s="39" t="s">
        <v>2223</v>
      </c>
      <c r="H882" s="1">
        <v>1</v>
      </c>
      <c r="I882" s="1">
        <v>3</v>
      </c>
      <c r="J882" s="39" t="s">
        <v>250</v>
      </c>
      <c r="K882" s="1">
        <v>3</v>
      </c>
      <c r="L882" s="1">
        <v>1</v>
      </c>
      <c r="S882" s="1" t="str">
        <f>IF(tblDados[[#This Row],[Mandante]]="","",TEXT(tblDados[[#This Row],[Data]],"aaaa-mm-dd")&amp;"|"&amp;TRIM(tblDados[[#This Row],[Mandante]])&amp;"|"&amp;TRIM(tblDados[[#This Row],[Visitante]]))</f>
        <v>2026-07-11|SD Raiders|Blacktown City</v>
      </c>
      <c r="T882" s="1">
        <f>IF($G882="",0,IF(COUNTIF($S$2:$S882,$S882)=1,1,0))</f>
        <v>1</v>
      </c>
      <c r="U882" s="19" t="str" cm="1">
        <f t="array" ref="U8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2" s="19" t="str" cm="1">
        <f t="array" ref="V8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3" spans="1:22" x14ac:dyDescent="0.3">
      <c r="A883" s="1" t="s">
        <v>2356</v>
      </c>
      <c r="B883" s="5">
        <v>46203</v>
      </c>
      <c r="C883" s="6">
        <v>0.29166666666666669</v>
      </c>
      <c r="D883" s="1" t="s">
        <v>7</v>
      </c>
      <c r="E883" s="1" t="s">
        <v>2274</v>
      </c>
      <c r="F883" s="1" t="s">
        <v>2357</v>
      </c>
      <c r="G883" s="39" t="s">
        <v>2223</v>
      </c>
      <c r="H883" s="1">
        <v>0</v>
      </c>
      <c r="I883" s="1">
        <v>1</v>
      </c>
      <c r="J883" s="39" t="s">
        <v>251</v>
      </c>
      <c r="K883" s="1">
        <v>1</v>
      </c>
      <c r="L883" s="1">
        <v>0</v>
      </c>
      <c r="S883" s="1" t="str">
        <f>IF(tblDados[[#This Row],[Mandante]]="","",TEXT(tblDados[[#This Row],[Data]],"aaaa-mm-dd")&amp;"|"&amp;TRIM(tblDados[[#This Row],[Mandante]])&amp;"|"&amp;TRIM(tblDados[[#This Row],[Visitante]]))</f>
        <v>2026-06-30|SD Raiders|Sydney FC NPL</v>
      </c>
      <c r="T883" s="1">
        <f>IF($G883="",0,IF(COUNTIF($S$2:$S883,$S883)=1,1,0))</f>
        <v>1</v>
      </c>
      <c r="U883" s="19" t="str" cm="1">
        <f t="array" ref="U8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3" s="19" t="str" cm="1">
        <f t="array" ref="V8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4" spans="1:22" x14ac:dyDescent="0.3">
      <c r="A884" s="1" t="s">
        <v>2358</v>
      </c>
      <c r="B884" s="5">
        <v>46200</v>
      </c>
      <c r="C884" s="6">
        <v>0.16666666666666666</v>
      </c>
      <c r="D884" s="1" t="s">
        <v>7</v>
      </c>
      <c r="E884" s="1" t="s">
        <v>2274</v>
      </c>
      <c r="F884" s="1" t="s">
        <v>2359</v>
      </c>
      <c r="G884" s="39" t="s">
        <v>2223</v>
      </c>
      <c r="H884" s="1">
        <v>3</v>
      </c>
      <c r="I884" s="1">
        <v>1</v>
      </c>
      <c r="J884" s="39" t="s">
        <v>271</v>
      </c>
      <c r="K884" s="1">
        <v>1</v>
      </c>
      <c r="L884" s="1">
        <v>3</v>
      </c>
      <c r="S884" s="1" t="str">
        <f>IF(tblDados[[#This Row],[Mandante]]="","",TEXT(tblDados[[#This Row],[Data]],"aaaa-mm-dd")&amp;"|"&amp;TRIM(tblDados[[#This Row],[Mandante]])&amp;"|"&amp;TRIM(tblDados[[#This Row],[Visitante]]))</f>
        <v>2026-06-27|SD Raiders|St George City FA</v>
      </c>
      <c r="T884" s="1">
        <f>IF($G884="",0,IF(COUNTIF($S$2:$S884,$S884)=1,1,0))</f>
        <v>1</v>
      </c>
      <c r="U884" s="19" t="str" cm="1">
        <f t="array" ref="U8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4" s="19" t="str" cm="1">
        <f t="array" ref="V8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5" spans="1:22" x14ac:dyDescent="0.3">
      <c r="A885" s="1" t="s">
        <v>2360</v>
      </c>
      <c r="B885" s="5">
        <v>46183</v>
      </c>
      <c r="C885" s="6">
        <v>0.27083333333333331</v>
      </c>
      <c r="D885" s="1" t="s">
        <v>7</v>
      </c>
      <c r="E885" s="1" t="s">
        <v>2274</v>
      </c>
      <c r="F885" s="1" t="s">
        <v>2361</v>
      </c>
      <c r="G885" s="39" t="s">
        <v>266</v>
      </c>
      <c r="H885" s="1">
        <v>1</v>
      </c>
      <c r="I885" s="1">
        <v>1</v>
      </c>
      <c r="J885" s="39" t="s">
        <v>2223</v>
      </c>
      <c r="K885" s="1">
        <v>1</v>
      </c>
      <c r="L885" s="1">
        <v>1</v>
      </c>
      <c r="S885" s="1" t="str">
        <f>IF(tblDados[[#This Row],[Mandante]]="","",TEXT(tblDados[[#This Row],[Data]],"aaaa-mm-dd")&amp;"|"&amp;TRIM(tblDados[[#This Row],[Mandante]])&amp;"|"&amp;TRIM(tblDados[[#This Row],[Visitante]]))</f>
        <v>2026-06-10|Sydney Olympic|SD Raiders</v>
      </c>
      <c r="T885" s="1">
        <f>IF($G885="",0,IF(COUNTIF($S$2:$S885,$S885)=1,1,0))</f>
        <v>1</v>
      </c>
      <c r="U885" s="19" t="str" cm="1">
        <f t="array" ref="U8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5" s="19" t="str" cm="1">
        <f t="array" ref="V8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6" spans="1:22" ht="14.4" x14ac:dyDescent="0.3">
      <c r="A886" s="1" t="s">
        <v>2362</v>
      </c>
      <c r="B886" s="5">
        <v>46179</v>
      </c>
      <c r="C886" s="6">
        <v>0.16666666666666666</v>
      </c>
      <c r="D886" s="1" t="s">
        <v>7</v>
      </c>
      <c r="E886" s="1" t="s">
        <v>2274</v>
      </c>
      <c r="F886" s="1" t="s">
        <v>2363</v>
      </c>
      <c r="G886" s="39" t="s">
        <v>2223</v>
      </c>
      <c r="H886" s="1">
        <v>2</v>
      </c>
      <c r="I886" s="1">
        <v>0</v>
      </c>
      <c r="J886" s="39" t="s">
        <v>2227</v>
      </c>
      <c r="K886" s="1">
        <v>0</v>
      </c>
      <c r="L886" s="1">
        <v>2</v>
      </c>
      <c r="S886" s="1" t="str">
        <f>IF(tblDados[[#This Row],[Mandante]]="","",TEXT(tblDados[[#This Row],[Data]],"aaaa-mm-dd")&amp;"|"&amp;TRIM(tblDados[[#This Row],[Mandante]])&amp;"|"&amp;TRIM(tblDados[[#This Row],[Visitante]]))</f>
        <v>2026-06-06|SD Raiders|UNSW</v>
      </c>
      <c r="T886">
        <f>IF($G886="",0,IF(COUNTIF($S$2:$S2834,$S886)=1,1,0))</f>
        <v>1</v>
      </c>
      <c r="U886" s="19" t="str" cm="1">
        <f t="array" ref="U8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6" s="19" t="str" cm="1">
        <f t="array" ref="V8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7" spans="1:22" x14ac:dyDescent="0.3">
      <c r="A887" s="1" t="s">
        <v>2364</v>
      </c>
      <c r="B887" s="5">
        <v>46228</v>
      </c>
      <c r="C887" s="6">
        <v>0.22916666666666666</v>
      </c>
      <c r="D887" s="1" t="s">
        <v>7</v>
      </c>
      <c r="E887" s="1" t="s">
        <v>2274</v>
      </c>
      <c r="F887" s="1" t="s">
        <v>2365</v>
      </c>
      <c r="G887" s="39" t="s">
        <v>2226</v>
      </c>
      <c r="H887" s="1">
        <v>0</v>
      </c>
      <c r="I887" s="1">
        <v>0</v>
      </c>
      <c r="J887" s="39" t="s">
        <v>251</v>
      </c>
      <c r="K887" s="1">
        <v>0</v>
      </c>
      <c r="L887" s="1">
        <v>0</v>
      </c>
      <c r="S887" s="1" t="str">
        <f>IF(tblDados[[#This Row],[Mandante]]="","",TEXT(tblDados[[#This Row],[Data]],"aaaa-mm-dd")&amp;"|"&amp;TRIM(tblDados[[#This Row],[Mandante]])&amp;"|"&amp;TRIM(tblDados[[#This Row],[Visitante]]))</f>
        <v>2026-07-25|St George Saints|Sydney FC NPL</v>
      </c>
      <c r="T887" s="1">
        <f>IF($G887="",0,IF(COUNTIF($S$2:$S887,$S887)=1,1,0))</f>
        <v>1</v>
      </c>
      <c r="U887" s="19" t="str" cm="1">
        <f t="array" ref="U8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7" s="19" t="str" cm="1">
        <f t="array" ref="V8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8" spans="1:22" x14ac:dyDescent="0.3">
      <c r="A888" s="1" t="s">
        <v>2366</v>
      </c>
      <c r="B888" s="5">
        <v>46207</v>
      </c>
      <c r="C888" s="6">
        <v>8.3333333333333329E-2</v>
      </c>
      <c r="D888" s="1" t="s">
        <v>7</v>
      </c>
      <c r="E888" s="1" t="s">
        <v>2274</v>
      </c>
      <c r="F888" s="1" t="s">
        <v>2367</v>
      </c>
      <c r="G888" s="39" t="s">
        <v>2227</v>
      </c>
      <c r="H888" s="1">
        <v>3</v>
      </c>
      <c r="I888" s="1">
        <v>2</v>
      </c>
      <c r="J888" s="39" t="s">
        <v>251</v>
      </c>
      <c r="K888" s="1">
        <v>2</v>
      </c>
      <c r="L888" s="1">
        <v>3</v>
      </c>
      <c r="S888" s="1" t="str">
        <f>IF(tblDados[[#This Row],[Mandante]]="","",TEXT(tblDados[[#This Row],[Data]],"aaaa-mm-dd")&amp;"|"&amp;TRIM(tblDados[[#This Row],[Mandante]])&amp;"|"&amp;TRIM(tblDados[[#This Row],[Visitante]]))</f>
        <v>2026-07-04|UNSW|Sydney FC NPL</v>
      </c>
      <c r="T888" s="1">
        <f>IF($G888="",0,IF(COUNTIF($S$2:$S888,$S888)=1,1,0))</f>
        <v>1</v>
      </c>
      <c r="U888" s="19" t="str" cm="1">
        <f t="array" ref="U8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8" s="19" t="str" cm="1">
        <f t="array" ref="V8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9" spans="1:22" x14ac:dyDescent="0.3">
      <c r="A889" s="1" t="s">
        <v>2368</v>
      </c>
      <c r="B889" s="5">
        <v>46194</v>
      </c>
      <c r="C889" s="6">
        <v>8.3333333333333329E-2</v>
      </c>
      <c r="D889" s="1" t="s">
        <v>7</v>
      </c>
      <c r="E889" s="1" t="s">
        <v>2274</v>
      </c>
      <c r="F889" s="1" t="s">
        <v>2369</v>
      </c>
      <c r="G889" s="39" t="s">
        <v>2228</v>
      </c>
      <c r="H889" s="1">
        <v>2</v>
      </c>
      <c r="I889" s="1">
        <v>3</v>
      </c>
      <c r="J889" s="39" t="s">
        <v>251</v>
      </c>
      <c r="K889" s="1">
        <v>3</v>
      </c>
      <c r="L889" s="1">
        <v>2</v>
      </c>
      <c r="S889" s="1" t="str">
        <f>IF(tblDados[[#This Row],[Mandante]]="","",TEXT(tblDados[[#This Row],[Data]],"aaaa-mm-dd")&amp;"|"&amp;TRIM(tblDados[[#This Row],[Mandante]])&amp;"|"&amp;TRIM(tblDados[[#This Row],[Visitante]]))</f>
        <v>2026-06-21|Wollongong Wolves|Sydney FC NPL</v>
      </c>
      <c r="T889" s="1">
        <f>IF($G889="",0,IF(COUNTIF($S$2:$S889,$S889)=1,1,0))</f>
        <v>1</v>
      </c>
      <c r="U889" s="19" t="str" cm="1">
        <f t="array" ref="U8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9" s="19" t="str" cm="1">
        <f t="array" ref="V8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0" spans="1:22" x14ac:dyDescent="0.3">
      <c r="A890" s="1" t="s">
        <v>2370</v>
      </c>
      <c r="B890" s="5">
        <v>46178</v>
      </c>
      <c r="C890" s="6">
        <v>0.27083333333333331</v>
      </c>
      <c r="D890" s="1" t="s">
        <v>7</v>
      </c>
      <c r="E890" s="1" t="s">
        <v>2274</v>
      </c>
      <c r="F890" s="1" t="s">
        <v>2371</v>
      </c>
      <c r="G890" s="39" t="s">
        <v>251</v>
      </c>
      <c r="H890" s="1">
        <v>1</v>
      </c>
      <c r="I890" s="1">
        <v>0</v>
      </c>
      <c r="J890" s="39" t="s">
        <v>2253</v>
      </c>
      <c r="K890" s="1">
        <v>0</v>
      </c>
      <c r="L890" s="1">
        <v>1</v>
      </c>
      <c r="S890" s="1" t="str">
        <f>IF(tblDados[[#This Row],[Mandante]]="","",TEXT(tblDados[[#This Row],[Data]],"aaaa-mm-dd")&amp;"|"&amp;TRIM(tblDados[[#This Row],[Mandante]])&amp;"|"&amp;TRIM(tblDados[[#This Row],[Visitante]]))</f>
        <v>2026-06-05|Sydney FC NPL|NWS Spirit</v>
      </c>
      <c r="T890" s="1">
        <f>IF($G890="",0,IF(COUNTIF($S$2:$S890,$S890)=1,1,0))</f>
        <v>1</v>
      </c>
      <c r="U890" s="19" t="str" cm="1">
        <f t="array" ref="U8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0" s="19" t="str" cm="1">
        <f t="array" ref="V8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1" spans="1:22" ht="14.4" x14ac:dyDescent="0.3">
      <c r="A891" s="1" t="s">
        <v>2372</v>
      </c>
      <c r="B891" s="5">
        <v>46171</v>
      </c>
      <c r="C891" s="6">
        <v>0.27083333333333331</v>
      </c>
      <c r="D891" s="1" t="s">
        <v>7</v>
      </c>
      <c r="E891" s="1" t="s">
        <v>2274</v>
      </c>
      <c r="F891" s="1" t="s">
        <v>2373</v>
      </c>
      <c r="G891" s="39" t="s">
        <v>251</v>
      </c>
      <c r="H891" s="1">
        <v>0</v>
      </c>
      <c r="I891" s="1">
        <v>6</v>
      </c>
      <c r="J891" s="39" t="s">
        <v>2225</v>
      </c>
      <c r="K891" s="1">
        <v>6</v>
      </c>
      <c r="L891" s="1">
        <v>0</v>
      </c>
      <c r="S891" s="1" t="str">
        <f>IF(tblDados[[#This Row],[Mandante]]="","",TEXT(tblDados[[#This Row],[Data]],"aaaa-mm-dd")&amp;"|"&amp;TRIM(tblDados[[#This Row],[Mandante]])&amp;"|"&amp;TRIM(tblDados[[#This Row],[Visitante]]))</f>
        <v>2026-05-29|Sydney FC NPL|Western Sydney Youth</v>
      </c>
      <c r="T891">
        <f>IF($G891="",0,IF(COUNTIF($S$2:$S2834,$S891)=1,1,0))</f>
        <v>1</v>
      </c>
      <c r="U891" s="19" t="str" cm="1">
        <f t="array" ref="U8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1" s="19" t="str" cm="1">
        <f t="array" ref="V8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2" spans="1:22" x14ac:dyDescent="0.3">
      <c r="A892" s="1" t="s">
        <v>2374</v>
      </c>
      <c r="B892" s="5">
        <v>46235</v>
      </c>
      <c r="C892" s="6">
        <v>8.3333333333333329E-2</v>
      </c>
      <c r="D892" s="1" t="s">
        <v>7</v>
      </c>
      <c r="E892" s="1" t="s">
        <v>2274</v>
      </c>
      <c r="F892" s="1" t="s">
        <v>2375</v>
      </c>
      <c r="G892" s="39" t="s">
        <v>2225</v>
      </c>
      <c r="H892" s="1">
        <v>2</v>
      </c>
      <c r="I892" s="1">
        <v>1</v>
      </c>
      <c r="J892" s="39" t="s">
        <v>2227</v>
      </c>
      <c r="K892" s="1">
        <v>1</v>
      </c>
      <c r="L892" s="1">
        <v>2</v>
      </c>
      <c r="S892" s="1" t="str">
        <f>IF(tblDados[[#This Row],[Mandante]]="","",TEXT(tblDados[[#This Row],[Data]],"aaaa-mm-dd")&amp;"|"&amp;TRIM(tblDados[[#This Row],[Mandante]])&amp;"|"&amp;TRIM(tblDados[[#This Row],[Visitante]]))</f>
        <v>2026-08-01|Western Sydney Youth|UNSW</v>
      </c>
      <c r="T892" s="1">
        <f>IF($G892="",0,IF(COUNTIF($S$2:$S892,$S892)=1,1,0))</f>
        <v>1</v>
      </c>
      <c r="U892" s="19" t="str" cm="1">
        <f t="array" ref="U8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2" s="19" t="str" cm="1">
        <f t="array" ref="V8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3" spans="1:22" x14ac:dyDescent="0.3">
      <c r="A893" s="1" t="s">
        <v>2376</v>
      </c>
      <c r="B893" s="5">
        <v>46228</v>
      </c>
      <c r="C893" s="6">
        <v>0.1875</v>
      </c>
      <c r="D893" s="1" t="s">
        <v>7</v>
      </c>
      <c r="E893" s="1" t="s">
        <v>2274</v>
      </c>
      <c r="F893" s="1" t="s">
        <v>2377</v>
      </c>
      <c r="G893" s="39" t="s">
        <v>2253</v>
      </c>
      <c r="H893" s="1">
        <v>0</v>
      </c>
      <c r="I893" s="1">
        <v>4</v>
      </c>
      <c r="J893" s="39" t="s">
        <v>2225</v>
      </c>
      <c r="K893" s="1">
        <v>4</v>
      </c>
      <c r="L893" s="1">
        <v>0</v>
      </c>
      <c r="S893" s="1" t="str">
        <f>IF(tblDados[[#This Row],[Mandante]]="","",TEXT(tblDados[[#This Row],[Data]],"aaaa-mm-dd")&amp;"|"&amp;TRIM(tblDados[[#This Row],[Mandante]])&amp;"|"&amp;TRIM(tblDados[[#This Row],[Visitante]]))</f>
        <v>2026-07-25|NWS Spirit|Western Sydney Youth</v>
      </c>
      <c r="T893" s="1">
        <f>IF($G893="",0,IF(COUNTIF($S$2:$S893,$S893)=1,1,0))</f>
        <v>1</v>
      </c>
      <c r="U893" s="19" t="str" cm="1">
        <f t="array" ref="U8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3" s="19" t="str" cm="1">
        <f t="array" ref="V8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4" spans="1:22" x14ac:dyDescent="0.3">
      <c r="A894" s="1" t="s">
        <v>2378</v>
      </c>
      <c r="B894" s="5">
        <v>46207</v>
      </c>
      <c r="C894" s="6">
        <v>8.3333333333333329E-2</v>
      </c>
      <c r="D894" s="1" t="s">
        <v>7</v>
      </c>
      <c r="E894" s="1" t="s">
        <v>2274</v>
      </c>
      <c r="F894" s="1" t="s">
        <v>2379</v>
      </c>
      <c r="G894" s="39" t="s">
        <v>2225</v>
      </c>
      <c r="H894" s="1">
        <v>2</v>
      </c>
      <c r="I894" s="1">
        <v>1</v>
      </c>
      <c r="J894" s="39" t="s">
        <v>266</v>
      </c>
      <c r="K894" s="1">
        <v>1</v>
      </c>
      <c r="L894" s="1">
        <v>2</v>
      </c>
      <c r="S894" s="1" t="str">
        <f>IF(tblDados[[#This Row],[Mandante]]="","",TEXT(tblDados[[#This Row],[Data]],"aaaa-mm-dd")&amp;"|"&amp;TRIM(tblDados[[#This Row],[Mandante]])&amp;"|"&amp;TRIM(tblDados[[#This Row],[Visitante]]))</f>
        <v>2026-07-04|Western Sydney Youth|Sydney Olympic</v>
      </c>
      <c r="T894" s="1">
        <f>IF($G894="",0,IF(COUNTIF($S$2:$S894,$S894)=1,1,0))</f>
        <v>1</v>
      </c>
      <c r="U894" s="19" t="str" cm="1">
        <f t="array" ref="U8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4" s="19" t="str" cm="1">
        <f t="array" ref="V8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5" spans="1:22" ht="14.4" x14ac:dyDescent="0.3">
      <c r="A895" s="1" t="s">
        <v>2380</v>
      </c>
      <c r="B895" s="5">
        <v>46186</v>
      </c>
      <c r="C895" s="6">
        <v>8.3333333333333329E-2</v>
      </c>
      <c r="D895" s="1" t="s">
        <v>7</v>
      </c>
      <c r="E895" s="1" t="s">
        <v>2274</v>
      </c>
      <c r="F895" s="1" t="s">
        <v>2381</v>
      </c>
      <c r="G895" s="39" t="s">
        <v>2225</v>
      </c>
      <c r="H895" s="1">
        <v>1</v>
      </c>
      <c r="I895" s="1">
        <v>1</v>
      </c>
      <c r="J895" s="39" t="s">
        <v>271</v>
      </c>
      <c r="K895" s="1">
        <v>1</v>
      </c>
      <c r="L895" s="1">
        <v>1</v>
      </c>
      <c r="S895" s="1" t="str">
        <f>IF(tblDados[[#This Row],[Mandante]]="","",TEXT(tblDados[[#This Row],[Data]],"aaaa-mm-dd")&amp;"|"&amp;TRIM(tblDados[[#This Row],[Mandante]])&amp;"|"&amp;TRIM(tblDados[[#This Row],[Visitante]]))</f>
        <v>2026-06-13|Western Sydney Youth|St George City FA</v>
      </c>
      <c r="T895">
        <f>IF($G895="",0,IF(COUNTIF($S$2:$S2834,$S895)=1,1,0))</f>
        <v>1</v>
      </c>
      <c r="U895" s="19" t="str" cm="1">
        <f t="array" ref="U8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5" s="19" t="str" cm="1">
        <f t="array" ref="V8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6" spans="1:22" x14ac:dyDescent="0.3">
      <c r="A896" s="1" t="s">
        <v>2382</v>
      </c>
      <c r="B896" s="5">
        <v>46242</v>
      </c>
      <c r="C896" s="6">
        <v>0.1875</v>
      </c>
      <c r="D896" s="1" t="s">
        <v>7</v>
      </c>
      <c r="E896" s="1" t="s">
        <v>2274</v>
      </c>
      <c r="F896" s="1" t="s">
        <v>2383</v>
      </c>
      <c r="G896" s="39" t="s">
        <v>2253</v>
      </c>
      <c r="H896" s="1">
        <v>3</v>
      </c>
      <c r="I896" s="1">
        <v>1</v>
      </c>
      <c r="J896" s="39" t="s">
        <v>250</v>
      </c>
      <c r="K896" s="1">
        <v>1</v>
      </c>
      <c r="L896" s="1">
        <v>3</v>
      </c>
      <c r="S896" s="1" t="str">
        <f>IF(tblDados[[#This Row],[Mandante]]="","",TEXT(tblDados[[#This Row],[Data]],"aaaa-mm-dd")&amp;"|"&amp;TRIM(tblDados[[#This Row],[Mandante]])&amp;"|"&amp;TRIM(tblDados[[#This Row],[Visitante]]))</f>
        <v>2026-08-08|NWS Spirit|Blacktown City</v>
      </c>
      <c r="T896" s="1">
        <f>IF($G896="",0,IF(COUNTIF($S$2:$S896,$S896)=1,1,0))</f>
        <v>1</v>
      </c>
      <c r="U896" s="19" t="str" cm="1">
        <f t="array" ref="U8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6" s="19" t="str" cm="1">
        <f t="array" ref="V8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7" spans="1:22" x14ac:dyDescent="0.3">
      <c r="A897" s="1" t="s">
        <v>2384</v>
      </c>
      <c r="B897" s="5">
        <v>46221</v>
      </c>
      <c r="C897" s="6">
        <v>0.17708333333333334</v>
      </c>
      <c r="D897" s="1" t="s">
        <v>7</v>
      </c>
      <c r="E897" s="1" t="s">
        <v>2274</v>
      </c>
      <c r="F897" s="1" t="s">
        <v>2385</v>
      </c>
      <c r="G897" s="39" t="s">
        <v>2227</v>
      </c>
      <c r="H897" s="1">
        <v>3</v>
      </c>
      <c r="I897" s="1">
        <v>1</v>
      </c>
      <c r="J897" s="39" t="s">
        <v>2253</v>
      </c>
      <c r="K897" s="1">
        <v>1</v>
      </c>
      <c r="L897" s="1">
        <v>3</v>
      </c>
      <c r="S897" s="1" t="str">
        <f>IF(tblDados[[#This Row],[Mandante]]="","",TEXT(tblDados[[#This Row],[Data]],"aaaa-mm-dd")&amp;"|"&amp;TRIM(tblDados[[#This Row],[Mandante]])&amp;"|"&amp;TRIM(tblDados[[#This Row],[Visitante]]))</f>
        <v>2026-07-18|UNSW|NWS Spirit</v>
      </c>
      <c r="T897" s="1">
        <f>IF($G897="",0,IF(COUNTIF($S$2:$S897,$S897)=1,1,0))</f>
        <v>1</v>
      </c>
      <c r="U897" s="19" t="str" cm="1">
        <f t="array" ref="U8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7" s="19" t="str" cm="1">
        <f t="array" ref="V8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8" spans="1:22" x14ac:dyDescent="0.3">
      <c r="A898" s="1" t="s">
        <v>2386</v>
      </c>
      <c r="B898" s="5">
        <v>46214</v>
      </c>
      <c r="C898" s="6">
        <v>0.1875</v>
      </c>
      <c r="D898" s="1" t="s">
        <v>7</v>
      </c>
      <c r="E898" s="1" t="s">
        <v>2274</v>
      </c>
      <c r="F898" s="1" t="s">
        <v>2387</v>
      </c>
      <c r="G898" s="39" t="s">
        <v>2253</v>
      </c>
      <c r="H898" s="1">
        <v>3</v>
      </c>
      <c r="I898" s="1">
        <v>1</v>
      </c>
      <c r="J898" s="39" t="s">
        <v>2226</v>
      </c>
      <c r="K898" s="1">
        <v>1</v>
      </c>
      <c r="L898" s="1">
        <v>3</v>
      </c>
      <c r="S898" s="1" t="str">
        <f>IF(tblDados[[#This Row],[Mandante]]="","",TEXT(tblDados[[#This Row],[Data]],"aaaa-mm-dd")&amp;"|"&amp;TRIM(tblDados[[#This Row],[Mandante]])&amp;"|"&amp;TRIM(tblDados[[#This Row],[Visitante]]))</f>
        <v>2026-07-11|NWS Spirit|St George Saints</v>
      </c>
      <c r="T898" s="1">
        <f>IF($G898="",0,IF(COUNTIF($S$2:$S898,$S898)=1,1,0))</f>
        <v>1</v>
      </c>
      <c r="U898" s="19" t="str" cm="1">
        <f t="array" ref="U8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8" s="19" t="str" cm="1">
        <f t="array" ref="V8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9" spans="1:22" x14ac:dyDescent="0.3">
      <c r="A899" s="1" t="s">
        <v>2388</v>
      </c>
      <c r="B899" s="5">
        <v>46200</v>
      </c>
      <c r="C899" s="6">
        <v>0.1875</v>
      </c>
      <c r="D899" s="1" t="s">
        <v>7</v>
      </c>
      <c r="E899" s="1" t="s">
        <v>2274</v>
      </c>
      <c r="F899" s="1" t="s">
        <v>2389</v>
      </c>
      <c r="G899" s="39" t="s">
        <v>2253</v>
      </c>
      <c r="H899" s="1">
        <v>2</v>
      </c>
      <c r="I899" s="1">
        <v>0</v>
      </c>
      <c r="J899" s="39" t="s">
        <v>2228</v>
      </c>
      <c r="K899" s="1">
        <v>0</v>
      </c>
      <c r="L899" s="1">
        <v>2</v>
      </c>
      <c r="S899" s="1" t="str">
        <f>IF(tblDados[[#This Row],[Mandante]]="","",TEXT(tblDados[[#This Row],[Data]],"aaaa-mm-dd")&amp;"|"&amp;TRIM(tblDados[[#This Row],[Mandante]])&amp;"|"&amp;TRIM(tblDados[[#This Row],[Visitante]]))</f>
        <v>2026-06-27|NWS Spirit|Wollongong Wolves</v>
      </c>
      <c r="T899" s="1">
        <f>IF($G899="",0,IF(COUNTIF($S$2:$S899,$S899)=1,1,0))</f>
        <v>1</v>
      </c>
      <c r="U899" s="19" t="str" cm="1">
        <f t="array" ref="U8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9" s="19" t="str" cm="1">
        <f t="array" ref="V8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0" spans="1:22" x14ac:dyDescent="0.3">
      <c r="A900" s="1" t="s">
        <v>2390</v>
      </c>
      <c r="B900" s="5">
        <v>46193</v>
      </c>
      <c r="C900" s="6">
        <v>0.26041666666666669</v>
      </c>
      <c r="D900" s="1" t="s">
        <v>7</v>
      </c>
      <c r="E900" s="1" t="s">
        <v>2274</v>
      </c>
      <c r="F900" s="1" t="s">
        <v>2391</v>
      </c>
      <c r="G900" s="39" t="s">
        <v>271</v>
      </c>
      <c r="H900" s="1">
        <v>1</v>
      </c>
      <c r="I900" s="1">
        <v>0</v>
      </c>
      <c r="J900" s="39" t="s">
        <v>2253</v>
      </c>
      <c r="K900" s="1">
        <v>0</v>
      </c>
      <c r="L900" s="1">
        <v>1</v>
      </c>
      <c r="S900" s="1" t="str">
        <f>IF(tblDados[[#This Row],[Mandante]]="","",TEXT(tblDados[[#This Row],[Data]],"aaaa-mm-dd")&amp;"|"&amp;TRIM(tblDados[[#This Row],[Mandante]])&amp;"|"&amp;TRIM(tblDados[[#This Row],[Visitante]]))</f>
        <v>2026-06-20|St George City FA|NWS Spirit</v>
      </c>
      <c r="T900" s="1">
        <f>IF($G900="",0,IF(COUNTIF($S$2:$S900,$S900)=1,1,0))</f>
        <v>1</v>
      </c>
      <c r="U900" s="19" t="str" cm="1">
        <f t="array" ref="U9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0" s="19" t="str" cm="1">
        <f t="array" ref="V9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1" spans="1:22" ht="14.4" x14ac:dyDescent="0.3">
      <c r="A901" s="1" t="s">
        <v>2392</v>
      </c>
      <c r="B901" s="5">
        <v>46186</v>
      </c>
      <c r="C901" s="6">
        <v>0.1875</v>
      </c>
      <c r="D901" s="1" t="s">
        <v>7</v>
      </c>
      <c r="E901" s="1" t="s">
        <v>2274</v>
      </c>
      <c r="F901" s="1" t="s">
        <v>2393</v>
      </c>
      <c r="G901" s="39" t="s">
        <v>2253</v>
      </c>
      <c r="H901" s="1">
        <v>3</v>
      </c>
      <c r="I901" s="1">
        <v>0</v>
      </c>
      <c r="J901" s="39" t="s">
        <v>266</v>
      </c>
      <c r="K901" s="1">
        <v>0</v>
      </c>
      <c r="L901" s="1">
        <v>3</v>
      </c>
      <c r="S901" s="1" t="str">
        <f>IF(tblDados[[#This Row],[Mandante]]="","",TEXT(tblDados[[#This Row],[Data]],"aaaa-mm-dd")&amp;"|"&amp;TRIM(tblDados[[#This Row],[Mandante]])&amp;"|"&amp;TRIM(tblDados[[#This Row],[Visitante]]))</f>
        <v>2026-06-13|NWS Spirit|Sydney Olympic</v>
      </c>
      <c r="T901">
        <f>IF($G901="",0,IF(COUNTIF($S$2:$S2834,$S901)=1,1,0))</f>
        <v>1</v>
      </c>
      <c r="U901" s="19" t="str" cm="1">
        <f t="array" ref="U9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1" s="19" t="str" cm="1">
        <f t="array" ref="V9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2" spans="1:22" x14ac:dyDescent="0.3">
      <c r="A902" s="1" t="s">
        <v>2394</v>
      </c>
      <c r="B902" s="5">
        <v>46222</v>
      </c>
      <c r="C902" s="6">
        <v>8.3333333333333329E-2</v>
      </c>
      <c r="D902" s="1" t="s">
        <v>7</v>
      </c>
      <c r="E902" s="1" t="s">
        <v>2274</v>
      </c>
      <c r="F902" s="1" t="s">
        <v>2395</v>
      </c>
      <c r="G902" s="39" t="s">
        <v>250</v>
      </c>
      <c r="H902" s="1">
        <v>3</v>
      </c>
      <c r="I902" s="1">
        <v>0</v>
      </c>
      <c r="J902" s="39" t="s">
        <v>271</v>
      </c>
      <c r="K902" s="1">
        <v>0</v>
      </c>
      <c r="L902" s="1">
        <v>3</v>
      </c>
      <c r="S902" s="1" t="str">
        <f>IF(tblDados[[#This Row],[Mandante]]="","",TEXT(tblDados[[#This Row],[Data]],"aaaa-mm-dd")&amp;"|"&amp;TRIM(tblDados[[#This Row],[Mandante]])&amp;"|"&amp;TRIM(tblDados[[#This Row],[Visitante]]))</f>
        <v>2026-07-19|Blacktown City|St George City FA</v>
      </c>
      <c r="T902" s="1">
        <f>IF($G902="",0,IF(COUNTIF($S$2:$S902,$S902)=1,1,0))</f>
        <v>1</v>
      </c>
      <c r="U902" s="19" t="str" cm="1">
        <f t="array" ref="U9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2" s="19" t="str" cm="1">
        <f t="array" ref="V9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3" spans="1:22" x14ac:dyDescent="0.3">
      <c r="A903" s="1" t="s">
        <v>2396</v>
      </c>
      <c r="B903" s="5">
        <v>46214</v>
      </c>
      <c r="C903" s="6">
        <v>0.26041666666666669</v>
      </c>
      <c r="D903" s="1" t="s">
        <v>7</v>
      </c>
      <c r="E903" s="1" t="s">
        <v>2274</v>
      </c>
      <c r="F903" s="1" t="s">
        <v>2397</v>
      </c>
      <c r="G903" s="39" t="s">
        <v>271</v>
      </c>
      <c r="H903" s="1">
        <v>0</v>
      </c>
      <c r="I903" s="1">
        <v>2</v>
      </c>
      <c r="J903" s="39" t="s">
        <v>2227</v>
      </c>
      <c r="K903" s="1">
        <v>2</v>
      </c>
      <c r="L903" s="1">
        <v>0</v>
      </c>
      <c r="S903" s="1" t="str">
        <f>IF(tblDados[[#This Row],[Mandante]]="","",TEXT(tblDados[[#This Row],[Data]],"aaaa-mm-dd")&amp;"|"&amp;TRIM(tblDados[[#This Row],[Mandante]])&amp;"|"&amp;TRIM(tblDados[[#This Row],[Visitante]]))</f>
        <v>2026-07-11|St George City FA|UNSW</v>
      </c>
      <c r="T903" s="1">
        <f>IF($G903="",0,IF(COUNTIF($S$2:$S903,$S903)=1,1,0))</f>
        <v>1</v>
      </c>
      <c r="U903" s="19" t="str" cm="1">
        <f t="array" ref="U9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3" s="19" t="str" cm="1">
        <f t="array" ref="V9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4" spans="1:22" x14ac:dyDescent="0.3">
      <c r="A904" s="1" t="s">
        <v>2398</v>
      </c>
      <c r="B904" s="5">
        <v>46208</v>
      </c>
      <c r="C904" s="6">
        <v>8.3333333333333329E-2</v>
      </c>
      <c r="D904" s="1" t="s">
        <v>7</v>
      </c>
      <c r="E904" s="1" t="s">
        <v>2274</v>
      </c>
      <c r="F904" s="1" t="s">
        <v>2399</v>
      </c>
      <c r="G904" s="39" t="s">
        <v>2228</v>
      </c>
      <c r="H904" s="1">
        <v>3</v>
      </c>
      <c r="I904" s="1">
        <v>3</v>
      </c>
      <c r="J904" s="39" t="s">
        <v>271</v>
      </c>
      <c r="K904" s="1">
        <v>3</v>
      </c>
      <c r="L904" s="1">
        <v>3</v>
      </c>
      <c r="S904" s="1" t="str">
        <f>IF(tblDados[[#This Row],[Mandante]]="","",TEXT(tblDados[[#This Row],[Data]],"aaaa-mm-dd")&amp;"|"&amp;TRIM(tblDados[[#This Row],[Mandante]])&amp;"|"&amp;TRIM(tblDados[[#This Row],[Visitante]]))</f>
        <v>2026-07-05|Wollongong Wolves|St George City FA</v>
      </c>
      <c r="T904" s="1">
        <f>IF($G904="",0,IF(COUNTIF($S$2:$S904,$S904)=1,1,0))</f>
        <v>1</v>
      </c>
      <c r="U904" s="19" t="str" cm="1">
        <f t="array" ref="U9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4" s="19" t="str" cm="1">
        <f t="array" ref="V9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5" spans="1:22" x14ac:dyDescent="0.3">
      <c r="A905" s="1" t="s">
        <v>2400</v>
      </c>
      <c r="B905" s="5">
        <v>46179</v>
      </c>
      <c r="C905" s="6">
        <v>0.26041666666666669</v>
      </c>
      <c r="D905" s="1" t="s">
        <v>7</v>
      </c>
      <c r="E905" s="1" t="s">
        <v>2274</v>
      </c>
      <c r="F905" s="1" t="s">
        <v>2401</v>
      </c>
      <c r="G905" s="39" t="s">
        <v>271</v>
      </c>
      <c r="H905" s="1">
        <v>1</v>
      </c>
      <c r="I905" s="1">
        <v>1</v>
      </c>
      <c r="J905" s="39" t="s">
        <v>266</v>
      </c>
      <c r="K905" s="1">
        <v>1</v>
      </c>
      <c r="L905" s="1">
        <v>1</v>
      </c>
      <c r="S905" s="1" t="str">
        <f>IF(tblDados[[#This Row],[Mandante]]="","",TEXT(tblDados[[#This Row],[Data]],"aaaa-mm-dd")&amp;"|"&amp;TRIM(tblDados[[#This Row],[Mandante]])&amp;"|"&amp;TRIM(tblDados[[#This Row],[Visitante]]))</f>
        <v>2026-06-06|St George City FA|Sydney Olympic</v>
      </c>
      <c r="T905" s="1">
        <f>IF($G905="",0,IF(COUNTIF($S$2:$S905,$S905)=1,1,0))</f>
        <v>1</v>
      </c>
      <c r="U905" s="19" t="str" cm="1">
        <f t="array" ref="U9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5" s="19" t="str" cm="1">
        <f t="array" ref="V9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6" spans="1:22" ht="14.4" x14ac:dyDescent="0.3">
      <c r="A906" s="1" t="s">
        <v>2402</v>
      </c>
      <c r="B906" s="5">
        <v>46172</v>
      </c>
      <c r="C906" s="6">
        <v>0.2326388888888889</v>
      </c>
      <c r="D906" s="1" t="s">
        <v>7</v>
      </c>
      <c r="E906" s="1" t="s">
        <v>2274</v>
      </c>
      <c r="F906" s="1" t="s">
        <v>2403</v>
      </c>
      <c r="G906" s="39" t="s">
        <v>2226</v>
      </c>
      <c r="H906" s="1">
        <v>0</v>
      </c>
      <c r="I906" s="1">
        <v>1</v>
      </c>
      <c r="J906" s="39" t="s">
        <v>271</v>
      </c>
      <c r="K906" s="1">
        <v>1</v>
      </c>
      <c r="L906" s="1">
        <v>0</v>
      </c>
      <c r="S906" s="1" t="str">
        <f>IF(tblDados[[#This Row],[Mandante]]="","",TEXT(tblDados[[#This Row],[Data]],"aaaa-mm-dd")&amp;"|"&amp;TRIM(tblDados[[#This Row],[Mandante]])&amp;"|"&amp;TRIM(tblDados[[#This Row],[Visitante]]))</f>
        <v>2026-05-30|St George Saints|St George City FA</v>
      </c>
      <c r="T906">
        <f>IF($G906="",0,IF(COUNTIF($S$2:$S2834,$S906)=1,1,0))</f>
        <v>1</v>
      </c>
      <c r="U906" s="19" t="str" cm="1">
        <f t="array" ref="U9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6" s="19" t="str" cm="1">
        <f t="array" ref="V9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7" spans="1:22" x14ac:dyDescent="0.3">
      <c r="A907" s="1" t="s">
        <v>2404</v>
      </c>
      <c r="B907" s="5">
        <v>46229</v>
      </c>
      <c r="C907" s="6">
        <v>8.3333333333333329E-2</v>
      </c>
      <c r="D907" s="1" t="s">
        <v>7</v>
      </c>
      <c r="E907" s="1" t="s">
        <v>2274</v>
      </c>
      <c r="F907" s="1" t="s">
        <v>2405</v>
      </c>
      <c r="G907" s="39" t="s">
        <v>2228</v>
      </c>
      <c r="H907" s="1">
        <v>0</v>
      </c>
      <c r="I907" s="1">
        <v>2</v>
      </c>
      <c r="J907" s="39" t="s">
        <v>250</v>
      </c>
      <c r="K907" s="1">
        <v>2</v>
      </c>
      <c r="L907" s="1">
        <v>0</v>
      </c>
      <c r="S907" s="1" t="str">
        <f>IF(tblDados[[#This Row],[Mandante]]="","",TEXT(tblDados[[#This Row],[Data]],"aaaa-mm-dd")&amp;"|"&amp;TRIM(tblDados[[#This Row],[Mandante]])&amp;"|"&amp;TRIM(tblDados[[#This Row],[Visitante]]))</f>
        <v>2026-07-26|Wollongong Wolves|Blacktown City</v>
      </c>
      <c r="T907" s="1">
        <f>IF($G907="",0,IF(COUNTIF($S$2:$S907,$S907)=1,1,0))</f>
        <v>1</v>
      </c>
      <c r="U907" s="19" t="str" cm="1">
        <f t="array" ref="U9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7" s="19" t="str" cm="1">
        <f t="array" ref="V9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8" spans="1:22" x14ac:dyDescent="0.3">
      <c r="A908" s="1" t="s">
        <v>2406</v>
      </c>
      <c r="B908" s="5">
        <v>46214</v>
      </c>
      <c r="C908" s="6">
        <v>0.16666666666666666</v>
      </c>
      <c r="D908" s="1" t="s">
        <v>7</v>
      </c>
      <c r="E908" s="1" t="s">
        <v>2274</v>
      </c>
      <c r="F908" s="1" t="s">
        <v>2407</v>
      </c>
      <c r="G908" s="39" t="s">
        <v>266</v>
      </c>
      <c r="H908" s="1">
        <v>3</v>
      </c>
      <c r="I908" s="1">
        <v>2</v>
      </c>
      <c r="J908" s="39" t="s">
        <v>2228</v>
      </c>
      <c r="K908" s="1">
        <v>2</v>
      </c>
      <c r="L908" s="1">
        <v>3</v>
      </c>
      <c r="S908" s="1" t="str">
        <f>IF(tblDados[[#This Row],[Mandante]]="","",TEXT(tblDados[[#This Row],[Data]],"aaaa-mm-dd")&amp;"|"&amp;TRIM(tblDados[[#This Row],[Mandante]])&amp;"|"&amp;TRIM(tblDados[[#This Row],[Visitante]]))</f>
        <v>2026-07-11|Sydney Olympic|Wollongong Wolves</v>
      </c>
      <c r="T908" s="1">
        <f>IF($G908="",0,IF(COUNTIF($S$2:$S908,$S908)=1,1,0))</f>
        <v>1</v>
      </c>
      <c r="U908" s="19" t="str" cm="1">
        <f t="array" ref="U9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8" s="19" t="str" cm="1">
        <f t="array" ref="V9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9" spans="1:22" x14ac:dyDescent="0.3">
      <c r="A909" s="1" t="s">
        <v>2408</v>
      </c>
      <c r="B909" s="5">
        <v>46172</v>
      </c>
      <c r="C909" s="6">
        <v>0.17708333333333334</v>
      </c>
      <c r="D909" s="1" t="s">
        <v>7</v>
      </c>
      <c r="E909" s="1" t="s">
        <v>2274</v>
      </c>
      <c r="F909" s="1" t="s">
        <v>2409</v>
      </c>
      <c r="G909" s="39" t="s">
        <v>2227</v>
      </c>
      <c r="H909" s="1">
        <v>1</v>
      </c>
      <c r="I909" s="1">
        <v>0</v>
      </c>
      <c r="J909" s="39" t="s">
        <v>2228</v>
      </c>
      <c r="K909" s="1">
        <v>0</v>
      </c>
      <c r="L909" s="1">
        <v>1</v>
      </c>
      <c r="S909" s="1" t="str">
        <f>IF(tblDados[[#This Row],[Mandante]]="","",TEXT(tblDados[[#This Row],[Data]],"aaaa-mm-dd")&amp;"|"&amp;TRIM(tblDados[[#This Row],[Mandante]])&amp;"|"&amp;TRIM(tblDados[[#This Row],[Visitante]]))</f>
        <v>2026-05-30|UNSW|Wollongong Wolves</v>
      </c>
      <c r="T909" s="1">
        <f>IF($G909="",0,IF(COUNTIF($S$2:$S909,$S909)=1,1,0))</f>
        <v>1</v>
      </c>
      <c r="U909" s="19" t="str" cm="1">
        <f t="array" ref="U9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9" s="19" t="str" cm="1">
        <f t="array" ref="V9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0" spans="1:22" x14ac:dyDescent="0.3">
      <c r="A910" s="1" t="s">
        <v>2410</v>
      </c>
      <c r="B910" s="5">
        <v>46166</v>
      </c>
      <c r="C910" s="6">
        <v>8.3333333333333329E-2</v>
      </c>
      <c r="D910" s="1" t="s">
        <v>7</v>
      </c>
      <c r="E910" s="1" t="s">
        <v>2274</v>
      </c>
      <c r="F910" s="1" t="s">
        <v>2411</v>
      </c>
      <c r="G910" s="39" t="s">
        <v>2228</v>
      </c>
      <c r="H910" s="1">
        <v>2</v>
      </c>
      <c r="I910" s="1">
        <v>0</v>
      </c>
      <c r="J910" s="39" t="s">
        <v>2226</v>
      </c>
      <c r="K910" s="1">
        <v>0</v>
      </c>
      <c r="L910" s="1">
        <v>2</v>
      </c>
      <c r="S910" s="1" t="str">
        <f>IF(tblDados[[#This Row],[Mandante]]="","",TEXT(tblDados[[#This Row],[Data]],"aaaa-mm-dd")&amp;"|"&amp;TRIM(tblDados[[#This Row],[Mandante]])&amp;"|"&amp;TRIM(tblDados[[#This Row],[Visitante]]))</f>
        <v>2026-05-24|Wollongong Wolves|St George Saints</v>
      </c>
      <c r="T910" s="1">
        <f>IF($G910="",0,IF(COUNTIF($S$2:$S910,$S910)=1,1,0))</f>
        <v>1</v>
      </c>
      <c r="U910" s="19" t="str" cm="1">
        <f t="array" ref="U9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0" s="19" t="str" cm="1">
        <f t="array" ref="V9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1" spans="1:22" ht="14.4" x14ac:dyDescent="0.3">
      <c r="A911" s="1" t="s">
        <v>2412</v>
      </c>
      <c r="B911" s="5">
        <v>46158</v>
      </c>
      <c r="C911" s="6">
        <v>0.16666666666666666</v>
      </c>
      <c r="D911" s="1" t="s">
        <v>7</v>
      </c>
      <c r="E911" s="1" t="s">
        <v>2274</v>
      </c>
      <c r="F911" s="1" t="s">
        <v>2413</v>
      </c>
      <c r="G911" s="39" t="s">
        <v>2222</v>
      </c>
      <c r="H911" s="1">
        <v>0</v>
      </c>
      <c r="I911" s="1">
        <v>1</v>
      </c>
      <c r="J911" s="39" t="s">
        <v>2228</v>
      </c>
      <c r="K911" s="1">
        <v>1</v>
      </c>
      <c r="L911" s="1">
        <v>0</v>
      </c>
      <c r="S911" s="1" t="str">
        <f>IF(tblDados[[#This Row],[Mandante]]="","",TEXT(tblDados[[#This Row],[Data]],"aaaa-mm-dd")&amp;"|"&amp;TRIM(tblDados[[#This Row],[Mandante]])&amp;"|"&amp;TRIM(tblDados[[#This Row],[Visitante]]))</f>
        <v>2026-05-16|Manly United|Wollongong Wolves</v>
      </c>
      <c r="T911">
        <f>IF($G911="",0,IF(COUNTIF($S$2:$S2834,$S911)=1,1,0))</f>
        <v>1</v>
      </c>
      <c r="U911" s="19" t="str" cm="1">
        <f t="array" ref="U9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1" s="19" t="str" cm="1">
        <f t="array" ref="V9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2" spans="1:22" ht="14.4" x14ac:dyDescent="0.3">
      <c r="A912" s="1" t="s">
        <v>2414</v>
      </c>
      <c r="B912" s="5">
        <v>46166</v>
      </c>
      <c r="C912" s="6">
        <v>8.3333333333333329E-2</v>
      </c>
      <c r="D912" s="1" t="s">
        <v>7</v>
      </c>
      <c r="E912" s="1" t="s">
        <v>2274</v>
      </c>
      <c r="F912" s="1" t="s">
        <v>2415</v>
      </c>
      <c r="G912" s="39" t="s">
        <v>250</v>
      </c>
      <c r="H912" s="1">
        <v>0</v>
      </c>
      <c r="I912" s="1">
        <v>2</v>
      </c>
      <c r="J912" s="39" t="s">
        <v>266</v>
      </c>
      <c r="K912" s="1">
        <v>2</v>
      </c>
      <c r="L912" s="1">
        <v>0</v>
      </c>
      <c r="S912" s="1" t="str">
        <f>IF(tblDados[[#This Row],[Mandante]]="","",TEXT(tblDados[[#This Row],[Data]],"aaaa-mm-dd")&amp;"|"&amp;TRIM(tblDados[[#This Row],[Mandante]])&amp;"|"&amp;TRIM(tblDados[[#This Row],[Visitante]]))</f>
        <v>2026-05-24|Blacktown City|Sydney Olympic</v>
      </c>
      <c r="T912">
        <f>IF($G912="",0,IF(COUNTIF($S$2:$S2834,$S912)=1,1,0))</f>
        <v>1</v>
      </c>
      <c r="U912" s="19" t="str" cm="1">
        <f t="array" ref="U9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2" s="19" t="str" cm="1">
        <f t="array" ref="V9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3" spans="1:22" x14ac:dyDescent="0.3">
      <c r="A913" s="1" t="s">
        <v>2416</v>
      </c>
      <c r="B913" s="5">
        <v>46242</v>
      </c>
      <c r="C913" s="6">
        <v>0.10416666666666667</v>
      </c>
      <c r="D913" s="1" t="s">
        <v>7</v>
      </c>
      <c r="E913" s="1" t="s">
        <v>2274</v>
      </c>
      <c r="F913" s="1" t="s">
        <v>2417</v>
      </c>
      <c r="G913" s="39" t="s">
        <v>2227</v>
      </c>
      <c r="H913" s="1">
        <v>1</v>
      </c>
      <c r="I913" s="1">
        <v>3</v>
      </c>
      <c r="J913" s="39" t="s">
        <v>266</v>
      </c>
      <c r="K913" s="1">
        <v>3</v>
      </c>
      <c r="L913" s="1">
        <v>1</v>
      </c>
      <c r="S913" s="1" t="str">
        <f>IF(tblDados[[#This Row],[Mandante]]="","",TEXT(tblDados[[#This Row],[Data]],"aaaa-mm-dd")&amp;"|"&amp;TRIM(tblDados[[#This Row],[Mandante]])&amp;"|"&amp;TRIM(tblDados[[#This Row],[Visitante]]))</f>
        <v>2026-08-08|UNSW|Sydney Olympic</v>
      </c>
      <c r="T913" s="1">
        <f>IF($G913="",0,IF(COUNTIF($S$2:$S913,$S913)=1,1,0))</f>
        <v>1</v>
      </c>
      <c r="U913" s="19" t="str" cm="1">
        <f t="array" ref="U9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3" s="19" t="str" cm="1">
        <f t="array" ref="V9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4" spans="1:22" ht="14.4" x14ac:dyDescent="0.3">
      <c r="A914" s="1" t="s">
        <v>2418</v>
      </c>
      <c r="B914" s="5">
        <v>46186</v>
      </c>
      <c r="C914" s="6">
        <v>8.3333333333333329E-2</v>
      </c>
      <c r="D914" s="1" t="s">
        <v>7</v>
      </c>
      <c r="E914" s="1" t="s">
        <v>2274</v>
      </c>
      <c r="F914" s="1" t="s">
        <v>2419</v>
      </c>
      <c r="G914" s="39" t="s">
        <v>2227</v>
      </c>
      <c r="H914" s="1">
        <v>1</v>
      </c>
      <c r="I914" s="1">
        <v>4</v>
      </c>
      <c r="J914" s="39" t="s">
        <v>2226</v>
      </c>
      <c r="K914" s="1">
        <v>4</v>
      </c>
      <c r="L914" s="1">
        <v>1</v>
      </c>
      <c r="S914" s="1" t="str">
        <f>IF(tblDados[[#This Row],[Mandante]]="","",TEXT(tblDados[[#This Row],[Data]],"aaaa-mm-dd")&amp;"|"&amp;TRIM(tblDados[[#This Row],[Mandante]])&amp;"|"&amp;TRIM(tblDados[[#This Row],[Visitante]]))</f>
        <v>2026-06-13|UNSW|St George Saints</v>
      </c>
      <c r="T914">
        <f>IF($G914="",0,IF(COUNTIF($S$2:$S2834,$S914)=1,1,0))</f>
        <v>1</v>
      </c>
      <c r="U914" s="19" t="str" cm="1">
        <f t="array" ref="U9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4" s="19" t="str" cm="1">
        <f t="array" ref="V9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5" spans="1:22" ht="14.4" x14ac:dyDescent="0.3">
      <c r="A915" s="1" t="s">
        <v>2420</v>
      </c>
      <c r="B915" s="5">
        <v>46200</v>
      </c>
      <c r="C915" s="6">
        <v>0.22916666666666666</v>
      </c>
      <c r="D915" s="1" t="s">
        <v>7</v>
      </c>
      <c r="E915" s="1" t="s">
        <v>2274</v>
      </c>
      <c r="F915" s="1" t="s">
        <v>2421</v>
      </c>
      <c r="G915" s="39" t="s">
        <v>2226</v>
      </c>
      <c r="H915" s="1">
        <v>1</v>
      </c>
      <c r="I915" s="1">
        <v>2</v>
      </c>
      <c r="J915" s="39" t="s">
        <v>266</v>
      </c>
      <c r="K915" s="1">
        <v>2</v>
      </c>
      <c r="L915" s="1">
        <v>1</v>
      </c>
      <c r="S915" s="1" t="str">
        <f>IF(tblDados[[#This Row],[Mandante]]="","",TEXT(tblDados[[#This Row],[Data]],"aaaa-mm-dd")&amp;"|"&amp;TRIM(tblDados[[#This Row],[Mandante]])&amp;"|"&amp;TRIM(tblDados[[#This Row],[Visitante]]))</f>
        <v>2026-06-27|St George Saints|Sydney Olympic</v>
      </c>
      <c r="T915">
        <f>IF($G915="",0,IF(COUNTIF($S$2:$S2834,$S915)=1,1,0))</f>
        <v>1</v>
      </c>
      <c r="U915" s="19" t="str" cm="1">
        <f t="array" ref="U9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5" s="19" t="str" cm="1">
        <f t="array" ref="V9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6" spans="1:22" x14ac:dyDescent="0.3">
      <c r="A916" s="1" t="s">
        <v>2433</v>
      </c>
      <c r="B916" s="5">
        <v>46234</v>
      </c>
      <c r="C916" s="6">
        <v>0.27083333333333331</v>
      </c>
      <c r="D916" s="1" t="s">
        <v>7</v>
      </c>
      <c r="E916" s="1" t="s">
        <v>9</v>
      </c>
      <c r="F916" s="1" t="s">
        <v>2434</v>
      </c>
      <c r="G916" s="39" t="s">
        <v>2423</v>
      </c>
      <c r="H916" s="1">
        <v>0</v>
      </c>
      <c r="I916" s="1">
        <v>0</v>
      </c>
      <c r="J916" s="39" t="s">
        <v>2422</v>
      </c>
      <c r="K916" s="1">
        <v>0</v>
      </c>
      <c r="L916" s="1">
        <v>0</v>
      </c>
      <c r="S916" s="1" t="str">
        <f>IF(tblDados[[#This Row],[Mandante]]="","",TEXT(tblDados[[#This Row],[Data]],"aaaa-mm-dd")&amp;"|"&amp;TRIM(tblDados[[#This Row],[Mandante]])&amp;"|"&amp;TRIM(tblDados[[#This Row],[Visitante]]))</f>
        <v>2026-07-31|Bentleigh Greens|Oakleigh Cannons</v>
      </c>
      <c r="T916" s="1">
        <f>IF($G916="",0,IF(COUNTIF($S$2:$S916,$S916)=1,1,0))</f>
        <v>1</v>
      </c>
      <c r="U916" s="19" t="str" cm="1">
        <f t="array" ref="U9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6" s="19" t="str" cm="1">
        <f t="array" ref="V9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7" spans="1:22" x14ac:dyDescent="0.3">
      <c r="A917" s="1" t="s">
        <v>2435</v>
      </c>
      <c r="B917" s="5">
        <v>46227</v>
      </c>
      <c r="C917" s="6">
        <v>0.30208333333333331</v>
      </c>
      <c r="D917" s="1" t="s">
        <v>7</v>
      </c>
      <c r="E917" s="1" t="s">
        <v>9</v>
      </c>
      <c r="F917" s="1" t="s">
        <v>2436</v>
      </c>
      <c r="G917" s="39" t="s">
        <v>2422</v>
      </c>
      <c r="H917" s="1">
        <v>1</v>
      </c>
      <c r="I917" s="1">
        <v>2</v>
      </c>
      <c r="J917" s="39" t="s">
        <v>254</v>
      </c>
      <c r="K917" s="1">
        <v>2</v>
      </c>
      <c r="L917" s="1">
        <v>1</v>
      </c>
      <c r="S917" s="1" t="str">
        <f>IF(tblDados[[#This Row],[Mandante]]="","",TEXT(tblDados[[#This Row],[Data]],"aaaa-mm-dd")&amp;"|"&amp;TRIM(tblDados[[#This Row],[Mandante]])&amp;"|"&amp;TRIM(tblDados[[#This Row],[Visitante]]))</f>
        <v>2026-07-24|Oakleigh Cannons|South Melbourne</v>
      </c>
      <c r="T917" s="1">
        <f>IF($G917="",0,IF(COUNTIF($S$2:$S917,$S917)=1,1,0))</f>
        <v>1</v>
      </c>
      <c r="U917" s="19" t="str" cm="1">
        <f t="array" ref="U9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7" s="19" t="str" cm="1">
        <f t="array" ref="V9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8" spans="1:22" x14ac:dyDescent="0.3">
      <c r="A918" s="1" t="s">
        <v>2437</v>
      </c>
      <c r="B918" s="5">
        <v>46221</v>
      </c>
      <c r="C918" s="6">
        <v>4.1666666666666664E-2</v>
      </c>
      <c r="D918" s="1" t="s">
        <v>7</v>
      </c>
      <c r="E918" s="1" t="s">
        <v>9</v>
      </c>
      <c r="F918" s="1" t="s">
        <v>2438</v>
      </c>
      <c r="G918" s="39" t="s">
        <v>2424</v>
      </c>
      <c r="H918" s="1">
        <v>0</v>
      </c>
      <c r="I918" s="1">
        <v>1</v>
      </c>
      <c r="J918" s="39" t="s">
        <v>2422</v>
      </c>
      <c r="K918" s="1">
        <v>1</v>
      </c>
      <c r="L918" s="1">
        <v>0</v>
      </c>
      <c r="S918" s="1" t="str">
        <f>IF(tblDados[[#This Row],[Mandante]]="","",TEXT(tblDados[[#This Row],[Data]],"aaaa-mm-dd")&amp;"|"&amp;TRIM(tblDados[[#This Row],[Mandante]])&amp;"|"&amp;TRIM(tblDados[[#This Row],[Visitante]]))</f>
        <v>2026-07-18|Hume City|Oakleigh Cannons</v>
      </c>
      <c r="T918" s="1">
        <f>IF($G918="",0,IF(COUNTIF($S$2:$S918,$S918)=1,1,0))</f>
        <v>1</v>
      </c>
      <c r="U918" s="19" t="str" cm="1">
        <f t="array" ref="U9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8" s="19" t="str" cm="1">
        <f t="array" ref="V9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9" spans="1:22" x14ac:dyDescent="0.3">
      <c r="A919" s="1" t="s">
        <v>2439</v>
      </c>
      <c r="B919" s="5">
        <v>46213</v>
      </c>
      <c r="C919" s="6">
        <v>0.30208333333333331</v>
      </c>
      <c r="D919" s="1" t="s">
        <v>7</v>
      </c>
      <c r="E919" s="1" t="s">
        <v>9</v>
      </c>
      <c r="F919" s="1" t="s">
        <v>2440</v>
      </c>
      <c r="G919" s="39" t="s">
        <v>2422</v>
      </c>
      <c r="H919" s="1">
        <v>2</v>
      </c>
      <c r="I919" s="1">
        <v>0</v>
      </c>
      <c r="J919" s="39" t="s">
        <v>2425</v>
      </c>
      <c r="K919" s="1">
        <v>0</v>
      </c>
      <c r="L919" s="1">
        <v>2</v>
      </c>
      <c r="S919" s="1" t="str">
        <f>IF(tblDados[[#This Row],[Mandante]]="","",TEXT(tblDados[[#This Row],[Data]],"aaaa-mm-dd")&amp;"|"&amp;TRIM(tblDados[[#This Row],[Mandante]])&amp;"|"&amp;TRIM(tblDados[[#This Row],[Visitante]]))</f>
        <v>2026-07-10|Oakleigh Cannons|Avondale FC</v>
      </c>
      <c r="T919" s="1">
        <f>IF($G919="",0,IF(COUNTIF($S$2:$S919,$S919)=1,1,0))</f>
        <v>1</v>
      </c>
      <c r="U919" s="19" t="str" cm="1">
        <f t="array" ref="U9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9" s="19" t="str" cm="1">
        <f t="array" ref="V9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0" spans="1:22" x14ac:dyDescent="0.3">
      <c r="A920" s="1" t="s">
        <v>2441</v>
      </c>
      <c r="B920" s="5">
        <v>46207</v>
      </c>
      <c r="C920" s="6">
        <v>0.20833333333333334</v>
      </c>
      <c r="D920" s="1" t="s">
        <v>7</v>
      </c>
      <c r="E920" s="1" t="s">
        <v>9</v>
      </c>
      <c r="F920" s="1" t="s">
        <v>2442</v>
      </c>
      <c r="G920" s="39" t="s">
        <v>2426</v>
      </c>
      <c r="H920" s="1">
        <v>1</v>
      </c>
      <c r="I920" s="1">
        <v>1</v>
      </c>
      <c r="J920" s="39" t="s">
        <v>2422</v>
      </c>
      <c r="K920" s="1">
        <v>1</v>
      </c>
      <c r="L920" s="1">
        <v>1</v>
      </c>
      <c r="S920" s="1" t="str">
        <f>IF(tblDados[[#This Row],[Mandante]]="","",TEXT(tblDados[[#This Row],[Data]],"aaaa-mm-dd")&amp;"|"&amp;TRIM(tblDados[[#This Row],[Mandante]])&amp;"|"&amp;TRIM(tblDados[[#This Row],[Visitante]]))</f>
        <v>2026-07-04|Caroline Springs George Cross|Oakleigh Cannons</v>
      </c>
      <c r="T920" s="1">
        <f>IF($G920="",0,IF(COUNTIF($S$2:$S920,$S920)=1,1,0))</f>
        <v>1</v>
      </c>
      <c r="U920" s="19" t="str" cm="1">
        <f t="array" ref="U9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0" s="19" t="str" cm="1">
        <f t="array" ref="V9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1" spans="1:22" x14ac:dyDescent="0.3">
      <c r="A921" s="1" t="s">
        <v>2443</v>
      </c>
      <c r="B921" s="5">
        <v>46199</v>
      </c>
      <c r="C921" s="6">
        <v>0.27083333333333331</v>
      </c>
      <c r="D921" s="1" t="s">
        <v>7</v>
      </c>
      <c r="E921" s="1" t="s">
        <v>9</v>
      </c>
      <c r="F921" s="1" t="s">
        <v>2444</v>
      </c>
      <c r="G921" s="39" t="s">
        <v>2427</v>
      </c>
      <c r="H921" s="1">
        <v>0</v>
      </c>
      <c r="I921" s="1">
        <v>1</v>
      </c>
      <c r="J921" s="39" t="s">
        <v>2422</v>
      </c>
      <c r="K921" s="1">
        <v>1</v>
      </c>
      <c r="L921" s="1">
        <v>0</v>
      </c>
      <c r="S921" s="1" t="str">
        <f>IF(tblDados[[#This Row],[Mandante]]="","",TEXT(tblDados[[#This Row],[Data]],"aaaa-mm-dd")&amp;"|"&amp;TRIM(tblDados[[#This Row],[Mandante]])&amp;"|"&amp;TRIM(tblDados[[#This Row],[Visitante]]))</f>
        <v>2026-06-26|Heidelberg United|Oakleigh Cannons</v>
      </c>
      <c r="T921" s="1">
        <f>IF($G921="",0,IF(COUNTIF($S$2:$S921,$S921)=1,1,0))</f>
        <v>1</v>
      </c>
      <c r="U921" s="19" t="str" cm="1">
        <f t="array" ref="U9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1" s="19" t="str" cm="1">
        <f t="array" ref="V9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2" spans="1:22" x14ac:dyDescent="0.3">
      <c r="A922" s="1" t="s">
        <v>2445</v>
      </c>
      <c r="B922" s="5">
        <v>46192</v>
      </c>
      <c r="C922" s="6">
        <v>0.30208333333333331</v>
      </c>
      <c r="D922" s="1" t="s">
        <v>7</v>
      </c>
      <c r="E922" s="1" t="s">
        <v>9</v>
      </c>
      <c r="F922" s="1" t="s">
        <v>2446</v>
      </c>
      <c r="G922" s="39" t="s">
        <v>2422</v>
      </c>
      <c r="H922" s="1">
        <v>3</v>
      </c>
      <c r="I922" s="1">
        <v>1</v>
      </c>
      <c r="J922" s="39" t="s">
        <v>2428</v>
      </c>
      <c r="K922" s="1">
        <v>1</v>
      </c>
      <c r="L922" s="1">
        <v>3</v>
      </c>
      <c r="S922" s="1" t="str">
        <f>IF(tblDados[[#This Row],[Mandante]]="","",TEXT(tblDados[[#This Row],[Data]],"aaaa-mm-dd")&amp;"|"&amp;TRIM(tblDados[[#This Row],[Mandante]])&amp;"|"&amp;TRIM(tblDados[[#This Row],[Visitante]]))</f>
        <v>2026-06-19|Oakleigh Cannons|Melbourne City U21</v>
      </c>
      <c r="T922" s="1">
        <f>IF($G922="",0,IF(COUNTIF($S$2:$S922,$S922)=1,1,0))</f>
        <v>1</v>
      </c>
      <c r="U922" s="19" t="str" cm="1">
        <f t="array" ref="U9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2" s="19" t="str" cm="1">
        <f t="array" ref="V9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3" spans="1:22" x14ac:dyDescent="0.3">
      <c r="A923" s="1" t="s">
        <v>2447</v>
      </c>
      <c r="B923" s="5">
        <v>46178</v>
      </c>
      <c r="C923" s="6">
        <v>0.30208333333333331</v>
      </c>
      <c r="D923" s="1" t="s">
        <v>7</v>
      </c>
      <c r="E923" s="1" t="s">
        <v>9</v>
      </c>
      <c r="F923" s="1" t="s">
        <v>2448</v>
      </c>
      <c r="G923" s="39" t="s">
        <v>2422</v>
      </c>
      <c r="H923" s="1">
        <v>2</v>
      </c>
      <c r="I923" s="1">
        <v>2</v>
      </c>
      <c r="J923" s="39" t="s">
        <v>255</v>
      </c>
      <c r="K923" s="1">
        <v>2</v>
      </c>
      <c r="L923" s="1">
        <v>2</v>
      </c>
      <c r="S923" s="1" t="str">
        <f>IF(tblDados[[#This Row],[Mandante]]="","",TEXT(tblDados[[#This Row],[Data]],"aaaa-mm-dd")&amp;"|"&amp;TRIM(tblDados[[#This Row],[Mandante]])&amp;"|"&amp;TRIM(tblDados[[#This Row],[Visitante]]))</f>
        <v>2026-06-05|Oakleigh Cannons|St Albans Saints</v>
      </c>
      <c r="T923" s="1">
        <f>IF($G923="",0,IF(COUNTIF($S$2:$S923,$S923)=1,1,0))</f>
        <v>1</v>
      </c>
      <c r="U923" s="19" t="str" cm="1">
        <f t="array" ref="U9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3" s="19" t="str" cm="1">
        <f t="array" ref="V9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4" spans="1:22" x14ac:dyDescent="0.3">
      <c r="A924" s="1" t="s">
        <v>2449</v>
      </c>
      <c r="B924" s="5">
        <v>46172</v>
      </c>
      <c r="C924" s="6">
        <v>0.21875</v>
      </c>
      <c r="D924" s="1" t="s">
        <v>7</v>
      </c>
      <c r="E924" s="1" t="s">
        <v>9</v>
      </c>
      <c r="F924" s="1" t="s">
        <v>2450</v>
      </c>
      <c r="G924" s="39" t="s">
        <v>2429</v>
      </c>
      <c r="H924" s="1">
        <v>0</v>
      </c>
      <c r="I924" s="1">
        <v>2</v>
      </c>
      <c r="J924" s="39" t="s">
        <v>2422</v>
      </c>
      <c r="K924" s="1">
        <v>2</v>
      </c>
      <c r="L924" s="1">
        <v>0</v>
      </c>
      <c r="S924" s="1" t="str">
        <f>IF(tblDados[[#This Row],[Mandante]]="","",TEXT(tblDados[[#This Row],[Data]],"aaaa-mm-dd")&amp;"|"&amp;TRIM(tblDados[[#This Row],[Mandante]])&amp;"|"&amp;TRIM(tblDados[[#This Row],[Visitante]]))</f>
        <v>2026-05-30|Altona Magic|Oakleigh Cannons</v>
      </c>
      <c r="T924" s="1">
        <f>IF($G924="",0,IF(COUNTIF($S$2:$S924,$S924)=1,1,0))</f>
        <v>1</v>
      </c>
      <c r="U924" s="19" t="str" cm="1">
        <f t="array" ref="U9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4" s="19" t="str" cm="1">
        <f t="array" ref="V9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5" spans="1:22" x14ac:dyDescent="0.3">
      <c r="A925" s="1" t="s">
        <v>2451</v>
      </c>
      <c r="B925" s="5">
        <v>46166</v>
      </c>
      <c r="C925" s="6">
        <v>8.3333333333333329E-2</v>
      </c>
      <c r="D925" s="1" t="s">
        <v>7</v>
      </c>
      <c r="E925" s="1" t="s">
        <v>9</v>
      </c>
      <c r="F925" s="1" t="s">
        <v>2452</v>
      </c>
      <c r="G925" s="39" t="s">
        <v>2430</v>
      </c>
      <c r="H925" s="1">
        <v>0</v>
      </c>
      <c r="I925" s="1">
        <v>1</v>
      </c>
      <c r="J925" s="39" t="s">
        <v>2422</v>
      </c>
      <c r="K925" s="1">
        <v>1</v>
      </c>
      <c r="L925" s="1">
        <v>0</v>
      </c>
      <c r="S925" s="1" t="str">
        <f>IF(tblDados[[#This Row],[Mandante]]="","",TEXT(tblDados[[#This Row],[Data]],"aaaa-mm-dd")&amp;"|"&amp;TRIM(tblDados[[#This Row],[Mandante]])&amp;"|"&amp;TRIM(tblDados[[#This Row],[Visitante]]))</f>
        <v>2026-05-24|Preston Lions|Oakleigh Cannons</v>
      </c>
      <c r="T925" s="1">
        <f>IF($G925="",0,IF(COUNTIF($S$2:$S925,$S925)=1,1,0))</f>
        <v>1</v>
      </c>
      <c r="U925" s="19" t="str" cm="1">
        <f t="array" ref="U9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5" s="19" t="str" cm="1">
        <f t="array" ref="V9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6" spans="1:22" x14ac:dyDescent="0.3">
      <c r="A926" s="1" t="s">
        <v>2453</v>
      </c>
      <c r="B926" s="5">
        <v>46157</v>
      </c>
      <c r="C926" s="6">
        <v>0.28125</v>
      </c>
      <c r="D926" s="1" t="s">
        <v>7</v>
      </c>
      <c r="E926" s="1" t="s">
        <v>9</v>
      </c>
      <c r="F926" s="1" t="s">
        <v>2454</v>
      </c>
      <c r="G926" s="39" t="s">
        <v>2431</v>
      </c>
      <c r="H926" s="1">
        <v>1</v>
      </c>
      <c r="I926" s="1">
        <v>1</v>
      </c>
      <c r="J926" s="39" t="s">
        <v>2422</v>
      </c>
      <c r="K926" s="1">
        <v>1</v>
      </c>
      <c r="L926" s="1">
        <v>1</v>
      </c>
      <c r="S926" s="1" t="str">
        <f>IF(tblDados[[#This Row],[Mandante]]="","",TEXT(tblDados[[#This Row],[Data]],"aaaa-mm-dd")&amp;"|"&amp;TRIM(tblDados[[#This Row],[Mandante]])&amp;"|"&amp;TRIM(tblDados[[#This Row],[Visitante]]))</f>
        <v>2026-05-15|Dandenong City|Oakleigh Cannons</v>
      </c>
      <c r="T926" s="1">
        <f>IF($G926="",0,IF(COUNTIF($S$2:$S926,$S926)=1,1,0))</f>
        <v>1</v>
      </c>
      <c r="U926" s="19" t="str" cm="1">
        <f t="array" ref="U9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6" s="19" t="str" cm="1">
        <f t="array" ref="V9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7" spans="1:22" ht="14.4" x14ac:dyDescent="0.3">
      <c r="A927" s="1" t="s">
        <v>2455</v>
      </c>
      <c r="B927" s="5">
        <v>46150</v>
      </c>
      <c r="C927" s="6">
        <v>0.30208333333333331</v>
      </c>
      <c r="D927" s="1" t="s">
        <v>7</v>
      </c>
      <c r="E927" s="1" t="s">
        <v>9</v>
      </c>
      <c r="F927" s="1" t="s">
        <v>2456</v>
      </c>
      <c r="G927" s="39" t="s">
        <v>2422</v>
      </c>
      <c r="H927" s="1">
        <v>2</v>
      </c>
      <c r="I927" s="1">
        <v>0</v>
      </c>
      <c r="J927" s="39" t="s">
        <v>2432</v>
      </c>
      <c r="K927" s="1">
        <v>0</v>
      </c>
      <c r="L927" s="1">
        <v>2</v>
      </c>
      <c r="S927" s="1" t="str">
        <f>IF(tblDados[[#This Row],[Mandante]]="","",TEXT(tblDados[[#This Row],[Data]],"aaaa-mm-dd")&amp;"|"&amp;TRIM(tblDados[[#This Row],[Mandante]])&amp;"|"&amp;TRIM(tblDados[[#This Row],[Visitante]]))</f>
        <v>2026-05-08|Oakleigh Cannons|Dandenong Thunder</v>
      </c>
      <c r="T927">
        <f>IF($G927="",0,IF(COUNTIF($S$2:$S2834,$S927)=1,1,0))</f>
        <v>1</v>
      </c>
      <c r="U927" s="19" t="str" cm="1">
        <f t="array" ref="U9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7" s="19" t="str" cm="1">
        <f t="array" ref="V9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8" spans="1:22" x14ac:dyDescent="0.3">
      <c r="A928" s="1" t="s">
        <v>2458</v>
      </c>
      <c r="B928" s="5">
        <v>46235</v>
      </c>
      <c r="C928" s="6">
        <v>4.1666666666666664E-2</v>
      </c>
      <c r="D928" s="1" t="s">
        <v>7</v>
      </c>
      <c r="E928" s="1" t="s">
        <v>9</v>
      </c>
      <c r="F928" s="1" t="s">
        <v>2459</v>
      </c>
      <c r="G928" s="39" t="s">
        <v>2424</v>
      </c>
      <c r="H928" s="1">
        <v>1</v>
      </c>
      <c r="I928" s="1">
        <v>0</v>
      </c>
      <c r="J928" s="39" t="s">
        <v>2428</v>
      </c>
      <c r="K928" s="1">
        <v>0</v>
      </c>
      <c r="L928" s="1">
        <v>1</v>
      </c>
      <c r="S928" s="1" t="str">
        <f>IF(tblDados[[#This Row],[Mandante]]="","",TEXT(tblDados[[#This Row],[Data]],"aaaa-mm-dd")&amp;"|"&amp;TRIM(tblDados[[#This Row],[Mandante]])&amp;"|"&amp;TRIM(tblDados[[#This Row],[Visitante]]))</f>
        <v>2026-08-01|Hume City|Melbourne City U21</v>
      </c>
      <c r="T928" s="1">
        <f>IF($G928="",0,IF(COUNTIF($S$2:$S928,$S928)=1,1,0))</f>
        <v>1</v>
      </c>
      <c r="U928" s="19" t="str" cm="1">
        <f t="array" ref="U9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8" s="19" t="str" cm="1">
        <f t="array" ref="V9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9" spans="1:22" x14ac:dyDescent="0.3">
      <c r="A929" s="1" t="s">
        <v>2460</v>
      </c>
      <c r="B929" s="5">
        <v>46227</v>
      </c>
      <c r="C929" s="6">
        <v>0.27083333333333331</v>
      </c>
      <c r="D929" s="1" t="s">
        <v>7</v>
      </c>
      <c r="E929" s="1" t="s">
        <v>9</v>
      </c>
      <c r="F929" s="1" t="s">
        <v>2461</v>
      </c>
      <c r="G929" s="39" t="s">
        <v>255</v>
      </c>
      <c r="H929" s="1">
        <v>3</v>
      </c>
      <c r="I929" s="1">
        <v>2</v>
      </c>
      <c r="J929" s="39" t="s">
        <v>2424</v>
      </c>
      <c r="K929" s="1">
        <v>2</v>
      </c>
      <c r="L929" s="1">
        <v>3</v>
      </c>
      <c r="S929" s="1" t="str">
        <f>IF(tblDados[[#This Row],[Mandante]]="","",TEXT(tblDados[[#This Row],[Data]],"aaaa-mm-dd")&amp;"|"&amp;TRIM(tblDados[[#This Row],[Mandante]])&amp;"|"&amp;TRIM(tblDados[[#This Row],[Visitante]]))</f>
        <v>2026-07-24|St Albans Saints|Hume City</v>
      </c>
      <c r="T929" s="1">
        <f>IF($G929="",0,IF(COUNTIF($S$2:$S929,$S929)=1,1,0))</f>
        <v>1</v>
      </c>
      <c r="U929" s="19" t="str" cm="1">
        <f t="array" ref="U9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9" s="19" t="str" cm="1">
        <f t="array" ref="V9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0" spans="1:22" x14ac:dyDescent="0.3">
      <c r="A930" s="1" t="s">
        <v>2462</v>
      </c>
      <c r="B930" s="5">
        <v>46213</v>
      </c>
      <c r="C930" s="6">
        <v>0.3125</v>
      </c>
      <c r="D930" s="1" t="s">
        <v>7</v>
      </c>
      <c r="E930" s="1" t="s">
        <v>9</v>
      </c>
      <c r="F930" s="1" t="s">
        <v>2463</v>
      </c>
      <c r="G930" s="39" t="s">
        <v>2430</v>
      </c>
      <c r="H930" s="1">
        <v>2</v>
      </c>
      <c r="I930" s="1">
        <v>1</v>
      </c>
      <c r="J930" s="39" t="s">
        <v>2424</v>
      </c>
      <c r="K930" s="1">
        <v>1</v>
      </c>
      <c r="L930" s="1">
        <v>2</v>
      </c>
      <c r="S930" s="1" t="str">
        <f>IF(tblDados[[#This Row],[Mandante]]="","",TEXT(tblDados[[#This Row],[Data]],"aaaa-mm-dd")&amp;"|"&amp;TRIM(tblDados[[#This Row],[Mandante]])&amp;"|"&amp;TRIM(tblDados[[#This Row],[Visitante]]))</f>
        <v>2026-07-10|Preston Lions|Hume City</v>
      </c>
      <c r="T930" s="1">
        <f>IF($G930="",0,IF(COUNTIF($S$2:$S930,$S930)=1,1,0))</f>
        <v>1</v>
      </c>
      <c r="U930" s="19" t="str" cm="1">
        <f t="array" ref="U9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0" s="19" t="str" cm="1">
        <f t="array" ref="V9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1" spans="1:22" x14ac:dyDescent="0.3">
      <c r="A931" s="1" t="s">
        <v>2464</v>
      </c>
      <c r="B931" s="5">
        <v>46207</v>
      </c>
      <c r="C931" s="6">
        <v>4.1666666666666664E-2</v>
      </c>
      <c r="D931" s="1" t="s">
        <v>7</v>
      </c>
      <c r="E931" s="1" t="s">
        <v>9</v>
      </c>
      <c r="F931" s="1" t="s">
        <v>2465</v>
      </c>
      <c r="G931" s="39" t="s">
        <v>2424</v>
      </c>
      <c r="H931" s="1">
        <v>0</v>
      </c>
      <c r="I931" s="1">
        <v>0</v>
      </c>
      <c r="J931" s="39" t="s">
        <v>2431</v>
      </c>
      <c r="K931" s="1">
        <v>0</v>
      </c>
      <c r="L931" s="1">
        <v>0</v>
      </c>
      <c r="S931" s="1" t="str">
        <f>IF(tblDados[[#This Row],[Mandante]]="","",TEXT(tblDados[[#This Row],[Data]],"aaaa-mm-dd")&amp;"|"&amp;TRIM(tblDados[[#This Row],[Mandante]])&amp;"|"&amp;TRIM(tblDados[[#This Row],[Visitante]]))</f>
        <v>2026-07-04|Hume City|Dandenong City</v>
      </c>
      <c r="T931" s="1">
        <f>IF($G931="",0,IF(COUNTIF($S$2:$S931,$S931)=1,1,0))</f>
        <v>1</v>
      </c>
      <c r="U931" s="19" t="str" cm="1">
        <f t="array" ref="U9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1" s="19" t="str" cm="1">
        <f t="array" ref="V9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2" spans="1:22" x14ac:dyDescent="0.3">
      <c r="A932" s="1" t="s">
        <v>2466</v>
      </c>
      <c r="B932" s="5">
        <v>46200</v>
      </c>
      <c r="C932" s="6">
        <v>0.16666666666666666</v>
      </c>
      <c r="D932" s="1" t="s">
        <v>7</v>
      </c>
      <c r="E932" s="1" t="s">
        <v>9</v>
      </c>
      <c r="F932" s="1" t="s">
        <v>2467</v>
      </c>
      <c r="G932" s="39" t="s">
        <v>2432</v>
      </c>
      <c r="H932" s="1">
        <v>1</v>
      </c>
      <c r="I932" s="1">
        <v>3</v>
      </c>
      <c r="J932" s="39" t="s">
        <v>2424</v>
      </c>
      <c r="K932" s="1">
        <v>3</v>
      </c>
      <c r="L932" s="1">
        <v>1</v>
      </c>
      <c r="S932" s="1" t="str">
        <f>IF(tblDados[[#This Row],[Mandante]]="","",TEXT(tblDados[[#This Row],[Data]],"aaaa-mm-dd")&amp;"|"&amp;TRIM(tblDados[[#This Row],[Mandante]])&amp;"|"&amp;TRIM(tblDados[[#This Row],[Visitante]]))</f>
        <v>2026-06-27|Dandenong Thunder|Hume City</v>
      </c>
      <c r="T932" s="1">
        <f>IF($G932="",0,IF(COUNTIF($S$2:$S932,$S932)=1,1,0))</f>
        <v>1</v>
      </c>
      <c r="U932" s="19" t="str" cm="1">
        <f t="array" ref="U9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2" s="19" t="str" cm="1">
        <f t="array" ref="V9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3" spans="1:22" x14ac:dyDescent="0.3">
      <c r="A933" s="1" t="s">
        <v>2468</v>
      </c>
      <c r="B933" s="5">
        <v>46193</v>
      </c>
      <c r="C933" s="6">
        <v>4.1666666666666664E-2</v>
      </c>
      <c r="D933" s="1" t="s">
        <v>7</v>
      </c>
      <c r="E933" s="1" t="s">
        <v>9</v>
      </c>
      <c r="F933" s="1" t="s">
        <v>2469</v>
      </c>
      <c r="G933" s="39" t="s">
        <v>2424</v>
      </c>
      <c r="H933" s="1">
        <v>3</v>
      </c>
      <c r="I933" s="1">
        <v>2</v>
      </c>
      <c r="J933" s="39" t="s">
        <v>2457</v>
      </c>
      <c r="K933" s="1">
        <v>2</v>
      </c>
      <c r="L933" s="1">
        <v>3</v>
      </c>
      <c r="S933" s="1" t="str">
        <f>IF(tblDados[[#This Row],[Mandante]]="","",TEXT(tblDados[[#This Row],[Data]],"aaaa-mm-dd")&amp;"|"&amp;TRIM(tblDados[[#This Row],[Mandante]])&amp;"|"&amp;TRIM(tblDados[[#This Row],[Visitante]]))</f>
        <v>2026-06-20|Hume City|Green Gully</v>
      </c>
      <c r="T933" s="1">
        <f>IF($G933="",0,IF(COUNTIF($S$2:$S933,$S933)=1,1,0))</f>
        <v>1</v>
      </c>
      <c r="U933" s="19" t="str" cm="1">
        <f t="array" ref="U9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3" s="19" t="str" cm="1">
        <f t="array" ref="V9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4" spans="1:22" x14ac:dyDescent="0.3">
      <c r="A934" s="1" t="s">
        <v>2470</v>
      </c>
      <c r="B934" s="5">
        <v>46178</v>
      </c>
      <c r="C934" s="6">
        <v>0.3125</v>
      </c>
      <c r="D934" s="1" t="s">
        <v>7</v>
      </c>
      <c r="E934" s="1" t="s">
        <v>9</v>
      </c>
      <c r="F934" s="1" t="s">
        <v>2471</v>
      </c>
      <c r="G934" s="39" t="s">
        <v>2423</v>
      </c>
      <c r="H934" s="1">
        <v>1</v>
      </c>
      <c r="I934" s="1">
        <v>5</v>
      </c>
      <c r="J934" s="39" t="s">
        <v>2424</v>
      </c>
      <c r="K934" s="1">
        <v>5</v>
      </c>
      <c r="L934" s="1">
        <v>1</v>
      </c>
      <c r="S934" s="1" t="str">
        <f>IF(tblDados[[#This Row],[Mandante]]="","",TEXT(tblDados[[#This Row],[Data]],"aaaa-mm-dd")&amp;"|"&amp;TRIM(tblDados[[#This Row],[Mandante]])&amp;"|"&amp;TRIM(tblDados[[#This Row],[Visitante]]))</f>
        <v>2026-06-05|Bentleigh Greens|Hume City</v>
      </c>
      <c r="T934" s="1">
        <f>IF($G934="",0,IF(COUNTIF($S$2:$S934,$S934)=1,1,0))</f>
        <v>1</v>
      </c>
      <c r="U934" s="19" t="str" cm="1">
        <f t="array" ref="U9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4" s="19" t="str" cm="1">
        <f t="array" ref="V9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5" spans="1:22" x14ac:dyDescent="0.3">
      <c r="A935" s="1" t="s">
        <v>2472</v>
      </c>
      <c r="B935" s="5">
        <v>46172</v>
      </c>
      <c r="C935" s="6">
        <v>4.1666666666666664E-2</v>
      </c>
      <c r="D935" s="1" t="s">
        <v>7</v>
      </c>
      <c r="E935" s="1" t="s">
        <v>9</v>
      </c>
      <c r="F935" s="1" t="s">
        <v>2473</v>
      </c>
      <c r="G935" s="39" t="s">
        <v>2424</v>
      </c>
      <c r="H935" s="1">
        <v>1</v>
      </c>
      <c r="I935" s="1">
        <v>1</v>
      </c>
      <c r="J935" s="39" t="s">
        <v>254</v>
      </c>
      <c r="K935" s="1">
        <v>1</v>
      </c>
      <c r="L935" s="1">
        <v>1</v>
      </c>
      <c r="S935" s="1" t="str">
        <f>IF(tblDados[[#This Row],[Mandante]]="","",TEXT(tblDados[[#This Row],[Data]],"aaaa-mm-dd")&amp;"|"&amp;TRIM(tblDados[[#This Row],[Mandante]])&amp;"|"&amp;TRIM(tblDados[[#This Row],[Visitante]]))</f>
        <v>2026-05-30|Hume City|South Melbourne</v>
      </c>
      <c r="T935" s="1">
        <f>IF($G935="",0,IF(COUNTIF($S$2:$S935,$S935)=1,1,0))</f>
        <v>1</v>
      </c>
      <c r="U935" s="19" t="str" cm="1">
        <f t="array" ref="U9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5" s="19" t="str" cm="1">
        <f t="array" ref="V9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6" spans="1:22" x14ac:dyDescent="0.3">
      <c r="A936" s="1" t="s">
        <v>2474</v>
      </c>
      <c r="B936" s="5">
        <v>46165</v>
      </c>
      <c r="C936" s="6">
        <v>0.21875</v>
      </c>
      <c r="D936" s="1" t="s">
        <v>7</v>
      </c>
      <c r="E936" s="1" t="s">
        <v>9</v>
      </c>
      <c r="F936" s="1" t="s">
        <v>2475</v>
      </c>
      <c r="G936" s="39" t="s">
        <v>2429</v>
      </c>
      <c r="H936" s="1">
        <v>1</v>
      </c>
      <c r="I936" s="1">
        <v>3</v>
      </c>
      <c r="J936" s="39" t="s">
        <v>2424</v>
      </c>
      <c r="K936" s="1">
        <v>3</v>
      </c>
      <c r="L936" s="1">
        <v>1</v>
      </c>
      <c r="S936" s="1" t="str">
        <f>IF(tblDados[[#This Row],[Mandante]]="","",TEXT(tblDados[[#This Row],[Data]],"aaaa-mm-dd")&amp;"|"&amp;TRIM(tblDados[[#This Row],[Mandante]])&amp;"|"&amp;TRIM(tblDados[[#This Row],[Visitante]]))</f>
        <v>2026-05-23|Altona Magic|Hume City</v>
      </c>
      <c r="T936" s="1">
        <f>IF($G936="",0,IF(COUNTIF($S$2:$S936,$S936)=1,1,0))</f>
        <v>1</v>
      </c>
      <c r="U936" s="19" t="str" cm="1">
        <f t="array" ref="U9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6" s="19" t="str" cm="1">
        <f t="array" ref="V9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7" spans="1:22" x14ac:dyDescent="0.3">
      <c r="A937" s="1" t="s">
        <v>2476</v>
      </c>
      <c r="B937" s="5">
        <v>46151</v>
      </c>
      <c r="C937" s="6">
        <v>0.20833333333333334</v>
      </c>
      <c r="D937" s="1" t="s">
        <v>7</v>
      </c>
      <c r="E937" s="1" t="s">
        <v>9</v>
      </c>
      <c r="F937" s="1" t="s">
        <v>2477</v>
      </c>
      <c r="G937" s="39" t="s">
        <v>2426</v>
      </c>
      <c r="H937" s="1">
        <v>2</v>
      </c>
      <c r="I937" s="1">
        <v>4</v>
      </c>
      <c r="J937" s="39" t="s">
        <v>2424</v>
      </c>
      <c r="K937" s="1">
        <v>4</v>
      </c>
      <c r="L937" s="1">
        <v>2</v>
      </c>
      <c r="S937" s="1" t="str">
        <f>IF(tblDados[[#This Row],[Mandante]]="","",TEXT(tblDados[[#This Row],[Data]],"aaaa-mm-dd")&amp;"|"&amp;TRIM(tblDados[[#This Row],[Mandante]])&amp;"|"&amp;TRIM(tblDados[[#This Row],[Visitante]]))</f>
        <v>2026-05-09|Caroline Springs George Cross|Hume City</v>
      </c>
      <c r="T937" s="1">
        <f>IF($G937="",0,IF(COUNTIF($S$2:$S937,$S937)=1,1,0))</f>
        <v>1</v>
      </c>
      <c r="U937" s="19" t="str" cm="1">
        <f t="array" ref="U9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7" s="19" t="str" cm="1">
        <f t="array" ref="V9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8" spans="1:22" ht="14.4" x14ac:dyDescent="0.3">
      <c r="A938" s="1" t="s">
        <v>2478</v>
      </c>
      <c r="B938" s="5">
        <v>46144</v>
      </c>
      <c r="C938" s="6">
        <v>4.1666666666666664E-2</v>
      </c>
      <c r="D938" s="1" t="s">
        <v>7</v>
      </c>
      <c r="E938" s="1" t="s">
        <v>9</v>
      </c>
      <c r="F938" s="1" t="s">
        <v>2479</v>
      </c>
      <c r="G938" s="39" t="s">
        <v>2424</v>
      </c>
      <c r="H938" s="1">
        <v>2</v>
      </c>
      <c r="I938" s="1">
        <v>1</v>
      </c>
      <c r="J938" s="39" t="s">
        <v>2427</v>
      </c>
      <c r="K938" s="1">
        <v>1</v>
      </c>
      <c r="L938" s="1">
        <v>2</v>
      </c>
      <c r="S938" s="1" t="str">
        <f>IF(tblDados[[#This Row],[Mandante]]="","",TEXT(tblDados[[#This Row],[Data]],"aaaa-mm-dd")&amp;"|"&amp;TRIM(tblDados[[#This Row],[Mandante]])&amp;"|"&amp;TRIM(tblDados[[#This Row],[Visitante]]))</f>
        <v>2026-05-02|Hume City|Heidelberg United</v>
      </c>
      <c r="T938">
        <f>IF($G938="",0,IF(COUNTIF($S$2:$S2834,$S938)=1,1,0))</f>
        <v>1</v>
      </c>
      <c r="U938" s="19" t="str" cm="1">
        <f t="array" ref="U9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8" s="19" t="str" cm="1">
        <f t="array" ref="V9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9" spans="1:22" x14ac:dyDescent="0.3">
      <c r="A939" s="1" t="s">
        <v>2480</v>
      </c>
      <c r="B939" s="5">
        <v>46235</v>
      </c>
      <c r="C939" s="6">
        <v>6.25E-2</v>
      </c>
      <c r="D939" s="1" t="s">
        <v>7</v>
      </c>
      <c r="E939" s="1" t="s">
        <v>9</v>
      </c>
      <c r="F939" s="1" t="s">
        <v>2481</v>
      </c>
      <c r="G939" s="39" t="s">
        <v>2425</v>
      </c>
      <c r="H939" s="1">
        <v>2</v>
      </c>
      <c r="I939" s="1">
        <v>1</v>
      </c>
      <c r="J939" s="39" t="s">
        <v>2427</v>
      </c>
      <c r="K939" s="1">
        <v>1</v>
      </c>
      <c r="L939" s="1">
        <v>2</v>
      </c>
      <c r="S939" s="1" t="str">
        <f>IF(tblDados[[#This Row],[Mandante]]="","",TEXT(tblDados[[#This Row],[Data]],"aaaa-mm-dd")&amp;"|"&amp;TRIM(tblDados[[#This Row],[Mandante]])&amp;"|"&amp;TRIM(tblDados[[#This Row],[Visitante]]))</f>
        <v>2026-08-01|Avondale FC|Heidelberg United</v>
      </c>
      <c r="T939" s="1">
        <f>IF($G939="",0,IF(COUNTIF($S$2:$S939,$S939)=1,1,0))</f>
        <v>1</v>
      </c>
      <c r="U939" s="19" t="str" cm="1">
        <f t="array" ref="U9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9" s="19" t="str" cm="1">
        <f t="array" ref="V9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0" spans="1:22" x14ac:dyDescent="0.3">
      <c r="A940" s="1" t="s">
        <v>2482</v>
      </c>
      <c r="B940" s="5">
        <v>46228</v>
      </c>
      <c r="C940" s="6">
        <v>8.3333333333333329E-2</v>
      </c>
      <c r="D940" s="1" t="s">
        <v>7</v>
      </c>
      <c r="E940" s="1" t="s">
        <v>9</v>
      </c>
      <c r="F940" s="1" t="s">
        <v>2483</v>
      </c>
      <c r="G940" s="39" t="s">
        <v>2428</v>
      </c>
      <c r="H940" s="1">
        <v>2</v>
      </c>
      <c r="I940" s="1">
        <v>3</v>
      </c>
      <c r="J940" s="39" t="s">
        <v>2425</v>
      </c>
      <c r="K940" s="1">
        <v>3</v>
      </c>
      <c r="L940" s="1">
        <v>2</v>
      </c>
      <c r="S940" s="1" t="str">
        <f>IF(tblDados[[#This Row],[Mandante]]="","",TEXT(tblDados[[#This Row],[Data]],"aaaa-mm-dd")&amp;"|"&amp;TRIM(tblDados[[#This Row],[Mandante]])&amp;"|"&amp;TRIM(tblDados[[#This Row],[Visitante]]))</f>
        <v>2026-07-25|Melbourne City U21|Avondale FC</v>
      </c>
      <c r="T940" s="1">
        <f>IF($G940="",0,IF(COUNTIF($S$2:$S940,$S940)=1,1,0))</f>
        <v>1</v>
      </c>
      <c r="U940" s="19" t="str" cm="1">
        <f t="array" ref="U9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0" s="19" t="str" cm="1">
        <f t="array" ref="V9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1" spans="1:22" x14ac:dyDescent="0.3">
      <c r="A941" s="1" t="s">
        <v>2484</v>
      </c>
      <c r="B941" s="5">
        <v>46221</v>
      </c>
      <c r="C941" s="6">
        <v>8.3333333333333329E-2</v>
      </c>
      <c r="D941" s="1" t="s">
        <v>7</v>
      </c>
      <c r="E941" s="1" t="s">
        <v>9</v>
      </c>
      <c r="F941" s="1" t="s">
        <v>2485</v>
      </c>
      <c r="G941" s="39" t="s">
        <v>2425</v>
      </c>
      <c r="H941" s="1">
        <v>1</v>
      </c>
      <c r="I941" s="1">
        <v>1</v>
      </c>
      <c r="J941" s="39" t="s">
        <v>255</v>
      </c>
      <c r="K941" s="1">
        <v>1</v>
      </c>
      <c r="L941" s="1">
        <v>1</v>
      </c>
      <c r="S941" s="1" t="str">
        <f>IF(tblDados[[#This Row],[Mandante]]="","",TEXT(tblDados[[#This Row],[Data]],"aaaa-mm-dd")&amp;"|"&amp;TRIM(tblDados[[#This Row],[Mandante]])&amp;"|"&amp;TRIM(tblDados[[#This Row],[Visitante]]))</f>
        <v>2026-07-18|Avondale FC|St Albans Saints</v>
      </c>
      <c r="T941" s="1">
        <f>IF($G941="",0,IF(COUNTIF($S$2:$S941,$S941)=1,1,0))</f>
        <v>1</v>
      </c>
      <c r="U941" s="19" t="str" cm="1">
        <f t="array" ref="U9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1" s="19" t="str" cm="1">
        <f t="array" ref="V9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2" spans="1:22" x14ac:dyDescent="0.3">
      <c r="A942" s="1" t="s">
        <v>2486</v>
      </c>
      <c r="B942" s="5">
        <v>46207</v>
      </c>
      <c r="C942" s="6">
        <v>8.3333333333333329E-2</v>
      </c>
      <c r="D942" s="1" t="s">
        <v>7</v>
      </c>
      <c r="E942" s="1" t="s">
        <v>9</v>
      </c>
      <c r="F942" s="1" t="s">
        <v>2487</v>
      </c>
      <c r="G942" s="39" t="s">
        <v>2425</v>
      </c>
      <c r="H942" s="1">
        <v>2</v>
      </c>
      <c r="I942" s="1">
        <v>3</v>
      </c>
      <c r="J942" s="39" t="s">
        <v>2430</v>
      </c>
      <c r="K942" s="1">
        <v>3</v>
      </c>
      <c r="L942" s="1">
        <v>2</v>
      </c>
      <c r="S942" s="1" t="str">
        <f>IF(tblDados[[#This Row],[Mandante]]="","",TEXT(tblDados[[#This Row],[Data]],"aaaa-mm-dd")&amp;"|"&amp;TRIM(tblDados[[#This Row],[Mandante]])&amp;"|"&amp;TRIM(tblDados[[#This Row],[Visitante]]))</f>
        <v>2026-07-04|Avondale FC|Preston Lions</v>
      </c>
      <c r="T942" s="1">
        <f>IF($G942="",0,IF(COUNTIF($S$2:$S942,$S942)=1,1,0))</f>
        <v>1</v>
      </c>
      <c r="U942" s="19" t="str" cm="1">
        <f t="array" ref="U9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2" s="19" t="str" cm="1">
        <f t="array" ref="V9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3" spans="1:22" x14ac:dyDescent="0.3">
      <c r="A943" s="1" t="s">
        <v>2488</v>
      </c>
      <c r="B943" s="5">
        <v>46199</v>
      </c>
      <c r="C943" s="6">
        <v>0.28125</v>
      </c>
      <c r="D943" s="1" t="s">
        <v>7</v>
      </c>
      <c r="E943" s="1" t="s">
        <v>9</v>
      </c>
      <c r="F943" s="1" t="s">
        <v>2489</v>
      </c>
      <c r="G943" s="39" t="s">
        <v>2431</v>
      </c>
      <c r="H943" s="1">
        <v>3</v>
      </c>
      <c r="I943" s="1">
        <v>1</v>
      </c>
      <c r="J943" s="39" t="s">
        <v>2425</v>
      </c>
      <c r="K943" s="1">
        <v>1</v>
      </c>
      <c r="L943" s="1">
        <v>3</v>
      </c>
      <c r="S943" s="1" t="str">
        <f>IF(tblDados[[#This Row],[Mandante]]="","",TEXT(tblDados[[#This Row],[Data]],"aaaa-mm-dd")&amp;"|"&amp;TRIM(tblDados[[#This Row],[Mandante]])&amp;"|"&amp;TRIM(tblDados[[#This Row],[Visitante]]))</f>
        <v>2026-06-26|Dandenong City|Avondale FC</v>
      </c>
      <c r="T943" s="1">
        <f>IF($G943="",0,IF(COUNTIF($S$2:$S943,$S943)=1,1,0))</f>
        <v>1</v>
      </c>
      <c r="U943" s="19" t="str" cm="1">
        <f t="array" ref="U9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3" s="19" t="str" cm="1">
        <f t="array" ref="V9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4" spans="1:22" x14ac:dyDescent="0.3">
      <c r="A944" s="1" t="s">
        <v>2490</v>
      </c>
      <c r="B944" s="5">
        <v>46193</v>
      </c>
      <c r="C944" s="6">
        <v>8.3333333333333329E-2</v>
      </c>
      <c r="D944" s="1" t="s">
        <v>7</v>
      </c>
      <c r="E944" s="1" t="s">
        <v>9</v>
      </c>
      <c r="F944" s="1" t="s">
        <v>2491</v>
      </c>
      <c r="G944" s="39" t="s">
        <v>2425</v>
      </c>
      <c r="H944" s="1">
        <v>11</v>
      </c>
      <c r="I944" s="1">
        <v>0</v>
      </c>
      <c r="J944" s="39" t="s">
        <v>2432</v>
      </c>
      <c r="K944" s="1">
        <v>0</v>
      </c>
      <c r="L944" s="1">
        <v>11</v>
      </c>
      <c r="S944" s="1" t="str">
        <f>IF(tblDados[[#This Row],[Mandante]]="","",TEXT(tblDados[[#This Row],[Data]],"aaaa-mm-dd")&amp;"|"&amp;TRIM(tblDados[[#This Row],[Mandante]])&amp;"|"&amp;TRIM(tblDados[[#This Row],[Visitante]]))</f>
        <v>2026-06-20|Avondale FC|Dandenong Thunder</v>
      </c>
      <c r="T944" s="1">
        <f>IF($G944="",0,IF(COUNTIF($S$2:$S944,$S944)=1,1,0))</f>
        <v>1</v>
      </c>
      <c r="U944" s="19" t="str" cm="1">
        <f t="array" ref="U9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4" s="19" t="str" cm="1">
        <f t="array" ref="V9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5" spans="1:22" x14ac:dyDescent="0.3">
      <c r="A945" s="1" t="s">
        <v>2492</v>
      </c>
      <c r="B945" s="5">
        <v>46178</v>
      </c>
      <c r="C945" s="6">
        <v>0.27083333333333331</v>
      </c>
      <c r="D945" s="1" t="s">
        <v>7</v>
      </c>
      <c r="E945" s="1" t="s">
        <v>9</v>
      </c>
      <c r="F945" s="1" t="s">
        <v>2493</v>
      </c>
      <c r="G945" s="39" t="s">
        <v>2457</v>
      </c>
      <c r="H945" s="1">
        <v>0</v>
      </c>
      <c r="I945" s="1">
        <v>2</v>
      </c>
      <c r="J945" s="39" t="s">
        <v>2425</v>
      </c>
      <c r="K945" s="1">
        <v>2</v>
      </c>
      <c r="L945" s="1">
        <v>0</v>
      </c>
      <c r="S945" s="1" t="str">
        <f>IF(tblDados[[#This Row],[Mandante]]="","",TEXT(tblDados[[#This Row],[Data]],"aaaa-mm-dd")&amp;"|"&amp;TRIM(tblDados[[#This Row],[Mandante]])&amp;"|"&amp;TRIM(tblDados[[#This Row],[Visitante]]))</f>
        <v>2026-06-05|Green Gully|Avondale FC</v>
      </c>
      <c r="T945" s="1">
        <f>IF($G945="",0,IF(COUNTIF($S$2:$S945,$S945)=1,1,0))</f>
        <v>1</v>
      </c>
      <c r="U945" s="19" t="str" cm="1">
        <f t="array" ref="U9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5" s="19" t="str" cm="1">
        <f t="array" ref="V9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6" spans="1:22" x14ac:dyDescent="0.3">
      <c r="A946" s="1" t="s">
        <v>2494</v>
      </c>
      <c r="B946" s="5">
        <v>46172</v>
      </c>
      <c r="C946" s="6">
        <v>8.3333333333333329E-2</v>
      </c>
      <c r="D946" s="1" t="s">
        <v>7</v>
      </c>
      <c r="E946" s="1" t="s">
        <v>9</v>
      </c>
      <c r="F946" s="1" t="s">
        <v>2495</v>
      </c>
      <c r="G946" s="39" t="s">
        <v>2425</v>
      </c>
      <c r="H946" s="1">
        <v>4</v>
      </c>
      <c r="I946" s="1">
        <v>0</v>
      </c>
      <c r="J946" s="39" t="s">
        <v>2423</v>
      </c>
      <c r="K946" s="1">
        <v>0</v>
      </c>
      <c r="L946" s="1">
        <v>4</v>
      </c>
      <c r="S946" s="1" t="str">
        <f>IF(tblDados[[#This Row],[Mandante]]="","",TEXT(tblDados[[#This Row],[Data]],"aaaa-mm-dd")&amp;"|"&amp;TRIM(tblDados[[#This Row],[Mandante]])&amp;"|"&amp;TRIM(tblDados[[#This Row],[Visitante]]))</f>
        <v>2026-05-30|Avondale FC|Bentleigh Greens</v>
      </c>
      <c r="T946" s="1">
        <f>IF($G946="",0,IF(COUNTIF($S$2:$S946,$S946)=1,1,0))</f>
        <v>1</v>
      </c>
      <c r="U946" s="19" t="str" cm="1">
        <f t="array" ref="U9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6" s="19" t="str" cm="1">
        <f t="array" ref="V9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7" spans="1:22" x14ac:dyDescent="0.3">
      <c r="A947" s="1" t="s">
        <v>2496</v>
      </c>
      <c r="B947" s="5">
        <v>46167</v>
      </c>
      <c r="C947" s="6">
        <v>0.27083333333333331</v>
      </c>
      <c r="D947" s="1" t="s">
        <v>7</v>
      </c>
      <c r="E947" s="1" t="s">
        <v>9</v>
      </c>
      <c r="F947" s="1" t="s">
        <v>2497</v>
      </c>
      <c r="G947" s="39" t="s">
        <v>254</v>
      </c>
      <c r="H947" s="1">
        <v>0</v>
      </c>
      <c r="I947" s="1">
        <v>4</v>
      </c>
      <c r="J947" s="39" t="s">
        <v>2425</v>
      </c>
      <c r="K947" s="1">
        <v>4</v>
      </c>
      <c r="L947" s="1">
        <v>0</v>
      </c>
      <c r="S947" s="1" t="str">
        <f>IF(tblDados[[#This Row],[Mandante]]="","",TEXT(tblDados[[#This Row],[Data]],"aaaa-mm-dd")&amp;"|"&amp;TRIM(tblDados[[#This Row],[Mandante]])&amp;"|"&amp;TRIM(tblDados[[#This Row],[Visitante]]))</f>
        <v>2026-05-25|South Melbourne|Avondale FC</v>
      </c>
      <c r="T947" s="1">
        <f>IF($G947="",0,IF(COUNTIF($S$2:$S947,$S947)=1,1,0))</f>
        <v>1</v>
      </c>
      <c r="U947" s="19" t="str" cm="1">
        <f t="array" ref="U9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7" s="19" t="str" cm="1">
        <f t="array" ref="V9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8" spans="1:22" x14ac:dyDescent="0.3">
      <c r="A948" s="1" t="s">
        <v>2498</v>
      </c>
      <c r="B948" s="5">
        <v>46158</v>
      </c>
      <c r="C948" s="6">
        <v>4.1666666666666664E-2</v>
      </c>
      <c r="D948" s="1" t="s">
        <v>7</v>
      </c>
      <c r="E948" s="1" t="s">
        <v>9</v>
      </c>
      <c r="F948" s="1" t="s">
        <v>2499</v>
      </c>
      <c r="G948" s="39" t="s">
        <v>2424</v>
      </c>
      <c r="H948" s="1">
        <v>3</v>
      </c>
      <c r="I948" s="1">
        <v>0</v>
      </c>
      <c r="J948" s="39" t="s">
        <v>2425</v>
      </c>
      <c r="K948" s="1">
        <v>0</v>
      </c>
      <c r="L948" s="1">
        <v>3</v>
      </c>
      <c r="S948" s="1" t="str">
        <f>IF(tblDados[[#This Row],[Mandante]]="","",TEXT(tblDados[[#This Row],[Data]],"aaaa-mm-dd")&amp;"|"&amp;TRIM(tblDados[[#This Row],[Mandante]])&amp;"|"&amp;TRIM(tblDados[[#This Row],[Visitante]]))</f>
        <v>2026-05-16|Hume City|Avondale FC</v>
      </c>
      <c r="T948" s="1">
        <f>IF($G948="",0,IF(COUNTIF($S$2:$S948,$S948)=1,1,0))</f>
        <v>1</v>
      </c>
      <c r="U948" s="19" t="str" cm="1">
        <f t="array" ref="U9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8" s="19" t="str" cm="1">
        <f t="array" ref="V9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9" spans="1:22" ht="14.4" x14ac:dyDescent="0.3">
      <c r="A949" s="1" t="s">
        <v>2500</v>
      </c>
      <c r="B949" s="5">
        <v>46151</v>
      </c>
      <c r="C949" s="6">
        <v>8.3333333333333329E-2</v>
      </c>
      <c r="D949" s="1" t="s">
        <v>7</v>
      </c>
      <c r="E949" s="1" t="s">
        <v>9</v>
      </c>
      <c r="F949" s="1" t="s">
        <v>2501</v>
      </c>
      <c r="G949" s="39" t="s">
        <v>2425</v>
      </c>
      <c r="H949" s="1">
        <v>5</v>
      </c>
      <c r="I949" s="1">
        <v>1</v>
      </c>
      <c r="J949" s="39" t="s">
        <v>2429</v>
      </c>
      <c r="K949" s="1">
        <v>1</v>
      </c>
      <c r="L949" s="1">
        <v>5</v>
      </c>
      <c r="S949" s="1" t="str">
        <f>IF(tblDados[[#This Row],[Mandante]]="","",TEXT(tblDados[[#This Row],[Data]],"aaaa-mm-dd")&amp;"|"&amp;TRIM(tblDados[[#This Row],[Mandante]])&amp;"|"&amp;TRIM(tblDados[[#This Row],[Visitante]]))</f>
        <v>2026-05-09|Avondale FC|Altona Magic</v>
      </c>
      <c r="T949">
        <f>IF($G949="",0,IF(COUNTIF($S$2:$S2834,$S949)=1,1,0))</f>
        <v>1</v>
      </c>
      <c r="U949" s="19" t="str" cm="1">
        <f t="array" ref="U9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9" s="19" t="str" cm="1">
        <f t="array" ref="V9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0" spans="1:22" x14ac:dyDescent="0.3">
      <c r="A950" s="1" t="s">
        <v>2502</v>
      </c>
      <c r="B950" s="5">
        <v>46221</v>
      </c>
      <c r="C950" s="6">
        <v>9.375E-2</v>
      </c>
      <c r="D950" s="1" t="s">
        <v>7</v>
      </c>
      <c r="E950" s="1" t="s">
        <v>9</v>
      </c>
      <c r="F950" s="1" t="s">
        <v>2503</v>
      </c>
      <c r="G950" s="39" t="s">
        <v>254</v>
      </c>
      <c r="H950" s="1">
        <v>0</v>
      </c>
      <c r="I950" s="1">
        <v>0</v>
      </c>
      <c r="J950" s="39" t="s">
        <v>2430</v>
      </c>
      <c r="K950" s="1">
        <v>0</v>
      </c>
      <c r="L950" s="1">
        <v>0</v>
      </c>
      <c r="S950" s="1" t="str">
        <f>IF(tblDados[[#This Row],[Mandante]]="","",TEXT(tblDados[[#This Row],[Data]],"aaaa-mm-dd")&amp;"|"&amp;TRIM(tblDados[[#This Row],[Mandante]])&amp;"|"&amp;TRIM(tblDados[[#This Row],[Visitante]]))</f>
        <v>2026-07-18|South Melbourne|Preston Lions</v>
      </c>
      <c r="T950" s="1">
        <f>IF($G950="",0,IF(COUNTIF($S$2:$S950,$S950)=1,1,0))</f>
        <v>1</v>
      </c>
      <c r="U950" s="19" t="str" cm="1">
        <f t="array" ref="U9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0" s="19" t="str" cm="1">
        <f t="array" ref="V9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1" spans="1:22" x14ac:dyDescent="0.3">
      <c r="A951" s="1" t="s">
        <v>2504</v>
      </c>
      <c r="B951" s="5">
        <v>46213</v>
      </c>
      <c r="C951" s="6">
        <v>0.28125</v>
      </c>
      <c r="D951" s="1" t="s">
        <v>7</v>
      </c>
      <c r="E951" s="1" t="s">
        <v>9</v>
      </c>
      <c r="F951" s="1" t="s">
        <v>2505</v>
      </c>
      <c r="G951" s="39" t="s">
        <v>2431</v>
      </c>
      <c r="H951" s="1">
        <v>0</v>
      </c>
      <c r="I951" s="1">
        <v>2</v>
      </c>
      <c r="J951" s="39" t="s">
        <v>254</v>
      </c>
      <c r="K951" s="1">
        <v>2</v>
      </c>
      <c r="L951" s="1">
        <v>0</v>
      </c>
      <c r="S951" s="1" t="str">
        <f>IF(tblDados[[#This Row],[Mandante]]="","",TEXT(tblDados[[#This Row],[Data]],"aaaa-mm-dd")&amp;"|"&amp;TRIM(tblDados[[#This Row],[Mandante]])&amp;"|"&amp;TRIM(tblDados[[#This Row],[Visitante]]))</f>
        <v>2026-07-10|Dandenong City|South Melbourne</v>
      </c>
      <c r="T951" s="1">
        <f>IF($G951="",0,IF(COUNTIF($S$2:$S951,$S951)=1,1,0))</f>
        <v>1</v>
      </c>
      <c r="U951" s="19" t="str" cm="1">
        <f t="array" ref="U9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1" s="19" t="str" cm="1">
        <f t="array" ref="V9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2" spans="1:22" x14ac:dyDescent="0.3">
      <c r="A952" s="1" t="s">
        <v>2506</v>
      </c>
      <c r="B952" s="5">
        <v>46208</v>
      </c>
      <c r="C952" s="6">
        <v>0.10416666666666667</v>
      </c>
      <c r="D952" s="1" t="s">
        <v>7</v>
      </c>
      <c r="E952" s="1" t="s">
        <v>9</v>
      </c>
      <c r="F952" s="1" t="s">
        <v>2507</v>
      </c>
      <c r="G952" s="39" t="s">
        <v>254</v>
      </c>
      <c r="H952" s="1">
        <v>1</v>
      </c>
      <c r="I952" s="1">
        <v>0</v>
      </c>
      <c r="J952" s="39" t="s">
        <v>2432</v>
      </c>
      <c r="K952" s="1">
        <v>0</v>
      </c>
      <c r="L952" s="1">
        <v>1</v>
      </c>
      <c r="S952" s="1" t="str">
        <f>IF(tblDados[[#This Row],[Mandante]]="","",TEXT(tblDados[[#This Row],[Data]],"aaaa-mm-dd")&amp;"|"&amp;TRIM(tblDados[[#This Row],[Mandante]])&amp;"|"&amp;TRIM(tblDados[[#This Row],[Visitante]]))</f>
        <v>2026-07-05|South Melbourne|Dandenong Thunder</v>
      </c>
      <c r="T952" s="1">
        <f>IF($G952="",0,IF(COUNTIF($S$2:$S952,$S952)=1,1,0))</f>
        <v>1</v>
      </c>
      <c r="U952" s="19" t="str" cm="1">
        <f t="array" ref="U9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2" s="19" t="str" cm="1">
        <f t="array" ref="V9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3" spans="1:22" x14ac:dyDescent="0.3">
      <c r="A953" s="1" t="s">
        <v>2508</v>
      </c>
      <c r="B953" s="5">
        <v>46201</v>
      </c>
      <c r="C953" s="6">
        <v>0.10416666666666667</v>
      </c>
      <c r="D953" s="1" t="s">
        <v>7</v>
      </c>
      <c r="E953" s="1" t="s">
        <v>9</v>
      </c>
      <c r="F953" s="1" t="s">
        <v>2509</v>
      </c>
      <c r="G953" s="39" t="s">
        <v>254</v>
      </c>
      <c r="H953" s="1">
        <v>1</v>
      </c>
      <c r="I953" s="1">
        <v>2</v>
      </c>
      <c r="J953" s="39" t="s">
        <v>2457</v>
      </c>
      <c r="K953" s="1">
        <v>2</v>
      </c>
      <c r="L953" s="1">
        <v>1</v>
      </c>
      <c r="S953" s="1" t="str">
        <f>IF(tblDados[[#This Row],[Mandante]]="","",TEXT(tblDados[[#This Row],[Data]],"aaaa-mm-dd")&amp;"|"&amp;TRIM(tblDados[[#This Row],[Mandante]])&amp;"|"&amp;TRIM(tblDados[[#This Row],[Visitante]]))</f>
        <v>2026-06-28|South Melbourne|Green Gully</v>
      </c>
      <c r="T953" s="1">
        <f>IF($G953="",0,IF(COUNTIF($S$2:$S953,$S953)=1,1,0))</f>
        <v>1</v>
      </c>
      <c r="U953" s="19" t="str" cm="1">
        <f t="array" ref="U9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3" s="19" t="str" cm="1">
        <f t="array" ref="V9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4" spans="1:22" x14ac:dyDescent="0.3">
      <c r="A954" s="1" t="s">
        <v>2510</v>
      </c>
      <c r="B954" s="5">
        <v>46192</v>
      </c>
      <c r="C954" s="6">
        <v>0.27083333333333331</v>
      </c>
      <c r="D954" s="1" t="s">
        <v>7</v>
      </c>
      <c r="E954" s="1" t="s">
        <v>9</v>
      </c>
      <c r="F954" s="1" t="s">
        <v>2511</v>
      </c>
      <c r="G954" s="39" t="s">
        <v>2423</v>
      </c>
      <c r="H954" s="1">
        <v>1</v>
      </c>
      <c r="I954" s="1">
        <v>5</v>
      </c>
      <c r="J954" s="39" t="s">
        <v>254</v>
      </c>
      <c r="K954" s="1">
        <v>5</v>
      </c>
      <c r="L954" s="1">
        <v>1</v>
      </c>
      <c r="S954" s="1" t="str">
        <f>IF(tblDados[[#This Row],[Mandante]]="","",TEXT(tblDados[[#This Row],[Data]],"aaaa-mm-dd")&amp;"|"&amp;TRIM(tblDados[[#This Row],[Mandante]])&amp;"|"&amp;TRIM(tblDados[[#This Row],[Visitante]]))</f>
        <v>2026-06-19|Bentleigh Greens|South Melbourne</v>
      </c>
      <c r="T954" s="1">
        <f>IF($G954="",0,IF(COUNTIF($S$2:$S954,$S954)=1,1,0))</f>
        <v>1</v>
      </c>
      <c r="U954" s="19" t="str" cm="1">
        <f t="array" ref="U9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4" s="19" t="str" cm="1">
        <f t="array" ref="V9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5" spans="1:22" x14ac:dyDescent="0.3">
      <c r="A955" s="1" t="s">
        <v>2512</v>
      </c>
      <c r="B955" s="5">
        <v>46180</v>
      </c>
      <c r="C955" s="6">
        <v>0.10416666666666667</v>
      </c>
      <c r="D955" s="1" t="s">
        <v>7</v>
      </c>
      <c r="E955" s="1" t="s">
        <v>9</v>
      </c>
      <c r="F955" s="1" t="s">
        <v>2513</v>
      </c>
      <c r="G955" s="39" t="s">
        <v>254</v>
      </c>
      <c r="H955" s="1">
        <v>2</v>
      </c>
      <c r="I955" s="1">
        <v>3</v>
      </c>
      <c r="J955" s="39" t="s">
        <v>2429</v>
      </c>
      <c r="K955" s="1">
        <v>3</v>
      </c>
      <c r="L955" s="1">
        <v>2</v>
      </c>
      <c r="S955" s="1" t="str">
        <f>IF(tblDados[[#This Row],[Mandante]]="","",TEXT(tblDados[[#This Row],[Data]],"aaaa-mm-dd")&amp;"|"&amp;TRIM(tblDados[[#This Row],[Mandante]])&amp;"|"&amp;TRIM(tblDados[[#This Row],[Visitante]]))</f>
        <v>2026-06-07|South Melbourne|Altona Magic</v>
      </c>
      <c r="T955" s="1">
        <f>IF($G955="",0,IF(COUNTIF($S$2:$S955,$S955)=1,1,0))</f>
        <v>1</v>
      </c>
      <c r="U955" s="19" t="str" cm="1">
        <f t="array" ref="U9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5" s="19" t="str" cm="1">
        <f t="array" ref="V9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6" spans="1:22" x14ac:dyDescent="0.3">
      <c r="A956" s="1" t="s">
        <v>2514</v>
      </c>
      <c r="B956" s="5">
        <v>46160</v>
      </c>
      <c r="C956" s="6">
        <v>0.27083333333333331</v>
      </c>
      <c r="D956" s="1" t="s">
        <v>7</v>
      </c>
      <c r="E956" s="1" t="s">
        <v>9</v>
      </c>
      <c r="F956" s="1" t="s">
        <v>2515</v>
      </c>
      <c r="G956" s="39" t="s">
        <v>254</v>
      </c>
      <c r="H956" s="1">
        <v>0</v>
      </c>
      <c r="I956" s="1">
        <v>4</v>
      </c>
      <c r="J956" s="39" t="s">
        <v>2426</v>
      </c>
      <c r="K956" s="1">
        <v>4</v>
      </c>
      <c r="L956" s="1">
        <v>0</v>
      </c>
      <c r="S956" s="1" t="str">
        <f>IF(tblDados[[#This Row],[Mandante]]="","",TEXT(tblDados[[#This Row],[Data]],"aaaa-mm-dd")&amp;"|"&amp;TRIM(tblDados[[#This Row],[Mandante]])&amp;"|"&amp;TRIM(tblDados[[#This Row],[Visitante]]))</f>
        <v>2026-05-18|South Melbourne|Caroline Springs George Cross</v>
      </c>
      <c r="T956" s="1">
        <f>IF($G956="",0,IF(COUNTIF($S$2:$S956,$S956)=1,1,0))</f>
        <v>1</v>
      </c>
      <c r="U956" s="19" t="str" cm="1">
        <f t="array" ref="U9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6" s="19" t="str" cm="1">
        <f t="array" ref="V9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7" spans="1:22" ht="14.4" x14ac:dyDescent="0.3">
      <c r="A957" s="1" t="s">
        <v>2516</v>
      </c>
      <c r="B957" s="5">
        <v>46150</v>
      </c>
      <c r="C957" s="6">
        <v>0.27083333333333331</v>
      </c>
      <c r="D957" s="1" t="s">
        <v>7</v>
      </c>
      <c r="E957" s="1" t="s">
        <v>9</v>
      </c>
      <c r="F957" s="1" t="s">
        <v>2517</v>
      </c>
      <c r="G957" s="39" t="s">
        <v>2427</v>
      </c>
      <c r="H957" s="1">
        <v>4</v>
      </c>
      <c r="I957" s="1">
        <v>0</v>
      </c>
      <c r="J957" s="39" t="s">
        <v>254</v>
      </c>
      <c r="K957" s="1">
        <v>0</v>
      </c>
      <c r="L957" s="1">
        <v>4</v>
      </c>
      <c r="S957" s="1" t="str">
        <f>IF(tblDados[[#This Row],[Mandante]]="","",TEXT(tblDados[[#This Row],[Data]],"aaaa-mm-dd")&amp;"|"&amp;TRIM(tblDados[[#This Row],[Mandante]])&amp;"|"&amp;TRIM(tblDados[[#This Row],[Visitante]]))</f>
        <v>2026-05-08|Heidelberg United|South Melbourne</v>
      </c>
      <c r="T957">
        <f>IF($G957="",0,IF(COUNTIF($S$2:$S2834,$S957)=1,1,0))</f>
        <v>1</v>
      </c>
      <c r="U957" s="19" t="str" cm="1">
        <f t="array" ref="U9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7" s="19" t="str" cm="1">
        <f t="array" ref="V9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8" spans="1:22" x14ac:dyDescent="0.3">
      <c r="A958" s="1" t="s">
        <v>2518</v>
      </c>
      <c r="B958" s="5">
        <v>46234</v>
      </c>
      <c r="C958" s="6">
        <v>0.3125</v>
      </c>
      <c r="D958" s="1" t="s">
        <v>7</v>
      </c>
      <c r="E958" s="1" t="s">
        <v>9</v>
      </c>
      <c r="F958" s="1" t="s">
        <v>2519</v>
      </c>
      <c r="G958" s="39" t="s">
        <v>2430</v>
      </c>
      <c r="H958" s="1">
        <v>2</v>
      </c>
      <c r="I958" s="1">
        <v>2</v>
      </c>
      <c r="J958" s="39" t="s">
        <v>2457</v>
      </c>
      <c r="K958" s="1">
        <v>2</v>
      </c>
      <c r="L958" s="1">
        <v>2</v>
      </c>
      <c r="S958" s="1" t="str">
        <f>IF(tblDados[[#This Row],[Mandante]]="","",TEXT(tblDados[[#This Row],[Data]],"aaaa-mm-dd")&amp;"|"&amp;TRIM(tblDados[[#This Row],[Mandante]])&amp;"|"&amp;TRIM(tblDados[[#This Row],[Visitante]]))</f>
        <v>2026-07-31|Preston Lions|Green Gully</v>
      </c>
      <c r="T958" s="1">
        <f>IF($G958="",0,IF(COUNTIF($S$2:$S958,$S958)=1,1,0))</f>
        <v>1</v>
      </c>
      <c r="U958" s="19" t="str" cm="1">
        <f t="array" ref="U9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8" s="19" t="str" cm="1">
        <f t="array" ref="V9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9" spans="1:22" x14ac:dyDescent="0.3">
      <c r="A959" s="1" t="s">
        <v>2520</v>
      </c>
      <c r="B959" s="5">
        <v>46227</v>
      </c>
      <c r="C959" s="6">
        <v>0.3125</v>
      </c>
      <c r="D959" s="1" t="s">
        <v>7</v>
      </c>
      <c r="E959" s="1" t="s">
        <v>9</v>
      </c>
      <c r="F959" s="1" t="s">
        <v>2521</v>
      </c>
      <c r="G959" s="39" t="s">
        <v>2430</v>
      </c>
      <c r="H959" s="1">
        <v>1</v>
      </c>
      <c r="I959" s="1">
        <v>0</v>
      </c>
      <c r="J959" s="39" t="s">
        <v>2423</v>
      </c>
      <c r="K959" s="1">
        <v>0</v>
      </c>
      <c r="L959" s="1">
        <v>1</v>
      </c>
      <c r="S959" s="1" t="str">
        <f>IF(tblDados[[#This Row],[Mandante]]="","",TEXT(tblDados[[#This Row],[Data]],"aaaa-mm-dd")&amp;"|"&amp;TRIM(tblDados[[#This Row],[Mandante]])&amp;"|"&amp;TRIM(tblDados[[#This Row],[Visitante]]))</f>
        <v>2026-07-24|Preston Lions|Bentleigh Greens</v>
      </c>
      <c r="T959" s="1">
        <f>IF($G959="",0,IF(COUNTIF($S$2:$S959,$S959)=1,1,0))</f>
        <v>1</v>
      </c>
      <c r="U959" s="19" t="str" cm="1">
        <f t="array" ref="U9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9" s="19" t="str" cm="1">
        <f t="array" ref="V9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0" spans="1:22" x14ac:dyDescent="0.3">
      <c r="A960" s="1" t="s">
        <v>2522</v>
      </c>
      <c r="B960" s="5">
        <v>46200</v>
      </c>
      <c r="C960" s="6">
        <v>0.20833333333333334</v>
      </c>
      <c r="D960" s="1" t="s">
        <v>7</v>
      </c>
      <c r="E960" s="1" t="s">
        <v>9</v>
      </c>
      <c r="F960" s="1" t="s">
        <v>2523</v>
      </c>
      <c r="G960" s="39" t="s">
        <v>2426</v>
      </c>
      <c r="H960" s="1">
        <v>0</v>
      </c>
      <c r="I960" s="1">
        <v>2</v>
      </c>
      <c r="J960" s="39" t="s">
        <v>2430</v>
      </c>
      <c r="K960" s="1">
        <v>2</v>
      </c>
      <c r="L960" s="1">
        <v>0</v>
      </c>
      <c r="S960" s="1" t="str">
        <f>IF(tblDados[[#This Row],[Mandante]]="","",TEXT(tblDados[[#This Row],[Data]],"aaaa-mm-dd")&amp;"|"&amp;TRIM(tblDados[[#This Row],[Mandante]])&amp;"|"&amp;TRIM(tblDados[[#This Row],[Visitante]]))</f>
        <v>2026-06-27|Caroline Springs George Cross|Preston Lions</v>
      </c>
      <c r="T960" s="1">
        <f>IF($G960="",0,IF(COUNTIF($S$2:$S960,$S960)=1,1,0))</f>
        <v>1</v>
      </c>
      <c r="U960" s="19" t="str" cm="1">
        <f t="array" ref="U9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0" s="19" t="str" cm="1">
        <f t="array" ref="V9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1" spans="1:22" x14ac:dyDescent="0.3">
      <c r="A961" s="1" t="s">
        <v>2524</v>
      </c>
      <c r="B961" s="5">
        <v>46193</v>
      </c>
      <c r="C961" s="6">
        <v>0.16666666666666666</v>
      </c>
      <c r="D961" s="1" t="s">
        <v>7</v>
      </c>
      <c r="E961" s="1" t="s">
        <v>9</v>
      </c>
      <c r="F961" s="1" t="s">
        <v>2525</v>
      </c>
      <c r="G961" s="39" t="s">
        <v>2427</v>
      </c>
      <c r="H961" s="1">
        <v>0</v>
      </c>
      <c r="I961" s="1">
        <v>1</v>
      </c>
      <c r="J961" s="39" t="s">
        <v>2430</v>
      </c>
      <c r="K961" s="1">
        <v>1</v>
      </c>
      <c r="L961" s="1">
        <v>0</v>
      </c>
      <c r="S961" s="1" t="str">
        <f>IF(tblDados[[#This Row],[Mandante]]="","",TEXT(tblDados[[#This Row],[Data]],"aaaa-mm-dd")&amp;"|"&amp;TRIM(tblDados[[#This Row],[Mandante]])&amp;"|"&amp;TRIM(tblDados[[#This Row],[Visitante]]))</f>
        <v>2026-06-20|Heidelberg United|Preston Lions</v>
      </c>
      <c r="T961" s="1">
        <f>IF($G961="",0,IF(COUNTIF($S$2:$S961,$S961)=1,1,0))</f>
        <v>1</v>
      </c>
      <c r="U961" s="19" t="str" cm="1">
        <f t="array" ref="U9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1" s="19" t="str" cm="1">
        <f t="array" ref="V9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2" spans="1:22" x14ac:dyDescent="0.3">
      <c r="A962" s="1" t="s">
        <v>2526</v>
      </c>
      <c r="B962" s="5">
        <v>46173</v>
      </c>
      <c r="C962" s="6">
        <v>0.16666666666666666</v>
      </c>
      <c r="D962" s="1" t="s">
        <v>7</v>
      </c>
      <c r="E962" s="1" t="s">
        <v>9</v>
      </c>
      <c r="F962" s="1" t="s">
        <v>2527</v>
      </c>
      <c r="G962" s="39" t="s">
        <v>255</v>
      </c>
      <c r="H962" s="1">
        <v>0</v>
      </c>
      <c r="I962" s="1">
        <v>1</v>
      </c>
      <c r="J962" s="39" t="s">
        <v>2430</v>
      </c>
      <c r="K962" s="1">
        <v>1</v>
      </c>
      <c r="L962" s="1">
        <v>0</v>
      </c>
      <c r="S962" s="1" t="str">
        <f>IF(tblDados[[#This Row],[Mandante]]="","",TEXT(tblDados[[#This Row],[Data]],"aaaa-mm-dd")&amp;"|"&amp;TRIM(tblDados[[#This Row],[Mandante]])&amp;"|"&amp;TRIM(tblDados[[#This Row],[Visitante]]))</f>
        <v>2026-05-31|St Albans Saints|Preston Lions</v>
      </c>
      <c r="T962" s="1">
        <f>IF($G962="",0,IF(COUNTIF($S$2:$S962,$S962)=1,1,0))</f>
        <v>1</v>
      </c>
      <c r="U962" s="19" t="str" cm="1">
        <f t="array" ref="U9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2" s="19" t="str" cm="1">
        <f t="array" ref="V9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3" spans="1:22" x14ac:dyDescent="0.3">
      <c r="A963" s="1" t="s">
        <v>2528</v>
      </c>
      <c r="B963" s="5">
        <v>46158</v>
      </c>
      <c r="C963" s="6">
        <v>0.21875</v>
      </c>
      <c r="D963" s="1" t="s">
        <v>7</v>
      </c>
      <c r="E963" s="1" t="s">
        <v>9</v>
      </c>
      <c r="F963" s="1" t="s">
        <v>2529</v>
      </c>
      <c r="G963" s="39" t="s">
        <v>2429</v>
      </c>
      <c r="H963" s="1">
        <v>1</v>
      </c>
      <c r="I963" s="1">
        <v>0</v>
      </c>
      <c r="J963" s="39" t="s">
        <v>2430</v>
      </c>
      <c r="K963" s="1">
        <v>0</v>
      </c>
      <c r="L963" s="1">
        <v>1</v>
      </c>
      <c r="S963" s="1" t="str">
        <f>IF(tblDados[[#This Row],[Mandante]]="","",TEXT(tblDados[[#This Row],[Data]],"aaaa-mm-dd")&amp;"|"&amp;TRIM(tblDados[[#This Row],[Mandante]])&amp;"|"&amp;TRIM(tblDados[[#This Row],[Visitante]]))</f>
        <v>2026-05-16|Altona Magic|Preston Lions</v>
      </c>
      <c r="T963" s="1">
        <f>IF($G963="",0,IF(COUNTIF($S$2:$S963,$S963)=1,1,0))</f>
        <v>1</v>
      </c>
      <c r="U963" s="19" t="str" cm="1">
        <f t="array" ref="U9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3" s="19" t="str" cm="1">
        <f t="array" ref="V9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4" spans="1:22" x14ac:dyDescent="0.3">
      <c r="A964" s="1" t="s">
        <v>2530</v>
      </c>
      <c r="B964" s="5">
        <v>46150</v>
      </c>
      <c r="C964" s="6">
        <v>0.3125</v>
      </c>
      <c r="D964" s="1" t="s">
        <v>7</v>
      </c>
      <c r="E964" s="1" t="s">
        <v>9</v>
      </c>
      <c r="F964" s="1" t="s">
        <v>2531</v>
      </c>
      <c r="G964" s="39" t="s">
        <v>2430</v>
      </c>
      <c r="H964" s="1">
        <v>1</v>
      </c>
      <c r="I964" s="1">
        <v>0</v>
      </c>
      <c r="J964" s="39" t="s">
        <v>2431</v>
      </c>
      <c r="K964" s="1">
        <v>0</v>
      </c>
      <c r="L964" s="1">
        <v>1</v>
      </c>
      <c r="S964" s="1" t="str">
        <f>IF(tblDados[[#This Row],[Mandante]]="","",TEXT(tblDados[[#This Row],[Data]],"aaaa-mm-dd")&amp;"|"&amp;TRIM(tblDados[[#This Row],[Mandante]])&amp;"|"&amp;TRIM(tblDados[[#This Row],[Visitante]]))</f>
        <v>2026-05-08|Preston Lions|Dandenong City</v>
      </c>
      <c r="T964" s="1">
        <f>IF($G964="",0,IF(COUNTIF($S$2:$S964,$S964)=1,1,0))</f>
        <v>1</v>
      </c>
      <c r="U964" s="19" t="str" cm="1">
        <f t="array" ref="U9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4" s="19" t="str" cm="1">
        <f t="array" ref="V9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5" spans="1:22" ht="14.4" x14ac:dyDescent="0.3">
      <c r="A965" s="1" t="s">
        <v>2532</v>
      </c>
      <c r="B965" s="5">
        <v>46144</v>
      </c>
      <c r="C965" s="6">
        <v>9.375E-2</v>
      </c>
      <c r="D965" s="1" t="s">
        <v>7</v>
      </c>
      <c r="E965" s="1" t="s">
        <v>9</v>
      </c>
      <c r="F965" s="1" t="s">
        <v>2533</v>
      </c>
      <c r="G965" s="39" t="s">
        <v>2432</v>
      </c>
      <c r="H965" s="1">
        <v>0</v>
      </c>
      <c r="I965" s="1">
        <v>1</v>
      </c>
      <c r="J965" s="39" t="s">
        <v>2430</v>
      </c>
      <c r="K965" s="1">
        <v>1</v>
      </c>
      <c r="L965" s="1">
        <v>0</v>
      </c>
      <c r="S965" s="1" t="str">
        <f>IF(tblDados[[#This Row],[Mandante]]="","",TEXT(tblDados[[#This Row],[Data]],"aaaa-mm-dd")&amp;"|"&amp;TRIM(tblDados[[#This Row],[Mandante]])&amp;"|"&amp;TRIM(tblDados[[#This Row],[Visitante]]))</f>
        <v>2026-05-02|Dandenong Thunder|Preston Lions</v>
      </c>
      <c r="T965">
        <f>IF($G965="",0,IF(COUNTIF($S$2:$S2834,$S965)=1,1,0))</f>
        <v>1</v>
      </c>
      <c r="U965" s="19" t="str" cm="1">
        <f t="array" ref="U9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5" s="19" t="str" cm="1">
        <f t="array" ref="V9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6" spans="1:22" x14ac:dyDescent="0.3">
      <c r="A966" s="1" t="s">
        <v>2534</v>
      </c>
      <c r="B966" s="5">
        <v>46227</v>
      </c>
      <c r="C966" s="6">
        <v>0.27083333333333331</v>
      </c>
      <c r="D966" s="1" t="s">
        <v>7</v>
      </c>
      <c r="E966" s="1" t="s">
        <v>9</v>
      </c>
      <c r="F966" s="1" t="s">
        <v>2535</v>
      </c>
      <c r="G966" s="39" t="s">
        <v>2427</v>
      </c>
      <c r="H966" s="1">
        <v>0</v>
      </c>
      <c r="I966" s="1">
        <v>0</v>
      </c>
      <c r="J966" s="39" t="s">
        <v>2426</v>
      </c>
      <c r="K966" s="1">
        <v>0</v>
      </c>
      <c r="L966" s="1">
        <v>0</v>
      </c>
      <c r="S966" s="1" t="str">
        <f>IF(tblDados[[#This Row],[Mandante]]="","",TEXT(tblDados[[#This Row],[Data]],"aaaa-mm-dd")&amp;"|"&amp;TRIM(tblDados[[#This Row],[Mandante]])&amp;"|"&amp;TRIM(tblDados[[#This Row],[Visitante]]))</f>
        <v>2026-07-24|Heidelberg United|Caroline Springs George Cross</v>
      </c>
      <c r="T966" s="1">
        <f>IF($G966="",0,IF(COUNTIF($S$2:$S966,$S966)=1,1,0))</f>
        <v>1</v>
      </c>
      <c r="U966" s="19" t="str" cm="1">
        <f t="array" ref="U9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6" s="19" t="str" cm="1">
        <f t="array" ref="V9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7" spans="1:22" x14ac:dyDescent="0.3">
      <c r="A967" s="1" t="s">
        <v>2536</v>
      </c>
      <c r="B967" s="5">
        <v>46221</v>
      </c>
      <c r="C967" s="6">
        <v>9.375E-2</v>
      </c>
      <c r="D967" s="1" t="s">
        <v>7</v>
      </c>
      <c r="E967" s="1" t="s">
        <v>9</v>
      </c>
      <c r="F967" s="1" t="s">
        <v>2537</v>
      </c>
      <c r="G967" s="39" t="s">
        <v>2429</v>
      </c>
      <c r="H967" s="1">
        <v>0</v>
      </c>
      <c r="I967" s="1">
        <v>0</v>
      </c>
      <c r="J967" s="39" t="s">
        <v>2427</v>
      </c>
      <c r="K967" s="1">
        <v>0</v>
      </c>
      <c r="L967" s="1">
        <v>0</v>
      </c>
      <c r="S967" s="1" t="str">
        <f>IF(tblDados[[#This Row],[Mandante]]="","",TEXT(tblDados[[#This Row],[Data]],"aaaa-mm-dd")&amp;"|"&amp;TRIM(tblDados[[#This Row],[Mandante]])&amp;"|"&amp;TRIM(tblDados[[#This Row],[Visitante]]))</f>
        <v>2026-07-18|Altona Magic|Heidelberg United</v>
      </c>
      <c r="T967" s="1">
        <f>IF($G967="",0,IF(COUNTIF($S$2:$S967,$S967)=1,1,0))</f>
        <v>1</v>
      </c>
      <c r="U967" s="19" t="str" cm="1">
        <f t="array" ref="U9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7" s="19" t="str" cm="1">
        <f t="array" ref="V9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8" spans="1:22" x14ac:dyDescent="0.3">
      <c r="A968" s="1" t="s">
        <v>2538</v>
      </c>
      <c r="B968" s="5">
        <v>46214</v>
      </c>
      <c r="C968" s="6">
        <v>8.3333333333333329E-2</v>
      </c>
      <c r="D968" s="1" t="s">
        <v>7</v>
      </c>
      <c r="E968" s="1" t="s">
        <v>9</v>
      </c>
      <c r="F968" s="1" t="s">
        <v>2539</v>
      </c>
      <c r="G968" s="39" t="s">
        <v>2428</v>
      </c>
      <c r="H968" s="1">
        <v>2</v>
      </c>
      <c r="I968" s="1">
        <v>2</v>
      </c>
      <c r="J968" s="39" t="s">
        <v>2427</v>
      </c>
      <c r="K968" s="1">
        <v>2</v>
      </c>
      <c r="L968" s="1">
        <v>2</v>
      </c>
      <c r="S968" s="1" t="str">
        <f>IF(tblDados[[#This Row],[Mandante]]="","",TEXT(tblDados[[#This Row],[Data]],"aaaa-mm-dd")&amp;"|"&amp;TRIM(tblDados[[#This Row],[Mandante]])&amp;"|"&amp;TRIM(tblDados[[#This Row],[Visitante]]))</f>
        <v>2026-07-11|Melbourne City U21|Heidelberg United</v>
      </c>
      <c r="T968" s="1">
        <f>IF($G968="",0,IF(COUNTIF($S$2:$S968,$S968)=1,1,0))</f>
        <v>1</v>
      </c>
      <c r="U968" s="19" t="str" cm="1">
        <f t="array" ref="U9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8" s="19" t="str" cm="1">
        <f t="array" ref="V9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9" spans="1:22" x14ac:dyDescent="0.3">
      <c r="A969" s="1" t="s">
        <v>2540</v>
      </c>
      <c r="B969" s="5">
        <v>46206</v>
      </c>
      <c r="C969" s="6">
        <v>0.27083333333333331</v>
      </c>
      <c r="D969" s="1" t="s">
        <v>7</v>
      </c>
      <c r="E969" s="1" t="s">
        <v>9</v>
      </c>
      <c r="F969" s="1" t="s">
        <v>2541</v>
      </c>
      <c r="G969" s="39" t="s">
        <v>2427</v>
      </c>
      <c r="H969" s="1">
        <v>1</v>
      </c>
      <c r="I969" s="1">
        <v>1</v>
      </c>
      <c r="J969" s="39" t="s">
        <v>255</v>
      </c>
      <c r="K969" s="1">
        <v>1</v>
      </c>
      <c r="L969" s="1">
        <v>1</v>
      </c>
      <c r="S969" s="1" t="str">
        <f>IF(tblDados[[#This Row],[Mandante]]="","",TEXT(tblDados[[#This Row],[Data]],"aaaa-mm-dd")&amp;"|"&amp;TRIM(tblDados[[#This Row],[Mandante]])&amp;"|"&amp;TRIM(tblDados[[#This Row],[Visitante]]))</f>
        <v>2026-07-03|Heidelberg United|St Albans Saints</v>
      </c>
      <c r="T969" s="1">
        <f>IF($G969="",0,IF(COUNTIF($S$2:$S969,$S969)=1,1,0))</f>
        <v>1</v>
      </c>
      <c r="U969" s="19" t="str" cm="1">
        <f t="array" ref="U9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9" s="19" t="str" cm="1">
        <f t="array" ref="V9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0" spans="1:22" x14ac:dyDescent="0.3">
      <c r="A970" s="1" t="s">
        <v>2542</v>
      </c>
      <c r="B970" s="5">
        <v>46178</v>
      </c>
      <c r="C970" s="6">
        <v>0.28125</v>
      </c>
      <c r="D970" s="1" t="s">
        <v>7</v>
      </c>
      <c r="E970" s="1" t="s">
        <v>9</v>
      </c>
      <c r="F970" s="1" t="s">
        <v>2543</v>
      </c>
      <c r="G970" s="39" t="s">
        <v>2431</v>
      </c>
      <c r="H970" s="1">
        <v>4</v>
      </c>
      <c r="I970" s="1">
        <v>1</v>
      </c>
      <c r="J970" s="39" t="s">
        <v>2427</v>
      </c>
      <c r="K970" s="1">
        <v>1</v>
      </c>
      <c r="L970" s="1">
        <v>4</v>
      </c>
      <c r="S970" s="1" t="str">
        <f>IF(tblDados[[#This Row],[Mandante]]="","",TEXT(tblDados[[#This Row],[Data]],"aaaa-mm-dd")&amp;"|"&amp;TRIM(tblDados[[#This Row],[Mandante]])&amp;"|"&amp;TRIM(tblDados[[#This Row],[Visitante]]))</f>
        <v>2026-06-05|Dandenong City|Heidelberg United</v>
      </c>
      <c r="T970" s="1">
        <f>IF($G970="",0,IF(COUNTIF($S$2:$S970,$S970)=1,1,0))</f>
        <v>1</v>
      </c>
      <c r="U970" s="19" t="str" cm="1">
        <f t="array" ref="U9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0" s="19" t="str" cm="1">
        <f t="array" ref="V9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1" spans="1:22" x14ac:dyDescent="0.3">
      <c r="A971" s="1" t="s">
        <v>2544</v>
      </c>
      <c r="B971" s="5">
        <v>46171</v>
      </c>
      <c r="C971" s="6">
        <v>0.27083333333333331</v>
      </c>
      <c r="D971" s="1" t="s">
        <v>7</v>
      </c>
      <c r="E971" s="1" t="s">
        <v>9</v>
      </c>
      <c r="F971" s="1" t="s">
        <v>2545</v>
      </c>
      <c r="G971" s="39" t="s">
        <v>2427</v>
      </c>
      <c r="H971" s="1">
        <v>4</v>
      </c>
      <c r="I971" s="1">
        <v>2</v>
      </c>
      <c r="J971" s="39" t="s">
        <v>2432</v>
      </c>
      <c r="K971" s="1">
        <v>2</v>
      </c>
      <c r="L971" s="1">
        <v>4</v>
      </c>
      <c r="S971" s="1" t="str">
        <f>IF(tblDados[[#This Row],[Mandante]]="","",TEXT(tblDados[[#This Row],[Data]],"aaaa-mm-dd")&amp;"|"&amp;TRIM(tblDados[[#This Row],[Mandante]])&amp;"|"&amp;TRIM(tblDados[[#This Row],[Visitante]]))</f>
        <v>2026-05-29|Heidelberg United|Dandenong Thunder</v>
      </c>
      <c r="T971" s="1">
        <f>IF($G971="",0,IF(COUNTIF($S$2:$S971,$S971)=1,1,0))</f>
        <v>1</v>
      </c>
      <c r="U971" s="19" t="str" cm="1">
        <f t="array" ref="U9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1" s="19" t="str" cm="1">
        <f t="array" ref="V9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2" spans="1:22" x14ac:dyDescent="0.3">
      <c r="A972" s="1" t="s">
        <v>2546</v>
      </c>
      <c r="B972" s="5">
        <v>46164</v>
      </c>
      <c r="C972" s="6">
        <v>0.27083333333333331</v>
      </c>
      <c r="D972" s="1" t="s">
        <v>7</v>
      </c>
      <c r="E972" s="1" t="s">
        <v>9</v>
      </c>
      <c r="F972" s="1" t="s">
        <v>2547</v>
      </c>
      <c r="G972" s="39" t="s">
        <v>2457</v>
      </c>
      <c r="H972" s="1">
        <v>0</v>
      </c>
      <c r="I972" s="1">
        <v>1</v>
      </c>
      <c r="J972" s="39" t="s">
        <v>2427</v>
      </c>
      <c r="K972" s="1">
        <v>1</v>
      </c>
      <c r="L972" s="1">
        <v>0</v>
      </c>
      <c r="S972" s="1" t="str">
        <f>IF(tblDados[[#This Row],[Mandante]]="","",TEXT(tblDados[[#This Row],[Data]],"aaaa-mm-dd")&amp;"|"&amp;TRIM(tblDados[[#This Row],[Mandante]])&amp;"|"&amp;TRIM(tblDados[[#This Row],[Visitante]]))</f>
        <v>2026-05-22|Green Gully|Heidelberg United</v>
      </c>
      <c r="T972" s="1">
        <f>IF($G972="",0,IF(COUNTIF($S$2:$S972,$S972)=1,1,0))</f>
        <v>1</v>
      </c>
      <c r="U972" s="19" t="str" cm="1">
        <f t="array" ref="U9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2" s="19" t="str" cm="1">
        <f t="array" ref="V9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3" spans="1:22" ht="14.4" x14ac:dyDescent="0.3">
      <c r="A973" s="1" t="s">
        <v>2548</v>
      </c>
      <c r="B973" s="5">
        <v>46157</v>
      </c>
      <c r="C973" s="6">
        <v>0.3125</v>
      </c>
      <c r="D973" s="1" t="s">
        <v>7</v>
      </c>
      <c r="E973" s="1" t="s">
        <v>9</v>
      </c>
      <c r="F973" s="1" t="s">
        <v>2549</v>
      </c>
      <c r="G973" s="39" t="s">
        <v>2423</v>
      </c>
      <c r="H973" s="1">
        <v>2</v>
      </c>
      <c r="I973" s="1">
        <v>2</v>
      </c>
      <c r="J973" s="39" t="s">
        <v>2427</v>
      </c>
      <c r="K973" s="1">
        <v>2</v>
      </c>
      <c r="L973" s="1">
        <v>2</v>
      </c>
      <c r="S973" s="1" t="str">
        <f>IF(tblDados[[#This Row],[Mandante]]="","",TEXT(tblDados[[#This Row],[Data]],"aaaa-mm-dd")&amp;"|"&amp;TRIM(tblDados[[#This Row],[Mandante]])&amp;"|"&amp;TRIM(tblDados[[#This Row],[Visitante]]))</f>
        <v>2026-05-15|Bentleigh Greens|Heidelberg United</v>
      </c>
      <c r="T973">
        <f>IF($G973="",0,IF(COUNTIF($S$2:$S2834,$S973)=1,1,0))</f>
        <v>1</v>
      </c>
      <c r="U973" s="19" t="str" cm="1">
        <f t="array" ref="U9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3" s="19" t="str" cm="1">
        <f t="array" ref="V9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4" spans="1:22" x14ac:dyDescent="0.3">
      <c r="A974" s="1" t="s">
        <v>2550</v>
      </c>
      <c r="B974" s="5">
        <v>46235</v>
      </c>
      <c r="C974" s="6">
        <v>9.375E-2</v>
      </c>
      <c r="D974" s="1" t="s">
        <v>7</v>
      </c>
      <c r="E974" s="1" t="s">
        <v>9</v>
      </c>
      <c r="F974" s="1" t="s">
        <v>2551</v>
      </c>
      <c r="G974" s="39" t="s">
        <v>2429</v>
      </c>
      <c r="H974" s="1">
        <v>1</v>
      </c>
      <c r="I974" s="1">
        <v>1</v>
      </c>
      <c r="J974" s="39" t="s">
        <v>2426</v>
      </c>
      <c r="K974" s="1">
        <v>1</v>
      </c>
      <c r="L974" s="1">
        <v>1</v>
      </c>
      <c r="S974" s="1" t="str">
        <f>IF(tblDados[[#This Row],[Mandante]]="","",TEXT(tblDados[[#This Row],[Data]],"aaaa-mm-dd")&amp;"|"&amp;TRIM(tblDados[[#This Row],[Mandante]])&amp;"|"&amp;TRIM(tblDados[[#This Row],[Visitante]]))</f>
        <v>2026-08-01|Altona Magic|Caroline Springs George Cross</v>
      </c>
      <c r="T974" s="1">
        <f>IF($G974="",0,IF(COUNTIF($S$2:$S974,$S974)=1,1,0))</f>
        <v>1</v>
      </c>
      <c r="U974" s="19" t="str" cm="1">
        <f t="array" ref="U9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4" s="19" t="str" cm="1">
        <f t="array" ref="V9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5" spans="1:22" x14ac:dyDescent="0.3">
      <c r="A975" s="1" t="s">
        <v>2552</v>
      </c>
      <c r="B975" s="5">
        <v>46221</v>
      </c>
      <c r="C975" s="6">
        <v>0.20833333333333334</v>
      </c>
      <c r="D975" s="1" t="s">
        <v>7</v>
      </c>
      <c r="E975" s="1" t="s">
        <v>9</v>
      </c>
      <c r="F975" s="1" t="s">
        <v>2553</v>
      </c>
      <c r="G975" s="39" t="s">
        <v>2426</v>
      </c>
      <c r="H975" s="1">
        <v>1</v>
      </c>
      <c r="I975" s="1">
        <v>0</v>
      </c>
      <c r="J975" s="39" t="s">
        <v>2428</v>
      </c>
      <c r="K975" s="1">
        <v>0</v>
      </c>
      <c r="L975" s="1">
        <v>1</v>
      </c>
      <c r="S975" s="1" t="str">
        <f>IF(tblDados[[#This Row],[Mandante]]="","",TEXT(tblDados[[#This Row],[Data]],"aaaa-mm-dd")&amp;"|"&amp;TRIM(tblDados[[#This Row],[Mandante]])&amp;"|"&amp;TRIM(tblDados[[#This Row],[Visitante]]))</f>
        <v>2026-07-18|Caroline Springs George Cross|Melbourne City U21</v>
      </c>
      <c r="T975" s="1">
        <f>IF($G975="",0,IF(COUNTIF($S$2:$S975,$S975)=1,1,0))</f>
        <v>1</v>
      </c>
      <c r="U975" s="19" t="str" cm="1">
        <f t="array" ref="U9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5" s="19" t="str" cm="1">
        <f t="array" ref="V9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6" spans="1:22" x14ac:dyDescent="0.3">
      <c r="A976" s="1" t="s">
        <v>2554</v>
      </c>
      <c r="B976" s="5">
        <v>46215</v>
      </c>
      <c r="C976" s="6">
        <v>8.3333333333333329E-2</v>
      </c>
      <c r="D976" s="1" t="s">
        <v>7</v>
      </c>
      <c r="E976" s="1" t="s">
        <v>9</v>
      </c>
      <c r="F976" s="1" t="s">
        <v>2555</v>
      </c>
      <c r="G976" s="39" t="s">
        <v>255</v>
      </c>
      <c r="H976" s="1">
        <v>2</v>
      </c>
      <c r="I976" s="1">
        <v>2</v>
      </c>
      <c r="J976" s="39" t="s">
        <v>2426</v>
      </c>
      <c r="K976" s="1">
        <v>2</v>
      </c>
      <c r="L976" s="1">
        <v>2</v>
      </c>
      <c r="S976" s="1" t="str">
        <f>IF(tblDados[[#This Row],[Mandante]]="","",TEXT(tblDados[[#This Row],[Data]],"aaaa-mm-dd")&amp;"|"&amp;TRIM(tblDados[[#This Row],[Mandante]])&amp;"|"&amp;TRIM(tblDados[[#This Row],[Visitante]]))</f>
        <v>2026-07-12|St Albans Saints|Caroline Springs George Cross</v>
      </c>
      <c r="T976" s="1">
        <f>IF($G976="",0,IF(COUNTIF($S$2:$S976,$S976)=1,1,0))</f>
        <v>1</v>
      </c>
      <c r="U976" s="19" t="str" cm="1">
        <f t="array" ref="U9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6" s="19" t="str" cm="1">
        <f t="array" ref="V9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7" spans="1:22" x14ac:dyDescent="0.3">
      <c r="A977" s="1" t="s">
        <v>2556</v>
      </c>
      <c r="B977" s="5">
        <v>46193</v>
      </c>
      <c r="C977" s="6">
        <v>0.20833333333333334</v>
      </c>
      <c r="D977" s="1" t="s">
        <v>7</v>
      </c>
      <c r="E977" s="1" t="s">
        <v>9</v>
      </c>
      <c r="F977" s="1" t="s">
        <v>2557</v>
      </c>
      <c r="G977" s="39" t="s">
        <v>2426</v>
      </c>
      <c r="H977" s="1">
        <v>3</v>
      </c>
      <c r="I977" s="1">
        <v>2</v>
      </c>
      <c r="J977" s="39" t="s">
        <v>2431</v>
      </c>
      <c r="K977" s="1">
        <v>2</v>
      </c>
      <c r="L977" s="1">
        <v>3</v>
      </c>
      <c r="S977" s="1" t="str">
        <f>IF(tblDados[[#This Row],[Mandante]]="","",TEXT(tblDados[[#This Row],[Data]],"aaaa-mm-dd")&amp;"|"&amp;TRIM(tblDados[[#This Row],[Mandante]])&amp;"|"&amp;TRIM(tblDados[[#This Row],[Visitante]]))</f>
        <v>2026-06-20|Caroline Springs George Cross|Dandenong City</v>
      </c>
      <c r="T977" s="1">
        <f>IF($G977="",0,IF(COUNTIF($S$2:$S977,$S977)=1,1,0))</f>
        <v>1</v>
      </c>
      <c r="U977" s="19" t="str" cm="1">
        <f t="array" ref="U9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7" s="19" t="str" cm="1">
        <f t="array" ref="V9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8" spans="1:22" x14ac:dyDescent="0.3">
      <c r="A978" s="1" t="s">
        <v>2558</v>
      </c>
      <c r="B978" s="5">
        <v>46179</v>
      </c>
      <c r="C978" s="6">
        <v>0.16666666666666666</v>
      </c>
      <c r="D978" s="1" t="s">
        <v>7</v>
      </c>
      <c r="E978" s="1" t="s">
        <v>9</v>
      </c>
      <c r="F978" s="1" t="s">
        <v>2559</v>
      </c>
      <c r="G978" s="39" t="s">
        <v>2432</v>
      </c>
      <c r="H978" s="1">
        <v>2</v>
      </c>
      <c r="I978" s="1">
        <v>3</v>
      </c>
      <c r="J978" s="39" t="s">
        <v>2426</v>
      </c>
      <c r="K978" s="1">
        <v>3</v>
      </c>
      <c r="L978" s="1">
        <v>2</v>
      </c>
      <c r="S978" s="1" t="str">
        <f>IF(tblDados[[#This Row],[Mandante]]="","",TEXT(tblDados[[#This Row],[Data]],"aaaa-mm-dd")&amp;"|"&amp;TRIM(tblDados[[#This Row],[Mandante]])&amp;"|"&amp;TRIM(tblDados[[#This Row],[Visitante]]))</f>
        <v>2026-06-06|Dandenong Thunder|Caroline Springs George Cross</v>
      </c>
      <c r="T978" s="1">
        <f>IF($G978="",0,IF(COUNTIF($S$2:$S978,$S978)=1,1,0))</f>
        <v>1</v>
      </c>
      <c r="U978" s="19" t="str" cm="1">
        <f t="array" ref="U9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8" s="19" t="str" cm="1">
        <f t="array" ref="V9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9" spans="1:22" x14ac:dyDescent="0.3">
      <c r="A979" s="1" t="s">
        <v>2560</v>
      </c>
      <c r="B979" s="5">
        <v>46172</v>
      </c>
      <c r="C979" s="6">
        <v>0.20833333333333334</v>
      </c>
      <c r="D979" s="1" t="s">
        <v>7</v>
      </c>
      <c r="E979" s="1" t="s">
        <v>9</v>
      </c>
      <c r="F979" s="1" t="s">
        <v>2561</v>
      </c>
      <c r="G979" s="39" t="s">
        <v>2426</v>
      </c>
      <c r="H979" s="1">
        <v>0</v>
      </c>
      <c r="I979" s="1">
        <v>0</v>
      </c>
      <c r="J979" s="39" t="s">
        <v>2457</v>
      </c>
      <c r="K979" s="1">
        <v>0</v>
      </c>
      <c r="L979" s="1">
        <v>0</v>
      </c>
      <c r="S979" s="1" t="str">
        <f>IF(tblDados[[#This Row],[Mandante]]="","",TEXT(tblDados[[#This Row],[Data]],"aaaa-mm-dd")&amp;"|"&amp;TRIM(tblDados[[#This Row],[Mandante]])&amp;"|"&amp;TRIM(tblDados[[#This Row],[Visitante]]))</f>
        <v>2026-05-30|Caroline Springs George Cross|Green Gully</v>
      </c>
      <c r="T979" s="1">
        <f>IF($G979="",0,IF(COUNTIF($S$2:$S979,$S979)=1,1,0))</f>
        <v>1</v>
      </c>
      <c r="U979" s="19" t="str" cm="1">
        <f t="array" ref="U9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9" s="19" t="str" cm="1">
        <f t="array" ref="V9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0" spans="1:22" ht="14.4" x14ac:dyDescent="0.3">
      <c r="A980" s="1" t="s">
        <v>2562</v>
      </c>
      <c r="B980" s="5">
        <v>46164</v>
      </c>
      <c r="C980" s="6">
        <v>0.27083333333333331</v>
      </c>
      <c r="D980" s="1" t="s">
        <v>7</v>
      </c>
      <c r="E980" s="1" t="s">
        <v>9</v>
      </c>
      <c r="F980" s="1" t="s">
        <v>2563</v>
      </c>
      <c r="G980" s="39" t="s">
        <v>2423</v>
      </c>
      <c r="H980" s="1">
        <v>0</v>
      </c>
      <c r="I980" s="1">
        <v>0</v>
      </c>
      <c r="J980" s="39" t="s">
        <v>2426</v>
      </c>
      <c r="K980" s="1">
        <v>0</v>
      </c>
      <c r="L980" s="1">
        <v>0</v>
      </c>
      <c r="S980" s="1" t="str">
        <f>IF(tblDados[[#This Row],[Mandante]]="","",TEXT(tblDados[[#This Row],[Data]],"aaaa-mm-dd")&amp;"|"&amp;TRIM(tblDados[[#This Row],[Mandante]])&amp;"|"&amp;TRIM(tblDados[[#This Row],[Visitante]]))</f>
        <v>2026-05-22|Bentleigh Greens|Caroline Springs George Cross</v>
      </c>
      <c r="T980">
        <f>IF($G980="",0,IF(COUNTIF($S$2:$S2834,$S980)=1,1,0))</f>
        <v>1</v>
      </c>
      <c r="U980" s="19" t="str" cm="1">
        <f t="array" ref="U9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0" s="19" t="str" cm="1">
        <f t="array" ref="V9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1" spans="1:22" x14ac:dyDescent="0.3">
      <c r="A981" s="1" t="s">
        <v>2564</v>
      </c>
      <c r="B981" s="102">
        <v>46207</v>
      </c>
      <c r="C981" s="6">
        <v>9.375E-2</v>
      </c>
      <c r="D981" s="1" t="s">
        <v>7</v>
      </c>
      <c r="E981" s="1" t="s">
        <v>9</v>
      </c>
      <c r="F981" s="1" t="s">
        <v>2565</v>
      </c>
      <c r="G981" s="39" t="s">
        <v>2429</v>
      </c>
      <c r="H981" s="1">
        <v>0</v>
      </c>
      <c r="I981" s="1">
        <v>3</v>
      </c>
      <c r="J981" s="39" t="s">
        <v>2428</v>
      </c>
      <c r="K981" s="1">
        <v>3</v>
      </c>
      <c r="L981" s="1">
        <v>0</v>
      </c>
      <c r="S981" s="1" t="str">
        <f>IF(tblDados[[#This Row],[Mandante]]="","",TEXT(tblDados[[#This Row],[Data]],"aaaa-mm-dd")&amp;"|"&amp;TRIM(tblDados[[#This Row],[Mandante]])&amp;"|"&amp;TRIM(tblDados[[#This Row],[Visitante]]))</f>
        <v>2026-07-04|Altona Magic|Melbourne City U21</v>
      </c>
      <c r="T981" s="1">
        <f>IF($G981="",0,IF(COUNTIF($S$2:$S981,$S981)=1,1,0))</f>
        <v>1</v>
      </c>
      <c r="U981" s="19" t="str" cm="1">
        <f t="array" ref="U9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1" s="19" t="str" cm="1">
        <f t="array" ref="V9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2" spans="1:22" x14ac:dyDescent="0.3">
      <c r="A982" s="1" t="s">
        <v>2566</v>
      </c>
      <c r="B982" s="102">
        <v>46199</v>
      </c>
      <c r="C982" s="6">
        <v>0.3125</v>
      </c>
      <c r="D982" s="1" t="s">
        <v>7</v>
      </c>
      <c r="E982" s="1" t="s">
        <v>9</v>
      </c>
      <c r="F982" s="1" t="s">
        <v>2567</v>
      </c>
      <c r="G982" s="39" t="s">
        <v>255</v>
      </c>
      <c r="H982" s="1">
        <v>0</v>
      </c>
      <c r="I982" s="1">
        <v>2</v>
      </c>
      <c r="J982" s="39" t="s">
        <v>2428</v>
      </c>
      <c r="K982" s="1">
        <v>2</v>
      </c>
      <c r="L982" s="1">
        <v>0</v>
      </c>
      <c r="S982" s="1" t="str">
        <f>IF(tblDados[[#This Row],[Mandante]]="","",TEXT(tblDados[[#This Row],[Data]],"aaaa-mm-dd")&amp;"|"&amp;TRIM(tblDados[[#This Row],[Mandante]])&amp;"|"&amp;TRIM(tblDados[[#This Row],[Visitante]]))</f>
        <v>2026-06-26|St Albans Saints|Melbourne City U21</v>
      </c>
      <c r="T982" s="1">
        <f>IF($G982="",0,IF(COUNTIF($S$2:$S982,$S982)=1,1,0))</f>
        <v>1</v>
      </c>
      <c r="U982" s="19" t="str" cm="1">
        <f t="array" ref="U9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2" s="19" t="str" cm="1">
        <f t="array" ref="V9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3" spans="1:22" x14ac:dyDescent="0.3">
      <c r="A983" s="1" t="s">
        <v>2568</v>
      </c>
      <c r="B983" s="102">
        <v>46172</v>
      </c>
      <c r="C983" s="6">
        <v>8.3333333333333329E-2</v>
      </c>
      <c r="D983" s="1" t="s">
        <v>7</v>
      </c>
      <c r="E983" s="1" t="s">
        <v>9</v>
      </c>
      <c r="F983" s="1" t="s">
        <v>2569</v>
      </c>
      <c r="G983" s="39" t="s">
        <v>2428</v>
      </c>
      <c r="H983" s="1">
        <v>0</v>
      </c>
      <c r="I983" s="1">
        <v>1</v>
      </c>
      <c r="J983" s="39" t="s">
        <v>2431</v>
      </c>
      <c r="K983" s="1">
        <v>1</v>
      </c>
      <c r="L983" s="1">
        <v>0</v>
      </c>
      <c r="S983" s="1" t="str">
        <f>IF(tblDados[[#This Row],[Mandante]]="","",TEXT(tblDados[[#This Row],[Data]],"aaaa-mm-dd")&amp;"|"&amp;TRIM(tblDados[[#This Row],[Mandante]])&amp;"|"&amp;TRIM(tblDados[[#This Row],[Visitante]]))</f>
        <v>2026-05-30|Melbourne City U21|Dandenong City</v>
      </c>
      <c r="T983" s="1">
        <f>IF($G983="",0,IF(COUNTIF($S$2:$S983,$S983)=1,1,0))</f>
        <v>1</v>
      </c>
      <c r="U983" s="19" t="str" cm="1">
        <f t="array" ref="U9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3" s="19" t="str" cm="1">
        <f t="array" ref="V9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4" spans="1:22" x14ac:dyDescent="0.3">
      <c r="A984" s="1" t="s">
        <v>2570</v>
      </c>
      <c r="B984" s="102">
        <v>46166</v>
      </c>
      <c r="C984" s="6">
        <v>8.3333333333333329E-2</v>
      </c>
      <c r="D984" s="1" t="s">
        <v>7</v>
      </c>
      <c r="E984" s="1" t="s">
        <v>9</v>
      </c>
      <c r="F984" s="1" t="s">
        <v>2571</v>
      </c>
      <c r="G984" s="39" t="s">
        <v>2428</v>
      </c>
      <c r="H984" s="1">
        <v>2</v>
      </c>
      <c r="I984" s="1">
        <v>0</v>
      </c>
      <c r="J984" s="39" t="s">
        <v>2432</v>
      </c>
      <c r="K984" s="1">
        <v>0</v>
      </c>
      <c r="L984" s="1">
        <v>2</v>
      </c>
      <c r="S984" s="1" t="str">
        <f>IF(tblDados[[#This Row],[Mandante]]="","",TEXT(tblDados[[#This Row],[Data]],"aaaa-mm-dd")&amp;"|"&amp;TRIM(tblDados[[#This Row],[Mandante]])&amp;"|"&amp;TRIM(tblDados[[#This Row],[Visitante]]))</f>
        <v>2026-05-24|Melbourne City U21|Dandenong Thunder</v>
      </c>
      <c r="T984" s="1">
        <f>IF($G984="",0,IF(COUNTIF($S$2:$S984,$S984)=1,1,0))</f>
        <v>1</v>
      </c>
      <c r="U984" s="19" t="str" cm="1">
        <f t="array" ref="U9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4" s="19" t="str" cm="1">
        <f t="array" ref="V9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5" spans="1:22" x14ac:dyDescent="0.3">
      <c r="A985" s="1" t="s">
        <v>2572</v>
      </c>
      <c r="B985" s="102">
        <v>46157</v>
      </c>
      <c r="C985" s="6">
        <v>0.27083333333333331</v>
      </c>
      <c r="D985" s="1" t="s">
        <v>7</v>
      </c>
      <c r="E985" s="1" t="s">
        <v>9</v>
      </c>
      <c r="F985" s="1" t="s">
        <v>2573</v>
      </c>
      <c r="G985" s="39" t="s">
        <v>2457</v>
      </c>
      <c r="H985" s="1">
        <v>1</v>
      </c>
      <c r="I985" s="1">
        <v>3</v>
      </c>
      <c r="J985" s="39" t="s">
        <v>2428</v>
      </c>
      <c r="K985" s="1">
        <v>3</v>
      </c>
      <c r="L985" s="1">
        <v>1</v>
      </c>
      <c r="S985" s="1" t="str">
        <f>IF(tblDados[[#This Row],[Mandante]]="","",TEXT(tblDados[[#This Row],[Data]],"aaaa-mm-dd")&amp;"|"&amp;TRIM(tblDados[[#This Row],[Mandante]])&amp;"|"&amp;TRIM(tblDados[[#This Row],[Visitante]]))</f>
        <v>2026-05-15|Green Gully|Melbourne City U21</v>
      </c>
      <c r="T985" s="1">
        <f>IF($G985="",0,IF(COUNTIF($S$2:$S985,$S985)=1,1,0))</f>
        <v>1</v>
      </c>
      <c r="U985" s="19" t="str" cm="1">
        <f t="array" ref="U9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5" s="19" t="str" cm="1">
        <f t="array" ref="V9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6" spans="1:22" x14ac:dyDescent="0.3">
      <c r="A986" s="1" t="s">
        <v>2574</v>
      </c>
      <c r="B986" s="102">
        <v>46150</v>
      </c>
      <c r="C986" s="6">
        <v>0.27083333333333331</v>
      </c>
      <c r="D986" s="1" t="s">
        <v>7</v>
      </c>
      <c r="E986" s="1" t="s">
        <v>9</v>
      </c>
      <c r="F986" s="1" t="s">
        <v>2575</v>
      </c>
      <c r="G986" s="39" t="s">
        <v>2423</v>
      </c>
      <c r="H986" s="1">
        <v>0</v>
      </c>
      <c r="I986" s="1">
        <v>7</v>
      </c>
      <c r="J986" s="39" t="s">
        <v>2428</v>
      </c>
      <c r="K986" s="1">
        <v>7</v>
      </c>
      <c r="L986" s="1">
        <v>0</v>
      </c>
      <c r="S986" s="1" t="str">
        <f>IF(tblDados[[#This Row],[Mandante]]="","",TEXT(tblDados[[#This Row],[Data]],"aaaa-mm-dd")&amp;"|"&amp;TRIM(tblDados[[#This Row],[Mandante]])&amp;"|"&amp;TRIM(tblDados[[#This Row],[Visitante]]))</f>
        <v>2026-05-08|Bentleigh Greens|Melbourne City U21</v>
      </c>
      <c r="T986" s="1">
        <f>IF($G986="",0,IF(COUNTIF($S$2:$S986,$S986)=1,1,0))</f>
        <v>1</v>
      </c>
      <c r="U986" s="19" t="str" cm="1">
        <f t="array" ref="U9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6" s="19" t="str" cm="1">
        <f t="array" ref="V9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7" spans="1:22" ht="14.4" x14ac:dyDescent="0.3">
      <c r="A987" s="1" t="s">
        <v>2576</v>
      </c>
      <c r="B987" s="102">
        <v>46143</v>
      </c>
      <c r="C987" s="6">
        <v>0.27083333333333331</v>
      </c>
      <c r="D987" s="1" t="s">
        <v>7</v>
      </c>
      <c r="E987" s="1" t="s">
        <v>9</v>
      </c>
      <c r="F987" s="1" t="s">
        <v>2577</v>
      </c>
      <c r="G987" s="39" t="s">
        <v>254</v>
      </c>
      <c r="H987" s="1">
        <v>1</v>
      </c>
      <c r="I987" s="1">
        <v>2</v>
      </c>
      <c r="J987" s="39" t="s">
        <v>2428</v>
      </c>
      <c r="K987" s="1">
        <v>2</v>
      </c>
      <c r="L987" s="1">
        <v>1</v>
      </c>
      <c r="S987" s="1" t="str">
        <f>IF(tblDados[[#This Row],[Mandante]]="","",TEXT(tblDados[[#This Row],[Data]],"aaaa-mm-dd")&amp;"|"&amp;TRIM(tblDados[[#This Row],[Mandante]])&amp;"|"&amp;TRIM(tblDados[[#This Row],[Visitante]]))</f>
        <v>2026-05-01|South Melbourne|Melbourne City U21</v>
      </c>
      <c r="T987">
        <f>IF($G987="",0,IF(COUNTIF($S$2:$S2834,$S987)=1,1,0))</f>
        <v>1</v>
      </c>
      <c r="U987" s="19" t="str" cm="1">
        <f t="array" ref="U9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7" s="19" t="str" cm="1">
        <f t="array" ref="V9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8" spans="1:22" x14ac:dyDescent="0.3">
      <c r="A988" s="1" t="s">
        <v>2578</v>
      </c>
      <c r="B988" s="102">
        <v>46228</v>
      </c>
      <c r="C988" s="6">
        <v>0.16666666666666666</v>
      </c>
      <c r="D988" s="1" t="s">
        <v>7</v>
      </c>
      <c r="E988" s="1" t="s">
        <v>9</v>
      </c>
      <c r="F988" s="1" t="s">
        <v>2579</v>
      </c>
      <c r="G988" s="39" t="s">
        <v>2432</v>
      </c>
      <c r="H988" s="1">
        <v>0</v>
      </c>
      <c r="I988" s="1">
        <v>2</v>
      </c>
      <c r="J988" s="39" t="s">
        <v>2429</v>
      </c>
      <c r="K988" s="1">
        <v>2</v>
      </c>
      <c r="L988" s="1">
        <v>0</v>
      </c>
      <c r="S988" s="1" t="str">
        <f>IF(tblDados[[#This Row],[Mandante]]="","",TEXT(tblDados[[#This Row],[Data]],"aaaa-mm-dd")&amp;"|"&amp;TRIM(tblDados[[#This Row],[Mandante]])&amp;"|"&amp;TRIM(tblDados[[#This Row],[Visitante]]))</f>
        <v>2026-07-25|Dandenong Thunder|Altona Magic</v>
      </c>
      <c r="T988" s="1">
        <f>IF($G988="",0,IF(COUNTIF($S$2:$S988,$S988)=1,1,0))</f>
        <v>1</v>
      </c>
      <c r="U988" s="19" t="str" cm="1">
        <f t="array" ref="U9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8" s="19" t="str" cm="1">
        <f t="array" ref="V9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9" spans="1:22" x14ac:dyDescent="0.3">
      <c r="A989" s="1" t="s">
        <v>2580</v>
      </c>
      <c r="B989" s="102">
        <v>46213</v>
      </c>
      <c r="C989" s="6">
        <v>0.27083333333333331</v>
      </c>
      <c r="D989" s="1" t="s">
        <v>7</v>
      </c>
      <c r="E989" s="1" t="s">
        <v>9</v>
      </c>
      <c r="F989" s="1" t="s">
        <v>2581</v>
      </c>
      <c r="G989" s="39" t="s">
        <v>2457</v>
      </c>
      <c r="H989" s="1">
        <v>1</v>
      </c>
      <c r="I989" s="1">
        <v>3</v>
      </c>
      <c r="J989" s="39" t="s">
        <v>2429</v>
      </c>
      <c r="K989" s="1">
        <v>3</v>
      </c>
      <c r="L989" s="1">
        <v>1</v>
      </c>
      <c r="S989" s="1" t="str">
        <f>IF(tblDados[[#This Row],[Mandante]]="","",TEXT(tblDados[[#This Row],[Data]],"aaaa-mm-dd")&amp;"|"&amp;TRIM(tblDados[[#This Row],[Mandante]])&amp;"|"&amp;TRIM(tblDados[[#This Row],[Visitante]]))</f>
        <v>2026-07-10|Green Gully|Altona Magic</v>
      </c>
      <c r="T989" s="1">
        <f>IF($G989="",0,IF(COUNTIF($S$2:$S989,$S989)=1,1,0))</f>
        <v>1</v>
      </c>
      <c r="U989" s="19" t="str" cm="1">
        <f t="array" ref="U9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9" s="19" t="str" cm="1">
        <f t="array" ref="V9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0" spans="1:22" x14ac:dyDescent="0.3">
      <c r="A990" s="1" t="s">
        <v>2582</v>
      </c>
      <c r="B990" s="102">
        <v>46199</v>
      </c>
      <c r="C990" s="6">
        <v>0.3125</v>
      </c>
      <c r="D990" s="1" t="s">
        <v>7</v>
      </c>
      <c r="E990" s="1" t="s">
        <v>9</v>
      </c>
      <c r="F990" s="1" t="s">
        <v>2583</v>
      </c>
      <c r="G990" s="39" t="s">
        <v>2423</v>
      </c>
      <c r="H990" s="1">
        <v>0</v>
      </c>
      <c r="I990" s="1">
        <v>1</v>
      </c>
      <c r="J990" s="39" t="s">
        <v>2429</v>
      </c>
      <c r="K990" s="1">
        <v>1</v>
      </c>
      <c r="L990" s="1">
        <v>0</v>
      </c>
      <c r="S990" s="1" t="str">
        <f>IF(tblDados[[#This Row],[Mandante]]="","",TEXT(tblDados[[#This Row],[Data]],"aaaa-mm-dd")&amp;"|"&amp;TRIM(tblDados[[#This Row],[Mandante]])&amp;"|"&amp;TRIM(tblDados[[#This Row],[Visitante]]))</f>
        <v>2026-06-26|Bentleigh Greens|Altona Magic</v>
      </c>
      <c r="T990" s="1">
        <f>IF($G990="",0,IF(COUNTIF($S$2:$S990,$S990)=1,1,0))</f>
        <v>1</v>
      </c>
      <c r="U990" s="19" t="str" cm="1">
        <f t="array" ref="U9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0" s="19" t="str" cm="1">
        <f t="array" ref="V9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1" spans="1:22" ht="14.4" x14ac:dyDescent="0.3">
      <c r="A991" s="1" t="s">
        <v>2584</v>
      </c>
      <c r="B991" s="102">
        <v>46194</v>
      </c>
      <c r="C991" s="6">
        <v>0.16666666666666666</v>
      </c>
      <c r="D991" s="1" t="s">
        <v>7</v>
      </c>
      <c r="E991" s="1" t="s">
        <v>9</v>
      </c>
      <c r="F991" s="1" t="s">
        <v>2585</v>
      </c>
      <c r="G991" s="39" t="s">
        <v>255</v>
      </c>
      <c r="H991" s="1">
        <v>2</v>
      </c>
      <c r="I991" s="1">
        <v>1</v>
      </c>
      <c r="J991" s="39" t="s">
        <v>2429</v>
      </c>
      <c r="K991" s="1">
        <v>1</v>
      </c>
      <c r="L991" s="1">
        <v>2</v>
      </c>
      <c r="S991" s="1" t="str">
        <f>IF(tblDados[[#This Row],[Mandante]]="","",TEXT(tblDados[[#This Row],[Data]],"aaaa-mm-dd")&amp;"|"&amp;TRIM(tblDados[[#This Row],[Mandante]])&amp;"|"&amp;TRIM(tblDados[[#This Row],[Visitante]]))</f>
        <v>2026-06-21|St Albans Saints|Altona Magic</v>
      </c>
      <c r="T991">
        <f>IF($G991="",0,IF(COUNTIF($S$2:$S2834,$S991)=1,1,0))</f>
        <v>1</v>
      </c>
      <c r="U991" s="19" t="str" cm="1">
        <f t="array" ref="U9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1" s="19" t="str" cm="1">
        <f t="array" ref="V9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2" spans="1:22" x14ac:dyDescent="0.3">
      <c r="A992" s="1" t="s">
        <v>2586</v>
      </c>
      <c r="B992" s="102">
        <v>46164</v>
      </c>
      <c r="C992" s="6">
        <v>0.28125</v>
      </c>
      <c r="D992" s="1" t="s">
        <v>7</v>
      </c>
      <c r="E992" s="1" t="s">
        <v>9</v>
      </c>
      <c r="F992" s="1" t="s">
        <v>2587</v>
      </c>
      <c r="G992" s="39" t="s">
        <v>2431</v>
      </c>
      <c r="H992" s="1">
        <v>2</v>
      </c>
      <c r="I992" s="1">
        <v>1</v>
      </c>
      <c r="J992" s="39" t="s">
        <v>255</v>
      </c>
      <c r="K992" s="1">
        <v>1</v>
      </c>
      <c r="L992" s="1">
        <v>2</v>
      </c>
      <c r="S992" s="1" t="str">
        <f>IF(tblDados[[#This Row],[Mandante]]="","",TEXT(tblDados[[#This Row],[Data]],"aaaa-mm-dd")&amp;"|"&amp;TRIM(tblDados[[#This Row],[Mandante]])&amp;"|"&amp;TRIM(tblDados[[#This Row],[Visitante]]))</f>
        <v>2026-05-22|Dandenong City|St Albans Saints</v>
      </c>
      <c r="T992" s="1">
        <f>IF($G992="",0,IF(COUNTIF($S$2:$S992,$S992)=1,1,0))</f>
        <v>1</v>
      </c>
      <c r="U992" s="19" t="str" cm="1">
        <f t="array" ref="U9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2" s="19" t="str" cm="1">
        <f t="array" ref="V9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3" spans="1:22" x14ac:dyDescent="0.3">
      <c r="A993" s="1" t="s">
        <v>2588</v>
      </c>
      <c r="B993" s="102">
        <v>46158</v>
      </c>
      <c r="C993" s="6">
        <v>0.16666666666666666</v>
      </c>
      <c r="D993" s="1" t="s">
        <v>7</v>
      </c>
      <c r="E993" s="1" t="s">
        <v>9</v>
      </c>
      <c r="F993" s="1" t="s">
        <v>2589</v>
      </c>
      <c r="G993" s="39" t="s">
        <v>2432</v>
      </c>
      <c r="H993" s="1">
        <v>2</v>
      </c>
      <c r="I993" s="1">
        <v>2</v>
      </c>
      <c r="J993" s="39" t="s">
        <v>255</v>
      </c>
      <c r="K993" s="1">
        <v>2</v>
      </c>
      <c r="L993" s="1">
        <v>2</v>
      </c>
      <c r="S993" s="1" t="str">
        <f>IF(tblDados[[#This Row],[Mandante]]="","",TEXT(tblDados[[#This Row],[Data]],"aaaa-mm-dd")&amp;"|"&amp;TRIM(tblDados[[#This Row],[Mandante]])&amp;"|"&amp;TRIM(tblDados[[#This Row],[Visitante]]))</f>
        <v>2026-05-16|Dandenong Thunder|St Albans Saints</v>
      </c>
      <c r="T993" s="1">
        <f>IF($G993="",0,IF(COUNTIF($S$2:$S993,$S993)=1,1,0))</f>
        <v>1</v>
      </c>
      <c r="U993" s="19" t="str" cm="1">
        <f t="array" ref="U9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3" s="19" t="str" cm="1">
        <f t="array" ref="V9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4" spans="1:22" ht="14.4" x14ac:dyDescent="0.3">
      <c r="A994" s="1" t="s">
        <v>2590</v>
      </c>
      <c r="B994" s="102">
        <v>46150</v>
      </c>
      <c r="C994" s="6">
        <v>0.27083333333333331</v>
      </c>
      <c r="D994" s="1" t="s">
        <v>7</v>
      </c>
      <c r="E994" s="1" t="s">
        <v>9</v>
      </c>
      <c r="F994" s="1" t="s">
        <v>2591</v>
      </c>
      <c r="G994" s="39" t="s">
        <v>255</v>
      </c>
      <c r="H994" s="1">
        <v>1</v>
      </c>
      <c r="I994" s="1">
        <v>0</v>
      </c>
      <c r="J994" s="39" t="s">
        <v>2457</v>
      </c>
      <c r="K994" s="1">
        <v>0</v>
      </c>
      <c r="L994" s="1">
        <v>1</v>
      </c>
      <c r="S994" s="1" t="str">
        <f>IF(tblDados[[#This Row],[Mandante]]="","",TEXT(tblDados[[#This Row],[Data]],"aaaa-mm-dd")&amp;"|"&amp;TRIM(tblDados[[#This Row],[Mandante]])&amp;"|"&amp;TRIM(tblDados[[#This Row],[Visitante]]))</f>
        <v>2026-05-08|St Albans Saints|Green Gully</v>
      </c>
      <c r="T994">
        <f>IF($G994="",0,IF(COUNTIF($S$2:$S2834,$S994)=1,1,0))</f>
        <v>1</v>
      </c>
      <c r="U994" s="19" t="str" cm="1">
        <f t="array" ref="U9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4" s="19" t="str" cm="1">
        <f t="array" ref="V9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5" spans="1:22" x14ac:dyDescent="0.3">
      <c r="A995" s="1" t="s">
        <v>2592</v>
      </c>
      <c r="B995" s="102">
        <v>46235</v>
      </c>
      <c r="C995" s="6">
        <v>0.25</v>
      </c>
      <c r="D995" s="1" t="s">
        <v>7</v>
      </c>
      <c r="E995" s="1" t="s">
        <v>9</v>
      </c>
      <c r="F995" s="1" t="s">
        <v>2593</v>
      </c>
      <c r="G995" s="39" t="s">
        <v>2432</v>
      </c>
      <c r="H995" s="1">
        <v>0</v>
      </c>
      <c r="I995" s="1">
        <v>3</v>
      </c>
      <c r="J995" s="39" t="s">
        <v>2431</v>
      </c>
      <c r="K995" s="1">
        <v>3</v>
      </c>
      <c r="L995" s="1">
        <v>0</v>
      </c>
      <c r="S995" s="1" t="str">
        <f>IF(tblDados[[#This Row],[Mandante]]="","",TEXT(tblDados[[#This Row],[Data]],"aaaa-mm-dd")&amp;"|"&amp;TRIM(tblDados[[#This Row],[Mandante]])&amp;"|"&amp;TRIM(tblDados[[#This Row],[Visitante]]))</f>
        <v>2026-08-01|Dandenong Thunder|Dandenong City</v>
      </c>
      <c r="T995" s="1">
        <f>IF($G995="",0,IF(COUNTIF($S$2:$S995,$S995)=1,1,0))</f>
        <v>1</v>
      </c>
      <c r="U995" s="19" t="str" cm="1">
        <f t="array" ref="U9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5" s="19" t="str" cm="1">
        <f t="array" ref="V9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6" spans="1:22" x14ac:dyDescent="0.3">
      <c r="A996" s="1" t="s">
        <v>2594</v>
      </c>
      <c r="B996" s="102">
        <v>46227</v>
      </c>
      <c r="C996" s="6">
        <v>0.27083333333333331</v>
      </c>
      <c r="D996" s="1" t="s">
        <v>7</v>
      </c>
      <c r="E996" s="1" t="s">
        <v>9</v>
      </c>
      <c r="F996" s="1" t="s">
        <v>2595</v>
      </c>
      <c r="G996" s="39" t="s">
        <v>2457</v>
      </c>
      <c r="H996" s="1">
        <v>0</v>
      </c>
      <c r="I996" s="1">
        <v>0</v>
      </c>
      <c r="J996" s="39" t="s">
        <v>2431</v>
      </c>
      <c r="K996" s="1">
        <v>0</v>
      </c>
      <c r="L996" s="1">
        <v>0</v>
      </c>
      <c r="S996" s="1" t="str">
        <f>IF(tblDados[[#This Row],[Mandante]]="","",TEXT(tblDados[[#This Row],[Data]],"aaaa-mm-dd")&amp;"|"&amp;TRIM(tblDados[[#This Row],[Mandante]])&amp;"|"&amp;TRIM(tblDados[[#This Row],[Visitante]]))</f>
        <v>2026-07-24|Green Gully|Dandenong City</v>
      </c>
      <c r="T996" s="1">
        <f>IF($G996="",0,IF(COUNTIF($S$2:$S996,$S996)=1,1,0))</f>
        <v>1</v>
      </c>
      <c r="U996" s="19" t="str" cm="1">
        <f t="array" ref="U9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6" s="19" t="str" cm="1">
        <f t="array" ref="V9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7" spans="1:22" ht="14.4" x14ac:dyDescent="0.3">
      <c r="A997" s="1" t="s">
        <v>2596</v>
      </c>
      <c r="B997" s="102">
        <v>46220</v>
      </c>
      <c r="C997" s="6">
        <v>0.27083333333333331</v>
      </c>
      <c r="D997" s="1" t="s">
        <v>7</v>
      </c>
      <c r="E997" s="1" t="s">
        <v>9</v>
      </c>
      <c r="F997" s="1" t="s">
        <v>2597</v>
      </c>
      <c r="G997" s="39" t="s">
        <v>2423</v>
      </c>
      <c r="H997" s="1">
        <v>2</v>
      </c>
      <c r="I997" s="1">
        <v>1</v>
      </c>
      <c r="J997" s="39" t="s">
        <v>2431</v>
      </c>
      <c r="K997" s="1">
        <v>1</v>
      </c>
      <c r="L997" s="1">
        <v>2</v>
      </c>
      <c r="S997" s="1" t="str">
        <f>IF(tblDados[[#This Row],[Mandante]]="","",TEXT(tblDados[[#This Row],[Data]],"aaaa-mm-dd")&amp;"|"&amp;TRIM(tblDados[[#This Row],[Mandante]])&amp;"|"&amp;TRIM(tblDados[[#This Row],[Visitante]]))</f>
        <v>2026-07-17|Bentleigh Greens|Dandenong City</v>
      </c>
      <c r="T997">
        <f>IF($G997="",0,IF(COUNTIF($S$2:$S2834,$S997)=1,1,0))</f>
        <v>1</v>
      </c>
      <c r="U997" s="19" t="str" cm="1">
        <f t="array" ref="U9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7" s="19" t="str" cm="1">
        <f t="array" ref="V9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8" spans="1:22" x14ac:dyDescent="0.3">
      <c r="A998" s="1" t="s">
        <v>2598</v>
      </c>
      <c r="B998" s="102">
        <v>46214</v>
      </c>
      <c r="C998" s="6">
        <v>0.16666666666666666</v>
      </c>
      <c r="D998" s="1" t="s">
        <v>7</v>
      </c>
      <c r="E998" s="1" t="s">
        <v>9</v>
      </c>
      <c r="F998" s="1" t="s">
        <v>2599</v>
      </c>
      <c r="G998" s="39" t="s">
        <v>2432</v>
      </c>
      <c r="H998" s="1">
        <v>2</v>
      </c>
      <c r="I998" s="1">
        <v>1</v>
      </c>
      <c r="J998" s="39" t="s">
        <v>2423</v>
      </c>
      <c r="K998" s="1">
        <v>1</v>
      </c>
      <c r="L998" s="1">
        <v>2</v>
      </c>
      <c r="S998" s="1" t="str">
        <f>IF(tblDados[[#This Row],[Mandante]]="","",TEXT(tblDados[[#This Row],[Data]],"aaaa-mm-dd")&amp;"|"&amp;TRIM(tblDados[[#This Row],[Mandante]])&amp;"|"&amp;TRIM(tblDados[[#This Row],[Visitante]]))</f>
        <v>2026-07-11|Dandenong Thunder|Bentleigh Greens</v>
      </c>
      <c r="T998" s="1">
        <f>IF($G998="",0,IF(COUNTIF($S$2:$S998,$S998)=1,1,0))</f>
        <v>1</v>
      </c>
      <c r="U998" s="19" t="str" cm="1">
        <f t="array" ref="U9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8" s="19" t="str" cm="1">
        <f t="array" ref="V9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9" spans="1:22" ht="14.4" x14ac:dyDescent="0.3">
      <c r="A999" s="1" t="s">
        <v>2600</v>
      </c>
      <c r="B999" s="102">
        <v>46206</v>
      </c>
      <c r="C999" s="6">
        <v>0.27083333333333331</v>
      </c>
      <c r="D999" s="1" t="s">
        <v>7</v>
      </c>
      <c r="E999" s="1" t="s">
        <v>9</v>
      </c>
      <c r="F999" s="1" t="s">
        <v>2601</v>
      </c>
      <c r="G999" s="39" t="s">
        <v>2457</v>
      </c>
      <c r="H999" s="1">
        <v>3</v>
      </c>
      <c r="I999" s="1">
        <v>0</v>
      </c>
      <c r="J999" s="39" t="s">
        <v>2423</v>
      </c>
      <c r="K999" s="1">
        <v>0</v>
      </c>
      <c r="L999" s="1">
        <v>3</v>
      </c>
      <c r="S999" s="1" t="str">
        <f>IF(tblDados[[#This Row],[Mandante]]="","",TEXT(tblDados[[#This Row],[Data]],"aaaa-mm-dd")&amp;"|"&amp;TRIM(tblDados[[#This Row],[Mandante]])&amp;"|"&amp;TRIM(tblDados[[#This Row],[Visitante]]))</f>
        <v>2026-07-03|Green Gully|Bentleigh Greens</v>
      </c>
      <c r="T999">
        <f>IF($G999="",0,IF(COUNTIF($S$2:$S2834,$S999)=1,1,0))</f>
        <v>1</v>
      </c>
      <c r="U999" s="19" t="str" cm="1">
        <f t="array" ref="U9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9" s="19" t="str" cm="1">
        <f t="array" ref="V9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0" spans="1:22" ht="14.4" x14ac:dyDescent="0.3">
      <c r="A1000" s="1" t="s">
        <v>2602</v>
      </c>
      <c r="B1000" s="102">
        <v>46220</v>
      </c>
      <c r="C1000" s="6">
        <v>0.27083333333333331</v>
      </c>
      <c r="D1000" s="1" t="s">
        <v>7</v>
      </c>
      <c r="E1000" s="1" t="s">
        <v>9</v>
      </c>
      <c r="F1000" s="1" t="s">
        <v>2603</v>
      </c>
      <c r="G1000" s="39" t="s">
        <v>2457</v>
      </c>
      <c r="H1000" s="1">
        <v>3</v>
      </c>
      <c r="I1000" s="1">
        <v>1</v>
      </c>
      <c r="J1000" s="39" t="s">
        <v>2432</v>
      </c>
      <c r="K1000" s="1">
        <v>1</v>
      </c>
      <c r="L1000" s="1">
        <v>3</v>
      </c>
      <c r="S1000" s="1" t="str">
        <f>IF(tblDados[[#This Row],[Mandante]]="","",TEXT(tblDados[[#This Row],[Data]],"aaaa-mm-dd")&amp;"|"&amp;TRIM(tblDados[[#This Row],[Mandante]])&amp;"|"&amp;TRIM(tblDados[[#This Row],[Visitante]]))</f>
        <v>2026-07-17|Green Gully|Dandenong Thunder</v>
      </c>
      <c r="T1000">
        <f>IF($G1000="",0,IF(COUNTIF($S$2:$S2834,$S1000)=1,1,0))</f>
        <v>1</v>
      </c>
      <c r="U1000" s="19" t="str" cm="1">
        <f t="array" ref="U10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0" s="19" t="str" cm="1">
        <f t="array" ref="V10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1" spans="1:22" x14ac:dyDescent="0.3">
      <c r="A1001" s="1" t="s">
        <v>2604</v>
      </c>
      <c r="B1001" s="102">
        <v>46218</v>
      </c>
      <c r="C1001" s="6">
        <v>0.83333333333333337</v>
      </c>
      <c r="D1001" s="1" t="s">
        <v>10</v>
      </c>
      <c r="E1001" s="1" t="s">
        <v>11</v>
      </c>
      <c r="F1001" s="1" t="s">
        <v>2605</v>
      </c>
      <c r="G1001" s="39" t="s">
        <v>235</v>
      </c>
      <c r="H1001" s="1">
        <v>1</v>
      </c>
      <c r="I1001" s="1">
        <v>1</v>
      </c>
      <c r="J1001" s="39" t="s">
        <v>1619</v>
      </c>
      <c r="K1001" s="1">
        <v>1</v>
      </c>
      <c r="L1001" s="1">
        <v>1</v>
      </c>
      <c r="S1001" s="1" t="str">
        <f>IF(tblDados[[#This Row],[Mandante]]="","",TEXT(tblDados[[#This Row],[Data]],"aaaa-mm-dd")&amp;"|"&amp;TRIM(tblDados[[#This Row],[Mandante]])&amp;"|"&amp;TRIM(tblDados[[#This Row],[Visitante]]))</f>
        <v>2026-07-15|Blooming|GV San José</v>
      </c>
      <c r="T1001" s="1">
        <f>IF($G1001="",0,IF(COUNTIF($S$2:$S1001,$S1001)=1,1,0))</f>
        <v>1</v>
      </c>
      <c r="U1001" s="19" t="str" cm="1">
        <f t="array" ref="U10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1" s="19" t="str" cm="1">
        <f t="array" ref="V10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2" spans="1:22" ht="14.4" x14ac:dyDescent="0.3">
      <c r="A1002" s="1" t="s">
        <v>2606</v>
      </c>
      <c r="B1002" s="102">
        <v>46173</v>
      </c>
      <c r="C1002" s="6">
        <v>0.54166666666666663</v>
      </c>
      <c r="D1002" s="1" t="s">
        <v>10</v>
      </c>
      <c r="E1002" s="1" t="s">
        <v>11</v>
      </c>
      <c r="F1002" s="1" t="s">
        <v>2607</v>
      </c>
      <c r="G1002" s="39" t="s">
        <v>665</v>
      </c>
      <c r="H1002" s="1">
        <v>0</v>
      </c>
      <c r="I1002" s="1">
        <v>1</v>
      </c>
      <c r="J1002" s="39" t="s">
        <v>235</v>
      </c>
      <c r="K1002" s="1">
        <v>1</v>
      </c>
      <c r="L1002" s="1">
        <v>0</v>
      </c>
      <c r="S1002" s="1" t="str">
        <f>IF(tblDados[[#This Row],[Mandante]]="","",TEXT(tblDados[[#This Row],[Data]],"aaaa-mm-dd")&amp;"|"&amp;TRIM(tblDados[[#This Row],[Mandante]])&amp;"|"&amp;TRIM(tblDados[[#This Row],[Visitante]]))</f>
        <v>2026-05-31|Oriente Petrolero|Blooming</v>
      </c>
      <c r="T1002">
        <f>IF($G1002="",0,IF(COUNTIF($S$2:$S2834,$S1002)=1,1,0))</f>
        <v>1</v>
      </c>
      <c r="U1002" s="19" t="str" cm="1">
        <f t="array" ref="U10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2" s="19" t="str" cm="1">
        <f t="array" ref="V10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3" spans="1:22" x14ac:dyDescent="0.3">
      <c r="A1003" s="1" t="s">
        <v>2608</v>
      </c>
      <c r="B1003" s="102">
        <v>46236</v>
      </c>
      <c r="C1003" s="6">
        <v>0.5</v>
      </c>
      <c r="D1003" s="1" t="s">
        <v>10</v>
      </c>
      <c r="E1003" s="1" t="s">
        <v>11</v>
      </c>
      <c r="F1003" s="1" t="s">
        <v>2609</v>
      </c>
      <c r="G1003" s="39" t="s">
        <v>1598</v>
      </c>
      <c r="H1003" s="1">
        <v>0</v>
      </c>
      <c r="I1003" s="1">
        <v>0</v>
      </c>
      <c r="J1003" s="39" t="s">
        <v>1619</v>
      </c>
      <c r="K1003" s="1">
        <v>0</v>
      </c>
      <c r="L1003" s="1">
        <v>0</v>
      </c>
      <c r="S1003" s="1" t="str">
        <f>IF(tblDados[[#This Row],[Mandante]]="","",TEXT(tblDados[[#This Row],[Data]],"aaaa-mm-dd")&amp;"|"&amp;TRIM(tblDados[[#This Row],[Mandante]])&amp;"|"&amp;TRIM(tblDados[[#This Row],[Visitante]]))</f>
        <v>2026-08-02|Real Potosí|GV San José</v>
      </c>
      <c r="T1003" s="1">
        <f>IF($G1003="",0,IF(COUNTIF($S$2:$S1003,$S1003)=1,1,0))</f>
        <v>1</v>
      </c>
      <c r="U1003" s="19" t="str" cm="1">
        <f t="array" ref="U10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3" s="19" t="str" cm="1">
        <f t="array" ref="V10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4" spans="1:22" ht="14.4" x14ac:dyDescent="0.3">
      <c r="A1004" s="1" t="s">
        <v>2610</v>
      </c>
      <c r="B1004" s="102">
        <v>46230</v>
      </c>
      <c r="C1004" s="6">
        <v>0.5</v>
      </c>
      <c r="D1004" s="1" t="s">
        <v>10</v>
      </c>
      <c r="E1004" s="1" t="s">
        <v>11</v>
      </c>
      <c r="F1004" s="1" t="s">
        <v>2611</v>
      </c>
      <c r="G1004" s="39" t="s">
        <v>1619</v>
      </c>
      <c r="H1004" s="1">
        <v>2</v>
      </c>
      <c r="I1004" s="1">
        <v>1</v>
      </c>
      <c r="J1004" s="39" t="s">
        <v>680</v>
      </c>
      <c r="K1004" s="1">
        <v>1</v>
      </c>
      <c r="L1004" s="1">
        <v>2</v>
      </c>
      <c r="S1004" s="1" t="str">
        <f>IF(tblDados[[#This Row],[Mandante]]="","",TEXT(tblDados[[#This Row],[Data]],"aaaa-mm-dd")&amp;"|"&amp;TRIM(tblDados[[#This Row],[Mandante]])&amp;"|"&amp;TRIM(tblDados[[#This Row],[Visitante]]))</f>
        <v>2026-07-27|GV San José|Universitario de Vinto</v>
      </c>
      <c r="T1004">
        <f>IF($G1004="",0,IF(COUNTIF($S$2:$S2834,$S1004)=1,1,0))</f>
        <v>1</v>
      </c>
      <c r="U1004" s="19" t="str" cm="1">
        <f t="array" ref="U10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4" s="19" t="str" cm="1">
        <f t="array" ref="V10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5" spans="1:22" x14ac:dyDescent="0.3">
      <c r="A1005" s="1" t="s">
        <v>2612</v>
      </c>
      <c r="B1005" s="102">
        <v>46138</v>
      </c>
      <c r="C1005" s="6">
        <v>0.6875</v>
      </c>
      <c r="D1005" s="1" t="s">
        <v>10</v>
      </c>
      <c r="E1005" s="1" t="s">
        <v>11</v>
      </c>
      <c r="F1005" s="1" t="s">
        <v>2613</v>
      </c>
      <c r="G1005" s="39" t="s">
        <v>665</v>
      </c>
      <c r="H1005" s="1">
        <v>2</v>
      </c>
      <c r="I1005" s="1">
        <v>0</v>
      </c>
      <c r="J1005" s="39" t="s">
        <v>1598</v>
      </c>
      <c r="K1005" s="1">
        <v>0</v>
      </c>
      <c r="L1005" s="1">
        <v>2</v>
      </c>
      <c r="S1005" s="1" t="str">
        <f>IF(tblDados[[#This Row],[Mandante]]="","",TEXT(tblDados[[#This Row],[Data]],"aaaa-mm-dd")&amp;"|"&amp;TRIM(tblDados[[#This Row],[Mandante]])&amp;"|"&amp;TRIM(tblDados[[#This Row],[Visitante]]))</f>
        <v>2026-04-26|Oriente Petrolero|Real Potosí</v>
      </c>
      <c r="T1005" s="1">
        <f>IF($G1005="",0,IF(COUNTIF($S$2:$S1005,$S1005)=1,1,0))</f>
        <v>1</v>
      </c>
      <c r="U1005" s="19" t="str" cm="1">
        <f t="array" ref="U10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5" s="19" t="str" cm="1">
        <f t="array" ref="V10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6" spans="1:22" ht="14.4" x14ac:dyDescent="0.3">
      <c r="A1006" s="1" t="s">
        <v>2614</v>
      </c>
      <c r="B1006" s="102">
        <v>46124</v>
      </c>
      <c r="C1006" s="6">
        <v>0.6875</v>
      </c>
      <c r="D1006" s="1" t="s">
        <v>10</v>
      </c>
      <c r="E1006" s="1" t="s">
        <v>11</v>
      </c>
      <c r="F1006" s="1" t="s">
        <v>2615</v>
      </c>
      <c r="G1006" s="39" t="s">
        <v>665</v>
      </c>
      <c r="H1006" s="1">
        <v>2</v>
      </c>
      <c r="I1006" s="1">
        <v>1</v>
      </c>
      <c r="J1006" s="39" t="s">
        <v>1619</v>
      </c>
      <c r="K1006" s="1">
        <v>1</v>
      </c>
      <c r="L1006" s="1">
        <v>2</v>
      </c>
      <c r="S1006" s="1" t="str">
        <f>IF(tblDados[[#This Row],[Mandante]]="","",TEXT(tblDados[[#This Row],[Data]],"aaaa-mm-dd")&amp;"|"&amp;TRIM(tblDados[[#This Row],[Mandante]])&amp;"|"&amp;TRIM(tblDados[[#This Row],[Visitante]]))</f>
        <v>2026-04-12|Oriente Petrolero|GV San José</v>
      </c>
      <c r="T1006">
        <f>IF($G1006="",0,IF(COUNTIF($S$2:$S2834,$S1006)=1,1,0))</f>
        <v>1</v>
      </c>
      <c r="U1006" s="19" t="str" cm="1">
        <f t="array" ref="U10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6" s="19" t="str" cm="1">
        <f t="array" ref="V10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7" spans="1:22" ht="14.4" x14ac:dyDescent="0.3">
      <c r="A1007" s="1" t="s">
        <v>2616</v>
      </c>
      <c r="B1007" s="102">
        <v>46146</v>
      </c>
      <c r="C1007" s="6">
        <v>0.70833333333333337</v>
      </c>
      <c r="D1007" s="1" t="s">
        <v>10</v>
      </c>
      <c r="E1007" s="1" t="s">
        <v>11</v>
      </c>
      <c r="F1007" s="1" t="s">
        <v>2617</v>
      </c>
      <c r="G1007" s="39" t="s">
        <v>680</v>
      </c>
      <c r="H1007" s="1">
        <v>1</v>
      </c>
      <c r="I1007" s="1">
        <v>1</v>
      </c>
      <c r="J1007" s="39" t="s">
        <v>235</v>
      </c>
      <c r="K1007" s="1">
        <v>1</v>
      </c>
      <c r="L1007" s="1">
        <v>1</v>
      </c>
      <c r="S1007" s="1" t="str">
        <f>IF(tblDados[[#This Row],[Mandante]]="","",TEXT(tblDados[[#This Row],[Data]],"aaaa-mm-dd")&amp;"|"&amp;TRIM(tblDados[[#This Row],[Mandante]])&amp;"|"&amp;TRIM(tblDados[[#This Row],[Visitante]]))</f>
        <v>2026-05-04|Universitario de Vinto|Blooming</v>
      </c>
      <c r="T1007">
        <f>IF($G1007="",0,IF(COUNTIF($S$2:$S2834,$S1007)=1,1,0))</f>
        <v>1</v>
      </c>
      <c r="U1007" s="19" t="str" cm="1">
        <f t="array" ref="U10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7" s="19" t="str" cm="1">
        <f t="array" ref="V10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8" spans="1:22" x14ac:dyDescent="0.3">
      <c r="A1008" s="1" t="s">
        <v>2623</v>
      </c>
      <c r="B1008" s="102">
        <v>46241</v>
      </c>
      <c r="C1008" s="6">
        <v>0.79166666666666663</v>
      </c>
      <c r="D1008" s="1" t="s">
        <v>15</v>
      </c>
      <c r="E1008" s="1" t="s">
        <v>2618</v>
      </c>
      <c r="F1008" s="1" t="s">
        <v>2624</v>
      </c>
      <c r="G1008" s="39" t="s">
        <v>2620</v>
      </c>
      <c r="H1008" s="1">
        <v>0</v>
      </c>
      <c r="I1008" s="1">
        <v>1</v>
      </c>
      <c r="J1008" s="39" t="s">
        <v>232</v>
      </c>
      <c r="K1008" s="1">
        <v>1</v>
      </c>
      <c r="L1008" s="1">
        <v>0</v>
      </c>
      <c r="S1008" s="1" t="str">
        <f>IF(tblDados[[#This Row],[Mandante]]="","",TEXT(tblDados[[#This Row],[Data]],"aaaa-mm-dd")&amp;"|"&amp;TRIM(tblDados[[#This Row],[Mandante]])&amp;"|"&amp;TRIM(tblDados[[#This Row],[Visitante]]))</f>
        <v>2026-08-07|Forge FC|Vancouver FC</v>
      </c>
      <c r="T1008" s="1">
        <f>IF($G1008="",0,IF(COUNTIF($S$2:$S1008,$S1008)=1,1,0))</f>
        <v>1</v>
      </c>
      <c r="U1008" s="19" t="str" cm="1">
        <f t="array" ref="U10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8" s="19" t="str" cm="1">
        <f t="array" ref="V10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9" spans="1:22" x14ac:dyDescent="0.3">
      <c r="A1009" s="1" t="s">
        <v>2625</v>
      </c>
      <c r="B1009" s="102">
        <v>46236</v>
      </c>
      <c r="C1009" s="6">
        <v>0.79166666666666663</v>
      </c>
      <c r="D1009" s="1" t="s">
        <v>15</v>
      </c>
      <c r="E1009" s="1" t="s">
        <v>2618</v>
      </c>
      <c r="F1009" s="1" t="s">
        <v>2626</v>
      </c>
      <c r="G1009" s="39" t="s">
        <v>2621</v>
      </c>
      <c r="H1009" s="1">
        <v>0</v>
      </c>
      <c r="I1009" s="1">
        <v>0</v>
      </c>
      <c r="J1009" s="39" t="s">
        <v>2620</v>
      </c>
      <c r="K1009" s="1">
        <v>0</v>
      </c>
      <c r="L1009" s="1">
        <v>0</v>
      </c>
      <c r="S1009" s="1" t="str">
        <f>IF(tblDados[[#This Row],[Mandante]]="","",TEXT(tblDados[[#This Row],[Data]],"aaaa-mm-dd")&amp;"|"&amp;TRIM(tblDados[[#This Row],[Mandante]])&amp;"|"&amp;TRIM(tblDados[[#This Row],[Visitante]]))</f>
        <v>2026-08-02|HFX Wanderers|Forge FC</v>
      </c>
      <c r="T1009" s="1">
        <f>IF($G1009="",0,IF(COUNTIF($S$2:$S1009,$S1009)=1,1,0))</f>
        <v>1</v>
      </c>
      <c r="U1009" s="19" t="str" cm="1">
        <f t="array" ref="U10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9" s="19" t="str" cm="1">
        <f t="array" ref="V10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0" spans="1:22" x14ac:dyDescent="0.3">
      <c r="A1010" s="1" t="s">
        <v>2627</v>
      </c>
      <c r="B1010" s="102">
        <v>46229</v>
      </c>
      <c r="C1010" s="6">
        <v>0.70833333333333337</v>
      </c>
      <c r="D1010" s="1" t="s">
        <v>15</v>
      </c>
      <c r="E1010" s="1" t="s">
        <v>2618</v>
      </c>
      <c r="F1010" s="1" t="s">
        <v>2628</v>
      </c>
      <c r="G1010" s="39" t="s">
        <v>2622</v>
      </c>
      <c r="H1010" s="1">
        <v>1</v>
      </c>
      <c r="I1010" s="1">
        <v>3</v>
      </c>
      <c r="J1010" s="39" t="s">
        <v>2620</v>
      </c>
      <c r="K1010" s="1">
        <v>3</v>
      </c>
      <c r="L1010" s="1">
        <v>1</v>
      </c>
      <c r="S1010" s="1" t="str">
        <f>IF(tblDados[[#This Row],[Mandante]]="","",TEXT(tblDados[[#This Row],[Data]],"aaaa-mm-dd")&amp;"|"&amp;TRIM(tblDados[[#This Row],[Mandante]])&amp;"|"&amp;TRIM(tblDados[[#This Row],[Visitante]]))</f>
        <v>2026-07-26|Inter Toronto|Forge FC</v>
      </c>
      <c r="T1010" s="1">
        <f>IF($G1010="",0,IF(COUNTIF($S$2:$S1010,$S1010)=1,1,0))</f>
        <v>1</v>
      </c>
      <c r="U1010" s="19" t="str" cm="1">
        <f t="array" ref="U10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0" s="19" t="str" cm="1">
        <f t="array" ref="V10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1" spans="1:22" x14ac:dyDescent="0.3">
      <c r="A1011" s="1" t="s">
        <v>2629</v>
      </c>
      <c r="B1011" s="102">
        <v>46208</v>
      </c>
      <c r="C1011" s="6">
        <v>0.54166666666666663</v>
      </c>
      <c r="D1011" s="1" t="s">
        <v>15</v>
      </c>
      <c r="E1011" s="1" t="s">
        <v>2618</v>
      </c>
      <c r="F1011" s="1" t="s">
        <v>2630</v>
      </c>
      <c r="G1011" s="39" t="s">
        <v>119</v>
      </c>
      <c r="H1011" s="1">
        <v>1</v>
      </c>
      <c r="I1011" s="1">
        <v>2</v>
      </c>
      <c r="J1011" s="39" t="s">
        <v>2620</v>
      </c>
      <c r="K1011" s="1">
        <v>2</v>
      </c>
      <c r="L1011" s="1">
        <v>1</v>
      </c>
      <c r="S1011" s="1" t="str">
        <f>IF(tblDados[[#This Row],[Mandante]]="","",TEXT(tblDados[[#This Row],[Data]],"aaaa-mm-dd")&amp;"|"&amp;TRIM(tblDados[[#This Row],[Mandante]])&amp;"|"&amp;TRIM(tblDados[[#This Row],[Visitante]]))</f>
        <v>2026-07-05|Supra du Québec|Forge FC</v>
      </c>
      <c r="T1011" s="1">
        <f>IF($G1011="",0,IF(COUNTIF($S$2:$S1011,$S1011)=1,1,0))</f>
        <v>1</v>
      </c>
      <c r="U1011" s="19" t="str" cm="1">
        <f t="array" ref="U10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1" s="19" t="str" cm="1">
        <f t="array" ref="V10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2" spans="1:22" x14ac:dyDescent="0.3">
      <c r="A1012" s="1" t="s">
        <v>2631</v>
      </c>
      <c r="B1012" s="102">
        <v>46204</v>
      </c>
      <c r="C1012" s="6">
        <v>0.54166666666666663</v>
      </c>
      <c r="D1012" s="1" t="s">
        <v>15</v>
      </c>
      <c r="E1012" s="1" t="s">
        <v>2618</v>
      </c>
      <c r="F1012" s="1" t="s">
        <v>2632</v>
      </c>
      <c r="G1012" s="39" t="s">
        <v>2620</v>
      </c>
      <c r="H1012" s="1">
        <v>3</v>
      </c>
      <c r="I1012" s="1">
        <v>2</v>
      </c>
      <c r="J1012" s="39" t="s">
        <v>232</v>
      </c>
      <c r="K1012" s="1">
        <v>2</v>
      </c>
      <c r="L1012" s="1">
        <v>3</v>
      </c>
      <c r="S1012" s="1" t="str">
        <f>IF(tblDados[[#This Row],[Mandante]]="","",TEXT(tblDados[[#This Row],[Data]],"aaaa-mm-dd")&amp;"|"&amp;TRIM(tblDados[[#This Row],[Mandante]])&amp;"|"&amp;TRIM(tblDados[[#This Row],[Visitante]]))</f>
        <v>2026-07-01|Forge FC|Vancouver FC</v>
      </c>
      <c r="T1012" s="1">
        <f>IF($G1012="",0,IF(COUNTIF($S$2:$S1012,$S1012)=1,1,0))</f>
        <v>1</v>
      </c>
      <c r="U1012" s="19" t="str" cm="1">
        <f t="array" ref="U10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2" s="19" t="str" cm="1">
        <f t="array" ref="V10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3" spans="1:22" x14ac:dyDescent="0.3">
      <c r="A1013" s="1" t="s">
        <v>2633</v>
      </c>
      <c r="B1013" s="102">
        <v>46183</v>
      </c>
      <c r="C1013" s="6">
        <v>0.79166666666666663</v>
      </c>
      <c r="D1013" s="1" t="s">
        <v>15</v>
      </c>
      <c r="E1013" s="1" t="s">
        <v>2618</v>
      </c>
      <c r="F1013" s="1" t="s">
        <v>2634</v>
      </c>
      <c r="G1013" s="39" t="s">
        <v>2620</v>
      </c>
      <c r="H1013" s="1">
        <v>1</v>
      </c>
      <c r="I1013" s="1">
        <v>0</v>
      </c>
      <c r="J1013" s="39" t="s">
        <v>2621</v>
      </c>
      <c r="K1013" s="1">
        <v>0</v>
      </c>
      <c r="L1013" s="1">
        <v>1</v>
      </c>
      <c r="S1013" s="1" t="str">
        <f>IF(tblDados[[#This Row],[Mandante]]="","",TEXT(tblDados[[#This Row],[Data]],"aaaa-mm-dd")&amp;"|"&amp;TRIM(tblDados[[#This Row],[Mandante]])&amp;"|"&amp;TRIM(tblDados[[#This Row],[Visitante]]))</f>
        <v>2026-06-10|Forge FC|HFX Wanderers</v>
      </c>
      <c r="T1013" s="1">
        <f>IF($G1013="",0,IF(COUNTIF($S$2:$S1013,$S1013)=1,1,0))</f>
        <v>1</v>
      </c>
      <c r="U1013" s="19" t="str" cm="1">
        <f t="array" ref="U10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3" s="19" t="str" cm="1">
        <f t="array" ref="V10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4" spans="1:22" x14ac:dyDescent="0.3">
      <c r="A1014" s="1" t="s">
        <v>2635</v>
      </c>
      <c r="B1014" s="102">
        <v>46180</v>
      </c>
      <c r="C1014" s="6">
        <v>0.58333333333333337</v>
      </c>
      <c r="D1014" s="1" t="s">
        <v>15</v>
      </c>
      <c r="E1014" s="1" t="s">
        <v>2618</v>
      </c>
      <c r="F1014" s="1" t="s">
        <v>2636</v>
      </c>
      <c r="G1014" s="39" t="s">
        <v>2622</v>
      </c>
      <c r="H1014" s="1">
        <v>1</v>
      </c>
      <c r="I1014" s="1">
        <v>4</v>
      </c>
      <c r="J1014" s="39" t="s">
        <v>2620</v>
      </c>
      <c r="K1014" s="1">
        <v>4</v>
      </c>
      <c r="L1014" s="1">
        <v>1</v>
      </c>
      <c r="S1014" s="1" t="str">
        <f>IF(tblDados[[#This Row],[Mandante]]="","",TEXT(tblDados[[#This Row],[Data]],"aaaa-mm-dd")&amp;"|"&amp;TRIM(tblDados[[#This Row],[Mandante]])&amp;"|"&amp;TRIM(tblDados[[#This Row],[Visitante]]))</f>
        <v>2026-06-07|Inter Toronto|Forge FC</v>
      </c>
      <c r="T1014" s="1">
        <f>IF($G1014="",0,IF(COUNTIF($S$2:$S1014,$S1014)=1,1,0))</f>
        <v>1</v>
      </c>
      <c r="U1014" s="19" t="str" cm="1">
        <f t="array" ref="U10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4" s="19" t="str" cm="1">
        <f t="array" ref="V10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5" spans="1:22" x14ac:dyDescent="0.3">
      <c r="A1015" s="1" t="s">
        <v>2637</v>
      </c>
      <c r="B1015" s="102">
        <v>46173</v>
      </c>
      <c r="C1015" s="6">
        <v>0.66666666666666663</v>
      </c>
      <c r="D1015" s="1" t="s">
        <v>15</v>
      </c>
      <c r="E1015" s="1" t="s">
        <v>2618</v>
      </c>
      <c r="F1015" s="1" t="s">
        <v>2638</v>
      </c>
      <c r="G1015" s="39" t="s">
        <v>2620</v>
      </c>
      <c r="H1015" s="1">
        <v>1</v>
      </c>
      <c r="I1015" s="1">
        <v>0</v>
      </c>
      <c r="J1015" s="39" t="s">
        <v>118</v>
      </c>
      <c r="K1015" s="1">
        <v>0</v>
      </c>
      <c r="L1015" s="1">
        <v>1</v>
      </c>
      <c r="S1015" s="1" t="str">
        <f>IF(tblDados[[#This Row],[Mandante]]="","",TEXT(tblDados[[#This Row],[Data]],"aaaa-mm-dd")&amp;"|"&amp;TRIM(tblDados[[#This Row],[Mandante]])&amp;"|"&amp;TRIM(tblDados[[#This Row],[Visitante]]))</f>
        <v>2026-05-31|Forge FC|Cavalry FC</v>
      </c>
      <c r="T1015" s="1">
        <f>IF($G1015="",0,IF(COUNTIF($S$2:$S1015,$S1015)=1,1,0))</f>
        <v>1</v>
      </c>
      <c r="U1015" s="19" t="str" cm="1">
        <f t="array" ref="U10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5" s="19" t="str" cm="1">
        <f t="array" ref="V10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6" spans="1:22" x14ac:dyDescent="0.3">
      <c r="A1016" s="1" t="s">
        <v>2639</v>
      </c>
      <c r="B1016" s="102">
        <v>46166</v>
      </c>
      <c r="C1016" s="6">
        <v>0.66666666666666663</v>
      </c>
      <c r="D1016" s="1" t="s">
        <v>15</v>
      </c>
      <c r="E1016" s="1" t="s">
        <v>2618</v>
      </c>
      <c r="F1016" s="1" t="s">
        <v>2640</v>
      </c>
      <c r="G1016" s="39" t="s">
        <v>233</v>
      </c>
      <c r="H1016" s="1">
        <v>2</v>
      </c>
      <c r="I1016" s="1">
        <v>1</v>
      </c>
      <c r="J1016" s="39" t="s">
        <v>2620</v>
      </c>
      <c r="K1016" s="1">
        <v>1</v>
      </c>
      <c r="L1016" s="1">
        <v>2</v>
      </c>
      <c r="S1016" s="1" t="str">
        <f>IF(tblDados[[#This Row],[Mandante]]="","",TEXT(tblDados[[#This Row],[Data]],"aaaa-mm-dd")&amp;"|"&amp;TRIM(tblDados[[#This Row],[Mandante]])&amp;"|"&amp;TRIM(tblDados[[#This Row],[Visitante]]))</f>
        <v>2026-05-24|Atlético Ottawa|Forge FC</v>
      </c>
      <c r="T1016" s="1">
        <f>IF($G1016="",0,IF(COUNTIF($S$2:$S1016,$S1016)=1,1,0))</f>
        <v>1</v>
      </c>
      <c r="U1016" s="19" t="str" cm="1">
        <f t="array" ref="U10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6" s="19" t="str" cm="1">
        <f t="array" ref="V10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7" spans="1:22" x14ac:dyDescent="0.3">
      <c r="A1017" s="1" t="s">
        <v>2641</v>
      </c>
      <c r="B1017" s="102">
        <v>46155</v>
      </c>
      <c r="C1017" s="6">
        <v>0.45833333333333331</v>
      </c>
      <c r="D1017" s="1" t="s">
        <v>15</v>
      </c>
      <c r="E1017" s="1" t="s">
        <v>2618</v>
      </c>
      <c r="F1017" s="1" t="s">
        <v>2642</v>
      </c>
      <c r="G1017" s="39" t="s">
        <v>2620</v>
      </c>
      <c r="H1017" s="1">
        <v>1</v>
      </c>
      <c r="I1017" s="1">
        <v>0</v>
      </c>
      <c r="J1017" s="39" t="s">
        <v>119</v>
      </c>
      <c r="K1017" s="1">
        <v>0</v>
      </c>
      <c r="L1017" s="1">
        <v>1</v>
      </c>
      <c r="S1017" s="1" t="str">
        <f>IF(tblDados[[#This Row],[Mandante]]="","",TEXT(tblDados[[#This Row],[Data]],"aaaa-mm-dd")&amp;"|"&amp;TRIM(tblDados[[#This Row],[Mandante]])&amp;"|"&amp;TRIM(tblDados[[#This Row],[Visitante]]))</f>
        <v>2026-05-13|Forge FC|Supra du Québec</v>
      </c>
      <c r="T1017" s="1">
        <f>IF($G1017="",0,IF(COUNTIF($S$2:$S1017,$S1017)=1,1,0))</f>
        <v>1</v>
      </c>
      <c r="U1017" s="19" t="str" cm="1">
        <f t="array" ref="U10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7" s="19" t="str" cm="1">
        <f t="array" ref="V10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8" spans="1:22" x14ac:dyDescent="0.3">
      <c r="A1018" s="1" t="s">
        <v>2643</v>
      </c>
      <c r="B1018" s="102">
        <v>46144</v>
      </c>
      <c r="C1018" s="6">
        <v>0.58333333333333337</v>
      </c>
      <c r="D1018" s="1" t="s">
        <v>15</v>
      </c>
      <c r="E1018" s="1" t="s">
        <v>2618</v>
      </c>
      <c r="F1018" s="1" t="s">
        <v>2644</v>
      </c>
      <c r="G1018" s="39" t="s">
        <v>2621</v>
      </c>
      <c r="H1018" s="1">
        <v>1</v>
      </c>
      <c r="I1018" s="1">
        <v>3</v>
      </c>
      <c r="J1018" s="39" t="s">
        <v>2620</v>
      </c>
      <c r="K1018" s="1">
        <v>3</v>
      </c>
      <c r="L1018" s="1">
        <v>1</v>
      </c>
      <c r="S1018" s="1" t="str">
        <f>IF(tblDados[[#This Row],[Mandante]]="","",TEXT(tblDados[[#This Row],[Data]],"aaaa-mm-dd")&amp;"|"&amp;TRIM(tblDados[[#This Row],[Mandante]])&amp;"|"&amp;TRIM(tblDados[[#This Row],[Visitante]]))</f>
        <v>2026-05-02|HFX Wanderers|Forge FC</v>
      </c>
      <c r="T1018" s="1">
        <f>IF($G1018="",0,IF(COUNTIF($S$2:$S1018,$S1018)=1,1,0))</f>
        <v>1</v>
      </c>
      <c r="U1018" s="19" t="str" cm="1">
        <f t="array" ref="U10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8" s="19" t="str" cm="1">
        <f t="array" ref="V10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9" spans="1:22" ht="14.4" x14ac:dyDescent="0.3">
      <c r="A1019" s="1" t="s">
        <v>2645</v>
      </c>
      <c r="B1019" s="102">
        <v>46138</v>
      </c>
      <c r="C1019" s="6">
        <v>0.66666666666666663</v>
      </c>
      <c r="D1019" s="1" t="s">
        <v>15</v>
      </c>
      <c r="E1019" s="1" t="s">
        <v>2618</v>
      </c>
      <c r="F1019" s="1" t="s">
        <v>2646</v>
      </c>
      <c r="G1019" s="39" t="s">
        <v>198</v>
      </c>
      <c r="H1019" s="1">
        <v>0</v>
      </c>
      <c r="I1019" s="1">
        <v>1</v>
      </c>
      <c r="J1019" s="39" t="s">
        <v>2620</v>
      </c>
      <c r="K1019" s="1">
        <v>1</v>
      </c>
      <c r="L1019" s="1">
        <v>0</v>
      </c>
      <c r="S1019" s="1" t="str">
        <f>IF(tblDados[[#This Row],[Mandante]]="","",TEXT(tblDados[[#This Row],[Data]],"aaaa-mm-dd")&amp;"|"&amp;TRIM(tblDados[[#This Row],[Mandante]])&amp;"|"&amp;TRIM(tblDados[[#This Row],[Visitante]]))</f>
        <v>2026-04-26|Pacific FC|Forge FC</v>
      </c>
      <c r="T1019">
        <f>IF($G1019="",0,IF(COUNTIF($S$2:$S2834,$S1019)=1,1,0))</f>
        <v>1</v>
      </c>
      <c r="U1019" s="19" t="str" cm="1">
        <f t="array" ref="U10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9" s="19" t="str" cm="1">
        <f t="array" ref="V10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0" spans="1:22" x14ac:dyDescent="0.3">
      <c r="A1020" s="1" t="s">
        <v>2647</v>
      </c>
      <c r="B1020" s="102">
        <v>46235</v>
      </c>
      <c r="C1020" s="6">
        <v>0.875</v>
      </c>
      <c r="D1020" s="1" t="s">
        <v>15</v>
      </c>
      <c r="E1020" s="1" t="s">
        <v>2618</v>
      </c>
      <c r="F1020" s="1" t="s">
        <v>2648</v>
      </c>
      <c r="G1020" s="39" t="s">
        <v>118</v>
      </c>
      <c r="H1020" s="1">
        <v>5</v>
      </c>
      <c r="I1020" s="1">
        <v>0</v>
      </c>
      <c r="J1020" s="39" t="s">
        <v>2622</v>
      </c>
      <c r="K1020" s="1">
        <v>0</v>
      </c>
      <c r="L1020" s="1">
        <v>5</v>
      </c>
      <c r="S1020" s="1" t="str">
        <f>IF(tblDados[[#This Row],[Mandante]]="","",TEXT(tblDados[[#This Row],[Data]],"aaaa-mm-dd")&amp;"|"&amp;TRIM(tblDados[[#This Row],[Mandante]])&amp;"|"&amp;TRIM(tblDados[[#This Row],[Visitante]]))</f>
        <v>2026-08-01|Cavalry FC|Inter Toronto</v>
      </c>
      <c r="T1020" s="1">
        <f>IF($G1020="",0,IF(COUNTIF($S$2:$S1020,$S1020)=1,1,0))</f>
        <v>1</v>
      </c>
      <c r="U1020" s="19" t="str" cm="1">
        <f t="array" ref="U10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0" s="19" t="str" cm="1">
        <f t="array" ref="V10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1" spans="1:22" x14ac:dyDescent="0.3">
      <c r="A1021" s="1" t="s">
        <v>2649</v>
      </c>
      <c r="B1021" s="102">
        <v>46227</v>
      </c>
      <c r="C1021" s="6">
        <v>0.91666666666666663</v>
      </c>
      <c r="D1021" s="1" t="s">
        <v>15</v>
      </c>
      <c r="E1021" s="1" t="s">
        <v>2618</v>
      </c>
      <c r="F1021" s="1" t="s">
        <v>2650</v>
      </c>
      <c r="G1021" s="39" t="s">
        <v>232</v>
      </c>
      <c r="H1021" s="1">
        <v>1</v>
      </c>
      <c r="I1021" s="1">
        <v>0</v>
      </c>
      <c r="J1021" s="39" t="s">
        <v>118</v>
      </c>
      <c r="K1021" s="1">
        <v>0</v>
      </c>
      <c r="L1021" s="1">
        <v>1</v>
      </c>
      <c r="S1021" s="1" t="str">
        <f>IF(tblDados[[#This Row],[Mandante]]="","",TEXT(tblDados[[#This Row],[Data]],"aaaa-mm-dd")&amp;"|"&amp;TRIM(tblDados[[#This Row],[Mandante]])&amp;"|"&amp;TRIM(tblDados[[#This Row],[Visitante]]))</f>
        <v>2026-07-24|Vancouver FC|Cavalry FC</v>
      </c>
      <c r="T1021" s="1">
        <f>IF($G1021="",0,IF(COUNTIF($S$2:$S1021,$S1021)=1,1,0))</f>
        <v>1</v>
      </c>
      <c r="U1021" s="19" t="str" cm="1">
        <f t="array" ref="U10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1" s="19" t="str" cm="1">
        <f t="array" ref="V10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2" spans="1:22" x14ac:dyDescent="0.3">
      <c r="A1022" s="1" t="s">
        <v>2651</v>
      </c>
      <c r="B1022" s="102">
        <v>46221</v>
      </c>
      <c r="C1022" s="6">
        <v>0.625</v>
      </c>
      <c r="D1022" s="1" t="s">
        <v>15</v>
      </c>
      <c r="E1022" s="1" t="s">
        <v>2618</v>
      </c>
      <c r="F1022" s="1" t="s">
        <v>2652</v>
      </c>
      <c r="G1022" s="39" t="s">
        <v>118</v>
      </c>
      <c r="H1022" s="1">
        <v>1</v>
      </c>
      <c r="I1022" s="1">
        <v>1</v>
      </c>
      <c r="J1022" s="39" t="s">
        <v>2621</v>
      </c>
      <c r="K1022" s="1">
        <v>1</v>
      </c>
      <c r="L1022" s="1">
        <v>1</v>
      </c>
      <c r="S1022" s="1" t="str">
        <f>IF(tblDados[[#This Row],[Mandante]]="","",TEXT(tblDados[[#This Row],[Data]],"aaaa-mm-dd")&amp;"|"&amp;TRIM(tblDados[[#This Row],[Mandante]])&amp;"|"&amp;TRIM(tblDados[[#This Row],[Visitante]]))</f>
        <v>2026-07-18|Cavalry FC|HFX Wanderers</v>
      </c>
      <c r="T1022" s="1">
        <f>IF($G1022="",0,IF(COUNTIF($S$2:$S1022,$S1022)=1,1,0))</f>
        <v>1</v>
      </c>
      <c r="U1022" s="19" t="str" cm="1">
        <f t="array" ref="U10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2" s="19" t="str" cm="1">
        <f t="array" ref="V10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3" spans="1:22" x14ac:dyDescent="0.3">
      <c r="A1023" s="1" t="s">
        <v>2653</v>
      </c>
      <c r="B1023" s="102">
        <v>46207</v>
      </c>
      <c r="C1023" s="6">
        <v>0.625</v>
      </c>
      <c r="D1023" s="1" t="s">
        <v>15</v>
      </c>
      <c r="E1023" s="1" t="s">
        <v>2618</v>
      </c>
      <c r="F1023" s="1" t="s">
        <v>2654</v>
      </c>
      <c r="G1023" s="39" t="s">
        <v>233</v>
      </c>
      <c r="H1023" s="1">
        <v>0</v>
      </c>
      <c r="I1023" s="1">
        <v>3</v>
      </c>
      <c r="J1023" s="39" t="s">
        <v>118</v>
      </c>
      <c r="K1023" s="1">
        <v>3</v>
      </c>
      <c r="L1023" s="1">
        <v>0</v>
      </c>
      <c r="S1023" s="1" t="str">
        <f>IF(tblDados[[#This Row],[Mandante]]="","",TEXT(tblDados[[#This Row],[Data]],"aaaa-mm-dd")&amp;"|"&amp;TRIM(tblDados[[#This Row],[Mandante]])&amp;"|"&amp;TRIM(tblDados[[#This Row],[Visitante]]))</f>
        <v>2026-07-04|Atlético Ottawa|Cavalry FC</v>
      </c>
      <c r="T1023" s="1">
        <f>IF($G1023="",0,IF(COUNTIF($S$2:$S1023,$S1023)=1,1,0))</f>
        <v>1</v>
      </c>
      <c r="U1023" s="19" t="str" cm="1">
        <f t="array" ref="U10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3" s="19" t="str" cm="1">
        <f t="array" ref="V10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4" spans="1:22" x14ac:dyDescent="0.3">
      <c r="A1024" s="1" t="s">
        <v>2655</v>
      </c>
      <c r="B1024" s="102">
        <v>46183</v>
      </c>
      <c r="C1024" s="6">
        <v>0.8125</v>
      </c>
      <c r="D1024" s="1" t="s">
        <v>15</v>
      </c>
      <c r="E1024" s="1" t="s">
        <v>2618</v>
      </c>
      <c r="F1024" s="1" t="s">
        <v>2656</v>
      </c>
      <c r="G1024" s="39" t="s">
        <v>2622</v>
      </c>
      <c r="H1024" s="1">
        <v>1</v>
      </c>
      <c r="I1024" s="1">
        <v>5</v>
      </c>
      <c r="J1024" s="39" t="s">
        <v>118</v>
      </c>
      <c r="K1024" s="1">
        <v>5</v>
      </c>
      <c r="L1024" s="1">
        <v>1</v>
      </c>
      <c r="S1024" s="1" t="str">
        <f>IF(tblDados[[#This Row],[Mandante]]="","",TEXT(tblDados[[#This Row],[Data]],"aaaa-mm-dd")&amp;"|"&amp;TRIM(tblDados[[#This Row],[Mandante]])&amp;"|"&amp;TRIM(tblDados[[#This Row],[Visitante]]))</f>
        <v>2026-06-10|Inter Toronto|Cavalry FC</v>
      </c>
      <c r="T1024" s="1">
        <f>IF($G1024="",0,IF(COUNTIF($S$2:$S1024,$S1024)=1,1,0))</f>
        <v>1</v>
      </c>
      <c r="U1024" s="19" t="str" cm="1">
        <f t="array" ref="U10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4" s="19" t="str" cm="1">
        <f t="array" ref="V10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5" spans="1:22" x14ac:dyDescent="0.3">
      <c r="A1025" s="1" t="s">
        <v>2657</v>
      </c>
      <c r="B1025" s="102">
        <v>46179</v>
      </c>
      <c r="C1025" s="6">
        <v>0.79166666666666663</v>
      </c>
      <c r="D1025" s="1" t="s">
        <v>15</v>
      </c>
      <c r="E1025" s="1" t="s">
        <v>2618</v>
      </c>
      <c r="F1025" s="1" t="s">
        <v>2658</v>
      </c>
      <c r="G1025" s="39" t="s">
        <v>118</v>
      </c>
      <c r="H1025" s="1">
        <v>2</v>
      </c>
      <c r="I1025" s="1">
        <v>0</v>
      </c>
      <c r="J1025" s="39" t="s">
        <v>2621</v>
      </c>
      <c r="K1025" s="1">
        <v>0</v>
      </c>
      <c r="L1025" s="1">
        <v>2</v>
      </c>
      <c r="S1025" s="1" t="str">
        <f>IF(tblDados[[#This Row],[Mandante]]="","",TEXT(tblDados[[#This Row],[Data]],"aaaa-mm-dd")&amp;"|"&amp;TRIM(tblDados[[#This Row],[Mandante]])&amp;"|"&amp;TRIM(tblDados[[#This Row],[Visitante]]))</f>
        <v>2026-06-06|Cavalry FC|HFX Wanderers</v>
      </c>
      <c r="T1025" s="1">
        <f>IF($G1025="",0,IF(COUNTIF($S$2:$S1025,$S1025)=1,1,0))</f>
        <v>1</v>
      </c>
      <c r="U1025" s="19" t="str" cm="1">
        <f t="array" ref="U10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5" s="19" t="str" cm="1">
        <f t="array" ref="V10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6" spans="1:22" x14ac:dyDescent="0.3">
      <c r="A1026" s="1" t="s">
        <v>2659</v>
      </c>
      <c r="B1026" s="102">
        <v>46166</v>
      </c>
      <c r="C1026" s="6">
        <v>0.70833333333333337</v>
      </c>
      <c r="D1026" s="1" t="s">
        <v>15</v>
      </c>
      <c r="E1026" s="1" t="s">
        <v>2618</v>
      </c>
      <c r="F1026" s="1" t="s">
        <v>2660</v>
      </c>
      <c r="G1026" s="39" t="s">
        <v>118</v>
      </c>
      <c r="H1026" s="1">
        <v>3</v>
      </c>
      <c r="I1026" s="1">
        <v>0</v>
      </c>
      <c r="J1026" s="39" t="s">
        <v>198</v>
      </c>
      <c r="K1026" s="1">
        <v>0</v>
      </c>
      <c r="L1026" s="1">
        <v>3</v>
      </c>
      <c r="S1026" s="1" t="str">
        <f>IF(tblDados[[#This Row],[Mandante]]="","",TEXT(tblDados[[#This Row],[Data]],"aaaa-mm-dd")&amp;"|"&amp;TRIM(tblDados[[#This Row],[Mandante]])&amp;"|"&amp;TRIM(tblDados[[#This Row],[Visitante]]))</f>
        <v>2026-05-24|Cavalry FC|Pacific FC</v>
      </c>
      <c r="T1026" s="1">
        <f>IF($G1026="",0,IF(COUNTIF($S$2:$S1026,$S1026)=1,1,0))</f>
        <v>1</v>
      </c>
      <c r="U1026" s="19" t="str" cm="1">
        <f t="array" ref="U10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6" s="19" t="str" cm="1">
        <f t="array" ref="V10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7" spans="1:22" x14ac:dyDescent="0.3">
      <c r="A1027" s="1" t="s">
        <v>2661</v>
      </c>
      <c r="B1027" s="102">
        <v>46159</v>
      </c>
      <c r="C1027" s="6">
        <v>0.875</v>
      </c>
      <c r="D1027" s="1" t="s">
        <v>15</v>
      </c>
      <c r="E1027" s="1" t="s">
        <v>2618</v>
      </c>
      <c r="F1027" s="1" t="s">
        <v>2662</v>
      </c>
      <c r="G1027" s="39" t="s">
        <v>232</v>
      </c>
      <c r="H1027" s="1">
        <v>0</v>
      </c>
      <c r="I1027" s="1">
        <v>2</v>
      </c>
      <c r="J1027" s="39" t="s">
        <v>118</v>
      </c>
      <c r="K1027" s="1">
        <v>2</v>
      </c>
      <c r="L1027" s="1">
        <v>0</v>
      </c>
      <c r="S1027" s="1" t="str">
        <f>IF(tblDados[[#This Row],[Mandante]]="","",TEXT(tblDados[[#This Row],[Data]],"aaaa-mm-dd")&amp;"|"&amp;TRIM(tblDados[[#This Row],[Mandante]])&amp;"|"&amp;TRIM(tblDados[[#This Row],[Visitante]]))</f>
        <v>2026-05-17|Vancouver FC|Cavalry FC</v>
      </c>
      <c r="T1027" s="1">
        <f>IF($G1027="",0,IF(COUNTIF($S$2:$S1027,$S1027)=1,1,0))</f>
        <v>1</v>
      </c>
      <c r="U1027" s="19" t="str" cm="1">
        <f t="array" ref="U10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7" s="19" t="str" cm="1">
        <f t="array" ref="V10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8" spans="1:22" x14ac:dyDescent="0.3">
      <c r="A1028" s="1" t="s">
        <v>2663</v>
      </c>
      <c r="B1028" s="102">
        <v>46145</v>
      </c>
      <c r="C1028" s="6">
        <v>0.625</v>
      </c>
      <c r="D1028" s="1" t="s">
        <v>15</v>
      </c>
      <c r="E1028" s="1" t="s">
        <v>2618</v>
      </c>
      <c r="F1028" s="1" t="s">
        <v>2664</v>
      </c>
      <c r="G1028" s="39" t="s">
        <v>119</v>
      </c>
      <c r="H1028" s="1">
        <v>0</v>
      </c>
      <c r="I1028" s="1">
        <v>1</v>
      </c>
      <c r="J1028" s="39" t="s">
        <v>118</v>
      </c>
      <c r="K1028" s="1">
        <v>1</v>
      </c>
      <c r="L1028" s="1">
        <v>0</v>
      </c>
      <c r="S1028" s="1" t="str">
        <f>IF(tblDados[[#This Row],[Mandante]]="","",TEXT(tblDados[[#This Row],[Data]],"aaaa-mm-dd")&amp;"|"&amp;TRIM(tblDados[[#This Row],[Mandante]])&amp;"|"&amp;TRIM(tblDados[[#This Row],[Visitante]]))</f>
        <v>2026-05-03|Supra du Québec|Cavalry FC</v>
      </c>
      <c r="T1028" s="1">
        <f>IF($G1028="",0,IF(COUNTIF($S$2:$S1028,$S1028)=1,1,0))</f>
        <v>1</v>
      </c>
      <c r="U1028" s="19" t="str" cm="1">
        <f t="array" ref="U10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8" s="19" t="str" cm="1">
        <f t="array" ref="V10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9" spans="1:22" ht="14.4" x14ac:dyDescent="0.3">
      <c r="A1029" s="1" t="s">
        <v>2665</v>
      </c>
      <c r="B1029" s="102">
        <v>46137</v>
      </c>
      <c r="C1029" s="6">
        <v>0.70833333333333337</v>
      </c>
      <c r="D1029" s="1" t="s">
        <v>15</v>
      </c>
      <c r="E1029" s="1" t="s">
        <v>2618</v>
      </c>
      <c r="F1029" s="1" t="s">
        <v>2666</v>
      </c>
      <c r="G1029" s="39" t="s">
        <v>118</v>
      </c>
      <c r="H1029" s="1">
        <v>1</v>
      </c>
      <c r="I1029" s="1">
        <v>1</v>
      </c>
      <c r="J1029" s="39" t="s">
        <v>2622</v>
      </c>
      <c r="K1029" s="1">
        <v>1</v>
      </c>
      <c r="L1029" s="1">
        <v>1</v>
      </c>
      <c r="S1029" s="1" t="str">
        <f>IF(tblDados[[#This Row],[Mandante]]="","",TEXT(tblDados[[#This Row],[Data]],"aaaa-mm-dd")&amp;"|"&amp;TRIM(tblDados[[#This Row],[Mandante]])&amp;"|"&amp;TRIM(tblDados[[#This Row],[Visitante]]))</f>
        <v>2026-04-25|Cavalry FC|Inter Toronto</v>
      </c>
      <c r="T1029">
        <f>IF($G1029="",0,IF(COUNTIF($S$2:$S2834,$S1029)=1,1,0))</f>
        <v>1</v>
      </c>
      <c r="U1029" s="19" t="str" cm="1">
        <f t="array" ref="U10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9" s="19" t="str" cm="1">
        <f t="array" ref="V10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0" spans="1:22" x14ac:dyDescent="0.3">
      <c r="A1030" s="1" t="s">
        <v>2667</v>
      </c>
      <c r="B1030" s="102">
        <v>46220</v>
      </c>
      <c r="C1030" s="6">
        <v>0.79166666666666663</v>
      </c>
      <c r="D1030" s="1" t="s">
        <v>15</v>
      </c>
      <c r="E1030" s="1" t="s">
        <v>2618</v>
      </c>
      <c r="F1030" s="1" t="s">
        <v>2668</v>
      </c>
      <c r="G1030" s="39" t="s">
        <v>119</v>
      </c>
      <c r="H1030" s="1">
        <v>1</v>
      </c>
      <c r="I1030" s="1">
        <v>5</v>
      </c>
      <c r="J1030" s="39" t="s">
        <v>232</v>
      </c>
      <c r="K1030" s="1">
        <v>5</v>
      </c>
      <c r="L1030" s="1">
        <v>1</v>
      </c>
      <c r="S1030" s="1" t="str">
        <f>IF(tblDados[[#This Row],[Mandante]]="","",TEXT(tblDados[[#This Row],[Data]],"aaaa-mm-dd")&amp;"|"&amp;TRIM(tblDados[[#This Row],[Mandante]])&amp;"|"&amp;TRIM(tblDados[[#This Row],[Visitante]]))</f>
        <v>2026-07-17|Supra du Québec|Vancouver FC</v>
      </c>
      <c r="T1030" s="1">
        <f>IF($G1030="",0,IF(COUNTIF($S$2:$S1030,$S1030)=1,1,0))</f>
        <v>1</v>
      </c>
      <c r="U1030" s="19" t="str" cm="1">
        <f t="array" ref="U10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0" s="19" t="str" cm="1">
        <f t="array" ref="V10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1" spans="1:22" x14ac:dyDescent="0.3">
      <c r="A1031" s="1" t="s">
        <v>2669</v>
      </c>
      <c r="B1031" s="102">
        <v>46207</v>
      </c>
      <c r="C1031" s="6">
        <v>0.75</v>
      </c>
      <c r="D1031" s="1" t="s">
        <v>15</v>
      </c>
      <c r="E1031" s="1" t="s">
        <v>2618</v>
      </c>
      <c r="F1031" s="1" t="s">
        <v>2670</v>
      </c>
      <c r="G1031" s="39" t="s">
        <v>232</v>
      </c>
      <c r="H1031" s="1">
        <v>4</v>
      </c>
      <c r="I1031" s="1">
        <v>0</v>
      </c>
      <c r="J1031" s="39" t="s">
        <v>2622</v>
      </c>
      <c r="K1031" s="1">
        <v>0</v>
      </c>
      <c r="L1031" s="1">
        <v>4</v>
      </c>
      <c r="S1031" s="1" t="str">
        <f>IF(tblDados[[#This Row],[Mandante]]="","",TEXT(tblDados[[#This Row],[Data]],"aaaa-mm-dd")&amp;"|"&amp;TRIM(tblDados[[#This Row],[Mandante]])&amp;"|"&amp;TRIM(tblDados[[#This Row],[Visitante]]))</f>
        <v>2026-07-04|Vancouver FC|Inter Toronto</v>
      </c>
      <c r="T1031" s="1">
        <f>IF($G1031="",0,IF(COUNTIF($S$2:$S1031,$S1031)=1,1,0))</f>
        <v>1</v>
      </c>
      <c r="U1031" s="19" t="str" cm="1">
        <f t="array" ref="U10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1" s="19" t="str" cm="1">
        <f t="array" ref="V10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2" spans="1:22" x14ac:dyDescent="0.3">
      <c r="A1032" s="1" t="s">
        <v>2671</v>
      </c>
      <c r="B1032" s="102">
        <v>46187</v>
      </c>
      <c r="C1032" s="6">
        <v>0.91666666666666663</v>
      </c>
      <c r="D1032" s="1" t="s">
        <v>15</v>
      </c>
      <c r="E1032" s="1" t="s">
        <v>2618</v>
      </c>
      <c r="F1032" s="1" t="s">
        <v>2672</v>
      </c>
      <c r="G1032" s="39" t="s">
        <v>232</v>
      </c>
      <c r="H1032" s="1">
        <v>2</v>
      </c>
      <c r="I1032" s="1">
        <v>1</v>
      </c>
      <c r="J1032" s="39" t="s">
        <v>198</v>
      </c>
      <c r="K1032" s="1">
        <v>1</v>
      </c>
      <c r="L1032" s="1">
        <v>2</v>
      </c>
      <c r="S1032" s="1" t="str">
        <f>IF(tblDados[[#This Row],[Mandante]]="","",TEXT(tblDados[[#This Row],[Data]],"aaaa-mm-dd")&amp;"|"&amp;TRIM(tblDados[[#This Row],[Mandante]])&amp;"|"&amp;TRIM(tblDados[[#This Row],[Visitante]]))</f>
        <v>2026-06-14|Vancouver FC|Pacific FC</v>
      </c>
      <c r="T1032" s="1">
        <f>IF($G1032="",0,IF(COUNTIF($S$2:$S1032,$S1032)=1,1,0))</f>
        <v>1</v>
      </c>
      <c r="U1032" s="19" t="str" cm="1">
        <f t="array" ref="U10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2" s="19" t="str" cm="1">
        <f t="array" ref="V10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3" spans="1:22" x14ac:dyDescent="0.3">
      <c r="A1033" s="1" t="s">
        <v>2673</v>
      </c>
      <c r="B1033" s="102">
        <v>46178</v>
      </c>
      <c r="C1033" s="6">
        <v>0.91666666666666663</v>
      </c>
      <c r="D1033" s="1" t="s">
        <v>15</v>
      </c>
      <c r="E1033" s="1" t="s">
        <v>2618</v>
      </c>
      <c r="F1033" s="1" t="s">
        <v>2674</v>
      </c>
      <c r="G1033" s="39" t="s">
        <v>232</v>
      </c>
      <c r="H1033" s="1">
        <v>2</v>
      </c>
      <c r="I1033" s="1">
        <v>1</v>
      </c>
      <c r="J1033" s="39" t="s">
        <v>233</v>
      </c>
      <c r="K1033" s="1">
        <v>1</v>
      </c>
      <c r="L1033" s="1">
        <v>2</v>
      </c>
      <c r="S1033" s="1" t="str">
        <f>IF(tblDados[[#This Row],[Mandante]]="","",TEXT(tblDados[[#This Row],[Data]],"aaaa-mm-dd")&amp;"|"&amp;TRIM(tblDados[[#This Row],[Mandante]])&amp;"|"&amp;TRIM(tblDados[[#This Row],[Visitante]]))</f>
        <v>2026-06-05|Vancouver FC|Atlético Ottawa</v>
      </c>
      <c r="T1033" s="1">
        <f>IF($G1033="",0,IF(COUNTIF($S$2:$S1033,$S1033)=1,1,0))</f>
        <v>1</v>
      </c>
      <c r="U1033" s="19" t="str" cm="1">
        <f t="array" ref="U10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3" s="19" t="str" cm="1">
        <f t="array" ref="V10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4" spans="1:22" x14ac:dyDescent="0.3">
      <c r="A1034" s="1" t="s">
        <v>2675</v>
      </c>
      <c r="B1034" s="102">
        <v>46172</v>
      </c>
      <c r="C1034" s="6">
        <v>0.625</v>
      </c>
      <c r="D1034" s="1" t="s">
        <v>15</v>
      </c>
      <c r="E1034" s="1" t="s">
        <v>2618</v>
      </c>
      <c r="F1034" s="1" t="s">
        <v>2676</v>
      </c>
      <c r="G1034" s="39" t="s">
        <v>2621</v>
      </c>
      <c r="H1034" s="1">
        <v>1</v>
      </c>
      <c r="I1034" s="1">
        <v>0</v>
      </c>
      <c r="J1034" s="39" t="s">
        <v>232</v>
      </c>
      <c r="K1034" s="1">
        <v>0</v>
      </c>
      <c r="L1034" s="1">
        <v>1</v>
      </c>
      <c r="S1034" s="1" t="str">
        <f>IF(tblDados[[#This Row],[Mandante]]="","",TEXT(tblDados[[#This Row],[Data]],"aaaa-mm-dd")&amp;"|"&amp;TRIM(tblDados[[#This Row],[Mandante]])&amp;"|"&amp;TRIM(tblDados[[#This Row],[Visitante]]))</f>
        <v>2026-05-30|HFX Wanderers|Vancouver FC</v>
      </c>
      <c r="T1034" s="1">
        <f>IF($G1034="",0,IF(COUNTIF($S$2:$S1034,$S1034)=1,1,0))</f>
        <v>1</v>
      </c>
      <c r="U1034" s="19" t="str" cm="1">
        <f t="array" ref="U10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4" s="19" t="str" cm="1">
        <f t="array" ref="V10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5" spans="1:22" x14ac:dyDescent="0.3">
      <c r="A1035" s="1" t="s">
        <v>2677</v>
      </c>
      <c r="B1035" s="102">
        <v>46165</v>
      </c>
      <c r="C1035" s="6">
        <v>0.75</v>
      </c>
      <c r="D1035" s="1" t="s">
        <v>15</v>
      </c>
      <c r="E1035" s="1" t="s">
        <v>2618</v>
      </c>
      <c r="F1035" s="1" t="s">
        <v>2678</v>
      </c>
      <c r="G1035" s="39" t="s">
        <v>232</v>
      </c>
      <c r="H1035" s="1">
        <v>1</v>
      </c>
      <c r="I1035" s="1">
        <v>1</v>
      </c>
      <c r="J1035" s="39" t="s">
        <v>119</v>
      </c>
      <c r="K1035" s="1">
        <v>1</v>
      </c>
      <c r="L1035" s="1">
        <v>1</v>
      </c>
      <c r="S1035" s="1" t="str">
        <f>IF(tblDados[[#This Row],[Mandante]]="","",TEXT(tblDados[[#This Row],[Data]],"aaaa-mm-dd")&amp;"|"&amp;TRIM(tblDados[[#This Row],[Mandante]])&amp;"|"&amp;TRIM(tblDados[[#This Row],[Visitante]]))</f>
        <v>2026-05-23|Vancouver FC|Supra du Québec</v>
      </c>
      <c r="T1035" s="1">
        <f>IF($G1035="",0,IF(COUNTIF($S$2:$S1035,$S1035)=1,1,0))</f>
        <v>1</v>
      </c>
      <c r="U1035" s="19" t="str" cm="1">
        <f t="array" ref="U10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5" s="19" t="str" cm="1">
        <f t="array" ref="V10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6" spans="1:22" ht="14.4" x14ac:dyDescent="0.3">
      <c r="A1036" s="1" t="s">
        <v>2679</v>
      </c>
      <c r="B1036" s="102">
        <v>46145</v>
      </c>
      <c r="C1036" s="6">
        <v>0.79166666666666663</v>
      </c>
      <c r="D1036" s="1" t="s">
        <v>15</v>
      </c>
      <c r="E1036" s="1" t="s">
        <v>2618</v>
      </c>
      <c r="F1036" s="1" t="s">
        <v>2680</v>
      </c>
      <c r="G1036" s="39" t="s">
        <v>198</v>
      </c>
      <c r="H1036" s="1">
        <v>1</v>
      </c>
      <c r="I1036" s="1">
        <v>3</v>
      </c>
      <c r="J1036" s="39" t="s">
        <v>232</v>
      </c>
      <c r="K1036" s="1">
        <v>3</v>
      </c>
      <c r="L1036" s="1">
        <v>1</v>
      </c>
      <c r="S1036" s="1" t="str">
        <f>IF(tblDados[[#This Row],[Mandante]]="","",TEXT(tblDados[[#This Row],[Data]],"aaaa-mm-dd")&amp;"|"&amp;TRIM(tblDados[[#This Row],[Mandante]])&amp;"|"&amp;TRIM(tblDados[[#This Row],[Visitante]]))</f>
        <v>2026-05-03|Pacific FC|Vancouver FC</v>
      </c>
      <c r="T1036">
        <f>IF($G1036="",0,IF(COUNTIF($S$2:$S2834,$S1036)=1,1,0))</f>
        <v>1</v>
      </c>
      <c r="U1036" s="19" t="str" cm="1">
        <f t="array" ref="U10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6" s="19" t="str" cm="1">
        <f t="array" ref="V10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7" spans="1:22" x14ac:dyDescent="0.3">
      <c r="A1037" s="1" t="s">
        <v>2681</v>
      </c>
      <c r="B1037" s="102">
        <v>46242</v>
      </c>
      <c r="C1037" s="6">
        <v>0.54166666666666663</v>
      </c>
      <c r="D1037" s="1" t="s">
        <v>15</v>
      </c>
      <c r="E1037" s="1" t="s">
        <v>2618</v>
      </c>
      <c r="F1037" s="1" t="s">
        <v>2682</v>
      </c>
      <c r="G1037" s="39" t="s">
        <v>233</v>
      </c>
      <c r="H1037" s="1">
        <v>2</v>
      </c>
      <c r="I1037" s="1">
        <v>1</v>
      </c>
      <c r="J1037" s="39" t="s">
        <v>2621</v>
      </c>
      <c r="K1037" s="1">
        <v>1</v>
      </c>
      <c r="L1037" s="1">
        <v>2</v>
      </c>
      <c r="S1037" s="1" t="str">
        <f>IF(tblDados[[#This Row],[Mandante]]="","",TEXT(tblDados[[#This Row],[Data]],"aaaa-mm-dd")&amp;"|"&amp;TRIM(tblDados[[#This Row],[Mandante]])&amp;"|"&amp;TRIM(tblDados[[#This Row],[Visitante]]))</f>
        <v>2026-08-08|Atlético Ottawa|HFX Wanderers</v>
      </c>
      <c r="T1037" s="1">
        <f>IF($G1037="",0,IF(COUNTIF($S$2:$S1037,$S1037)=1,1,0))</f>
        <v>1</v>
      </c>
      <c r="U1037" s="19" t="str" cm="1">
        <f t="array" ref="U10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7" s="19" t="str" cm="1">
        <f t="array" ref="V10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8" spans="1:22" x14ac:dyDescent="0.3">
      <c r="A1038" s="1" t="s">
        <v>2683</v>
      </c>
      <c r="B1038" s="102">
        <v>46229</v>
      </c>
      <c r="C1038" s="6">
        <v>0.58333333333333337</v>
      </c>
      <c r="D1038" s="1" t="s">
        <v>15</v>
      </c>
      <c r="E1038" s="1" t="s">
        <v>2618</v>
      </c>
      <c r="F1038" s="1" t="s">
        <v>2684</v>
      </c>
      <c r="G1038" s="39" t="s">
        <v>233</v>
      </c>
      <c r="H1038" s="1">
        <v>3</v>
      </c>
      <c r="I1038" s="1">
        <v>2</v>
      </c>
      <c r="J1038" s="39" t="s">
        <v>198</v>
      </c>
      <c r="K1038" s="1">
        <v>2</v>
      </c>
      <c r="L1038" s="1">
        <v>3</v>
      </c>
      <c r="S1038" s="1" t="str">
        <f>IF(tblDados[[#This Row],[Mandante]]="","",TEXT(tblDados[[#This Row],[Data]],"aaaa-mm-dd")&amp;"|"&amp;TRIM(tblDados[[#This Row],[Mandante]])&amp;"|"&amp;TRIM(tblDados[[#This Row],[Visitante]]))</f>
        <v>2026-07-26|Atlético Ottawa|Pacific FC</v>
      </c>
      <c r="T1038" s="1">
        <f>IF($G1038="",0,IF(COUNTIF($S$2:$S1038,$S1038)=1,1,0))</f>
        <v>1</v>
      </c>
      <c r="U1038" s="19" t="str" cm="1">
        <f t="array" ref="U10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8" s="19" t="str" cm="1">
        <f t="array" ref="V10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9" spans="1:22" x14ac:dyDescent="0.3">
      <c r="A1039" s="1" t="s">
        <v>2685</v>
      </c>
      <c r="B1039" s="102">
        <v>46220</v>
      </c>
      <c r="C1039" s="6">
        <v>0.79166666666666663</v>
      </c>
      <c r="D1039" s="1" t="s">
        <v>15</v>
      </c>
      <c r="E1039" s="1" t="s">
        <v>2618</v>
      </c>
      <c r="F1039" s="1" t="s">
        <v>2686</v>
      </c>
      <c r="G1039" s="39" t="s">
        <v>233</v>
      </c>
      <c r="H1039" s="1">
        <v>1</v>
      </c>
      <c r="I1039" s="1">
        <v>1</v>
      </c>
      <c r="J1039" s="39" t="s">
        <v>2622</v>
      </c>
      <c r="K1039" s="1">
        <v>1</v>
      </c>
      <c r="L1039" s="1">
        <v>1</v>
      </c>
      <c r="S1039" s="1" t="str">
        <f>IF(tblDados[[#This Row],[Mandante]]="","",TEXT(tblDados[[#This Row],[Data]],"aaaa-mm-dd")&amp;"|"&amp;TRIM(tblDados[[#This Row],[Mandante]])&amp;"|"&amp;TRIM(tblDados[[#This Row],[Visitante]]))</f>
        <v>2026-07-17|Atlético Ottawa|Inter Toronto</v>
      </c>
      <c r="T1039" s="1">
        <f>IF($G1039="",0,IF(COUNTIF($S$2:$S1039,$S1039)=1,1,0))</f>
        <v>1</v>
      </c>
      <c r="U1039" s="19" t="str" cm="1">
        <f t="array" ref="U10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9" s="19" t="str" cm="1">
        <f t="array" ref="V10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0" spans="1:22" x14ac:dyDescent="0.3">
      <c r="A1040" s="1" t="s">
        <v>2687</v>
      </c>
      <c r="B1040" s="102">
        <v>46204</v>
      </c>
      <c r="C1040" s="6">
        <v>0.66666666666666663</v>
      </c>
      <c r="D1040" s="1" t="s">
        <v>15</v>
      </c>
      <c r="E1040" s="1" t="s">
        <v>2618</v>
      </c>
      <c r="F1040" s="1" t="s">
        <v>2688</v>
      </c>
      <c r="G1040" s="39" t="s">
        <v>2621</v>
      </c>
      <c r="H1040" s="1">
        <v>1</v>
      </c>
      <c r="I1040" s="1">
        <v>3</v>
      </c>
      <c r="J1040" s="39" t="s">
        <v>233</v>
      </c>
      <c r="K1040" s="1">
        <v>3</v>
      </c>
      <c r="L1040" s="1">
        <v>1</v>
      </c>
      <c r="S1040" s="1" t="str">
        <f>IF(tblDados[[#This Row],[Mandante]]="","",TEXT(tblDados[[#This Row],[Data]],"aaaa-mm-dd")&amp;"|"&amp;TRIM(tblDados[[#This Row],[Mandante]])&amp;"|"&amp;TRIM(tblDados[[#This Row],[Visitante]]))</f>
        <v>2026-07-01|HFX Wanderers|Atlético Ottawa</v>
      </c>
      <c r="T1040" s="1">
        <f>IF($G1040="",0,IF(COUNTIF($S$2:$S1040,$S1040)=1,1,0))</f>
        <v>1</v>
      </c>
      <c r="U1040" s="19" t="str" cm="1">
        <f t="array" ref="U10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0" s="19" t="str" cm="1">
        <f t="array" ref="V10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1" spans="1:22" x14ac:dyDescent="0.3">
      <c r="A1041" s="1" t="s">
        <v>2689</v>
      </c>
      <c r="B1041" s="102">
        <v>46182</v>
      </c>
      <c r="C1041" s="6">
        <v>0.79166666666666663</v>
      </c>
      <c r="D1041" s="1" t="s">
        <v>15</v>
      </c>
      <c r="E1041" s="1" t="s">
        <v>2618</v>
      </c>
      <c r="F1041" s="1" t="s">
        <v>2690</v>
      </c>
      <c r="G1041" s="39" t="s">
        <v>233</v>
      </c>
      <c r="H1041" s="1">
        <v>5</v>
      </c>
      <c r="I1041" s="1">
        <v>3</v>
      </c>
      <c r="J1041" s="39" t="s">
        <v>119</v>
      </c>
      <c r="K1041" s="1">
        <v>3</v>
      </c>
      <c r="L1041" s="1">
        <v>5</v>
      </c>
      <c r="S1041" s="1" t="str">
        <f>IF(tblDados[[#This Row],[Mandante]]="","",TEXT(tblDados[[#This Row],[Data]],"aaaa-mm-dd")&amp;"|"&amp;TRIM(tblDados[[#This Row],[Mandante]])&amp;"|"&amp;TRIM(tblDados[[#This Row],[Visitante]]))</f>
        <v>2026-06-09|Atlético Ottawa|Supra du Québec</v>
      </c>
      <c r="T1041" s="1">
        <f>IF($G1041="",0,IF(COUNTIF($S$2:$S1041,$S1041)=1,1,0))</f>
        <v>1</v>
      </c>
      <c r="U1041" s="19" t="str" cm="1">
        <f t="array" ref="U10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1" s="19" t="str" cm="1">
        <f t="array" ref="V10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2" spans="1:22" x14ac:dyDescent="0.3">
      <c r="A1042" s="1" t="s">
        <v>2691</v>
      </c>
      <c r="B1042" s="102">
        <v>46172</v>
      </c>
      <c r="C1042" s="6">
        <v>0.75</v>
      </c>
      <c r="D1042" s="1" t="s">
        <v>15</v>
      </c>
      <c r="E1042" s="1" t="s">
        <v>2618</v>
      </c>
      <c r="F1042" s="1" t="s">
        <v>2692</v>
      </c>
      <c r="G1042" s="39" t="s">
        <v>198</v>
      </c>
      <c r="H1042" s="1">
        <v>2</v>
      </c>
      <c r="I1042" s="1">
        <v>2</v>
      </c>
      <c r="J1042" s="39" t="s">
        <v>233</v>
      </c>
      <c r="K1042" s="1">
        <v>2</v>
      </c>
      <c r="L1042" s="1">
        <v>2</v>
      </c>
      <c r="S1042" s="1" t="str">
        <f>IF(tblDados[[#This Row],[Mandante]]="","",TEXT(tblDados[[#This Row],[Data]],"aaaa-mm-dd")&amp;"|"&amp;TRIM(tblDados[[#This Row],[Mandante]])&amp;"|"&amp;TRIM(tblDados[[#This Row],[Visitante]]))</f>
        <v>2026-05-30|Pacific FC|Atlético Ottawa</v>
      </c>
      <c r="T1042" s="1">
        <f>IF($G1042="",0,IF(COUNTIF($S$2:$S1042,$S1042)=1,1,0))</f>
        <v>1</v>
      </c>
      <c r="U1042" s="19" t="str" cm="1">
        <f t="array" ref="U10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2" s="19" t="str" cm="1">
        <f t="array" ref="V10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3" spans="1:22" x14ac:dyDescent="0.3">
      <c r="A1043" s="1" t="s">
        <v>2693</v>
      </c>
      <c r="B1043" s="102">
        <v>46159</v>
      </c>
      <c r="C1043" s="6">
        <v>0.54166666666666663</v>
      </c>
      <c r="D1043" s="1" t="s">
        <v>15</v>
      </c>
      <c r="E1043" s="1" t="s">
        <v>2618</v>
      </c>
      <c r="F1043" s="1" t="s">
        <v>2694</v>
      </c>
      <c r="G1043" s="39" t="s">
        <v>233</v>
      </c>
      <c r="H1043" s="1">
        <v>1</v>
      </c>
      <c r="I1043" s="1">
        <v>0</v>
      </c>
      <c r="J1043" s="39" t="s">
        <v>2621</v>
      </c>
      <c r="K1043" s="1">
        <v>0</v>
      </c>
      <c r="L1043" s="1">
        <v>1</v>
      </c>
      <c r="S1043" s="1" t="str">
        <f>IF(tblDados[[#This Row],[Mandante]]="","",TEXT(tblDados[[#This Row],[Data]],"aaaa-mm-dd")&amp;"|"&amp;TRIM(tblDados[[#This Row],[Mandante]])&amp;"|"&amp;TRIM(tblDados[[#This Row],[Visitante]]))</f>
        <v>2026-05-17|Atlético Ottawa|HFX Wanderers</v>
      </c>
      <c r="T1043" s="1">
        <f>IF($G1043="",0,IF(COUNTIF($S$2:$S1043,$S1043)=1,1,0))</f>
        <v>1</v>
      </c>
      <c r="U1043" s="19" t="str" cm="1">
        <f t="array" ref="U10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3" s="19" t="str" cm="1">
        <f t="array" ref="V10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4" spans="1:22" ht="14.4" x14ac:dyDescent="0.3">
      <c r="A1044" s="1" t="s">
        <v>2695</v>
      </c>
      <c r="B1044" s="102">
        <v>46143</v>
      </c>
      <c r="C1044" s="6">
        <v>0.8125</v>
      </c>
      <c r="D1044" s="1" t="s">
        <v>15</v>
      </c>
      <c r="E1044" s="1" t="s">
        <v>2618</v>
      </c>
      <c r="F1044" s="1" t="s">
        <v>2696</v>
      </c>
      <c r="G1044" s="39" t="s">
        <v>2622</v>
      </c>
      <c r="H1044" s="1">
        <v>4</v>
      </c>
      <c r="I1044" s="1">
        <v>1</v>
      </c>
      <c r="J1044" s="39" t="s">
        <v>233</v>
      </c>
      <c r="K1044" s="1">
        <v>1</v>
      </c>
      <c r="L1044" s="1">
        <v>4</v>
      </c>
      <c r="S1044" s="1" t="str">
        <f>IF(tblDados[[#This Row],[Mandante]]="","",TEXT(tblDados[[#This Row],[Data]],"aaaa-mm-dd")&amp;"|"&amp;TRIM(tblDados[[#This Row],[Mandante]])&amp;"|"&amp;TRIM(tblDados[[#This Row],[Visitante]]))</f>
        <v>2026-05-01|Inter Toronto|Atlético Ottawa</v>
      </c>
      <c r="T1044">
        <f>IF($G1044="",0,IF(COUNTIF($S$2:$S2834,$S1044)=1,1,0))</f>
        <v>1</v>
      </c>
      <c r="U1044" s="19" t="str" cm="1">
        <f t="array" ref="U10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4" s="19" t="str" cm="1">
        <f t="array" ref="V10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5" spans="1:22" x14ac:dyDescent="0.3">
      <c r="A1045" s="1" t="s">
        <v>2697</v>
      </c>
      <c r="B1045" s="102">
        <v>46227</v>
      </c>
      <c r="C1045" s="6">
        <v>0.75</v>
      </c>
      <c r="D1045" s="1" t="s">
        <v>15</v>
      </c>
      <c r="E1045" s="1" t="s">
        <v>2618</v>
      </c>
      <c r="F1045" s="1" t="s">
        <v>2698</v>
      </c>
      <c r="G1045" s="39" t="s">
        <v>2621</v>
      </c>
      <c r="H1045" s="1">
        <v>2</v>
      </c>
      <c r="I1045" s="1">
        <v>3</v>
      </c>
      <c r="J1045" s="39" t="s">
        <v>119</v>
      </c>
      <c r="K1045" s="1">
        <v>3</v>
      </c>
      <c r="L1045" s="1">
        <v>2</v>
      </c>
      <c r="S1045" s="1" t="str">
        <f>IF(tblDados[[#This Row],[Mandante]]="","",TEXT(tblDados[[#This Row],[Data]],"aaaa-mm-dd")&amp;"|"&amp;TRIM(tblDados[[#This Row],[Mandante]])&amp;"|"&amp;TRIM(tblDados[[#This Row],[Visitante]]))</f>
        <v>2026-07-24|HFX Wanderers|Supra du Québec</v>
      </c>
      <c r="T1045" s="1">
        <f>IF($G1045="",0,IF(COUNTIF($S$2:$S1045,$S1045)=1,1,0))</f>
        <v>1</v>
      </c>
      <c r="U1045" s="19" t="str" cm="1">
        <f t="array" ref="U10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5" s="19" t="str" cm="1">
        <f t="array" ref="V10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6" spans="1:22" x14ac:dyDescent="0.3">
      <c r="A1046" s="1" t="s">
        <v>2699</v>
      </c>
      <c r="B1046" s="102">
        <v>46179</v>
      </c>
      <c r="C1046" s="6">
        <v>0.79166666666666663</v>
      </c>
      <c r="D1046" s="1" t="s">
        <v>15</v>
      </c>
      <c r="E1046" s="1" t="s">
        <v>2618</v>
      </c>
      <c r="F1046" s="1" t="s">
        <v>2700</v>
      </c>
      <c r="G1046" s="39" t="s">
        <v>119</v>
      </c>
      <c r="H1046" s="1">
        <v>1</v>
      </c>
      <c r="I1046" s="1">
        <v>1</v>
      </c>
      <c r="J1046" s="39" t="s">
        <v>198</v>
      </c>
      <c r="K1046" s="1">
        <v>1</v>
      </c>
      <c r="L1046" s="1">
        <v>1</v>
      </c>
      <c r="S1046" s="1" t="str">
        <f>IF(tblDados[[#This Row],[Mandante]]="","",TEXT(tblDados[[#This Row],[Data]],"aaaa-mm-dd")&amp;"|"&amp;TRIM(tblDados[[#This Row],[Mandante]])&amp;"|"&amp;TRIM(tblDados[[#This Row],[Visitante]]))</f>
        <v>2026-06-06|Supra du Québec|Pacific FC</v>
      </c>
      <c r="T1046" s="1">
        <f>IF($G1046="",0,IF(COUNTIF($S$2:$S1046,$S1046)=1,1,0))</f>
        <v>1</v>
      </c>
      <c r="U1046" s="19" t="str" cm="1">
        <f t="array" ref="U10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6" s="19" t="str" cm="1">
        <f t="array" ref="V10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7" spans="1:22" x14ac:dyDescent="0.3">
      <c r="A1047" s="1" t="s">
        <v>2701</v>
      </c>
      <c r="B1047" s="102">
        <v>46171</v>
      </c>
      <c r="C1047" s="6">
        <v>0.79166666666666663</v>
      </c>
      <c r="D1047" s="1" t="s">
        <v>15</v>
      </c>
      <c r="E1047" s="1" t="s">
        <v>2618</v>
      </c>
      <c r="F1047" s="1" t="s">
        <v>2702</v>
      </c>
      <c r="G1047" s="39" t="s">
        <v>119</v>
      </c>
      <c r="H1047" s="1">
        <v>3</v>
      </c>
      <c r="I1047" s="1">
        <v>1</v>
      </c>
      <c r="J1047" s="39" t="s">
        <v>2622</v>
      </c>
      <c r="K1047" s="1">
        <v>1</v>
      </c>
      <c r="L1047" s="1">
        <v>3</v>
      </c>
      <c r="S1047" s="1" t="str">
        <f>IF(tblDados[[#This Row],[Mandante]]="","",TEXT(tblDados[[#This Row],[Data]],"aaaa-mm-dd")&amp;"|"&amp;TRIM(tblDados[[#This Row],[Mandante]])&amp;"|"&amp;TRIM(tblDados[[#This Row],[Visitante]]))</f>
        <v>2026-05-29|Supra du Québec|Inter Toronto</v>
      </c>
      <c r="T1047" s="1">
        <f>IF($G1047="",0,IF(COUNTIF($S$2:$S1047,$S1047)=1,1,0))</f>
        <v>1</v>
      </c>
      <c r="U1047" s="19" t="str" cm="1">
        <f t="array" ref="U10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7" s="19" t="str" cm="1">
        <f t="array" ref="V10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8" spans="1:22" ht="14.4" x14ac:dyDescent="0.3">
      <c r="A1048" s="1" t="s">
        <v>2703</v>
      </c>
      <c r="B1048" s="102">
        <v>46136</v>
      </c>
      <c r="C1048" s="6">
        <v>0.79166666666666663</v>
      </c>
      <c r="D1048" s="1" t="s">
        <v>15</v>
      </c>
      <c r="E1048" s="1" t="s">
        <v>2618</v>
      </c>
      <c r="F1048" s="1" t="s">
        <v>2704</v>
      </c>
      <c r="G1048" s="39" t="s">
        <v>119</v>
      </c>
      <c r="H1048" s="1">
        <v>2</v>
      </c>
      <c r="I1048" s="1">
        <v>1</v>
      </c>
      <c r="J1048" s="39" t="s">
        <v>2621</v>
      </c>
      <c r="K1048" s="1">
        <v>1</v>
      </c>
      <c r="L1048" s="1">
        <v>2</v>
      </c>
      <c r="S1048" s="1" t="str">
        <f>IF(tblDados[[#This Row],[Mandante]]="","",TEXT(tblDados[[#This Row],[Data]],"aaaa-mm-dd")&amp;"|"&amp;TRIM(tblDados[[#This Row],[Mandante]])&amp;"|"&amp;TRIM(tblDados[[#This Row],[Visitante]]))</f>
        <v>2026-04-24|Supra du Québec|HFX Wanderers</v>
      </c>
      <c r="T1048">
        <f>IF($G1048="",0,IF(COUNTIF($S$2:$S2834,$S1048)=1,1,0))</f>
        <v>1</v>
      </c>
      <c r="U1048" s="19" t="str" cm="1">
        <f t="array" ref="U10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8" s="19" t="str" cm="1">
        <f t="array" ref="V10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9" spans="1:22" x14ac:dyDescent="0.3">
      <c r="A1049" s="1" t="s">
        <v>2705</v>
      </c>
      <c r="B1049" s="102">
        <v>46208</v>
      </c>
      <c r="C1049" s="6">
        <v>0.75</v>
      </c>
      <c r="D1049" s="1" t="s">
        <v>15</v>
      </c>
      <c r="E1049" s="1" t="s">
        <v>2618</v>
      </c>
      <c r="F1049" s="1" t="s">
        <v>2706</v>
      </c>
      <c r="G1049" s="39" t="s">
        <v>198</v>
      </c>
      <c r="H1049" s="1">
        <v>1</v>
      </c>
      <c r="I1049" s="1">
        <v>2</v>
      </c>
      <c r="J1049" s="39" t="s">
        <v>2621</v>
      </c>
      <c r="K1049" s="1">
        <v>2</v>
      </c>
      <c r="L1049" s="1">
        <v>1</v>
      </c>
      <c r="S1049" s="1" t="str">
        <f>IF(tblDados[[#This Row],[Mandante]]="","",TEXT(tblDados[[#This Row],[Data]],"aaaa-mm-dd")&amp;"|"&amp;TRIM(tblDados[[#This Row],[Mandante]])&amp;"|"&amp;TRIM(tblDados[[#This Row],[Visitante]]))</f>
        <v>2026-07-05|Pacific FC|HFX Wanderers</v>
      </c>
      <c r="T1049" s="1">
        <f>IF($G1049="",0,IF(COUNTIF($S$2:$S1049,$S1049)=1,1,0))</f>
        <v>1</v>
      </c>
      <c r="U1049" s="19" t="str" cm="1">
        <f t="array" ref="U10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9" s="19" t="str" cm="1">
        <f t="array" ref="V10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0" spans="1:22" x14ac:dyDescent="0.3">
      <c r="A1050" s="1" t="s">
        <v>2707</v>
      </c>
      <c r="B1050" s="102">
        <v>46199</v>
      </c>
      <c r="C1050" s="6">
        <v>0.75</v>
      </c>
      <c r="D1050" s="1" t="s">
        <v>15</v>
      </c>
      <c r="E1050" s="1" t="s">
        <v>2618</v>
      </c>
      <c r="F1050" s="1" t="s">
        <v>2708</v>
      </c>
      <c r="G1050" s="39" t="s">
        <v>2621</v>
      </c>
      <c r="H1050" s="1">
        <v>5</v>
      </c>
      <c r="I1050" s="1">
        <v>2</v>
      </c>
      <c r="J1050" s="39" t="s">
        <v>198</v>
      </c>
      <c r="K1050" s="1">
        <v>2</v>
      </c>
      <c r="L1050" s="1">
        <v>5</v>
      </c>
      <c r="S1050" s="1" t="str">
        <f>IF(tblDados[[#This Row],[Mandante]]="","",TEXT(tblDados[[#This Row],[Data]],"aaaa-mm-dd")&amp;"|"&amp;TRIM(tblDados[[#This Row],[Mandante]])&amp;"|"&amp;TRIM(tblDados[[#This Row],[Visitante]]))</f>
        <v>2026-06-26|HFX Wanderers|Pacific FC</v>
      </c>
      <c r="T1050" s="1">
        <f>IF($G1050="",0,IF(COUNTIF($S$2:$S1050,$S1050)=1,1,0))</f>
        <v>1</v>
      </c>
      <c r="U1050" s="19" t="str" cm="1">
        <f t="array" ref="U10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0" s="19" t="str" cm="1">
        <f t="array" ref="V10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1" spans="1:22" ht="14.4" x14ac:dyDescent="0.3">
      <c r="A1051" s="1" t="s">
        <v>2709</v>
      </c>
      <c r="B1051" s="102">
        <v>46165</v>
      </c>
      <c r="C1051" s="6">
        <v>0.625</v>
      </c>
      <c r="D1051" s="1" t="s">
        <v>15</v>
      </c>
      <c r="E1051" s="1" t="s">
        <v>2618</v>
      </c>
      <c r="F1051" s="1" t="s">
        <v>2710</v>
      </c>
      <c r="G1051" s="39" t="s">
        <v>2621</v>
      </c>
      <c r="H1051" s="1">
        <v>1</v>
      </c>
      <c r="I1051" s="1">
        <v>1</v>
      </c>
      <c r="J1051" s="39" t="s">
        <v>2622</v>
      </c>
      <c r="K1051" s="1">
        <v>1</v>
      </c>
      <c r="L1051" s="1">
        <v>1</v>
      </c>
      <c r="S1051" s="1" t="str">
        <f>IF(tblDados[[#This Row],[Mandante]]="","",TEXT(tblDados[[#This Row],[Data]],"aaaa-mm-dd")&amp;"|"&amp;TRIM(tblDados[[#This Row],[Mandante]])&amp;"|"&amp;TRIM(tblDados[[#This Row],[Visitante]]))</f>
        <v>2026-05-23|HFX Wanderers|Inter Toronto</v>
      </c>
      <c r="T1051">
        <f>IF($G1051="",0,IF(COUNTIF($S$2:$S2834,$S1051)=1,1,0))</f>
        <v>1</v>
      </c>
      <c r="U1051" s="19" t="str" cm="1">
        <f t="array" ref="U10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1" s="19" t="str" cm="1">
        <f t="array" ref="V10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2" spans="1:22" x14ac:dyDescent="0.3">
      <c r="A1052" s="1" t="s">
        <v>2711</v>
      </c>
      <c r="B1052" s="102">
        <v>46242</v>
      </c>
      <c r="C1052" s="6">
        <v>0.70833333333333337</v>
      </c>
      <c r="D1052" s="1" t="s">
        <v>15</v>
      </c>
      <c r="E1052" s="1" t="s">
        <v>2618</v>
      </c>
      <c r="F1052" s="1" t="s">
        <v>2712</v>
      </c>
      <c r="G1052" s="39" t="s">
        <v>198</v>
      </c>
      <c r="H1052" s="1">
        <v>1</v>
      </c>
      <c r="I1052" s="1">
        <v>1</v>
      </c>
      <c r="J1052" s="39" t="s">
        <v>2622</v>
      </c>
      <c r="K1052" s="1">
        <v>1</v>
      </c>
      <c r="L1052" s="1">
        <v>1</v>
      </c>
      <c r="S1052" s="1" t="str">
        <f>IF(tblDados[[#This Row],[Mandante]]="","",TEXT(tblDados[[#This Row],[Data]],"aaaa-mm-dd")&amp;"|"&amp;TRIM(tblDados[[#This Row],[Mandante]])&amp;"|"&amp;TRIM(tblDados[[#This Row],[Visitante]]))</f>
        <v>2026-08-08|Pacific FC|Inter Toronto</v>
      </c>
      <c r="T1052" s="1">
        <f>IF($G1052="",0,IF(COUNTIF($S$2:$S1052,$S1052)=1,1,0))</f>
        <v>1</v>
      </c>
      <c r="U1052" s="19" t="str" cm="1">
        <f t="array" ref="U10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2" s="19" t="str" cm="1">
        <f t="array" ref="V10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3" spans="1:22" ht="14.4" x14ac:dyDescent="0.3">
      <c r="A1053" s="1" t="s">
        <v>2713</v>
      </c>
      <c r="B1053" s="102">
        <v>46159</v>
      </c>
      <c r="C1053" s="6">
        <v>0.70833333333333337</v>
      </c>
      <c r="D1053" s="1" t="s">
        <v>15</v>
      </c>
      <c r="E1053" s="1" t="s">
        <v>2618</v>
      </c>
      <c r="F1053" s="1" t="s">
        <v>2714</v>
      </c>
      <c r="G1053" s="39" t="s">
        <v>198</v>
      </c>
      <c r="H1053" s="1">
        <v>0</v>
      </c>
      <c r="I1053" s="1">
        <v>1</v>
      </c>
      <c r="J1053" s="39" t="s">
        <v>2622</v>
      </c>
      <c r="K1053" s="1">
        <v>1</v>
      </c>
      <c r="L1053" s="1">
        <v>0</v>
      </c>
      <c r="S1053" s="1" t="str">
        <f>IF(tblDados[[#This Row],[Mandante]]="","",TEXT(tblDados[[#This Row],[Data]],"aaaa-mm-dd")&amp;"|"&amp;TRIM(tblDados[[#This Row],[Mandante]])&amp;"|"&amp;TRIM(tblDados[[#This Row],[Visitante]]))</f>
        <v>2026-05-17|Pacific FC|Inter Toronto</v>
      </c>
      <c r="T1053">
        <f>IF($G1053="",0,IF(COUNTIF($S$2:$S2834,$S1053)=1,1,0))</f>
        <v>1</v>
      </c>
      <c r="U1053" s="19" t="str" cm="1">
        <f t="array" ref="U10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3" s="19" t="str" cm="1">
        <f t="array" ref="V10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4" spans="1:22" x14ac:dyDescent="0.3">
      <c r="A1054" s="1" t="s">
        <v>2722</v>
      </c>
      <c r="B1054" s="102">
        <v>46235</v>
      </c>
      <c r="C1054" s="6">
        <v>0.54166666666666663</v>
      </c>
      <c r="D1054" s="1" t="s">
        <v>18</v>
      </c>
      <c r="E1054" s="1" t="s">
        <v>19</v>
      </c>
      <c r="F1054" s="1" t="s">
        <v>2723</v>
      </c>
      <c r="G1054" s="39" t="s">
        <v>2716</v>
      </c>
      <c r="H1054" s="1">
        <v>0</v>
      </c>
      <c r="I1054" s="1">
        <v>1</v>
      </c>
      <c r="J1054" s="39" t="s">
        <v>2715</v>
      </c>
      <c r="K1054" s="1">
        <v>1</v>
      </c>
      <c r="L1054" s="1">
        <v>0</v>
      </c>
      <c r="S1054" s="1" t="str">
        <f>IF(tblDados[[#This Row],[Mandante]]="","",TEXT(tblDados[[#This Row],[Data]],"aaaa-mm-dd")&amp;"|"&amp;TRIM(tblDados[[#This Row],[Mandante]])&amp;"|"&amp;TRIM(tblDados[[#This Row],[Visitante]]))</f>
        <v>2026-08-01|IF Gnistan|KuPS</v>
      </c>
      <c r="T1054" s="1">
        <f>IF($G1054="",0,IF(COUNTIF($S$2:$S1054,$S1054)=1,1,0))</f>
        <v>1</v>
      </c>
      <c r="U1054" s="19" t="str" cm="1">
        <f t="array" ref="U10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4" s="19" t="str" cm="1">
        <f t="array" ref="V10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5" spans="1:22" x14ac:dyDescent="0.3">
      <c r="A1055" s="1" t="s">
        <v>2724</v>
      </c>
      <c r="B1055" s="102">
        <v>46228</v>
      </c>
      <c r="C1055" s="6">
        <v>0.4583333333333337</v>
      </c>
      <c r="D1055" s="1" t="s">
        <v>18</v>
      </c>
      <c r="E1055" s="1" t="s">
        <v>19</v>
      </c>
      <c r="F1055" s="1" t="s">
        <v>2725</v>
      </c>
      <c r="G1055" s="39" t="s">
        <v>2715</v>
      </c>
      <c r="H1055" s="1">
        <v>3</v>
      </c>
      <c r="I1055" s="1">
        <v>1</v>
      </c>
      <c r="J1055" s="39" t="s">
        <v>394</v>
      </c>
      <c r="K1055" s="1">
        <v>1</v>
      </c>
      <c r="L1055" s="1">
        <v>3</v>
      </c>
      <c r="S1055" s="1" t="str">
        <f>IF(tblDados[[#This Row],[Mandante]]="","",TEXT(tblDados[[#This Row],[Data]],"aaaa-mm-dd")&amp;"|"&amp;TRIM(tblDados[[#This Row],[Mandante]])&amp;"|"&amp;TRIM(tblDados[[#This Row],[Visitante]]))</f>
        <v>2026-07-25|KuPS|VPS Vaasa</v>
      </c>
      <c r="T1055" s="1">
        <f>IF($G1055="",0,IF(COUNTIF($S$2:$S1055,$S1055)=1,1,0))</f>
        <v>1</v>
      </c>
      <c r="U1055" s="19" t="str" cm="1">
        <f t="array" ref="U10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5" s="19" t="str" cm="1">
        <f t="array" ref="V10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6" spans="1:22" x14ac:dyDescent="0.3">
      <c r="A1056" s="1" t="s">
        <v>2726</v>
      </c>
      <c r="B1056" s="102">
        <v>46221</v>
      </c>
      <c r="C1056" s="6">
        <v>0.4583333333333337</v>
      </c>
      <c r="D1056" s="1" t="s">
        <v>18</v>
      </c>
      <c r="E1056" s="1" t="s">
        <v>19</v>
      </c>
      <c r="F1056" s="1" t="s">
        <v>2727</v>
      </c>
      <c r="G1056" s="39" t="s">
        <v>993</v>
      </c>
      <c r="H1056" s="1">
        <v>0</v>
      </c>
      <c r="I1056" s="1">
        <v>2</v>
      </c>
      <c r="J1056" s="39" t="s">
        <v>2715</v>
      </c>
      <c r="K1056" s="1">
        <v>2</v>
      </c>
      <c r="L1056" s="1">
        <v>0</v>
      </c>
      <c r="S1056" s="1" t="str">
        <f>IF(tblDados[[#This Row],[Mandante]]="","",TEXT(tblDados[[#This Row],[Data]],"aaaa-mm-dd")&amp;"|"&amp;TRIM(tblDados[[#This Row],[Mandante]])&amp;"|"&amp;TRIM(tblDados[[#This Row],[Visitante]]))</f>
        <v>2026-07-18|SJK|KuPS</v>
      </c>
      <c r="T1056" s="1">
        <f>IF($G1056="",0,IF(COUNTIF($S$2:$S1056,$S1056)=1,1,0))</f>
        <v>1</v>
      </c>
      <c r="U1056" s="19" t="str" cm="1">
        <f t="array" ref="U10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6" s="19" t="str" cm="1">
        <f t="array" ref="V10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7" spans="1:22" x14ac:dyDescent="0.3">
      <c r="A1057" s="1" t="s">
        <v>2728</v>
      </c>
      <c r="B1057" s="102">
        <v>46200</v>
      </c>
      <c r="C1057" s="6">
        <v>0.4583333333333337</v>
      </c>
      <c r="D1057" s="1" t="s">
        <v>18</v>
      </c>
      <c r="E1057" s="1" t="s">
        <v>19</v>
      </c>
      <c r="F1057" s="1" t="s">
        <v>2729</v>
      </c>
      <c r="G1057" s="39" t="s">
        <v>992</v>
      </c>
      <c r="H1057" s="1">
        <v>0</v>
      </c>
      <c r="I1057" s="1">
        <v>4</v>
      </c>
      <c r="J1057" s="39" t="s">
        <v>2715</v>
      </c>
      <c r="K1057" s="1">
        <v>4</v>
      </c>
      <c r="L1057" s="1">
        <v>0</v>
      </c>
      <c r="S1057" s="1" t="str">
        <f>IF(tblDados[[#This Row],[Mandante]]="","",TEXT(tblDados[[#This Row],[Data]],"aaaa-mm-dd")&amp;"|"&amp;TRIM(tblDados[[#This Row],[Mandante]])&amp;"|"&amp;TRIM(tblDados[[#This Row],[Visitante]]))</f>
        <v>2026-06-27|HJK Helsinki|KuPS</v>
      </c>
      <c r="T1057" s="1">
        <f>IF($G1057="",0,IF(COUNTIF($S$2:$S1057,$S1057)=1,1,0))</f>
        <v>1</v>
      </c>
      <c r="U1057" s="19" t="str" cm="1">
        <f t="array" ref="U10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7" s="19" t="str" cm="1">
        <f t="array" ref="V10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8" spans="1:22" x14ac:dyDescent="0.3">
      <c r="A1058" s="1" t="s">
        <v>2730</v>
      </c>
      <c r="B1058" s="102">
        <v>46196</v>
      </c>
      <c r="C1058" s="6">
        <v>0.49999999999999967</v>
      </c>
      <c r="D1058" s="1" t="s">
        <v>18</v>
      </c>
      <c r="E1058" s="1" t="s">
        <v>19</v>
      </c>
      <c r="F1058" s="1" t="s">
        <v>2731</v>
      </c>
      <c r="G1058" s="39" t="s">
        <v>2715</v>
      </c>
      <c r="H1058" s="1">
        <v>4</v>
      </c>
      <c r="I1058" s="1">
        <v>3</v>
      </c>
      <c r="J1058" s="39" t="s">
        <v>2717</v>
      </c>
      <c r="K1058" s="1">
        <v>3</v>
      </c>
      <c r="L1058" s="1">
        <v>4</v>
      </c>
      <c r="S1058" s="1" t="str">
        <f>IF(tblDados[[#This Row],[Mandante]]="","",TEXT(tblDados[[#This Row],[Data]],"aaaa-mm-dd")&amp;"|"&amp;TRIM(tblDados[[#This Row],[Mandante]])&amp;"|"&amp;TRIM(tblDados[[#This Row],[Visitante]]))</f>
        <v>2026-06-23|KuPS|Ilves</v>
      </c>
      <c r="T1058" s="1">
        <f>IF($G1058="",0,IF(COUNTIF($S$2:$S1058,$S1058)=1,1,0))</f>
        <v>1</v>
      </c>
      <c r="U1058" s="19" t="str" cm="1">
        <f t="array" ref="U10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8" s="19" t="str" cm="1">
        <f t="array" ref="V10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9" spans="1:22" x14ac:dyDescent="0.3">
      <c r="A1059" s="1" t="s">
        <v>2732</v>
      </c>
      <c r="B1059" s="102">
        <v>46190</v>
      </c>
      <c r="C1059" s="6">
        <v>0.49999999999999967</v>
      </c>
      <c r="D1059" s="1" t="s">
        <v>18</v>
      </c>
      <c r="E1059" s="1" t="s">
        <v>19</v>
      </c>
      <c r="F1059" s="1" t="s">
        <v>2733</v>
      </c>
      <c r="G1059" s="39" t="s">
        <v>2718</v>
      </c>
      <c r="H1059" s="1">
        <v>1</v>
      </c>
      <c r="I1059" s="1">
        <v>2</v>
      </c>
      <c r="J1059" s="39" t="s">
        <v>2715</v>
      </c>
      <c r="K1059" s="1">
        <v>2</v>
      </c>
      <c r="L1059" s="1">
        <v>1</v>
      </c>
      <c r="S1059" s="1" t="str">
        <f>IF(tblDados[[#This Row],[Mandante]]="","",TEXT(tblDados[[#This Row],[Data]],"aaaa-mm-dd")&amp;"|"&amp;TRIM(tblDados[[#This Row],[Mandante]])&amp;"|"&amp;TRIM(tblDados[[#This Row],[Visitante]]))</f>
        <v>2026-06-17|TPS|KuPS</v>
      </c>
      <c r="T1059" s="1">
        <f>IF($G1059="",0,IF(COUNTIF($S$2:$S1059,$S1059)=1,1,0))</f>
        <v>1</v>
      </c>
      <c r="U1059" s="19" t="str" cm="1">
        <f t="array" ref="U10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9" s="19" t="str" cm="1">
        <f t="array" ref="V10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0" spans="1:22" x14ac:dyDescent="0.3">
      <c r="A1060" s="1" t="s">
        <v>2734</v>
      </c>
      <c r="B1060" s="102">
        <v>46186</v>
      </c>
      <c r="C1060" s="6">
        <v>0.4583333333333337</v>
      </c>
      <c r="D1060" s="1" t="s">
        <v>18</v>
      </c>
      <c r="E1060" s="1" t="s">
        <v>19</v>
      </c>
      <c r="F1060" s="1" t="s">
        <v>2735</v>
      </c>
      <c r="G1060" s="39" t="s">
        <v>394</v>
      </c>
      <c r="H1060" s="1">
        <v>1</v>
      </c>
      <c r="I1060" s="1">
        <v>1</v>
      </c>
      <c r="J1060" s="39" t="s">
        <v>2715</v>
      </c>
      <c r="K1060" s="1">
        <v>1</v>
      </c>
      <c r="L1060" s="1">
        <v>1</v>
      </c>
      <c r="S1060" s="1" t="str">
        <f>IF(tblDados[[#This Row],[Mandante]]="","",TEXT(tblDados[[#This Row],[Data]],"aaaa-mm-dd")&amp;"|"&amp;TRIM(tblDados[[#This Row],[Mandante]])&amp;"|"&amp;TRIM(tblDados[[#This Row],[Visitante]]))</f>
        <v>2026-06-13|VPS Vaasa|KuPS</v>
      </c>
      <c r="T1060" s="1">
        <f>IF($G1060="",0,IF(COUNTIF($S$2:$S1060,$S1060)=1,1,0))</f>
        <v>1</v>
      </c>
      <c r="U1060" s="19" t="str" cm="1">
        <f t="array" ref="U10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0" s="19" t="str" cm="1">
        <f t="array" ref="V10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1" spans="1:22" x14ac:dyDescent="0.3">
      <c r="A1061" s="1" t="s">
        <v>2736</v>
      </c>
      <c r="B1061" s="102">
        <v>46172</v>
      </c>
      <c r="C1061" s="6">
        <v>0.4583333333333337</v>
      </c>
      <c r="D1061" s="1" t="s">
        <v>18</v>
      </c>
      <c r="E1061" s="1" t="s">
        <v>19</v>
      </c>
      <c r="F1061" s="1" t="s">
        <v>2737</v>
      </c>
      <c r="G1061" s="39" t="s">
        <v>2715</v>
      </c>
      <c r="H1061" s="1">
        <v>1</v>
      </c>
      <c r="I1061" s="1">
        <v>1</v>
      </c>
      <c r="J1061" s="39" t="s">
        <v>2719</v>
      </c>
      <c r="K1061" s="1">
        <v>1</v>
      </c>
      <c r="L1061" s="1">
        <v>1</v>
      </c>
      <c r="S1061" s="1" t="str">
        <f>IF(tblDados[[#This Row],[Mandante]]="","",TEXT(tblDados[[#This Row],[Data]],"aaaa-mm-dd")&amp;"|"&amp;TRIM(tblDados[[#This Row],[Mandante]])&amp;"|"&amp;TRIM(tblDados[[#This Row],[Visitante]]))</f>
        <v>2026-05-30|KuPS|Inter Turku</v>
      </c>
      <c r="T1061" s="1">
        <f>IF($G1061="",0,IF(COUNTIF($S$2:$S1061,$S1061)=1,1,0))</f>
        <v>1</v>
      </c>
      <c r="U1061" s="19" t="str" cm="1">
        <f t="array" ref="U10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1" s="19" t="str" cm="1">
        <f t="array" ref="V10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2" spans="1:22" x14ac:dyDescent="0.3">
      <c r="A1062" s="1" t="s">
        <v>2738</v>
      </c>
      <c r="B1062" s="102">
        <v>46165</v>
      </c>
      <c r="C1062" s="6">
        <v>0.4583333333333337</v>
      </c>
      <c r="D1062" s="1" t="s">
        <v>18</v>
      </c>
      <c r="E1062" s="1" t="s">
        <v>19</v>
      </c>
      <c r="F1062" s="1" t="s">
        <v>2739</v>
      </c>
      <c r="G1062" s="39" t="s">
        <v>2715</v>
      </c>
      <c r="H1062" s="1">
        <v>2</v>
      </c>
      <c r="I1062" s="1">
        <v>1</v>
      </c>
      <c r="J1062" s="39" t="s">
        <v>2720</v>
      </c>
      <c r="K1062" s="1">
        <v>1</v>
      </c>
      <c r="L1062" s="1">
        <v>2</v>
      </c>
      <c r="S1062" s="1" t="str">
        <f>IF(tblDados[[#This Row],[Mandante]]="","",TEXT(tblDados[[#This Row],[Data]],"aaaa-mm-dd")&amp;"|"&amp;TRIM(tblDados[[#This Row],[Mandante]])&amp;"|"&amp;TRIM(tblDados[[#This Row],[Visitante]]))</f>
        <v>2026-05-23|KuPS|FC Lahti</v>
      </c>
      <c r="T1062" s="1">
        <f>IF($G1062="",0,IF(COUNTIF($S$2:$S1062,$S1062)=1,1,0))</f>
        <v>1</v>
      </c>
      <c r="U1062" s="19" t="str" cm="1">
        <f t="array" ref="U10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2" s="19" t="str" cm="1">
        <f t="array" ref="V10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3" spans="1:22" x14ac:dyDescent="0.3">
      <c r="A1063" s="1" t="s">
        <v>2740</v>
      </c>
      <c r="B1063" s="102">
        <v>46162</v>
      </c>
      <c r="C1063" s="6">
        <v>0.54166666666666663</v>
      </c>
      <c r="D1063" s="1" t="s">
        <v>18</v>
      </c>
      <c r="E1063" s="1" t="s">
        <v>19</v>
      </c>
      <c r="F1063" s="1" t="s">
        <v>2741</v>
      </c>
      <c r="G1063" s="39" t="s">
        <v>2715</v>
      </c>
      <c r="H1063" s="1">
        <v>3</v>
      </c>
      <c r="I1063" s="1">
        <v>0</v>
      </c>
      <c r="J1063" s="39" t="s">
        <v>1585</v>
      </c>
      <c r="K1063" s="1">
        <v>0</v>
      </c>
      <c r="L1063" s="1">
        <v>3</v>
      </c>
      <c r="S1063" s="1" t="str">
        <f>IF(tblDados[[#This Row],[Mandante]]="","",TEXT(tblDados[[#This Row],[Data]],"aaaa-mm-dd")&amp;"|"&amp;TRIM(tblDados[[#This Row],[Mandante]])&amp;"|"&amp;TRIM(tblDados[[#This Row],[Visitante]]))</f>
        <v>2026-05-20|KuPS|FF Jaro</v>
      </c>
      <c r="T1063" s="1">
        <f>IF($G1063="",0,IF(COUNTIF($S$2:$S1063,$S1063)=1,1,0))</f>
        <v>1</v>
      </c>
      <c r="U1063" s="19" t="str" cm="1">
        <f t="array" ref="U10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3" s="19" t="str" cm="1">
        <f t="array" ref="V10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4" spans="1:22" x14ac:dyDescent="0.3">
      <c r="A1064" s="1" t="s">
        <v>2742</v>
      </c>
      <c r="B1064" s="102">
        <v>46158</v>
      </c>
      <c r="C1064" s="6">
        <v>0.4583333333333337</v>
      </c>
      <c r="D1064" s="1" t="s">
        <v>18</v>
      </c>
      <c r="E1064" s="1" t="s">
        <v>19</v>
      </c>
      <c r="F1064" s="1" t="s">
        <v>2743</v>
      </c>
      <c r="G1064" s="39" t="s">
        <v>2721</v>
      </c>
      <c r="H1064" s="1">
        <v>1</v>
      </c>
      <c r="I1064" s="1">
        <v>1</v>
      </c>
      <c r="J1064" s="39" t="s">
        <v>2715</v>
      </c>
      <c r="K1064" s="1">
        <v>1</v>
      </c>
      <c r="L1064" s="1">
        <v>1</v>
      </c>
      <c r="S1064" s="1" t="str">
        <f>IF(tblDados[[#This Row],[Mandante]]="","",TEXT(tblDados[[#This Row],[Data]],"aaaa-mm-dd")&amp;"|"&amp;TRIM(tblDados[[#This Row],[Mandante]])&amp;"|"&amp;TRIM(tblDados[[#This Row],[Visitante]]))</f>
        <v>2026-05-16|IFK Mariehamn|KuPS</v>
      </c>
      <c r="T1064" s="1">
        <f>IF($G1064="",0,IF(COUNTIF($S$2:$S1064,$S1064)=1,1,0))</f>
        <v>1</v>
      </c>
      <c r="U1064" s="19" t="str" cm="1">
        <f t="array" ref="U10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4" s="19" t="str" cm="1">
        <f t="array" ref="V10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5" spans="1:22" ht="14.4" x14ac:dyDescent="0.3">
      <c r="A1065" s="1" t="s">
        <v>2744</v>
      </c>
      <c r="B1065" s="102">
        <v>46150</v>
      </c>
      <c r="C1065" s="6">
        <v>0.5833333333333337</v>
      </c>
      <c r="D1065" s="1" t="s">
        <v>18</v>
      </c>
      <c r="E1065" s="1" t="s">
        <v>19</v>
      </c>
      <c r="F1065" s="1" t="s">
        <v>2745</v>
      </c>
      <c r="G1065" s="39" t="s">
        <v>2715</v>
      </c>
      <c r="H1065" s="1">
        <v>0</v>
      </c>
      <c r="I1065" s="1">
        <v>0</v>
      </c>
      <c r="J1065" s="39" t="s">
        <v>993</v>
      </c>
      <c r="K1065" s="1">
        <v>0</v>
      </c>
      <c r="L1065" s="1">
        <v>0</v>
      </c>
      <c r="S1065" s="1" t="str">
        <f>IF(tblDados[[#This Row],[Mandante]]="","",TEXT(tblDados[[#This Row],[Data]],"aaaa-mm-dd")&amp;"|"&amp;TRIM(tblDados[[#This Row],[Mandante]])&amp;"|"&amp;TRIM(tblDados[[#This Row],[Visitante]]))</f>
        <v>2026-05-08|KuPS|SJK</v>
      </c>
      <c r="T1065">
        <f>IF($G1065="",0,IF(COUNTIF($S$2:$S2834,$S1065)=1,1,0))</f>
        <v>1</v>
      </c>
      <c r="U1065" s="19" t="str" cm="1">
        <f t="array" ref="U10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5" s="19" t="str" cm="1">
        <f t="array" ref="V10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6" spans="1:22" x14ac:dyDescent="0.3">
      <c r="A1066" s="1" t="s">
        <v>2747</v>
      </c>
      <c r="B1066" s="102">
        <v>46235</v>
      </c>
      <c r="C1066" s="6">
        <v>0.37499999999999967</v>
      </c>
      <c r="D1066" s="1" t="s">
        <v>18</v>
      </c>
      <c r="E1066" s="1" t="s">
        <v>19</v>
      </c>
      <c r="F1066" s="1" t="s">
        <v>2748</v>
      </c>
      <c r="G1066" s="39" t="s">
        <v>2718</v>
      </c>
      <c r="H1066" s="1">
        <v>3</v>
      </c>
      <c r="I1066" s="1">
        <v>0</v>
      </c>
      <c r="J1066" s="39" t="s">
        <v>2721</v>
      </c>
      <c r="K1066" s="1">
        <v>0</v>
      </c>
      <c r="L1066" s="1">
        <v>3</v>
      </c>
      <c r="S1066" s="1" t="str">
        <f>IF(tblDados[[#This Row],[Mandante]]="","",TEXT(tblDados[[#This Row],[Data]],"aaaa-mm-dd")&amp;"|"&amp;TRIM(tblDados[[#This Row],[Mandante]])&amp;"|"&amp;TRIM(tblDados[[#This Row],[Visitante]]))</f>
        <v>2026-08-01|TPS|IFK Mariehamn</v>
      </c>
      <c r="T1066" s="1">
        <f>IF($G1066="",0,IF(COUNTIF($S$2:$S1066,$S1066)=1,1,0))</f>
        <v>1</v>
      </c>
      <c r="U1066" s="19" t="str" cm="1">
        <f t="array" ref="U10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6" s="19" t="str" cm="1">
        <f t="array" ref="V10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7" spans="1:22" x14ac:dyDescent="0.3">
      <c r="A1067" s="1" t="s">
        <v>2749</v>
      </c>
      <c r="B1067" s="102">
        <v>46229</v>
      </c>
      <c r="C1067" s="6">
        <v>0.4583333333333337</v>
      </c>
      <c r="D1067" s="1" t="s">
        <v>18</v>
      </c>
      <c r="E1067" s="1" t="s">
        <v>19</v>
      </c>
      <c r="F1067" s="1" t="s">
        <v>2750</v>
      </c>
      <c r="G1067" s="39" t="s">
        <v>992</v>
      </c>
      <c r="H1067" s="1">
        <v>1</v>
      </c>
      <c r="I1067" s="1">
        <v>0</v>
      </c>
      <c r="J1067" s="39" t="s">
        <v>2718</v>
      </c>
      <c r="K1067" s="1">
        <v>0</v>
      </c>
      <c r="L1067" s="1">
        <v>1</v>
      </c>
      <c r="S1067" s="1" t="str">
        <f>IF(tblDados[[#This Row],[Mandante]]="","",TEXT(tblDados[[#This Row],[Data]],"aaaa-mm-dd")&amp;"|"&amp;TRIM(tblDados[[#This Row],[Mandante]])&amp;"|"&amp;TRIM(tblDados[[#This Row],[Visitante]]))</f>
        <v>2026-07-26|HJK Helsinki|TPS</v>
      </c>
      <c r="T1067" s="1">
        <f>IF($G1067="",0,IF(COUNTIF($S$2:$S1067,$S1067)=1,1,0))</f>
        <v>1</v>
      </c>
      <c r="U1067" s="19" t="str" cm="1">
        <f t="array" ref="U10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7" s="19" t="str" cm="1">
        <f t="array" ref="V10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8" spans="1:22" x14ac:dyDescent="0.3">
      <c r="A1068" s="1" t="s">
        <v>2751</v>
      </c>
      <c r="B1068" s="102">
        <v>46223</v>
      </c>
      <c r="C1068" s="6">
        <v>0.49999999999999967</v>
      </c>
      <c r="D1068" s="1" t="s">
        <v>18</v>
      </c>
      <c r="E1068" s="1" t="s">
        <v>19</v>
      </c>
      <c r="F1068" s="1" t="s">
        <v>2752</v>
      </c>
      <c r="G1068" s="39" t="s">
        <v>2718</v>
      </c>
      <c r="H1068" s="1">
        <v>1</v>
      </c>
      <c r="I1068" s="1">
        <v>3</v>
      </c>
      <c r="J1068" s="39" t="s">
        <v>2717</v>
      </c>
      <c r="K1068" s="1">
        <v>3</v>
      </c>
      <c r="L1068" s="1">
        <v>1</v>
      </c>
      <c r="S1068" s="1" t="str">
        <f>IF(tblDados[[#This Row],[Mandante]]="","",TEXT(tblDados[[#This Row],[Data]],"aaaa-mm-dd")&amp;"|"&amp;TRIM(tblDados[[#This Row],[Mandante]])&amp;"|"&amp;TRIM(tblDados[[#This Row],[Visitante]]))</f>
        <v>2026-07-20|TPS|Ilves</v>
      </c>
      <c r="T1068" s="1">
        <f>IF($G1068="",0,IF(COUNTIF($S$2:$S1068,$S1068)=1,1,0))</f>
        <v>1</v>
      </c>
      <c r="U1068" s="19" t="str" cm="1">
        <f t="array" ref="U10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8" s="19" t="str" cm="1">
        <f t="array" ref="V10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9" spans="1:22" x14ac:dyDescent="0.3">
      <c r="A1069" s="1" t="s">
        <v>2753</v>
      </c>
      <c r="B1069" s="102">
        <v>46214</v>
      </c>
      <c r="C1069" s="6">
        <v>0.4583333333333337</v>
      </c>
      <c r="D1069" s="1" t="s">
        <v>18</v>
      </c>
      <c r="E1069" s="1" t="s">
        <v>19</v>
      </c>
      <c r="F1069" s="1" t="s">
        <v>2754</v>
      </c>
      <c r="G1069" s="39" t="s">
        <v>2718</v>
      </c>
      <c r="H1069" s="1">
        <v>3</v>
      </c>
      <c r="I1069" s="1">
        <v>0</v>
      </c>
      <c r="J1069" s="39" t="s">
        <v>2746</v>
      </c>
      <c r="K1069" s="1">
        <v>0</v>
      </c>
      <c r="L1069" s="1">
        <v>3</v>
      </c>
      <c r="S1069" s="1" t="str">
        <f>IF(tblDados[[#This Row],[Mandante]]="","",TEXT(tblDados[[#This Row],[Data]],"aaaa-mm-dd")&amp;"|"&amp;TRIM(tblDados[[#This Row],[Mandante]])&amp;"|"&amp;TRIM(tblDados[[#This Row],[Visitante]]))</f>
        <v>2026-07-11|TPS|AC Oulu</v>
      </c>
      <c r="T1069" s="1">
        <f>IF($G1069="",0,IF(COUNTIF($S$2:$S1069,$S1069)=1,1,0))</f>
        <v>1</v>
      </c>
      <c r="U1069" s="19" t="str" cm="1">
        <f t="array" ref="U10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9" s="19" t="str" cm="1">
        <f t="array" ref="V10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0" spans="1:22" x14ac:dyDescent="0.3">
      <c r="A1070" s="1" t="s">
        <v>2755</v>
      </c>
      <c r="B1070" s="102">
        <v>46207</v>
      </c>
      <c r="C1070" s="6">
        <v>0.4583333333333337</v>
      </c>
      <c r="D1070" s="1" t="s">
        <v>18</v>
      </c>
      <c r="E1070" s="1" t="s">
        <v>19</v>
      </c>
      <c r="F1070" s="1" t="s">
        <v>2756</v>
      </c>
      <c r="G1070" s="39" t="s">
        <v>993</v>
      </c>
      <c r="H1070" s="1">
        <v>3</v>
      </c>
      <c r="I1070" s="1">
        <v>1</v>
      </c>
      <c r="J1070" s="39" t="s">
        <v>2718</v>
      </c>
      <c r="K1070" s="1">
        <v>1</v>
      </c>
      <c r="L1070" s="1">
        <v>3</v>
      </c>
      <c r="S1070" s="1" t="str">
        <f>IF(tblDados[[#This Row],[Mandante]]="","",TEXT(tblDados[[#This Row],[Data]],"aaaa-mm-dd")&amp;"|"&amp;TRIM(tblDados[[#This Row],[Mandante]])&amp;"|"&amp;TRIM(tblDados[[#This Row],[Visitante]]))</f>
        <v>2026-07-04|SJK|TPS</v>
      </c>
      <c r="T1070" s="1">
        <f>IF($G1070="",0,IF(COUNTIF($S$2:$S1070,$S1070)=1,1,0))</f>
        <v>1</v>
      </c>
      <c r="U1070" s="19" t="str" cm="1">
        <f t="array" ref="U10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0" s="19" t="str" cm="1">
        <f t="array" ref="V10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1" spans="1:22" x14ac:dyDescent="0.3">
      <c r="A1071" s="1" t="s">
        <v>2757</v>
      </c>
      <c r="B1071" s="102">
        <v>46200</v>
      </c>
      <c r="C1071" s="6">
        <v>0.54166666666666663</v>
      </c>
      <c r="D1071" s="1" t="s">
        <v>18</v>
      </c>
      <c r="E1071" s="1" t="s">
        <v>19</v>
      </c>
      <c r="F1071" s="1" t="s">
        <v>2758</v>
      </c>
      <c r="G1071" s="39" t="s">
        <v>2718</v>
      </c>
      <c r="H1071" s="1">
        <v>3</v>
      </c>
      <c r="I1071" s="1">
        <v>2</v>
      </c>
      <c r="J1071" s="39" t="s">
        <v>1585</v>
      </c>
      <c r="K1071" s="1">
        <v>2</v>
      </c>
      <c r="L1071" s="1">
        <v>3</v>
      </c>
      <c r="S1071" s="1" t="str">
        <f>IF(tblDados[[#This Row],[Mandante]]="","",TEXT(tblDados[[#This Row],[Data]],"aaaa-mm-dd")&amp;"|"&amp;TRIM(tblDados[[#This Row],[Mandante]])&amp;"|"&amp;TRIM(tblDados[[#This Row],[Visitante]]))</f>
        <v>2026-06-27|TPS|FF Jaro</v>
      </c>
      <c r="T1071" s="1">
        <f>IF($G1071="",0,IF(COUNTIF($S$2:$S1071,$S1071)=1,1,0))</f>
        <v>1</v>
      </c>
      <c r="U1071" s="19" t="str" cm="1">
        <f t="array" ref="U10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1" s="19" t="str" cm="1">
        <f t="array" ref="V10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2" spans="1:22" x14ac:dyDescent="0.3">
      <c r="A1072" s="1" t="s">
        <v>2759</v>
      </c>
      <c r="B1072" s="102">
        <v>46196</v>
      </c>
      <c r="C1072" s="6">
        <v>0.49999999999999967</v>
      </c>
      <c r="D1072" s="1" t="s">
        <v>18</v>
      </c>
      <c r="E1072" s="1" t="s">
        <v>19</v>
      </c>
      <c r="F1072" s="1" t="s">
        <v>2760</v>
      </c>
      <c r="G1072" s="39" t="s">
        <v>2720</v>
      </c>
      <c r="H1072" s="1">
        <v>0</v>
      </c>
      <c r="I1072" s="1">
        <v>0</v>
      </c>
      <c r="J1072" s="39" t="s">
        <v>2718</v>
      </c>
      <c r="K1072" s="1">
        <v>0</v>
      </c>
      <c r="L1072" s="1">
        <v>0</v>
      </c>
      <c r="S1072" s="1" t="str">
        <f>IF(tblDados[[#This Row],[Mandante]]="","",TEXT(tblDados[[#This Row],[Data]],"aaaa-mm-dd")&amp;"|"&amp;TRIM(tblDados[[#This Row],[Mandante]])&amp;"|"&amp;TRIM(tblDados[[#This Row],[Visitante]]))</f>
        <v>2026-06-23|FC Lahti|TPS</v>
      </c>
      <c r="T1072" s="1">
        <f>IF($G1072="",0,IF(COUNTIF($S$2:$S1072,$S1072)=1,1,0))</f>
        <v>1</v>
      </c>
      <c r="U1072" s="19" t="str" cm="1">
        <f t="array" ref="U10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2" s="19" t="str" cm="1">
        <f t="array" ref="V10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3" spans="1:22" x14ac:dyDescent="0.3">
      <c r="A1073" s="1" t="s">
        <v>2761</v>
      </c>
      <c r="B1073" s="102">
        <v>46186</v>
      </c>
      <c r="C1073" s="6">
        <v>0.37499999999999967</v>
      </c>
      <c r="D1073" s="1" t="s">
        <v>18</v>
      </c>
      <c r="E1073" s="1" t="s">
        <v>19</v>
      </c>
      <c r="F1073" s="1" t="s">
        <v>2762</v>
      </c>
      <c r="G1073" s="39" t="s">
        <v>2717</v>
      </c>
      <c r="H1073" s="1">
        <v>1</v>
      </c>
      <c r="I1073" s="1">
        <v>0</v>
      </c>
      <c r="J1073" s="39" t="s">
        <v>2718</v>
      </c>
      <c r="K1073" s="1">
        <v>0</v>
      </c>
      <c r="L1073" s="1">
        <v>1</v>
      </c>
      <c r="S1073" s="1" t="str">
        <f>IF(tblDados[[#This Row],[Mandante]]="","",TEXT(tblDados[[#This Row],[Data]],"aaaa-mm-dd")&amp;"|"&amp;TRIM(tblDados[[#This Row],[Mandante]])&amp;"|"&amp;TRIM(tblDados[[#This Row],[Visitante]]))</f>
        <v>2026-06-13|Ilves|TPS</v>
      </c>
      <c r="T1073" s="1">
        <f>IF($G1073="",0,IF(COUNTIF($S$2:$S1073,$S1073)=1,1,0))</f>
        <v>1</v>
      </c>
      <c r="U1073" s="19" t="str" cm="1">
        <f t="array" ref="U10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3" s="19" t="str" cm="1">
        <f t="array" ref="V10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4" spans="1:22" x14ac:dyDescent="0.3">
      <c r="A1074" s="1" t="s">
        <v>2763</v>
      </c>
      <c r="B1074" s="102">
        <v>46172</v>
      </c>
      <c r="C1074" s="6">
        <v>0.4583333333333337</v>
      </c>
      <c r="D1074" s="1" t="s">
        <v>18</v>
      </c>
      <c r="E1074" s="1" t="s">
        <v>19</v>
      </c>
      <c r="F1074" s="1" t="s">
        <v>2764</v>
      </c>
      <c r="G1074" s="39" t="s">
        <v>2718</v>
      </c>
      <c r="H1074" s="1">
        <v>1</v>
      </c>
      <c r="I1074" s="1">
        <v>0</v>
      </c>
      <c r="J1074" s="39" t="s">
        <v>394</v>
      </c>
      <c r="K1074" s="1">
        <v>0</v>
      </c>
      <c r="L1074" s="1">
        <v>1</v>
      </c>
      <c r="S1074" s="1" t="str">
        <f>IF(tblDados[[#This Row],[Mandante]]="","",TEXT(tblDados[[#This Row],[Data]],"aaaa-mm-dd")&amp;"|"&amp;TRIM(tblDados[[#This Row],[Mandante]])&amp;"|"&amp;TRIM(tblDados[[#This Row],[Visitante]]))</f>
        <v>2026-05-30|TPS|VPS Vaasa</v>
      </c>
      <c r="T1074" s="1">
        <f>IF($G1074="",0,IF(COUNTIF($S$2:$S1074,$S1074)=1,1,0))</f>
        <v>1</v>
      </c>
      <c r="U1074" s="19" t="str" cm="1">
        <f t="array" ref="U10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4" s="19" t="str" cm="1">
        <f t="array" ref="V10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5" spans="1:22" x14ac:dyDescent="0.3">
      <c r="A1075" s="1" t="s">
        <v>2765</v>
      </c>
      <c r="B1075" s="102">
        <v>46165</v>
      </c>
      <c r="C1075" s="6">
        <v>0.33333333333333365</v>
      </c>
      <c r="D1075" s="1" t="s">
        <v>18</v>
      </c>
      <c r="E1075" s="1" t="s">
        <v>19</v>
      </c>
      <c r="F1075" s="1" t="s">
        <v>2766</v>
      </c>
      <c r="G1075" s="39" t="s">
        <v>2719</v>
      </c>
      <c r="H1075" s="1">
        <v>2</v>
      </c>
      <c r="I1075" s="1">
        <v>1</v>
      </c>
      <c r="J1075" s="39" t="s">
        <v>2718</v>
      </c>
      <c r="K1075" s="1">
        <v>1</v>
      </c>
      <c r="L1075" s="1">
        <v>2</v>
      </c>
      <c r="S1075" s="1" t="str">
        <f>IF(tblDados[[#This Row],[Mandante]]="","",TEXT(tblDados[[#This Row],[Data]],"aaaa-mm-dd")&amp;"|"&amp;TRIM(tblDados[[#This Row],[Mandante]])&amp;"|"&amp;TRIM(tblDados[[#This Row],[Visitante]]))</f>
        <v>2026-05-23|Inter Turku|TPS</v>
      </c>
      <c r="T1075" s="1">
        <f>IF($G1075="",0,IF(COUNTIF($S$2:$S1075,$S1075)=1,1,0))</f>
        <v>1</v>
      </c>
      <c r="U1075" s="19" t="str" cm="1">
        <f t="array" ref="U10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5" s="19" t="str" cm="1">
        <f t="array" ref="V10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6" spans="1:22" ht="14.4" x14ac:dyDescent="0.3">
      <c r="A1076" s="1" t="s">
        <v>2767</v>
      </c>
      <c r="B1076" s="102">
        <v>46158</v>
      </c>
      <c r="C1076" s="6">
        <v>0.54166666666666663</v>
      </c>
      <c r="D1076" s="1" t="s">
        <v>18</v>
      </c>
      <c r="E1076" s="1" t="s">
        <v>19</v>
      </c>
      <c r="F1076" s="1" t="s">
        <v>2768</v>
      </c>
      <c r="G1076" s="39" t="s">
        <v>2746</v>
      </c>
      <c r="H1076" s="1">
        <v>1</v>
      </c>
      <c r="I1076" s="1">
        <v>0</v>
      </c>
      <c r="J1076" s="39" t="s">
        <v>2718</v>
      </c>
      <c r="K1076" s="1">
        <v>0</v>
      </c>
      <c r="L1076" s="1">
        <v>1</v>
      </c>
      <c r="S1076" s="1" t="str">
        <f>IF(tblDados[[#This Row],[Mandante]]="","",TEXT(tblDados[[#This Row],[Data]],"aaaa-mm-dd")&amp;"|"&amp;TRIM(tblDados[[#This Row],[Mandante]])&amp;"|"&amp;TRIM(tblDados[[#This Row],[Visitante]]))</f>
        <v>2026-05-16|AC Oulu|TPS</v>
      </c>
      <c r="T1076">
        <f>IF($G1076="",0,IF(COUNTIF($S$2:$S2834,$S1076)=1,1,0))</f>
        <v>1</v>
      </c>
      <c r="U1076" s="19" t="str" cm="1">
        <f t="array" ref="U10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6" s="19" t="str" cm="1">
        <f t="array" ref="V10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7" spans="1:22" x14ac:dyDescent="0.3">
      <c r="A1077" s="1" t="s">
        <v>2770</v>
      </c>
      <c r="B1077" s="102">
        <v>46229</v>
      </c>
      <c r="C1077" s="6">
        <v>0.37499999999999967</v>
      </c>
      <c r="D1077" s="1" t="s">
        <v>18</v>
      </c>
      <c r="E1077" s="1" t="s">
        <v>19</v>
      </c>
      <c r="F1077" s="1" t="s">
        <v>2771</v>
      </c>
      <c r="G1077" s="39" t="s">
        <v>2719</v>
      </c>
      <c r="H1077" s="1">
        <v>1</v>
      </c>
      <c r="I1077" s="1">
        <v>2</v>
      </c>
      <c r="J1077" s="39" t="s">
        <v>2716</v>
      </c>
      <c r="K1077" s="1">
        <v>2</v>
      </c>
      <c r="L1077" s="1">
        <v>1</v>
      </c>
      <c r="S1077" s="1" t="str">
        <f>IF(tblDados[[#This Row],[Mandante]]="","",TEXT(tblDados[[#This Row],[Data]],"aaaa-mm-dd")&amp;"|"&amp;TRIM(tblDados[[#This Row],[Mandante]])&amp;"|"&amp;TRIM(tblDados[[#This Row],[Visitante]]))</f>
        <v>2026-07-26|Inter Turku|IF Gnistan</v>
      </c>
      <c r="T1077" s="1">
        <f>IF($G1077="",0,IF(COUNTIF($S$2:$S1077,$S1077)=1,1,0))</f>
        <v>1</v>
      </c>
      <c r="U1077" s="19" t="str" cm="1">
        <f t="array" ref="U10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7" s="19" t="str" cm="1">
        <f t="array" ref="V10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8" spans="1:22" x14ac:dyDescent="0.3">
      <c r="A1078" s="1" t="s">
        <v>2772</v>
      </c>
      <c r="B1078" s="102">
        <v>46222</v>
      </c>
      <c r="C1078" s="6">
        <v>0.5208333333333337</v>
      </c>
      <c r="D1078" s="1" t="s">
        <v>18</v>
      </c>
      <c r="E1078" s="1" t="s">
        <v>19</v>
      </c>
      <c r="F1078" s="1" t="s">
        <v>2773</v>
      </c>
      <c r="G1078" s="39" t="s">
        <v>1585</v>
      </c>
      <c r="H1078" s="1">
        <v>0</v>
      </c>
      <c r="I1078" s="1">
        <v>0</v>
      </c>
      <c r="J1078" s="39" t="s">
        <v>2719</v>
      </c>
      <c r="K1078" s="1">
        <v>0</v>
      </c>
      <c r="L1078" s="1">
        <v>0</v>
      </c>
      <c r="S1078" s="1" t="str">
        <f>IF(tblDados[[#This Row],[Mandante]]="","",TEXT(tblDados[[#This Row],[Data]],"aaaa-mm-dd")&amp;"|"&amp;TRIM(tblDados[[#This Row],[Mandante]])&amp;"|"&amp;TRIM(tblDados[[#This Row],[Visitante]]))</f>
        <v>2026-07-19|FF Jaro|Inter Turku</v>
      </c>
      <c r="T1078" s="1">
        <f>IF($G1078="",0,IF(COUNTIF($S$2:$S1078,$S1078)=1,1,0))</f>
        <v>1</v>
      </c>
      <c r="U1078" s="19" t="str" cm="1">
        <f t="array" ref="U10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8" s="19" t="str" cm="1">
        <f t="array" ref="V10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9" spans="1:22" x14ac:dyDescent="0.3">
      <c r="A1079" s="1" t="s">
        <v>2774</v>
      </c>
      <c r="B1079" s="102">
        <v>46200</v>
      </c>
      <c r="C1079" s="6">
        <v>0.4583333333333337</v>
      </c>
      <c r="D1079" s="1" t="s">
        <v>18</v>
      </c>
      <c r="E1079" s="1" t="s">
        <v>19</v>
      </c>
      <c r="F1079" s="1" t="s">
        <v>2775</v>
      </c>
      <c r="G1079" s="39" t="s">
        <v>2721</v>
      </c>
      <c r="H1079" s="1">
        <v>0</v>
      </c>
      <c r="I1079" s="1">
        <v>2</v>
      </c>
      <c r="J1079" s="39" t="s">
        <v>2719</v>
      </c>
      <c r="K1079" s="1">
        <v>2</v>
      </c>
      <c r="L1079" s="1">
        <v>0</v>
      </c>
      <c r="S1079" s="1" t="str">
        <f>IF(tblDados[[#This Row],[Mandante]]="","",TEXT(tblDados[[#This Row],[Data]],"aaaa-mm-dd")&amp;"|"&amp;TRIM(tblDados[[#This Row],[Mandante]])&amp;"|"&amp;TRIM(tblDados[[#This Row],[Visitante]]))</f>
        <v>2026-06-27|IFK Mariehamn|Inter Turku</v>
      </c>
      <c r="T1079" s="1">
        <f>IF($G1079="",0,IF(COUNTIF($S$2:$S1079,$S1079)=1,1,0))</f>
        <v>1</v>
      </c>
      <c r="U1079" s="19" t="str" cm="1">
        <f t="array" ref="U10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9" s="19" t="str" cm="1">
        <f t="array" ref="V10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0" spans="1:22" x14ac:dyDescent="0.3">
      <c r="A1080" s="1" t="s">
        <v>2776</v>
      </c>
      <c r="B1080" s="102">
        <v>46190</v>
      </c>
      <c r="C1080" s="6">
        <v>0.49999999999999967</v>
      </c>
      <c r="D1080" s="1" t="s">
        <v>18</v>
      </c>
      <c r="E1080" s="1" t="s">
        <v>19</v>
      </c>
      <c r="F1080" s="1" t="s">
        <v>2777</v>
      </c>
      <c r="G1080" s="39" t="s">
        <v>992</v>
      </c>
      <c r="H1080" s="1">
        <v>3</v>
      </c>
      <c r="I1080" s="1">
        <v>3</v>
      </c>
      <c r="J1080" s="39" t="s">
        <v>2719</v>
      </c>
      <c r="K1080" s="1">
        <v>3</v>
      </c>
      <c r="L1080" s="1">
        <v>3</v>
      </c>
      <c r="S1080" s="1" t="str">
        <f>IF(tblDados[[#This Row],[Mandante]]="","",TEXT(tblDados[[#This Row],[Data]],"aaaa-mm-dd")&amp;"|"&amp;TRIM(tblDados[[#This Row],[Mandante]])&amp;"|"&amp;TRIM(tblDados[[#This Row],[Visitante]]))</f>
        <v>2026-06-17|HJK Helsinki|Inter Turku</v>
      </c>
      <c r="T1080" s="1">
        <f>IF($G1080="",0,IF(COUNTIF($S$2:$S1080,$S1080)=1,1,0))</f>
        <v>1</v>
      </c>
      <c r="U1080" s="19" t="str" cm="1">
        <f t="array" ref="U10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0" s="19" t="str" cm="1">
        <f t="array" ref="V10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1" spans="1:22" x14ac:dyDescent="0.3">
      <c r="A1081" s="1" t="s">
        <v>2778</v>
      </c>
      <c r="B1081" s="102">
        <v>46186</v>
      </c>
      <c r="C1081" s="6">
        <v>0.37499999999999967</v>
      </c>
      <c r="D1081" s="1" t="s">
        <v>18</v>
      </c>
      <c r="E1081" s="1" t="s">
        <v>19</v>
      </c>
      <c r="F1081" s="1" t="s">
        <v>2779</v>
      </c>
      <c r="G1081" s="39" t="s">
        <v>2719</v>
      </c>
      <c r="H1081" s="1">
        <v>0</v>
      </c>
      <c r="I1081" s="1">
        <v>0</v>
      </c>
      <c r="J1081" s="39" t="s">
        <v>2746</v>
      </c>
      <c r="K1081" s="1">
        <v>0</v>
      </c>
      <c r="L1081" s="1">
        <v>0</v>
      </c>
      <c r="S1081" s="1" t="str">
        <f>IF(tblDados[[#This Row],[Mandante]]="","",TEXT(tblDados[[#This Row],[Data]],"aaaa-mm-dd")&amp;"|"&amp;TRIM(tblDados[[#This Row],[Mandante]])&amp;"|"&amp;TRIM(tblDados[[#This Row],[Visitante]]))</f>
        <v>2026-06-13|Inter Turku|AC Oulu</v>
      </c>
      <c r="T1081" s="1">
        <f>IF($G1081="",0,IF(COUNTIF($S$2:$S1081,$S1081)=1,1,0))</f>
        <v>1</v>
      </c>
      <c r="U1081" s="19" t="str" cm="1">
        <f t="array" ref="U10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1" s="19" t="str" cm="1">
        <f t="array" ref="V10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2" spans="1:22" x14ac:dyDescent="0.3">
      <c r="A1082" s="1" t="s">
        <v>2780</v>
      </c>
      <c r="B1082" s="102">
        <v>46162</v>
      </c>
      <c r="C1082" s="6">
        <v>0.49999999999999967</v>
      </c>
      <c r="D1082" s="1" t="s">
        <v>18</v>
      </c>
      <c r="E1082" s="1" t="s">
        <v>19</v>
      </c>
      <c r="F1082" s="1" t="s">
        <v>2781</v>
      </c>
      <c r="G1082" s="39" t="s">
        <v>2717</v>
      </c>
      <c r="H1082" s="1">
        <v>1</v>
      </c>
      <c r="I1082" s="1">
        <v>3</v>
      </c>
      <c r="J1082" s="39" t="s">
        <v>2719</v>
      </c>
      <c r="K1082" s="1">
        <v>3</v>
      </c>
      <c r="L1082" s="1">
        <v>1</v>
      </c>
      <c r="S1082" s="1" t="str">
        <f>IF(tblDados[[#This Row],[Mandante]]="","",TEXT(tblDados[[#This Row],[Data]],"aaaa-mm-dd")&amp;"|"&amp;TRIM(tblDados[[#This Row],[Mandante]])&amp;"|"&amp;TRIM(tblDados[[#This Row],[Visitante]]))</f>
        <v>2026-05-20|Ilves|Inter Turku</v>
      </c>
      <c r="T1082" s="1">
        <f>IF($G1082="",0,IF(COUNTIF($S$2:$S1082,$S1082)=1,1,0))</f>
        <v>1</v>
      </c>
      <c r="U1082" s="19" t="str" cm="1">
        <f t="array" ref="U10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2" s="19" t="str" cm="1">
        <f t="array" ref="V10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3" spans="1:22" x14ac:dyDescent="0.3">
      <c r="A1083" s="1" t="s">
        <v>2782</v>
      </c>
      <c r="B1083" s="102">
        <v>46158</v>
      </c>
      <c r="C1083" s="6">
        <v>0.4583333333333337</v>
      </c>
      <c r="D1083" s="1" t="s">
        <v>18</v>
      </c>
      <c r="E1083" s="1" t="s">
        <v>19</v>
      </c>
      <c r="F1083" s="1" t="s">
        <v>2783</v>
      </c>
      <c r="G1083" s="39" t="s">
        <v>993</v>
      </c>
      <c r="H1083" s="1">
        <v>1</v>
      </c>
      <c r="I1083" s="1">
        <v>3</v>
      </c>
      <c r="J1083" s="39" t="s">
        <v>2719</v>
      </c>
      <c r="K1083" s="1">
        <v>3</v>
      </c>
      <c r="L1083" s="1">
        <v>1</v>
      </c>
      <c r="S1083" s="1" t="str">
        <f>IF(tblDados[[#This Row],[Mandante]]="","",TEXT(tblDados[[#This Row],[Data]],"aaaa-mm-dd")&amp;"|"&amp;TRIM(tblDados[[#This Row],[Mandante]])&amp;"|"&amp;TRIM(tblDados[[#This Row],[Visitante]]))</f>
        <v>2026-05-16|SJK|Inter Turku</v>
      </c>
      <c r="T1083" s="1">
        <f>IF($G1083="",0,IF(COUNTIF($S$2:$S1083,$S1083)=1,1,0))</f>
        <v>1</v>
      </c>
      <c r="U1083" s="19" t="str" cm="1">
        <f t="array" ref="U10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3" s="19" t="str" cm="1">
        <f t="array" ref="V10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4" spans="1:22" x14ac:dyDescent="0.3">
      <c r="A1084" s="1" t="s">
        <v>2784</v>
      </c>
      <c r="B1084" s="102">
        <v>46147</v>
      </c>
      <c r="C1084" s="6">
        <v>0.54166666666666663</v>
      </c>
      <c r="D1084" s="1" t="s">
        <v>18</v>
      </c>
      <c r="E1084" s="1" t="s">
        <v>19</v>
      </c>
      <c r="F1084" s="1" t="s">
        <v>2785</v>
      </c>
      <c r="G1084" s="39" t="s">
        <v>2716</v>
      </c>
      <c r="H1084" s="1">
        <v>2</v>
      </c>
      <c r="I1084" s="1">
        <v>0</v>
      </c>
      <c r="J1084" s="39" t="s">
        <v>2719</v>
      </c>
      <c r="K1084" s="1">
        <v>0</v>
      </c>
      <c r="L1084" s="1">
        <v>2</v>
      </c>
      <c r="S1084" s="1" t="str">
        <f>IF(tblDados[[#This Row],[Mandante]]="","",TEXT(tblDados[[#This Row],[Data]],"aaaa-mm-dd")&amp;"|"&amp;TRIM(tblDados[[#This Row],[Mandante]])&amp;"|"&amp;TRIM(tblDados[[#This Row],[Visitante]]))</f>
        <v>2026-05-05|IF Gnistan|Inter Turku</v>
      </c>
      <c r="T1084" s="1">
        <f>IF($G1084="",0,IF(COUNTIF($S$2:$S1084,$S1084)=1,1,0))</f>
        <v>1</v>
      </c>
      <c r="U1084" s="19" t="str" cm="1">
        <f t="array" ref="U10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4" s="19" t="str" cm="1">
        <f t="array" ref="V10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5" spans="1:22" ht="14.4" x14ac:dyDescent="0.3">
      <c r="A1085" s="1" t="s">
        <v>2786</v>
      </c>
      <c r="B1085" s="102">
        <v>46141</v>
      </c>
      <c r="C1085" s="6">
        <v>0.54166666666666663</v>
      </c>
      <c r="D1085" s="1" t="s">
        <v>18</v>
      </c>
      <c r="E1085" s="1" t="s">
        <v>19</v>
      </c>
      <c r="F1085" s="1" t="s">
        <v>2787</v>
      </c>
      <c r="G1085" s="39" t="s">
        <v>2719</v>
      </c>
      <c r="H1085" s="1">
        <v>1</v>
      </c>
      <c r="I1085" s="1">
        <v>1</v>
      </c>
      <c r="J1085" s="39" t="s">
        <v>992</v>
      </c>
      <c r="K1085" s="1">
        <v>1</v>
      </c>
      <c r="L1085" s="1">
        <v>1</v>
      </c>
      <c r="S1085" s="1" t="str">
        <f>IF(tblDados[[#This Row],[Mandante]]="","",TEXT(tblDados[[#This Row],[Data]],"aaaa-mm-dd")&amp;"|"&amp;TRIM(tblDados[[#This Row],[Mandante]])&amp;"|"&amp;TRIM(tblDados[[#This Row],[Visitante]]))</f>
        <v>2026-04-29|Inter Turku|HJK Helsinki</v>
      </c>
      <c r="T1085">
        <f>IF($G1085="",0,IF(COUNTIF($S$2:$S2834,$S1085)=1,1,0))</f>
        <v>1</v>
      </c>
      <c r="U1085" s="19" t="str" cm="1">
        <f t="array" ref="U10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5" s="19" t="str" cm="1">
        <f t="array" ref="V10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6" spans="1:22" x14ac:dyDescent="0.3">
      <c r="A1086" s="1" t="s">
        <v>2788</v>
      </c>
      <c r="B1086" s="102">
        <v>46235</v>
      </c>
      <c r="C1086" s="6">
        <v>0.49999999999999967</v>
      </c>
      <c r="D1086" s="1" t="s">
        <v>18</v>
      </c>
      <c r="E1086" s="1" t="s">
        <v>19</v>
      </c>
      <c r="F1086" s="1" t="s">
        <v>2789</v>
      </c>
      <c r="G1086" s="39" t="s">
        <v>2720</v>
      </c>
      <c r="H1086" s="1">
        <v>2</v>
      </c>
      <c r="I1086" s="1">
        <v>0</v>
      </c>
      <c r="J1086" s="39" t="s">
        <v>1585</v>
      </c>
      <c r="K1086" s="1">
        <v>0</v>
      </c>
      <c r="L1086" s="1">
        <v>2</v>
      </c>
      <c r="S1086" s="1" t="str">
        <f>IF(tblDados[[#This Row],[Mandante]]="","",TEXT(tblDados[[#This Row],[Data]],"aaaa-mm-dd")&amp;"|"&amp;TRIM(tblDados[[#This Row],[Mandante]])&amp;"|"&amp;TRIM(tblDados[[#This Row],[Visitante]]))</f>
        <v>2026-08-01|FC Lahti|FF Jaro</v>
      </c>
      <c r="T1086" s="1">
        <f>IF($G1086="",0,IF(COUNTIF($S$2:$S1086,$S1086)=1,1,0))</f>
        <v>1</v>
      </c>
      <c r="U1086" s="19" t="str" cm="1">
        <f t="array" ref="U10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6" s="19" t="str" cm="1">
        <f t="array" ref="V10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7" spans="1:22" x14ac:dyDescent="0.3">
      <c r="A1087" s="1" t="s">
        <v>2790</v>
      </c>
      <c r="B1087" s="102">
        <v>46229</v>
      </c>
      <c r="C1087" s="6">
        <v>0.37499999999999967</v>
      </c>
      <c r="D1087" s="1" t="s">
        <v>18</v>
      </c>
      <c r="E1087" s="1" t="s">
        <v>19</v>
      </c>
      <c r="F1087" s="1" t="s">
        <v>2791</v>
      </c>
      <c r="G1087" s="39" t="s">
        <v>2717</v>
      </c>
      <c r="H1087" s="1">
        <v>1</v>
      </c>
      <c r="I1087" s="1">
        <v>0</v>
      </c>
      <c r="J1087" s="39" t="s">
        <v>2720</v>
      </c>
      <c r="K1087" s="1">
        <v>0</v>
      </c>
      <c r="L1087" s="1">
        <v>1</v>
      </c>
      <c r="S1087" s="1" t="str">
        <f>IF(tblDados[[#This Row],[Mandante]]="","",TEXT(tblDados[[#This Row],[Data]],"aaaa-mm-dd")&amp;"|"&amp;TRIM(tblDados[[#This Row],[Mandante]])&amp;"|"&amp;TRIM(tblDados[[#This Row],[Visitante]]))</f>
        <v>2026-07-26|Ilves|FC Lahti</v>
      </c>
      <c r="T1087" s="1">
        <f>IF($G1087="",0,IF(COUNTIF($S$2:$S1087,$S1087)=1,1,0))</f>
        <v>1</v>
      </c>
      <c r="U1087" s="19" t="str" cm="1">
        <f t="array" ref="U10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7" s="19" t="str" cm="1">
        <f t="array" ref="V10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8" spans="1:22" x14ac:dyDescent="0.3">
      <c r="A1088" s="1" t="s">
        <v>2792</v>
      </c>
      <c r="B1088" s="102">
        <v>46223</v>
      </c>
      <c r="C1088" s="6">
        <v>0.54166666666666663</v>
      </c>
      <c r="D1088" s="1" t="s">
        <v>18</v>
      </c>
      <c r="E1088" s="1" t="s">
        <v>19</v>
      </c>
      <c r="F1088" s="1" t="s">
        <v>2793</v>
      </c>
      <c r="G1088" s="39" t="s">
        <v>2721</v>
      </c>
      <c r="H1088" s="1">
        <v>0</v>
      </c>
      <c r="I1088" s="1">
        <v>2</v>
      </c>
      <c r="J1088" s="39" t="s">
        <v>2720</v>
      </c>
      <c r="K1088" s="1">
        <v>2</v>
      </c>
      <c r="L1088" s="1">
        <v>0</v>
      </c>
      <c r="S1088" s="1" t="str">
        <f>IF(tblDados[[#This Row],[Mandante]]="","",TEXT(tblDados[[#This Row],[Data]],"aaaa-mm-dd")&amp;"|"&amp;TRIM(tblDados[[#This Row],[Mandante]])&amp;"|"&amp;TRIM(tblDados[[#This Row],[Visitante]]))</f>
        <v>2026-07-20|IFK Mariehamn|FC Lahti</v>
      </c>
      <c r="T1088" s="1">
        <f>IF($G1088="",0,IF(COUNTIF($S$2:$S1088,$S1088)=1,1,0))</f>
        <v>1</v>
      </c>
      <c r="U1088" s="19" t="str" cm="1">
        <f t="array" ref="U10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8" s="19" t="str" cm="1">
        <f t="array" ref="V10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9" spans="1:22" x14ac:dyDescent="0.3">
      <c r="A1089" s="1" t="s">
        <v>2794</v>
      </c>
      <c r="B1089" s="102">
        <v>46214</v>
      </c>
      <c r="C1089" s="6">
        <v>0.37499999999999967</v>
      </c>
      <c r="D1089" s="1" t="s">
        <v>18</v>
      </c>
      <c r="E1089" s="1" t="s">
        <v>19</v>
      </c>
      <c r="F1089" s="1" t="s">
        <v>2795</v>
      </c>
      <c r="G1089" s="39" t="s">
        <v>2720</v>
      </c>
      <c r="H1089" s="1">
        <v>2</v>
      </c>
      <c r="I1089" s="1">
        <v>0</v>
      </c>
      <c r="J1089" s="39" t="s">
        <v>992</v>
      </c>
      <c r="K1089" s="1">
        <v>0</v>
      </c>
      <c r="L1089" s="1">
        <v>2</v>
      </c>
      <c r="S1089" s="1" t="str">
        <f>IF(tblDados[[#This Row],[Mandante]]="","",TEXT(tblDados[[#This Row],[Data]],"aaaa-mm-dd")&amp;"|"&amp;TRIM(tblDados[[#This Row],[Mandante]])&amp;"|"&amp;TRIM(tblDados[[#This Row],[Visitante]]))</f>
        <v>2026-07-11|FC Lahti|HJK Helsinki</v>
      </c>
      <c r="T1089" s="1">
        <f>IF($G1089="",0,IF(COUNTIF($S$2:$S1089,$S1089)=1,1,0))</f>
        <v>1</v>
      </c>
      <c r="U1089" s="19" t="str" cm="1">
        <f t="array" ref="U10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9" s="19" t="str" cm="1">
        <f t="array" ref="V10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0" spans="1:22" x14ac:dyDescent="0.3">
      <c r="A1090" s="1" t="s">
        <v>2796</v>
      </c>
      <c r="B1090" s="102">
        <v>46207</v>
      </c>
      <c r="C1090" s="6">
        <v>0.37499999999999967</v>
      </c>
      <c r="D1090" s="1" t="s">
        <v>18</v>
      </c>
      <c r="E1090" s="1" t="s">
        <v>19</v>
      </c>
      <c r="F1090" s="1" t="s">
        <v>2797</v>
      </c>
      <c r="G1090" s="39" t="s">
        <v>2720</v>
      </c>
      <c r="H1090" s="1">
        <v>1</v>
      </c>
      <c r="I1090" s="1">
        <v>0</v>
      </c>
      <c r="J1090" s="39" t="s">
        <v>2716</v>
      </c>
      <c r="K1090" s="1">
        <v>0</v>
      </c>
      <c r="L1090" s="1">
        <v>1</v>
      </c>
      <c r="S1090" s="1" t="str">
        <f>IF(tblDados[[#This Row],[Mandante]]="","",TEXT(tblDados[[#This Row],[Data]],"aaaa-mm-dd")&amp;"|"&amp;TRIM(tblDados[[#This Row],[Mandante]])&amp;"|"&amp;TRIM(tblDados[[#This Row],[Visitante]]))</f>
        <v>2026-07-04|FC Lahti|IF Gnistan</v>
      </c>
      <c r="T1090" s="1">
        <f>IF($G1090="",0,IF(COUNTIF($S$2:$S1090,$S1090)=1,1,0))</f>
        <v>1</v>
      </c>
      <c r="U1090" s="19" t="str" cm="1">
        <f t="array" ref="U10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0" s="19" t="str" cm="1">
        <f t="array" ref="V10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1" spans="1:22" x14ac:dyDescent="0.3">
      <c r="A1091" s="1" t="s">
        <v>2798</v>
      </c>
      <c r="B1091" s="102">
        <v>46200</v>
      </c>
      <c r="C1091" s="6">
        <v>0.62499999999999967</v>
      </c>
      <c r="D1091" s="1" t="s">
        <v>18</v>
      </c>
      <c r="E1091" s="1" t="s">
        <v>19</v>
      </c>
      <c r="F1091" s="1" t="s">
        <v>2799</v>
      </c>
      <c r="G1091" s="39" t="s">
        <v>2746</v>
      </c>
      <c r="H1091" s="1">
        <v>1</v>
      </c>
      <c r="I1091" s="1">
        <v>1</v>
      </c>
      <c r="J1091" s="39" t="s">
        <v>2720</v>
      </c>
      <c r="K1091" s="1">
        <v>1</v>
      </c>
      <c r="L1091" s="1">
        <v>1</v>
      </c>
      <c r="S1091" s="1" t="str">
        <f>IF(tblDados[[#This Row],[Mandante]]="","",TEXT(tblDados[[#This Row],[Data]],"aaaa-mm-dd")&amp;"|"&amp;TRIM(tblDados[[#This Row],[Mandante]])&amp;"|"&amp;TRIM(tblDados[[#This Row],[Visitante]]))</f>
        <v>2026-06-27|AC Oulu|FC Lahti</v>
      </c>
      <c r="T1091" s="1">
        <f>IF($G1091="",0,IF(COUNTIF($S$2:$S1091,$S1091)=1,1,0))</f>
        <v>1</v>
      </c>
      <c r="U1091" s="19" t="str" cm="1">
        <f t="array" ref="U10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1" s="19" t="str" cm="1">
        <f t="array" ref="V10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2" spans="1:22" x14ac:dyDescent="0.3">
      <c r="A1092" s="1" t="s">
        <v>2800</v>
      </c>
      <c r="B1092" s="102">
        <v>46190</v>
      </c>
      <c r="C1092" s="6">
        <v>0.62499999999999967</v>
      </c>
      <c r="D1092" s="1" t="s">
        <v>18</v>
      </c>
      <c r="E1092" s="1" t="s">
        <v>19</v>
      </c>
      <c r="F1092" s="1" t="s">
        <v>2801</v>
      </c>
      <c r="G1092" s="39" t="s">
        <v>2716</v>
      </c>
      <c r="H1092" s="1">
        <v>1</v>
      </c>
      <c r="I1092" s="1">
        <v>0</v>
      </c>
      <c r="J1092" s="39" t="s">
        <v>2720</v>
      </c>
      <c r="K1092" s="1">
        <v>0</v>
      </c>
      <c r="L1092" s="1">
        <v>1</v>
      </c>
      <c r="S1092" s="1" t="str">
        <f>IF(tblDados[[#This Row],[Mandante]]="","",TEXT(tblDados[[#This Row],[Data]],"aaaa-mm-dd")&amp;"|"&amp;TRIM(tblDados[[#This Row],[Mandante]])&amp;"|"&amp;TRIM(tblDados[[#This Row],[Visitante]]))</f>
        <v>2026-06-17|IF Gnistan|FC Lahti</v>
      </c>
      <c r="T1092" s="1">
        <f>IF($G1092="",0,IF(COUNTIF($S$2:$S1092,$S1092)=1,1,0))</f>
        <v>1</v>
      </c>
      <c r="U1092" s="19" t="str" cm="1">
        <f t="array" ref="U10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2" s="19" t="str" cm="1">
        <f t="array" ref="V10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3" spans="1:22" x14ac:dyDescent="0.3">
      <c r="A1093" s="1" t="s">
        <v>2802</v>
      </c>
      <c r="B1093" s="102">
        <v>46186</v>
      </c>
      <c r="C1093" s="6">
        <v>0.54166666666666663</v>
      </c>
      <c r="D1093" s="1" t="s">
        <v>18</v>
      </c>
      <c r="E1093" s="1" t="s">
        <v>19</v>
      </c>
      <c r="F1093" s="1" t="s">
        <v>2803</v>
      </c>
      <c r="G1093" s="39" t="s">
        <v>2720</v>
      </c>
      <c r="H1093" s="1">
        <v>2</v>
      </c>
      <c r="I1093" s="1">
        <v>3</v>
      </c>
      <c r="J1093" s="39" t="s">
        <v>993</v>
      </c>
      <c r="K1093" s="1">
        <v>3</v>
      </c>
      <c r="L1093" s="1">
        <v>2</v>
      </c>
      <c r="S1093" s="1" t="str">
        <f>IF(tblDados[[#This Row],[Mandante]]="","",TEXT(tblDados[[#This Row],[Data]],"aaaa-mm-dd")&amp;"|"&amp;TRIM(tblDados[[#This Row],[Mandante]])&amp;"|"&amp;TRIM(tblDados[[#This Row],[Visitante]]))</f>
        <v>2026-06-13|FC Lahti|SJK</v>
      </c>
      <c r="T1093" s="1">
        <f>IF($G1093="",0,IF(COUNTIF($S$2:$S1093,$S1093)=1,1,0))</f>
        <v>1</v>
      </c>
      <c r="U1093" s="19" t="str" cm="1">
        <f t="array" ref="U10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3" s="19" t="str" cm="1">
        <f t="array" ref="V10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4" spans="1:22" x14ac:dyDescent="0.3">
      <c r="A1094" s="1" t="s">
        <v>2804</v>
      </c>
      <c r="B1094" s="102">
        <v>46172</v>
      </c>
      <c r="C1094" s="6">
        <v>0.4583333333333337</v>
      </c>
      <c r="D1094" s="1" t="s">
        <v>18</v>
      </c>
      <c r="E1094" s="1" t="s">
        <v>19</v>
      </c>
      <c r="F1094" s="1" t="s">
        <v>2805</v>
      </c>
      <c r="G1094" s="39" t="s">
        <v>2720</v>
      </c>
      <c r="H1094" s="1">
        <v>5</v>
      </c>
      <c r="I1094" s="1">
        <v>0</v>
      </c>
      <c r="J1094" s="39" t="s">
        <v>2717</v>
      </c>
      <c r="K1094" s="1">
        <v>0</v>
      </c>
      <c r="L1094" s="1">
        <v>5</v>
      </c>
      <c r="S1094" s="1" t="str">
        <f>IF(tblDados[[#This Row],[Mandante]]="","",TEXT(tblDados[[#This Row],[Data]],"aaaa-mm-dd")&amp;"|"&amp;TRIM(tblDados[[#This Row],[Mandante]])&amp;"|"&amp;TRIM(tblDados[[#This Row],[Visitante]]))</f>
        <v>2026-05-30|FC Lahti|Ilves</v>
      </c>
      <c r="T1094" s="1">
        <f>IF($G1094="",0,IF(COUNTIF($S$2:$S1094,$S1094)=1,1,0))</f>
        <v>1</v>
      </c>
      <c r="U1094" s="19" t="str" cm="1">
        <f t="array" ref="U10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4" s="19" t="str" cm="1">
        <f t="array" ref="V10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5" spans="1:22" ht="14.4" x14ac:dyDescent="0.3">
      <c r="A1095" s="1" t="s">
        <v>2806</v>
      </c>
      <c r="B1095" s="102">
        <v>46160</v>
      </c>
      <c r="C1095" s="6">
        <v>0.49999999999999967</v>
      </c>
      <c r="D1095" s="1" t="s">
        <v>18</v>
      </c>
      <c r="E1095" s="1" t="s">
        <v>19</v>
      </c>
      <c r="F1095" s="1" t="s">
        <v>2807</v>
      </c>
      <c r="G1095" s="39" t="s">
        <v>2720</v>
      </c>
      <c r="H1095" s="1">
        <v>1</v>
      </c>
      <c r="I1095" s="1">
        <v>1</v>
      </c>
      <c r="J1095" s="39" t="s">
        <v>394</v>
      </c>
      <c r="K1095" s="1">
        <v>1</v>
      </c>
      <c r="L1095" s="1">
        <v>1</v>
      </c>
      <c r="S1095" s="1" t="str">
        <f>IF(tblDados[[#This Row],[Mandante]]="","",TEXT(tblDados[[#This Row],[Data]],"aaaa-mm-dd")&amp;"|"&amp;TRIM(tblDados[[#This Row],[Mandante]])&amp;"|"&amp;TRIM(tblDados[[#This Row],[Visitante]]))</f>
        <v>2026-05-18|FC Lahti|VPS Vaasa</v>
      </c>
      <c r="T1095">
        <f>IF($G1095="",0,IF(COUNTIF($S$2:$S2834,$S1095)=1,1,0))</f>
        <v>1</v>
      </c>
      <c r="U1095" s="19" t="str" cm="1">
        <f t="array" ref="U10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5" s="19" t="str" cm="1">
        <f t="array" ref="V10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6" spans="1:22" x14ac:dyDescent="0.3">
      <c r="A1096" s="1" t="s">
        <v>2808</v>
      </c>
      <c r="B1096" s="102">
        <v>46236</v>
      </c>
      <c r="C1096" s="6">
        <v>0.45833333333333331</v>
      </c>
      <c r="D1096" s="1" t="s">
        <v>18</v>
      </c>
      <c r="E1096" s="1" t="s">
        <v>19</v>
      </c>
      <c r="F1096" s="1" t="s">
        <v>2809</v>
      </c>
      <c r="G1096" s="39" t="s">
        <v>2746</v>
      </c>
      <c r="H1096" s="1">
        <v>1</v>
      </c>
      <c r="I1096" s="1">
        <v>0</v>
      </c>
      <c r="J1096" s="39" t="s">
        <v>2717</v>
      </c>
      <c r="K1096" s="1">
        <v>0</v>
      </c>
      <c r="L1096" s="1">
        <v>1</v>
      </c>
      <c r="S1096" s="1" t="str">
        <f>IF(tblDados[[#This Row],[Mandante]]="","",TEXT(tblDados[[#This Row],[Data]],"aaaa-mm-dd")&amp;"|"&amp;TRIM(tblDados[[#This Row],[Mandante]])&amp;"|"&amp;TRIM(tblDados[[#This Row],[Visitante]]))</f>
        <v>2026-08-02|AC Oulu|Ilves</v>
      </c>
      <c r="T1096" s="1">
        <f>IF($G1096="",0,IF(COUNTIF($S$2:$S1096,$S1096)=1,1,0))</f>
        <v>1</v>
      </c>
      <c r="U1096" s="19" t="str" cm="1">
        <f t="array" ref="U10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6" s="19" t="str" cm="1">
        <f t="array" ref="V10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7" spans="1:22" x14ac:dyDescent="0.3">
      <c r="A1097" s="1" t="s">
        <v>2810</v>
      </c>
      <c r="B1097" s="102">
        <v>46207</v>
      </c>
      <c r="C1097" s="6">
        <v>0.45833333333333331</v>
      </c>
      <c r="D1097" s="1" t="s">
        <v>18</v>
      </c>
      <c r="E1097" s="1" t="s">
        <v>19</v>
      </c>
      <c r="F1097" s="1" t="s">
        <v>2811</v>
      </c>
      <c r="G1097" s="39" t="s">
        <v>1585</v>
      </c>
      <c r="H1097" s="1">
        <v>2</v>
      </c>
      <c r="I1097" s="1">
        <v>1</v>
      </c>
      <c r="J1097" s="39" t="s">
        <v>2717</v>
      </c>
      <c r="K1097" s="1">
        <v>1</v>
      </c>
      <c r="L1097" s="1">
        <v>2</v>
      </c>
      <c r="S1097" s="1" t="str">
        <f>IF(tblDados[[#This Row],[Mandante]]="","",TEXT(tblDados[[#This Row],[Data]],"aaaa-mm-dd")&amp;"|"&amp;TRIM(tblDados[[#This Row],[Mandante]])&amp;"|"&amp;TRIM(tblDados[[#This Row],[Visitante]]))</f>
        <v>2026-07-04|FF Jaro|Ilves</v>
      </c>
      <c r="T1097" s="1">
        <f>IF($G1097="",0,IF(COUNTIF($S$2:$S1097,$S1097)=1,1,0))</f>
        <v>1</v>
      </c>
      <c r="U1097" s="19" t="str" cm="1">
        <f t="array" ref="U10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7" s="19" t="str" cm="1">
        <f t="array" ref="V10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8" spans="1:22" x14ac:dyDescent="0.3">
      <c r="A1098" s="1" t="s">
        <v>2812</v>
      </c>
      <c r="B1098" s="102">
        <v>46200</v>
      </c>
      <c r="C1098" s="6">
        <v>0.33333333333333331</v>
      </c>
      <c r="D1098" s="1" t="s">
        <v>18</v>
      </c>
      <c r="E1098" s="1" t="s">
        <v>19</v>
      </c>
      <c r="F1098" s="1" t="s">
        <v>2813</v>
      </c>
      <c r="G1098" s="39" t="s">
        <v>2717</v>
      </c>
      <c r="H1098" s="1">
        <v>2</v>
      </c>
      <c r="I1098" s="1">
        <v>2</v>
      </c>
      <c r="J1098" s="39" t="s">
        <v>993</v>
      </c>
      <c r="K1098" s="1">
        <v>2</v>
      </c>
      <c r="L1098" s="1">
        <v>2</v>
      </c>
      <c r="S1098" s="1" t="str">
        <f>IF(tblDados[[#This Row],[Mandante]]="","",TEXT(tblDados[[#This Row],[Data]],"aaaa-mm-dd")&amp;"|"&amp;TRIM(tblDados[[#This Row],[Mandante]])&amp;"|"&amp;TRIM(tblDados[[#This Row],[Visitante]]))</f>
        <v>2026-06-27|Ilves|SJK</v>
      </c>
      <c r="T1098" s="1">
        <f>IF($G1098="",0,IF(COUNTIF($S$2:$S1098,$S1098)=1,1,0))</f>
        <v>1</v>
      </c>
      <c r="U1098" s="19" t="str" cm="1">
        <f t="array" ref="U10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8" s="19" t="str" cm="1">
        <f t="array" ref="V10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9" spans="1:22" x14ac:dyDescent="0.3">
      <c r="A1099" s="1" t="s">
        <v>2814</v>
      </c>
      <c r="B1099" s="102">
        <v>46190</v>
      </c>
      <c r="C1099" s="6">
        <v>0.5</v>
      </c>
      <c r="D1099" s="1" t="s">
        <v>18</v>
      </c>
      <c r="E1099" s="1" t="s">
        <v>19</v>
      </c>
      <c r="F1099" s="1" t="s">
        <v>2815</v>
      </c>
      <c r="G1099" s="39" t="s">
        <v>2717</v>
      </c>
      <c r="H1099" s="1">
        <v>5</v>
      </c>
      <c r="I1099" s="1">
        <v>0</v>
      </c>
      <c r="J1099" s="39" t="s">
        <v>1585</v>
      </c>
      <c r="K1099" s="1">
        <v>0</v>
      </c>
      <c r="L1099" s="1">
        <v>5</v>
      </c>
      <c r="S1099" s="1" t="str">
        <f>IF(tblDados[[#This Row],[Mandante]]="","",TEXT(tblDados[[#This Row],[Data]],"aaaa-mm-dd")&amp;"|"&amp;TRIM(tblDados[[#This Row],[Mandante]])&amp;"|"&amp;TRIM(tblDados[[#This Row],[Visitante]]))</f>
        <v>2026-06-17|Ilves|FF Jaro</v>
      </c>
      <c r="T1099" s="1">
        <f>IF($G1099="",0,IF(COUNTIF($S$2:$S1099,$S1099)=1,1,0))</f>
        <v>1</v>
      </c>
      <c r="U1099" s="19" t="str" cm="1">
        <f t="array" ref="U10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9" s="19" t="str" cm="1">
        <f t="array" ref="V10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0" spans="1:22" x14ac:dyDescent="0.3">
      <c r="A1100" s="1" t="s">
        <v>2816</v>
      </c>
      <c r="B1100" s="102">
        <v>46165</v>
      </c>
      <c r="C1100" s="6">
        <v>0.45833333333333331</v>
      </c>
      <c r="D1100" s="1" t="s">
        <v>18</v>
      </c>
      <c r="E1100" s="1" t="s">
        <v>19</v>
      </c>
      <c r="F1100" s="1" t="s">
        <v>2817</v>
      </c>
      <c r="G1100" s="39" t="s">
        <v>2717</v>
      </c>
      <c r="H1100" s="1">
        <v>2</v>
      </c>
      <c r="I1100" s="1">
        <v>0</v>
      </c>
      <c r="J1100" s="39" t="s">
        <v>2716</v>
      </c>
      <c r="K1100" s="1">
        <v>0</v>
      </c>
      <c r="L1100" s="1">
        <v>2</v>
      </c>
      <c r="S1100" s="1" t="str">
        <f>IF(tblDados[[#This Row],[Mandante]]="","",TEXT(tblDados[[#This Row],[Data]],"aaaa-mm-dd")&amp;"|"&amp;TRIM(tblDados[[#This Row],[Mandante]])&amp;"|"&amp;TRIM(tblDados[[#This Row],[Visitante]]))</f>
        <v>2026-05-23|Ilves|IF Gnistan</v>
      </c>
      <c r="T1100" s="1">
        <f>IF($G1100="",0,IF(COUNTIF($S$2:$S1100,$S1100)=1,1,0))</f>
        <v>1</v>
      </c>
      <c r="U1100" s="19" t="str" cm="1">
        <f t="array" ref="U11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0" s="19" t="str" cm="1">
        <f t="array" ref="V11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1" spans="1:22" ht="14.4" x14ac:dyDescent="0.3">
      <c r="A1101" s="1" t="s">
        <v>2818</v>
      </c>
      <c r="B1101" s="102">
        <v>46158</v>
      </c>
      <c r="C1101" s="6">
        <v>0.33333333333333331</v>
      </c>
      <c r="D1101" s="1" t="s">
        <v>18</v>
      </c>
      <c r="E1101" s="1" t="s">
        <v>19</v>
      </c>
      <c r="F1101" s="1" t="s">
        <v>2819</v>
      </c>
      <c r="G1101" s="39" t="s">
        <v>992</v>
      </c>
      <c r="H1101" s="1">
        <v>2</v>
      </c>
      <c r="I1101" s="1">
        <v>2</v>
      </c>
      <c r="J1101" s="39" t="s">
        <v>2717</v>
      </c>
      <c r="K1101" s="1">
        <v>2</v>
      </c>
      <c r="L1101" s="1">
        <v>2</v>
      </c>
      <c r="S1101" s="1" t="str">
        <f>IF(tblDados[[#This Row],[Mandante]]="","",TEXT(tblDados[[#This Row],[Data]],"aaaa-mm-dd")&amp;"|"&amp;TRIM(tblDados[[#This Row],[Mandante]])&amp;"|"&amp;TRIM(tblDados[[#This Row],[Visitante]]))</f>
        <v>2026-05-16|HJK Helsinki|Ilves</v>
      </c>
      <c r="T1101">
        <f>IF($G1101="",0,IF(COUNTIF($S$2:$S2834,$S1101)=1,1,0))</f>
        <v>1</v>
      </c>
      <c r="U1101" s="19" t="str" cm="1">
        <f t="array" ref="U11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1" s="19" t="str" cm="1">
        <f t="array" ref="V11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2" spans="1:22" x14ac:dyDescent="0.3">
      <c r="A1102" s="1" t="s">
        <v>2820</v>
      </c>
      <c r="B1102" s="102">
        <v>46228</v>
      </c>
      <c r="C1102" s="6">
        <v>0.4375</v>
      </c>
      <c r="D1102" s="1" t="s">
        <v>18</v>
      </c>
      <c r="E1102" s="1" t="s">
        <v>19</v>
      </c>
      <c r="F1102" s="1" t="s">
        <v>2821</v>
      </c>
      <c r="G1102" s="39" t="s">
        <v>2721</v>
      </c>
      <c r="H1102" s="1">
        <v>1</v>
      </c>
      <c r="I1102" s="1">
        <v>1</v>
      </c>
      <c r="J1102" s="39" t="s">
        <v>2746</v>
      </c>
      <c r="K1102" s="1">
        <v>1</v>
      </c>
      <c r="L1102" s="1">
        <v>1</v>
      </c>
      <c r="S1102" s="1" t="str">
        <f>IF(tblDados[[#This Row],[Mandante]]="","",TEXT(tblDados[[#This Row],[Data]],"aaaa-mm-dd")&amp;"|"&amp;TRIM(tblDados[[#This Row],[Mandante]])&amp;"|"&amp;TRIM(tblDados[[#This Row],[Visitante]]))</f>
        <v>2026-07-25|IFK Mariehamn|AC Oulu</v>
      </c>
      <c r="T1102" s="1">
        <f>IF($G1102="",0,IF(COUNTIF($S$2:$S1102,$S1102)=1,1,0))</f>
        <v>1</v>
      </c>
      <c r="U1102" s="19" t="str" cm="1">
        <f t="array" ref="U11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2" s="19" t="str" cm="1">
        <f t="array" ref="V11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3" spans="1:22" x14ac:dyDescent="0.3">
      <c r="A1103" s="1" t="s">
        <v>2822</v>
      </c>
      <c r="B1103" s="102">
        <v>46214</v>
      </c>
      <c r="C1103" s="6">
        <v>0.45833333333333331</v>
      </c>
      <c r="D1103" s="1" t="s">
        <v>18</v>
      </c>
      <c r="E1103" s="1" t="s">
        <v>19</v>
      </c>
      <c r="F1103" s="1" t="s">
        <v>2823</v>
      </c>
      <c r="G1103" s="39" t="s">
        <v>2716</v>
      </c>
      <c r="H1103" s="1">
        <v>4</v>
      </c>
      <c r="I1103" s="1">
        <v>2</v>
      </c>
      <c r="J1103" s="39" t="s">
        <v>2721</v>
      </c>
      <c r="K1103" s="1">
        <v>2</v>
      </c>
      <c r="L1103" s="1">
        <v>4</v>
      </c>
      <c r="S1103" s="1" t="str">
        <f>IF(tblDados[[#This Row],[Mandante]]="","",TEXT(tblDados[[#This Row],[Data]],"aaaa-mm-dd")&amp;"|"&amp;TRIM(tblDados[[#This Row],[Mandante]])&amp;"|"&amp;TRIM(tblDados[[#This Row],[Visitante]]))</f>
        <v>2026-07-11|IF Gnistan|IFK Mariehamn</v>
      </c>
      <c r="T1103" s="1">
        <f>IF($G1103="",0,IF(COUNTIF($S$2:$S1103,$S1103)=1,1,0))</f>
        <v>1</v>
      </c>
      <c r="U1103" s="19" t="str" cm="1">
        <f t="array" ref="U11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3" s="19" t="str" cm="1">
        <f t="array" ref="V11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4" spans="1:22" x14ac:dyDescent="0.3">
      <c r="A1104" s="1" t="s">
        <v>2824</v>
      </c>
      <c r="B1104" s="102">
        <v>46207</v>
      </c>
      <c r="C1104" s="6">
        <v>0.5</v>
      </c>
      <c r="D1104" s="1" t="s">
        <v>18</v>
      </c>
      <c r="E1104" s="1" t="s">
        <v>19</v>
      </c>
      <c r="F1104" s="1" t="s">
        <v>2825</v>
      </c>
      <c r="G1104" s="39" t="s">
        <v>394</v>
      </c>
      <c r="H1104" s="1">
        <v>4</v>
      </c>
      <c r="I1104" s="1">
        <v>0</v>
      </c>
      <c r="J1104" s="39" t="s">
        <v>2721</v>
      </c>
      <c r="K1104" s="1">
        <v>0</v>
      </c>
      <c r="L1104" s="1">
        <v>4</v>
      </c>
      <c r="S1104" s="1" t="str">
        <f>IF(tblDados[[#This Row],[Mandante]]="","",TEXT(tblDados[[#This Row],[Data]],"aaaa-mm-dd")&amp;"|"&amp;TRIM(tblDados[[#This Row],[Mandante]])&amp;"|"&amp;TRIM(tblDados[[#This Row],[Visitante]]))</f>
        <v>2026-07-04|VPS Vaasa|IFK Mariehamn</v>
      </c>
      <c r="T1104" s="1">
        <f>IF($G1104="",0,IF(COUNTIF($S$2:$S1104,$S1104)=1,1,0))</f>
        <v>1</v>
      </c>
      <c r="U1104" s="19" t="str" cm="1">
        <f t="array" ref="U11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4" s="19" t="str" cm="1">
        <f t="array" ref="V11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5" spans="1:22" x14ac:dyDescent="0.3">
      <c r="A1105" s="1" t="s">
        <v>2826</v>
      </c>
      <c r="B1105" s="102">
        <v>46196</v>
      </c>
      <c r="C1105" s="6">
        <v>0.58333333333333337</v>
      </c>
      <c r="D1105" s="1" t="s">
        <v>18</v>
      </c>
      <c r="E1105" s="1" t="s">
        <v>19</v>
      </c>
      <c r="F1105" s="1" t="s">
        <v>2827</v>
      </c>
      <c r="G1105" s="39" t="s">
        <v>2721</v>
      </c>
      <c r="H1105" s="1">
        <v>0</v>
      </c>
      <c r="I1105" s="1">
        <v>4</v>
      </c>
      <c r="J1105" s="39" t="s">
        <v>992</v>
      </c>
      <c r="K1105" s="1">
        <v>4</v>
      </c>
      <c r="L1105" s="1">
        <v>0</v>
      </c>
      <c r="S1105" s="1" t="str">
        <f>IF(tblDados[[#This Row],[Mandante]]="","",TEXT(tblDados[[#This Row],[Data]],"aaaa-mm-dd")&amp;"|"&amp;TRIM(tblDados[[#This Row],[Mandante]])&amp;"|"&amp;TRIM(tblDados[[#This Row],[Visitante]]))</f>
        <v>2026-06-23|IFK Mariehamn|HJK Helsinki</v>
      </c>
      <c r="T1105" s="1">
        <f>IF($G1105="",0,IF(COUNTIF($S$2:$S1105,$S1105)=1,1,0))</f>
        <v>1</v>
      </c>
      <c r="U1105" s="19" t="str" cm="1">
        <f t="array" ref="U11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5" s="19" t="str" cm="1">
        <f t="array" ref="V11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6" spans="1:22" x14ac:dyDescent="0.3">
      <c r="A1106" s="1" t="s">
        <v>2828</v>
      </c>
      <c r="B1106" s="102">
        <v>46191</v>
      </c>
      <c r="C1106" s="6">
        <v>0.29097222222222224</v>
      </c>
      <c r="D1106" s="1" t="s">
        <v>18</v>
      </c>
      <c r="E1106" s="1" t="s">
        <v>19</v>
      </c>
      <c r="F1106" s="1" t="s">
        <v>2829</v>
      </c>
      <c r="G1106" s="39" t="s">
        <v>2746</v>
      </c>
      <c r="H1106" s="1">
        <v>2</v>
      </c>
      <c r="I1106" s="1">
        <v>1</v>
      </c>
      <c r="J1106" s="39" t="s">
        <v>2721</v>
      </c>
      <c r="K1106" s="1">
        <v>1</v>
      </c>
      <c r="L1106" s="1">
        <v>2</v>
      </c>
      <c r="S1106" s="1" t="str">
        <f>IF(tblDados[[#This Row],[Mandante]]="","",TEXT(tblDados[[#This Row],[Data]],"aaaa-mm-dd")&amp;"|"&amp;TRIM(tblDados[[#This Row],[Mandante]])&amp;"|"&amp;TRIM(tblDados[[#This Row],[Visitante]]))</f>
        <v>2026-06-18|AC Oulu|IFK Mariehamn</v>
      </c>
      <c r="T1106" s="1">
        <f>IF($G1106="",0,IF(COUNTIF($S$2:$S1106,$S1106)=1,1,0))</f>
        <v>1</v>
      </c>
      <c r="U1106" s="19" t="str" cm="1">
        <f t="array" ref="U11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6" s="19" t="str" cm="1">
        <f t="array" ref="V11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7" spans="1:22" x14ac:dyDescent="0.3">
      <c r="A1107" s="1" t="s">
        <v>2830</v>
      </c>
      <c r="B1107" s="102">
        <v>46186</v>
      </c>
      <c r="C1107" s="6">
        <v>0.54166666666666663</v>
      </c>
      <c r="D1107" s="1" t="s">
        <v>18</v>
      </c>
      <c r="E1107" s="1" t="s">
        <v>19</v>
      </c>
      <c r="F1107" s="1" t="s">
        <v>2831</v>
      </c>
      <c r="G1107" s="39" t="s">
        <v>2721</v>
      </c>
      <c r="H1107" s="1">
        <v>0</v>
      </c>
      <c r="I1107" s="1">
        <v>3</v>
      </c>
      <c r="J1107" s="39" t="s">
        <v>2716</v>
      </c>
      <c r="K1107" s="1">
        <v>3</v>
      </c>
      <c r="L1107" s="1">
        <v>0</v>
      </c>
      <c r="S1107" s="1" t="str">
        <f>IF(tblDados[[#This Row],[Mandante]]="","",TEXT(tblDados[[#This Row],[Data]],"aaaa-mm-dd")&amp;"|"&amp;TRIM(tblDados[[#This Row],[Mandante]])&amp;"|"&amp;TRIM(tblDados[[#This Row],[Visitante]]))</f>
        <v>2026-06-13|IFK Mariehamn|IF Gnistan</v>
      </c>
      <c r="T1107" s="1">
        <f>IF($G1107="",0,IF(COUNTIF($S$2:$S1107,$S1107)=1,1,0))</f>
        <v>1</v>
      </c>
      <c r="U1107" s="19" t="str" cm="1">
        <f t="array" ref="U11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7" s="19" t="str" cm="1">
        <f t="array" ref="V11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8" spans="1:22" x14ac:dyDescent="0.3">
      <c r="A1108" s="1" t="s">
        <v>2832</v>
      </c>
      <c r="B1108" s="102">
        <v>46172</v>
      </c>
      <c r="C1108" s="6">
        <v>0.375</v>
      </c>
      <c r="D1108" s="1" t="s">
        <v>18</v>
      </c>
      <c r="E1108" s="1" t="s">
        <v>19</v>
      </c>
      <c r="F1108" s="1" t="s">
        <v>2833</v>
      </c>
      <c r="G1108" s="39" t="s">
        <v>992</v>
      </c>
      <c r="H1108" s="1">
        <v>1</v>
      </c>
      <c r="I1108" s="1">
        <v>0</v>
      </c>
      <c r="J1108" s="39" t="s">
        <v>2721</v>
      </c>
      <c r="K1108" s="1">
        <v>0</v>
      </c>
      <c r="L1108" s="1">
        <v>1</v>
      </c>
      <c r="S1108" s="1" t="str">
        <f>IF(tblDados[[#This Row],[Mandante]]="","",TEXT(tblDados[[#This Row],[Data]],"aaaa-mm-dd")&amp;"|"&amp;TRIM(tblDados[[#This Row],[Mandante]])&amp;"|"&amp;TRIM(tblDados[[#This Row],[Visitante]]))</f>
        <v>2026-05-30|HJK Helsinki|IFK Mariehamn</v>
      </c>
      <c r="T1108" s="1">
        <f>IF($G1108="",0,IF(COUNTIF($S$2:$S1108,$S1108)=1,1,0))</f>
        <v>1</v>
      </c>
      <c r="U1108" s="19" t="str" cm="1">
        <f t="array" ref="U11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8" s="19" t="str" cm="1">
        <f t="array" ref="V11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9" spans="1:22" ht="14.4" x14ac:dyDescent="0.3">
      <c r="A1109" s="1" t="s">
        <v>2834</v>
      </c>
      <c r="B1109" s="102">
        <v>46165</v>
      </c>
      <c r="C1109" s="6">
        <v>0.45833333333333331</v>
      </c>
      <c r="D1109" s="1" t="s">
        <v>18</v>
      </c>
      <c r="E1109" s="1" t="s">
        <v>19</v>
      </c>
      <c r="F1109" s="1" t="s">
        <v>2835</v>
      </c>
      <c r="G1109" s="39" t="s">
        <v>1585</v>
      </c>
      <c r="H1109" s="1">
        <v>3</v>
      </c>
      <c r="I1109" s="1">
        <v>0</v>
      </c>
      <c r="J1109" s="39" t="s">
        <v>2721</v>
      </c>
      <c r="K1109" s="1">
        <v>0</v>
      </c>
      <c r="L1109" s="1">
        <v>3</v>
      </c>
      <c r="S1109" s="1" t="str">
        <f>IF(tblDados[[#This Row],[Mandante]]="","",TEXT(tblDados[[#This Row],[Data]],"aaaa-mm-dd")&amp;"|"&amp;TRIM(tblDados[[#This Row],[Mandante]])&amp;"|"&amp;TRIM(tblDados[[#This Row],[Visitante]]))</f>
        <v>2026-05-23|FF Jaro|IFK Mariehamn</v>
      </c>
      <c r="T1109">
        <f>IF($G1109="",0,IF(COUNTIF($S$2:$S2834,$S1109)=1,1,0))</f>
        <v>1</v>
      </c>
      <c r="U1109" s="19" t="str" cm="1">
        <f t="array" ref="U11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9" s="19" t="str" cm="1">
        <f t="array" ref="V11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0" spans="1:22" x14ac:dyDescent="0.3">
      <c r="A1110" s="1" t="s">
        <v>2836</v>
      </c>
      <c r="B1110" s="102">
        <v>46221</v>
      </c>
      <c r="C1110" s="6">
        <v>0.45833333333333331</v>
      </c>
      <c r="D1110" s="1" t="s">
        <v>18</v>
      </c>
      <c r="E1110" s="1" t="s">
        <v>19</v>
      </c>
      <c r="F1110" s="1" t="s">
        <v>2837</v>
      </c>
      <c r="G1110" s="39" t="s">
        <v>2746</v>
      </c>
      <c r="H1110" s="1">
        <v>0</v>
      </c>
      <c r="I1110" s="1">
        <v>2</v>
      </c>
      <c r="J1110" s="39" t="s">
        <v>2716</v>
      </c>
      <c r="K1110" s="1">
        <v>2</v>
      </c>
      <c r="L1110" s="1">
        <v>0</v>
      </c>
      <c r="S1110" s="1" t="str">
        <f>IF(tblDados[[#This Row],[Mandante]]="","",TEXT(tblDados[[#This Row],[Data]],"aaaa-mm-dd")&amp;"|"&amp;TRIM(tblDados[[#This Row],[Mandante]])&amp;"|"&amp;TRIM(tblDados[[#This Row],[Visitante]]))</f>
        <v>2026-07-18|AC Oulu|IF Gnistan</v>
      </c>
      <c r="T1110" s="1">
        <f>IF($G1110="",0,IF(COUNTIF($S$2:$S1110,$S1110)=1,1,0))</f>
        <v>1</v>
      </c>
      <c r="U1110" s="19" t="str" cm="1">
        <f t="array" ref="U11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0" s="19" t="str" cm="1">
        <f t="array" ref="V11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1" spans="1:22" x14ac:dyDescent="0.3">
      <c r="A1111" s="1" t="s">
        <v>2838</v>
      </c>
      <c r="B1111" s="102">
        <v>46196</v>
      </c>
      <c r="C1111" s="6">
        <v>0.5</v>
      </c>
      <c r="D1111" s="1" t="s">
        <v>18</v>
      </c>
      <c r="E1111" s="1" t="s">
        <v>19</v>
      </c>
      <c r="F1111" s="1" t="s">
        <v>2839</v>
      </c>
      <c r="G1111" s="39" t="s">
        <v>394</v>
      </c>
      <c r="H1111" s="1">
        <v>5</v>
      </c>
      <c r="I1111" s="1">
        <v>1</v>
      </c>
      <c r="J1111" s="39" t="s">
        <v>2746</v>
      </c>
      <c r="K1111" s="1">
        <v>1</v>
      </c>
      <c r="L1111" s="1">
        <v>5</v>
      </c>
      <c r="S1111" s="1" t="str">
        <f>IF(tblDados[[#This Row],[Mandante]]="","",TEXT(tblDados[[#This Row],[Data]],"aaaa-mm-dd")&amp;"|"&amp;TRIM(tblDados[[#This Row],[Mandante]])&amp;"|"&amp;TRIM(tblDados[[#This Row],[Visitante]]))</f>
        <v>2026-06-23|VPS Vaasa|AC Oulu</v>
      </c>
      <c r="T1111" s="1">
        <f>IF($G1111="",0,IF(COUNTIF($S$2:$S1111,$S1111)=1,1,0))</f>
        <v>1</v>
      </c>
      <c r="U1111" s="19" t="str" cm="1">
        <f t="array" ref="U11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1" s="19" t="str" cm="1">
        <f t="array" ref="V11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2" spans="1:22" x14ac:dyDescent="0.3">
      <c r="A1112" s="1" t="s">
        <v>2840</v>
      </c>
      <c r="B1112" s="102">
        <v>46173</v>
      </c>
      <c r="C1112" s="6">
        <v>0.41666666666666669</v>
      </c>
      <c r="D1112" s="1" t="s">
        <v>18</v>
      </c>
      <c r="E1112" s="1" t="s">
        <v>19</v>
      </c>
      <c r="F1112" s="1" t="s">
        <v>2841</v>
      </c>
      <c r="G1112" s="39" t="s">
        <v>2746</v>
      </c>
      <c r="H1112" s="1">
        <v>2</v>
      </c>
      <c r="I1112" s="1">
        <v>1</v>
      </c>
      <c r="J1112" s="39" t="s">
        <v>1585</v>
      </c>
      <c r="K1112" s="1">
        <v>1</v>
      </c>
      <c r="L1112" s="1">
        <v>2</v>
      </c>
      <c r="S1112" s="1" t="str">
        <f>IF(tblDados[[#This Row],[Mandante]]="","",TEXT(tblDados[[#This Row],[Data]],"aaaa-mm-dd")&amp;"|"&amp;TRIM(tblDados[[#This Row],[Mandante]])&amp;"|"&amp;TRIM(tblDados[[#This Row],[Visitante]]))</f>
        <v>2026-05-31|AC Oulu|FF Jaro</v>
      </c>
      <c r="T1112" s="1">
        <f>IF($G1112="",0,IF(COUNTIF($S$2:$S1112,$S1112)=1,1,0))</f>
        <v>1</v>
      </c>
      <c r="U1112" s="19" t="str" cm="1">
        <f t="array" ref="U11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2" s="19" t="str" cm="1">
        <f t="array" ref="V11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3" spans="1:22" x14ac:dyDescent="0.3">
      <c r="A1113" s="1" t="s">
        <v>2842</v>
      </c>
      <c r="B1113" s="102">
        <v>46165</v>
      </c>
      <c r="C1113" s="6">
        <v>0.45833333333333331</v>
      </c>
      <c r="D1113" s="1" t="s">
        <v>18</v>
      </c>
      <c r="E1113" s="1" t="s">
        <v>19</v>
      </c>
      <c r="F1113" s="1" t="s">
        <v>2843</v>
      </c>
      <c r="G1113" s="39" t="s">
        <v>993</v>
      </c>
      <c r="H1113" s="1">
        <v>0</v>
      </c>
      <c r="I1113" s="1">
        <v>1</v>
      </c>
      <c r="J1113" s="39" t="s">
        <v>2746</v>
      </c>
      <c r="K1113" s="1">
        <v>1</v>
      </c>
      <c r="L1113" s="1">
        <v>0</v>
      </c>
      <c r="S1113" s="1" t="str">
        <f>IF(tblDados[[#This Row],[Mandante]]="","",TEXT(tblDados[[#This Row],[Data]],"aaaa-mm-dd")&amp;"|"&amp;TRIM(tblDados[[#This Row],[Mandante]])&amp;"|"&amp;TRIM(tblDados[[#This Row],[Visitante]]))</f>
        <v>2026-05-23|SJK|AC Oulu</v>
      </c>
      <c r="T1113" s="1">
        <f>IF($G1113="",0,IF(COUNTIF($S$2:$S1113,$S1113)=1,1,0))</f>
        <v>1</v>
      </c>
      <c r="U1113" s="19" t="str" cm="1">
        <f t="array" ref="U11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3" s="19" t="str" cm="1">
        <f t="array" ref="V11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4" spans="1:22" ht="14.4" x14ac:dyDescent="0.3">
      <c r="A1114" s="1" t="s">
        <v>2844</v>
      </c>
      <c r="B1114" s="102">
        <v>46150</v>
      </c>
      <c r="C1114" s="6">
        <v>0.5</v>
      </c>
      <c r="D1114" s="1" t="s">
        <v>18</v>
      </c>
      <c r="E1114" s="1" t="s">
        <v>19</v>
      </c>
      <c r="F1114" s="1" t="s">
        <v>2845</v>
      </c>
      <c r="G1114" s="39" t="s">
        <v>2717</v>
      </c>
      <c r="H1114" s="1">
        <v>1</v>
      </c>
      <c r="I1114" s="1">
        <v>0</v>
      </c>
      <c r="J1114" s="39" t="s">
        <v>2746</v>
      </c>
      <c r="K1114" s="1">
        <v>0</v>
      </c>
      <c r="L1114" s="1">
        <v>1</v>
      </c>
      <c r="S1114" s="1" t="str">
        <f>IF(tblDados[[#This Row],[Mandante]]="","",TEXT(tblDados[[#This Row],[Data]],"aaaa-mm-dd")&amp;"|"&amp;TRIM(tblDados[[#This Row],[Mandante]])&amp;"|"&amp;TRIM(tblDados[[#This Row],[Visitante]]))</f>
        <v>2026-05-08|Ilves|AC Oulu</v>
      </c>
      <c r="T1114">
        <f>IF($G1114="",0,IF(COUNTIF($S$2:$S2834,$S1114)=1,1,0))</f>
        <v>1</v>
      </c>
      <c r="U1114" s="19" t="str" cm="1">
        <f t="array" ref="U11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4" s="19" t="str" cm="1">
        <f t="array" ref="V11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5" spans="1:22" x14ac:dyDescent="0.3">
      <c r="A1115" s="1" t="s">
        <v>2846</v>
      </c>
      <c r="B1115" s="102">
        <v>46221</v>
      </c>
      <c r="C1115" s="6">
        <v>0.375</v>
      </c>
      <c r="D1115" s="1" t="s">
        <v>18</v>
      </c>
      <c r="E1115" s="1" t="s">
        <v>19</v>
      </c>
      <c r="F1115" s="1" t="s">
        <v>2847</v>
      </c>
      <c r="G1115" s="39" t="s">
        <v>992</v>
      </c>
      <c r="H1115" s="1">
        <v>2</v>
      </c>
      <c r="I1115" s="1">
        <v>1</v>
      </c>
      <c r="J1115" s="39" t="s">
        <v>394</v>
      </c>
      <c r="K1115" s="1">
        <v>1</v>
      </c>
      <c r="L1115" s="1">
        <v>2</v>
      </c>
      <c r="S1115" s="1" t="str">
        <f>IF(tblDados[[#This Row],[Mandante]]="","",TEXT(tblDados[[#This Row],[Data]],"aaaa-mm-dd")&amp;"|"&amp;TRIM(tblDados[[#This Row],[Mandante]])&amp;"|"&amp;TRIM(tblDados[[#This Row],[Visitante]]))</f>
        <v>2026-07-18|HJK Helsinki|VPS Vaasa</v>
      </c>
      <c r="T1115" s="1">
        <f>IF($G1115="",0,IF(COUNTIF($S$2:$S1115,$S1115)=1,1,0))</f>
        <v>1</v>
      </c>
      <c r="U1115" s="19" t="str" cm="1">
        <f t="array" ref="U11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5" s="19" t="str" cm="1">
        <f t="array" ref="V11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6" spans="1:22" x14ac:dyDescent="0.3">
      <c r="A1116" s="1" t="s">
        <v>2848</v>
      </c>
      <c r="B1116" s="102">
        <v>46186</v>
      </c>
      <c r="C1116" s="6">
        <v>0.45833333333333331</v>
      </c>
      <c r="D1116" s="1" t="s">
        <v>18</v>
      </c>
      <c r="E1116" s="1" t="s">
        <v>19</v>
      </c>
      <c r="F1116" s="1" t="s">
        <v>2849</v>
      </c>
      <c r="G1116" s="39" t="s">
        <v>1585</v>
      </c>
      <c r="H1116" s="1">
        <v>2</v>
      </c>
      <c r="I1116" s="1">
        <v>5</v>
      </c>
      <c r="J1116" s="39" t="s">
        <v>992</v>
      </c>
      <c r="K1116" s="1">
        <v>5</v>
      </c>
      <c r="L1116" s="1">
        <v>2</v>
      </c>
      <c r="S1116" s="1" t="str">
        <f>IF(tblDados[[#This Row],[Mandante]]="","",TEXT(tblDados[[#This Row],[Data]],"aaaa-mm-dd")&amp;"|"&amp;TRIM(tblDados[[#This Row],[Mandante]])&amp;"|"&amp;TRIM(tblDados[[#This Row],[Visitante]]))</f>
        <v>2026-06-13|FF Jaro|HJK Helsinki</v>
      </c>
      <c r="T1116" s="1">
        <f>IF($G1116="",0,IF(COUNTIF($S$2:$S1116,$S1116)=1,1,0))</f>
        <v>1</v>
      </c>
      <c r="U1116" s="19" t="str" cm="1">
        <f t="array" ref="U11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6" s="19" t="str" cm="1">
        <f t="array" ref="V11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7" spans="1:22" ht="14.4" x14ac:dyDescent="0.3">
      <c r="A1117" s="1" t="s">
        <v>2850</v>
      </c>
      <c r="B1117" s="102">
        <v>46164</v>
      </c>
      <c r="C1117" s="6">
        <v>0.54166666666666663</v>
      </c>
      <c r="D1117" s="1" t="s">
        <v>18</v>
      </c>
      <c r="E1117" s="1" t="s">
        <v>19</v>
      </c>
      <c r="F1117" s="1" t="s">
        <v>2851</v>
      </c>
      <c r="G1117" s="39" t="s">
        <v>394</v>
      </c>
      <c r="H1117" s="1">
        <v>2</v>
      </c>
      <c r="I1117" s="1">
        <v>1</v>
      </c>
      <c r="J1117" s="39" t="s">
        <v>992</v>
      </c>
      <c r="K1117" s="1">
        <v>1</v>
      </c>
      <c r="L1117" s="1">
        <v>2</v>
      </c>
      <c r="S1117" s="1" t="str">
        <f>IF(tblDados[[#This Row],[Mandante]]="","",TEXT(tblDados[[#This Row],[Data]],"aaaa-mm-dd")&amp;"|"&amp;TRIM(tblDados[[#This Row],[Mandante]])&amp;"|"&amp;TRIM(tblDados[[#This Row],[Visitante]]))</f>
        <v>2026-05-22|VPS Vaasa|HJK Helsinki</v>
      </c>
      <c r="T1117">
        <f>IF($G1117="",0,IF(COUNTIF($S$2:$S2834,$S1117)=1,1,0))</f>
        <v>1</v>
      </c>
      <c r="U1117" s="19" t="str" cm="1">
        <f t="array" ref="U11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7" s="19" t="str" cm="1">
        <f t="array" ref="V11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8" spans="1:22" x14ac:dyDescent="0.3">
      <c r="A1118" s="1" t="s">
        <v>2852</v>
      </c>
      <c r="B1118" s="102">
        <v>46213</v>
      </c>
      <c r="C1118" s="6">
        <v>0.54166666666666663</v>
      </c>
      <c r="D1118" s="1" t="s">
        <v>18</v>
      </c>
      <c r="E1118" s="1" t="s">
        <v>19</v>
      </c>
      <c r="F1118" s="1" t="s">
        <v>2853</v>
      </c>
      <c r="G1118" s="39" t="s">
        <v>394</v>
      </c>
      <c r="H1118" s="1">
        <v>1</v>
      </c>
      <c r="I1118" s="1">
        <v>0</v>
      </c>
      <c r="J1118" s="39" t="s">
        <v>993</v>
      </c>
      <c r="K1118" s="1">
        <v>0</v>
      </c>
      <c r="L1118" s="1">
        <v>1</v>
      </c>
      <c r="S1118" s="1" t="str">
        <f>IF(tblDados[[#This Row],[Mandante]]="","",TEXT(tblDados[[#This Row],[Data]],"aaaa-mm-dd")&amp;"|"&amp;TRIM(tblDados[[#This Row],[Mandante]])&amp;"|"&amp;TRIM(tblDados[[#This Row],[Visitante]]))</f>
        <v>2026-07-10|VPS Vaasa|SJK</v>
      </c>
      <c r="T1118" s="1">
        <f>IF($G1118="",0,IF(COUNTIF($S$2:$S1118,$S1118)=1,1,0))</f>
        <v>1</v>
      </c>
      <c r="U1118" s="19" t="str" cm="1">
        <f t="array" ref="U11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8" s="19" t="str" cm="1">
        <f t="array" ref="V11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9" spans="1:22" x14ac:dyDescent="0.3">
      <c r="A1119" s="1" t="s">
        <v>2854</v>
      </c>
      <c r="B1119" s="102">
        <v>46200</v>
      </c>
      <c r="C1119" s="6">
        <v>0.54166666666666663</v>
      </c>
      <c r="D1119" s="1" t="s">
        <v>18</v>
      </c>
      <c r="E1119" s="1" t="s">
        <v>19</v>
      </c>
      <c r="F1119" s="1" t="s">
        <v>2855</v>
      </c>
      <c r="G1119" s="39" t="s">
        <v>2716</v>
      </c>
      <c r="H1119" s="1">
        <v>1</v>
      </c>
      <c r="I1119" s="1">
        <v>1</v>
      </c>
      <c r="J1119" s="39" t="s">
        <v>394</v>
      </c>
      <c r="K1119" s="1">
        <v>1</v>
      </c>
      <c r="L1119" s="1">
        <v>1</v>
      </c>
      <c r="S1119" s="1" t="str">
        <f>IF(tblDados[[#This Row],[Mandante]]="","",TEXT(tblDados[[#This Row],[Data]],"aaaa-mm-dd")&amp;"|"&amp;TRIM(tblDados[[#This Row],[Mandante]])&amp;"|"&amp;TRIM(tblDados[[#This Row],[Visitante]]))</f>
        <v>2026-06-27|IF Gnistan|VPS Vaasa</v>
      </c>
      <c r="T1119" s="1">
        <f>IF($G1119="",0,IF(COUNTIF($S$2:$S1119,$S1119)=1,1,0))</f>
        <v>1</v>
      </c>
      <c r="U1119" s="19" t="str" cm="1">
        <f t="array" ref="U11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9" s="19" t="str" cm="1">
        <f t="array" ref="V11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0" spans="1:22" ht="14.4" x14ac:dyDescent="0.3">
      <c r="A1120" s="1" t="s">
        <v>2856</v>
      </c>
      <c r="B1120" s="102">
        <v>46190</v>
      </c>
      <c r="C1120" s="6">
        <v>0.625</v>
      </c>
      <c r="D1120" s="1" t="s">
        <v>18</v>
      </c>
      <c r="E1120" s="1" t="s">
        <v>19</v>
      </c>
      <c r="F1120" s="1" t="s">
        <v>2857</v>
      </c>
      <c r="G1120" s="39" t="s">
        <v>993</v>
      </c>
      <c r="H1120" s="1">
        <v>1</v>
      </c>
      <c r="I1120" s="1">
        <v>2</v>
      </c>
      <c r="J1120" s="39" t="s">
        <v>394</v>
      </c>
      <c r="K1120" s="1">
        <v>2</v>
      </c>
      <c r="L1120" s="1">
        <v>1</v>
      </c>
      <c r="S1120" s="1" t="str">
        <f>IF(tblDados[[#This Row],[Mandante]]="","",TEXT(tblDados[[#This Row],[Data]],"aaaa-mm-dd")&amp;"|"&amp;TRIM(tblDados[[#This Row],[Mandante]])&amp;"|"&amp;TRIM(tblDados[[#This Row],[Visitante]]))</f>
        <v>2026-06-17|SJK|VPS Vaasa</v>
      </c>
      <c r="T1120">
        <f>IF($G1120="",0,IF(COUNTIF($S$2:$S2834,$S1120)=1,1,0))</f>
        <v>1</v>
      </c>
      <c r="U1120" s="19" t="str" cm="1">
        <f t="array" ref="U11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0" s="19" t="str" cm="1">
        <f t="array" ref="V11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1" spans="1:22" x14ac:dyDescent="0.3">
      <c r="A1121" s="1" t="s">
        <v>2858</v>
      </c>
      <c r="B1121" s="102">
        <v>46227</v>
      </c>
      <c r="C1121" s="6">
        <v>0.54166666666666663</v>
      </c>
      <c r="D1121" s="1" t="s">
        <v>18</v>
      </c>
      <c r="E1121" s="1" t="s">
        <v>19</v>
      </c>
      <c r="F1121" s="1" t="s">
        <v>2859</v>
      </c>
      <c r="G1121" s="39" t="s">
        <v>1585</v>
      </c>
      <c r="H1121" s="1">
        <v>2</v>
      </c>
      <c r="I1121" s="1">
        <v>1</v>
      </c>
      <c r="J1121" s="39" t="s">
        <v>993</v>
      </c>
      <c r="K1121" s="1">
        <v>1</v>
      </c>
      <c r="L1121" s="1">
        <v>2</v>
      </c>
      <c r="S1121" s="1" t="str">
        <f>IF(tblDados[[#This Row],[Mandante]]="","",TEXT(tblDados[[#This Row],[Data]],"aaaa-mm-dd")&amp;"|"&amp;TRIM(tblDados[[#This Row],[Mandante]])&amp;"|"&amp;TRIM(tblDados[[#This Row],[Visitante]]))</f>
        <v>2026-07-24|FF Jaro|SJK</v>
      </c>
      <c r="T1121" s="1">
        <f>IF($G1121="",0,IF(COUNTIF($S$2:$S1121,$S1121)=1,1,0))</f>
        <v>1</v>
      </c>
      <c r="U1121" s="19" t="str" cm="1">
        <f t="array" ref="U11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1" s="19" t="str" cm="1">
        <f t="array" ref="V11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2" spans="1:22" x14ac:dyDescent="0.3">
      <c r="A1122" s="1" t="s">
        <v>2860</v>
      </c>
      <c r="B1122" s="102">
        <v>46196</v>
      </c>
      <c r="C1122" s="6">
        <v>0.54166666666666663</v>
      </c>
      <c r="D1122" s="1" t="s">
        <v>18</v>
      </c>
      <c r="E1122" s="1" t="s">
        <v>19</v>
      </c>
      <c r="F1122" s="1" t="s">
        <v>2861</v>
      </c>
      <c r="G1122" s="39" t="s">
        <v>1585</v>
      </c>
      <c r="H1122" s="1">
        <v>1</v>
      </c>
      <c r="I1122" s="1">
        <v>1</v>
      </c>
      <c r="J1122" s="39" t="s">
        <v>2716</v>
      </c>
      <c r="K1122" s="1">
        <v>1</v>
      </c>
      <c r="L1122" s="1">
        <v>1</v>
      </c>
      <c r="S1122" s="1" t="str">
        <f>IF(tblDados[[#This Row],[Mandante]]="","",TEXT(tblDados[[#This Row],[Data]],"aaaa-mm-dd")&amp;"|"&amp;TRIM(tblDados[[#This Row],[Mandante]])&amp;"|"&amp;TRIM(tblDados[[#This Row],[Visitante]]))</f>
        <v>2026-06-23|FF Jaro|IF Gnistan</v>
      </c>
      <c r="T1122" s="1">
        <f>IF($G1122="",0,IF(COUNTIF($S$2:$S1122,$S1122)=1,1,0))</f>
        <v>1</v>
      </c>
      <c r="U1122" s="19" t="str" cm="1">
        <f t="array" ref="U11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2" s="19" t="str" cm="1">
        <f t="array" ref="V11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3" spans="1:22" ht="14.4" x14ac:dyDescent="0.3">
      <c r="A1123" s="1" t="s">
        <v>2862</v>
      </c>
      <c r="B1123" s="102">
        <v>46158</v>
      </c>
      <c r="C1123" s="6">
        <v>0.54166666666666663</v>
      </c>
      <c r="D1123" s="1" t="s">
        <v>18</v>
      </c>
      <c r="E1123" s="1" t="s">
        <v>19</v>
      </c>
      <c r="F1123" s="1" t="s">
        <v>2863</v>
      </c>
      <c r="G1123" s="39" t="s">
        <v>2716</v>
      </c>
      <c r="H1123" s="1">
        <v>5</v>
      </c>
      <c r="I1123" s="1">
        <v>0</v>
      </c>
      <c r="J1123" s="39" t="s">
        <v>1585</v>
      </c>
      <c r="K1123" s="1">
        <v>0</v>
      </c>
      <c r="L1123" s="1">
        <v>5</v>
      </c>
      <c r="S1123" s="1" t="str">
        <f>IF(tblDados[[#This Row],[Mandante]]="","",TEXT(tblDados[[#This Row],[Data]],"aaaa-mm-dd")&amp;"|"&amp;TRIM(tblDados[[#This Row],[Mandante]])&amp;"|"&amp;TRIM(tblDados[[#This Row],[Visitante]]))</f>
        <v>2026-05-16|IF Gnistan|FF Jaro</v>
      </c>
      <c r="T1123">
        <f>IF($G1123="",0,IF(COUNTIF($S$2:$S2834,$S1123)=1,1,0))</f>
        <v>1</v>
      </c>
      <c r="U1123" s="19" t="str" cm="1">
        <f t="array" ref="U11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3" s="19" t="str" cm="1">
        <f t="array" ref="V11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4" spans="1:22" ht="14.4" x14ac:dyDescent="0.3">
      <c r="A1124" s="1" t="s">
        <v>2864</v>
      </c>
      <c r="B1124" s="102">
        <v>46241</v>
      </c>
      <c r="C1124" s="6">
        <v>0.54166666666666663</v>
      </c>
      <c r="D1124" s="1" t="s">
        <v>18</v>
      </c>
      <c r="E1124" s="1" t="s">
        <v>19</v>
      </c>
      <c r="F1124" s="1" t="s">
        <v>2865</v>
      </c>
      <c r="G1124" s="39" t="s">
        <v>993</v>
      </c>
      <c r="H1124" s="1">
        <v>2</v>
      </c>
      <c r="I1124" s="1">
        <v>2</v>
      </c>
      <c r="J1124" s="39" t="s">
        <v>2716</v>
      </c>
      <c r="K1124" s="1">
        <v>2</v>
      </c>
      <c r="L1124" s="1">
        <v>2</v>
      </c>
      <c r="S1124" s="1" t="str">
        <f>IF(tblDados[[#This Row],[Mandante]]="","",TEXT(tblDados[[#This Row],[Data]],"aaaa-mm-dd")&amp;"|"&amp;TRIM(tblDados[[#This Row],[Mandante]])&amp;"|"&amp;TRIM(tblDados[[#This Row],[Visitante]]))</f>
        <v>2026-08-07|SJK|IF Gnistan</v>
      </c>
      <c r="T1124">
        <f>IF($G1124="",0,IF(COUNTIF($S$2:$S2834,$S1124)=1,1,0))</f>
        <v>1</v>
      </c>
      <c r="U1124" s="19" t="str" cm="1">
        <f t="array" ref="U11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4" s="19" t="str" cm="1">
        <f t="array" ref="V11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5" spans="1:22" x14ac:dyDescent="0.3">
      <c r="A1125" s="1" t="s">
        <v>2868</v>
      </c>
      <c r="B1125" s="102">
        <v>46234</v>
      </c>
      <c r="C1125" s="6">
        <v>0.52083333333333337</v>
      </c>
      <c r="D1125" s="1" t="s">
        <v>18</v>
      </c>
      <c r="E1125" s="1" t="s">
        <v>20</v>
      </c>
      <c r="F1125" s="1" t="s">
        <v>2869</v>
      </c>
      <c r="G1125" s="39" t="s">
        <v>2866</v>
      </c>
      <c r="H1125" s="1">
        <v>2</v>
      </c>
      <c r="I1125" s="1">
        <v>0</v>
      </c>
      <c r="J1125" s="39" t="s">
        <v>320</v>
      </c>
      <c r="K1125" s="1">
        <v>0</v>
      </c>
      <c r="L1125" s="1">
        <v>2</v>
      </c>
      <c r="S1125" s="1" t="str">
        <f>IF(tblDados[[#This Row],[Mandante]]="","",TEXT(tblDados[[#This Row],[Data]],"aaaa-mm-dd")&amp;"|"&amp;TRIM(tblDados[[#This Row],[Mandante]])&amp;"|"&amp;TRIM(tblDados[[#This Row],[Visitante]]))</f>
        <v>2026-07-31|Ekenas|Klubi 04</v>
      </c>
      <c r="T1125" s="1">
        <f>IF($G1125="",0,IF(COUNTIF($S$2:$S1125,$S1125)=1,1,0))</f>
        <v>1</v>
      </c>
      <c r="U1125" s="19" t="str" cm="1">
        <f t="array" ref="U11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5" s="19" t="str" cm="1">
        <f t="array" ref="V11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6" spans="1:22" x14ac:dyDescent="0.3">
      <c r="A1126" s="1" t="s">
        <v>2870</v>
      </c>
      <c r="B1126" s="102">
        <v>46228</v>
      </c>
      <c r="C1126" s="6">
        <v>0.41666666666666669</v>
      </c>
      <c r="D1126" s="1" t="s">
        <v>18</v>
      </c>
      <c r="E1126" s="1" t="s">
        <v>20</v>
      </c>
      <c r="F1126" s="1" t="s">
        <v>2894</v>
      </c>
      <c r="G1126" s="39" t="s">
        <v>322</v>
      </c>
      <c r="H1126" s="1">
        <v>2</v>
      </c>
      <c r="I1126" s="1">
        <v>0</v>
      </c>
      <c r="J1126" s="39" t="s">
        <v>320</v>
      </c>
      <c r="K1126" s="1">
        <v>0</v>
      </c>
      <c r="L1126" s="1">
        <v>2</v>
      </c>
      <c r="S1126" s="1" t="str">
        <f>IF(tblDados[[#This Row],[Mandante]]="","",TEXT(tblDados[[#This Row],[Data]],"aaaa-mm-dd")&amp;"|"&amp;TRIM(tblDados[[#This Row],[Mandante]])&amp;"|"&amp;TRIM(tblDados[[#This Row],[Visitante]]))</f>
        <v>2026-07-25|JäPS|Klubi 04</v>
      </c>
      <c r="T1126" s="1">
        <f>IF($G1126="",0,IF(COUNTIF($S$2:$S1126,$S1126)=1,1,0))</f>
        <v>1</v>
      </c>
      <c r="U1126" s="19" t="str" cm="1">
        <f t="array" ref="U11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6" s="19" t="str" cm="1">
        <f t="array" ref="V11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7" spans="1:22" x14ac:dyDescent="0.3">
      <c r="A1127" s="1" t="s">
        <v>2871</v>
      </c>
      <c r="B1127" s="102">
        <v>46224</v>
      </c>
      <c r="C1127" s="6">
        <v>0.54166666666666663</v>
      </c>
      <c r="D1127" s="1" t="s">
        <v>18</v>
      </c>
      <c r="E1127" s="1" t="s">
        <v>20</v>
      </c>
      <c r="F1127" s="1" t="s">
        <v>2872</v>
      </c>
      <c r="G1127" s="39" t="s">
        <v>2867</v>
      </c>
      <c r="H1127" s="1">
        <v>0</v>
      </c>
      <c r="I1127" s="1">
        <v>2</v>
      </c>
      <c r="J1127" s="39" t="s">
        <v>320</v>
      </c>
      <c r="K1127" s="1">
        <v>2</v>
      </c>
      <c r="L1127" s="1">
        <v>0</v>
      </c>
      <c r="S1127" s="1" t="str">
        <f>IF(tblDados[[#This Row],[Mandante]]="","",TEXT(tblDados[[#This Row],[Data]],"aaaa-mm-dd")&amp;"|"&amp;TRIM(tblDados[[#This Row],[Mandante]])&amp;"|"&amp;TRIM(tblDados[[#This Row],[Visitante]]))</f>
        <v>2026-07-21|KaPa|Klubi 04</v>
      </c>
      <c r="T1127" s="1">
        <f>IF($G1127="",0,IF(COUNTIF($S$2:$S1127,$S1127)=1,1,0))</f>
        <v>1</v>
      </c>
      <c r="U1127" s="19" t="str" cm="1">
        <f t="array" ref="U11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7" s="19" t="str" cm="1">
        <f t="array" ref="V11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8" spans="1:22" x14ac:dyDescent="0.3">
      <c r="A1128" s="1" t="s">
        <v>2873</v>
      </c>
      <c r="B1128" s="102">
        <v>46214</v>
      </c>
      <c r="C1128" s="6">
        <v>0.54166666666666663</v>
      </c>
      <c r="D1128" s="1" t="s">
        <v>18</v>
      </c>
      <c r="E1128" s="1" t="s">
        <v>20</v>
      </c>
      <c r="F1128" s="1" t="s">
        <v>2874</v>
      </c>
      <c r="G1128" s="39" t="s">
        <v>320</v>
      </c>
      <c r="H1128" s="1">
        <v>0</v>
      </c>
      <c r="I1128" s="1">
        <v>2</v>
      </c>
      <c r="J1128" s="39" t="s">
        <v>314</v>
      </c>
      <c r="K1128" s="1">
        <v>2</v>
      </c>
      <c r="L1128" s="1">
        <v>0</v>
      </c>
      <c r="S1128" s="1" t="str">
        <f>IF(tblDados[[#This Row],[Mandante]]="","",TEXT(tblDados[[#This Row],[Data]],"aaaa-mm-dd")&amp;"|"&amp;TRIM(tblDados[[#This Row],[Mandante]])&amp;"|"&amp;TRIM(tblDados[[#This Row],[Visitante]]))</f>
        <v>2026-07-11|Klubi 04|Jippo</v>
      </c>
      <c r="T1128" s="1">
        <f>IF($G1128="",0,IF(COUNTIF($S$2:$S1128,$S1128)=1,1,0))</f>
        <v>1</v>
      </c>
      <c r="U1128" s="19" t="str" cm="1">
        <f t="array" ref="U11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8" s="19" t="str" cm="1">
        <f t="array" ref="V11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9" spans="1:22" x14ac:dyDescent="0.3">
      <c r="A1129" s="1" t="s">
        <v>2875</v>
      </c>
      <c r="B1129" s="102">
        <v>46187</v>
      </c>
      <c r="C1129" s="6">
        <v>0.52083333333333337</v>
      </c>
      <c r="D1129" s="1" t="s">
        <v>18</v>
      </c>
      <c r="E1129" s="1" t="s">
        <v>20</v>
      </c>
      <c r="F1129" s="1" t="s">
        <v>2876</v>
      </c>
      <c r="G1129" s="39" t="s">
        <v>325</v>
      </c>
      <c r="H1129" s="1">
        <v>2</v>
      </c>
      <c r="I1129" s="1">
        <v>2</v>
      </c>
      <c r="J1129" s="39" t="s">
        <v>320</v>
      </c>
      <c r="K1129" s="1">
        <v>2</v>
      </c>
      <c r="L1129" s="1">
        <v>2</v>
      </c>
      <c r="S1129" s="1" t="str">
        <f>IF(tblDados[[#This Row],[Mandante]]="","",TEXT(tblDados[[#This Row],[Data]],"aaaa-mm-dd")&amp;"|"&amp;TRIM(tblDados[[#This Row],[Mandante]])&amp;"|"&amp;TRIM(tblDados[[#This Row],[Visitante]]))</f>
        <v>2026-06-14|Mikkeli|Klubi 04</v>
      </c>
      <c r="T1129" s="1">
        <f>IF($G1129="",0,IF(COUNTIF($S$2:$S1129,$S1129)=1,1,0))</f>
        <v>1</v>
      </c>
      <c r="U1129" s="19" t="str" cm="1">
        <f t="array" ref="U11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9" s="19" t="str" cm="1">
        <f t="array" ref="V11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0" spans="1:22" x14ac:dyDescent="0.3">
      <c r="A1130" s="1" t="s">
        <v>2877</v>
      </c>
      <c r="B1130" s="102">
        <v>46165</v>
      </c>
      <c r="C1130" s="6">
        <v>0.54166666666666663</v>
      </c>
      <c r="D1130" s="1" t="s">
        <v>18</v>
      </c>
      <c r="E1130" s="1" t="s">
        <v>20</v>
      </c>
      <c r="F1130" s="1" t="s">
        <v>2878</v>
      </c>
      <c r="G1130" s="39" t="s">
        <v>320</v>
      </c>
      <c r="H1130" s="1">
        <v>0</v>
      </c>
      <c r="I1130" s="1">
        <v>1</v>
      </c>
      <c r="J1130" s="39" t="s">
        <v>311</v>
      </c>
      <c r="K1130" s="1">
        <v>1</v>
      </c>
      <c r="L1130" s="1">
        <v>0</v>
      </c>
      <c r="S1130" s="1" t="str">
        <f>IF(tblDados[[#This Row],[Mandante]]="","",TEXT(tblDados[[#This Row],[Data]],"aaaa-mm-dd")&amp;"|"&amp;TRIM(tblDados[[#This Row],[Mandante]])&amp;"|"&amp;TRIM(tblDados[[#This Row],[Visitante]]))</f>
        <v>2026-05-23|Klubi 04|KTP</v>
      </c>
      <c r="T1130" s="1">
        <f>IF($G1130="",0,IF(COUNTIF($S$2:$S1130,$S1130)=1,1,0))</f>
        <v>1</v>
      </c>
      <c r="U1130" s="19" t="str" cm="1">
        <f t="array" ref="U11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0" s="19" t="str" cm="1">
        <f t="array" ref="V11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1" spans="1:22" ht="14.4" x14ac:dyDescent="0.3">
      <c r="A1131" s="1" t="s">
        <v>2879</v>
      </c>
      <c r="B1131" s="102">
        <v>46151</v>
      </c>
      <c r="C1131" s="6">
        <v>0.375</v>
      </c>
      <c r="D1131" s="1" t="s">
        <v>18</v>
      </c>
      <c r="E1131" s="1" t="s">
        <v>20</v>
      </c>
      <c r="F1131" s="1" t="s">
        <v>2880</v>
      </c>
      <c r="G1131" s="39" t="s">
        <v>314</v>
      </c>
      <c r="H1131" s="1">
        <v>1</v>
      </c>
      <c r="I1131" s="1">
        <v>1</v>
      </c>
      <c r="J1131" s="39" t="s">
        <v>320</v>
      </c>
      <c r="K1131" s="1">
        <v>1</v>
      </c>
      <c r="L1131" s="1">
        <v>1</v>
      </c>
      <c r="S1131" s="1" t="str">
        <f>IF(tblDados[[#This Row],[Mandante]]="","",TEXT(tblDados[[#This Row],[Data]],"aaaa-mm-dd")&amp;"|"&amp;TRIM(tblDados[[#This Row],[Mandante]])&amp;"|"&amp;TRIM(tblDados[[#This Row],[Visitante]]))</f>
        <v>2026-05-09|Jippo|Klubi 04</v>
      </c>
      <c r="T1131">
        <f>IF($G1131="",0,IF(COUNTIF($S$2:$S2834,$S1131)=1,1,0))</f>
        <v>1</v>
      </c>
      <c r="U1131" s="19" t="str" cm="1">
        <f t="array" ref="U11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1" s="19" t="str" cm="1">
        <f t="array" ref="V11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2" spans="1:22" ht="14.4" x14ac:dyDescent="0.3">
      <c r="A1132" s="1" t="s">
        <v>2881</v>
      </c>
      <c r="B1132" s="102">
        <v>46242</v>
      </c>
      <c r="C1132" s="6">
        <v>0.5</v>
      </c>
      <c r="D1132" s="1" t="s">
        <v>18</v>
      </c>
      <c r="E1132" s="1" t="s">
        <v>20</v>
      </c>
      <c r="F1132" s="1" t="s">
        <v>2882</v>
      </c>
      <c r="G1132" s="39" t="s">
        <v>206</v>
      </c>
      <c r="H1132" s="1">
        <v>0</v>
      </c>
      <c r="I1132" s="1">
        <v>3</v>
      </c>
      <c r="J1132" s="39" t="s">
        <v>342</v>
      </c>
      <c r="K1132" s="1">
        <v>3</v>
      </c>
      <c r="L1132" s="1">
        <v>0</v>
      </c>
      <c r="S1132" s="1" t="str">
        <f>IF(tblDados[[#This Row],[Mandante]]="","",TEXT(tblDados[[#This Row],[Data]],"aaaa-mm-dd")&amp;"|"&amp;TRIM(tblDados[[#This Row],[Mandante]])&amp;"|"&amp;TRIM(tblDados[[#This Row],[Visitante]]))</f>
        <v>2026-08-08|SJK Akatemia|PK-35</v>
      </c>
      <c r="T1132">
        <f>IF($G1132="",0,IF(COUNTIF($S$2:$S2834,$S1132)=1,1,0))</f>
        <v>1</v>
      </c>
      <c r="U1132" s="19" t="str" cm="1">
        <f t="array" ref="U11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2" s="19" t="str" cm="1">
        <f t="array" ref="V11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3" spans="1:22" ht="14.4" x14ac:dyDescent="0.3">
      <c r="A1133" s="1" t="s">
        <v>2883</v>
      </c>
      <c r="B1133" s="102">
        <v>46158</v>
      </c>
      <c r="C1133" s="6">
        <v>0.41666666666666669</v>
      </c>
      <c r="D1133" s="1" t="s">
        <v>18</v>
      </c>
      <c r="E1133" s="1" t="s">
        <v>20</v>
      </c>
      <c r="F1133" s="1" t="s">
        <v>2884</v>
      </c>
      <c r="G1133" s="39" t="s">
        <v>322</v>
      </c>
      <c r="H1133" s="1">
        <v>0</v>
      </c>
      <c r="I1133" s="1">
        <v>1</v>
      </c>
      <c r="J1133" s="39" t="s">
        <v>311</v>
      </c>
      <c r="K1133" s="1">
        <v>1</v>
      </c>
      <c r="L1133" s="1">
        <v>0</v>
      </c>
      <c r="S1133" s="1" t="str">
        <f>IF(tblDados[[#This Row],[Mandante]]="","",TEXT(tblDados[[#This Row],[Data]],"aaaa-mm-dd")&amp;"|"&amp;TRIM(tblDados[[#This Row],[Mandante]])&amp;"|"&amp;TRIM(tblDados[[#This Row],[Visitante]]))</f>
        <v>2026-05-16|JäPS|KTP</v>
      </c>
      <c r="T1133">
        <f>IF($G1133="",0,IF(COUNTIF($S$2:$S2834,$S1133)=1,1,0))</f>
        <v>1</v>
      </c>
      <c r="U1133" s="19" t="str" cm="1">
        <f t="array" ref="U11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3" s="19" t="str" cm="1">
        <f t="array" ref="V11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4" spans="1:22" ht="14.4" x14ac:dyDescent="0.3">
      <c r="A1134" s="1" t="s">
        <v>2885</v>
      </c>
      <c r="B1134" s="102">
        <v>46241</v>
      </c>
      <c r="C1134" s="6">
        <v>0.5</v>
      </c>
      <c r="D1134" s="1" t="s">
        <v>18</v>
      </c>
      <c r="E1134" s="1" t="s">
        <v>20</v>
      </c>
      <c r="F1134" s="1" t="s">
        <v>2886</v>
      </c>
      <c r="G1134" s="39" t="s">
        <v>317</v>
      </c>
      <c r="H1134" s="1">
        <v>3</v>
      </c>
      <c r="I1134" s="1">
        <v>0</v>
      </c>
      <c r="J1134" s="39" t="s">
        <v>314</v>
      </c>
      <c r="K1134" s="1">
        <v>0</v>
      </c>
      <c r="L1134" s="1">
        <v>3</v>
      </c>
      <c r="S1134" s="1" t="str">
        <f>IF(tblDados[[#This Row],[Mandante]]="","",TEXT(tblDados[[#This Row],[Data]],"aaaa-mm-dd")&amp;"|"&amp;TRIM(tblDados[[#This Row],[Mandante]])&amp;"|"&amp;TRIM(tblDados[[#This Row],[Visitante]]))</f>
        <v>2026-08-07|Haka|Jippo</v>
      </c>
      <c r="T1134">
        <f>IF($G1134="",0,IF(COUNTIF($S$2:$S2834,$S1134)=1,1,0))</f>
        <v>1</v>
      </c>
      <c r="U1134" s="19" t="str" cm="1">
        <f t="array" ref="U11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4" s="19" t="str" cm="1">
        <f t="array" ref="V11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5" spans="1:22" x14ac:dyDescent="0.3">
      <c r="A1135" s="1" t="s">
        <v>2887</v>
      </c>
      <c r="B1135" s="102">
        <v>46233</v>
      </c>
      <c r="C1135" s="6">
        <v>0.52083333333333337</v>
      </c>
      <c r="D1135" s="1" t="s">
        <v>18</v>
      </c>
      <c r="E1135" s="1" t="s">
        <v>20</v>
      </c>
      <c r="F1135" s="1" t="s">
        <v>2895</v>
      </c>
      <c r="G1135" s="39" t="s">
        <v>314</v>
      </c>
      <c r="H1135" s="1">
        <v>1</v>
      </c>
      <c r="I1135" s="1">
        <v>0</v>
      </c>
      <c r="J1135" s="39" t="s">
        <v>322</v>
      </c>
      <c r="K1135" s="1">
        <v>0</v>
      </c>
      <c r="L1135" s="1">
        <v>1</v>
      </c>
      <c r="S1135" s="1" t="str">
        <f>IF(tblDados[[#This Row],[Mandante]]="","",TEXT(tblDados[[#This Row],[Data]],"aaaa-mm-dd")&amp;"|"&amp;TRIM(tblDados[[#This Row],[Mandante]])&amp;"|"&amp;TRIM(tblDados[[#This Row],[Visitante]]))</f>
        <v>2026-07-30|Jippo|JäPS</v>
      </c>
      <c r="T1135" s="1">
        <f>IF($G1135="",0,IF(COUNTIF($S$2:$S1135,$S1135)=1,1,0))</f>
        <v>1</v>
      </c>
      <c r="U1135" s="19" t="str" cm="1">
        <f t="array" ref="U11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5" s="19" t="str" cm="1">
        <f t="array" ref="V11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6" spans="1:22" x14ac:dyDescent="0.3">
      <c r="A1136" s="1" t="s">
        <v>2888</v>
      </c>
      <c r="B1136" s="102">
        <v>46218</v>
      </c>
      <c r="C1136" s="6">
        <v>0.52083333333333337</v>
      </c>
      <c r="D1136" s="1" t="s">
        <v>18</v>
      </c>
      <c r="E1136" s="1" t="s">
        <v>20</v>
      </c>
      <c r="F1136" s="1" t="s">
        <v>2889</v>
      </c>
      <c r="G1136" s="39" t="s">
        <v>314</v>
      </c>
      <c r="H1136" s="1">
        <v>3</v>
      </c>
      <c r="I1136" s="1">
        <v>1</v>
      </c>
      <c r="J1136" s="39" t="s">
        <v>325</v>
      </c>
      <c r="K1136" s="1">
        <v>1</v>
      </c>
      <c r="L1136" s="1">
        <v>3</v>
      </c>
      <c r="S1136" s="1" t="str">
        <f>IF(tblDados[[#This Row],[Mandante]]="","",TEXT(tblDados[[#This Row],[Data]],"aaaa-mm-dd")&amp;"|"&amp;TRIM(tblDados[[#This Row],[Mandante]])&amp;"|"&amp;TRIM(tblDados[[#This Row],[Visitante]]))</f>
        <v>2026-07-15|Jippo|Mikkeli</v>
      </c>
      <c r="T1136" s="1">
        <f>IF($G1136="",0,IF(COUNTIF($S$2:$S1136,$S1136)=1,1,0))</f>
        <v>1</v>
      </c>
      <c r="U1136" s="19" t="str" cm="1">
        <f t="array" ref="U11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6" s="19" t="str" cm="1">
        <f t="array" ref="V11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7" spans="1:22" x14ac:dyDescent="0.3">
      <c r="A1137" s="1" t="s">
        <v>2890</v>
      </c>
      <c r="B1137" s="102">
        <v>46200</v>
      </c>
      <c r="C1137" s="6">
        <v>0.41666666666666669</v>
      </c>
      <c r="D1137" s="1" t="s">
        <v>18</v>
      </c>
      <c r="E1137" s="1" t="s">
        <v>20</v>
      </c>
      <c r="F1137" s="1" t="s">
        <v>2891</v>
      </c>
      <c r="G1137" s="39" t="s">
        <v>314</v>
      </c>
      <c r="H1137" s="1">
        <v>1</v>
      </c>
      <c r="I1137" s="1">
        <v>1</v>
      </c>
      <c r="J1137" s="39" t="s">
        <v>2866</v>
      </c>
      <c r="K1137" s="1">
        <v>1</v>
      </c>
      <c r="L1137" s="1">
        <v>1</v>
      </c>
      <c r="S1137" s="1" t="str">
        <f>IF(tblDados[[#This Row],[Mandante]]="","",TEXT(tblDados[[#This Row],[Data]],"aaaa-mm-dd")&amp;"|"&amp;TRIM(tblDados[[#This Row],[Mandante]])&amp;"|"&amp;TRIM(tblDados[[#This Row],[Visitante]]))</f>
        <v>2026-06-27|Jippo|Ekenas</v>
      </c>
      <c r="T1137" s="1">
        <f>IF($G1137="",0,IF(COUNTIF($S$2:$S1137,$S1137)=1,1,0))</f>
        <v>1</v>
      </c>
      <c r="U1137" s="19" t="str" cm="1">
        <f t="array" ref="U11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7" s="19" t="str" cm="1">
        <f t="array" ref="V11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8" spans="1:22" ht="14.4" x14ac:dyDescent="0.3">
      <c r="A1138" s="1" t="s">
        <v>2892</v>
      </c>
      <c r="B1138" s="102">
        <v>46186</v>
      </c>
      <c r="C1138" s="6">
        <v>0.41666666666666669</v>
      </c>
      <c r="D1138" s="1" t="s">
        <v>18</v>
      </c>
      <c r="E1138" s="1" t="s">
        <v>20</v>
      </c>
      <c r="F1138" s="1" t="s">
        <v>2893</v>
      </c>
      <c r="G1138" s="39" t="s">
        <v>314</v>
      </c>
      <c r="H1138" s="1">
        <v>3</v>
      </c>
      <c r="I1138" s="1">
        <v>0</v>
      </c>
      <c r="J1138" s="39" t="s">
        <v>2867</v>
      </c>
      <c r="K1138" s="1">
        <v>0</v>
      </c>
      <c r="L1138" s="1">
        <v>3</v>
      </c>
      <c r="S1138" s="1" t="str">
        <f>IF(tblDados[[#This Row],[Mandante]]="","",TEXT(tblDados[[#This Row],[Data]],"aaaa-mm-dd")&amp;"|"&amp;TRIM(tblDados[[#This Row],[Mandante]])&amp;"|"&amp;TRIM(tblDados[[#This Row],[Visitante]]))</f>
        <v>2026-06-13|Jippo|KaPa</v>
      </c>
      <c r="T1138">
        <f>IF($G1138="",0,IF(COUNTIF($S$2:$S2834,$S1138)=1,1,0))</f>
        <v>1</v>
      </c>
      <c r="U1138" s="19" t="str" cm="1">
        <f t="array" ref="U11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8" s="19" t="str" cm="1">
        <f t="array" ref="V11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9" spans="1:22" x14ac:dyDescent="0.3">
      <c r="A1139" s="1" t="s">
        <v>2896</v>
      </c>
      <c r="B1139" s="102">
        <v>46241</v>
      </c>
      <c r="C1139" s="6">
        <v>0.52083333333333337</v>
      </c>
      <c r="D1139" s="1" t="s">
        <v>18</v>
      </c>
      <c r="E1139" s="1" t="s">
        <v>20</v>
      </c>
      <c r="F1139" s="1" t="s">
        <v>2897</v>
      </c>
      <c r="G1139" s="39" t="s">
        <v>322</v>
      </c>
      <c r="H1139" s="1">
        <v>1</v>
      </c>
      <c r="I1139" s="1">
        <v>0</v>
      </c>
      <c r="J1139" s="39" t="s">
        <v>325</v>
      </c>
      <c r="K1139" s="1">
        <v>0</v>
      </c>
      <c r="L1139" s="1">
        <v>1</v>
      </c>
      <c r="S1139" s="1" t="str">
        <f>IF(tblDados[[#This Row],[Mandante]]="","",TEXT(tblDados[[#This Row],[Data]],"aaaa-mm-dd")&amp;"|"&amp;TRIM(tblDados[[#This Row],[Mandante]])&amp;"|"&amp;TRIM(tblDados[[#This Row],[Visitante]]))</f>
        <v>2026-08-07|JäPS|Mikkeli</v>
      </c>
      <c r="T1139" s="1">
        <f>IF($G1139="",0,IF(COUNTIF($S$2:$S1139,$S1139)=1,1,0))</f>
        <v>1</v>
      </c>
      <c r="U1139" s="19" t="str" cm="1">
        <f t="array" ref="U11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9" s="19" t="str" cm="1">
        <f t="array" ref="V11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0" spans="1:22" x14ac:dyDescent="0.3">
      <c r="A1140" s="1" t="s">
        <v>2898</v>
      </c>
      <c r="B1140" s="102">
        <v>46221</v>
      </c>
      <c r="C1140" s="6">
        <v>0.41666666666666669</v>
      </c>
      <c r="D1140" s="1" t="s">
        <v>18</v>
      </c>
      <c r="E1140" s="1" t="s">
        <v>20</v>
      </c>
      <c r="F1140" s="1" t="s">
        <v>2899</v>
      </c>
      <c r="G1140" s="39" t="s">
        <v>2866</v>
      </c>
      <c r="H1140" s="1">
        <v>0</v>
      </c>
      <c r="I1140" s="1">
        <v>1</v>
      </c>
      <c r="J1140" s="39" t="s">
        <v>322</v>
      </c>
      <c r="K1140" s="1">
        <v>1</v>
      </c>
      <c r="L1140" s="1">
        <v>0</v>
      </c>
      <c r="S1140" s="1" t="str">
        <f>IF(tblDados[[#This Row],[Mandante]]="","",TEXT(tblDados[[#This Row],[Data]],"aaaa-mm-dd")&amp;"|"&amp;TRIM(tblDados[[#This Row],[Mandante]])&amp;"|"&amp;TRIM(tblDados[[#This Row],[Visitante]]))</f>
        <v>2026-07-18|Ekenas|JäPS</v>
      </c>
      <c r="T1140" s="1">
        <f>IF($G1140="",0,IF(COUNTIF($S$2:$S1140,$S1140)=1,1,0))</f>
        <v>1</v>
      </c>
      <c r="U1140" s="19" t="str" cm="1">
        <f t="array" ref="U11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0" s="19" t="str" cm="1">
        <f t="array" ref="V11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1" spans="1:22" x14ac:dyDescent="0.3">
      <c r="A1141" s="1" t="s">
        <v>2900</v>
      </c>
      <c r="B1141" s="102">
        <v>46201</v>
      </c>
      <c r="C1141" s="6">
        <v>0.41666666666666669</v>
      </c>
      <c r="D1141" s="1" t="s">
        <v>18</v>
      </c>
      <c r="E1141" s="1" t="s">
        <v>20</v>
      </c>
      <c r="F1141" s="1" t="s">
        <v>2901</v>
      </c>
      <c r="G1141" s="39" t="s">
        <v>2867</v>
      </c>
      <c r="H1141" s="1">
        <v>3</v>
      </c>
      <c r="I1141" s="1">
        <v>1</v>
      </c>
      <c r="J1141" s="39" t="s">
        <v>322</v>
      </c>
      <c r="K1141" s="1">
        <v>1</v>
      </c>
      <c r="L1141" s="1">
        <v>3</v>
      </c>
      <c r="S1141" s="1" t="str">
        <f>IF(tblDados[[#This Row],[Mandante]]="","",TEXT(tblDados[[#This Row],[Data]],"aaaa-mm-dd")&amp;"|"&amp;TRIM(tblDados[[#This Row],[Mandante]])&amp;"|"&amp;TRIM(tblDados[[#This Row],[Visitante]]))</f>
        <v>2026-06-28|KaPa|JäPS</v>
      </c>
      <c r="T1141" s="1">
        <f>IF($G1141="",0,IF(COUNTIF($S$2:$S1141,$S1141)=1,1,0))</f>
        <v>1</v>
      </c>
      <c r="U1141" s="19" t="str" cm="1">
        <f t="array" ref="U11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1" s="19" t="str" cm="1">
        <f t="array" ref="V11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2" spans="1:22" x14ac:dyDescent="0.3">
      <c r="A1142" s="1" t="s">
        <v>2902</v>
      </c>
      <c r="B1142" s="102">
        <v>46171</v>
      </c>
      <c r="C1142" s="6">
        <v>0.54166666666666663</v>
      </c>
      <c r="D1142" s="1" t="s">
        <v>18</v>
      </c>
      <c r="E1142" s="1" t="s">
        <v>20</v>
      </c>
      <c r="F1142" s="1" t="s">
        <v>2903</v>
      </c>
      <c r="G1142" s="39" t="s">
        <v>2867</v>
      </c>
      <c r="H1142" s="1">
        <v>2</v>
      </c>
      <c r="I1142" s="1">
        <v>1</v>
      </c>
      <c r="J1142" s="39" t="s">
        <v>322</v>
      </c>
      <c r="K1142" s="1">
        <v>1</v>
      </c>
      <c r="L1142" s="1">
        <v>2</v>
      </c>
      <c r="S1142" s="1" t="str">
        <f>IF(tblDados[[#This Row],[Mandante]]="","",TEXT(tblDados[[#This Row],[Data]],"aaaa-mm-dd")&amp;"|"&amp;TRIM(tblDados[[#This Row],[Mandante]])&amp;"|"&amp;TRIM(tblDados[[#This Row],[Visitante]]))</f>
        <v>2026-05-29|KaPa|JäPS</v>
      </c>
      <c r="T1142" s="1">
        <f>IF($G1142="",0,IF(COUNTIF($S$2:$S1142,$S1142)=1,1,0))</f>
        <v>1</v>
      </c>
      <c r="U1142" s="19" t="str" cm="1">
        <f t="array" ref="U11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2" s="19" t="str" cm="1">
        <f t="array" ref="V11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3" spans="1:22" ht="14.4" x14ac:dyDescent="0.3">
      <c r="A1143" s="1" t="s">
        <v>2904</v>
      </c>
      <c r="B1143" s="102">
        <v>46164</v>
      </c>
      <c r="C1143" s="6">
        <v>0.52083333333333337</v>
      </c>
      <c r="D1143" s="1" t="s">
        <v>18</v>
      </c>
      <c r="E1143" s="1" t="s">
        <v>20</v>
      </c>
      <c r="F1143" s="1" t="s">
        <v>2905</v>
      </c>
      <c r="G1143" s="39" t="s">
        <v>322</v>
      </c>
      <c r="H1143" s="1">
        <v>0</v>
      </c>
      <c r="I1143" s="1">
        <v>2</v>
      </c>
      <c r="J1143" s="39" t="s">
        <v>325</v>
      </c>
      <c r="K1143" s="1">
        <v>2</v>
      </c>
      <c r="L1143" s="1">
        <v>0</v>
      </c>
      <c r="S1143" s="1" t="str">
        <f>IF(tblDados[[#This Row],[Mandante]]="","",TEXT(tblDados[[#This Row],[Data]],"aaaa-mm-dd")&amp;"|"&amp;TRIM(tblDados[[#This Row],[Mandante]])&amp;"|"&amp;TRIM(tblDados[[#This Row],[Visitante]]))</f>
        <v>2026-05-22|JäPS|Mikkeli</v>
      </c>
      <c r="T1143">
        <f>IF($G1143="",0,IF(COUNTIF($S$2:$S2834,$S1143)=1,1,0))</f>
        <v>1</v>
      </c>
      <c r="U1143" s="19" t="str" cm="1">
        <f t="array" ref="U11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3" s="19" t="str" cm="1">
        <f t="array" ref="V11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4" spans="1:22" x14ac:dyDescent="0.3">
      <c r="A1144" s="1" t="s">
        <v>2911</v>
      </c>
      <c r="B1144" s="102">
        <v>46242</v>
      </c>
      <c r="C1144" s="6">
        <v>0.5</v>
      </c>
      <c r="D1144" s="1" t="s">
        <v>18</v>
      </c>
      <c r="E1144" s="1" t="s">
        <v>20</v>
      </c>
      <c r="F1144" s="1" t="s">
        <v>2912</v>
      </c>
      <c r="G1144" s="39" t="s">
        <v>2867</v>
      </c>
      <c r="H1144" s="1">
        <v>0</v>
      </c>
      <c r="I1144" s="1">
        <v>1</v>
      </c>
      <c r="J1144" s="39" t="s">
        <v>2866</v>
      </c>
      <c r="K1144" s="1">
        <v>1</v>
      </c>
      <c r="L1144" s="1">
        <v>0</v>
      </c>
      <c r="S1144" s="1" t="str">
        <f>IF(tblDados[[#This Row],[Mandante]]="","",TEXT(tblDados[[#This Row],[Data]],"aaaa-mm-dd")&amp;"|"&amp;TRIM(tblDados[[#This Row],[Mandante]])&amp;"|"&amp;TRIM(tblDados[[#This Row],[Visitante]]))</f>
        <v>2026-08-08|KaPa|Ekenas</v>
      </c>
      <c r="T1144" s="1">
        <f>IF($G1144="",0,IF(COUNTIF($S$2:$S1144,$S1144)=1,1,0))</f>
        <v>1</v>
      </c>
      <c r="U1144" s="19" t="str" cm="1">
        <f t="array" ref="U11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4" s="19" t="str" cm="1">
        <f t="array" ref="V11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5" spans="1:22" x14ac:dyDescent="0.3">
      <c r="A1145" s="1" t="s">
        <v>2913</v>
      </c>
      <c r="B1145" s="102">
        <v>46179</v>
      </c>
      <c r="C1145" s="6">
        <v>0.41666666666666669</v>
      </c>
      <c r="D1145" s="1" t="s">
        <v>18</v>
      </c>
      <c r="E1145" s="1" t="s">
        <v>20</v>
      </c>
      <c r="F1145" s="1" t="s">
        <v>2914</v>
      </c>
      <c r="G1145" s="39" t="s">
        <v>2866</v>
      </c>
      <c r="H1145" s="1">
        <v>1</v>
      </c>
      <c r="I1145" s="1">
        <v>0</v>
      </c>
      <c r="J1145" s="39" t="s">
        <v>325</v>
      </c>
      <c r="K1145" s="1">
        <v>0</v>
      </c>
      <c r="L1145" s="1">
        <v>1</v>
      </c>
      <c r="S1145" s="1" t="str">
        <f>IF(tblDados[[#This Row],[Mandante]]="","",TEXT(tblDados[[#This Row],[Data]],"aaaa-mm-dd")&amp;"|"&amp;TRIM(tblDados[[#This Row],[Mandante]])&amp;"|"&amp;TRIM(tblDados[[#This Row],[Visitante]]))</f>
        <v>2026-06-06|Ekenas|Mikkeli</v>
      </c>
      <c r="T1145" s="1">
        <f>IF($G1145="",0,IF(COUNTIF($S$2:$S1145,$S1145)=1,1,0))</f>
        <v>1</v>
      </c>
      <c r="U1145" s="19" t="str" cm="1">
        <f t="array" ref="U11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5" s="19" t="str" cm="1">
        <f t="array" ref="V11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6" spans="1:22" x14ac:dyDescent="0.3">
      <c r="A1146" s="1" t="s">
        <v>2915</v>
      </c>
      <c r="B1146" s="102">
        <v>46173</v>
      </c>
      <c r="C1146" s="6">
        <v>0.52083333333333337</v>
      </c>
      <c r="D1146" s="1" t="s">
        <v>18</v>
      </c>
      <c r="E1146" s="1" t="s">
        <v>20</v>
      </c>
      <c r="F1146" s="1" t="s">
        <v>2916</v>
      </c>
      <c r="G1146" s="39" t="s">
        <v>325</v>
      </c>
      <c r="H1146" s="1">
        <v>1</v>
      </c>
      <c r="I1146" s="1">
        <v>0</v>
      </c>
      <c r="J1146" s="39" t="s">
        <v>2866</v>
      </c>
      <c r="K1146" s="1">
        <v>0</v>
      </c>
      <c r="L1146" s="1">
        <v>1</v>
      </c>
      <c r="S1146" s="1" t="str">
        <f>IF(tblDados[[#This Row],[Mandante]]="","",TEXT(tblDados[[#This Row],[Data]],"aaaa-mm-dd")&amp;"|"&amp;TRIM(tblDados[[#This Row],[Mandante]])&amp;"|"&amp;TRIM(tblDados[[#This Row],[Visitante]]))</f>
        <v>2026-05-31|Mikkeli|Ekenas</v>
      </c>
      <c r="T1146" s="1">
        <f>IF($G1146="",0,IF(COUNTIF($S$2:$S1146,$S1146)=1,1,0))</f>
        <v>1</v>
      </c>
      <c r="U1146" s="19" t="str" cm="1">
        <f t="array" ref="U11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6" s="19" t="str" cm="1">
        <f t="array" ref="V11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7" spans="1:22" ht="14.4" x14ac:dyDescent="0.3">
      <c r="A1147" s="1" t="s">
        <v>2917</v>
      </c>
      <c r="B1147" s="102">
        <v>46165</v>
      </c>
      <c r="C1147" s="6">
        <v>0.45833333333333331</v>
      </c>
      <c r="D1147" s="1" t="s">
        <v>18</v>
      </c>
      <c r="E1147" s="1" t="s">
        <v>20</v>
      </c>
      <c r="F1147" s="1" t="s">
        <v>2918</v>
      </c>
      <c r="G1147" s="39" t="s">
        <v>2866</v>
      </c>
      <c r="H1147" s="1">
        <v>1</v>
      </c>
      <c r="I1147" s="1">
        <v>0</v>
      </c>
      <c r="J1147" s="39" t="s">
        <v>2867</v>
      </c>
      <c r="K1147" s="1">
        <v>0</v>
      </c>
      <c r="L1147" s="1">
        <v>1</v>
      </c>
      <c r="S1147" s="1" t="str">
        <f>IF(tblDados[[#This Row],[Mandante]]="","",TEXT(tblDados[[#This Row],[Data]],"aaaa-mm-dd")&amp;"|"&amp;TRIM(tblDados[[#This Row],[Mandante]])&amp;"|"&amp;TRIM(tblDados[[#This Row],[Visitante]]))</f>
        <v>2026-05-23|Ekenas|KaPa</v>
      </c>
      <c r="T1147">
        <f>IF($G1147="",0,IF(COUNTIF($S$2:$S2834,$S1147)=1,1,0))</f>
        <v>1</v>
      </c>
      <c r="U1147" s="19" t="str" cm="1">
        <f t="array" ref="U11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7" s="19" t="str" cm="1">
        <f t="array" ref="V11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8" spans="1:22" ht="14.4" x14ac:dyDescent="0.3">
      <c r="A1148" s="1" t="s">
        <v>2919</v>
      </c>
      <c r="B1148" s="102">
        <v>46232</v>
      </c>
      <c r="C1148" s="6">
        <v>0.52083333333333337</v>
      </c>
      <c r="D1148" s="1" t="s">
        <v>18</v>
      </c>
      <c r="E1148" s="1" t="s">
        <v>20</v>
      </c>
      <c r="F1148" s="1" t="s">
        <v>2920</v>
      </c>
      <c r="G1148" s="39" t="s">
        <v>325</v>
      </c>
      <c r="H1148" s="1">
        <v>2</v>
      </c>
      <c r="I1148" s="1">
        <v>1</v>
      </c>
      <c r="J1148" s="39" t="s">
        <v>2867</v>
      </c>
      <c r="K1148" s="1">
        <v>1</v>
      </c>
      <c r="L1148" s="1">
        <v>2</v>
      </c>
      <c r="S1148" s="1" t="str">
        <f>IF(tblDados[[#This Row],[Mandante]]="","",TEXT(tblDados[[#This Row],[Data]],"aaaa-mm-dd")&amp;"|"&amp;TRIM(tblDados[[#This Row],[Mandante]])&amp;"|"&amp;TRIM(tblDados[[#This Row],[Visitante]]))</f>
        <v>2026-07-29|Mikkeli|KaPa</v>
      </c>
      <c r="T1148">
        <f>IF($G1148="",0,IF(COUNTIF($S$2:$S2834,$S1148)=1,1,0))</f>
        <v>1</v>
      </c>
      <c r="U1148" s="19" t="str" cm="1">
        <f t="array" ref="U11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8" s="19" t="str" cm="1">
        <f t="array" ref="V11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9" spans="1:22" ht="14.4" x14ac:dyDescent="0.3">
      <c r="A1149" s="1" t="s">
        <v>2926</v>
      </c>
      <c r="B1149" s="102">
        <v>46159</v>
      </c>
      <c r="C1149" s="6">
        <v>0.41666666666666669</v>
      </c>
      <c r="D1149" s="1" t="s">
        <v>18</v>
      </c>
      <c r="E1149" s="1" t="s">
        <v>20</v>
      </c>
      <c r="F1149" s="1" t="s">
        <v>2927</v>
      </c>
      <c r="G1149" s="39" t="s">
        <v>2866</v>
      </c>
      <c r="H1149" s="1">
        <v>3</v>
      </c>
      <c r="I1149" s="1">
        <v>0</v>
      </c>
      <c r="J1149" s="39" t="s">
        <v>206</v>
      </c>
      <c r="K1149" s="1">
        <v>0</v>
      </c>
      <c r="L1149" s="1">
        <v>3</v>
      </c>
      <c r="S1149" s="1" t="str">
        <f>IF(tblDados[[#This Row],[Mandante]]="","",TEXT(tblDados[[#This Row],[Data]],"aaaa-mm-dd")&amp;"|"&amp;TRIM(tblDados[[#This Row],[Mandante]])&amp;"|"&amp;TRIM(tblDados[[#This Row],[Visitante]]))</f>
        <v>2026-05-17|Ekenas|SJK Akatemia</v>
      </c>
      <c r="T1149">
        <f>IF($G1149="",0,IF(COUNTIF($S$2:$S2834,$S1149)=1,1,0))</f>
        <v>1</v>
      </c>
      <c r="U1149" s="19" t="str" cm="1">
        <f t="array" ref="U11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9" s="19" t="str" cm="1">
        <f t="array" ref="V11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0" spans="1:22" x14ac:dyDescent="0.3">
      <c r="A1150" s="1" t="s">
        <v>2928</v>
      </c>
      <c r="B1150" s="102">
        <v>46239</v>
      </c>
      <c r="C1150" s="6">
        <v>0.52083333333333337</v>
      </c>
      <c r="D1150" s="1" t="s">
        <v>18</v>
      </c>
      <c r="E1150" s="1" t="s">
        <v>21</v>
      </c>
      <c r="F1150" s="1" t="s">
        <v>2929</v>
      </c>
      <c r="G1150" s="39" t="s">
        <v>752</v>
      </c>
      <c r="H1150" s="1">
        <v>6</v>
      </c>
      <c r="I1150" s="1">
        <v>0</v>
      </c>
      <c r="J1150" s="39" t="s">
        <v>763</v>
      </c>
      <c r="K1150" s="1">
        <v>0</v>
      </c>
      <c r="L1150" s="1">
        <v>6</v>
      </c>
      <c r="S1150" s="1" t="str">
        <f>IF(tblDados[[#This Row],[Mandante]]="","",TEXT(tblDados[[#This Row],[Data]],"aaaa-mm-dd")&amp;"|"&amp;TRIM(tblDados[[#This Row],[Mandante]])&amp;"|"&amp;TRIM(tblDados[[#This Row],[Visitante]]))</f>
        <v>2026-08-05|Tampere Utd|KPV</v>
      </c>
      <c r="T1150" s="1">
        <f>IF($G1150="",0,IF(COUNTIF($S$2:$S1150,$S1150)=1,1,0))</f>
        <v>1</v>
      </c>
      <c r="U1150" s="19" t="str" cm="1">
        <f t="array" ref="U11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0" s="19" t="str" cm="1">
        <f t="array" ref="V11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1" spans="1:22" x14ac:dyDescent="0.3">
      <c r="A1151" s="1" t="s">
        <v>2930</v>
      </c>
      <c r="B1151" s="102">
        <v>46235</v>
      </c>
      <c r="C1151" s="6">
        <v>0.45833333333333331</v>
      </c>
      <c r="D1151" s="1" t="s">
        <v>18</v>
      </c>
      <c r="E1151" s="1" t="s">
        <v>21</v>
      </c>
      <c r="F1151" s="1" t="s">
        <v>2931</v>
      </c>
      <c r="G1151" s="39" t="s">
        <v>763</v>
      </c>
      <c r="H1151" s="1">
        <v>3</v>
      </c>
      <c r="I1151" s="1">
        <v>0</v>
      </c>
      <c r="J1151" s="39" t="s">
        <v>748</v>
      </c>
      <c r="K1151" s="1">
        <v>0</v>
      </c>
      <c r="L1151" s="1">
        <v>3</v>
      </c>
      <c r="S1151" s="1" t="str">
        <f>IF(tblDados[[#This Row],[Mandante]]="","",TEXT(tblDados[[#This Row],[Data]],"aaaa-mm-dd")&amp;"|"&amp;TRIM(tblDados[[#This Row],[Mandante]])&amp;"|"&amp;TRIM(tblDados[[#This Row],[Visitante]]))</f>
        <v>2026-08-01|KPV|SalPa</v>
      </c>
      <c r="T1151" s="1">
        <f>IF($G1151="",0,IF(COUNTIF($S$2:$S1151,$S1151)=1,1,0))</f>
        <v>1</v>
      </c>
      <c r="U1151" s="19" t="str" cm="1">
        <f t="array" ref="U11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1" s="19" t="str" cm="1">
        <f t="array" ref="V11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2" spans="1:22" x14ac:dyDescent="0.3">
      <c r="A1152" s="1" t="s">
        <v>2932</v>
      </c>
      <c r="B1152" s="102">
        <v>46223</v>
      </c>
      <c r="C1152" s="6">
        <v>0.52083333333333337</v>
      </c>
      <c r="D1152" s="1" t="s">
        <v>18</v>
      </c>
      <c r="E1152" s="1" t="s">
        <v>21</v>
      </c>
      <c r="F1152" s="1" t="s">
        <v>2978</v>
      </c>
      <c r="G1152" s="39" t="s">
        <v>763</v>
      </c>
      <c r="H1152" s="1">
        <v>1</v>
      </c>
      <c r="I1152" s="1">
        <v>1</v>
      </c>
      <c r="J1152" s="39" t="s">
        <v>2971</v>
      </c>
      <c r="K1152" s="1">
        <v>1</v>
      </c>
      <c r="L1152" s="1">
        <v>1</v>
      </c>
      <c r="S1152" s="1" t="str">
        <f>IF(tblDados[[#This Row],[Mandante]]="","",TEXT(tblDados[[#This Row],[Data]],"aaaa-mm-dd")&amp;"|"&amp;TRIM(tblDados[[#This Row],[Mandante]])&amp;"|"&amp;TRIM(tblDados[[#This Row],[Visitante]]))</f>
        <v>2026-07-20|KPV|RoPS (Rovaniemi)</v>
      </c>
      <c r="T1152" s="1">
        <f>IF($G1152="",0,IF(COUNTIF($S$2:$S1152,$S1152)=1,1,0))</f>
        <v>1</v>
      </c>
      <c r="U1152" s="19" t="str" cm="1">
        <f t="array" ref="U11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2" s="19" t="str" cm="1">
        <f t="array" ref="V11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3" spans="1:22" x14ac:dyDescent="0.3">
      <c r="A1153" s="1" t="s">
        <v>2933</v>
      </c>
      <c r="B1153" s="102">
        <v>46214</v>
      </c>
      <c r="C1153" s="6">
        <v>0.45833333333333331</v>
      </c>
      <c r="D1153" s="1" t="s">
        <v>18</v>
      </c>
      <c r="E1153" s="1" t="s">
        <v>21</v>
      </c>
      <c r="F1153" s="1" t="s">
        <v>2934</v>
      </c>
      <c r="G1153" s="39" t="s">
        <v>763</v>
      </c>
      <c r="H1153" s="1">
        <v>1</v>
      </c>
      <c r="I1153" s="1">
        <v>3</v>
      </c>
      <c r="J1153" s="39" t="s">
        <v>766</v>
      </c>
      <c r="K1153" s="1">
        <v>3</v>
      </c>
      <c r="L1153" s="1">
        <v>1</v>
      </c>
      <c r="S1153" s="1" t="str">
        <f>IF(tblDados[[#This Row],[Mandante]]="","",TEXT(tblDados[[#This Row],[Data]],"aaaa-mm-dd")&amp;"|"&amp;TRIM(tblDados[[#This Row],[Mandante]])&amp;"|"&amp;TRIM(tblDados[[#This Row],[Visitante]]))</f>
        <v>2026-07-11|KPV|TPV</v>
      </c>
      <c r="T1153" s="1">
        <f>IF($G1153="",0,IF(COUNTIF($S$2:$S1153,$S1153)=1,1,0))</f>
        <v>1</v>
      </c>
      <c r="U1153" s="19" t="str" cm="1">
        <f t="array" ref="U11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3" s="19" t="str" cm="1">
        <f t="array" ref="V11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4" spans="1:22" x14ac:dyDescent="0.3">
      <c r="A1154" s="1" t="s">
        <v>2935</v>
      </c>
      <c r="B1154" s="102">
        <v>46205</v>
      </c>
      <c r="C1154" s="6">
        <v>0.54166666666666663</v>
      </c>
      <c r="D1154" s="1" t="s">
        <v>18</v>
      </c>
      <c r="E1154" s="1" t="s">
        <v>21</v>
      </c>
      <c r="F1154" s="1" t="s">
        <v>2936</v>
      </c>
      <c r="G1154" s="39" t="s">
        <v>769</v>
      </c>
      <c r="H1154" s="1">
        <v>0</v>
      </c>
      <c r="I1154" s="1">
        <v>1</v>
      </c>
      <c r="J1154" s="39" t="s">
        <v>763</v>
      </c>
      <c r="K1154" s="1">
        <v>1</v>
      </c>
      <c r="L1154" s="1">
        <v>0</v>
      </c>
      <c r="S1154" s="1" t="str">
        <f>IF(tblDados[[#This Row],[Mandante]]="","",TEXT(tblDados[[#This Row],[Data]],"aaaa-mm-dd")&amp;"|"&amp;TRIM(tblDados[[#This Row],[Mandante]])&amp;"|"&amp;TRIM(tblDados[[#This Row],[Visitante]]))</f>
        <v>2026-07-02|Jazz Pori|KPV</v>
      </c>
      <c r="T1154" s="1">
        <f>IF($G1154="",0,IF(COUNTIF($S$2:$S1154,$S1154)=1,1,0))</f>
        <v>1</v>
      </c>
      <c r="U1154" s="19" t="str" cm="1">
        <f t="array" ref="U11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4" s="19" t="str" cm="1">
        <f t="array" ref="V11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5" spans="1:22" x14ac:dyDescent="0.3">
      <c r="A1155" s="1" t="s">
        <v>2937</v>
      </c>
      <c r="B1155" s="102">
        <v>46201</v>
      </c>
      <c r="C1155" s="6">
        <v>0.52083333333333337</v>
      </c>
      <c r="D1155" s="1" t="s">
        <v>18</v>
      </c>
      <c r="E1155" s="1" t="s">
        <v>21</v>
      </c>
      <c r="F1155" s="1" t="s">
        <v>2938</v>
      </c>
      <c r="G1155" s="39" t="s">
        <v>763</v>
      </c>
      <c r="H1155" s="1">
        <v>1</v>
      </c>
      <c r="I1155" s="1">
        <v>3</v>
      </c>
      <c r="J1155" s="39" t="s">
        <v>760</v>
      </c>
      <c r="K1155" s="1">
        <v>3</v>
      </c>
      <c r="L1155" s="1">
        <v>1</v>
      </c>
      <c r="S1155" s="1" t="str">
        <f>IF(tblDados[[#This Row],[Mandante]]="","",TEXT(tblDados[[#This Row],[Data]],"aaaa-mm-dd")&amp;"|"&amp;TRIM(tblDados[[#This Row],[Mandante]])&amp;"|"&amp;TRIM(tblDados[[#This Row],[Visitante]]))</f>
        <v>2026-06-28|KPV|Keski-Uusimaa</v>
      </c>
      <c r="T1155" s="1">
        <f>IF($G1155="",0,IF(COUNTIF($S$2:$S1155,$S1155)=1,1,0))</f>
        <v>1</v>
      </c>
      <c r="U1155" s="19" t="str" cm="1">
        <f t="array" ref="U11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5" s="19" t="str" cm="1">
        <f t="array" ref="V11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6" spans="1:22" ht="14.4" x14ac:dyDescent="0.3">
      <c r="A1156" s="1" t="s">
        <v>2939</v>
      </c>
      <c r="B1156" s="102">
        <v>46165</v>
      </c>
      <c r="C1156" s="6">
        <v>0.29166666666666669</v>
      </c>
      <c r="D1156" s="1" t="s">
        <v>18</v>
      </c>
      <c r="E1156" s="1" t="s">
        <v>21</v>
      </c>
      <c r="F1156" s="1" t="s">
        <v>2940</v>
      </c>
      <c r="G1156" s="39" t="s">
        <v>755</v>
      </c>
      <c r="H1156" s="1">
        <v>5</v>
      </c>
      <c r="I1156" s="1">
        <v>0</v>
      </c>
      <c r="J1156" s="39" t="s">
        <v>763</v>
      </c>
      <c r="K1156" s="1">
        <v>0</v>
      </c>
      <c r="L1156" s="1">
        <v>5</v>
      </c>
      <c r="S1156" s="1" t="str">
        <f>IF(tblDados[[#This Row],[Mandante]]="","",TEXT(tblDados[[#This Row],[Data]],"aaaa-mm-dd")&amp;"|"&amp;TRIM(tblDados[[#This Row],[Mandante]])&amp;"|"&amp;TRIM(tblDados[[#This Row],[Visitante]]))</f>
        <v>2026-05-23|VJS|KPV</v>
      </c>
      <c r="T1156">
        <f>IF($G1156="",0,IF(COUNTIF($S$2:$S2834,$S1156)=1,1,0))</f>
        <v>1</v>
      </c>
      <c r="U1156" s="19" t="str" cm="1">
        <f t="array" ref="U11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6" s="19" t="str" cm="1">
        <f t="array" ref="V11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7" spans="1:22" x14ac:dyDescent="0.3">
      <c r="A1157" s="1" t="s">
        <v>2941</v>
      </c>
      <c r="B1157" s="102">
        <v>46225</v>
      </c>
      <c r="C1157" s="6">
        <v>0.54166666666666663</v>
      </c>
      <c r="D1157" s="1" t="s">
        <v>18</v>
      </c>
      <c r="E1157" s="1" t="s">
        <v>21</v>
      </c>
      <c r="F1157" s="1" t="s">
        <v>2942</v>
      </c>
      <c r="G1157" s="39" t="s">
        <v>760</v>
      </c>
      <c r="H1157" s="1">
        <v>1</v>
      </c>
      <c r="I1157" s="1">
        <v>3</v>
      </c>
      <c r="J1157" s="39" t="s">
        <v>755</v>
      </c>
      <c r="K1157" s="1">
        <v>3</v>
      </c>
      <c r="L1157" s="1">
        <v>1</v>
      </c>
      <c r="S1157" s="1" t="str">
        <f>IF(tblDados[[#This Row],[Mandante]]="","",TEXT(tblDados[[#This Row],[Data]],"aaaa-mm-dd")&amp;"|"&amp;TRIM(tblDados[[#This Row],[Mandante]])&amp;"|"&amp;TRIM(tblDados[[#This Row],[Visitante]]))</f>
        <v>2026-07-22|Keski-Uusimaa|VJS</v>
      </c>
      <c r="T1157" s="1">
        <f>IF($G1157="",0,IF(COUNTIF($S$2:$S1157,$S1157)=1,1,0))</f>
        <v>1</v>
      </c>
      <c r="U1157" s="19" t="str" cm="1">
        <f t="array" ref="U11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7" s="19" t="str" cm="1">
        <f t="array" ref="V11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8" spans="1:22" x14ac:dyDescent="0.3">
      <c r="A1158" s="1" t="s">
        <v>2943</v>
      </c>
      <c r="B1158" s="102">
        <v>46221</v>
      </c>
      <c r="C1158" s="6">
        <v>0.45833333333333331</v>
      </c>
      <c r="D1158" s="1" t="s">
        <v>18</v>
      </c>
      <c r="E1158" s="1" t="s">
        <v>21</v>
      </c>
      <c r="F1158" s="1" t="s">
        <v>2944</v>
      </c>
      <c r="G1158" s="39" t="s">
        <v>755</v>
      </c>
      <c r="H1158" s="1">
        <v>0</v>
      </c>
      <c r="I1158" s="1">
        <v>1</v>
      </c>
      <c r="J1158" s="39" t="s">
        <v>752</v>
      </c>
      <c r="K1158" s="1">
        <v>1</v>
      </c>
      <c r="L1158" s="1">
        <v>0</v>
      </c>
      <c r="S1158" s="1" t="str">
        <f>IF(tblDados[[#This Row],[Mandante]]="","",TEXT(tblDados[[#This Row],[Data]],"aaaa-mm-dd")&amp;"|"&amp;TRIM(tblDados[[#This Row],[Mandante]])&amp;"|"&amp;TRIM(tblDados[[#This Row],[Visitante]]))</f>
        <v>2026-07-18|VJS|Tampere Utd</v>
      </c>
      <c r="T1158" s="1">
        <f>IF($G1158="",0,IF(COUNTIF($S$2:$S1158,$S1158)=1,1,0))</f>
        <v>1</v>
      </c>
      <c r="U1158" s="19" t="str" cm="1">
        <f t="array" ref="U11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8" s="19" t="str" cm="1">
        <f t="array" ref="V11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9" spans="1:22" x14ac:dyDescent="0.3">
      <c r="A1159" s="1" t="s">
        <v>2945</v>
      </c>
      <c r="B1159" s="102">
        <v>46207</v>
      </c>
      <c r="C1159" s="6">
        <v>0.41666666666666669</v>
      </c>
      <c r="D1159" s="1" t="s">
        <v>18</v>
      </c>
      <c r="E1159" s="1" t="s">
        <v>21</v>
      </c>
      <c r="F1159" s="1" t="s">
        <v>2946</v>
      </c>
      <c r="G1159" s="39" t="s">
        <v>748</v>
      </c>
      <c r="H1159" s="1">
        <v>2</v>
      </c>
      <c r="I1159" s="1">
        <v>2</v>
      </c>
      <c r="J1159" s="39" t="s">
        <v>755</v>
      </c>
      <c r="K1159" s="1">
        <v>2</v>
      </c>
      <c r="L1159" s="1">
        <v>2</v>
      </c>
      <c r="S1159" s="1" t="str">
        <f>IF(tblDados[[#This Row],[Mandante]]="","",TEXT(tblDados[[#This Row],[Data]],"aaaa-mm-dd")&amp;"|"&amp;TRIM(tblDados[[#This Row],[Mandante]])&amp;"|"&amp;TRIM(tblDados[[#This Row],[Visitante]]))</f>
        <v>2026-07-04|SalPa|VJS</v>
      </c>
      <c r="T1159" s="1">
        <f>IF($G1159="",0,IF(COUNTIF($S$2:$S1159,$S1159)=1,1,0))</f>
        <v>1</v>
      </c>
      <c r="U1159" s="19" t="str" cm="1">
        <f t="array" ref="U11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9" s="19" t="str" cm="1">
        <f t="array" ref="V11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0" spans="1:22" x14ac:dyDescent="0.3">
      <c r="A1160" s="1" t="s">
        <v>2947</v>
      </c>
      <c r="B1160" s="102">
        <v>46202</v>
      </c>
      <c r="C1160" s="6">
        <v>0.52083333333333337</v>
      </c>
      <c r="D1160" s="1" t="s">
        <v>18</v>
      </c>
      <c r="E1160" s="1" t="s">
        <v>21</v>
      </c>
      <c r="F1160" s="1" t="s">
        <v>2948</v>
      </c>
      <c r="G1160" s="39" t="s">
        <v>755</v>
      </c>
      <c r="H1160" s="1">
        <v>2</v>
      </c>
      <c r="I1160" s="1">
        <v>1</v>
      </c>
      <c r="J1160" s="39" t="s">
        <v>766</v>
      </c>
      <c r="K1160" s="1">
        <v>1</v>
      </c>
      <c r="L1160" s="1">
        <v>2</v>
      </c>
      <c r="S1160" s="1" t="str">
        <f>IF(tblDados[[#This Row],[Mandante]]="","",TEXT(tblDados[[#This Row],[Data]],"aaaa-mm-dd")&amp;"|"&amp;TRIM(tblDados[[#This Row],[Mandante]])&amp;"|"&amp;TRIM(tblDados[[#This Row],[Visitante]]))</f>
        <v>2026-06-29|VJS|TPV</v>
      </c>
      <c r="T1160" s="1">
        <f>IF($G1160="",0,IF(COUNTIF($S$2:$S1160,$S1160)=1,1,0))</f>
        <v>1</v>
      </c>
      <c r="U1160" s="19" t="str" cm="1">
        <f t="array" ref="U11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0" s="19" t="str" cm="1">
        <f t="array" ref="V11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1" spans="1:22" ht="14.4" x14ac:dyDescent="0.3">
      <c r="A1161" s="1" t="s">
        <v>2949</v>
      </c>
      <c r="B1161" s="102">
        <v>46186</v>
      </c>
      <c r="C1161" s="6">
        <v>0.52083333333333337</v>
      </c>
      <c r="D1161" s="1" t="s">
        <v>18</v>
      </c>
      <c r="E1161" s="1" t="s">
        <v>21</v>
      </c>
      <c r="F1161" s="1" t="s">
        <v>2979</v>
      </c>
      <c r="G1161" s="39" t="s">
        <v>755</v>
      </c>
      <c r="H1161" s="1">
        <v>0</v>
      </c>
      <c r="I1161" s="1">
        <v>2</v>
      </c>
      <c r="J1161" s="39" t="s">
        <v>2971</v>
      </c>
      <c r="K1161" s="1">
        <v>2</v>
      </c>
      <c r="L1161" s="1">
        <v>0</v>
      </c>
      <c r="S1161" s="1" t="str">
        <f>IF(tblDados[[#This Row],[Mandante]]="","",TEXT(tblDados[[#This Row],[Data]],"aaaa-mm-dd")&amp;"|"&amp;TRIM(tblDados[[#This Row],[Mandante]])&amp;"|"&amp;TRIM(tblDados[[#This Row],[Visitante]]))</f>
        <v>2026-06-13|VJS|RoPS (Rovaniemi)</v>
      </c>
      <c r="T1161">
        <f>IF($G1161="",0,IF(COUNTIF($S$2:$S2834,$S1161)=1,1,0))</f>
        <v>1</v>
      </c>
      <c r="U1161" s="19" t="str" cm="1">
        <f t="array" ref="U11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1" s="19" t="str" cm="1">
        <f t="array" ref="V11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2" spans="1:22" x14ac:dyDescent="0.3">
      <c r="A1162" s="1" t="s">
        <v>2950</v>
      </c>
      <c r="B1162" s="102">
        <v>46227</v>
      </c>
      <c r="C1162" s="6">
        <v>0.54166666666666663</v>
      </c>
      <c r="D1162" s="1" t="s">
        <v>18</v>
      </c>
      <c r="E1162" s="1" t="s">
        <v>21</v>
      </c>
      <c r="F1162" s="1" t="s">
        <v>2951</v>
      </c>
      <c r="G1162" s="39" t="s">
        <v>769</v>
      </c>
      <c r="H1162" s="1">
        <v>4</v>
      </c>
      <c r="I1162" s="1">
        <v>0</v>
      </c>
      <c r="J1162" s="39" t="s">
        <v>766</v>
      </c>
      <c r="K1162" s="1">
        <v>0</v>
      </c>
      <c r="L1162" s="1">
        <v>4</v>
      </c>
      <c r="S1162" s="1" t="str">
        <f>IF(tblDados[[#This Row],[Mandante]]="","",TEXT(tblDados[[#This Row],[Data]],"aaaa-mm-dd")&amp;"|"&amp;TRIM(tblDados[[#This Row],[Mandante]])&amp;"|"&amp;TRIM(tblDados[[#This Row],[Visitante]]))</f>
        <v>2026-07-24|Jazz Pori|TPV</v>
      </c>
      <c r="T1162" s="1">
        <f>IF($G1162="",0,IF(COUNTIF($S$2:$S1162,$S1162)=1,1,0))</f>
        <v>1</v>
      </c>
      <c r="U1162" s="19" t="str" cm="1">
        <f t="array" ref="U11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2" s="19" t="str" cm="1">
        <f t="array" ref="V11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3" spans="1:22" x14ac:dyDescent="0.3">
      <c r="A1163" s="1" t="s">
        <v>2952</v>
      </c>
      <c r="B1163" s="102">
        <v>46214</v>
      </c>
      <c r="C1163" s="6">
        <v>0.41666666666666669</v>
      </c>
      <c r="D1163" s="1" t="s">
        <v>18</v>
      </c>
      <c r="E1163" s="1" t="s">
        <v>21</v>
      </c>
      <c r="F1163" s="1" t="s">
        <v>2953</v>
      </c>
      <c r="G1163" s="39" t="s">
        <v>760</v>
      </c>
      <c r="H1163" s="1">
        <v>2</v>
      </c>
      <c r="I1163" s="1">
        <v>1</v>
      </c>
      <c r="J1163" s="39" t="s">
        <v>769</v>
      </c>
      <c r="K1163" s="1">
        <v>1</v>
      </c>
      <c r="L1163" s="1">
        <v>2</v>
      </c>
      <c r="S1163" s="1" t="str">
        <f>IF(tblDados[[#This Row],[Mandante]]="","",TEXT(tblDados[[#This Row],[Data]],"aaaa-mm-dd")&amp;"|"&amp;TRIM(tblDados[[#This Row],[Mandante]])&amp;"|"&amp;TRIM(tblDados[[#This Row],[Visitante]]))</f>
        <v>2026-07-11|Keski-Uusimaa|Jazz Pori</v>
      </c>
      <c r="T1163" s="1">
        <f>IF($G1163="",0,IF(COUNTIF($S$2:$S1163,$S1163)=1,1,0))</f>
        <v>1</v>
      </c>
      <c r="U1163" s="19" t="str" cm="1">
        <f t="array" ref="U11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3" s="19" t="str" cm="1">
        <f t="array" ref="V11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4" spans="1:22" x14ac:dyDescent="0.3">
      <c r="A1164" s="1" t="s">
        <v>2954</v>
      </c>
      <c r="B1164" s="102">
        <v>46198</v>
      </c>
      <c r="C1164" s="6">
        <v>0.54166666666666663</v>
      </c>
      <c r="D1164" s="1" t="s">
        <v>18</v>
      </c>
      <c r="E1164" s="1" t="s">
        <v>21</v>
      </c>
      <c r="F1164" s="1" t="s">
        <v>2955</v>
      </c>
      <c r="G1164" s="39" t="s">
        <v>769</v>
      </c>
      <c r="H1164" s="1">
        <v>0</v>
      </c>
      <c r="I1164" s="1">
        <v>1</v>
      </c>
      <c r="J1164" s="39" t="s">
        <v>752</v>
      </c>
      <c r="K1164" s="1">
        <v>1</v>
      </c>
      <c r="L1164" s="1">
        <v>0</v>
      </c>
      <c r="S1164" s="1" t="str">
        <f>IF(tblDados[[#This Row],[Mandante]]="","",TEXT(tblDados[[#This Row],[Data]],"aaaa-mm-dd")&amp;"|"&amp;TRIM(tblDados[[#This Row],[Mandante]])&amp;"|"&amp;TRIM(tblDados[[#This Row],[Visitante]]))</f>
        <v>2026-06-25|Jazz Pori|Tampere Utd</v>
      </c>
      <c r="T1164" s="1">
        <f>IF($G1164="",0,IF(COUNTIF($S$2:$S1164,$S1164)=1,1,0))</f>
        <v>1</v>
      </c>
      <c r="U1164" s="19" t="str" cm="1">
        <f t="array" ref="U11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4" s="19" t="str" cm="1">
        <f t="array" ref="V11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5" spans="1:22" x14ac:dyDescent="0.3">
      <c r="A1165" s="1" t="s">
        <v>2956</v>
      </c>
      <c r="B1165" s="102">
        <v>46170</v>
      </c>
      <c r="C1165" s="6">
        <v>0.52083333333333337</v>
      </c>
      <c r="D1165" s="1" t="s">
        <v>18</v>
      </c>
      <c r="E1165" s="1" t="s">
        <v>21</v>
      </c>
      <c r="F1165" s="1" t="s">
        <v>2957</v>
      </c>
      <c r="G1165" s="39" t="s">
        <v>769</v>
      </c>
      <c r="H1165" s="1">
        <v>1</v>
      </c>
      <c r="I1165" s="1">
        <v>2</v>
      </c>
      <c r="J1165" s="39" t="s">
        <v>748</v>
      </c>
      <c r="K1165" s="1">
        <v>2</v>
      </c>
      <c r="L1165" s="1">
        <v>1</v>
      </c>
      <c r="S1165" s="1" t="str">
        <f>IF(tblDados[[#This Row],[Mandante]]="","",TEXT(tblDados[[#This Row],[Data]],"aaaa-mm-dd")&amp;"|"&amp;TRIM(tblDados[[#This Row],[Mandante]])&amp;"|"&amp;TRIM(tblDados[[#This Row],[Visitante]]))</f>
        <v>2026-05-28|Jazz Pori|SalPa</v>
      </c>
      <c r="T1165" s="1">
        <f>IF($G1165="",0,IF(COUNTIF($S$2:$S1165,$S1165)=1,1,0))</f>
        <v>1</v>
      </c>
      <c r="U1165" s="19" t="str" cm="1">
        <f t="array" ref="U11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5" s="19" t="str" cm="1">
        <f t="array" ref="V11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6" spans="1:22" x14ac:dyDescent="0.3">
      <c r="A1166" s="1" t="s">
        <v>2958</v>
      </c>
      <c r="B1166" s="102">
        <v>46158</v>
      </c>
      <c r="C1166" s="6">
        <v>0.375</v>
      </c>
      <c r="D1166" s="1" t="s">
        <v>18</v>
      </c>
      <c r="E1166" s="1" t="s">
        <v>21</v>
      </c>
      <c r="F1166" s="1" t="s">
        <v>2980</v>
      </c>
      <c r="G1166" s="39" t="s">
        <v>769</v>
      </c>
      <c r="H1166" s="1">
        <v>2</v>
      </c>
      <c r="I1166" s="1">
        <v>1</v>
      </c>
      <c r="J1166" s="39" t="s">
        <v>2971</v>
      </c>
      <c r="K1166" s="1">
        <v>1</v>
      </c>
      <c r="L1166" s="1">
        <v>2</v>
      </c>
      <c r="S1166" s="1" t="str">
        <f>IF(tblDados[[#This Row],[Mandante]]="","",TEXT(tblDados[[#This Row],[Data]],"aaaa-mm-dd")&amp;"|"&amp;TRIM(tblDados[[#This Row],[Mandante]])&amp;"|"&amp;TRIM(tblDados[[#This Row],[Visitante]]))</f>
        <v>2026-05-16|Jazz Pori|RoPS (Rovaniemi)</v>
      </c>
      <c r="T1166" s="1">
        <f>IF($G1166="",0,IF(COUNTIF($S$2:$S1166,$S1166)=1,1,0))</f>
        <v>1</v>
      </c>
      <c r="U1166" s="19" t="str" cm="1">
        <f t="array" ref="U11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6" s="19" t="str" cm="1">
        <f t="array" ref="V11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7" spans="1:22" ht="14.4" x14ac:dyDescent="0.3">
      <c r="A1167" s="1" t="s">
        <v>2959</v>
      </c>
      <c r="B1167" s="102">
        <v>46151</v>
      </c>
      <c r="C1167" s="6">
        <v>0.45833333333333331</v>
      </c>
      <c r="D1167" s="1" t="s">
        <v>18</v>
      </c>
      <c r="E1167" s="1" t="s">
        <v>21</v>
      </c>
      <c r="F1167" s="1" t="s">
        <v>2960</v>
      </c>
      <c r="G1167" s="39" t="s">
        <v>163</v>
      </c>
      <c r="H1167" s="1">
        <v>1</v>
      </c>
      <c r="I1167" s="1">
        <v>2</v>
      </c>
      <c r="J1167" s="39" t="s">
        <v>769</v>
      </c>
      <c r="K1167" s="1">
        <v>2</v>
      </c>
      <c r="L1167" s="1">
        <v>1</v>
      </c>
      <c r="S1167" s="1" t="str">
        <f>IF(tblDados[[#This Row],[Mandante]]="","",TEXT(tblDados[[#This Row],[Data]],"aaaa-mm-dd")&amp;"|"&amp;TRIM(tblDados[[#This Row],[Mandante]])&amp;"|"&amp;TRIM(tblDados[[#This Row],[Visitante]]))</f>
        <v>2026-05-09|KuPS Akatemia|Jazz Pori</v>
      </c>
      <c r="T1167">
        <f>IF($G1167="",0,IF(COUNTIF($S$2:$S2834,$S1167)=1,1,0))</f>
        <v>1</v>
      </c>
      <c r="U1167" s="19" t="str" cm="1">
        <f t="array" ref="U11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7" s="19" t="str" cm="1">
        <f t="array" ref="V11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8" spans="1:22" x14ac:dyDescent="0.3">
      <c r="A1168" s="1" t="s">
        <v>2961</v>
      </c>
      <c r="B1168" s="102">
        <v>46234</v>
      </c>
      <c r="C1168" s="6">
        <v>0.52083333333333337</v>
      </c>
      <c r="D1168" s="1" t="s">
        <v>18</v>
      </c>
      <c r="E1168" s="1" t="s">
        <v>21</v>
      </c>
      <c r="F1168" s="1" t="s">
        <v>2962</v>
      </c>
      <c r="G1168" s="39" t="s">
        <v>760</v>
      </c>
      <c r="H1168" s="1">
        <v>4</v>
      </c>
      <c r="I1168" s="1">
        <v>4</v>
      </c>
      <c r="J1168" s="39" t="s">
        <v>752</v>
      </c>
      <c r="K1168" s="1">
        <v>4</v>
      </c>
      <c r="L1168" s="1">
        <v>4</v>
      </c>
      <c r="S1168" s="1" t="str">
        <f>IF(tblDados[[#This Row],[Mandante]]="","",TEXT(tblDados[[#This Row],[Data]],"aaaa-mm-dd")&amp;"|"&amp;TRIM(tblDados[[#This Row],[Mandante]])&amp;"|"&amp;TRIM(tblDados[[#This Row],[Visitante]]))</f>
        <v>2026-07-31|Keski-Uusimaa|Tampere Utd</v>
      </c>
      <c r="T1168" s="1">
        <f>IF($G1168="",0,IF(COUNTIF($S$2:$S1168,$S1168)=1,1,0))</f>
        <v>1</v>
      </c>
      <c r="U1168" s="19" t="str" cm="1">
        <f t="array" ref="U11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8" s="19" t="str" cm="1">
        <f t="array" ref="V11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9" spans="1:22" x14ac:dyDescent="0.3">
      <c r="A1169" s="1" t="s">
        <v>2963</v>
      </c>
      <c r="B1169" s="102">
        <v>46213</v>
      </c>
      <c r="C1169" s="6">
        <v>0.52083333333333337</v>
      </c>
      <c r="D1169" s="1" t="s">
        <v>18</v>
      </c>
      <c r="E1169" s="1" t="s">
        <v>21</v>
      </c>
      <c r="F1169" s="1" t="s">
        <v>2964</v>
      </c>
      <c r="G1169" s="39" t="s">
        <v>752</v>
      </c>
      <c r="H1169" s="1">
        <v>0</v>
      </c>
      <c r="I1169" s="1">
        <v>1</v>
      </c>
      <c r="J1169" s="39" t="s">
        <v>748</v>
      </c>
      <c r="K1169" s="1">
        <v>1</v>
      </c>
      <c r="L1169" s="1">
        <v>0</v>
      </c>
      <c r="S1169" s="1" t="str">
        <f>IF(tblDados[[#This Row],[Mandante]]="","",TEXT(tblDados[[#This Row],[Data]],"aaaa-mm-dd")&amp;"|"&amp;TRIM(tblDados[[#This Row],[Mandante]])&amp;"|"&amp;TRIM(tblDados[[#This Row],[Visitante]]))</f>
        <v>2026-07-10|Tampere Utd|SalPa</v>
      </c>
      <c r="T1169" s="1">
        <f>IF($G1169="",0,IF(COUNTIF($S$2:$S1169,$S1169)=1,1,0))</f>
        <v>1</v>
      </c>
      <c r="U1169" s="19" t="str" cm="1">
        <f t="array" ref="U11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9" s="19" t="str" cm="1">
        <f t="array" ref="V11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0" spans="1:22" x14ac:dyDescent="0.3">
      <c r="A1170" s="1" t="s">
        <v>2965</v>
      </c>
      <c r="B1170" s="102">
        <v>46179</v>
      </c>
      <c r="C1170" s="6">
        <v>0.41666666666666669</v>
      </c>
      <c r="D1170" s="1" t="s">
        <v>18</v>
      </c>
      <c r="E1170" s="1" t="s">
        <v>21</v>
      </c>
      <c r="F1170" s="1" t="s">
        <v>2981</v>
      </c>
      <c r="G1170" s="39" t="s">
        <v>2971</v>
      </c>
      <c r="H1170" s="1">
        <v>0</v>
      </c>
      <c r="I1170" s="1">
        <v>1</v>
      </c>
      <c r="J1170" s="39" t="s">
        <v>752</v>
      </c>
      <c r="K1170" s="1">
        <v>1</v>
      </c>
      <c r="L1170" s="1">
        <v>0</v>
      </c>
      <c r="S1170" s="1" t="str">
        <f>IF(tblDados[[#This Row],[Mandante]]="","",TEXT(tblDados[[#This Row],[Data]],"aaaa-mm-dd")&amp;"|"&amp;TRIM(tblDados[[#This Row],[Mandante]])&amp;"|"&amp;TRIM(tblDados[[#This Row],[Visitante]]))</f>
        <v>2026-06-06|RoPS (Rovaniemi)|Tampere Utd</v>
      </c>
      <c r="T1170" s="1">
        <f>IF($G1170="",0,IF(COUNTIF($S$2:$S1170,$S1170)=1,1,0))</f>
        <v>1</v>
      </c>
      <c r="U1170" s="19" t="str" cm="1">
        <f t="array" ref="U11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0" s="19" t="str" cm="1">
        <f t="array" ref="V11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1" spans="1:22" ht="14.4" x14ac:dyDescent="0.3">
      <c r="A1171" s="1" t="s">
        <v>2966</v>
      </c>
      <c r="B1171" s="102">
        <v>46171</v>
      </c>
      <c r="C1171" s="6">
        <v>0.54166666666666663</v>
      </c>
      <c r="D1171" s="1" t="s">
        <v>18</v>
      </c>
      <c r="E1171" s="1" t="s">
        <v>21</v>
      </c>
      <c r="F1171" s="1" t="s">
        <v>2967</v>
      </c>
      <c r="G1171" s="39" t="s">
        <v>766</v>
      </c>
      <c r="H1171" s="1">
        <v>0</v>
      </c>
      <c r="I1171" s="1">
        <v>3</v>
      </c>
      <c r="J1171" s="39" t="s">
        <v>752</v>
      </c>
      <c r="K1171" s="1">
        <v>3</v>
      </c>
      <c r="L1171" s="1">
        <v>0</v>
      </c>
      <c r="S1171" s="1" t="str">
        <f>IF(tblDados[[#This Row],[Mandante]]="","",TEXT(tblDados[[#This Row],[Data]],"aaaa-mm-dd")&amp;"|"&amp;TRIM(tblDados[[#This Row],[Mandante]])&amp;"|"&amp;TRIM(tblDados[[#This Row],[Visitante]]))</f>
        <v>2026-05-29|TPV|Tampere Utd</v>
      </c>
      <c r="T1171">
        <f>IF($G1171="",0,IF(COUNTIF($S$2:$S2834,$S1171)=1,1,0))</f>
        <v>1</v>
      </c>
      <c r="U1171" s="19" t="str" cm="1">
        <f t="array" ref="U11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1" s="19" t="str" cm="1">
        <f t="array" ref="V11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2" spans="1:22" x14ac:dyDescent="0.3">
      <c r="A1172" s="1" t="s">
        <v>2968</v>
      </c>
      <c r="B1172" s="102">
        <v>46228</v>
      </c>
      <c r="C1172" s="6">
        <v>0.41666666666666669</v>
      </c>
      <c r="D1172" s="1" t="s">
        <v>18</v>
      </c>
      <c r="E1172" s="1" t="s">
        <v>21</v>
      </c>
      <c r="F1172" s="1" t="s">
        <v>2969</v>
      </c>
      <c r="G1172" s="39" t="s">
        <v>748</v>
      </c>
      <c r="H1172" s="1">
        <v>0</v>
      </c>
      <c r="I1172" s="1">
        <v>1</v>
      </c>
      <c r="J1172" s="39" t="s">
        <v>760</v>
      </c>
      <c r="K1172" s="1">
        <v>1</v>
      </c>
      <c r="L1172" s="1">
        <v>0</v>
      </c>
      <c r="S1172" s="1" t="str">
        <f>IF(tblDados[[#This Row],[Mandante]]="","",TEXT(tblDados[[#This Row],[Data]],"aaaa-mm-dd")&amp;"|"&amp;TRIM(tblDados[[#This Row],[Mandante]])&amp;"|"&amp;TRIM(tblDados[[#This Row],[Visitante]]))</f>
        <v>2026-07-25|SalPa|Keski-Uusimaa</v>
      </c>
      <c r="T1172" s="1">
        <f>IF($G1172="",0,IF(COUNTIF($S$2:$S1172,$S1172)=1,1,0))</f>
        <v>1</v>
      </c>
      <c r="U1172" s="19" t="str" cm="1">
        <f t="array" ref="U11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2" s="19" t="str" cm="1">
        <f t="array" ref="V11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3" spans="1:22" ht="14.4" x14ac:dyDescent="0.3">
      <c r="A1173" s="1" t="s">
        <v>2970</v>
      </c>
      <c r="B1173" s="102">
        <v>46200</v>
      </c>
      <c r="C1173" s="6">
        <v>0.67708333333333337</v>
      </c>
      <c r="D1173" s="1" t="s">
        <v>18</v>
      </c>
      <c r="E1173" s="1" t="s">
        <v>21</v>
      </c>
      <c r="F1173" s="1" t="s">
        <v>2982</v>
      </c>
      <c r="G1173" s="39" t="s">
        <v>2971</v>
      </c>
      <c r="H1173" s="1">
        <v>2</v>
      </c>
      <c r="I1173" s="1">
        <v>2</v>
      </c>
      <c r="J1173" s="39" t="s">
        <v>748</v>
      </c>
      <c r="K1173" s="1">
        <v>2</v>
      </c>
      <c r="L1173" s="1">
        <v>2</v>
      </c>
      <c r="S1173" s="1" t="str">
        <f>IF(tblDados[[#This Row],[Mandante]]="","",TEXT(tblDados[[#This Row],[Data]],"aaaa-mm-dd")&amp;"|"&amp;TRIM(tblDados[[#This Row],[Mandante]])&amp;"|"&amp;TRIM(tblDados[[#This Row],[Visitante]]))</f>
        <v>2026-06-27|RoPS (Rovaniemi)|SalPa</v>
      </c>
      <c r="T1173">
        <f>IF($G1173="",0,IF(COUNTIF($S$2:$S2834,$S1173)=1,1,0))</f>
        <v>1</v>
      </c>
      <c r="U1173" s="19" t="str" cm="1">
        <f t="array" ref="U11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3" s="19" t="str" cm="1">
        <f t="array" ref="V11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4" spans="1:22" ht="14.4" x14ac:dyDescent="0.3">
      <c r="A1174" s="1" t="s">
        <v>2983</v>
      </c>
      <c r="B1174" s="102">
        <v>46235</v>
      </c>
      <c r="C1174" s="6">
        <v>0.5</v>
      </c>
      <c r="D1174" s="1" t="s">
        <v>18</v>
      </c>
      <c r="E1174" s="1" t="s">
        <v>21</v>
      </c>
      <c r="F1174" s="1" t="s">
        <v>2984</v>
      </c>
      <c r="G1174" s="39" t="s">
        <v>766</v>
      </c>
      <c r="H1174" s="1">
        <v>6</v>
      </c>
      <c r="I1174" s="1">
        <v>3</v>
      </c>
      <c r="J1174" s="39" t="s">
        <v>2971</v>
      </c>
      <c r="K1174" s="1">
        <v>3</v>
      </c>
      <c r="L1174" s="1">
        <v>6</v>
      </c>
      <c r="S1174" s="1" t="str">
        <f>IF(tblDados[[#This Row],[Mandante]]="","",TEXT(tblDados[[#This Row],[Data]],"aaaa-mm-dd")&amp;"|"&amp;TRIM(tblDados[[#This Row],[Mandante]])&amp;"|"&amp;TRIM(tblDados[[#This Row],[Visitante]]))</f>
        <v>2026-08-01|TPV|RoPS (Rovaniemi)</v>
      </c>
      <c r="T1174">
        <f>IF($G1174="",0,IF(COUNTIF($S$2:$S2834,$S1174)=1,1,0))</f>
        <v>1</v>
      </c>
      <c r="U1174" s="19" t="str" cm="1">
        <f t="array" ref="U11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4" s="19" t="str" cm="1">
        <f t="array" ref="V11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5" spans="1:22" ht="14.4" x14ac:dyDescent="0.3">
      <c r="A1175" s="1" t="s">
        <v>2985</v>
      </c>
      <c r="B1175" s="102">
        <v>46208</v>
      </c>
      <c r="C1175" s="6">
        <v>0.41666666666666669</v>
      </c>
      <c r="D1175" s="1" t="s">
        <v>18</v>
      </c>
      <c r="E1175" s="1" t="s">
        <v>21</v>
      </c>
      <c r="F1175" s="1" t="s">
        <v>2986</v>
      </c>
      <c r="G1175" s="39" t="s">
        <v>2971</v>
      </c>
      <c r="H1175" s="1">
        <v>4</v>
      </c>
      <c r="I1175" s="1">
        <v>3</v>
      </c>
      <c r="J1175" s="39" t="s">
        <v>760</v>
      </c>
      <c r="K1175" s="1">
        <v>3</v>
      </c>
      <c r="L1175" s="1">
        <v>4</v>
      </c>
      <c r="S1175" s="1" t="str">
        <f>IF(tblDados[[#This Row],[Mandante]]="","",TEXT(tblDados[[#This Row],[Data]],"aaaa-mm-dd")&amp;"|"&amp;TRIM(tblDados[[#This Row],[Mandante]])&amp;"|"&amp;TRIM(tblDados[[#This Row],[Visitante]]))</f>
        <v>2026-07-05|RoPS (Rovaniemi)|Keski-Uusimaa</v>
      </c>
      <c r="T1175">
        <f>IF($G1175="",0,IF(COUNTIF($S$2:$S2834,$S1175)=1,1,0))</f>
        <v>1</v>
      </c>
      <c r="U1175" s="19" t="str" cm="1">
        <f t="array" ref="U11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5" s="19" t="str" cm="1">
        <f t="array" ref="V11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6" spans="1:22" x14ac:dyDescent="0.3">
      <c r="A1176" s="1" t="s">
        <v>2987</v>
      </c>
      <c r="B1176" s="102">
        <v>46187</v>
      </c>
      <c r="C1176" s="6">
        <v>0.33333333333333331</v>
      </c>
      <c r="D1176" s="1" t="s">
        <v>18</v>
      </c>
      <c r="E1176" s="1" t="s">
        <v>21</v>
      </c>
      <c r="F1176" s="1" t="s">
        <v>2988</v>
      </c>
      <c r="G1176" s="39" t="s">
        <v>760</v>
      </c>
      <c r="H1176" s="1">
        <v>2</v>
      </c>
      <c r="I1176" s="1">
        <v>2</v>
      </c>
      <c r="J1176" s="39" t="s">
        <v>766</v>
      </c>
      <c r="K1176" s="1">
        <v>2</v>
      </c>
      <c r="L1176" s="1">
        <v>2</v>
      </c>
      <c r="S1176" s="1" t="str">
        <f>IF(tblDados[[#This Row],[Mandante]]="","",TEXT(tblDados[[#This Row],[Data]],"aaaa-mm-dd")&amp;"|"&amp;TRIM(tblDados[[#This Row],[Mandante]])&amp;"|"&amp;TRIM(tblDados[[#This Row],[Visitante]]))</f>
        <v>2026-06-14|Keski-Uusimaa|TPV</v>
      </c>
      <c r="T1176" s="1">
        <f>IF($G1176="",0,IF(COUNTIF($S$2:$S1176,$S1176)=1,1,0))</f>
        <v>1</v>
      </c>
      <c r="U1176" s="19" t="str" cm="1">
        <f t="array" ref="U11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6" s="19" t="str" cm="1">
        <f t="array" ref="V11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7" spans="1:22" ht="14.4" x14ac:dyDescent="0.3">
      <c r="A1177" s="1" t="s">
        <v>2989</v>
      </c>
      <c r="B1177" s="102">
        <v>46165</v>
      </c>
      <c r="C1177" s="6">
        <v>0.41666666666666669</v>
      </c>
      <c r="D1177" s="1" t="s">
        <v>18</v>
      </c>
      <c r="E1177" s="1" t="s">
        <v>21</v>
      </c>
      <c r="F1177" s="1" t="s">
        <v>2990</v>
      </c>
      <c r="G1177" s="39" t="s">
        <v>748</v>
      </c>
      <c r="H1177" s="1">
        <v>4</v>
      </c>
      <c r="I1177" s="1">
        <v>2</v>
      </c>
      <c r="J1177" s="39" t="s">
        <v>766</v>
      </c>
      <c r="K1177" s="1">
        <v>2</v>
      </c>
      <c r="L1177" s="1">
        <v>4</v>
      </c>
      <c r="S1177" s="1" t="str">
        <f>IF(tblDados[[#This Row],[Mandante]]="","",TEXT(tblDados[[#This Row],[Data]],"aaaa-mm-dd")&amp;"|"&amp;TRIM(tblDados[[#This Row],[Mandante]])&amp;"|"&amp;TRIM(tblDados[[#This Row],[Visitante]]))</f>
        <v>2026-05-23|SalPa|TPV</v>
      </c>
      <c r="T1177">
        <f>IF($G1177="",0,IF(COUNTIF($S$2:$S2834,$S1177)=1,1,0))</f>
        <v>1</v>
      </c>
      <c r="U1177" s="19" t="str" cm="1">
        <f t="array" ref="U11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7" s="19" t="str" cm="1">
        <f t="array" ref="V11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8" spans="1:22" x14ac:dyDescent="0.3">
      <c r="A1178" s="1" t="s">
        <v>2992</v>
      </c>
      <c r="B1178" s="102">
        <v>46221</v>
      </c>
      <c r="C1178" s="6">
        <v>0.29166666666666669</v>
      </c>
      <c r="D1178" s="1" t="s">
        <v>18</v>
      </c>
      <c r="E1178" s="1" t="s">
        <v>23</v>
      </c>
      <c r="F1178" s="1" t="s">
        <v>2993</v>
      </c>
      <c r="G1178" s="39" t="s">
        <v>213</v>
      </c>
      <c r="H1178" s="1">
        <v>5</v>
      </c>
      <c r="I1178" s="1">
        <v>3</v>
      </c>
      <c r="J1178" s="39" t="s">
        <v>568</v>
      </c>
      <c r="K1178" s="1">
        <v>3</v>
      </c>
      <c r="L1178" s="1">
        <v>5</v>
      </c>
      <c r="S1178" s="1" t="str">
        <f>IF(tblDados[[#This Row],[Mandante]]="","",TEXT(tblDados[[#This Row],[Data]],"aaaa-mm-dd")&amp;"|"&amp;TRIM(tblDados[[#This Row],[Mandante]])&amp;"|"&amp;TRIM(tblDados[[#This Row],[Visitante]]))</f>
        <v>2026-07-18|JS Hercules|JBK</v>
      </c>
      <c r="T1178" s="1">
        <f>IF($G1178="",0,IF(COUNTIF($S$2:$S1178,$S1178)=1,1,0))</f>
        <v>1</v>
      </c>
      <c r="U1178" s="19" t="str" cm="1">
        <f t="array" ref="U11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8" s="19" t="str" cm="1">
        <f t="array" ref="V11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9" spans="1:22" x14ac:dyDescent="0.3">
      <c r="A1179" s="1" t="s">
        <v>2994</v>
      </c>
      <c r="B1179" s="102">
        <v>46207</v>
      </c>
      <c r="C1179" s="6">
        <v>0.33333333333333331</v>
      </c>
      <c r="D1179" s="1" t="s">
        <v>18</v>
      </c>
      <c r="E1179" s="1" t="s">
        <v>23</v>
      </c>
      <c r="F1179" s="1" t="s">
        <v>2995</v>
      </c>
      <c r="G1179" s="39" t="s">
        <v>213</v>
      </c>
      <c r="H1179" s="1">
        <v>2</v>
      </c>
      <c r="I1179" s="1">
        <v>2</v>
      </c>
      <c r="J1179" s="39" t="s">
        <v>574</v>
      </c>
      <c r="K1179" s="1">
        <v>2</v>
      </c>
      <c r="L1179" s="1">
        <v>2</v>
      </c>
      <c r="S1179" s="1" t="str">
        <f>IF(tblDados[[#This Row],[Mandante]]="","",TEXT(tblDados[[#This Row],[Data]],"aaaa-mm-dd")&amp;"|"&amp;TRIM(tblDados[[#This Row],[Mandante]])&amp;"|"&amp;TRIM(tblDados[[#This Row],[Visitante]]))</f>
        <v>2026-07-04|JS Hercules|FC Vaajakoski</v>
      </c>
      <c r="T1179" s="1">
        <f>IF($G1179="",0,IF(COUNTIF($S$2:$S1179,$S1179)=1,1,0))</f>
        <v>1</v>
      </c>
      <c r="U1179" s="19" t="str" cm="1">
        <f t="array" ref="U11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9" s="19" t="str" cm="1">
        <f t="array" ref="V11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0" spans="1:22" x14ac:dyDescent="0.3">
      <c r="A1180" s="1" t="s">
        <v>2996</v>
      </c>
      <c r="B1180" s="102">
        <v>46187</v>
      </c>
      <c r="C1180" s="6">
        <v>0.41666666666666669</v>
      </c>
      <c r="D1180" s="1" t="s">
        <v>18</v>
      </c>
      <c r="E1180" s="1" t="s">
        <v>23</v>
      </c>
      <c r="F1180" s="1" t="s">
        <v>2997</v>
      </c>
      <c r="G1180" s="39" t="s">
        <v>2991</v>
      </c>
      <c r="H1180" s="1">
        <v>2</v>
      </c>
      <c r="I1180" s="1">
        <v>1</v>
      </c>
      <c r="J1180" s="39" t="s">
        <v>213</v>
      </c>
      <c r="K1180" s="1">
        <v>1</v>
      </c>
      <c r="L1180" s="1">
        <v>2</v>
      </c>
      <c r="S1180" s="1" t="str">
        <f>IF(tblDados[[#This Row],[Mandante]]="","",TEXT(tblDados[[#This Row],[Data]],"aaaa-mm-dd")&amp;"|"&amp;TRIM(tblDados[[#This Row],[Mandante]])&amp;"|"&amp;TRIM(tblDados[[#This Row],[Visitante]]))</f>
        <v>2026-06-14|Jaro 2|JS Hercules</v>
      </c>
      <c r="T1180" s="1">
        <f>IF($G1180="",0,IF(COUNTIF($S$2:$S1180,$S1180)=1,1,0))</f>
        <v>1</v>
      </c>
      <c r="U1180" s="19" t="str" cm="1">
        <f t="array" ref="U11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0" s="19" t="str" cm="1">
        <f t="array" ref="V11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1" spans="1:22" x14ac:dyDescent="0.3">
      <c r="A1181" s="1" t="s">
        <v>2998</v>
      </c>
      <c r="B1181" s="102">
        <v>46169</v>
      </c>
      <c r="C1181" s="6">
        <v>0.52083333333333337</v>
      </c>
      <c r="D1181" s="1" t="s">
        <v>18</v>
      </c>
      <c r="E1181" s="1" t="s">
        <v>23</v>
      </c>
      <c r="F1181" s="1" t="s">
        <v>2999</v>
      </c>
      <c r="G1181" s="39" t="s">
        <v>585</v>
      </c>
      <c r="H1181" s="1">
        <v>3</v>
      </c>
      <c r="I1181" s="1">
        <v>0</v>
      </c>
      <c r="J1181" s="39" t="s">
        <v>213</v>
      </c>
      <c r="K1181" s="1">
        <v>0</v>
      </c>
      <c r="L1181" s="1">
        <v>3</v>
      </c>
      <c r="S1181" s="1" t="str">
        <f>IF(tblDados[[#This Row],[Mandante]]="","",TEXT(tblDados[[#This Row],[Data]],"aaaa-mm-dd")&amp;"|"&amp;TRIM(tblDados[[#This Row],[Mandante]])&amp;"|"&amp;TRIM(tblDados[[#This Row],[Visitante]]))</f>
        <v>2026-05-27|SJK Akatemia 2|JS Hercules</v>
      </c>
      <c r="T1181" s="1">
        <f>IF($G1181="",0,IF(COUNTIF($S$2:$S1181,$S1181)=1,1,0))</f>
        <v>1</v>
      </c>
      <c r="U1181" s="19" t="str" cm="1">
        <f t="array" ref="U11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1" s="19" t="str" cm="1">
        <f t="array" ref="V11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2" spans="1:22" ht="14.4" x14ac:dyDescent="0.3">
      <c r="A1182" s="1" t="s">
        <v>3000</v>
      </c>
      <c r="B1182" s="102">
        <v>46137</v>
      </c>
      <c r="C1182" s="6">
        <v>0.5625</v>
      </c>
      <c r="D1182" s="1" t="s">
        <v>18</v>
      </c>
      <c r="E1182" s="1" t="s">
        <v>23</v>
      </c>
      <c r="F1182" s="1" t="s">
        <v>3001</v>
      </c>
      <c r="G1182" s="39" t="s">
        <v>574</v>
      </c>
      <c r="H1182" s="1">
        <v>3</v>
      </c>
      <c r="I1182" s="1">
        <v>5</v>
      </c>
      <c r="J1182" s="39" t="s">
        <v>213</v>
      </c>
      <c r="K1182" s="1">
        <v>5</v>
      </c>
      <c r="L1182" s="1">
        <v>3</v>
      </c>
      <c r="S1182" s="1" t="str">
        <f>IF(tblDados[[#This Row],[Mandante]]="","",TEXT(tblDados[[#This Row],[Data]],"aaaa-mm-dd")&amp;"|"&amp;TRIM(tblDados[[#This Row],[Mandante]])&amp;"|"&amp;TRIM(tblDados[[#This Row],[Visitante]]))</f>
        <v>2026-04-25|FC Vaajakoski|JS Hercules</v>
      </c>
      <c r="T1182">
        <f>IF($G1182="",0,IF(COUNTIF($S$2:$S2834,$S1182)=1,1,0))</f>
        <v>1</v>
      </c>
      <c r="U1182" s="19" t="str" cm="1">
        <f t="array" ref="U11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2" s="19" t="str" cm="1">
        <f t="array" ref="V11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3" spans="1:22" x14ac:dyDescent="0.3">
      <c r="A1183" s="1" t="s">
        <v>3002</v>
      </c>
      <c r="B1183" s="102">
        <v>46211</v>
      </c>
      <c r="C1183" s="6">
        <v>0.52083333333333337</v>
      </c>
      <c r="D1183" s="1" t="s">
        <v>18</v>
      </c>
      <c r="E1183" s="1" t="s">
        <v>23</v>
      </c>
      <c r="F1183" s="1" t="s">
        <v>3003</v>
      </c>
      <c r="G1183" s="39" t="s">
        <v>2991</v>
      </c>
      <c r="H1183" s="1">
        <v>2</v>
      </c>
      <c r="I1183" s="1">
        <v>3</v>
      </c>
      <c r="J1183" s="39" t="s">
        <v>585</v>
      </c>
      <c r="K1183" s="1">
        <v>3</v>
      </c>
      <c r="L1183" s="1">
        <v>2</v>
      </c>
      <c r="S1183" s="1" t="str">
        <f>IF(tblDados[[#This Row],[Mandante]]="","",TEXT(tblDados[[#This Row],[Data]],"aaaa-mm-dd")&amp;"|"&amp;TRIM(tblDados[[#This Row],[Mandante]])&amp;"|"&amp;TRIM(tblDados[[#This Row],[Visitante]]))</f>
        <v>2026-07-08|Jaro 2|SJK Akatemia 2</v>
      </c>
      <c r="T1183" s="1">
        <f>IF($G1183="",0,IF(COUNTIF($S$2:$S1183,$S1183)=1,1,0))</f>
        <v>1</v>
      </c>
      <c r="U1183" s="19" t="str" cm="1">
        <f t="array" ref="U11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3" s="19" t="str" cm="1">
        <f t="array" ref="V11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4" spans="1:22" x14ac:dyDescent="0.3">
      <c r="A1184" s="1" t="s">
        <v>3004</v>
      </c>
      <c r="B1184" s="102">
        <v>46203</v>
      </c>
      <c r="C1184" s="6">
        <v>0.52083333333333337</v>
      </c>
      <c r="D1184" s="1" t="s">
        <v>18</v>
      </c>
      <c r="E1184" s="1" t="s">
        <v>23</v>
      </c>
      <c r="F1184" s="1" t="s">
        <v>3005</v>
      </c>
      <c r="G1184" s="39" t="s">
        <v>585</v>
      </c>
      <c r="H1184" s="1">
        <v>3</v>
      </c>
      <c r="I1184" s="1">
        <v>0</v>
      </c>
      <c r="J1184" s="39" t="s">
        <v>574</v>
      </c>
      <c r="K1184" s="1">
        <v>0</v>
      </c>
      <c r="L1184" s="1">
        <v>3</v>
      </c>
      <c r="S1184" s="1" t="str">
        <f>IF(tblDados[[#This Row],[Mandante]]="","",TEXT(tblDados[[#This Row],[Data]],"aaaa-mm-dd")&amp;"|"&amp;TRIM(tblDados[[#This Row],[Mandante]])&amp;"|"&amp;TRIM(tblDados[[#This Row],[Visitante]]))</f>
        <v>2026-06-30|SJK Akatemia 2|FC Vaajakoski</v>
      </c>
      <c r="T1184" s="1">
        <f>IF($G1184="",0,IF(COUNTIF($S$2:$S1184,$S1184)=1,1,0))</f>
        <v>1</v>
      </c>
      <c r="U1184" s="19" t="str" cm="1">
        <f t="array" ref="U11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4" s="19" t="str" cm="1">
        <f t="array" ref="V11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5" spans="1:22" ht="14.4" x14ac:dyDescent="0.3">
      <c r="A1185" s="1" t="s">
        <v>3006</v>
      </c>
      <c r="B1185" s="102">
        <v>46185</v>
      </c>
      <c r="C1185" s="6">
        <v>0.52083333333333337</v>
      </c>
      <c r="D1185" s="1" t="s">
        <v>18</v>
      </c>
      <c r="E1185" s="1" t="s">
        <v>23</v>
      </c>
      <c r="F1185" s="1" t="s">
        <v>3007</v>
      </c>
      <c r="G1185" s="39" t="s">
        <v>568</v>
      </c>
      <c r="H1185" s="1">
        <v>3</v>
      </c>
      <c r="I1185" s="1">
        <v>0</v>
      </c>
      <c r="J1185" s="39" t="s">
        <v>585</v>
      </c>
      <c r="K1185" s="1">
        <v>0</v>
      </c>
      <c r="L1185" s="1">
        <v>3</v>
      </c>
      <c r="S1185" s="1" t="str">
        <f>IF(tblDados[[#This Row],[Mandante]]="","",TEXT(tblDados[[#This Row],[Data]],"aaaa-mm-dd")&amp;"|"&amp;TRIM(tblDados[[#This Row],[Mandante]])&amp;"|"&amp;TRIM(tblDados[[#This Row],[Visitante]]))</f>
        <v>2026-06-12|JBK|SJK Akatemia 2</v>
      </c>
      <c r="T1185">
        <f>IF($G1185="",0,IF(COUNTIF($S$2:$S2834,$S1185)=1,1,0))</f>
        <v>1</v>
      </c>
      <c r="U1185" s="19" t="str" cm="1">
        <f t="array" ref="U11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5" s="19" t="str" cm="1">
        <f t="array" ref="V11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6" spans="1:22" x14ac:dyDescent="0.3">
      <c r="A1186" s="1" t="s">
        <v>3008</v>
      </c>
      <c r="B1186" s="102">
        <v>46235</v>
      </c>
      <c r="C1186" s="6">
        <v>0.45833333333333331</v>
      </c>
      <c r="D1186" s="1" t="s">
        <v>18</v>
      </c>
      <c r="E1186" s="1" t="s">
        <v>23</v>
      </c>
      <c r="F1186" s="1" t="s">
        <v>3009</v>
      </c>
      <c r="G1186" s="39" t="s">
        <v>568</v>
      </c>
      <c r="H1186" s="1">
        <v>4</v>
      </c>
      <c r="I1186" s="1">
        <v>0</v>
      </c>
      <c r="J1186" s="39" t="s">
        <v>574</v>
      </c>
      <c r="K1186" s="1">
        <v>0</v>
      </c>
      <c r="L1186" s="1">
        <v>4</v>
      </c>
      <c r="S1186" s="1" t="str">
        <f>IF(tblDados[[#This Row],[Mandante]]="","",TEXT(tblDados[[#This Row],[Data]],"aaaa-mm-dd")&amp;"|"&amp;TRIM(tblDados[[#This Row],[Mandante]])&amp;"|"&amp;TRIM(tblDados[[#This Row],[Visitante]]))</f>
        <v>2026-08-01|JBK|FC Vaajakoski</v>
      </c>
      <c r="T1186" s="1">
        <f>IF($G1186="",0,IF(COUNTIF($S$2:$S1186,$S1186)=1,1,0))</f>
        <v>1</v>
      </c>
      <c r="U1186" s="19" t="str" cm="1">
        <f t="array" ref="U11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6" s="19" t="str" cm="1">
        <f t="array" ref="V11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7" spans="1:22" x14ac:dyDescent="0.3">
      <c r="A1187" s="1" t="s">
        <v>3010</v>
      </c>
      <c r="B1187" s="102">
        <v>46215</v>
      </c>
      <c r="C1187" s="6">
        <v>0.41666666666666669</v>
      </c>
      <c r="D1187" s="1" t="s">
        <v>18</v>
      </c>
      <c r="E1187" s="1" t="s">
        <v>23</v>
      </c>
      <c r="F1187" s="1" t="s">
        <v>3011</v>
      </c>
      <c r="G1187" s="39" t="s">
        <v>574</v>
      </c>
      <c r="H1187" s="1">
        <v>5</v>
      </c>
      <c r="I1187" s="1">
        <v>2</v>
      </c>
      <c r="J1187" s="39" t="s">
        <v>2991</v>
      </c>
      <c r="K1187" s="1">
        <v>2</v>
      </c>
      <c r="L1187" s="1">
        <v>5</v>
      </c>
      <c r="S1187" s="1" t="str">
        <f>IF(tblDados[[#This Row],[Mandante]]="","",TEXT(tblDados[[#This Row],[Data]],"aaaa-mm-dd")&amp;"|"&amp;TRIM(tblDados[[#This Row],[Mandante]])&amp;"|"&amp;TRIM(tblDados[[#This Row],[Visitante]]))</f>
        <v>2026-07-12|FC Vaajakoski|Jaro 2</v>
      </c>
      <c r="T1187" s="1">
        <f>IF($G1187="",0,IF(COUNTIF($S$2:$S1187,$S1187)=1,1,0))</f>
        <v>1</v>
      </c>
      <c r="U1187" s="19" t="str" cm="1">
        <f t="array" ref="U11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7" s="19" t="str" cm="1">
        <f t="array" ref="V11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8" spans="1:22" ht="14.4" x14ac:dyDescent="0.3">
      <c r="A1188" s="1" t="s">
        <v>3012</v>
      </c>
      <c r="B1188" s="102">
        <v>46187</v>
      </c>
      <c r="C1188" s="6">
        <v>0.5</v>
      </c>
      <c r="D1188" s="1" t="s">
        <v>18</v>
      </c>
      <c r="E1188" s="1" t="s">
        <v>23</v>
      </c>
      <c r="F1188" s="1" t="s">
        <v>3013</v>
      </c>
      <c r="G1188" s="39" t="s">
        <v>574</v>
      </c>
      <c r="H1188" s="1">
        <v>3</v>
      </c>
      <c r="I1188" s="1">
        <v>2</v>
      </c>
      <c r="J1188" s="39" t="s">
        <v>582</v>
      </c>
      <c r="K1188" s="1">
        <v>2</v>
      </c>
      <c r="L1188" s="1">
        <v>3</v>
      </c>
      <c r="S1188" s="1" t="str">
        <f>IF(tblDados[[#This Row],[Mandante]]="","",TEXT(tblDados[[#This Row],[Data]],"aaaa-mm-dd")&amp;"|"&amp;TRIM(tblDados[[#This Row],[Mandante]])&amp;"|"&amp;TRIM(tblDados[[#This Row],[Visitante]]))</f>
        <v>2026-06-14|FC Vaajakoski|TP-47</v>
      </c>
      <c r="T1188">
        <f>IF($G1188="",0,IF(COUNTIF($S$2:$S1188,$S1188)=1,1,0))</f>
        <v>1</v>
      </c>
      <c r="U1188" s="19" t="str" cm="1">
        <f t="array" ref="U11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8" s="19" t="str" cm="1">
        <f t="array" ref="V11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9" spans="1:22" x14ac:dyDescent="0.3">
      <c r="A1189" s="1" t="s">
        <v>3023</v>
      </c>
      <c r="B1189" s="102">
        <v>46221</v>
      </c>
      <c r="C1189" s="6">
        <v>0.45833333333333331</v>
      </c>
      <c r="D1189" s="1" t="s">
        <v>18</v>
      </c>
      <c r="E1189" s="1" t="s">
        <v>23</v>
      </c>
      <c r="F1189" s="1" t="s">
        <v>3024</v>
      </c>
      <c r="G1189" s="39" t="s">
        <v>2991</v>
      </c>
      <c r="H1189" s="1">
        <v>2</v>
      </c>
      <c r="I1189" s="1">
        <v>0</v>
      </c>
      <c r="J1189" s="39" t="s">
        <v>582</v>
      </c>
      <c r="K1189" s="1">
        <v>0</v>
      </c>
      <c r="L1189" s="1">
        <v>2</v>
      </c>
      <c r="S1189" s="1" t="str">
        <f>IF(tblDados[[#This Row],[Mandante]]="","",TEXT(tblDados[[#This Row],[Data]],"aaaa-mm-dd")&amp;"|"&amp;TRIM(tblDados[[#This Row],[Mandante]])&amp;"|"&amp;TRIM(tblDados[[#This Row],[Visitante]]))</f>
        <v>2026-07-18|Jaro 2|TP-47</v>
      </c>
      <c r="T1189" s="1">
        <f>IF($G1189="",0,IF(COUNTIF($S$2:$S1189,$S1189)=1,1,0))</f>
        <v>1</v>
      </c>
      <c r="U1189" s="19" t="str" cm="1">
        <f t="array" ref="U11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9" s="19" t="str" cm="1">
        <f t="array" ref="V11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0" spans="1:22" ht="14.4" x14ac:dyDescent="0.3">
      <c r="A1190" s="1" t="s">
        <v>3025</v>
      </c>
      <c r="B1190" s="102">
        <v>46215</v>
      </c>
      <c r="C1190" s="6">
        <v>0.41666666666666669</v>
      </c>
      <c r="D1190" s="1" t="s">
        <v>18</v>
      </c>
      <c r="E1190" s="1" t="s">
        <v>23</v>
      </c>
      <c r="F1190" s="1" t="s">
        <v>3026</v>
      </c>
      <c r="G1190" s="39" t="s">
        <v>585</v>
      </c>
      <c r="H1190" s="1">
        <v>0</v>
      </c>
      <c r="I1190" s="1">
        <v>0</v>
      </c>
      <c r="J1190" s="39" t="s">
        <v>582</v>
      </c>
      <c r="K1190" s="1">
        <v>0</v>
      </c>
      <c r="L1190" s="1">
        <v>0</v>
      </c>
      <c r="S1190" s="1" t="str">
        <f>IF(tblDados[[#This Row],[Mandante]]="","",TEXT(tblDados[[#This Row],[Data]],"aaaa-mm-dd")&amp;"|"&amp;TRIM(tblDados[[#This Row],[Mandante]])&amp;"|"&amp;TRIM(tblDados[[#This Row],[Visitante]]))</f>
        <v>2026-07-12|SJK Akatemia 2|TP-47</v>
      </c>
      <c r="T1190">
        <f>IF($G1190="",0,IF(COUNTIF($S$2:$S2834,$S1190)=1,1,0))</f>
        <v>1</v>
      </c>
      <c r="U1190" s="19" t="str" cm="1">
        <f t="array" ref="U11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0" s="19" t="str" cm="1">
        <f t="array" ref="V11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1" spans="1:22" ht="14.4" x14ac:dyDescent="0.3">
      <c r="A1191" s="1" t="s">
        <v>3027</v>
      </c>
      <c r="B1191" s="102">
        <v>46242</v>
      </c>
      <c r="C1191" s="6">
        <v>0.45833333333333331</v>
      </c>
      <c r="D1191" s="1" t="s">
        <v>18</v>
      </c>
      <c r="E1191" s="1" t="s">
        <v>23</v>
      </c>
      <c r="F1191" s="1" t="s">
        <v>3028</v>
      </c>
      <c r="G1191" s="39" t="s">
        <v>577</v>
      </c>
      <c r="H1191" s="1">
        <v>0</v>
      </c>
      <c r="I1191" s="1">
        <v>3</v>
      </c>
      <c r="J1191" s="39" t="s">
        <v>588</v>
      </c>
      <c r="K1191" s="1">
        <v>3</v>
      </c>
      <c r="L1191" s="1">
        <v>0</v>
      </c>
      <c r="S1191" s="1" t="str">
        <f>IF(tblDados[[#This Row],[Mandante]]="","",TEXT(tblDados[[#This Row],[Data]],"aaaa-mm-dd")&amp;"|"&amp;TRIM(tblDados[[#This Row],[Mandante]])&amp;"|"&amp;TRIM(tblDados[[#This Row],[Visitante]]))</f>
        <v>2026-08-08|GBK Kokkola|Huima / Urho</v>
      </c>
      <c r="T1191">
        <f>IF($G1191="",0,IF(COUNTIF($S$2:$S2834,$S1191)=1,1,0))</f>
        <v>1</v>
      </c>
      <c r="U1191" s="19" t="str" cm="1">
        <f t="array" ref="U11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1" s="19" t="str" cm="1">
        <f t="array" ref="V11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2" spans="1:22" ht="14.4" x14ac:dyDescent="0.3">
      <c r="A1192" s="1" t="s">
        <v>3042</v>
      </c>
      <c r="B1192" s="102">
        <v>46158</v>
      </c>
      <c r="C1192" s="6">
        <v>0.45833333333333331</v>
      </c>
      <c r="D1192" s="1" t="s">
        <v>18</v>
      </c>
      <c r="E1192" s="1" t="s">
        <v>22</v>
      </c>
      <c r="F1192" s="1" t="s">
        <v>3043</v>
      </c>
      <c r="G1192" s="39" t="s">
        <v>308</v>
      </c>
      <c r="H1192" s="1">
        <v>4</v>
      </c>
      <c r="I1192" s="1">
        <v>3</v>
      </c>
      <c r="J1192" s="39" t="s">
        <v>3029</v>
      </c>
      <c r="K1192" s="1">
        <v>3</v>
      </c>
      <c r="L1192" s="1">
        <v>4</v>
      </c>
      <c r="S1192" s="1" t="str">
        <f>IF(tblDados[[#This Row],[Mandante]]="","",TEXT(tblDados[[#This Row],[Data]],"aaaa-mm-dd")&amp;"|"&amp;TRIM(tblDados[[#This Row],[Mandante]])&amp;"|"&amp;TRIM(tblDados[[#This Row],[Visitante]]))</f>
        <v>2026-05-16|HPS|Atlantis FC</v>
      </c>
      <c r="T1192">
        <f>IF($G1192="",0,IF(COUNTIF($S$2:$S2834,$S1192)=1,1,0))</f>
        <v>1</v>
      </c>
      <c r="U1192" s="19" t="str" cm="1">
        <f t="array" ref="U11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2" s="19" t="str" cm="1">
        <f t="array" ref="V11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3" spans="1:22" ht="14.4" x14ac:dyDescent="0.3">
      <c r="A1193" s="1" t="s">
        <v>3049</v>
      </c>
      <c r="B1193" s="102">
        <v>46242</v>
      </c>
      <c r="C1193" s="6">
        <v>0.375</v>
      </c>
      <c r="D1193" s="1" t="s">
        <v>18</v>
      </c>
      <c r="E1193" s="1" t="s">
        <v>22</v>
      </c>
      <c r="F1193" s="1" t="s">
        <v>3050</v>
      </c>
      <c r="G1193" s="39" t="s">
        <v>297</v>
      </c>
      <c r="H1193" s="1">
        <v>2</v>
      </c>
      <c r="I1193" s="1">
        <v>2</v>
      </c>
      <c r="J1193" s="39" t="s">
        <v>294</v>
      </c>
      <c r="K1193" s="1">
        <v>2</v>
      </c>
      <c r="L1193" s="1">
        <v>2</v>
      </c>
      <c r="S1193" s="1" t="str">
        <f>IF(tblDados[[#This Row],[Mandante]]="","",TEXT(tblDados[[#This Row],[Data]],"aaaa-mm-dd")&amp;"|"&amp;TRIM(tblDados[[#This Row],[Mandante]])&amp;"|"&amp;TRIM(tblDados[[#This Row],[Visitante]]))</f>
        <v>2026-08-08|HIFK|PuiU</v>
      </c>
      <c r="T1193">
        <f>IF($G1193="",0,IF(COUNTIF($S$2:$S2834,$S1193)=1,1,0))</f>
        <v>1</v>
      </c>
      <c r="U1193" s="19" t="str" cm="1">
        <f t="array" ref="U11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3" s="19" t="str" cm="1">
        <f t="array" ref="V11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4" spans="1:22" x14ac:dyDescent="0.3">
      <c r="A1194" s="1" t="s">
        <v>3053</v>
      </c>
      <c r="B1194" s="102">
        <v>46241</v>
      </c>
      <c r="C1194" s="6">
        <v>0.54166666666666663</v>
      </c>
      <c r="D1194" s="1" t="s">
        <v>18</v>
      </c>
      <c r="E1194" s="1" t="s">
        <v>22</v>
      </c>
      <c r="F1194" s="1" t="s">
        <v>3054</v>
      </c>
      <c r="G1194" s="39" t="s">
        <v>304</v>
      </c>
      <c r="H1194" s="1">
        <v>1</v>
      </c>
      <c r="I1194" s="1">
        <v>0</v>
      </c>
      <c r="J1194" s="39" t="s">
        <v>306</v>
      </c>
      <c r="K1194" s="1">
        <v>0</v>
      </c>
      <c r="L1194" s="1">
        <v>1</v>
      </c>
      <c r="S1194" s="1" t="str">
        <f>IF(tblDados[[#This Row],[Mandante]]="","",TEXT(tblDados[[#This Row],[Data]],"aaaa-mm-dd")&amp;"|"&amp;TRIM(tblDados[[#This Row],[Mandante]])&amp;"|"&amp;TRIM(tblDados[[#This Row],[Visitante]]))</f>
        <v>2026-08-07|Kiffen|Union Plaani</v>
      </c>
      <c r="T1194" s="1">
        <f>IF($G1194="",0,IF(COUNTIF($S$2:$S1194,$S1194)=1,1,0))</f>
        <v>1</v>
      </c>
      <c r="U1194" s="19" t="str" cm="1">
        <f t="array" ref="U11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4" s="19" t="str" cm="1">
        <f t="array" ref="V11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5" spans="1:22" x14ac:dyDescent="0.3">
      <c r="A1195" s="1" t="s">
        <v>3055</v>
      </c>
      <c r="B1195" s="102">
        <v>46165</v>
      </c>
      <c r="C1195" s="6">
        <v>0.54166666666666663</v>
      </c>
      <c r="D1195" s="1" t="s">
        <v>18</v>
      </c>
      <c r="E1195" s="1" t="s">
        <v>22</v>
      </c>
      <c r="F1195" s="1" t="s">
        <v>3056</v>
      </c>
      <c r="G1195" s="39" t="s">
        <v>304</v>
      </c>
      <c r="H1195" s="1">
        <v>3</v>
      </c>
      <c r="I1195" s="1">
        <v>1</v>
      </c>
      <c r="J1195" s="39" t="s">
        <v>300</v>
      </c>
      <c r="K1195" s="1">
        <v>1</v>
      </c>
      <c r="L1195" s="1">
        <v>3</v>
      </c>
      <c r="S1195" s="1" t="str">
        <f>IF(tblDados[[#This Row],[Mandante]]="","",TEXT(tblDados[[#This Row],[Data]],"aaaa-mm-dd")&amp;"|"&amp;TRIM(tblDados[[#This Row],[Mandante]])&amp;"|"&amp;TRIM(tblDados[[#This Row],[Visitante]]))</f>
        <v>2026-05-23|Kiffen|MyPa</v>
      </c>
      <c r="T1195" s="1">
        <f>IF($G1195="",0,IF(COUNTIF($S$2:$S1195,$S1195)=1,1,0))</f>
        <v>1</v>
      </c>
      <c r="U1195" s="19" t="str" cm="1">
        <f t="array" ref="U11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5" s="19" t="str" cm="1">
        <f t="array" ref="V11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6" spans="1:22" ht="14.4" x14ac:dyDescent="0.3">
      <c r="A1196" s="1" t="s">
        <v>3057</v>
      </c>
      <c r="B1196" s="102">
        <v>46151</v>
      </c>
      <c r="C1196" s="6">
        <v>0.45833333333333331</v>
      </c>
      <c r="D1196" s="1" t="s">
        <v>18</v>
      </c>
      <c r="E1196" s="1" t="s">
        <v>22</v>
      </c>
      <c r="F1196" s="1" t="s">
        <v>3058</v>
      </c>
      <c r="G1196" s="39" t="s">
        <v>302</v>
      </c>
      <c r="H1196" s="1">
        <v>2</v>
      </c>
      <c r="I1196" s="1">
        <v>1</v>
      </c>
      <c r="J1196" s="39" t="s">
        <v>304</v>
      </c>
      <c r="K1196" s="1">
        <v>1</v>
      </c>
      <c r="L1196" s="1">
        <v>2</v>
      </c>
      <c r="S1196" s="1" t="str">
        <f>IF(tblDados[[#This Row],[Mandante]]="","",TEXT(tblDados[[#This Row],[Data]],"aaaa-mm-dd")&amp;"|"&amp;TRIM(tblDados[[#This Row],[Mandante]])&amp;"|"&amp;TRIM(tblDados[[#This Row],[Visitante]]))</f>
        <v>2026-05-09|PEPO|Kiffen</v>
      </c>
      <c r="T1196">
        <f>IF($G1196="",0,IF(COUNTIF($S$2:$S2834,$S1196)=1,1,0))</f>
        <v>1</v>
      </c>
      <c r="U1196" s="19" t="str" cm="1">
        <f t="array" ref="U11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6" s="19" t="str" cm="1">
        <f t="array" ref="V11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7" spans="1:22" x14ac:dyDescent="0.3">
      <c r="A1197" s="1" t="s">
        <v>3059</v>
      </c>
      <c r="B1197" s="102">
        <v>46241</v>
      </c>
      <c r="C1197" s="6">
        <v>0.54166666666666663</v>
      </c>
      <c r="D1197" s="1" t="s">
        <v>18</v>
      </c>
      <c r="E1197" s="1" t="s">
        <v>22</v>
      </c>
      <c r="F1197" s="1" t="s">
        <v>3060</v>
      </c>
      <c r="G1197" s="39" t="s">
        <v>302</v>
      </c>
      <c r="H1197" s="1">
        <v>4</v>
      </c>
      <c r="I1197" s="1">
        <v>1</v>
      </c>
      <c r="J1197" s="39" t="s">
        <v>300</v>
      </c>
      <c r="K1197" s="1">
        <v>1</v>
      </c>
      <c r="L1197" s="1">
        <v>4</v>
      </c>
      <c r="S1197" s="1" t="str">
        <f>IF(tblDados[[#This Row],[Mandante]]="","",TEXT(tblDados[[#This Row],[Data]],"aaaa-mm-dd")&amp;"|"&amp;TRIM(tblDados[[#This Row],[Mandante]])&amp;"|"&amp;TRIM(tblDados[[#This Row],[Visitante]]))</f>
        <v>2026-08-07|PEPO|MyPa</v>
      </c>
      <c r="T1197" s="1">
        <f>IF($G1197="",0,IF(COUNTIF($S$2:$S1197,$S1197)=1,1,0))</f>
        <v>1</v>
      </c>
      <c r="U1197" s="19" t="str" cm="1">
        <f t="array" ref="U11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7" s="19" t="str" cm="1">
        <f t="array" ref="V11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8" spans="1:22" x14ac:dyDescent="0.3">
      <c r="A1198" s="1" t="s">
        <v>3061</v>
      </c>
      <c r="B1198" s="102">
        <v>46228</v>
      </c>
      <c r="C1198" s="6">
        <v>0.54166666666666663</v>
      </c>
      <c r="D1198" s="1" t="s">
        <v>18</v>
      </c>
      <c r="E1198" s="1" t="s">
        <v>22</v>
      </c>
      <c r="F1198" s="1" t="s">
        <v>3062</v>
      </c>
      <c r="G1198" s="39" t="s">
        <v>3032</v>
      </c>
      <c r="H1198" s="1">
        <v>4</v>
      </c>
      <c r="I1198" s="1">
        <v>2</v>
      </c>
      <c r="J1198" s="39" t="s">
        <v>300</v>
      </c>
      <c r="K1198" s="1">
        <v>2</v>
      </c>
      <c r="L1198" s="1">
        <v>4</v>
      </c>
      <c r="S1198" s="1" t="str">
        <f>IF(tblDados[[#This Row],[Mandante]]="","",TEXT(tblDados[[#This Row],[Data]],"aaaa-mm-dd")&amp;"|"&amp;TRIM(tblDados[[#This Row],[Mandante]])&amp;"|"&amp;TRIM(tblDados[[#This Row],[Visitante]]))</f>
        <v>2026-07-25|Reipas (Lahden Reipas)|MyPa</v>
      </c>
      <c r="T1198" s="1">
        <f>IF($G1198="",0,IF(COUNTIF($S$2:$S1198,$S1198)=1,1,0))</f>
        <v>1</v>
      </c>
      <c r="U1198" s="19" t="str" cm="1">
        <f t="array" ref="U11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8" s="19" t="str" cm="1">
        <f t="array" ref="V11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9" spans="1:22" x14ac:dyDescent="0.3">
      <c r="A1199" s="1" t="s">
        <v>3063</v>
      </c>
      <c r="B1199" s="102">
        <v>46214</v>
      </c>
      <c r="C1199" s="6">
        <v>0.45833333333333331</v>
      </c>
      <c r="D1199" s="1" t="s">
        <v>18</v>
      </c>
      <c r="E1199" s="1" t="s">
        <v>22</v>
      </c>
      <c r="F1199" s="1" t="s">
        <v>3064</v>
      </c>
      <c r="G1199" s="39" t="s">
        <v>300</v>
      </c>
      <c r="H1199" s="1">
        <v>2</v>
      </c>
      <c r="I1199" s="1">
        <v>0</v>
      </c>
      <c r="J1199" s="39" t="s">
        <v>306</v>
      </c>
      <c r="K1199" s="1">
        <v>0</v>
      </c>
      <c r="L1199" s="1">
        <v>2</v>
      </c>
      <c r="S1199" s="1" t="str">
        <f>IF(tblDados[[#This Row],[Mandante]]="","",TEXT(tblDados[[#This Row],[Data]],"aaaa-mm-dd")&amp;"|"&amp;TRIM(tblDados[[#This Row],[Mandante]])&amp;"|"&amp;TRIM(tblDados[[#This Row],[Visitante]]))</f>
        <v>2026-07-11|MyPa|Union Plaani</v>
      </c>
      <c r="T1199" s="1">
        <f>IF($G1199="",0,IF(COUNTIF($S$2:$S1199,$S1199)=1,1,0))</f>
        <v>1</v>
      </c>
      <c r="U1199" s="19" t="str" cm="1">
        <f t="array" ref="U11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9" s="19" t="str" cm="1">
        <f t="array" ref="V11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00" spans="1:22" x14ac:dyDescent="0.3">
      <c r="A1200" s="1" t="s">
        <v>3065</v>
      </c>
      <c r="B1200" s="102">
        <v>46171</v>
      </c>
      <c r="C1200" s="6">
        <v>0.52083333333333337</v>
      </c>
      <c r="D1200" s="1" t="s">
        <v>18</v>
      </c>
      <c r="E1200" s="1" t="s">
        <v>22</v>
      </c>
      <c r="F1200" s="1" t="s">
        <v>3066</v>
      </c>
      <c r="G1200" s="39" t="s">
        <v>300</v>
      </c>
      <c r="H1200" s="1">
        <v>0</v>
      </c>
      <c r="I1200" s="1">
        <v>0</v>
      </c>
      <c r="J1200" s="39" t="s">
        <v>302</v>
      </c>
      <c r="K1200" s="1">
        <v>0</v>
      </c>
      <c r="L1200" s="1">
        <v>0</v>
      </c>
      <c r="S1200" s="1" t="str">
        <f>IF(tblDados[[#This Row],[Mandante]]="","",TEXT(tblDados[[#This Row],[Data]],"aaaa-mm-dd")&amp;"|"&amp;TRIM(tblDados[[#This Row],[Mandante]])&amp;"|"&amp;TRIM(tblDados[[#This Row],[Visitante]]))</f>
        <v>2026-05-29|MyPa|PEPO</v>
      </c>
      <c r="T1200" s="1">
        <f>IF($G1200="",0,IF(COUNTIF($S$2:$S1200,$S1200)=1,1,0))</f>
        <v>1</v>
      </c>
      <c r="U1200" s="19" t="str" cm="1">
        <f t="array" ref="U12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00" s="19" t="str" cm="1">
        <f t="array" ref="V12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01" spans="1:22" ht="14.4" x14ac:dyDescent="0.3">
      <c r="A1201" s="1" t="s">
        <v>3067</v>
      </c>
      <c r="B1201" s="102">
        <v>46158</v>
      </c>
      <c r="C1201" s="6">
        <v>0.45833333333333331</v>
      </c>
      <c r="D1201" s="1" t="s">
        <v>18</v>
      </c>
      <c r="E1201" s="1" t="s">
        <v>22</v>
      </c>
      <c r="F1201" s="1" t="s">
        <v>3068</v>
      </c>
      <c r="G1201" s="39" t="s">
        <v>300</v>
      </c>
      <c r="H1201" s="1">
        <v>0</v>
      </c>
      <c r="I1201" s="1">
        <v>5</v>
      </c>
      <c r="J1201" s="39" t="s">
        <v>3032</v>
      </c>
      <c r="K1201" s="1">
        <v>5</v>
      </c>
      <c r="L1201" s="1">
        <v>0</v>
      </c>
      <c r="S1201" s="1" t="str">
        <f>IF(tblDados[[#This Row],[Mandante]]="","",TEXT(tblDados[[#This Row],[Data]],"aaaa-mm-dd")&amp;"|"&amp;TRIM(tblDados[[#This Row],[Mandante]])&amp;"|"&amp;TRIM(tblDados[[#This Row],[Visitante]]))</f>
        <v>2026-05-16|MyPa|Reipas (Lahden Reipas)</v>
      </c>
      <c r="T1201">
        <f>IF($G1201="",0,IF(COUNTIF($S$2:$S2834,$S1201)=1,1,0))</f>
        <v>1</v>
      </c>
      <c r="U1201" s="19" t="str" cm="1">
        <f t="array" ref="U12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01" s="19" t="str" cm="1">
        <f t="array" ref="V12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02" spans="1:22" x14ac:dyDescent="0.3">
      <c r="A1202" s="1" t="s">
        <v>3069</v>
      </c>
      <c r="B1202" s="102">
        <v>46234</v>
      </c>
      <c r="C1202" s="6">
        <v>0.54166666666666663</v>
      </c>
      <c r="D1202" s="1" t="s">
        <v>18</v>
      </c>
      <c r="E1202" s="1" t="s">
        <v>22</v>
      </c>
      <c r="F1202" s="1" t="s">
        <v>3070</v>
      </c>
      <c r="G1202" s="39" t="s">
        <v>306</v>
      </c>
      <c r="H1202" s="1">
        <v>0</v>
      </c>
      <c r="I1202" s="1">
        <v>2</v>
      </c>
      <c r="J1202" s="39" t="s">
        <v>302</v>
      </c>
      <c r="K1202" s="1">
        <v>2</v>
      </c>
      <c r="L1202" s="1">
        <v>0</v>
      </c>
      <c r="S1202" s="1" t="str">
        <f>IF(tblDados[[#This Row],[Mandante]]="","",TEXT(tblDados[[#This Row],[Data]],"aaaa-mm-dd")&amp;"|"&amp;TRIM(tblDados[[#This Row],[Mandante]])&amp;"|"&amp;TRIM(tblDados[[#This Row],[Visitante]]))</f>
        <v>2026-07-31|Union Plaani|PEPO</v>
      </c>
      <c r="T1202" s="1">
        <f>IF($G1202="",0,IF(COUNTIF($S$2:$S1202,$S1202)=1,1,0))</f>
        <v>1</v>
      </c>
      <c r="U1202" s="19" t="str" cm="1">
        <f t="array" ref="U12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02" s="19" t="str" cm="1">
        <f t="array" ref="V12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03" spans="1:22" ht="14.4" x14ac:dyDescent="0.3">
      <c r="A1203" s="1" t="s">
        <v>3071</v>
      </c>
      <c r="B1203" s="102">
        <v>46177</v>
      </c>
      <c r="C1203" s="6">
        <v>0.54166666666666663</v>
      </c>
      <c r="D1203" s="1" t="s">
        <v>18</v>
      </c>
      <c r="E1203" s="1" t="s">
        <v>22</v>
      </c>
      <c r="F1203" s="1" t="s">
        <v>3072</v>
      </c>
      <c r="G1203" s="39" t="s">
        <v>302</v>
      </c>
      <c r="H1203" s="1">
        <v>2</v>
      </c>
      <c r="I1203" s="1">
        <v>1</v>
      </c>
      <c r="J1203" s="39" t="s">
        <v>3032</v>
      </c>
      <c r="K1203" s="1">
        <v>1</v>
      </c>
      <c r="L1203" s="1">
        <v>2</v>
      </c>
      <c r="S1203" s="1" t="str">
        <f>IF(tblDados[[#This Row],[Mandante]]="","",TEXT(tblDados[[#This Row],[Data]],"aaaa-mm-dd")&amp;"|"&amp;TRIM(tblDados[[#This Row],[Mandante]])&amp;"|"&amp;TRIM(tblDados[[#This Row],[Visitante]]))</f>
        <v>2026-06-04|PEPO|Reipas (Lahden Reipas)</v>
      </c>
      <c r="T1203">
        <f>IF($G1203="",0,IF(COUNTIF($S$2:$S2834,$S1203)=1,1,0))</f>
        <v>1</v>
      </c>
      <c r="U1203" s="19" t="str" cm="1">
        <f t="array" ref="U12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03" s="19" t="str" cm="1">
        <f t="array" ref="V12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04" spans="1:22" x14ac:dyDescent="0.3">
      <c r="A1204" s="1" t="s">
        <v>3073</v>
      </c>
      <c r="B1204" s="102">
        <v>46186</v>
      </c>
      <c r="C1204" s="6">
        <v>0.4375</v>
      </c>
      <c r="D1204" s="1" t="s">
        <v>18</v>
      </c>
      <c r="E1204" s="1" t="s">
        <v>22</v>
      </c>
      <c r="F1204" s="1" t="s">
        <v>3074</v>
      </c>
      <c r="G1204" s="39" t="s">
        <v>3032</v>
      </c>
      <c r="H1204" s="1">
        <v>4</v>
      </c>
      <c r="I1204" s="1">
        <v>2</v>
      </c>
      <c r="J1204" s="39" t="s">
        <v>306</v>
      </c>
      <c r="K1204" s="1">
        <v>2</v>
      </c>
      <c r="L1204" s="1">
        <v>4</v>
      </c>
      <c r="S1204" s="1" t="str">
        <f>IF(tblDados[[#This Row],[Mandante]]="","",TEXT(tblDados[[#This Row],[Data]],"aaaa-mm-dd")&amp;"|"&amp;TRIM(tblDados[[#This Row],[Mandante]])&amp;"|"&amp;TRIM(tblDados[[#This Row],[Visitante]]))</f>
        <v>2026-06-13|Reipas (Lahden Reipas)|Union Plaani</v>
      </c>
      <c r="T1204" s="1">
        <f>IF($G1204="",0,IF(COUNTIF($S$2:$S1204,$S1204)=1,1,0))</f>
        <v>1</v>
      </c>
      <c r="U1204" s="19" t="str" cm="1">
        <f t="array" ref="U12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04" s="19" t="str" cm="1">
        <f t="array" ref="V12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05" spans="1:22" x14ac:dyDescent="0.3">
      <c r="A1205" s="1" t="s">
        <v>3075</v>
      </c>
      <c r="B1205" s="102">
        <v>46165</v>
      </c>
      <c r="C1205" s="6">
        <v>0.45833333333333331</v>
      </c>
      <c r="D1205" s="1" t="s">
        <v>18</v>
      </c>
      <c r="E1205" s="1" t="s">
        <v>22</v>
      </c>
      <c r="F1205" s="1" t="s">
        <v>3076</v>
      </c>
      <c r="G1205" s="39" t="s">
        <v>302</v>
      </c>
      <c r="H1205" s="1">
        <v>1</v>
      </c>
      <c r="I1205" s="1">
        <v>1</v>
      </c>
      <c r="J1205" s="39" t="s">
        <v>306</v>
      </c>
      <c r="K1205" s="1">
        <v>1</v>
      </c>
      <c r="L1205" s="1">
        <v>1</v>
      </c>
      <c r="S1205" s="1" t="str">
        <f>IF(tblDados[[#This Row],[Mandante]]="","",TEXT(tblDados[[#This Row],[Data]],"aaaa-mm-dd")&amp;"|"&amp;TRIM(tblDados[[#This Row],[Mandante]])&amp;"|"&amp;TRIM(tblDados[[#This Row],[Visitante]]))</f>
        <v>2026-05-23|PEPO|Union Plaani</v>
      </c>
      <c r="T1205" s="1">
        <f>IF($G1205="",0,IF(COUNTIF($S$2:$S1205,$S1205)=1,1,0))</f>
        <v>1</v>
      </c>
      <c r="U1205" s="19" t="str" cm="1">
        <f t="array" ref="U12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05" s="19" t="str" cm="1">
        <f t="array" ref="V12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06" spans="1:22" ht="14.4" x14ac:dyDescent="0.3">
      <c r="A1206" s="1" t="s">
        <v>3077</v>
      </c>
      <c r="B1206" s="102">
        <v>46171</v>
      </c>
      <c r="C1206" s="6">
        <v>0.54166666666666663</v>
      </c>
      <c r="D1206" s="1" t="s">
        <v>18</v>
      </c>
      <c r="E1206" s="1" t="s">
        <v>22</v>
      </c>
      <c r="F1206" s="1" t="s">
        <v>3078</v>
      </c>
      <c r="G1206" s="39" t="s">
        <v>306</v>
      </c>
      <c r="H1206" s="1">
        <v>0</v>
      </c>
      <c r="I1206" s="1">
        <v>2</v>
      </c>
      <c r="J1206" s="39" t="s">
        <v>304</v>
      </c>
      <c r="K1206" s="1">
        <v>2</v>
      </c>
      <c r="L1206" s="1">
        <v>0</v>
      </c>
      <c r="S1206" s="1" t="str">
        <f>IF(tblDados[[#This Row],[Mandante]]="","",TEXT(tblDados[[#This Row],[Data]],"aaaa-mm-dd")&amp;"|"&amp;TRIM(tblDados[[#This Row],[Mandante]])&amp;"|"&amp;TRIM(tblDados[[#This Row],[Visitante]]))</f>
        <v>2026-05-29|Union Plaani|Kiffen</v>
      </c>
      <c r="T1206">
        <f>IF($G1206="",0,IF(COUNTIF($S$2:$S2834,$S1206)=1,1,0))</f>
        <v>1</v>
      </c>
      <c r="U1206" s="19" t="str" cm="1">
        <f t="array" ref="U12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06" s="19" t="str" cm="1">
        <f t="array" ref="V12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07" spans="1:22" x14ac:dyDescent="0.3">
      <c r="A1207" s="1" t="s">
        <v>3392</v>
      </c>
      <c r="B1207" s="5">
        <v>46227</v>
      </c>
      <c r="C1207" s="6">
        <v>0.89583333333333337</v>
      </c>
      <c r="D1207" s="1" t="s">
        <v>16</v>
      </c>
      <c r="E1207" s="1" t="s">
        <v>3471</v>
      </c>
      <c r="F1207" s="1" t="s">
        <v>3393</v>
      </c>
      <c r="G1207" s="39" t="s">
        <v>224</v>
      </c>
      <c r="H1207" s="1">
        <v>3</v>
      </c>
      <c r="I1207" s="1">
        <v>1</v>
      </c>
      <c r="J1207" s="39" t="s">
        <v>3394</v>
      </c>
      <c r="K1207" s="1">
        <v>1</v>
      </c>
      <c r="L1207" s="1">
        <v>3</v>
      </c>
      <c r="S1207" s="1" t="s">
        <v>3395</v>
      </c>
      <c r="T1207" s="1">
        <v>1</v>
      </c>
      <c r="U1207" s="19"/>
      <c r="V1207" s="19"/>
    </row>
    <row r="1208" spans="1:22" x14ac:dyDescent="0.3">
      <c r="A1208" s="1" t="s">
        <v>3396</v>
      </c>
      <c r="B1208" s="5">
        <v>46186</v>
      </c>
      <c r="C1208" s="6">
        <v>0.77083333333333337</v>
      </c>
      <c r="D1208" s="1" t="s">
        <v>16</v>
      </c>
      <c r="E1208" s="1" t="s">
        <v>3471</v>
      </c>
      <c r="F1208" s="1" t="s">
        <v>3397</v>
      </c>
      <c r="G1208" s="39" t="s">
        <v>224</v>
      </c>
      <c r="H1208" s="1">
        <v>3</v>
      </c>
      <c r="I1208" s="1">
        <v>0</v>
      </c>
      <c r="J1208" s="39" t="s">
        <v>3398</v>
      </c>
      <c r="K1208" s="1">
        <v>0</v>
      </c>
      <c r="L1208" s="1">
        <v>3</v>
      </c>
      <c r="S1208" s="1" t="s">
        <v>3399</v>
      </c>
      <c r="T1208" s="1">
        <v>1</v>
      </c>
      <c r="U1208" s="19"/>
      <c r="V1208" s="19"/>
    </row>
    <row r="1209" spans="1:22" x14ac:dyDescent="0.3">
      <c r="A1209" s="1" t="s">
        <v>3400</v>
      </c>
      <c r="B1209" s="5">
        <v>46172</v>
      </c>
      <c r="C1209" s="6">
        <v>0.66666666666666663</v>
      </c>
      <c r="D1209" s="1" t="s">
        <v>16</v>
      </c>
      <c r="E1209" s="1" t="s">
        <v>3471</v>
      </c>
      <c r="F1209" s="1" t="s">
        <v>3401</v>
      </c>
      <c r="G1209" s="39" t="s">
        <v>3402</v>
      </c>
      <c r="H1209" s="1">
        <v>2</v>
      </c>
      <c r="I1209" s="1">
        <v>4</v>
      </c>
      <c r="J1209" s="39" t="s">
        <v>224</v>
      </c>
      <c r="K1209" s="1">
        <v>4</v>
      </c>
      <c r="L1209" s="1">
        <v>2</v>
      </c>
      <c r="S1209" s="1" t="s">
        <v>3403</v>
      </c>
      <c r="T1209" s="1">
        <v>1</v>
      </c>
      <c r="U1209" s="19"/>
      <c r="V1209" s="19"/>
    </row>
    <row r="1210" spans="1:22" x14ac:dyDescent="0.3">
      <c r="A1210" s="1" t="s">
        <v>3404</v>
      </c>
      <c r="B1210" s="5">
        <v>46166</v>
      </c>
      <c r="C1210" s="6">
        <v>0.79166666666666663</v>
      </c>
      <c r="D1210" s="1" t="s">
        <v>16</v>
      </c>
      <c r="E1210" s="1" t="s">
        <v>3471</v>
      </c>
      <c r="F1210" s="1" t="s">
        <v>3405</v>
      </c>
      <c r="G1210" s="39" t="s">
        <v>3406</v>
      </c>
      <c r="H1210" s="1">
        <v>1</v>
      </c>
      <c r="I1210" s="1">
        <v>2</v>
      </c>
      <c r="J1210" s="39" t="s">
        <v>224</v>
      </c>
      <c r="K1210" s="1">
        <v>2</v>
      </c>
      <c r="L1210" s="1">
        <v>1</v>
      </c>
      <c r="S1210" s="1" t="s">
        <v>3407</v>
      </c>
      <c r="T1210" s="1">
        <v>1</v>
      </c>
      <c r="U1210" s="19"/>
      <c r="V1210" s="19"/>
    </row>
    <row r="1211" spans="1:22" x14ac:dyDescent="0.3">
      <c r="A1211" s="1" t="s">
        <v>3408</v>
      </c>
      <c r="B1211" s="5">
        <v>46159</v>
      </c>
      <c r="C1211" s="6">
        <v>0.77083333333333337</v>
      </c>
      <c r="D1211" s="1" t="s">
        <v>16</v>
      </c>
      <c r="E1211" s="1" t="s">
        <v>3471</v>
      </c>
      <c r="F1211" s="1" t="s">
        <v>3409</v>
      </c>
      <c r="G1211" s="39" t="s">
        <v>224</v>
      </c>
      <c r="H1211" s="1">
        <v>6</v>
      </c>
      <c r="I1211" s="1">
        <v>2</v>
      </c>
      <c r="J1211" s="39" t="s">
        <v>3410</v>
      </c>
      <c r="K1211" s="1">
        <v>2</v>
      </c>
      <c r="L1211" s="1">
        <v>6</v>
      </c>
      <c r="S1211" s="1" t="s">
        <v>3411</v>
      </c>
      <c r="T1211" s="1">
        <v>1</v>
      </c>
      <c r="U1211" s="19"/>
      <c r="V1211" s="19"/>
    </row>
    <row r="1212" spans="1:22" x14ac:dyDescent="0.3">
      <c r="A1212" s="1" t="s">
        <v>3412</v>
      </c>
      <c r="B1212" s="5">
        <v>46145</v>
      </c>
      <c r="C1212" s="6">
        <v>0.77083333333333337</v>
      </c>
      <c r="D1212" s="1" t="s">
        <v>16</v>
      </c>
      <c r="E1212" s="1" t="s">
        <v>3471</v>
      </c>
      <c r="F1212" s="1" t="s">
        <v>3413</v>
      </c>
      <c r="G1212" s="39" t="s">
        <v>224</v>
      </c>
      <c r="H1212" s="1">
        <v>3</v>
      </c>
      <c r="I1212" s="1">
        <v>1</v>
      </c>
      <c r="J1212" s="39" t="s">
        <v>3414</v>
      </c>
      <c r="K1212" s="1">
        <v>1</v>
      </c>
      <c r="L1212" s="1">
        <v>3</v>
      </c>
      <c r="S1212" s="1" t="s">
        <v>3415</v>
      </c>
      <c r="T1212" s="1">
        <v>1</v>
      </c>
      <c r="U1212" s="19"/>
      <c r="V1212" s="19"/>
    </row>
    <row r="1213" spans="1:22" x14ac:dyDescent="0.3">
      <c r="A1213" s="1" t="s">
        <v>3416</v>
      </c>
      <c r="B1213" s="5">
        <v>46138</v>
      </c>
      <c r="C1213" s="6">
        <v>0.5</v>
      </c>
      <c r="D1213" s="1" t="s">
        <v>16</v>
      </c>
      <c r="E1213" s="1" t="s">
        <v>3471</v>
      </c>
      <c r="F1213" s="1" t="s">
        <v>3417</v>
      </c>
      <c r="G1213" s="39" t="s">
        <v>3418</v>
      </c>
      <c r="H1213" s="1">
        <v>1</v>
      </c>
      <c r="I1213" s="1">
        <v>2</v>
      </c>
      <c r="J1213" s="39" t="s">
        <v>224</v>
      </c>
      <c r="K1213" s="1">
        <v>2</v>
      </c>
      <c r="L1213" s="1">
        <v>1</v>
      </c>
      <c r="S1213" s="1" t="s">
        <v>3419</v>
      </c>
      <c r="T1213" s="1">
        <v>1</v>
      </c>
      <c r="U1213" s="19"/>
      <c r="V1213" s="19"/>
    </row>
    <row r="1214" spans="1:22" x14ac:dyDescent="0.3">
      <c r="A1214" s="1" t="s">
        <v>3420</v>
      </c>
      <c r="B1214" s="5">
        <v>46131</v>
      </c>
      <c r="C1214" s="6">
        <v>0.64583333333333337</v>
      </c>
      <c r="D1214" s="1" t="s">
        <v>16</v>
      </c>
      <c r="E1214" s="1" t="s">
        <v>3471</v>
      </c>
      <c r="F1214" s="1" t="s">
        <v>3421</v>
      </c>
      <c r="G1214" s="39" t="s">
        <v>224</v>
      </c>
      <c r="H1214" s="1">
        <v>0</v>
      </c>
      <c r="I1214" s="1">
        <v>1</v>
      </c>
      <c r="J1214" s="39" t="s">
        <v>3422</v>
      </c>
      <c r="K1214" s="1">
        <v>1</v>
      </c>
      <c r="L1214" s="1">
        <v>0</v>
      </c>
      <c r="S1214" s="1" t="s">
        <v>3423</v>
      </c>
      <c r="T1214" s="1">
        <v>1</v>
      </c>
      <c r="U1214" s="19"/>
      <c r="V1214" s="19"/>
    </row>
    <row r="1215" spans="1:22" x14ac:dyDescent="0.3">
      <c r="A1215" s="1" t="s">
        <v>3424</v>
      </c>
      <c r="B1215" s="5">
        <v>46117</v>
      </c>
      <c r="C1215" s="6">
        <v>0.6875</v>
      </c>
      <c r="D1215" s="1" t="s">
        <v>16</v>
      </c>
      <c r="E1215" s="1" t="s">
        <v>3471</v>
      </c>
      <c r="F1215" s="1" t="s">
        <v>3425</v>
      </c>
      <c r="G1215" s="39" t="s">
        <v>3426</v>
      </c>
      <c r="H1215" s="1">
        <v>0</v>
      </c>
      <c r="I1215" s="1">
        <v>1</v>
      </c>
      <c r="J1215" s="39" t="s">
        <v>224</v>
      </c>
      <c r="K1215" s="1">
        <v>1</v>
      </c>
      <c r="L1215" s="1">
        <v>0</v>
      </c>
      <c r="S1215" s="1" t="s">
        <v>3427</v>
      </c>
      <c r="T1215" s="1">
        <v>1</v>
      </c>
      <c r="U1215" s="19"/>
      <c r="V1215" s="19"/>
    </row>
    <row r="1216" spans="1:22" x14ac:dyDescent="0.3">
      <c r="A1216" s="1" t="s">
        <v>3428</v>
      </c>
      <c r="B1216" s="5">
        <v>46097</v>
      </c>
      <c r="C1216" s="6">
        <v>0.6875</v>
      </c>
      <c r="D1216" s="1" t="s">
        <v>16</v>
      </c>
      <c r="E1216" s="1" t="s">
        <v>3471</v>
      </c>
      <c r="F1216" s="1" t="s">
        <v>3429</v>
      </c>
      <c r="G1216" s="39" t="s">
        <v>224</v>
      </c>
      <c r="H1216" s="1">
        <v>2</v>
      </c>
      <c r="I1216" s="1">
        <v>0</v>
      </c>
      <c r="J1216" s="39" t="s">
        <v>3430</v>
      </c>
      <c r="K1216" s="1">
        <v>0</v>
      </c>
      <c r="L1216" s="1">
        <v>2</v>
      </c>
      <c r="S1216" s="1" t="s">
        <v>3431</v>
      </c>
      <c r="T1216" s="1">
        <v>1</v>
      </c>
      <c r="U1216" s="19"/>
      <c r="V1216" s="19"/>
    </row>
    <row r="1217" spans="1:22" x14ac:dyDescent="0.3">
      <c r="A1217" s="1" t="s">
        <v>3432</v>
      </c>
      <c r="B1217" s="5">
        <v>46088</v>
      </c>
      <c r="C1217" s="6">
        <v>0.75</v>
      </c>
      <c r="D1217" s="1" t="s">
        <v>16</v>
      </c>
      <c r="E1217" s="1" t="s">
        <v>3471</v>
      </c>
      <c r="F1217" s="1" t="s">
        <v>3433</v>
      </c>
      <c r="G1217" s="39" t="s">
        <v>3434</v>
      </c>
      <c r="H1217" s="1">
        <v>0</v>
      </c>
      <c r="I1217" s="1">
        <v>1</v>
      </c>
      <c r="J1217" s="39" t="s">
        <v>224</v>
      </c>
      <c r="K1217" s="1">
        <v>1</v>
      </c>
      <c r="L1217" s="1">
        <v>0</v>
      </c>
      <c r="S1217" s="1" t="s">
        <v>3435</v>
      </c>
      <c r="T1217" s="1">
        <v>1</v>
      </c>
      <c r="U1217" s="19"/>
      <c r="V1217" s="19"/>
    </row>
    <row r="1218" spans="1:22" x14ac:dyDescent="0.3">
      <c r="A1218" s="1" t="s">
        <v>3436</v>
      </c>
      <c r="B1218" s="5">
        <v>46241</v>
      </c>
      <c r="C1218" s="6">
        <v>0.89583333333333337</v>
      </c>
      <c r="D1218" s="1" t="s">
        <v>16</v>
      </c>
      <c r="E1218" s="1" t="s">
        <v>3471</v>
      </c>
      <c r="F1218" s="1" t="s">
        <v>3437</v>
      </c>
      <c r="G1218" s="39" t="s">
        <v>3406</v>
      </c>
      <c r="H1218" s="1">
        <v>2</v>
      </c>
      <c r="I1218" s="1">
        <v>0</v>
      </c>
      <c r="J1218" s="39" t="s">
        <v>3398</v>
      </c>
      <c r="K1218" s="1">
        <v>0</v>
      </c>
      <c r="L1218" s="1">
        <v>2</v>
      </c>
      <c r="S1218" s="1" t="s">
        <v>3438</v>
      </c>
      <c r="T1218" s="1">
        <v>1</v>
      </c>
      <c r="U1218" s="19"/>
      <c r="V1218" s="19"/>
    </row>
    <row r="1219" spans="1:22" x14ac:dyDescent="0.3">
      <c r="A1219" s="1" t="s">
        <v>3439</v>
      </c>
      <c r="B1219" s="5">
        <v>46236</v>
      </c>
      <c r="C1219" s="6">
        <v>0.5625</v>
      </c>
      <c r="D1219" s="1" t="s">
        <v>16</v>
      </c>
      <c r="E1219" s="1" t="s">
        <v>3471</v>
      </c>
      <c r="F1219" s="1" t="s">
        <v>3440</v>
      </c>
      <c r="G1219" s="39" t="s">
        <v>3426</v>
      </c>
      <c r="H1219" s="1">
        <v>3</v>
      </c>
      <c r="I1219" s="1">
        <v>0</v>
      </c>
      <c r="J1219" s="39" t="s">
        <v>3406</v>
      </c>
      <c r="K1219" s="1">
        <v>0</v>
      </c>
      <c r="L1219" s="1">
        <v>3</v>
      </c>
      <c r="S1219" s="1" t="s">
        <v>3441</v>
      </c>
      <c r="T1219" s="1">
        <v>1</v>
      </c>
      <c r="U1219" s="19"/>
      <c r="V1219" s="19"/>
    </row>
    <row r="1220" spans="1:22" x14ac:dyDescent="0.3">
      <c r="A1220" s="1" t="s">
        <v>3442</v>
      </c>
      <c r="B1220" s="5">
        <v>46228</v>
      </c>
      <c r="C1220" s="6">
        <v>0.875</v>
      </c>
      <c r="D1220" s="1" t="s">
        <v>16</v>
      </c>
      <c r="E1220" s="1" t="s">
        <v>3471</v>
      </c>
      <c r="F1220" s="1" t="s">
        <v>3443</v>
      </c>
      <c r="G1220" s="39" t="s">
        <v>3406</v>
      </c>
      <c r="H1220" s="1">
        <v>3</v>
      </c>
      <c r="I1220" s="1">
        <v>3</v>
      </c>
      <c r="J1220" s="39" t="s">
        <v>3402</v>
      </c>
      <c r="K1220" s="1">
        <v>3</v>
      </c>
      <c r="L1220" s="1">
        <v>3</v>
      </c>
      <c r="S1220" s="1" t="s">
        <v>3444</v>
      </c>
      <c r="T1220" s="1">
        <v>1</v>
      </c>
      <c r="U1220" s="19"/>
      <c r="V1220" s="19"/>
    </row>
    <row r="1221" spans="1:22" x14ac:dyDescent="0.3">
      <c r="A1221" s="1" t="s">
        <v>3445</v>
      </c>
      <c r="B1221" s="5">
        <v>46187</v>
      </c>
      <c r="C1221" s="6">
        <v>0.77083333333333337</v>
      </c>
      <c r="D1221" s="1" t="s">
        <v>16</v>
      </c>
      <c r="E1221" s="1" t="s">
        <v>3471</v>
      </c>
      <c r="F1221" s="1" t="s">
        <v>3446</v>
      </c>
      <c r="G1221" s="39" t="s">
        <v>3406</v>
      </c>
      <c r="H1221" s="1">
        <v>5</v>
      </c>
      <c r="I1221" s="1">
        <v>1</v>
      </c>
      <c r="J1221" s="39" t="s">
        <v>3418</v>
      </c>
      <c r="K1221" s="1">
        <v>1</v>
      </c>
      <c r="L1221" s="1">
        <v>5</v>
      </c>
      <c r="S1221" s="1" t="s">
        <v>3447</v>
      </c>
      <c r="T1221" s="1">
        <v>1</v>
      </c>
      <c r="U1221" s="19"/>
      <c r="V1221" s="19"/>
    </row>
    <row r="1222" spans="1:22" x14ac:dyDescent="0.3">
      <c r="A1222" s="1" t="s">
        <v>3448</v>
      </c>
      <c r="B1222" s="5">
        <v>46173</v>
      </c>
      <c r="C1222" s="6">
        <v>0.66666666666666663</v>
      </c>
      <c r="D1222" s="1" t="s">
        <v>16</v>
      </c>
      <c r="E1222" s="1" t="s">
        <v>3471</v>
      </c>
      <c r="F1222" s="1" t="s">
        <v>3449</v>
      </c>
      <c r="G1222" s="39" t="s">
        <v>3430</v>
      </c>
      <c r="H1222" s="1">
        <v>0</v>
      </c>
      <c r="I1222" s="1">
        <v>3</v>
      </c>
      <c r="J1222" s="39" t="s">
        <v>3406</v>
      </c>
      <c r="K1222" s="1">
        <v>3</v>
      </c>
      <c r="L1222" s="1">
        <v>0</v>
      </c>
      <c r="S1222" s="1" t="s">
        <v>3450</v>
      </c>
      <c r="T1222" s="1">
        <v>1</v>
      </c>
      <c r="U1222" s="19"/>
      <c r="V1222" s="19"/>
    </row>
    <row r="1223" spans="1:22" x14ac:dyDescent="0.3">
      <c r="A1223" s="1" t="s">
        <v>3451</v>
      </c>
      <c r="B1223" s="5">
        <v>46158</v>
      </c>
      <c r="C1223" s="6">
        <v>0.875</v>
      </c>
      <c r="D1223" s="1" t="s">
        <v>16</v>
      </c>
      <c r="E1223" s="1" t="s">
        <v>3471</v>
      </c>
      <c r="F1223" s="1" t="s">
        <v>3452</v>
      </c>
      <c r="G1223" s="39" t="s">
        <v>3394</v>
      </c>
      <c r="H1223" s="1">
        <v>0</v>
      </c>
      <c r="I1223" s="1">
        <v>2</v>
      </c>
      <c r="J1223" s="39" t="s">
        <v>3406</v>
      </c>
      <c r="K1223" s="1">
        <v>2</v>
      </c>
      <c r="L1223" s="1">
        <v>0</v>
      </c>
      <c r="S1223" s="1" t="s">
        <v>3453</v>
      </c>
      <c r="T1223" s="1">
        <v>1</v>
      </c>
      <c r="U1223" s="19"/>
      <c r="V1223" s="19"/>
    </row>
    <row r="1224" spans="1:22" x14ac:dyDescent="0.3">
      <c r="A1224" s="1" t="s">
        <v>3454</v>
      </c>
      <c r="B1224" s="5">
        <v>46137</v>
      </c>
      <c r="C1224" s="6">
        <v>0.79166666666666663</v>
      </c>
      <c r="D1224" s="1" t="s">
        <v>16</v>
      </c>
      <c r="E1224" s="1" t="s">
        <v>3471</v>
      </c>
      <c r="F1224" s="1" t="s">
        <v>3455</v>
      </c>
      <c r="G1224" s="39" t="s">
        <v>3456</v>
      </c>
      <c r="H1224" s="1">
        <v>1</v>
      </c>
      <c r="I1224" s="1">
        <v>0</v>
      </c>
      <c r="J1224" s="39" t="s">
        <v>3406</v>
      </c>
      <c r="K1224" s="1">
        <v>0</v>
      </c>
      <c r="L1224" s="1">
        <v>1</v>
      </c>
      <c r="S1224" s="1" t="s">
        <v>3457</v>
      </c>
      <c r="T1224" s="1">
        <v>1</v>
      </c>
      <c r="U1224" s="19"/>
      <c r="V1224" s="19"/>
    </row>
    <row r="1225" spans="1:22" x14ac:dyDescent="0.3">
      <c r="A1225" s="1" t="s">
        <v>3458</v>
      </c>
      <c r="B1225" s="5">
        <v>46132</v>
      </c>
      <c r="C1225" s="6">
        <v>0.89583333333333337</v>
      </c>
      <c r="D1225" s="1" t="s">
        <v>16</v>
      </c>
      <c r="E1225" s="1" t="s">
        <v>3471</v>
      </c>
      <c r="F1225" s="1" t="s">
        <v>3459</v>
      </c>
      <c r="G1225" s="39" t="s">
        <v>3406</v>
      </c>
      <c r="H1225" s="1">
        <v>1</v>
      </c>
      <c r="I1225" s="1">
        <v>2</v>
      </c>
      <c r="J1225" s="39" t="s">
        <v>3460</v>
      </c>
      <c r="K1225" s="1">
        <v>2</v>
      </c>
      <c r="L1225" s="1">
        <v>1</v>
      </c>
      <c r="S1225" s="1" t="s">
        <v>3461</v>
      </c>
      <c r="T1225" s="1">
        <v>1</v>
      </c>
      <c r="U1225" s="19"/>
      <c r="V1225" s="19"/>
    </row>
    <row r="1226" spans="1:22" x14ac:dyDescent="0.3">
      <c r="A1226" s="1" t="s">
        <v>3462</v>
      </c>
      <c r="B1226" s="5">
        <v>46123</v>
      </c>
      <c r="C1226" s="6">
        <v>0.77083333333333337</v>
      </c>
      <c r="D1226" s="1" t="s">
        <v>16</v>
      </c>
      <c r="E1226" s="1" t="s">
        <v>3471</v>
      </c>
      <c r="F1226" s="1" t="s">
        <v>3463</v>
      </c>
      <c r="G1226" s="39" t="s">
        <v>3434</v>
      </c>
      <c r="H1226" s="1">
        <v>3</v>
      </c>
      <c r="I1226" s="1">
        <v>4</v>
      </c>
      <c r="J1226" s="39" t="s">
        <v>3406</v>
      </c>
      <c r="K1226" s="1">
        <v>4</v>
      </c>
      <c r="L1226" s="1">
        <v>3</v>
      </c>
      <c r="S1226" s="1" t="s">
        <v>3464</v>
      </c>
      <c r="T1226" s="1">
        <v>1</v>
      </c>
      <c r="U1226" s="19"/>
      <c r="V1226" s="19"/>
    </row>
    <row r="1227" spans="1:22" x14ac:dyDescent="0.3">
      <c r="A1227" s="1" t="s">
        <v>3465</v>
      </c>
      <c r="B1227" s="5">
        <v>46114</v>
      </c>
      <c r="C1227" s="6">
        <v>0.625</v>
      </c>
      <c r="D1227" s="1" t="s">
        <v>16</v>
      </c>
      <c r="E1227" s="1" t="s">
        <v>3471</v>
      </c>
      <c r="F1227" s="1" t="s">
        <v>3466</v>
      </c>
      <c r="G1227" s="39" t="s">
        <v>3406</v>
      </c>
      <c r="H1227" s="1">
        <v>6</v>
      </c>
      <c r="I1227" s="1">
        <v>1</v>
      </c>
      <c r="J1227" s="39" t="s">
        <v>3422</v>
      </c>
      <c r="K1227" s="1">
        <v>1</v>
      </c>
      <c r="L1227" s="1">
        <v>6</v>
      </c>
      <c r="S1227" s="1" t="s">
        <v>3467</v>
      </c>
      <c r="T1227" s="1">
        <v>1</v>
      </c>
      <c r="U1227" s="19"/>
      <c r="V1227" s="19"/>
    </row>
    <row r="1228" spans="1:22" x14ac:dyDescent="0.3">
      <c r="A1228" s="1" t="s">
        <v>3468</v>
      </c>
      <c r="B1228" s="5">
        <v>46095</v>
      </c>
      <c r="C1228" s="6">
        <v>0.85416666666666663</v>
      </c>
      <c r="D1228" s="1" t="s">
        <v>16</v>
      </c>
      <c r="E1228" s="1" t="s">
        <v>3471</v>
      </c>
      <c r="F1228" s="1" t="s">
        <v>3469</v>
      </c>
      <c r="G1228" s="39" t="s">
        <v>3406</v>
      </c>
      <c r="H1228" s="1">
        <v>2</v>
      </c>
      <c r="I1228" s="1">
        <v>2</v>
      </c>
      <c r="J1228" s="39" t="s">
        <v>223</v>
      </c>
      <c r="K1228" s="1">
        <v>2</v>
      </c>
      <c r="L1228" s="1">
        <v>2</v>
      </c>
      <c r="S1228" s="1" t="s">
        <v>3470</v>
      </c>
      <c r="T1228" s="1">
        <v>1</v>
      </c>
      <c r="U1228" s="19"/>
      <c r="V1228" s="19"/>
    </row>
    <row r="1229" spans="1:22" x14ac:dyDescent="0.3">
      <c r="A1229" s="1" t="s">
        <v>3473</v>
      </c>
      <c r="B1229" s="5">
        <v>46236</v>
      </c>
      <c r="C1229" s="6">
        <v>0.77083333333333337</v>
      </c>
      <c r="D1229" s="1" t="s">
        <v>16</v>
      </c>
      <c r="E1229" s="1" t="s">
        <v>3471</v>
      </c>
      <c r="F1229" s="1" t="s">
        <v>3474</v>
      </c>
      <c r="G1229" s="39" t="s">
        <v>3456</v>
      </c>
      <c r="H1229" s="1">
        <v>2</v>
      </c>
      <c r="I1229" s="1">
        <v>0</v>
      </c>
      <c r="J1229" s="39" t="s">
        <v>3430</v>
      </c>
      <c r="K1229" s="1">
        <v>0</v>
      </c>
      <c r="L1229" s="1">
        <v>2</v>
      </c>
      <c r="S1229" s="1" t="s">
        <v>3475</v>
      </c>
      <c r="T1229" s="1">
        <v>1</v>
      </c>
      <c r="U1229" s="19"/>
      <c r="V1229" s="19"/>
    </row>
    <row r="1230" spans="1:22" x14ac:dyDescent="0.3">
      <c r="A1230" s="1" t="s">
        <v>3476</v>
      </c>
      <c r="B1230" s="5">
        <v>46229</v>
      </c>
      <c r="C1230" s="6">
        <v>0.77083333333333337</v>
      </c>
      <c r="D1230" s="1" t="s">
        <v>16</v>
      </c>
      <c r="E1230" s="1" t="s">
        <v>3471</v>
      </c>
      <c r="F1230" s="1" t="s">
        <v>3477</v>
      </c>
      <c r="G1230" s="39" t="s">
        <v>3434</v>
      </c>
      <c r="H1230" s="1">
        <v>1</v>
      </c>
      <c r="I1230" s="1">
        <v>2</v>
      </c>
      <c r="J1230" s="39" t="s">
        <v>3456</v>
      </c>
      <c r="K1230" s="1">
        <v>2</v>
      </c>
      <c r="L1230" s="1">
        <v>1</v>
      </c>
      <c r="S1230" s="1" t="s">
        <v>3478</v>
      </c>
      <c r="T1230" s="1">
        <v>1</v>
      </c>
      <c r="U1230" s="19"/>
      <c r="V1230" s="19"/>
    </row>
    <row r="1231" spans="1:22" x14ac:dyDescent="0.3">
      <c r="A1231" s="1" t="s">
        <v>3479</v>
      </c>
      <c r="B1231" s="5">
        <v>46191</v>
      </c>
      <c r="C1231" s="6">
        <v>0.875</v>
      </c>
      <c r="D1231" s="1" t="s">
        <v>16</v>
      </c>
      <c r="E1231" s="1" t="s">
        <v>3471</v>
      </c>
      <c r="F1231" s="1" t="s">
        <v>3480</v>
      </c>
      <c r="G1231" s="39" t="s">
        <v>3456</v>
      </c>
      <c r="H1231" s="1">
        <v>2</v>
      </c>
      <c r="I1231" s="1">
        <v>0</v>
      </c>
      <c r="J1231" s="39" t="s">
        <v>3481</v>
      </c>
      <c r="K1231" s="1">
        <v>0</v>
      </c>
      <c r="L1231" s="1">
        <v>2</v>
      </c>
      <c r="S1231" s="1" t="s">
        <v>3482</v>
      </c>
      <c r="T1231" s="1">
        <v>1</v>
      </c>
      <c r="U1231" s="19"/>
      <c r="V1231" s="19"/>
    </row>
    <row r="1232" spans="1:22" x14ac:dyDescent="0.3">
      <c r="A1232" s="1" t="s">
        <v>3483</v>
      </c>
      <c r="B1232" s="5">
        <v>46187</v>
      </c>
      <c r="C1232" s="6">
        <v>0.66666666666666663</v>
      </c>
      <c r="D1232" s="1" t="s">
        <v>16</v>
      </c>
      <c r="E1232" s="1" t="s">
        <v>3471</v>
      </c>
      <c r="F1232" s="1" t="s">
        <v>3484</v>
      </c>
      <c r="G1232" s="39" t="s">
        <v>3460</v>
      </c>
      <c r="H1232" s="1">
        <v>2</v>
      </c>
      <c r="I1232" s="1">
        <v>2</v>
      </c>
      <c r="J1232" s="39" t="s">
        <v>3456</v>
      </c>
      <c r="K1232" s="1">
        <v>2</v>
      </c>
      <c r="L1232" s="1">
        <v>2</v>
      </c>
      <c r="S1232" s="1" t="s">
        <v>3485</v>
      </c>
      <c r="T1232" s="1">
        <v>1</v>
      </c>
      <c r="U1232" s="19"/>
      <c r="V1232" s="19"/>
    </row>
    <row r="1233" spans="1:22" x14ac:dyDescent="0.3">
      <c r="A1233" s="1" t="s">
        <v>3486</v>
      </c>
      <c r="B1233" s="5">
        <v>46172</v>
      </c>
      <c r="C1233" s="6">
        <v>0.77083333333333337</v>
      </c>
      <c r="D1233" s="1" t="s">
        <v>16</v>
      </c>
      <c r="E1233" s="1" t="s">
        <v>3471</v>
      </c>
      <c r="F1233" s="1" t="s">
        <v>3487</v>
      </c>
      <c r="G1233" s="39" t="s">
        <v>3456</v>
      </c>
      <c r="H1233" s="1">
        <v>2</v>
      </c>
      <c r="I1233" s="1">
        <v>1</v>
      </c>
      <c r="J1233" s="39" t="s">
        <v>3426</v>
      </c>
      <c r="K1233" s="1">
        <v>1</v>
      </c>
      <c r="L1233" s="1">
        <v>2</v>
      </c>
      <c r="S1233" s="1" t="s">
        <v>3488</v>
      </c>
      <c r="T1233" s="1">
        <v>1</v>
      </c>
      <c r="U1233" s="19"/>
      <c r="V1233" s="19"/>
    </row>
    <row r="1234" spans="1:22" x14ac:dyDescent="0.3">
      <c r="A1234" s="1" t="s">
        <v>3489</v>
      </c>
      <c r="B1234" s="5">
        <v>46159</v>
      </c>
      <c r="C1234" s="6">
        <v>0.66666666666666663</v>
      </c>
      <c r="D1234" s="1" t="s">
        <v>16</v>
      </c>
      <c r="E1234" s="1" t="s">
        <v>3471</v>
      </c>
      <c r="F1234" s="1" t="s">
        <v>3490</v>
      </c>
      <c r="G1234" s="39" t="s">
        <v>3398</v>
      </c>
      <c r="H1234" s="1">
        <v>1</v>
      </c>
      <c r="I1234" s="1">
        <v>0</v>
      </c>
      <c r="J1234" s="39" t="s">
        <v>3456</v>
      </c>
      <c r="K1234" s="1">
        <v>0</v>
      </c>
      <c r="L1234" s="1">
        <v>1</v>
      </c>
      <c r="S1234" s="1" t="s">
        <v>3491</v>
      </c>
      <c r="T1234" s="1">
        <v>1</v>
      </c>
      <c r="U1234" s="19"/>
      <c r="V1234" s="19"/>
    </row>
    <row r="1235" spans="1:22" x14ac:dyDescent="0.3">
      <c r="A1235" s="1" t="s">
        <v>3492</v>
      </c>
      <c r="B1235" s="5">
        <v>46130</v>
      </c>
      <c r="C1235" s="6">
        <v>0.77083333333333337</v>
      </c>
      <c r="D1235" s="1" t="s">
        <v>16</v>
      </c>
      <c r="E1235" s="1" t="s">
        <v>3471</v>
      </c>
      <c r="F1235" s="1" t="s">
        <v>3493</v>
      </c>
      <c r="G1235" s="39" t="s">
        <v>223</v>
      </c>
      <c r="H1235" s="1">
        <v>0</v>
      </c>
      <c r="I1235" s="1">
        <v>0</v>
      </c>
      <c r="J1235" s="39" t="s">
        <v>3456</v>
      </c>
      <c r="K1235" s="1">
        <v>0</v>
      </c>
      <c r="L1235" s="1">
        <v>0</v>
      </c>
      <c r="S1235" s="1" t="s">
        <v>3494</v>
      </c>
      <c r="T1235" s="1">
        <v>1</v>
      </c>
      <c r="U1235" s="19"/>
      <c r="V1235" s="19"/>
    </row>
    <row r="1236" spans="1:22" x14ac:dyDescent="0.3">
      <c r="A1236" s="1" t="s">
        <v>3495</v>
      </c>
      <c r="B1236" s="5">
        <v>46124</v>
      </c>
      <c r="C1236" s="6">
        <v>0.77083333333333337</v>
      </c>
      <c r="D1236" s="1" t="s">
        <v>16</v>
      </c>
      <c r="E1236" s="1" t="s">
        <v>3471</v>
      </c>
      <c r="F1236" s="1" t="s">
        <v>3496</v>
      </c>
      <c r="G1236" s="39" t="s">
        <v>3410</v>
      </c>
      <c r="H1236" s="1">
        <v>1</v>
      </c>
      <c r="I1236" s="1">
        <v>0</v>
      </c>
      <c r="J1236" s="39" t="s">
        <v>3456</v>
      </c>
      <c r="K1236" s="1">
        <v>0</v>
      </c>
      <c r="L1236" s="1">
        <v>1</v>
      </c>
      <c r="S1236" s="1" t="s">
        <v>3497</v>
      </c>
      <c r="T1236" s="1">
        <v>1</v>
      </c>
      <c r="U1236" s="19"/>
      <c r="V1236" s="19"/>
    </row>
    <row r="1237" spans="1:22" x14ac:dyDescent="0.3">
      <c r="A1237" s="1" t="s">
        <v>3498</v>
      </c>
      <c r="B1237" s="5">
        <v>46117</v>
      </c>
      <c r="C1237" s="6">
        <v>0.79166666666666663</v>
      </c>
      <c r="D1237" s="1" t="s">
        <v>16</v>
      </c>
      <c r="E1237" s="1" t="s">
        <v>3471</v>
      </c>
      <c r="F1237" s="1" t="s">
        <v>3499</v>
      </c>
      <c r="G1237" s="39" t="s">
        <v>3456</v>
      </c>
      <c r="H1237" s="1">
        <v>4</v>
      </c>
      <c r="I1237" s="1">
        <v>0</v>
      </c>
      <c r="J1237" s="39" t="s">
        <v>3402</v>
      </c>
      <c r="K1237" s="1">
        <v>0</v>
      </c>
      <c r="L1237" s="1">
        <v>4</v>
      </c>
      <c r="S1237" s="1" t="s">
        <v>3500</v>
      </c>
      <c r="T1237" s="1">
        <v>1</v>
      </c>
      <c r="U1237" s="19"/>
      <c r="V1237" s="19"/>
    </row>
    <row r="1238" spans="1:22" x14ac:dyDescent="0.3">
      <c r="A1238" s="1" t="s">
        <v>3501</v>
      </c>
      <c r="B1238" s="5">
        <v>46095</v>
      </c>
      <c r="C1238" s="6">
        <v>0.75</v>
      </c>
      <c r="D1238" s="1" t="s">
        <v>16</v>
      </c>
      <c r="E1238" s="1" t="s">
        <v>3471</v>
      </c>
      <c r="F1238" s="1" t="s">
        <v>3502</v>
      </c>
      <c r="G1238" s="39" t="s">
        <v>3414</v>
      </c>
      <c r="H1238" s="1">
        <v>0</v>
      </c>
      <c r="I1238" s="1">
        <v>1</v>
      </c>
      <c r="J1238" s="39" t="s">
        <v>3456</v>
      </c>
      <c r="K1238" s="1">
        <v>1</v>
      </c>
      <c r="L1238" s="1">
        <v>0</v>
      </c>
      <c r="S1238" s="1" t="s">
        <v>3503</v>
      </c>
      <c r="T1238" s="1">
        <v>1</v>
      </c>
      <c r="U1238" s="19"/>
      <c r="V1238" s="19"/>
    </row>
    <row r="1239" spans="1:22" x14ac:dyDescent="0.3">
      <c r="A1239" s="1" t="s">
        <v>3504</v>
      </c>
      <c r="B1239" s="5">
        <v>46090</v>
      </c>
      <c r="C1239" s="6">
        <v>0.83333333333333337</v>
      </c>
      <c r="D1239" s="1" t="s">
        <v>16</v>
      </c>
      <c r="E1239" s="1" t="s">
        <v>3471</v>
      </c>
      <c r="F1239" s="1" t="s">
        <v>3505</v>
      </c>
      <c r="G1239" s="39" t="s">
        <v>3456</v>
      </c>
      <c r="H1239" s="1">
        <v>1</v>
      </c>
      <c r="I1239" s="1">
        <v>1</v>
      </c>
      <c r="J1239" s="39" t="s">
        <v>3418</v>
      </c>
      <c r="K1239" s="1">
        <v>1</v>
      </c>
      <c r="L1239" s="1">
        <v>1</v>
      </c>
      <c r="S1239" s="1" t="s">
        <v>3506</v>
      </c>
      <c r="T1239" s="1">
        <v>1</v>
      </c>
      <c r="U1239" s="19"/>
      <c r="V1239" s="19"/>
    </row>
    <row r="1240" spans="1:22" x14ac:dyDescent="0.3">
      <c r="A1240" s="1" t="s">
        <v>3507</v>
      </c>
      <c r="B1240" s="5">
        <v>46235</v>
      </c>
      <c r="C1240" s="6">
        <v>0.77083333333333337</v>
      </c>
      <c r="D1240" s="1" t="s">
        <v>16</v>
      </c>
      <c r="E1240" s="1" t="s">
        <v>3471</v>
      </c>
      <c r="F1240" s="1" t="s">
        <v>3508</v>
      </c>
      <c r="G1240" s="39" t="s">
        <v>3422</v>
      </c>
      <c r="H1240" s="1">
        <v>2</v>
      </c>
      <c r="I1240" s="1">
        <v>1</v>
      </c>
      <c r="J1240" s="39" t="s">
        <v>3414</v>
      </c>
      <c r="K1240" s="1">
        <v>1</v>
      </c>
      <c r="L1240" s="1">
        <v>2</v>
      </c>
      <c r="S1240" s="1" t="s">
        <v>3509</v>
      </c>
      <c r="T1240" s="1">
        <v>1</v>
      </c>
      <c r="U1240" s="19"/>
      <c r="V1240" s="19"/>
    </row>
    <row r="1241" spans="1:22" x14ac:dyDescent="0.3">
      <c r="A1241" s="1" t="s">
        <v>3510</v>
      </c>
      <c r="B1241" s="5">
        <v>46229</v>
      </c>
      <c r="C1241" s="6">
        <v>0.66666666666666663</v>
      </c>
      <c r="D1241" s="1" t="s">
        <v>16</v>
      </c>
      <c r="E1241" s="1" t="s">
        <v>3471</v>
      </c>
      <c r="F1241" s="1" t="s">
        <v>3511</v>
      </c>
      <c r="G1241" s="39" t="s">
        <v>3410</v>
      </c>
      <c r="H1241" s="1">
        <v>2</v>
      </c>
      <c r="I1241" s="1">
        <v>0</v>
      </c>
      <c r="J1241" s="39" t="s">
        <v>3422</v>
      </c>
      <c r="K1241" s="1">
        <v>0</v>
      </c>
      <c r="L1241" s="1">
        <v>2</v>
      </c>
      <c r="S1241" s="1" t="s">
        <v>3512</v>
      </c>
      <c r="T1241" s="1">
        <v>1</v>
      </c>
      <c r="U1241" s="19"/>
      <c r="V1241" s="19"/>
    </row>
    <row r="1242" spans="1:22" x14ac:dyDescent="0.3">
      <c r="A1242" s="1" t="s">
        <v>3513</v>
      </c>
      <c r="B1242" s="5">
        <v>46186</v>
      </c>
      <c r="C1242" s="6">
        <v>0.66666666666666663</v>
      </c>
      <c r="D1242" s="1" t="s">
        <v>16</v>
      </c>
      <c r="E1242" s="1" t="s">
        <v>3471</v>
      </c>
      <c r="F1242" s="1" t="s">
        <v>3514</v>
      </c>
      <c r="G1242" s="39" t="s">
        <v>223</v>
      </c>
      <c r="H1242" s="1">
        <v>1</v>
      </c>
      <c r="I1242" s="1">
        <v>2</v>
      </c>
      <c r="J1242" s="39" t="s">
        <v>3422</v>
      </c>
      <c r="K1242" s="1">
        <v>2</v>
      </c>
      <c r="L1242" s="1">
        <v>1</v>
      </c>
      <c r="S1242" s="1" t="s">
        <v>3515</v>
      </c>
      <c r="T1242" s="1">
        <v>1</v>
      </c>
      <c r="U1242" s="19"/>
      <c r="V1242" s="19"/>
    </row>
    <row r="1243" spans="1:22" x14ac:dyDescent="0.3">
      <c r="A1243" s="1" t="s">
        <v>3516</v>
      </c>
      <c r="B1243" s="5">
        <v>46173</v>
      </c>
      <c r="C1243" s="6">
        <v>0.875</v>
      </c>
      <c r="D1243" s="1" t="s">
        <v>16</v>
      </c>
      <c r="E1243" s="1" t="s">
        <v>3471</v>
      </c>
      <c r="F1243" s="1" t="s">
        <v>3517</v>
      </c>
      <c r="G1243" s="39" t="s">
        <v>3422</v>
      </c>
      <c r="H1243" s="1">
        <v>0</v>
      </c>
      <c r="I1243" s="1">
        <v>0</v>
      </c>
      <c r="J1243" s="39" t="s">
        <v>3434</v>
      </c>
      <c r="K1243" s="1">
        <v>0</v>
      </c>
      <c r="L1243" s="1">
        <v>0</v>
      </c>
      <c r="S1243" s="1" t="s">
        <v>3518</v>
      </c>
      <c r="T1243" s="1">
        <v>1</v>
      </c>
      <c r="U1243" s="19"/>
      <c r="V1243" s="19"/>
    </row>
    <row r="1244" spans="1:22" x14ac:dyDescent="0.3">
      <c r="A1244" s="1" t="s">
        <v>3519</v>
      </c>
      <c r="B1244" s="5">
        <v>46165</v>
      </c>
      <c r="C1244" s="6">
        <v>0.875</v>
      </c>
      <c r="D1244" s="1" t="s">
        <v>16</v>
      </c>
      <c r="E1244" s="1" t="s">
        <v>3471</v>
      </c>
      <c r="F1244" s="1" t="s">
        <v>3520</v>
      </c>
      <c r="G1244" s="39" t="s">
        <v>3460</v>
      </c>
      <c r="H1244" s="1">
        <v>1</v>
      </c>
      <c r="I1244" s="1">
        <v>2</v>
      </c>
      <c r="J1244" s="39" t="s">
        <v>3422</v>
      </c>
      <c r="K1244" s="1">
        <v>2</v>
      </c>
      <c r="L1244" s="1">
        <v>1</v>
      </c>
      <c r="S1244" s="1" t="s">
        <v>3521</v>
      </c>
      <c r="T1244" s="1">
        <v>1</v>
      </c>
      <c r="U1244" s="19"/>
      <c r="V1244" s="19"/>
    </row>
    <row r="1245" spans="1:22" x14ac:dyDescent="0.3">
      <c r="A1245" s="1" t="s">
        <v>3522</v>
      </c>
      <c r="B1245" s="5">
        <v>46157</v>
      </c>
      <c r="C1245" s="6">
        <v>0.875</v>
      </c>
      <c r="D1245" s="1" t="s">
        <v>16</v>
      </c>
      <c r="E1245" s="1" t="s">
        <v>3471</v>
      </c>
      <c r="F1245" s="1" t="s">
        <v>3523</v>
      </c>
      <c r="G1245" s="39" t="s">
        <v>3422</v>
      </c>
      <c r="H1245" s="1">
        <v>5</v>
      </c>
      <c r="I1245" s="1">
        <v>1</v>
      </c>
      <c r="J1245" s="39" t="s">
        <v>3402</v>
      </c>
      <c r="K1245" s="1">
        <v>1</v>
      </c>
      <c r="L1245" s="1">
        <v>5</v>
      </c>
      <c r="S1245" s="1" t="s">
        <v>3524</v>
      </c>
      <c r="T1245" s="1">
        <v>1</v>
      </c>
      <c r="U1245" s="19"/>
      <c r="V1245" s="19"/>
    </row>
    <row r="1246" spans="1:22" x14ac:dyDescent="0.3">
      <c r="A1246" s="1" t="s">
        <v>3525</v>
      </c>
      <c r="B1246" s="5">
        <v>46135</v>
      </c>
      <c r="C1246" s="6">
        <v>0.875</v>
      </c>
      <c r="D1246" s="1" t="s">
        <v>16</v>
      </c>
      <c r="E1246" s="1" t="s">
        <v>3471</v>
      </c>
      <c r="F1246" s="1" t="s">
        <v>3526</v>
      </c>
      <c r="G1246" s="39" t="s">
        <v>3422</v>
      </c>
      <c r="H1246" s="1">
        <v>0</v>
      </c>
      <c r="I1246" s="1">
        <v>1</v>
      </c>
      <c r="J1246" s="39" t="s">
        <v>3426</v>
      </c>
      <c r="K1246" s="1">
        <v>1</v>
      </c>
      <c r="L1246" s="1">
        <v>0</v>
      </c>
      <c r="S1246" s="1" t="s">
        <v>3527</v>
      </c>
      <c r="T1246" s="1">
        <v>1</v>
      </c>
      <c r="U1246" s="19"/>
      <c r="V1246" s="19"/>
    </row>
    <row r="1247" spans="1:22" x14ac:dyDescent="0.3">
      <c r="A1247" s="1" t="s">
        <v>3528</v>
      </c>
      <c r="B1247" s="5">
        <v>46123</v>
      </c>
      <c r="C1247" s="6">
        <v>0.875</v>
      </c>
      <c r="D1247" s="1" t="s">
        <v>16</v>
      </c>
      <c r="E1247" s="1" t="s">
        <v>3471</v>
      </c>
      <c r="F1247" s="1" t="s">
        <v>3529</v>
      </c>
      <c r="G1247" s="39" t="s">
        <v>3422</v>
      </c>
      <c r="H1247" s="1">
        <v>1</v>
      </c>
      <c r="I1247" s="1">
        <v>0</v>
      </c>
      <c r="J1247" s="39" t="s">
        <v>3394</v>
      </c>
      <c r="K1247" s="1">
        <v>0</v>
      </c>
      <c r="L1247" s="1">
        <v>1</v>
      </c>
      <c r="S1247" s="1" t="s">
        <v>3530</v>
      </c>
      <c r="T1247" s="1">
        <v>1</v>
      </c>
      <c r="U1247" s="19"/>
      <c r="V1247" s="19"/>
    </row>
    <row r="1248" spans="1:22" x14ac:dyDescent="0.3">
      <c r="A1248" s="1" t="s">
        <v>3531</v>
      </c>
      <c r="B1248" s="5">
        <v>46096</v>
      </c>
      <c r="C1248" s="6">
        <v>0.5</v>
      </c>
      <c r="D1248" s="1" t="s">
        <v>16</v>
      </c>
      <c r="E1248" s="1" t="s">
        <v>3471</v>
      </c>
      <c r="F1248" s="1" t="s">
        <v>3532</v>
      </c>
      <c r="G1248" s="39" t="s">
        <v>3418</v>
      </c>
      <c r="H1248" s="1">
        <v>1</v>
      </c>
      <c r="I1248" s="1">
        <v>0</v>
      </c>
      <c r="J1248" s="39" t="s">
        <v>3422</v>
      </c>
      <c r="K1248" s="1">
        <v>0</v>
      </c>
      <c r="L1248" s="1">
        <v>1</v>
      </c>
      <c r="S1248" s="1" t="s">
        <v>3533</v>
      </c>
      <c r="T1248" s="1">
        <v>1</v>
      </c>
      <c r="U1248" s="19"/>
      <c r="V1248" s="19"/>
    </row>
    <row r="1249" spans="1:22" x14ac:dyDescent="0.3">
      <c r="A1249" s="1" t="s">
        <v>3534</v>
      </c>
      <c r="B1249" s="5">
        <v>46089</v>
      </c>
      <c r="C1249" s="6">
        <v>0.85416666666666663</v>
      </c>
      <c r="D1249" s="1" t="s">
        <v>16</v>
      </c>
      <c r="E1249" s="1" t="s">
        <v>3471</v>
      </c>
      <c r="F1249" s="1" t="s">
        <v>3535</v>
      </c>
      <c r="G1249" s="39" t="s">
        <v>3422</v>
      </c>
      <c r="H1249" s="1">
        <v>4</v>
      </c>
      <c r="I1249" s="1">
        <v>2</v>
      </c>
      <c r="J1249" s="39" t="s">
        <v>3398</v>
      </c>
      <c r="K1249" s="1">
        <v>2</v>
      </c>
      <c r="L1249" s="1">
        <v>4</v>
      </c>
      <c r="S1249" s="1" t="s">
        <v>3536</v>
      </c>
      <c r="T1249" s="1">
        <v>1</v>
      </c>
      <c r="U1249" s="19"/>
      <c r="V1249" s="19"/>
    </row>
    <row r="1250" spans="1:22" x14ac:dyDescent="0.3">
      <c r="A1250" s="1" t="s">
        <v>3537</v>
      </c>
      <c r="B1250" s="5">
        <v>46242</v>
      </c>
      <c r="C1250" s="6">
        <v>0.66666666666666663</v>
      </c>
      <c r="D1250" s="1" t="s">
        <v>16</v>
      </c>
      <c r="E1250" s="1" t="s">
        <v>3471</v>
      </c>
      <c r="F1250" s="1" t="s">
        <v>3538</v>
      </c>
      <c r="G1250" s="39" t="s">
        <v>3430</v>
      </c>
      <c r="H1250" s="1">
        <v>1</v>
      </c>
      <c r="I1250" s="1">
        <v>4</v>
      </c>
      <c r="J1250" s="39" t="s">
        <v>223</v>
      </c>
      <c r="K1250" s="1">
        <v>4</v>
      </c>
      <c r="L1250" s="1">
        <v>1</v>
      </c>
      <c r="S1250" s="1" t="s">
        <v>3539</v>
      </c>
      <c r="T1250" s="1">
        <v>1</v>
      </c>
      <c r="U1250" s="19"/>
      <c r="V1250" s="19"/>
    </row>
    <row r="1251" spans="1:22" x14ac:dyDescent="0.3">
      <c r="A1251" s="1" t="s">
        <v>3540</v>
      </c>
      <c r="B1251" s="5">
        <v>46230</v>
      </c>
      <c r="C1251" s="6">
        <v>0.83333333333333337</v>
      </c>
      <c r="D1251" s="1" t="s">
        <v>16</v>
      </c>
      <c r="E1251" s="1" t="s">
        <v>3471</v>
      </c>
      <c r="F1251" s="1" t="s">
        <v>3541</v>
      </c>
      <c r="G1251" s="39" t="s">
        <v>3460</v>
      </c>
      <c r="H1251" s="1">
        <v>1</v>
      </c>
      <c r="I1251" s="1">
        <v>1</v>
      </c>
      <c r="J1251" s="39" t="s">
        <v>223</v>
      </c>
      <c r="K1251" s="1">
        <v>1</v>
      </c>
      <c r="L1251" s="1">
        <v>1</v>
      </c>
      <c r="S1251" s="1" t="s">
        <v>3542</v>
      </c>
      <c r="T1251" s="1">
        <v>1</v>
      </c>
      <c r="U1251" s="19"/>
      <c r="V1251" s="19"/>
    </row>
    <row r="1252" spans="1:22" x14ac:dyDescent="0.3">
      <c r="A1252" s="1" t="s">
        <v>3543</v>
      </c>
      <c r="B1252" s="5">
        <v>46173</v>
      </c>
      <c r="C1252" s="6">
        <v>0.77083333333333337</v>
      </c>
      <c r="D1252" s="1" t="s">
        <v>16</v>
      </c>
      <c r="E1252" s="1" t="s">
        <v>3471</v>
      </c>
      <c r="F1252" s="1" t="s">
        <v>3544</v>
      </c>
      <c r="G1252" s="39" t="s">
        <v>3481</v>
      </c>
      <c r="H1252" s="1">
        <v>2</v>
      </c>
      <c r="I1252" s="1">
        <v>3</v>
      </c>
      <c r="J1252" s="39" t="s">
        <v>223</v>
      </c>
      <c r="K1252" s="1">
        <v>3</v>
      </c>
      <c r="L1252" s="1">
        <v>2</v>
      </c>
      <c r="S1252" s="1" t="s">
        <v>3545</v>
      </c>
      <c r="T1252" s="1">
        <v>1</v>
      </c>
      <c r="U1252" s="19"/>
      <c r="V1252" s="19"/>
    </row>
    <row r="1253" spans="1:22" x14ac:dyDescent="0.3">
      <c r="A1253" s="1" t="s">
        <v>3546</v>
      </c>
      <c r="B1253" s="5">
        <v>46164</v>
      </c>
      <c r="C1253" s="6">
        <v>0.66666666666666663</v>
      </c>
      <c r="D1253" s="1" t="s">
        <v>16</v>
      </c>
      <c r="E1253" s="1" t="s">
        <v>3471</v>
      </c>
      <c r="F1253" s="1" t="s">
        <v>3547</v>
      </c>
      <c r="G1253" s="39" t="s">
        <v>223</v>
      </c>
      <c r="H1253" s="1">
        <v>1</v>
      </c>
      <c r="I1253" s="1">
        <v>1</v>
      </c>
      <c r="J1253" s="39" t="s">
        <v>3414</v>
      </c>
      <c r="K1253" s="1">
        <v>1</v>
      </c>
      <c r="L1253" s="1">
        <v>1</v>
      </c>
      <c r="S1253" s="1" t="s">
        <v>3548</v>
      </c>
      <c r="T1253" s="1">
        <v>1</v>
      </c>
      <c r="U1253" s="19"/>
      <c r="V1253" s="19"/>
    </row>
    <row r="1254" spans="1:22" x14ac:dyDescent="0.3">
      <c r="A1254" s="1" t="s">
        <v>3549</v>
      </c>
      <c r="B1254" s="5">
        <v>46159</v>
      </c>
      <c r="C1254" s="6">
        <v>0.875</v>
      </c>
      <c r="D1254" s="1" t="s">
        <v>16</v>
      </c>
      <c r="E1254" s="1" t="s">
        <v>3471</v>
      </c>
      <c r="F1254" s="1" t="s">
        <v>3550</v>
      </c>
      <c r="G1254" s="39" t="s">
        <v>3426</v>
      </c>
      <c r="H1254" s="1">
        <v>0</v>
      </c>
      <c r="I1254" s="1">
        <v>2</v>
      </c>
      <c r="J1254" s="39" t="s">
        <v>223</v>
      </c>
      <c r="K1254" s="1">
        <v>2</v>
      </c>
      <c r="L1254" s="1">
        <v>0</v>
      </c>
      <c r="S1254" s="1" t="s">
        <v>3551</v>
      </c>
      <c r="T1254" s="1">
        <v>1</v>
      </c>
      <c r="U1254" s="19"/>
      <c r="V1254" s="19"/>
    </row>
    <row r="1255" spans="1:22" x14ac:dyDescent="0.3">
      <c r="A1255" s="1" t="s">
        <v>3552</v>
      </c>
      <c r="B1255" s="5">
        <v>46138</v>
      </c>
      <c r="C1255" s="6">
        <v>0.77083333333333337</v>
      </c>
      <c r="D1255" s="1" t="s">
        <v>16</v>
      </c>
      <c r="E1255" s="1" t="s">
        <v>3471</v>
      </c>
      <c r="F1255" s="1" t="s">
        <v>3553</v>
      </c>
      <c r="G1255" s="39" t="s">
        <v>223</v>
      </c>
      <c r="H1255" s="1">
        <v>3</v>
      </c>
      <c r="I1255" s="1">
        <v>1</v>
      </c>
      <c r="J1255" s="39" t="s">
        <v>3398</v>
      </c>
      <c r="K1255" s="1">
        <v>1</v>
      </c>
      <c r="L1255" s="1">
        <v>3</v>
      </c>
      <c r="S1255" s="1" t="s">
        <v>3554</v>
      </c>
      <c r="T1255" s="1">
        <v>1</v>
      </c>
      <c r="U1255" s="19"/>
      <c r="V1255" s="19"/>
    </row>
    <row r="1256" spans="1:22" x14ac:dyDescent="0.3">
      <c r="A1256" s="1" t="s">
        <v>3555</v>
      </c>
      <c r="B1256" s="5">
        <v>46123</v>
      </c>
      <c r="C1256" s="6">
        <v>0.66666666666666663</v>
      </c>
      <c r="D1256" s="1" t="s">
        <v>16</v>
      </c>
      <c r="E1256" s="1" t="s">
        <v>3471</v>
      </c>
      <c r="F1256" s="1" t="s">
        <v>3556</v>
      </c>
      <c r="G1256" s="39" t="s">
        <v>3402</v>
      </c>
      <c r="H1256" s="1">
        <v>1</v>
      </c>
      <c r="I1256" s="1">
        <v>0</v>
      </c>
      <c r="J1256" s="39" t="s">
        <v>223</v>
      </c>
      <c r="K1256" s="1">
        <v>0</v>
      </c>
      <c r="L1256" s="1">
        <v>1</v>
      </c>
      <c r="S1256" s="1" t="s">
        <v>3557</v>
      </c>
      <c r="T1256" s="1">
        <v>1</v>
      </c>
      <c r="U1256" s="19"/>
      <c r="V1256" s="19"/>
    </row>
    <row r="1257" spans="1:22" x14ac:dyDescent="0.3">
      <c r="A1257" s="1" t="s">
        <v>3558</v>
      </c>
      <c r="B1257" s="5">
        <v>46116</v>
      </c>
      <c r="C1257" s="6">
        <v>0.83333333333333337</v>
      </c>
      <c r="D1257" s="1" t="s">
        <v>16</v>
      </c>
      <c r="E1257" s="1" t="s">
        <v>3471</v>
      </c>
      <c r="F1257" s="1" t="s">
        <v>3559</v>
      </c>
      <c r="G1257" s="39" t="s">
        <v>223</v>
      </c>
      <c r="H1257" s="1">
        <v>0</v>
      </c>
      <c r="I1257" s="1">
        <v>0</v>
      </c>
      <c r="J1257" s="39" t="s">
        <v>3410</v>
      </c>
      <c r="K1257" s="1">
        <v>0</v>
      </c>
      <c r="L1257" s="1">
        <v>0</v>
      </c>
      <c r="S1257" s="1" t="s">
        <v>3560</v>
      </c>
      <c r="T1257" s="1">
        <v>1</v>
      </c>
      <c r="U1257" s="19"/>
      <c r="V1257" s="19"/>
    </row>
    <row r="1258" spans="1:22" x14ac:dyDescent="0.3">
      <c r="A1258" s="1" t="s">
        <v>3561</v>
      </c>
      <c r="B1258" s="5">
        <v>46242</v>
      </c>
      <c r="C1258" s="6">
        <v>0.77083333333333337</v>
      </c>
      <c r="D1258" s="1" t="s">
        <v>16</v>
      </c>
      <c r="E1258" s="1" t="s">
        <v>3471</v>
      </c>
      <c r="F1258" s="1" t="s">
        <v>3562</v>
      </c>
      <c r="G1258" s="39" t="s">
        <v>3414</v>
      </c>
      <c r="H1258" s="1">
        <v>1</v>
      </c>
      <c r="I1258" s="1">
        <v>1</v>
      </c>
      <c r="J1258" s="39" t="s">
        <v>3402</v>
      </c>
      <c r="K1258" s="1">
        <v>1</v>
      </c>
      <c r="L1258" s="1">
        <v>1</v>
      </c>
      <c r="S1258" s="1" t="s">
        <v>3563</v>
      </c>
      <c r="T1258" s="1">
        <v>1</v>
      </c>
      <c r="U1258" s="19"/>
      <c r="V1258" s="19"/>
    </row>
    <row r="1259" spans="1:22" x14ac:dyDescent="0.3">
      <c r="A1259" s="1" t="s">
        <v>3564</v>
      </c>
      <c r="B1259" s="5">
        <v>46186</v>
      </c>
      <c r="C1259" s="6">
        <v>0.5625</v>
      </c>
      <c r="D1259" s="1" t="s">
        <v>16</v>
      </c>
      <c r="E1259" s="1" t="s">
        <v>3471</v>
      </c>
      <c r="F1259" s="1" t="s">
        <v>3565</v>
      </c>
      <c r="G1259" s="39" t="s">
        <v>3414</v>
      </c>
      <c r="H1259" s="1">
        <v>0</v>
      </c>
      <c r="I1259" s="1">
        <v>0</v>
      </c>
      <c r="J1259" s="39" t="s">
        <v>3481</v>
      </c>
      <c r="K1259" s="1">
        <v>0</v>
      </c>
      <c r="L1259" s="1">
        <v>0</v>
      </c>
      <c r="S1259" s="1" t="s">
        <v>3566</v>
      </c>
      <c r="T1259" s="1">
        <v>1</v>
      </c>
      <c r="U1259" s="19"/>
      <c r="V1259" s="19"/>
    </row>
    <row r="1260" spans="1:22" x14ac:dyDescent="0.3">
      <c r="A1260" s="1" t="s">
        <v>3567</v>
      </c>
      <c r="B1260" s="5">
        <v>46173</v>
      </c>
      <c r="C1260" s="6">
        <v>0.5625</v>
      </c>
      <c r="D1260" s="1" t="s">
        <v>16</v>
      </c>
      <c r="E1260" s="1" t="s">
        <v>3471</v>
      </c>
      <c r="F1260" s="1" t="s">
        <v>3568</v>
      </c>
      <c r="G1260" s="39" t="s">
        <v>3394</v>
      </c>
      <c r="H1260" s="1">
        <v>2</v>
      </c>
      <c r="I1260" s="1">
        <v>3</v>
      </c>
      <c r="J1260" s="39" t="s">
        <v>3414</v>
      </c>
      <c r="K1260" s="1">
        <v>3</v>
      </c>
      <c r="L1260" s="1">
        <v>2</v>
      </c>
      <c r="S1260" s="1" t="s">
        <v>3569</v>
      </c>
      <c r="T1260" s="1">
        <v>1</v>
      </c>
      <c r="U1260" s="19"/>
      <c r="V1260" s="19"/>
    </row>
    <row r="1261" spans="1:22" x14ac:dyDescent="0.3">
      <c r="A1261" s="1" t="s">
        <v>3570</v>
      </c>
      <c r="B1261" s="5">
        <v>46157</v>
      </c>
      <c r="C1261" s="6">
        <v>0.875</v>
      </c>
      <c r="D1261" s="1" t="s">
        <v>16</v>
      </c>
      <c r="E1261" s="1" t="s">
        <v>3471</v>
      </c>
      <c r="F1261" s="1" t="s">
        <v>3571</v>
      </c>
      <c r="G1261" s="39" t="s">
        <v>3414</v>
      </c>
      <c r="H1261" s="1">
        <v>3</v>
      </c>
      <c r="I1261" s="1">
        <v>0</v>
      </c>
      <c r="J1261" s="39" t="s">
        <v>3434</v>
      </c>
      <c r="K1261" s="1">
        <v>0</v>
      </c>
      <c r="L1261" s="1">
        <v>3</v>
      </c>
      <c r="S1261" s="1" t="s">
        <v>3572</v>
      </c>
      <c r="T1261" s="1">
        <v>1</v>
      </c>
      <c r="U1261" s="19"/>
      <c r="V1261" s="19"/>
    </row>
    <row r="1262" spans="1:22" x14ac:dyDescent="0.3">
      <c r="A1262" s="1" t="s">
        <v>3573</v>
      </c>
      <c r="B1262" s="5">
        <v>46136</v>
      </c>
      <c r="C1262" s="6">
        <v>0.79166666666666663</v>
      </c>
      <c r="D1262" s="1" t="s">
        <v>16</v>
      </c>
      <c r="E1262" s="1" t="s">
        <v>3471</v>
      </c>
      <c r="F1262" s="1" t="s">
        <v>3574</v>
      </c>
      <c r="G1262" s="39" t="s">
        <v>3460</v>
      </c>
      <c r="H1262" s="1">
        <v>1</v>
      </c>
      <c r="I1262" s="1">
        <v>2</v>
      </c>
      <c r="J1262" s="39" t="s">
        <v>3414</v>
      </c>
      <c r="K1262" s="1">
        <v>2</v>
      </c>
      <c r="L1262" s="1">
        <v>1</v>
      </c>
      <c r="S1262" s="1" t="s">
        <v>3575</v>
      </c>
      <c r="T1262" s="1">
        <v>1</v>
      </c>
      <c r="U1262" s="19"/>
      <c r="V1262" s="19"/>
    </row>
    <row r="1263" spans="1:22" x14ac:dyDescent="0.3">
      <c r="A1263" s="1" t="s">
        <v>3576</v>
      </c>
      <c r="B1263" s="5">
        <v>46131</v>
      </c>
      <c r="C1263" s="6">
        <v>0.5625</v>
      </c>
      <c r="D1263" s="1" t="s">
        <v>16</v>
      </c>
      <c r="E1263" s="1" t="s">
        <v>3471</v>
      </c>
      <c r="F1263" s="1" t="s">
        <v>3577</v>
      </c>
      <c r="G1263" s="39" t="s">
        <v>3414</v>
      </c>
      <c r="H1263" s="1">
        <v>1</v>
      </c>
      <c r="I1263" s="1">
        <v>1</v>
      </c>
      <c r="J1263" s="39" t="s">
        <v>3410</v>
      </c>
      <c r="K1263" s="1">
        <v>1</v>
      </c>
      <c r="L1263" s="1">
        <v>1</v>
      </c>
      <c r="S1263" s="1" t="s">
        <v>3578</v>
      </c>
      <c r="T1263" s="1">
        <v>1</v>
      </c>
      <c r="U1263" s="19"/>
      <c r="V1263" s="19"/>
    </row>
    <row r="1264" spans="1:22" x14ac:dyDescent="0.3">
      <c r="A1264" s="1" t="s">
        <v>3579</v>
      </c>
      <c r="B1264" s="5">
        <v>46115</v>
      </c>
      <c r="C1264" s="6">
        <v>0.72916666666666663</v>
      </c>
      <c r="D1264" s="1" t="s">
        <v>16</v>
      </c>
      <c r="E1264" s="1" t="s">
        <v>3471</v>
      </c>
      <c r="F1264" s="1" t="s">
        <v>3580</v>
      </c>
      <c r="G1264" s="39" t="s">
        <v>3414</v>
      </c>
      <c r="H1264" s="1">
        <v>3</v>
      </c>
      <c r="I1264" s="1">
        <v>2</v>
      </c>
      <c r="J1264" s="39" t="s">
        <v>3398</v>
      </c>
      <c r="K1264" s="1">
        <v>2</v>
      </c>
      <c r="L1264" s="1">
        <v>3</v>
      </c>
      <c r="S1264" s="1" t="s">
        <v>3581</v>
      </c>
      <c r="T1264" s="1">
        <v>1</v>
      </c>
      <c r="U1264" s="19"/>
      <c r="V1264" s="19"/>
    </row>
    <row r="1265" spans="1:22" x14ac:dyDescent="0.3">
      <c r="A1265" s="1" t="s">
        <v>3582</v>
      </c>
      <c r="B1265" s="5">
        <v>46088</v>
      </c>
      <c r="C1265" s="6">
        <v>0.29166666666666669</v>
      </c>
      <c r="D1265" s="1" t="s">
        <v>16</v>
      </c>
      <c r="E1265" s="1" t="s">
        <v>3471</v>
      </c>
      <c r="F1265" s="1" t="s">
        <v>3583</v>
      </c>
      <c r="G1265" s="39" t="s">
        <v>3430</v>
      </c>
      <c r="H1265" s="1">
        <v>1</v>
      </c>
      <c r="I1265" s="1">
        <v>3</v>
      </c>
      <c r="J1265" s="39" t="s">
        <v>3414</v>
      </c>
      <c r="K1265" s="1">
        <v>3</v>
      </c>
      <c r="L1265" s="1">
        <v>1</v>
      </c>
      <c r="S1265" s="1" t="s">
        <v>3584</v>
      </c>
      <c r="T1265" s="1">
        <v>1</v>
      </c>
      <c r="U1265" s="19"/>
      <c r="V1265" s="19"/>
    </row>
    <row r="1266" spans="1:22" x14ac:dyDescent="0.3">
      <c r="A1266" s="1" t="s">
        <v>3585</v>
      </c>
      <c r="B1266" s="5">
        <v>46186</v>
      </c>
      <c r="C1266" s="6">
        <v>0.70833333333333337</v>
      </c>
      <c r="D1266" s="1" t="s">
        <v>16</v>
      </c>
      <c r="E1266" s="1" t="s">
        <v>3471</v>
      </c>
      <c r="F1266" s="1" t="s">
        <v>3586</v>
      </c>
      <c r="G1266" s="39" t="s">
        <v>3410</v>
      </c>
      <c r="H1266" s="1">
        <v>2</v>
      </c>
      <c r="I1266" s="1">
        <v>2</v>
      </c>
      <c r="J1266" s="39" t="s">
        <v>3430</v>
      </c>
      <c r="K1266" s="1">
        <v>2</v>
      </c>
      <c r="L1266" s="1">
        <v>2</v>
      </c>
      <c r="S1266" s="1" t="s">
        <v>3587</v>
      </c>
      <c r="T1266" s="1">
        <v>1</v>
      </c>
      <c r="U1266" s="19"/>
      <c r="V1266" s="19"/>
    </row>
    <row r="1267" spans="1:22" x14ac:dyDescent="0.3">
      <c r="A1267" s="1" t="s">
        <v>3588</v>
      </c>
      <c r="B1267" s="5">
        <v>46171</v>
      </c>
      <c r="C1267" s="6">
        <v>0.79166666666666663</v>
      </c>
      <c r="D1267" s="1" t="s">
        <v>16</v>
      </c>
      <c r="E1267" s="1" t="s">
        <v>3471</v>
      </c>
      <c r="F1267" s="1" t="s">
        <v>3589</v>
      </c>
      <c r="G1267" s="39" t="s">
        <v>3398</v>
      </c>
      <c r="H1267" s="1">
        <v>0</v>
      </c>
      <c r="I1267" s="1">
        <v>1</v>
      </c>
      <c r="J1267" s="39" t="s">
        <v>3410</v>
      </c>
      <c r="K1267" s="1">
        <v>1</v>
      </c>
      <c r="L1267" s="1">
        <v>0</v>
      </c>
      <c r="S1267" s="1" t="s">
        <v>3590</v>
      </c>
      <c r="T1267" s="1">
        <v>1</v>
      </c>
      <c r="U1267" s="19"/>
      <c r="V1267" s="19"/>
    </row>
    <row r="1268" spans="1:22" x14ac:dyDescent="0.3">
      <c r="A1268" s="1" t="s">
        <v>3591</v>
      </c>
      <c r="B1268" s="5">
        <v>46165</v>
      </c>
      <c r="C1268" s="6">
        <v>0.66666666666666663</v>
      </c>
      <c r="D1268" s="1" t="s">
        <v>16</v>
      </c>
      <c r="E1268" s="1" t="s">
        <v>3471</v>
      </c>
      <c r="F1268" s="1" t="s">
        <v>3592</v>
      </c>
      <c r="G1268" s="39" t="s">
        <v>3410</v>
      </c>
      <c r="H1268" s="1">
        <v>2</v>
      </c>
      <c r="I1268" s="1">
        <v>2</v>
      </c>
      <c r="J1268" s="39" t="s">
        <v>3418</v>
      </c>
      <c r="K1268" s="1">
        <v>2</v>
      </c>
      <c r="L1268" s="1">
        <v>2</v>
      </c>
      <c r="S1268" s="1" t="s">
        <v>3593</v>
      </c>
      <c r="T1268" s="1">
        <v>1</v>
      </c>
      <c r="U1268" s="19"/>
      <c r="V1268" s="19"/>
    </row>
    <row r="1269" spans="1:22" x14ac:dyDescent="0.3">
      <c r="A1269" s="1" t="s">
        <v>3594</v>
      </c>
      <c r="B1269" s="5">
        <v>46137</v>
      </c>
      <c r="C1269" s="6">
        <v>0.66666666666666663</v>
      </c>
      <c r="D1269" s="1" t="s">
        <v>16</v>
      </c>
      <c r="E1269" s="1" t="s">
        <v>3471</v>
      </c>
      <c r="F1269" s="1" t="s">
        <v>3595</v>
      </c>
      <c r="G1269" s="39" t="s">
        <v>3410</v>
      </c>
      <c r="H1269" s="1">
        <v>0</v>
      </c>
      <c r="I1269" s="1">
        <v>2</v>
      </c>
      <c r="J1269" s="39" t="s">
        <v>3481</v>
      </c>
      <c r="K1269" s="1">
        <v>2</v>
      </c>
      <c r="L1269" s="1">
        <v>0</v>
      </c>
      <c r="S1269" s="1" t="s">
        <v>3596</v>
      </c>
      <c r="T1269" s="1">
        <v>1</v>
      </c>
      <c r="U1269" s="19"/>
      <c r="V1269" s="19"/>
    </row>
    <row r="1270" spans="1:22" x14ac:dyDescent="0.3">
      <c r="A1270" s="1" t="s">
        <v>3597</v>
      </c>
      <c r="B1270" s="5">
        <v>46096</v>
      </c>
      <c r="C1270" s="6">
        <v>0.6875</v>
      </c>
      <c r="D1270" s="1" t="s">
        <v>16</v>
      </c>
      <c r="E1270" s="1" t="s">
        <v>3471</v>
      </c>
      <c r="F1270" s="1" t="s">
        <v>3598</v>
      </c>
      <c r="G1270" s="39" t="s">
        <v>3410</v>
      </c>
      <c r="H1270" s="1">
        <v>2</v>
      </c>
      <c r="I1270" s="1">
        <v>2</v>
      </c>
      <c r="J1270" s="39" t="s">
        <v>3402</v>
      </c>
      <c r="K1270" s="1">
        <v>2</v>
      </c>
      <c r="L1270" s="1">
        <v>2</v>
      </c>
      <c r="S1270" s="1" t="s">
        <v>3599</v>
      </c>
      <c r="T1270" s="1">
        <v>1</v>
      </c>
      <c r="U1270" s="19"/>
      <c r="V1270" s="19"/>
    </row>
    <row r="1271" spans="1:22" x14ac:dyDescent="0.3">
      <c r="A1271" s="1" t="s">
        <v>3600</v>
      </c>
      <c r="B1271" s="5">
        <v>46087</v>
      </c>
      <c r="C1271" s="6">
        <v>0.85416666666666663</v>
      </c>
      <c r="D1271" s="1" t="s">
        <v>16</v>
      </c>
      <c r="E1271" s="1" t="s">
        <v>3471</v>
      </c>
      <c r="F1271" s="1" t="s">
        <v>3601</v>
      </c>
      <c r="G1271" s="39" t="s">
        <v>3426</v>
      </c>
      <c r="H1271" s="1">
        <v>0</v>
      </c>
      <c r="I1271" s="1">
        <v>2</v>
      </c>
      <c r="J1271" s="39" t="s">
        <v>3410</v>
      </c>
      <c r="K1271" s="1">
        <v>2</v>
      </c>
      <c r="L1271" s="1">
        <v>0</v>
      </c>
      <c r="S1271" s="1" t="s">
        <v>3602</v>
      </c>
      <c r="T1271" s="1">
        <v>1</v>
      </c>
      <c r="U1271" s="19"/>
      <c r="V1271" s="19"/>
    </row>
    <row r="1272" spans="1:22" x14ac:dyDescent="0.3">
      <c r="A1272" s="1" t="s">
        <v>3603</v>
      </c>
      <c r="B1272" s="5">
        <v>46082</v>
      </c>
      <c r="C1272" s="6">
        <v>0.85416666666666663</v>
      </c>
      <c r="D1272" s="1" t="s">
        <v>16</v>
      </c>
      <c r="E1272" s="1" t="s">
        <v>3471</v>
      </c>
      <c r="F1272" s="1" t="s">
        <v>3604</v>
      </c>
      <c r="G1272" s="39" t="s">
        <v>3410</v>
      </c>
      <c r="H1272" s="1">
        <v>1</v>
      </c>
      <c r="I1272" s="1">
        <v>2</v>
      </c>
      <c r="J1272" s="39" t="s">
        <v>3406</v>
      </c>
      <c r="K1272" s="1">
        <v>2</v>
      </c>
      <c r="L1272" s="1">
        <v>1</v>
      </c>
      <c r="S1272" s="1" t="s">
        <v>3605</v>
      </c>
      <c r="T1272" s="1">
        <v>1</v>
      </c>
      <c r="U1272" s="19"/>
      <c r="V1272" s="19"/>
    </row>
    <row r="1273" spans="1:22" x14ac:dyDescent="0.3">
      <c r="A1273" s="1" t="s">
        <v>3606</v>
      </c>
      <c r="B1273" s="5">
        <v>46228</v>
      </c>
      <c r="C1273" s="6">
        <v>0.77083333333333337</v>
      </c>
      <c r="D1273" s="1" t="s">
        <v>16</v>
      </c>
      <c r="E1273" s="1" t="s">
        <v>3471</v>
      </c>
      <c r="F1273" s="1" t="s">
        <v>3607</v>
      </c>
      <c r="G1273" s="39" t="s">
        <v>3430</v>
      </c>
      <c r="H1273" s="1">
        <v>3</v>
      </c>
      <c r="I1273" s="1">
        <v>3</v>
      </c>
      <c r="J1273" s="39" t="s">
        <v>3398</v>
      </c>
      <c r="K1273" s="1">
        <v>3</v>
      </c>
      <c r="L1273" s="1">
        <v>3</v>
      </c>
      <c r="S1273" s="1" t="s">
        <v>3608</v>
      </c>
      <c r="T1273" s="1">
        <v>1</v>
      </c>
      <c r="U1273" s="19"/>
      <c r="V1273" s="19"/>
    </row>
    <row r="1274" spans="1:22" x14ac:dyDescent="0.3">
      <c r="A1274" s="1" t="s">
        <v>3609</v>
      </c>
      <c r="B1274" s="5">
        <v>46166</v>
      </c>
      <c r="C1274" s="6">
        <v>0.5625</v>
      </c>
      <c r="D1274" s="1" t="s">
        <v>16</v>
      </c>
      <c r="E1274" s="1" t="s">
        <v>3471</v>
      </c>
      <c r="F1274" s="1" t="s">
        <v>3610</v>
      </c>
      <c r="G1274" s="39" t="s">
        <v>3426</v>
      </c>
      <c r="H1274" s="1">
        <v>2</v>
      </c>
      <c r="I1274" s="1">
        <v>0</v>
      </c>
      <c r="J1274" s="39" t="s">
        <v>3430</v>
      </c>
      <c r="K1274" s="1">
        <v>0</v>
      </c>
      <c r="L1274" s="1">
        <v>2</v>
      </c>
      <c r="S1274" s="1" t="s">
        <v>3611</v>
      </c>
      <c r="T1274" s="1">
        <v>1</v>
      </c>
      <c r="U1274" s="19"/>
      <c r="V1274" s="19"/>
    </row>
    <row r="1275" spans="1:22" x14ac:dyDescent="0.3">
      <c r="A1275" s="1" t="s">
        <v>3612</v>
      </c>
      <c r="B1275" s="5">
        <v>46159</v>
      </c>
      <c r="C1275" s="6">
        <v>0.5625</v>
      </c>
      <c r="D1275" s="1" t="s">
        <v>16</v>
      </c>
      <c r="E1275" s="1" t="s">
        <v>3471</v>
      </c>
      <c r="F1275" s="1" t="s">
        <v>3613</v>
      </c>
      <c r="G1275" s="39" t="s">
        <v>3430</v>
      </c>
      <c r="H1275" s="1">
        <v>3</v>
      </c>
      <c r="I1275" s="1">
        <v>1</v>
      </c>
      <c r="J1275" s="39" t="s">
        <v>3460</v>
      </c>
      <c r="K1275" s="1">
        <v>1</v>
      </c>
      <c r="L1275" s="1">
        <v>3</v>
      </c>
      <c r="S1275" s="1" t="s">
        <v>3614</v>
      </c>
      <c r="T1275" s="1">
        <v>1</v>
      </c>
      <c r="U1275" s="19"/>
      <c r="V1275" s="19"/>
    </row>
    <row r="1276" spans="1:22" x14ac:dyDescent="0.3">
      <c r="A1276" s="1" t="s">
        <v>3615</v>
      </c>
      <c r="B1276" s="5">
        <v>46138</v>
      </c>
      <c r="C1276" s="6">
        <v>0.5625</v>
      </c>
      <c r="D1276" s="1" t="s">
        <v>16</v>
      </c>
      <c r="E1276" s="1" t="s">
        <v>3471</v>
      </c>
      <c r="F1276" s="1" t="s">
        <v>3616</v>
      </c>
      <c r="G1276" s="39" t="s">
        <v>3402</v>
      </c>
      <c r="H1276" s="1">
        <v>0</v>
      </c>
      <c r="I1276" s="1">
        <v>0</v>
      </c>
      <c r="J1276" s="39" t="s">
        <v>3430</v>
      </c>
      <c r="K1276" s="1">
        <v>0</v>
      </c>
      <c r="L1276" s="1">
        <v>0</v>
      </c>
      <c r="S1276" s="1" t="s">
        <v>3617</v>
      </c>
      <c r="T1276" s="1">
        <v>1</v>
      </c>
      <c r="U1276" s="19"/>
      <c r="V1276" s="19"/>
    </row>
    <row r="1277" spans="1:22" x14ac:dyDescent="0.3">
      <c r="A1277" s="1" t="s">
        <v>3618</v>
      </c>
      <c r="B1277" s="5">
        <v>46131</v>
      </c>
      <c r="C1277" s="6">
        <v>0.90625</v>
      </c>
      <c r="D1277" s="1" t="s">
        <v>16</v>
      </c>
      <c r="E1277" s="1" t="s">
        <v>3471</v>
      </c>
      <c r="F1277" s="1" t="s">
        <v>3619</v>
      </c>
      <c r="G1277" s="39" t="s">
        <v>3430</v>
      </c>
      <c r="H1277" s="1">
        <v>3</v>
      </c>
      <c r="I1277" s="1">
        <v>2</v>
      </c>
      <c r="J1277" s="39" t="s">
        <v>3434</v>
      </c>
      <c r="K1277" s="1">
        <v>2</v>
      </c>
      <c r="L1277" s="1">
        <v>3</v>
      </c>
      <c r="S1277" s="1" t="s">
        <v>3620</v>
      </c>
      <c r="T1277" s="1">
        <v>1</v>
      </c>
      <c r="U1277" s="19"/>
      <c r="V1277" s="19"/>
    </row>
    <row r="1278" spans="1:22" x14ac:dyDescent="0.3">
      <c r="A1278" s="1" t="s">
        <v>3621</v>
      </c>
      <c r="B1278" s="5">
        <v>46122</v>
      </c>
      <c r="C1278" s="6">
        <v>0.875</v>
      </c>
      <c r="D1278" s="1" t="s">
        <v>16</v>
      </c>
      <c r="E1278" s="1" t="s">
        <v>3471</v>
      </c>
      <c r="F1278" s="1" t="s">
        <v>3622</v>
      </c>
      <c r="G1278" s="39" t="s">
        <v>3481</v>
      </c>
      <c r="H1278" s="1">
        <v>0</v>
      </c>
      <c r="I1278" s="1">
        <v>2</v>
      </c>
      <c r="J1278" s="39" t="s">
        <v>3430</v>
      </c>
      <c r="K1278" s="1">
        <v>2</v>
      </c>
      <c r="L1278" s="1">
        <v>0</v>
      </c>
      <c r="S1278" s="1" t="s">
        <v>3623</v>
      </c>
      <c r="T1278" s="1">
        <v>1</v>
      </c>
      <c r="U1278" s="19"/>
      <c r="V1278" s="19"/>
    </row>
    <row r="1279" spans="1:22" x14ac:dyDescent="0.3">
      <c r="A1279" s="1" t="s">
        <v>3624</v>
      </c>
      <c r="B1279" s="5">
        <v>46118</v>
      </c>
      <c r="C1279" s="6">
        <v>0.875</v>
      </c>
      <c r="D1279" s="1" t="s">
        <v>16</v>
      </c>
      <c r="E1279" s="1" t="s">
        <v>3471</v>
      </c>
      <c r="F1279" s="1" t="s">
        <v>3625</v>
      </c>
      <c r="G1279" s="39" t="s">
        <v>3430</v>
      </c>
      <c r="H1279" s="1">
        <v>5</v>
      </c>
      <c r="I1279" s="1">
        <v>1</v>
      </c>
      <c r="J1279" s="39" t="s">
        <v>3418</v>
      </c>
      <c r="K1279" s="1">
        <v>1</v>
      </c>
      <c r="L1279" s="1">
        <v>5</v>
      </c>
      <c r="S1279" s="1" t="s">
        <v>3626</v>
      </c>
      <c r="T1279" s="1">
        <v>1</v>
      </c>
      <c r="U1279" s="19"/>
      <c r="V1279" s="19"/>
    </row>
    <row r="1280" spans="1:22" x14ac:dyDescent="0.3">
      <c r="A1280" s="1" t="s">
        <v>3627</v>
      </c>
      <c r="B1280" s="5">
        <v>46236</v>
      </c>
      <c r="C1280" s="6">
        <v>0.66666666666666663</v>
      </c>
      <c r="D1280" s="1" t="s">
        <v>16</v>
      </c>
      <c r="E1280" s="1" t="s">
        <v>3471</v>
      </c>
      <c r="F1280" s="1" t="s">
        <v>3628</v>
      </c>
      <c r="G1280" s="39" t="s">
        <v>3402</v>
      </c>
      <c r="H1280" s="1">
        <v>1</v>
      </c>
      <c r="I1280" s="1">
        <v>2</v>
      </c>
      <c r="J1280" s="39" t="s">
        <v>3481</v>
      </c>
      <c r="K1280" s="1">
        <v>2</v>
      </c>
      <c r="L1280" s="1">
        <v>1</v>
      </c>
      <c r="S1280" s="1" t="s">
        <v>3629</v>
      </c>
      <c r="T1280" s="1">
        <v>1</v>
      </c>
      <c r="U1280" s="19"/>
      <c r="V1280" s="19"/>
    </row>
    <row r="1281" spans="1:22" x14ac:dyDescent="0.3">
      <c r="A1281" s="1" t="s">
        <v>3630</v>
      </c>
      <c r="B1281" s="5">
        <v>46229</v>
      </c>
      <c r="C1281" s="6">
        <v>0.89583333333333337</v>
      </c>
      <c r="D1281" s="1" t="s">
        <v>16</v>
      </c>
      <c r="E1281" s="1" t="s">
        <v>3471</v>
      </c>
      <c r="F1281" s="1" t="s">
        <v>3631</v>
      </c>
      <c r="G1281" s="39" t="s">
        <v>3426</v>
      </c>
      <c r="H1281" s="1">
        <v>2</v>
      </c>
      <c r="I1281" s="1">
        <v>0</v>
      </c>
      <c r="J1281" s="39" t="s">
        <v>3481</v>
      </c>
      <c r="K1281" s="1">
        <v>0</v>
      </c>
      <c r="L1281" s="1">
        <v>2</v>
      </c>
      <c r="S1281" s="1" t="s">
        <v>3632</v>
      </c>
      <c r="T1281" s="1">
        <v>1</v>
      </c>
      <c r="U1281" s="19"/>
      <c r="V1281" s="19"/>
    </row>
    <row r="1282" spans="1:22" x14ac:dyDescent="0.3">
      <c r="A1282" s="1" t="s">
        <v>3633</v>
      </c>
      <c r="B1282" s="5">
        <v>46158</v>
      </c>
      <c r="C1282" s="6">
        <v>0.77083333333333337</v>
      </c>
      <c r="D1282" s="1" t="s">
        <v>16</v>
      </c>
      <c r="E1282" s="1" t="s">
        <v>3471</v>
      </c>
      <c r="F1282" s="1" t="s">
        <v>3634</v>
      </c>
      <c r="G1282" s="39" t="s">
        <v>3481</v>
      </c>
      <c r="H1282" s="1">
        <v>0</v>
      </c>
      <c r="I1282" s="1">
        <v>1</v>
      </c>
      <c r="J1282" s="39" t="s">
        <v>3418</v>
      </c>
      <c r="K1282" s="1">
        <v>1</v>
      </c>
      <c r="L1282" s="1">
        <v>0</v>
      </c>
      <c r="S1282" s="1" t="s">
        <v>3635</v>
      </c>
      <c r="T1282" s="1">
        <v>1</v>
      </c>
      <c r="U1282" s="19"/>
      <c r="V1282" s="19"/>
    </row>
    <row r="1283" spans="1:22" x14ac:dyDescent="0.3">
      <c r="A1283" s="1" t="s">
        <v>3636</v>
      </c>
      <c r="B1283" s="5">
        <v>46131</v>
      </c>
      <c r="C1283" s="6">
        <v>0.6875</v>
      </c>
      <c r="D1283" s="1" t="s">
        <v>16</v>
      </c>
      <c r="E1283" s="1" t="s">
        <v>3471</v>
      </c>
      <c r="F1283" s="1" t="s">
        <v>3637</v>
      </c>
      <c r="G1283" s="39" t="s">
        <v>3398</v>
      </c>
      <c r="H1283" s="1">
        <v>2</v>
      </c>
      <c r="I1283" s="1">
        <v>3</v>
      </c>
      <c r="J1283" s="39" t="s">
        <v>3481</v>
      </c>
      <c r="K1283" s="1">
        <v>3</v>
      </c>
      <c r="L1283" s="1">
        <v>2</v>
      </c>
      <c r="S1283" s="1" t="s">
        <v>3638</v>
      </c>
      <c r="T1283" s="1">
        <v>1</v>
      </c>
      <c r="U1283" s="19"/>
      <c r="V1283" s="19"/>
    </row>
    <row r="1284" spans="1:22" x14ac:dyDescent="0.3">
      <c r="A1284" s="1" t="s">
        <v>3639</v>
      </c>
      <c r="B1284" s="5">
        <v>46115</v>
      </c>
      <c r="C1284" s="6">
        <v>0.83333333333333337</v>
      </c>
      <c r="D1284" s="1" t="s">
        <v>16</v>
      </c>
      <c r="E1284" s="1" t="s">
        <v>3471</v>
      </c>
      <c r="F1284" s="1" t="s">
        <v>3640</v>
      </c>
      <c r="G1284" s="39" t="s">
        <v>3481</v>
      </c>
      <c r="H1284" s="1">
        <v>2</v>
      </c>
      <c r="I1284" s="1">
        <v>1</v>
      </c>
      <c r="J1284" s="39" t="s">
        <v>3434</v>
      </c>
      <c r="K1284" s="1">
        <v>1</v>
      </c>
      <c r="L1284" s="1">
        <v>2</v>
      </c>
      <c r="S1284" s="1" t="s">
        <v>3641</v>
      </c>
      <c r="T1284" s="1">
        <v>1</v>
      </c>
      <c r="U1284" s="19"/>
      <c r="V1284" s="19"/>
    </row>
    <row r="1285" spans="1:22" x14ac:dyDescent="0.3">
      <c r="A1285" s="1" t="s">
        <v>3642</v>
      </c>
      <c r="B1285" s="5">
        <v>46097</v>
      </c>
      <c r="C1285" s="6">
        <v>0.75</v>
      </c>
      <c r="D1285" s="1" t="s">
        <v>16</v>
      </c>
      <c r="E1285" s="1" t="s">
        <v>3471</v>
      </c>
      <c r="F1285" s="1" t="s">
        <v>3643</v>
      </c>
      <c r="G1285" s="39" t="s">
        <v>3460</v>
      </c>
      <c r="H1285" s="1">
        <v>3</v>
      </c>
      <c r="I1285" s="1">
        <v>3</v>
      </c>
      <c r="J1285" s="39" t="s">
        <v>3481</v>
      </c>
      <c r="K1285" s="1">
        <v>3</v>
      </c>
      <c r="L1285" s="1">
        <v>3</v>
      </c>
      <c r="S1285" s="1" t="s">
        <v>3644</v>
      </c>
      <c r="T1285" s="1">
        <v>1</v>
      </c>
      <c r="U1285" s="19"/>
      <c r="V1285" s="19"/>
    </row>
    <row r="1286" spans="1:22" x14ac:dyDescent="0.3">
      <c r="A1286" s="1" t="s">
        <v>3645</v>
      </c>
      <c r="B1286" s="5">
        <v>46088</v>
      </c>
      <c r="C1286" s="6">
        <v>0.85416666666666663</v>
      </c>
      <c r="D1286" s="1" t="s">
        <v>16</v>
      </c>
      <c r="E1286" s="1" t="s">
        <v>3471</v>
      </c>
      <c r="F1286" s="1" t="s">
        <v>3646</v>
      </c>
      <c r="G1286" s="39" t="s">
        <v>3481</v>
      </c>
      <c r="H1286" s="1">
        <v>1</v>
      </c>
      <c r="I1286" s="1">
        <v>0</v>
      </c>
      <c r="J1286" s="39" t="s">
        <v>3406</v>
      </c>
      <c r="K1286" s="1">
        <v>0</v>
      </c>
      <c r="L1286" s="1">
        <v>1</v>
      </c>
      <c r="S1286" s="1" t="s">
        <v>3647</v>
      </c>
      <c r="T1286" s="1">
        <v>1</v>
      </c>
      <c r="U1286" s="19"/>
      <c r="V1286" s="19"/>
    </row>
    <row r="1287" spans="1:22" x14ac:dyDescent="0.3">
      <c r="A1287" s="1" t="s">
        <v>3648</v>
      </c>
      <c r="B1287" s="5">
        <v>46187</v>
      </c>
      <c r="C1287" s="6">
        <v>0.5625</v>
      </c>
      <c r="D1287" s="1" t="s">
        <v>16</v>
      </c>
      <c r="E1287" s="1" t="s">
        <v>3471</v>
      </c>
      <c r="F1287" s="1" t="s">
        <v>3649</v>
      </c>
      <c r="G1287" s="39" t="s">
        <v>3426</v>
      </c>
      <c r="H1287" s="1">
        <v>3</v>
      </c>
      <c r="I1287" s="1">
        <v>2</v>
      </c>
      <c r="J1287" s="39" t="s">
        <v>3394</v>
      </c>
      <c r="K1287" s="1">
        <v>2</v>
      </c>
      <c r="L1287" s="1">
        <v>3</v>
      </c>
      <c r="S1287" s="1" t="s">
        <v>3650</v>
      </c>
      <c r="T1287" s="1">
        <v>1</v>
      </c>
      <c r="U1287" s="19"/>
      <c r="V1287" s="19"/>
    </row>
    <row r="1288" spans="1:22" x14ac:dyDescent="0.3">
      <c r="A1288" s="1" t="s">
        <v>3651</v>
      </c>
      <c r="B1288" s="5">
        <v>46166</v>
      </c>
      <c r="C1288" s="6">
        <v>0.66666666666666663</v>
      </c>
      <c r="D1288" s="1" t="s">
        <v>16</v>
      </c>
      <c r="E1288" s="1" t="s">
        <v>3471</v>
      </c>
      <c r="F1288" s="1" t="s">
        <v>3652</v>
      </c>
      <c r="G1288" s="39" t="s">
        <v>3402</v>
      </c>
      <c r="H1288" s="1">
        <v>4</v>
      </c>
      <c r="I1288" s="1">
        <v>1</v>
      </c>
      <c r="J1288" s="39" t="s">
        <v>3394</v>
      </c>
      <c r="K1288" s="1">
        <v>1</v>
      </c>
      <c r="L1288" s="1">
        <v>4</v>
      </c>
      <c r="S1288" s="1" t="s">
        <v>3653</v>
      </c>
      <c r="T1288" s="1">
        <v>1</v>
      </c>
      <c r="U1288" s="19"/>
      <c r="V1288" s="19"/>
    </row>
    <row r="1289" spans="1:22" x14ac:dyDescent="0.3">
      <c r="A1289" s="1" t="s">
        <v>3654</v>
      </c>
      <c r="B1289" s="5">
        <v>46136</v>
      </c>
      <c r="C1289" s="6">
        <v>0.89583333333333337</v>
      </c>
      <c r="D1289" s="1" t="s">
        <v>16</v>
      </c>
      <c r="E1289" s="1" t="s">
        <v>3471</v>
      </c>
      <c r="F1289" s="1" t="s">
        <v>3655</v>
      </c>
      <c r="G1289" s="39" t="s">
        <v>3434</v>
      </c>
      <c r="H1289" s="1">
        <v>2</v>
      </c>
      <c r="I1289" s="1">
        <v>2</v>
      </c>
      <c r="J1289" s="39" t="s">
        <v>3394</v>
      </c>
      <c r="K1289" s="1">
        <v>2</v>
      </c>
      <c r="L1289" s="1">
        <v>2</v>
      </c>
      <c r="S1289" s="1" t="s">
        <v>3656</v>
      </c>
      <c r="T1289" s="1">
        <v>1</v>
      </c>
      <c r="U1289" s="19"/>
      <c r="V1289" s="19"/>
    </row>
    <row r="1290" spans="1:22" x14ac:dyDescent="0.3">
      <c r="A1290" s="1" t="s">
        <v>3657</v>
      </c>
      <c r="B1290" s="5">
        <v>46129</v>
      </c>
      <c r="C1290" s="6">
        <v>0.875</v>
      </c>
      <c r="D1290" s="1" t="s">
        <v>16</v>
      </c>
      <c r="E1290" s="1" t="s">
        <v>3471</v>
      </c>
      <c r="F1290" s="1" t="s">
        <v>3658</v>
      </c>
      <c r="G1290" s="39" t="s">
        <v>3394</v>
      </c>
      <c r="H1290" s="1">
        <v>3</v>
      </c>
      <c r="I1290" s="1">
        <v>0</v>
      </c>
      <c r="J1290" s="39" t="s">
        <v>3418</v>
      </c>
      <c r="K1290" s="1">
        <v>0</v>
      </c>
      <c r="L1290" s="1">
        <v>3</v>
      </c>
      <c r="S1290" s="1" t="s">
        <v>3659</v>
      </c>
      <c r="T1290" s="1">
        <v>1</v>
      </c>
      <c r="U1290" s="19"/>
      <c r="V1290" s="19"/>
    </row>
    <row r="1291" spans="1:22" x14ac:dyDescent="0.3">
      <c r="A1291" s="1" t="s">
        <v>3660</v>
      </c>
      <c r="B1291" s="5">
        <v>46116</v>
      </c>
      <c r="C1291" s="6">
        <v>0.72916666666666663</v>
      </c>
      <c r="D1291" s="1" t="s">
        <v>16</v>
      </c>
      <c r="E1291" s="1" t="s">
        <v>3471</v>
      </c>
      <c r="F1291" s="1" t="s">
        <v>3661</v>
      </c>
      <c r="G1291" s="39" t="s">
        <v>3394</v>
      </c>
      <c r="H1291" s="1">
        <v>4</v>
      </c>
      <c r="I1291" s="1">
        <v>0</v>
      </c>
      <c r="J1291" s="39" t="s">
        <v>3460</v>
      </c>
      <c r="K1291" s="1">
        <v>0</v>
      </c>
      <c r="L1291" s="1">
        <v>4</v>
      </c>
      <c r="S1291" s="1" t="s">
        <v>3662</v>
      </c>
      <c r="T1291" s="1">
        <v>1</v>
      </c>
      <c r="U1291" s="19"/>
      <c r="V1291" s="19"/>
    </row>
    <row r="1292" spans="1:22" x14ac:dyDescent="0.3">
      <c r="A1292" s="1" t="s">
        <v>3663</v>
      </c>
      <c r="B1292" s="5">
        <v>46096</v>
      </c>
      <c r="C1292" s="6">
        <v>0.75</v>
      </c>
      <c r="D1292" s="1" t="s">
        <v>16</v>
      </c>
      <c r="E1292" s="1" t="s">
        <v>3471</v>
      </c>
      <c r="F1292" s="1" t="s">
        <v>3664</v>
      </c>
      <c r="G1292" s="39" t="s">
        <v>3398</v>
      </c>
      <c r="H1292" s="1">
        <v>2</v>
      </c>
      <c r="I1292" s="1">
        <v>5</v>
      </c>
      <c r="J1292" s="39" t="s">
        <v>3394</v>
      </c>
      <c r="K1292" s="1">
        <v>5</v>
      </c>
      <c r="L1292" s="1">
        <v>2</v>
      </c>
      <c r="S1292" s="1" t="s">
        <v>3665</v>
      </c>
      <c r="T1292" s="1">
        <v>1</v>
      </c>
      <c r="U1292" s="19"/>
      <c r="V1292" s="19"/>
    </row>
    <row r="1293" spans="1:22" x14ac:dyDescent="0.3">
      <c r="A1293" s="1" t="s">
        <v>3666</v>
      </c>
      <c r="B1293" s="5">
        <v>46088</v>
      </c>
      <c r="C1293" s="6">
        <v>0.5</v>
      </c>
      <c r="D1293" s="1" t="s">
        <v>16</v>
      </c>
      <c r="E1293" s="1" t="s">
        <v>3471</v>
      </c>
      <c r="F1293" s="1" t="s">
        <v>3667</v>
      </c>
      <c r="G1293" s="39" t="s">
        <v>223</v>
      </c>
      <c r="H1293" s="1">
        <v>1</v>
      </c>
      <c r="I1293" s="1">
        <v>0</v>
      </c>
      <c r="J1293" s="39" t="s">
        <v>3394</v>
      </c>
      <c r="K1293" s="1">
        <v>0</v>
      </c>
      <c r="L1293" s="1">
        <v>1</v>
      </c>
      <c r="S1293" s="1" t="s">
        <v>3668</v>
      </c>
      <c r="T1293" s="1">
        <v>1</v>
      </c>
      <c r="U1293" s="19"/>
      <c r="V1293" s="19"/>
    </row>
    <row r="1294" spans="1:22" x14ac:dyDescent="0.3">
      <c r="A1294" s="1" t="s">
        <v>3669</v>
      </c>
      <c r="B1294" s="5">
        <v>46081</v>
      </c>
      <c r="C1294" s="6">
        <v>0.75</v>
      </c>
      <c r="D1294" s="1" t="s">
        <v>16</v>
      </c>
      <c r="E1294" s="1" t="s">
        <v>3471</v>
      </c>
      <c r="F1294" s="1" t="s">
        <v>3670</v>
      </c>
      <c r="G1294" s="39" t="s">
        <v>3394</v>
      </c>
      <c r="H1294" s="1">
        <v>3</v>
      </c>
      <c r="I1294" s="1">
        <v>0</v>
      </c>
      <c r="J1294" s="39" t="s">
        <v>3430</v>
      </c>
      <c r="K1294" s="1">
        <v>0</v>
      </c>
      <c r="L1294" s="1">
        <v>3</v>
      </c>
      <c r="S1294" s="1" t="s">
        <v>3671</v>
      </c>
      <c r="T1294" s="1">
        <v>1</v>
      </c>
      <c r="U1294" s="19"/>
      <c r="V1294" s="19"/>
    </row>
    <row r="1295" spans="1:22" x14ac:dyDescent="0.3">
      <c r="A1295" s="1" t="s">
        <v>3672</v>
      </c>
      <c r="B1295" s="5">
        <v>46130</v>
      </c>
      <c r="C1295" s="6">
        <v>0.83333333333333337</v>
      </c>
      <c r="D1295" s="1" t="s">
        <v>16</v>
      </c>
      <c r="E1295" s="1" t="s">
        <v>3471</v>
      </c>
      <c r="F1295" s="1" t="s">
        <v>3673</v>
      </c>
      <c r="G1295" s="39" t="s">
        <v>3426</v>
      </c>
      <c r="H1295" s="1">
        <v>3</v>
      </c>
      <c r="I1295" s="1">
        <v>3</v>
      </c>
      <c r="J1295" s="39" t="s">
        <v>3402</v>
      </c>
      <c r="K1295" s="1">
        <v>3</v>
      </c>
      <c r="L1295" s="1">
        <v>3</v>
      </c>
      <c r="S1295" s="1" t="s">
        <v>3674</v>
      </c>
      <c r="T1295" s="1">
        <v>1</v>
      </c>
      <c r="U1295" s="19"/>
      <c r="V1295" s="19"/>
    </row>
    <row r="1296" spans="1:22" x14ac:dyDescent="0.3">
      <c r="A1296" s="1" t="s">
        <v>3675</v>
      </c>
      <c r="B1296" s="5">
        <v>46125</v>
      </c>
      <c r="C1296" s="6">
        <v>0.83333333333333337</v>
      </c>
      <c r="D1296" s="1" t="s">
        <v>16</v>
      </c>
      <c r="E1296" s="1" t="s">
        <v>3471</v>
      </c>
      <c r="F1296" s="1" t="s">
        <v>3676</v>
      </c>
      <c r="G1296" s="39" t="s">
        <v>3460</v>
      </c>
      <c r="H1296" s="1">
        <v>1</v>
      </c>
      <c r="I1296" s="1">
        <v>0</v>
      </c>
      <c r="J1296" s="39" t="s">
        <v>3426</v>
      </c>
      <c r="K1296" s="1">
        <v>0</v>
      </c>
      <c r="L1296" s="1">
        <v>1</v>
      </c>
      <c r="S1296" s="1" t="s">
        <v>3677</v>
      </c>
      <c r="T1296" s="1">
        <v>1</v>
      </c>
      <c r="U1296" s="19"/>
      <c r="V1296" s="19"/>
    </row>
    <row r="1297" spans="1:22" x14ac:dyDescent="0.3">
      <c r="A1297" s="1" t="s">
        <v>3678</v>
      </c>
      <c r="B1297" s="5">
        <v>46094</v>
      </c>
      <c r="C1297" s="6">
        <v>0.83333333333333337</v>
      </c>
      <c r="D1297" s="1" t="s">
        <v>16</v>
      </c>
      <c r="E1297" s="1" t="s">
        <v>3471</v>
      </c>
      <c r="F1297" s="1" t="s">
        <v>3679</v>
      </c>
      <c r="G1297" s="39" t="s">
        <v>3434</v>
      </c>
      <c r="H1297" s="1">
        <v>3</v>
      </c>
      <c r="I1297" s="1">
        <v>0</v>
      </c>
      <c r="J1297" s="39" t="s">
        <v>3426</v>
      </c>
      <c r="K1297" s="1">
        <v>0</v>
      </c>
      <c r="L1297" s="1">
        <v>3</v>
      </c>
      <c r="S1297" s="1" t="s">
        <v>3680</v>
      </c>
      <c r="T1297" s="1">
        <v>1</v>
      </c>
      <c r="U1297" s="19"/>
      <c r="V1297" s="19"/>
    </row>
    <row r="1298" spans="1:22" x14ac:dyDescent="0.3">
      <c r="A1298" s="1" t="s">
        <v>3681</v>
      </c>
      <c r="B1298" s="5">
        <v>46185</v>
      </c>
      <c r="C1298" s="6">
        <v>0.83333333333333337</v>
      </c>
      <c r="D1298" s="1" t="s">
        <v>16</v>
      </c>
      <c r="E1298" s="1" t="s">
        <v>3471</v>
      </c>
      <c r="F1298" s="1" t="s">
        <v>3682</v>
      </c>
      <c r="G1298" s="39" t="s">
        <v>3434</v>
      </c>
      <c r="H1298" s="1">
        <v>1</v>
      </c>
      <c r="I1298" s="1">
        <v>1</v>
      </c>
      <c r="J1298" s="39" t="s">
        <v>3402</v>
      </c>
      <c r="K1298" s="1">
        <v>1</v>
      </c>
      <c r="L1298" s="1">
        <v>1</v>
      </c>
      <c r="S1298" s="1" t="s">
        <v>3683</v>
      </c>
      <c r="T1298" s="1">
        <v>1</v>
      </c>
      <c r="U1298" s="19"/>
      <c r="V1298" s="19"/>
    </row>
    <row r="1299" spans="1:22" x14ac:dyDescent="0.3">
      <c r="A1299" s="1" t="s">
        <v>3684</v>
      </c>
      <c r="B1299" s="5">
        <v>46234</v>
      </c>
      <c r="C1299" s="6">
        <v>0.83333333333333337</v>
      </c>
      <c r="D1299" s="1" t="s">
        <v>16</v>
      </c>
      <c r="E1299" s="1" t="s">
        <v>3471</v>
      </c>
      <c r="F1299" s="1" t="s">
        <v>3685</v>
      </c>
      <c r="G1299" s="39" t="s">
        <v>3418</v>
      </c>
      <c r="H1299" s="1">
        <v>0</v>
      </c>
      <c r="I1299" s="1">
        <v>1</v>
      </c>
      <c r="J1299" s="39" t="s">
        <v>3434</v>
      </c>
      <c r="K1299" s="1">
        <v>1</v>
      </c>
      <c r="L1299" s="1">
        <v>0</v>
      </c>
      <c r="S1299" s="1" t="s">
        <v>3686</v>
      </c>
      <c r="T1299" s="1">
        <v>1</v>
      </c>
      <c r="U1299" s="19"/>
      <c r="V1299" s="19"/>
    </row>
    <row r="1300" spans="1:22" x14ac:dyDescent="0.3">
      <c r="A1300" s="1" t="s">
        <v>3687</v>
      </c>
      <c r="B1300" s="5">
        <v>46165</v>
      </c>
      <c r="C1300" s="6">
        <v>0.5625</v>
      </c>
      <c r="D1300" s="1" t="s">
        <v>16</v>
      </c>
      <c r="E1300" s="1" t="s">
        <v>3471</v>
      </c>
      <c r="F1300" s="1" t="s">
        <v>3688</v>
      </c>
      <c r="G1300" s="39" t="s">
        <v>3434</v>
      </c>
      <c r="H1300" s="1">
        <v>2</v>
      </c>
      <c r="I1300" s="1">
        <v>1</v>
      </c>
      <c r="J1300" s="39" t="s">
        <v>3398</v>
      </c>
      <c r="K1300" s="1">
        <v>1</v>
      </c>
      <c r="L1300" s="1">
        <v>2</v>
      </c>
      <c r="S1300" s="1" t="s">
        <v>3689</v>
      </c>
      <c r="T1300" s="1">
        <v>1</v>
      </c>
      <c r="U1300" s="19"/>
      <c r="V1300" s="19"/>
    </row>
    <row r="1301" spans="1:22" x14ac:dyDescent="0.3">
      <c r="A1301" s="1" t="s">
        <v>3690</v>
      </c>
      <c r="B1301" s="5">
        <v>46243</v>
      </c>
      <c r="C1301" s="6">
        <v>0.52083333333333337</v>
      </c>
      <c r="D1301" s="1" t="s">
        <v>16</v>
      </c>
      <c r="E1301" s="1" t="s">
        <v>3471</v>
      </c>
      <c r="F1301" s="1" t="s">
        <v>3691</v>
      </c>
      <c r="G1301" s="39" t="s">
        <v>3426</v>
      </c>
      <c r="H1301" s="1">
        <v>1</v>
      </c>
      <c r="I1301" s="1">
        <v>0</v>
      </c>
      <c r="J1301" s="39" t="s">
        <v>3418</v>
      </c>
      <c r="K1301" s="1">
        <v>0</v>
      </c>
      <c r="L1301" s="1">
        <v>1</v>
      </c>
      <c r="S1301" s="1" t="s">
        <v>3692</v>
      </c>
      <c r="T1301" s="1">
        <v>1</v>
      </c>
      <c r="U1301" s="19"/>
      <c r="V1301" s="19"/>
    </row>
    <row r="1302" spans="1:22" x14ac:dyDescent="0.3">
      <c r="A1302" s="1" t="s">
        <v>3693</v>
      </c>
      <c r="B1302" s="5">
        <v>46171</v>
      </c>
      <c r="C1302" s="6">
        <v>0.85416666666666663</v>
      </c>
      <c r="D1302" s="1" t="s">
        <v>16</v>
      </c>
      <c r="E1302" s="1" t="s">
        <v>3471</v>
      </c>
      <c r="F1302" s="1" t="s">
        <v>3694</v>
      </c>
      <c r="G1302" s="39" t="s">
        <v>3418</v>
      </c>
      <c r="H1302" s="1">
        <v>0</v>
      </c>
      <c r="I1302" s="1">
        <v>0</v>
      </c>
      <c r="J1302" s="39" t="s">
        <v>3460</v>
      </c>
      <c r="K1302" s="1">
        <v>0</v>
      </c>
      <c r="L1302" s="1">
        <v>0</v>
      </c>
      <c r="S1302" s="1" t="s">
        <v>3695</v>
      </c>
      <c r="T1302" s="1">
        <v>1</v>
      </c>
      <c r="U1302" s="19"/>
      <c r="V1302" s="19"/>
    </row>
    <row r="1303" spans="1:22" x14ac:dyDescent="0.3">
      <c r="A1303" s="1" t="s">
        <v>3696</v>
      </c>
      <c r="B1303" s="5">
        <v>46124</v>
      </c>
      <c r="C1303" s="6">
        <v>0.83333333333333337</v>
      </c>
      <c r="D1303" s="1" t="s">
        <v>16</v>
      </c>
      <c r="E1303" s="1" t="s">
        <v>3471</v>
      </c>
      <c r="F1303" s="1" t="s">
        <v>3697</v>
      </c>
      <c r="G1303" s="39" t="s">
        <v>3418</v>
      </c>
      <c r="H1303" s="1">
        <v>1</v>
      </c>
      <c r="I1303" s="1">
        <v>0</v>
      </c>
      <c r="J1303" s="39" t="s">
        <v>3398</v>
      </c>
      <c r="K1303" s="1">
        <v>0</v>
      </c>
      <c r="L1303" s="1">
        <v>1</v>
      </c>
      <c r="S1303" s="1" t="s">
        <v>3698</v>
      </c>
      <c r="T1303" s="1">
        <v>1</v>
      </c>
      <c r="U1303" s="19"/>
      <c r="V1303" s="19"/>
    </row>
    <row r="1304" spans="1:22" x14ac:dyDescent="0.3">
      <c r="A1304" s="1" t="s">
        <v>3699</v>
      </c>
      <c r="B1304" s="5">
        <v>46235</v>
      </c>
      <c r="C1304" s="6">
        <v>0.5625</v>
      </c>
      <c r="D1304" s="1" t="s">
        <v>16</v>
      </c>
      <c r="E1304" s="1" t="s">
        <v>3471</v>
      </c>
      <c r="F1304" s="1" t="s">
        <v>3700</v>
      </c>
      <c r="G1304" s="39" t="s">
        <v>3398</v>
      </c>
      <c r="H1304" s="1">
        <v>4</v>
      </c>
      <c r="I1304" s="1">
        <v>0</v>
      </c>
      <c r="J1304" s="39" t="s">
        <v>3460</v>
      </c>
      <c r="K1304" s="1">
        <v>0</v>
      </c>
      <c r="L1304" s="1">
        <v>4</v>
      </c>
      <c r="S1304" s="1" t="s">
        <v>3701</v>
      </c>
      <c r="T1304" s="1">
        <v>1</v>
      </c>
      <c r="U1304" s="19"/>
      <c r="V1304" s="19"/>
    </row>
    <row r="1305" spans="1:22" x14ac:dyDescent="0.3">
      <c r="A1305" s="1" t="s">
        <v>3702</v>
      </c>
      <c r="B1305" s="5">
        <v>46087</v>
      </c>
      <c r="C1305" s="6">
        <v>0.75</v>
      </c>
      <c r="D1305" s="1" t="s">
        <v>16</v>
      </c>
      <c r="E1305" s="1" t="s">
        <v>3471</v>
      </c>
      <c r="F1305" s="1" t="s">
        <v>3703</v>
      </c>
      <c r="G1305" s="39" t="s">
        <v>3402</v>
      </c>
      <c r="H1305" s="1">
        <v>3</v>
      </c>
      <c r="I1305" s="1">
        <v>0</v>
      </c>
      <c r="J1305" s="39" t="s">
        <v>3460</v>
      </c>
      <c r="K1305" s="1">
        <v>0</v>
      </c>
      <c r="L1305" s="1">
        <v>3</v>
      </c>
      <c r="S1305" s="1" t="s">
        <v>3704</v>
      </c>
      <c r="T1305" s="1">
        <v>1</v>
      </c>
      <c r="U1305" s="19"/>
      <c r="V1305" s="19"/>
    </row>
    <row r="1306" spans="1:22" x14ac:dyDescent="0.3">
      <c r="A1306" s="1" t="s">
        <v>3770</v>
      </c>
      <c r="B1306" s="102">
        <v>46116</v>
      </c>
      <c r="C1306" s="6">
        <v>0.85416666666666696</v>
      </c>
      <c r="D1306" s="1" t="s">
        <v>39</v>
      </c>
      <c r="E1306" s="1" t="s">
        <v>3705</v>
      </c>
      <c r="F1306" s="1" t="s">
        <v>3771</v>
      </c>
      <c r="G1306" s="39" t="s">
        <v>3714</v>
      </c>
      <c r="H1306" s="1">
        <v>1</v>
      </c>
      <c r="I1306" s="1">
        <v>0</v>
      </c>
      <c r="J1306" s="39" t="s">
        <v>3718</v>
      </c>
      <c r="K1306" s="1">
        <v>0</v>
      </c>
      <c r="L1306" s="1">
        <v>1</v>
      </c>
      <c r="S1306" s="1" t="str">
        <f>IF(tblDados[[#This Row],[Mandante]]="","",TEXT(tblDados[[#This Row],[Data]],"aaaa-mm-dd")&amp;"|"&amp;TRIM(tblDados[[#This Row],[Mandante]])&amp;"|"&amp;TRIM(tblDados[[#This Row],[Visitante]]))</f>
        <v>2026-04-04|Chicago Fire FC|Nashville SC</v>
      </c>
      <c r="T1306" s="1">
        <f>IF($G1306="",0,IF(COUNTIF($S$2:$S1445,$S1306)=1,1,0))</f>
        <v>1</v>
      </c>
      <c r="U1306" s="19" t="str">
        <f>IF(tblDados[[#This Row],[Mandante]]="","",IF(COUNTIF(CadastroEquipes,TRIM(tblDados[[#This Row],[Mandante]]))&gt;0,"","⚠ Nome não cadastrado"))</f>
        <v/>
      </c>
      <c r="V1306" s="19" t="str">
        <f>IF(tblDados[[#This Row],[Visitante]]="","",IF(COUNTIF(CadastroEquipes,TRIM(tblDados[[#This Row],[Visitante]]))&gt;0,"","⚠ Nome não cadastrado"))</f>
        <v/>
      </c>
    </row>
    <row r="1307" spans="1:22" x14ac:dyDescent="0.3">
      <c r="A1307" s="1" t="s">
        <v>3712</v>
      </c>
      <c r="B1307" s="102">
        <v>46123</v>
      </c>
      <c r="C1307" s="6">
        <v>0.89583333333333304</v>
      </c>
      <c r="D1307" s="1" t="s">
        <v>39</v>
      </c>
      <c r="E1307" s="1" t="s">
        <v>3705</v>
      </c>
      <c r="F1307" s="1" t="s">
        <v>3713</v>
      </c>
      <c r="G1307" s="39" t="s">
        <v>3714</v>
      </c>
      <c r="H1307" s="1">
        <v>1</v>
      </c>
      <c r="I1307" s="1">
        <v>0</v>
      </c>
      <c r="J1307" s="39" t="s">
        <v>3715</v>
      </c>
      <c r="K1307" s="1">
        <v>0</v>
      </c>
      <c r="L1307" s="1">
        <v>1</v>
      </c>
      <c r="S1307" s="1" t="str">
        <f>IF(tblDados[[#This Row],[Mandante]]="","",TEXT(tblDados[[#This Row],[Data]],"aaaa-mm-dd")&amp;"|"&amp;TRIM(tblDados[[#This Row],[Mandante]])&amp;"|"&amp;TRIM(tblDados[[#This Row],[Visitante]]))</f>
        <v>2026-04-11|Chicago Fire FC|Atlanta United FC</v>
      </c>
      <c r="T1307" s="1">
        <f>IF($G1307="",0,IF(COUNTIF($S$2:$S1446,$S1307)=1,1,0))</f>
        <v>1</v>
      </c>
      <c r="U1307" s="19" t="str">
        <f>IF(tblDados[[#This Row],[Mandante]]="","",IF(COUNTIF(CadastroEquipes,TRIM(tblDados[[#This Row],[Mandante]]))&gt;0,"","⚠ Nome não cadastrado"))</f>
        <v/>
      </c>
      <c r="V1307" s="19" t="str">
        <f>IF(tblDados[[#This Row],[Visitante]]="","",IF(COUNTIF(CadastroEquipes,TRIM(tblDados[[#This Row],[Visitante]]))&gt;0,"","⚠ Nome não cadastrado"))</f>
        <v/>
      </c>
    </row>
    <row r="1308" spans="1:22" x14ac:dyDescent="0.3">
      <c r="A1308" s="1" t="s">
        <v>3745</v>
      </c>
      <c r="B1308" s="102">
        <v>46123</v>
      </c>
      <c r="C1308" s="6">
        <v>0.85416666666666696</v>
      </c>
      <c r="D1308" s="1" t="s">
        <v>39</v>
      </c>
      <c r="E1308" s="1" t="s">
        <v>3705</v>
      </c>
      <c r="F1308" s="1" t="s">
        <v>3746</v>
      </c>
      <c r="G1308" s="39" t="s">
        <v>3736</v>
      </c>
      <c r="H1308" s="1">
        <v>1</v>
      </c>
      <c r="I1308" s="1">
        <v>2</v>
      </c>
      <c r="J1308" s="39" t="s">
        <v>3718</v>
      </c>
      <c r="K1308" s="1">
        <v>2</v>
      </c>
      <c r="L1308" s="1">
        <v>1</v>
      </c>
      <c r="S1308" s="1" t="str">
        <f>IF(tblDados[[#This Row],[Mandante]]="","",TEXT(tblDados[[#This Row],[Data]],"aaaa-mm-dd")&amp;"|"&amp;TRIM(tblDados[[#This Row],[Mandante]])&amp;"|"&amp;TRIM(tblDados[[#This Row],[Visitante]]))</f>
        <v>2026-04-11|Charlotte FC|Nashville SC</v>
      </c>
      <c r="T1308" s="1">
        <f>IF($G1308="",0,IF(COUNTIF($S$2:$S1447,$S1308)=1,1,0))</f>
        <v>1</v>
      </c>
      <c r="U1308" s="19" t="str">
        <f>IF(tblDados[[#This Row],[Mandante]]="","",IF(COUNTIF(CadastroEquipes,TRIM(tblDados[[#This Row],[Mandante]]))&gt;0,"","⚠ Nome não cadastrado"))</f>
        <v/>
      </c>
      <c r="V1308" s="19" t="str">
        <f>IF(tblDados[[#This Row],[Visitante]]="","",IF(COUNTIF(CadastroEquipes,TRIM(tblDados[[#This Row],[Visitante]]))&gt;0,"","⚠ Nome não cadastrado"))</f>
        <v/>
      </c>
    </row>
    <row r="1309" spans="1:22" x14ac:dyDescent="0.3">
      <c r="A1309" s="1" t="s">
        <v>3793</v>
      </c>
      <c r="B1309" s="102">
        <v>46123</v>
      </c>
      <c r="C1309" s="6">
        <v>0.59027777777777801</v>
      </c>
      <c r="D1309" s="1" t="s">
        <v>39</v>
      </c>
      <c r="E1309" s="1" t="s">
        <v>3705</v>
      </c>
      <c r="F1309" s="1" t="s">
        <v>3794</v>
      </c>
      <c r="G1309" s="39" t="s">
        <v>192</v>
      </c>
      <c r="H1309" s="1">
        <v>1</v>
      </c>
      <c r="I1309" s="1">
        <v>1</v>
      </c>
      <c r="J1309" s="39" t="s">
        <v>240</v>
      </c>
      <c r="K1309" s="1">
        <v>1</v>
      </c>
      <c r="L1309" s="1">
        <v>1</v>
      </c>
      <c r="S1309" s="1" t="str">
        <f>IF(tblDados[[#This Row],[Mandante]]="","",TEXT(tblDados[[#This Row],[Data]],"aaaa-mm-dd")&amp;"|"&amp;TRIM(tblDados[[#This Row],[Mandante]])&amp;"|"&amp;TRIM(tblDados[[#This Row],[Visitante]]))</f>
        <v>2026-04-11|Toronto FC|FC Cincinnati</v>
      </c>
      <c r="T1309" s="1">
        <f>IF($G1309="",0,IF(COUNTIF($S$2:$S1448,$S1309)=1,1,0))</f>
        <v>1</v>
      </c>
      <c r="U1309" s="19" t="str">
        <f>IF(tblDados[[#This Row],[Mandante]]="","",IF(COUNTIF(CadastroEquipes,TRIM(tblDados[[#This Row],[Mandante]]))&gt;0,"","⚠ Nome não cadastrado"))</f>
        <v/>
      </c>
      <c r="V1309" s="19" t="str">
        <f>IF(tblDados[[#This Row],[Visitante]]="","",IF(COUNTIF(CadastroEquipes,TRIM(tblDados[[#This Row],[Visitante]]))&gt;0,"","⚠ Nome não cadastrado"))</f>
        <v/>
      </c>
    </row>
    <row r="1310" spans="1:22" x14ac:dyDescent="0.3">
      <c r="A1310" s="1" t="s">
        <v>3716</v>
      </c>
      <c r="B1310" s="102">
        <v>46130</v>
      </c>
      <c r="C1310" s="6">
        <v>0.85416666666666696</v>
      </c>
      <c r="D1310" s="1" t="s">
        <v>39</v>
      </c>
      <c r="E1310" s="1" t="s">
        <v>3705</v>
      </c>
      <c r="F1310" s="1" t="s">
        <v>3717</v>
      </c>
      <c r="G1310" s="39" t="s">
        <v>3715</v>
      </c>
      <c r="H1310" s="1">
        <v>0</v>
      </c>
      <c r="I1310" s="1">
        <v>2</v>
      </c>
      <c r="J1310" s="39" t="s">
        <v>3718</v>
      </c>
      <c r="K1310" s="1">
        <v>2</v>
      </c>
      <c r="L1310" s="1">
        <v>0</v>
      </c>
      <c r="S1310" s="1" t="str">
        <f>IF(tblDados[[#This Row],[Mandante]]="","",TEXT(tblDados[[#This Row],[Data]],"aaaa-mm-dd")&amp;"|"&amp;TRIM(tblDados[[#This Row],[Mandante]])&amp;"|"&amp;TRIM(tblDados[[#This Row],[Visitante]]))</f>
        <v>2026-04-18|Atlanta United FC|Nashville SC</v>
      </c>
      <c r="T1310" s="1">
        <f>IF($G1310="",0,IF(COUNTIF($S$2:$S1449,$S1310)=1,1,0))</f>
        <v>1</v>
      </c>
      <c r="U1310" s="19" t="str">
        <f>IF(tblDados[[#This Row],[Mandante]]="","",IF(COUNTIF(CadastroEquipes,TRIM(tblDados[[#This Row],[Mandante]]))&gt;0,"","⚠ Nome não cadastrado"))</f>
        <v/>
      </c>
      <c r="V1310" s="19" t="str">
        <f>IF(tblDados[[#This Row],[Visitante]]="","",IF(COUNTIF(CadastroEquipes,TRIM(tblDados[[#This Row],[Visitante]]))&gt;0,"","⚠ Nome não cadastrado"))</f>
        <v/>
      </c>
    </row>
    <row r="1311" spans="1:22" x14ac:dyDescent="0.3">
      <c r="A1311" s="1" t="s">
        <v>3747</v>
      </c>
      <c r="B1311" s="102">
        <v>46130</v>
      </c>
      <c r="C1311" s="6">
        <v>0.85416666666666696</v>
      </c>
      <c r="D1311" s="1" t="s">
        <v>39</v>
      </c>
      <c r="E1311" s="1" t="s">
        <v>3705</v>
      </c>
      <c r="F1311" s="1" t="s">
        <v>3748</v>
      </c>
      <c r="G1311" s="39" t="s">
        <v>3749</v>
      </c>
      <c r="H1311" s="1">
        <v>1</v>
      </c>
      <c r="I1311" s="1">
        <v>2</v>
      </c>
      <c r="J1311" s="39" t="s">
        <v>3736</v>
      </c>
      <c r="K1311" s="1">
        <v>2</v>
      </c>
      <c r="L1311" s="1">
        <v>1</v>
      </c>
      <c r="S1311" s="1" t="str">
        <f>IF(tblDados[[#This Row],[Mandante]]="","",TEXT(tblDados[[#This Row],[Data]],"aaaa-mm-dd")&amp;"|"&amp;TRIM(tblDados[[#This Row],[Mandante]])&amp;"|"&amp;TRIM(tblDados[[#This Row],[Visitante]]))</f>
        <v>2026-04-18|New York City FC|Charlotte FC</v>
      </c>
      <c r="T1311" s="1">
        <f>IF($G1311="",0,IF(COUNTIF($S$2:$S1450,$S1311)=1,1,0))</f>
        <v>1</v>
      </c>
      <c r="U1311" s="19" t="str">
        <f>IF(tblDados[[#This Row],[Mandante]]="","",IF(COUNTIF(CadastroEquipes,TRIM(tblDados[[#This Row],[Mandante]]))&gt;0,"","⚠ Nome não cadastrado"))</f>
        <v/>
      </c>
      <c r="V1311" s="19" t="str">
        <f>IF(tblDados[[#This Row],[Visitante]]="","",IF(COUNTIF(CadastroEquipes,TRIM(tblDados[[#This Row],[Visitante]]))&gt;0,"","⚠ Nome não cadastrado"))</f>
        <v/>
      </c>
    </row>
    <row r="1312" spans="1:22" x14ac:dyDescent="0.3">
      <c r="A1312" s="1" t="s">
        <v>3772</v>
      </c>
      <c r="B1312" s="102">
        <v>46130</v>
      </c>
      <c r="C1312" s="6">
        <v>0.85416666666666696</v>
      </c>
      <c r="D1312" s="1" t="s">
        <v>39</v>
      </c>
      <c r="E1312" s="1" t="s">
        <v>3705</v>
      </c>
      <c r="F1312" s="1" t="s">
        <v>3773</v>
      </c>
      <c r="G1312" s="39" t="s">
        <v>240</v>
      </c>
      <c r="H1312" s="1">
        <v>3</v>
      </c>
      <c r="I1312" s="1">
        <v>3</v>
      </c>
      <c r="J1312" s="39" t="s">
        <v>3714</v>
      </c>
      <c r="K1312" s="1">
        <v>3</v>
      </c>
      <c r="L1312" s="1">
        <v>3</v>
      </c>
      <c r="S1312" s="1" t="str">
        <f>IF(tblDados[[#This Row],[Mandante]]="","",TEXT(tblDados[[#This Row],[Data]],"aaaa-mm-dd")&amp;"|"&amp;TRIM(tblDados[[#This Row],[Mandante]])&amp;"|"&amp;TRIM(tblDados[[#This Row],[Visitante]]))</f>
        <v>2026-04-18|FC Cincinnati|Chicago Fire FC</v>
      </c>
      <c r="T1312" s="1">
        <f>IF($G1312="",0,IF(COUNTIF($S$2:$S1451,$S1312)=1,1,0))</f>
        <v>1</v>
      </c>
      <c r="U1312" s="19" t="str">
        <f>IF(tblDados[[#This Row],[Mandante]]="","",IF(COUNTIF(CadastroEquipes,TRIM(tblDados[[#This Row],[Mandante]]))&gt;0,"","⚠ Nome não cadastrado"))</f>
        <v/>
      </c>
      <c r="V1312" s="19" t="str">
        <f>IF(tblDados[[#This Row],[Visitante]]="","",IF(COUNTIF(CadastroEquipes,TRIM(tblDados[[#This Row],[Visitante]]))&gt;0,"","⚠ Nome não cadastrado"))</f>
        <v/>
      </c>
    </row>
    <row r="1313" spans="1:22" x14ac:dyDescent="0.3">
      <c r="A1313" s="1" t="s">
        <v>3719</v>
      </c>
      <c r="B1313" s="102">
        <v>46134</v>
      </c>
      <c r="C1313" s="6">
        <v>0.85416666666666696</v>
      </c>
      <c r="D1313" s="1" t="s">
        <v>39</v>
      </c>
      <c r="E1313" s="1" t="s">
        <v>3705</v>
      </c>
      <c r="F1313" s="1" t="s">
        <v>3720</v>
      </c>
      <c r="G1313" s="39" t="s">
        <v>3715</v>
      </c>
      <c r="H1313" s="1">
        <v>1</v>
      </c>
      <c r="I1313" s="1">
        <v>2</v>
      </c>
      <c r="J1313" s="39" t="s">
        <v>3721</v>
      </c>
      <c r="K1313" s="1">
        <v>2</v>
      </c>
      <c r="L1313" s="1">
        <v>1</v>
      </c>
      <c r="S1313" s="1" t="str">
        <f>IF(tblDados[[#This Row],[Mandante]]="","",TEXT(tblDados[[#This Row],[Data]],"aaaa-mm-dd")&amp;"|"&amp;TRIM(tblDados[[#This Row],[Mandante]])&amp;"|"&amp;TRIM(tblDados[[#This Row],[Visitante]]))</f>
        <v>2026-04-22|Atlanta United FC|New England Revolution</v>
      </c>
      <c r="T1313" s="1">
        <f>IF($G1313="",0,IF(COUNTIF($S$2:$S1452,$S1313)=1,1,0))</f>
        <v>1</v>
      </c>
      <c r="U1313" s="19" t="str">
        <f>IF(tblDados[[#This Row],[Mandante]]="","",IF(COUNTIF(CadastroEquipes,TRIM(tblDados[[#This Row],[Mandante]]))&gt;0,"","⚠ Nome não cadastrado"))</f>
        <v/>
      </c>
      <c r="V1313" s="19" t="str">
        <f>IF(tblDados[[#This Row],[Visitante]]="","",IF(COUNTIF(CadastroEquipes,TRIM(tblDados[[#This Row],[Visitante]]))&gt;0,"","⚠ Nome não cadastrado"))</f>
        <v/>
      </c>
    </row>
    <row r="1314" spans="1:22" x14ac:dyDescent="0.3">
      <c r="A1314" s="1" t="s">
        <v>3750</v>
      </c>
      <c r="B1314" s="102">
        <v>46134</v>
      </c>
      <c r="C1314" s="6">
        <v>0.85416666666666696</v>
      </c>
      <c r="D1314" s="1" t="s">
        <v>39</v>
      </c>
      <c r="E1314" s="1" t="s">
        <v>3705</v>
      </c>
      <c r="F1314" s="1" t="s">
        <v>3751</v>
      </c>
      <c r="G1314" s="39" t="s">
        <v>3729</v>
      </c>
      <c r="H1314" s="1">
        <v>4</v>
      </c>
      <c r="I1314" s="1">
        <v>1</v>
      </c>
      <c r="J1314" s="39" t="s">
        <v>3736</v>
      </c>
      <c r="K1314" s="1">
        <v>1</v>
      </c>
      <c r="L1314" s="1">
        <v>4</v>
      </c>
      <c r="S1314" s="1" t="str">
        <f>IF(tblDados[[#This Row],[Mandante]]="","",TEXT(tblDados[[#This Row],[Data]],"aaaa-mm-dd")&amp;"|"&amp;TRIM(tblDados[[#This Row],[Mandante]])&amp;"|"&amp;TRIM(tblDados[[#This Row],[Visitante]]))</f>
        <v>2026-04-22|Orlando City SC|Charlotte FC</v>
      </c>
      <c r="T1314" s="1">
        <f>IF($G1314="",0,IF(COUNTIF($S$2:$S1453,$S1314)=1,1,0))</f>
        <v>1</v>
      </c>
      <c r="U1314" s="19" t="str">
        <f>IF(tblDados[[#This Row],[Mandante]]="","",IF(COUNTIF(CadastroEquipes,TRIM(tblDados[[#This Row],[Mandante]]))&gt;0,"","⚠ Nome não cadastrado"))</f>
        <v/>
      </c>
      <c r="V1314" s="19" t="str">
        <f>IF(tblDados[[#This Row],[Visitante]]="","",IF(COUNTIF(CadastroEquipes,TRIM(tblDados[[#This Row],[Visitante]]))&gt;0,"","⚠ Nome não cadastrado"))</f>
        <v/>
      </c>
    </row>
    <row r="1315" spans="1:22" x14ac:dyDescent="0.3">
      <c r="A1315" s="1" t="s">
        <v>3795</v>
      </c>
      <c r="B1315" s="102">
        <v>46134</v>
      </c>
      <c r="C1315" s="6">
        <v>0.85416666666666696</v>
      </c>
      <c r="D1315" s="1" t="s">
        <v>39</v>
      </c>
      <c r="E1315" s="1" t="s">
        <v>3705</v>
      </c>
      <c r="F1315" s="1" t="s">
        <v>3796</v>
      </c>
      <c r="G1315" s="39" t="s">
        <v>3749</v>
      </c>
      <c r="H1315" s="1">
        <v>4</v>
      </c>
      <c r="I1315" s="1">
        <v>4</v>
      </c>
      <c r="J1315" s="39" t="s">
        <v>240</v>
      </c>
      <c r="K1315" s="1">
        <v>4</v>
      </c>
      <c r="L1315" s="1">
        <v>4</v>
      </c>
      <c r="S1315" s="1" t="str">
        <f>IF(tblDados[[#This Row],[Mandante]]="","",TEXT(tblDados[[#This Row],[Data]],"aaaa-mm-dd")&amp;"|"&amp;TRIM(tblDados[[#This Row],[Mandante]])&amp;"|"&amp;TRIM(tblDados[[#This Row],[Visitante]]))</f>
        <v>2026-04-22|New York City FC|FC Cincinnati</v>
      </c>
      <c r="T1315" s="1">
        <f>IF($G1315="",0,IF(COUNTIF($S$2:$S1454,$S1315)=1,1,0))</f>
        <v>1</v>
      </c>
      <c r="U1315" s="19" t="str">
        <f>IF(tblDados[[#This Row],[Mandante]]="","",IF(COUNTIF(CadastroEquipes,TRIM(tblDados[[#This Row],[Mandante]]))&gt;0,"","⚠ Nome não cadastrado"))</f>
        <v/>
      </c>
      <c r="V1315" s="19" t="str">
        <f>IF(tblDados[[#This Row],[Visitante]]="","",IF(COUNTIF(CadastroEquipes,TRIM(tblDados[[#This Row],[Visitante]]))&gt;0,"","⚠ Nome não cadastrado"))</f>
        <v/>
      </c>
    </row>
    <row r="1316" spans="1:22" x14ac:dyDescent="0.3">
      <c r="A1316" s="1" t="s">
        <v>3722</v>
      </c>
      <c r="B1316" s="102">
        <v>46137</v>
      </c>
      <c r="C1316" s="6">
        <v>0.58333333333333304</v>
      </c>
      <c r="D1316" s="1" t="s">
        <v>39</v>
      </c>
      <c r="E1316" s="1" t="s">
        <v>3705</v>
      </c>
      <c r="F1316" s="1" t="s">
        <v>3723</v>
      </c>
      <c r="G1316" s="39" t="s">
        <v>192</v>
      </c>
      <c r="H1316" s="1">
        <v>1</v>
      </c>
      <c r="I1316" s="1">
        <v>2</v>
      </c>
      <c r="J1316" s="39" t="s">
        <v>3715</v>
      </c>
      <c r="K1316" s="1">
        <v>2</v>
      </c>
      <c r="L1316" s="1">
        <v>1</v>
      </c>
      <c r="S1316" s="1" t="str">
        <f>IF(tblDados[[#This Row],[Mandante]]="","",TEXT(tblDados[[#This Row],[Data]],"aaaa-mm-dd")&amp;"|"&amp;TRIM(tblDados[[#This Row],[Mandante]])&amp;"|"&amp;TRIM(tblDados[[#This Row],[Visitante]]))</f>
        <v>2026-04-25|Toronto FC|Atlanta United FC</v>
      </c>
      <c r="T1316" s="1">
        <f>IF($G1316="",0,IF(COUNTIF($S$2:$S1455,$S1316)=1,1,0))</f>
        <v>1</v>
      </c>
      <c r="U1316" s="19" t="str">
        <f>IF(tblDados[[#This Row],[Mandante]]="","",IF(COUNTIF(CadastroEquipes,TRIM(tblDados[[#This Row],[Mandante]]))&gt;0,"","⚠ Nome não cadastrado"))</f>
        <v/>
      </c>
      <c r="V1316" s="19" t="str">
        <f>IF(tblDados[[#This Row],[Visitante]]="","",IF(COUNTIF(CadastroEquipes,TRIM(tblDados[[#This Row],[Visitante]]))&gt;0,"","⚠ Nome não cadastrado"))</f>
        <v/>
      </c>
    </row>
    <row r="1317" spans="1:22" x14ac:dyDescent="0.3">
      <c r="A1317" s="1" t="s">
        <v>3752</v>
      </c>
      <c r="B1317" s="102">
        <v>46137</v>
      </c>
      <c r="C1317" s="6">
        <v>0.89583333333333304</v>
      </c>
      <c r="D1317" s="1" t="s">
        <v>39</v>
      </c>
      <c r="E1317" s="1" t="s">
        <v>3705</v>
      </c>
      <c r="F1317" s="1" t="s">
        <v>3753</v>
      </c>
      <c r="G1317" s="39" t="s">
        <v>3718</v>
      </c>
      <c r="H1317" s="1">
        <v>4</v>
      </c>
      <c r="I1317" s="1">
        <v>2</v>
      </c>
      <c r="J1317" s="39" t="s">
        <v>3736</v>
      </c>
      <c r="K1317" s="1">
        <v>2</v>
      </c>
      <c r="L1317" s="1">
        <v>4</v>
      </c>
      <c r="S1317" s="1" t="str">
        <f>IF(tblDados[[#This Row],[Mandante]]="","",TEXT(tblDados[[#This Row],[Data]],"aaaa-mm-dd")&amp;"|"&amp;TRIM(tblDados[[#This Row],[Mandante]])&amp;"|"&amp;TRIM(tblDados[[#This Row],[Visitante]]))</f>
        <v>2026-04-25|Nashville SC|Charlotte FC</v>
      </c>
      <c r="T1317" s="1">
        <f>IF($G1317="",0,IF(COUNTIF($S$2:$S1456,$S1317)=1,1,0))</f>
        <v>1</v>
      </c>
      <c r="U1317" s="19" t="str">
        <f>IF(tblDados[[#This Row],[Mandante]]="","",IF(COUNTIF(CadastroEquipes,TRIM(tblDados[[#This Row],[Mandante]]))&gt;0,"","⚠ Nome não cadastrado"))</f>
        <v/>
      </c>
      <c r="V1317" s="19" t="str">
        <f>IF(tblDados[[#This Row],[Visitante]]="","",IF(COUNTIF(CadastroEquipes,TRIM(tblDados[[#This Row],[Visitante]]))&gt;0,"","⚠ Nome não cadastrado"))</f>
        <v/>
      </c>
    </row>
    <row r="1318" spans="1:22" x14ac:dyDescent="0.3">
      <c r="A1318" s="1" t="s">
        <v>3797</v>
      </c>
      <c r="B1318" s="102">
        <v>46137</v>
      </c>
      <c r="C1318" s="6">
        <v>0.85416666666666696</v>
      </c>
      <c r="D1318" s="1" t="s">
        <v>39</v>
      </c>
      <c r="E1318" s="1" t="s">
        <v>3705</v>
      </c>
      <c r="F1318" s="1" t="s">
        <v>3798</v>
      </c>
      <c r="G1318" s="39" t="s">
        <v>240</v>
      </c>
      <c r="H1318" s="1">
        <v>2</v>
      </c>
      <c r="I1318" s="1">
        <v>0</v>
      </c>
      <c r="J1318" s="39" t="s">
        <v>3766</v>
      </c>
      <c r="K1318" s="1">
        <v>0</v>
      </c>
      <c r="L1318" s="1">
        <v>2</v>
      </c>
      <c r="S1318" s="1" t="str">
        <f>IF(tblDados[[#This Row],[Mandante]]="","",TEXT(tblDados[[#This Row],[Data]],"aaaa-mm-dd")&amp;"|"&amp;TRIM(tblDados[[#This Row],[Mandante]])&amp;"|"&amp;TRIM(tblDados[[#This Row],[Visitante]]))</f>
        <v>2026-04-25|FC Cincinnati|New York Red Bulls</v>
      </c>
      <c r="T1318" s="1">
        <f>IF($G1318="",0,IF(COUNTIF($S$2:$S1457,$S1318)=1,1,0))</f>
        <v>1</v>
      </c>
      <c r="U1318" s="19" t="str">
        <f>IF(tblDados[[#This Row],[Mandante]]="","",IF(COUNTIF(CadastroEquipes,TRIM(tblDados[[#This Row],[Mandante]]))&gt;0,"","⚠ Nome não cadastrado"))</f>
        <v/>
      </c>
      <c r="V1318" s="19" t="str">
        <f>IF(tblDados[[#This Row],[Visitante]]="","",IF(COUNTIF(CadastroEquipes,TRIM(tblDados[[#This Row],[Visitante]]))&gt;0,"","⚠ Nome não cadastrado"))</f>
        <v/>
      </c>
    </row>
    <row r="1319" spans="1:22" x14ac:dyDescent="0.3">
      <c r="A1319" s="1" t="s">
        <v>3724</v>
      </c>
      <c r="B1319" s="102">
        <v>46144</v>
      </c>
      <c r="C1319" s="6">
        <v>0.85416666666666696</v>
      </c>
      <c r="D1319" s="1" t="s">
        <v>39</v>
      </c>
      <c r="E1319" s="1" t="s">
        <v>3705</v>
      </c>
      <c r="F1319" s="1" t="s">
        <v>3725</v>
      </c>
      <c r="G1319" s="39" t="s">
        <v>3715</v>
      </c>
      <c r="H1319" s="1">
        <v>3</v>
      </c>
      <c r="I1319" s="1">
        <v>1</v>
      </c>
      <c r="J1319" s="39" t="s">
        <v>3726</v>
      </c>
      <c r="K1319" s="1">
        <v>1</v>
      </c>
      <c r="L1319" s="1">
        <v>3</v>
      </c>
      <c r="S1319" s="1" t="str">
        <f>IF(tblDados[[#This Row],[Mandante]]="","",TEXT(tblDados[[#This Row],[Data]],"aaaa-mm-dd")&amp;"|"&amp;TRIM(tblDados[[#This Row],[Mandante]])&amp;"|"&amp;TRIM(tblDados[[#This Row],[Visitante]]))</f>
        <v>2026-05-02|Atlanta United FC|CF Montréal</v>
      </c>
      <c r="T1319" s="1">
        <f>IF($G1319="",0,IF(COUNTIF($S$2:$S1458,$S1319)=1,1,0))</f>
        <v>1</v>
      </c>
      <c r="U1319" s="19" t="str">
        <f>IF(tblDados[[#This Row],[Mandante]]="","",IF(COUNTIF(CadastroEquipes,TRIM(tblDados[[#This Row],[Mandante]]))&gt;0,"","⚠ Nome não cadastrado"))</f>
        <v/>
      </c>
      <c r="V1319" s="19" t="str">
        <f>IF(tblDados[[#This Row],[Visitante]]="","",IF(COUNTIF(CadastroEquipes,TRIM(tblDados[[#This Row],[Visitante]]))&gt;0,"","⚠ Nome não cadastrado"))</f>
        <v/>
      </c>
    </row>
    <row r="1320" spans="1:22" x14ac:dyDescent="0.3">
      <c r="A1320" s="1" t="s">
        <v>3754</v>
      </c>
      <c r="B1320" s="102">
        <v>46144</v>
      </c>
      <c r="C1320" s="6">
        <v>0.85416666666666696</v>
      </c>
      <c r="D1320" s="1" t="s">
        <v>39</v>
      </c>
      <c r="E1320" s="1" t="s">
        <v>3705</v>
      </c>
      <c r="F1320" s="1" t="s">
        <v>3755</v>
      </c>
      <c r="G1320" s="39" t="s">
        <v>3721</v>
      </c>
      <c r="H1320" s="1">
        <v>1</v>
      </c>
      <c r="I1320" s="1">
        <v>0</v>
      </c>
      <c r="J1320" s="39" t="s">
        <v>3736</v>
      </c>
      <c r="K1320" s="1">
        <v>0</v>
      </c>
      <c r="L1320" s="1">
        <v>1</v>
      </c>
      <c r="S1320" s="1" t="str">
        <f>IF(tblDados[[#This Row],[Mandante]]="","",TEXT(tblDados[[#This Row],[Data]],"aaaa-mm-dd")&amp;"|"&amp;TRIM(tblDados[[#This Row],[Mandante]])&amp;"|"&amp;TRIM(tblDados[[#This Row],[Visitante]]))</f>
        <v>2026-05-02|New England Revolution|Charlotte FC</v>
      </c>
      <c r="T1320" s="1">
        <f>IF($G1320="",0,IF(COUNTIF($S$2:$S1459,$S1320)=1,1,0))</f>
        <v>1</v>
      </c>
      <c r="U1320" s="19" t="str">
        <f>IF(tblDados[[#This Row],[Mandante]]="","",IF(COUNTIF(CadastroEquipes,TRIM(tblDados[[#This Row],[Mandante]]))&gt;0,"","⚠ Nome não cadastrado"))</f>
        <v/>
      </c>
      <c r="V1320" s="19" t="str">
        <f>IF(tblDados[[#This Row],[Visitante]]="","",IF(COUNTIF(CadastroEquipes,TRIM(tblDados[[#This Row],[Visitante]]))&gt;0,"","⚠ Nome não cadastrado"))</f>
        <v/>
      </c>
    </row>
    <row r="1321" spans="1:22" x14ac:dyDescent="0.3">
      <c r="A1321" s="1" t="s">
        <v>3774</v>
      </c>
      <c r="B1321" s="102">
        <v>46144</v>
      </c>
      <c r="C1321" s="6">
        <v>0.89583333333333304</v>
      </c>
      <c r="D1321" s="1" t="s">
        <v>39</v>
      </c>
      <c r="E1321" s="1" t="s">
        <v>3705</v>
      </c>
      <c r="F1321" s="1" t="s">
        <v>3775</v>
      </c>
      <c r="G1321" s="39" t="s">
        <v>3714</v>
      </c>
      <c r="H1321" s="1">
        <v>2</v>
      </c>
      <c r="I1321" s="1">
        <v>3</v>
      </c>
      <c r="J1321" s="39" t="s">
        <v>240</v>
      </c>
      <c r="K1321" s="1">
        <v>3</v>
      </c>
      <c r="L1321" s="1">
        <v>2</v>
      </c>
      <c r="S1321" s="1" t="str">
        <f>IF(tblDados[[#This Row],[Mandante]]="","",TEXT(tblDados[[#This Row],[Data]],"aaaa-mm-dd")&amp;"|"&amp;TRIM(tblDados[[#This Row],[Mandante]])&amp;"|"&amp;TRIM(tblDados[[#This Row],[Visitante]]))</f>
        <v>2026-05-02|Chicago Fire FC|FC Cincinnati</v>
      </c>
      <c r="T1321" s="1">
        <f>IF($G1321="",0,IF(COUNTIF($S$2:$S1460,$S1321)=1,1,0))</f>
        <v>1</v>
      </c>
      <c r="U1321" s="19" t="str">
        <f>IF(tblDados[[#This Row],[Mandante]]="","",IF(COUNTIF(CadastroEquipes,TRIM(tblDados[[#This Row],[Mandante]]))&gt;0,"","⚠ Nome não cadastrado"))</f>
        <v/>
      </c>
      <c r="V1321" s="19" t="str">
        <f>IF(tblDados[[#This Row],[Visitante]]="","",IF(COUNTIF(CadastroEquipes,TRIM(tblDados[[#This Row],[Visitante]]))&gt;0,"","⚠ Nome não cadastrado"))</f>
        <v/>
      </c>
    </row>
    <row r="1322" spans="1:22" x14ac:dyDescent="0.3">
      <c r="A1322" s="1" t="s">
        <v>3756</v>
      </c>
      <c r="B1322" s="102">
        <v>46151</v>
      </c>
      <c r="C1322" s="6">
        <v>0.85416666666666696</v>
      </c>
      <c r="D1322" s="1" t="s">
        <v>39</v>
      </c>
      <c r="E1322" s="1" t="s">
        <v>3705</v>
      </c>
      <c r="F1322" s="1" t="s">
        <v>3757</v>
      </c>
      <c r="G1322" s="39" t="s">
        <v>3736</v>
      </c>
      <c r="H1322" s="1">
        <v>2</v>
      </c>
      <c r="I1322" s="1">
        <v>2</v>
      </c>
      <c r="J1322" s="39" t="s">
        <v>240</v>
      </c>
      <c r="K1322" s="1">
        <v>2</v>
      </c>
      <c r="L1322" s="1">
        <v>2</v>
      </c>
      <c r="S1322" s="1" t="str">
        <f>IF(tblDados[[#This Row],[Mandante]]="","",TEXT(tblDados[[#This Row],[Data]],"aaaa-mm-dd")&amp;"|"&amp;TRIM(tblDados[[#This Row],[Mandante]])&amp;"|"&amp;TRIM(tblDados[[#This Row],[Visitante]]))</f>
        <v>2026-05-09|Charlotte FC|FC Cincinnati</v>
      </c>
      <c r="T1322" s="1">
        <f>IF($G1322="",0,IF(COUNTIF($S$2:$S1461,$S1322)=1,1,0))</f>
        <v>1</v>
      </c>
      <c r="U1322" s="19" t="str">
        <f>IF(tblDados[[#This Row],[Mandante]]="","",IF(COUNTIF(CadastroEquipes,TRIM(tblDados[[#This Row],[Mandante]]))&gt;0,"","⚠ Nome não cadastrado"))</f>
        <v/>
      </c>
      <c r="V1322" s="19" t="str">
        <f>IF(tblDados[[#This Row],[Visitante]]="","",IF(COUNTIF(CadastroEquipes,TRIM(tblDados[[#This Row],[Visitante]]))&gt;0,"","⚠ Nome não cadastrado"))</f>
        <v/>
      </c>
    </row>
    <row r="1323" spans="1:22" x14ac:dyDescent="0.3">
      <c r="A1323" s="1" t="s">
        <v>3776</v>
      </c>
      <c r="B1323" s="102">
        <v>46151</v>
      </c>
      <c r="C1323" s="6">
        <v>0.64583333333333304</v>
      </c>
      <c r="D1323" s="1" t="s">
        <v>39</v>
      </c>
      <c r="E1323" s="1" t="s">
        <v>3705</v>
      </c>
      <c r="F1323" s="1" t="s">
        <v>3777</v>
      </c>
      <c r="G1323" s="39" t="s">
        <v>3714</v>
      </c>
      <c r="H1323" s="1">
        <v>1</v>
      </c>
      <c r="I1323" s="1">
        <v>3</v>
      </c>
      <c r="J1323" s="39" t="s">
        <v>3766</v>
      </c>
      <c r="K1323" s="1">
        <v>3</v>
      </c>
      <c r="L1323" s="1">
        <v>1</v>
      </c>
      <c r="S1323" s="1" t="str">
        <f>IF(tblDados[[#This Row],[Mandante]]="","",TEXT(tblDados[[#This Row],[Data]],"aaaa-mm-dd")&amp;"|"&amp;TRIM(tblDados[[#This Row],[Mandante]])&amp;"|"&amp;TRIM(tblDados[[#This Row],[Visitante]]))</f>
        <v>2026-05-09|Chicago Fire FC|New York Red Bulls</v>
      </c>
      <c r="T1323" s="1">
        <f>IF($G1323="",0,IF(COUNTIF($S$2:$S1462,$S1323)=1,1,0))</f>
        <v>1</v>
      </c>
      <c r="U1323" s="19" t="str">
        <f>IF(tblDados[[#This Row],[Mandante]]="","",IF(COUNTIF(CadastroEquipes,TRIM(tblDados[[#This Row],[Mandante]]))&gt;0,"","⚠ Nome não cadastrado"))</f>
        <v/>
      </c>
      <c r="V1323" s="19" t="str">
        <f>IF(tblDados[[#This Row],[Visitante]]="","",IF(COUNTIF(CadastroEquipes,TRIM(tblDados[[#This Row],[Visitante]]))&gt;0,"","⚠ Nome não cadastrado"))</f>
        <v/>
      </c>
    </row>
    <row r="1324" spans="1:22" x14ac:dyDescent="0.3">
      <c r="A1324" s="1" t="s">
        <v>3758</v>
      </c>
      <c r="B1324" s="102">
        <v>46155</v>
      </c>
      <c r="C1324" s="6">
        <v>0.84375</v>
      </c>
      <c r="D1324" s="1" t="s">
        <v>39</v>
      </c>
      <c r="E1324" s="1" t="s">
        <v>3705</v>
      </c>
      <c r="F1324" s="1" t="s">
        <v>3759</v>
      </c>
      <c r="G1324" s="39" t="s">
        <v>3736</v>
      </c>
      <c r="H1324" s="1">
        <v>0</v>
      </c>
      <c r="I1324" s="1">
        <v>1</v>
      </c>
      <c r="J1324" s="39" t="s">
        <v>3749</v>
      </c>
      <c r="K1324" s="1">
        <v>1</v>
      </c>
      <c r="L1324" s="1">
        <v>0</v>
      </c>
      <c r="S1324" s="1" t="str">
        <f>IF(tblDados[[#This Row],[Mandante]]="","",TEXT(tblDados[[#This Row],[Data]],"aaaa-mm-dd")&amp;"|"&amp;TRIM(tblDados[[#This Row],[Mandante]])&amp;"|"&amp;TRIM(tblDados[[#This Row],[Visitante]]))</f>
        <v>2026-05-13|Charlotte FC|New York City FC</v>
      </c>
      <c r="T1324" s="1">
        <f>IF($G1324="",0,IF(COUNTIF($S$2:$S1463,$S1324)=1,1,0))</f>
        <v>1</v>
      </c>
      <c r="U1324" s="19" t="str">
        <f>IF(tblDados[[#This Row],[Mandante]]="","",IF(COUNTIF(CadastroEquipes,TRIM(tblDados[[#This Row],[Mandante]]))&gt;0,"","⚠ Nome não cadastrado"))</f>
        <v/>
      </c>
      <c r="V1324" s="19" t="str">
        <f>IF(tblDados[[#This Row],[Visitante]]="","",IF(COUNTIF(CadastroEquipes,TRIM(tblDados[[#This Row],[Visitante]]))&gt;0,"","⚠ Nome não cadastrado"))</f>
        <v/>
      </c>
    </row>
    <row r="1325" spans="1:22" x14ac:dyDescent="0.3">
      <c r="A1325" s="1" t="s">
        <v>3778</v>
      </c>
      <c r="B1325" s="102">
        <v>46155</v>
      </c>
      <c r="C1325" s="6">
        <v>0.85416666666666696</v>
      </c>
      <c r="D1325" s="1" t="s">
        <v>39</v>
      </c>
      <c r="E1325" s="1" t="s">
        <v>3705</v>
      </c>
      <c r="F1325" s="1" t="s">
        <v>3779</v>
      </c>
      <c r="G1325" s="39" t="s">
        <v>3780</v>
      </c>
      <c r="H1325" s="1">
        <v>1</v>
      </c>
      <c r="I1325" s="1">
        <v>3</v>
      </c>
      <c r="J1325" s="39" t="s">
        <v>3714</v>
      </c>
      <c r="K1325" s="1">
        <v>3</v>
      </c>
      <c r="L1325" s="1">
        <v>1</v>
      </c>
      <c r="S1325" s="1" t="str">
        <f>IF(tblDados[[#This Row],[Mandante]]="","",TEXT(tblDados[[#This Row],[Data]],"aaaa-mm-dd")&amp;"|"&amp;TRIM(tblDados[[#This Row],[Mandante]])&amp;"|"&amp;TRIM(tblDados[[#This Row],[Visitante]]))</f>
        <v>2026-05-13|D.C. United|Chicago Fire FC</v>
      </c>
      <c r="T1325" s="1">
        <f>IF($G1325="",0,IF(COUNTIF($S$2:$S1464,$S1325)=1,1,0))</f>
        <v>1</v>
      </c>
      <c r="U1325" s="19" t="str">
        <f>IF(tblDados[[#This Row],[Mandante]]="","",IF(COUNTIF(CadastroEquipes,TRIM(tblDados[[#This Row],[Mandante]]))&gt;0,"","⚠ Nome não cadastrado"))</f>
        <v/>
      </c>
      <c r="V1325" s="19" t="str">
        <f>IF(tblDados[[#This Row],[Visitante]]="","",IF(COUNTIF(CadastroEquipes,TRIM(tblDados[[#This Row],[Visitante]]))&gt;0,"","⚠ Nome não cadastrado"))</f>
        <v/>
      </c>
    </row>
    <row r="1326" spans="1:22" x14ac:dyDescent="0.3">
      <c r="A1326" s="1" t="s">
        <v>3799</v>
      </c>
      <c r="B1326" s="102">
        <v>46155</v>
      </c>
      <c r="C1326" s="6">
        <v>0.85416666666666696</v>
      </c>
      <c r="D1326" s="1" t="s">
        <v>39</v>
      </c>
      <c r="E1326" s="1" t="s">
        <v>3705</v>
      </c>
      <c r="F1326" s="1" t="s">
        <v>3800</v>
      </c>
      <c r="G1326" s="39" t="s">
        <v>240</v>
      </c>
      <c r="H1326" s="1">
        <v>3</v>
      </c>
      <c r="I1326" s="1">
        <v>5</v>
      </c>
      <c r="J1326" s="39" t="s">
        <v>3787</v>
      </c>
      <c r="K1326" s="1">
        <v>5</v>
      </c>
      <c r="L1326" s="1">
        <v>3</v>
      </c>
      <c r="S1326" s="1" t="str">
        <f>IF(tblDados[[#This Row],[Mandante]]="","",TEXT(tblDados[[#This Row],[Data]],"aaaa-mm-dd")&amp;"|"&amp;TRIM(tblDados[[#This Row],[Mandante]])&amp;"|"&amp;TRIM(tblDados[[#This Row],[Visitante]]))</f>
        <v>2026-05-13|FC Cincinnati|Inter Miami CF</v>
      </c>
      <c r="T1326" s="1">
        <f>IF($G1326="",0,IF(COUNTIF($S$2:$S1465,$S1326)=1,1,0))</f>
        <v>1</v>
      </c>
      <c r="U1326" s="19" t="str">
        <f>IF(tblDados[[#This Row],[Mandante]]="","",IF(COUNTIF(CadastroEquipes,TRIM(tblDados[[#This Row],[Mandante]]))&gt;0,"","⚠ Nome não cadastrado"))</f>
        <v/>
      </c>
      <c r="V1326" s="19" t="str">
        <f>IF(tblDados[[#This Row],[Visitante]]="","",IF(COUNTIF(CadastroEquipes,TRIM(tblDados[[#This Row],[Visitante]]))&gt;0,"","⚠ Nome não cadastrado"))</f>
        <v/>
      </c>
    </row>
    <row r="1327" spans="1:22" x14ac:dyDescent="0.3">
      <c r="A1327" s="1" t="s">
        <v>3727</v>
      </c>
      <c r="B1327" s="102">
        <v>46158</v>
      </c>
      <c r="C1327" s="6">
        <v>0.85416666666666696</v>
      </c>
      <c r="D1327" s="1" t="s">
        <v>39</v>
      </c>
      <c r="E1327" s="1" t="s">
        <v>3705</v>
      </c>
      <c r="F1327" s="1" t="s">
        <v>3728</v>
      </c>
      <c r="G1327" s="39" t="s">
        <v>3729</v>
      </c>
      <c r="H1327" s="1">
        <v>1</v>
      </c>
      <c r="I1327" s="1">
        <v>1</v>
      </c>
      <c r="J1327" s="39" t="s">
        <v>3715</v>
      </c>
      <c r="K1327" s="1">
        <v>1</v>
      </c>
      <c r="L1327" s="1">
        <v>1</v>
      </c>
      <c r="S1327" s="1" t="str">
        <f>IF(tblDados[[#This Row],[Mandante]]="","",TEXT(tblDados[[#This Row],[Data]],"aaaa-mm-dd")&amp;"|"&amp;TRIM(tblDados[[#This Row],[Mandante]])&amp;"|"&amp;TRIM(tblDados[[#This Row],[Visitante]]))</f>
        <v>2026-05-16|Orlando City SC|Atlanta United FC</v>
      </c>
      <c r="T1327" s="1">
        <f>IF($G1327="",0,IF(COUNTIF($S$2:$S1466,$S1327)=1,1,0))</f>
        <v>1</v>
      </c>
      <c r="U1327" s="19" t="str">
        <f>IF(tblDados[[#This Row],[Mandante]]="","",IF(COUNTIF(CadastroEquipes,TRIM(tblDados[[#This Row],[Mandante]]))&gt;0,"","⚠ Nome não cadastrado"))</f>
        <v/>
      </c>
      <c r="V1327" s="19" t="str">
        <f>IF(tblDados[[#This Row],[Visitante]]="","",IF(COUNTIF(CadastroEquipes,TRIM(tblDados[[#This Row],[Visitante]]))&gt;0,"","⚠ Nome não cadastrado"))</f>
        <v/>
      </c>
    </row>
    <row r="1328" spans="1:22" x14ac:dyDescent="0.3">
      <c r="A1328" s="1" t="s">
        <v>3760</v>
      </c>
      <c r="B1328" s="102">
        <v>46158</v>
      </c>
      <c r="C1328" s="6">
        <v>0.85416666666666696</v>
      </c>
      <c r="D1328" s="1" t="s">
        <v>39</v>
      </c>
      <c r="E1328" s="1" t="s">
        <v>3705</v>
      </c>
      <c r="F1328" s="1" t="s">
        <v>3761</v>
      </c>
      <c r="G1328" s="39" t="s">
        <v>3736</v>
      </c>
      <c r="H1328" s="1">
        <v>3</v>
      </c>
      <c r="I1328" s="1">
        <v>1</v>
      </c>
      <c r="J1328" s="39" t="s">
        <v>192</v>
      </c>
      <c r="K1328" s="1">
        <v>1</v>
      </c>
      <c r="L1328" s="1">
        <v>3</v>
      </c>
      <c r="S1328" s="1" t="str">
        <f>IF(tblDados[[#This Row],[Mandante]]="","",TEXT(tblDados[[#This Row],[Data]],"aaaa-mm-dd")&amp;"|"&amp;TRIM(tblDados[[#This Row],[Mandante]])&amp;"|"&amp;TRIM(tblDados[[#This Row],[Visitante]]))</f>
        <v>2026-05-16|Charlotte FC|Toronto FC</v>
      </c>
      <c r="T1328" s="1">
        <f>IF($G1328="",0,IF(COUNTIF($S$2:$S1467,$S1328)=1,1,0))</f>
        <v>1</v>
      </c>
      <c r="U1328" s="19" t="str">
        <f>IF(tblDados[[#This Row],[Mandante]]="","",IF(COUNTIF(CadastroEquipes,TRIM(tblDados[[#This Row],[Mandante]]))&gt;0,"","⚠ Nome não cadastrado"))</f>
        <v/>
      </c>
      <c r="V1328" s="19" t="str">
        <f>IF(tblDados[[#This Row],[Visitante]]="","",IF(COUNTIF(CadastroEquipes,TRIM(tblDados[[#This Row],[Visitante]]))&gt;0,"","⚠ Nome não cadastrado"))</f>
        <v/>
      </c>
    </row>
    <row r="1329" spans="1:22" x14ac:dyDescent="0.3">
      <c r="A1329" s="1" t="s">
        <v>3781</v>
      </c>
      <c r="B1329" s="102">
        <v>46158</v>
      </c>
      <c r="C1329" s="6">
        <v>0.6875</v>
      </c>
      <c r="D1329" s="1" t="s">
        <v>39</v>
      </c>
      <c r="E1329" s="1" t="s">
        <v>3705</v>
      </c>
      <c r="F1329" s="1" t="s">
        <v>3782</v>
      </c>
      <c r="G1329" s="39" t="s">
        <v>3726</v>
      </c>
      <c r="H1329" s="1">
        <v>0</v>
      </c>
      <c r="I1329" s="1">
        <v>2</v>
      </c>
      <c r="J1329" s="39" t="s">
        <v>3714</v>
      </c>
      <c r="K1329" s="1">
        <v>2</v>
      </c>
      <c r="L1329" s="1">
        <v>0</v>
      </c>
      <c r="S1329" s="1" t="str">
        <f>IF(tblDados[[#This Row],[Mandante]]="","",TEXT(tblDados[[#This Row],[Data]],"aaaa-mm-dd")&amp;"|"&amp;TRIM(tblDados[[#This Row],[Mandante]])&amp;"|"&amp;TRIM(tblDados[[#This Row],[Visitante]]))</f>
        <v>2026-05-16|CF Montréal|Chicago Fire FC</v>
      </c>
      <c r="T1329" s="1">
        <f>IF($G1329="",0,IF(COUNTIF($S$2:$S1468,$S1329)=1,1,0))</f>
        <v>1</v>
      </c>
      <c r="U1329" s="19" t="str">
        <f>IF(tblDados[[#This Row],[Mandante]]="","",IF(COUNTIF(CadastroEquipes,TRIM(tblDados[[#This Row],[Mandante]]))&gt;0,"","⚠ Nome não cadastrado"))</f>
        <v/>
      </c>
      <c r="V1329" s="19" t="str">
        <f>IF(tblDados[[#This Row],[Visitante]]="","",IF(COUNTIF(CadastroEquipes,TRIM(tblDados[[#This Row],[Visitante]]))&gt;0,"","⚠ Nome não cadastrado"))</f>
        <v/>
      </c>
    </row>
    <row r="1330" spans="1:22" x14ac:dyDescent="0.3">
      <c r="A1330" s="1" t="s">
        <v>3762</v>
      </c>
      <c r="B1330" s="102">
        <v>46165</v>
      </c>
      <c r="C1330" s="6">
        <v>0.85416666666666696</v>
      </c>
      <c r="D1330" s="1" t="s">
        <v>39</v>
      </c>
      <c r="E1330" s="1" t="s">
        <v>3705</v>
      </c>
      <c r="F1330" s="1" t="s">
        <v>3763</v>
      </c>
      <c r="G1330" s="39" t="s">
        <v>3736</v>
      </c>
      <c r="H1330" s="1">
        <v>1</v>
      </c>
      <c r="I1330" s="1">
        <v>0</v>
      </c>
      <c r="J1330" s="39" t="s">
        <v>3721</v>
      </c>
      <c r="K1330" s="1">
        <v>0</v>
      </c>
      <c r="L1330" s="1">
        <v>1</v>
      </c>
      <c r="S1330" s="1" t="str">
        <f>IF(tblDados[[#This Row],[Mandante]]="","",TEXT(tblDados[[#This Row],[Data]],"aaaa-mm-dd")&amp;"|"&amp;TRIM(tblDados[[#This Row],[Mandante]])&amp;"|"&amp;TRIM(tblDados[[#This Row],[Visitante]]))</f>
        <v>2026-05-23|Charlotte FC|New England Revolution</v>
      </c>
      <c r="T1330" s="1">
        <f>IF($G1330="",0,IF(COUNTIF($S$2:$S1469,$S1330)=1,1,0))</f>
        <v>1</v>
      </c>
      <c r="U1330" s="19" t="str">
        <f>IF(tblDados[[#This Row],[Mandante]]="","",IF(COUNTIF(CadastroEquipes,TRIM(tblDados[[#This Row],[Mandante]]))&gt;0,"","⚠ Nome não cadastrado"))</f>
        <v/>
      </c>
      <c r="V1330" s="19" t="str">
        <f>IF(tblDados[[#This Row],[Visitante]]="","",IF(COUNTIF(CadastroEquipes,TRIM(tblDados[[#This Row],[Visitante]]))&gt;0,"","⚠ Nome não cadastrado"))</f>
        <v/>
      </c>
    </row>
    <row r="1331" spans="1:22" x14ac:dyDescent="0.3">
      <c r="A1331" s="1" t="s">
        <v>3783</v>
      </c>
      <c r="B1331" s="102">
        <v>46165</v>
      </c>
      <c r="C1331" s="6">
        <v>0.89583333333333304</v>
      </c>
      <c r="D1331" s="1" t="s">
        <v>39</v>
      </c>
      <c r="E1331" s="1" t="s">
        <v>3705</v>
      </c>
      <c r="F1331" s="1" t="s">
        <v>3784</v>
      </c>
      <c r="G1331" s="39" t="s">
        <v>3714</v>
      </c>
      <c r="H1331" s="1">
        <v>2</v>
      </c>
      <c r="I1331" s="1">
        <v>1</v>
      </c>
      <c r="J1331" s="39" t="s">
        <v>192</v>
      </c>
      <c r="K1331" s="1">
        <v>1</v>
      </c>
      <c r="L1331" s="1">
        <v>2</v>
      </c>
      <c r="S1331" s="1" t="str">
        <f>IF(tblDados[[#This Row],[Mandante]]="","",TEXT(tblDados[[#This Row],[Data]],"aaaa-mm-dd")&amp;"|"&amp;TRIM(tblDados[[#This Row],[Mandante]])&amp;"|"&amp;TRIM(tblDados[[#This Row],[Visitante]]))</f>
        <v>2026-05-23|Chicago Fire FC|Toronto FC</v>
      </c>
      <c r="T1331" s="1">
        <f>IF($G1331="",0,IF(COUNTIF($S$2:$S1470,$S1331)=1,1,0))</f>
        <v>1</v>
      </c>
      <c r="U1331" s="19" t="str">
        <f>IF(tblDados[[#This Row],[Mandante]]="","",IF(COUNTIF(CadastroEquipes,TRIM(tblDados[[#This Row],[Mandante]]))&gt;0,"","⚠ Nome não cadastrado"))</f>
        <v/>
      </c>
      <c r="V1331" s="19" t="str">
        <f>IF(tblDados[[#This Row],[Visitante]]="","",IF(COUNTIF(CadastroEquipes,TRIM(tblDados[[#This Row],[Visitante]]))&gt;0,"","⚠ Nome não cadastrado"))</f>
        <v/>
      </c>
    </row>
    <row r="1332" spans="1:22" x14ac:dyDescent="0.3">
      <c r="A1332" s="1" t="s">
        <v>3801</v>
      </c>
      <c r="B1332" s="102">
        <v>46165</v>
      </c>
      <c r="C1332" s="6">
        <v>0.85416666666666696</v>
      </c>
      <c r="D1332" s="1" t="s">
        <v>39</v>
      </c>
      <c r="E1332" s="1" t="s">
        <v>3705</v>
      </c>
      <c r="F1332" s="1" t="s">
        <v>3802</v>
      </c>
      <c r="G1332" s="39" t="s">
        <v>240</v>
      </c>
      <c r="H1332" s="1">
        <v>6</v>
      </c>
      <c r="I1332" s="1">
        <v>2</v>
      </c>
      <c r="J1332" s="39" t="s">
        <v>3729</v>
      </c>
      <c r="K1332" s="1">
        <v>2</v>
      </c>
      <c r="L1332" s="1">
        <v>6</v>
      </c>
      <c r="S1332" s="1" t="str">
        <f>IF(tblDados[[#This Row],[Mandante]]="","",TEXT(tblDados[[#This Row],[Data]],"aaaa-mm-dd")&amp;"|"&amp;TRIM(tblDados[[#This Row],[Mandante]])&amp;"|"&amp;TRIM(tblDados[[#This Row],[Visitante]]))</f>
        <v>2026-05-23|FC Cincinnati|Orlando City SC</v>
      </c>
      <c r="T1332" s="1">
        <f>IF($G1332="",0,IF(COUNTIF($S$2:$S1471,$S1332)=1,1,0))</f>
        <v>1</v>
      </c>
      <c r="U1332" s="19" t="str">
        <f>IF(tblDados[[#This Row],[Mandante]]="","",IF(COUNTIF(CadastroEquipes,TRIM(tblDados[[#This Row],[Mandante]]))&gt;0,"","⚠ Nome não cadastrado"))</f>
        <v/>
      </c>
      <c r="V1332" s="19" t="str">
        <f>IF(tblDados[[#This Row],[Visitante]]="","",IF(COUNTIF(CadastroEquipes,TRIM(tblDados[[#This Row],[Visitante]]))&gt;0,"","⚠ Nome não cadastrado"))</f>
        <v/>
      </c>
    </row>
    <row r="1333" spans="1:22" x14ac:dyDescent="0.3">
      <c r="A1333" s="1" t="s">
        <v>3730</v>
      </c>
      <c r="B1333" s="102">
        <v>46166</v>
      </c>
      <c r="C1333" s="6">
        <v>0.75</v>
      </c>
      <c r="D1333" s="1" t="s">
        <v>39</v>
      </c>
      <c r="E1333" s="1" t="s">
        <v>3705</v>
      </c>
      <c r="F1333" s="1" t="s">
        <v>3731</v>
      </c>
      <c r="G1333" s="39" t="s">
        <v>237</v>
      </c>
      <c r="H1333" s="1">
        <v>2</v>
      </c>
      <c r="I1333" s="1">
        <v>0</v>
      </c>
      <c r="J1333" s="39" t="s">
        <v>3715</v>
      </c>
      <c r="K1333" s="1">
        <v>0</v>
      </c>
      <c r="L1333" s="1">
        <v>2</v>
      </c>
      <c r="S1333" s="1" t="str">
        <f>IF(tblDados[[#This Row],[Mandante]]="","",TEXT(tblDados[[#This Row],[Data]],"aaaa-mm-dd")&amp;"|"&amp;TRIM(tblDados[[#This Row],[Mandante]])&amp;"|"&amp;TRIM(tblDados[[#This Row],[Visitante]]))</f>
        <v>2026-05-24|Columbus Crew|Atlanta United FC</v>
      </c>
      <c r="T1333" s="1">
        <f>IF($G1333="",0,IF(COUNTIF($S$2:$S1472,$S1333)=1,1,0))</f>
        <v>1</v>
      </c>
      <c r="U1333" s="19" t="str">
        <f>IF(tblDados[[#This Row],[Mandante]]="","",IF(COUNTIF(CadastroEquipes,TRIM(tblDados[[#This Row],[Mandante]]))&gt;0,"","⚠ Nome não cadastrado"))</f>
        <v/>
      </c>
      <c r="V1333" s="19" t="str">
        <f>IF(tblDados[[#This Row],[Visitante]]="","",IF(COUNTIF(CadastroEquipes,TRIM(tblDados[[#This Row],[Visitante]]))&gt;0,"","⚠ Nome não cadastrado"))</f>
        <v/>
      </c>
    </row>
    <row r="1334" spans="1:22" x14ac:dyDescent="0.3">
      <c r="A1334" s="1" t="s">
        <v>3732</v>
      </c>
      <c r="B1334" s="102">
        <v>46220</v>
      </c>
      <c r="C1334" s="6">
        <v>0.875</v>
      </c>
      <c r="D1334" s="1" t="s">
        <v>39</v>
      </c>
      <c r="E1334" s="1" t="s">
        <v>3705</v>
      </c>
      <c r="F1334" s="1" t="s">
        <v>3733</v>
      </c>
      <c r="G1334" s="39" t="s">
        <v>3718</v>
      </c>
      <c r="H1334" s="1">
        <v>1</v>
      </c>
      <c r="I1334" s="1">
        <v>0</v>
      </c>
      <c r="J1334" s="39" t="s">
        <v>3715</v>
      </c>
      <c r="K1334" s="1">
        <v>0</v>
      </c>
      <c r="L1334" s="1">
        <v>1</v>
      </c>
      <c r="S1334" s="1" t="str">
        <f>IF(tblDados[[#This Row],[Mandante]]="","",TEXT(tblDados[[#This Row],[Data]],"aaaa-mm-dd")&amp;"|"&amp;TRIM(tblDados[[#This Row],[Mandante]])&amp;"|"&amp;TRIM(tblDados[[#This Row],[Visitante]]))</f>
        <v>2026-07-17|Nashville SC|Atlanta United FC</v>
      </c>
      <c r="T1334" s="1">
        <f>IF($G1334="",0,IF(COUNTIF($S$2:$S1473,$S1334)=1,1,0))</f>
        <v>1</v>
      </c>
      <c r="U1334" s="19" t="str">
        <f>IF(tblDados[[#This Row],[Mandante]]="","",IF(COUNTIF(CadastroEquipes,TRIM(tblDados[[#This Row],[Mandante]]))&gt;0,"","⚠ Nome não cadastrado"))</f>
        <v/>
      </c>
      <c r="V1334" s="19" t="str">
        <f>IF(tblDados[[#This Row],[Visitante]]="","",IF(COUNTIF(CadastroEquipes,TRIM(tblDados[[#This Row],[Visitante]]))&gt;0,"","⚠ Nome não cadastrado"))</f>
        <v/>
      </c>
    </row>
    <row r="1335" spans="1:22" x14ac:dyDescent="0.3">
      <c r="A1335" s="1" t="s">
        <v>3734</v>
      </c>
      <c r="B1335" s="102">
        <v>46225</v>
      </c>
      <c r="C1335" s="6">
        <v>0.88541666666666696</v>
      </c>
      <c r="D1335" s="1" t="s">
        <v>39</v>
      </c>
      <c r="E1335" s="1" t="s">
        <v>3705</v>
      </c>
      <c r="F1335" s="1" t="s">
        <v>3735</v>
      </c>
      <c r="G1335" s="39" t="s">
        <v>3736</v>
      </c>
      <c r="H1335" s="1">
        <v>2</v>
      </c>
      <c r="I1335" s="1">
        <v>2</v>
      </c>
      <c r="J1335" s="39" t="s">
        <v>3715</v>
      </c>
      <c r="K1335" s="1">
        <v>2</v>
      </c>
      <c r="L1335" s="1">
        <v>2</v>
      </c>
      <c r="S1335" s="1" t="str">
        <f>IF(tblDados[[#This Row],[Mandante]]="","",TEXT(tblDados[[#This Row],[Data]],"aaaa-mm-dd")&amp;"|"&amp;TRIM(tblDados[[#This Row],[Mandante]])&amp;"|"&amp;TRIM(tblDados[[#This Row],[Visitante]]))</f>
        <v>2026-07-22|Charlotte FC|Atlanta United FC</v>
      </c>
      <c r="T1335" s="1">
        <f>IF($G1335="",0,IF(COUNTIF($S$2:$S1474,$S1335)=1,1,0))</f>
        <v>1</v>
      </c>
      <c r="U1335" s="19" t="str">
        <f>IF(tblDados[[#This Row],[Mandante]]="","",IF(COUNTIF(CadastroEquipes,TRIM(tblDados[[#This Row],[Mandante]]))&gt;0,"","⚠ Nome não cadastrado"))</f>
        <v/>
      </c>
      <c r="V1335" s="19" t="str">
        <f>IF(tblDados[[#This Row],[Visitante]]="","",IF(COUNTIF(CadastroEquipes,TRIM(tblDados[[#This Row],[Visitante]]))&gt;0,"","⚠ Nome não cadastrado"))</f>
        <v/>
      </c>
    </row>
    <row r="1336" spans="1:22" x14ac:dyDescent="0.3">
      <c r="A1336" s="1" t="s">
        <v>3785</v>
      </c>
      <c r="B1336" s="102">
        <v>46225</v>
      </c>
      <c r="C1336" s="6">
        <v>0.85416666666666696</v>
      </c>
      <c r="D1336" s="1" t="s">
        <v>39</v>
      </c>
      <c r="E1336" s="1" t="s">
        <v>3705</v>
      </c>
      <c r="F1336" s="1" t="s">
        <v>3786</v>
      </c>
      <c r="G1336" s="39" t="s">
        <v>3787</v>
      </c>
      <c r="H1336" s="1">
        <v>3</v>
      </c>
      <c r="I1336" s="1">
        <v>2</v>
      </c>
      <c r="J1336" s="39" t="s">
        <v>3714</v>
      </c>
      <c r="K1336" s="1">
        <v>2</v>
      </c>
      <c r="L1336" s="1">
        <v>3</v>
      </c>
      <c r="S1336" s="1" t="str">
        <f>IF(tblDados[[#This Row],[Mandante]]="","",TEXT(tblDados[[#This Row],[Data]],"aaaa-mm-dd")&amp;"|"&amp;TRIM(tblDados[[#This Row],[Mandante]])&amp;"|"&amp;TRIM(tblDados[[#This Row],[Visitante]]))</f>
        <v>2026-07-22|Inter Miami CF|Chicago Fire FC</v>
      </c>
      <c r="T1336" s="1">
        <f>IF($G1336="",0,IF(COUNTIF($S$2:$S1475,$S1336)=1,1,0))</f>
        <v>1</v>
      </c>
      <c r="U1336" s="19" t="str">
        <f>IF(tblDados[[#This Row],[Mandante]]="","",IF(COUNTIF(CadastroEquipes,TRIM(tblDados[[#This Row],[Mandante]]))&gt;0,"","⚠ Nome não cadastrado"))</f>
        <v/>
      </c>
      <c r="V1336" s="19" t="str">
        <f>IF(tblDados[[#This Row],[Visitante]]="","",IF(COUNTIF(CadastroEquipes,TRIM(tblDados[[#This Row],[Visitante]]))&gt;0,"","⚠ Nome não cadastrado"))</f>
        <v/>
      </c>
    </row>
    <row r="1337" spans="1:22" x14ac:dyDescent="0.3">
      <c r="A1337" s="1" t="s">
        <v>3737</v>
      </c>
      <c r="B1337" s="102">
        <v>46228</v>
      </c>
      <c r="C1337" s="6">
        <v>0.85416666666666696</v>
      </c>
      <c r="D1337" s="1" t="s">
        <v>39</v>
      </c>
      <c r="E1337" s="1" t="s">
        <v>3705</v>
      </c>
      <c r="F1337" s="1" t="s">
        <v>3738</v>
      </c>
      <c r="G1337" s="39" t="s">
        <v>3721</v>
      </c>
      <c r="H1337" s="1">
        <v>4</v>
      </c>
      <c r="I1337" s="1">
        <v>1</v>
      </c>
      <c r="J1337" s="39" t="s">
        <v>3715</v>
      </c>
      <c r="K1337" s="1">
        <v>1</v>
      </c>
      <c r="L1337" s="1">
        <v>4</v>
      </c>
      <c r="S1337" s="1" t="str">
        <f>IF(tblDados[[#This Row],[Mandante]]="","",TEXT(tblDados[[#This Row],[Data]],"aaaa-mm-dd")&amp;"|"&amp;TRIM(tblDados[[#This Row],[Mandante]])&amp;"|"&amp;TRIM(tblDados[[#This Row],[Visitante]]))</f>
        <v>2026-07-25|New England Revolution|Atlanta United FC</v>
      </c>
      <c r="T1337" s="1">
        <f>IF($G1337="",0,IF(COUNTIF($S$2:$S1476,$S1337)=1,1,0))</f>
        <v>1</v>
      </c>
      <c r="U1337" s="19" t="str">
        <f>IF(tblDados[[#This Row],[Mandante]]="","",IF(COUNTIF(CadastroEquipes,TRIM(tblDados[[#This Row],[Mandante]]))&gt;0,"","⚠ Nome não cadastrado"))</f>
        <v/>
      </c>
      <c r="V1337" s="19" t="str">
        <f>IF(tblDados[[#This Row],[Visitante]]="","",IF(COUNTIF(CadastroEquipes,TRIM(tblDados[[#This Row],[Visitante]]))&gt;0,"","⚠ Nome não cadastrado"))</f>
        <v/>
      </c>
    </row>
    <row r="1338" spans="1:22" x14ac:dyDescent="0.3">
      <c r="A1338" s="1" t="s">
        <v>3764</v>
      </c>
      <c r="B1338" s="102">
        <v>46228</v>
      </c>
      <c r="C1338" s="6">
        <v>0.8125</v>
      </c>
      <c r="D1338" s="1" t="s">
        <v>39</v>
      </c>
      <c r="E1338" s="1" t="s">
        <v>3705</v>
      </c>
      <c r="F1338" s="1" t="s">
        <v>3765</v>
      </c>
      <c r="G1338" s="39" t="s">
        <v>3766</v>
      </c>
      <c r="H1338" s="1">
        <v>0</v>
      </c>
      <c r="I1338" s="1">
        <v>2</v>
      </c>
      <c r="J1338" s="39" t="s">
        <v>3736</v>
      </c>
      <c r="K1338" s="1">
        <v>2</v>
      </c>
      <c r="L1338" s="1">
        <v>0</v>
      </c>
      <c r="S1338" s="1" t="str">
        <f>IF(tblDados[[#This Row],[Mandante]]="","",TEXT(tblDados[[#This Row],[Data]],"aaaa-mm-dd")&amp;"|"&amp;TRIM(tblDados[[#This Row],[Mandante]])&amp;"|"&amp;TRIM(tblDados[[#This Row],[Visitante]]))</f>
        <v>2026-07-25|New York Red Bulls|Charlotte FC</v>
      </c>
      <c r="T1338" s="1">
        <f>IF($G1338="",0,IF(COUNTIF($S$2:$S1477,$S1338)=1,1,0))</f>
        <v>1</v>
      </c>
      <c r="U1338" s="19" t="str">
        <f>IF(tblDados[[#This Row],[Mandante]]="","",IF(COUNTIF(CadastroEquipes,TRIM(tblDados[[#This Row],[Mandante]]))&gt;0,"","⚠ Nome não cadastrado"))</f>
        <v/>
      </c>
      <c r="V1338" s="19" t="str">
        <f>IF(tblDados[[#This Row],[Visitante]]="","",IF(COUNTIF(CadastroEquipes,TRIM(tblDados[[#This Row],[Visitante]]))&gt;0,"","⚠ Nome não cadastrado"))</f>
        <v/>
      </c>
    </row>
    <row r="1339" spans="1:22" x14ac:dyDescent="0.3">
      <c r="A1339" s="1" t="s">
        <v>3788</v>
      </c>
      <c r="B1339" s="102">
        <v>46228</v>
      </c>
      <c r="C1339" s="6">
        <v>0.85416666666666696</v>
      </c>
      <c r="D1339" s="1" t="s">
        <v>39</v>
      </c>
      <c r="E1339" s="1" t="s">
        <v>3705</v>
      </c>
      <c r="F1339" s="1" t="s">
        <v>3789</v>
      </c>
      <c r="G1339" s="39" t="s">
        <v>3749</v>
      </c>
      <c r="H1339" s="1">
        <v>3</v>
      </c>
      <c r="I1339" s="1">
        <v>1</v>
      </c>
      <c r="J1339" s="39" t="s">
        <v>3714</v>
      </c>
      <c r="K1339" s="1">
        <v>1</v>
      </c>
      <c r="L1339" s="1">
        <v>3</v>
      </c>
      <c r="S1339" s="1" t="str">
        <f>IF(tblDados[[#This Row],[Mandante]]="","",TEXT(tblDados[[#This Row],[Data]],"aaaa-mm-dd")&amp;"|"&amp;TRIM(tblDados[[#This Row],[Mandante]])&amp;"|"&amp;TRIM(tblDados[[#This Row],[Visitante]]))</f>
        <v>2026-07-25|New York City FC|Chicago Fire FC</v>
      </c>
      <c r="T1339" s="1">
        <f>IF($G1339="",0,IF(COUNTIF($S$2:$S1478,$S1339)=1,1,0))</f>
        <v>1</v>
      </c>
      <c r="U1339" s="19" t="str">
        <f>IF(tblDados[[#This Row],[Mandante]]="","",IF(COUNTIF(CadastroEquipes,TRIM(tblDados[[#This Row],[Mandante]]))&gt;0,"","⚠ Nome não cadastrado"))</f>
        <v/>
      </c>
      <c r="V1339" s="19" t="str">
        <f>IF(tblDados[[#This Row],[Visitante]]="","",IF(COUNTIF(CadastroEquipes,TRIM(tblDados[[#This Row],[Visitante]]))&gt;0,"","⚠ Nome não cadastrado"))</f>
        <v/>
      </c>
    </row>
    <row r="1340" spans="1:22" x14ac:dyDescent="0.3">
      <c r="A1340" s="1" t="s">
        <v>3803</v>
      </c>
      <c r="B1340" s="102">
        <v>46228</v>
      </c>
      <c r="C1340" s="6">
        <v>0.84375</v>
      </c>
      <c r="D1340" s="1" t="s">
        <v>39</v>
      </c>
      <c r="E1340" s="1" t="s">
        <v>3705</v>
      </c>
      <c r="F1340" s="1" t="s">
        <v>3804</v>
      </c>
      <c r="G1340" s="39" t="s">
        <v>237</v>
      </c>
      <c r="H1340" s="1">
        <v>2</v>
      </c>
      <c r="I1340" s="1">
        <v>1</v>
      </c>
      <c r="J1340" s="39" t="s">
        <v>240</v>
      </c>
      <c r="K1340" s="1">
        <v>1</v>
      </c>
      <c r="L1340" s="1">
        <v>2</v>
      </c>
      <c r="S1340" s="1" t="str">
        <f>IF(tblDados[[#This Row],[Mandante]]="","",TEXT(tblDados[[#This Row],[Data]],"aaaa-mm-dd")&amp;"|"&amp;TRIM(tblDados[[#This Row],[Mandante]])&amp;"|"&amp;TRIM(tblDados[[#This Row],[Visitante]]))</f>
        <v>2026-07-25|Columbus Crew|FC Cincinnati</v>
      </c>
      <c r="T1340" s="1">
        <f>IF($G1340="",0,IF(COUNTIF($S$2:$S1479,$S1340)=1,1,0))</f>
        <v>1</v>
      </c>
      <c r="U1340" s="19" t="str">
        <f>IF(tblDados[[#This Row],[Mandante]]="","",IF(COUNTIF(CadastroEquipes,TRIM(tblDados[[#This Row],[Mandante]]))&gt;0,"","⚠ Nome não cadastrado"))</f>
        <v/>
      </c>
      <c r="V1340" s="19" t="str">
        <f>IF(tblDados[[#This Row],[Visitante]]="","",IF(COUNTIF(CadastroEquipes,TRIM(tblDados[[#This Row],[Visitante]]))&gt;0,"","⚠ Nome não cadastrado"))</f>
        <v/>
      </c>
    </row>
    <row r="1341" spans="1:22" x14ac:dyDescent="0.3">
      <c r="A1341" s="1" t="s">
        <v>3739</v>
      </c>
      <c r="B1341" s="102">
        <v>46235</v>
      </c>
      <c r="C1341" s="6">
        <v>0.85416666666666696</v>
      </c>
      <c r="D1341" s="1" t="s">
        <v>39</v>
      </c>
      <c r="E1341" s="1" t="s">
        <v>3705</v>
      </c>
      <c r="F1341" s="1" t="s">
        <v>3740</v>
      </c>
      <c r="G1341" s="39" t="s">
        <v>3741</v>
      </c>
      <c r="H1341" s="1">
        <v>3</v>
      </c>
      <c r="I1341" s="1">
        <v>2</v>
      </c>
      <c r="J1341" s="39" t="s">
        <v>3715</v>
      </c>
      <c r="K1341" s="1">
        <v>2</v>
      </c>
      <c r="L1341" s="1">
        <v>3</v>
      </c>
      <c r="S1341" s="1" t="str">
        <f>IF(tblDados[[#This Row],[Mandante]]="","",TEXT(tblDados[[#This Row],[Data]],"aaaa-mm-dd")&amp;"|"&amp;TRIM(tblDados[[#This Row],[Mandante]])&amp;"|"&amp;TRIM(tblDados[[#This Row],[Visitante]]))</f>
        <v>2026-08-01|Philadelphia Union|Atlanta United FC</v>
      </c>
      <c r="T1341" s="1">
        <f>IF($G1341="",0,IF(COUNTIF($S$2:$S1480,$S1341)=1,1,0))</f>
        <v>1</v>
      </c>
      <c r="U1341" s="19" t="str">
        <f>IF(tblDados[[#This Row],[Mandante]]="","",IF(COUNTIF(CadastroEquipes,TRIM(tblDados[[#This Row],[Mandante]]))&gt;0,"","⚠ Nome não cadastrado"))</f>
        <v/>
      </c>
      <c r="V1341" s="19" t="str">
        <f>IF(tblDados[[#This Row],[Visitante]]="","",IF(COUNTIF(CadastroEquipes,TRIM(tblDados[[#This Row],[Visitante]]))&gt;0,"","⚠ Nome não cadastrado"))</f>
        <v/>
      </c>
    </row>
    <row r="1342" spans="1:22" x14ac:dyDescent="0.3">
      <c r="A1342" s="1" t="s">
        <v>3767</v>
      </c>
      <c r="B1342" s="102">
        <v>46235</v>
      </c>
      <c r="C1342" s="6">
        <v>0.89583333333333304</v>
      </c>
      <c r="D1342" s="1" t="s">
        <v>39</v>
      </c>
      <c r="E1342" s="1" t="s">
        <v>3705</v>
      </c>
      <c r="F1342" s="1" t="s">
        <v>3768</v>
      </c>
      <c r="G1342" s="39" t="s">
        <v>3714</v>
      </c>
      <c r="H1342" s="1">
        <v>2</v>
      </c>
      <c r="I1342" s="1">
        <v>1</v>
      </c>
      <c r="J1342" s="39" t="s">
        <v>3736</v>
      </c>
      <c r="K1342" s="1">
        <v>1</v>
      </c>
      <c r="L1342" s="1">
        <v>2</v>
      </c>
      <c r="S1342" s="1" t="str">
        <f>IF(tblDados[[#This Row],[Mandante]]="","",TEXT(tblDados[[#This Row],[Data]],"aaaa-mm-dd")&amp;"|"&amp;TRIM(tblDados[[#This Row],[Mandante]])&amp;"|"&amp;TRIM(tblDados[[#This Row],[Visitante]]))</f>
        <v>2026-08-01|Chicago Fire FC|Charlotte FC</v>
      </c>
      <c r="T1342" s="1">
        <f>IF($G1342="",0,IF(COUNTIF($S$2:$S1481,$S1342)=1,1,0))</f>
        <v>1</v>
      </c>
      <c r="U1342" s="19" t="str">
        <f>IF(tblDados[[#This Row],[Mandante]]="","",IF(COUNTIF(CadastroEquipes,TRIM(tblDados[[#This Row],[Mandante]]))&gt;0,"","⚠ Nome não cadastrado"))</f>
        <v/>
      </c>
      <c r="V1342" s="19" t="str">
        <f>IF(tblDados[[#This Row],[Visitante]]="","",IF(COUNTIF(CadastroEquipes,TRIM(tblDados[[#This Row],[Visitante]]))&gt;0,"","⚠ Nome não cadastrado"))</f>
        <v/>
      </c>
    </row>
    <row r="1343" spans="1:22" x14ac:dyDescent="0.3">
      <c r="A1343" s="1" t="s">
        <v>3811</v>
      </c>
      <c r="B1343" s="102">
        <v>46225</v>
      </c>
      <c r="C1343" s="6">
        <v>0.85416666666666696</v>
      </c>
      <c r="D1343" s="1" t="s">
        <v>39</v>
      </c>
      <c r="E1343" s="1" t="s">
        <v>3705</v>
      </c>
      <c r="F1343" s="1" t="s">
        <v>3812</v>
      </c>
      <c r="G1343" s="39" t="s">
        <v>237</v>
      </c>
      <c r="H1343" s="1">
        <v>1</v>
      </c>
      <c r="I1343" s="1">
        <v>2</v>
      </c>
      <c r="J1343" s="39" t="s">
        <v>3749</v>
      </c>
      <c r="K1343" s="1">
        <v>2</v>
      </c>
      <c r="L1343" s="1">
        <v>1</v>
      </c>
      <c r="S1343" s="1" t="str">
        <f>IF(tblDados[[#This Row],[Mandante]]="","",TEXT(tblDados[[#This Row],[Data]],"aaaa-mm-dd")&amp;"|"&amp;TRIM(tblDados[[#This Row],[Mandante]])&amp;"|"&amp;TRIM(tblDados[[#This Row],[Visitante]]))</f>
        <v>2026-07-22|Columbus Crew|New York City FC</v>
      </c>
      <c r="T1343" s="1">
        <f>IF($G1343="",0,IF(COUNTIF($S$2:$S1482,$S1343)=1,1,0))</f>
        <v>1</v>
      </c>
      <c r="U1343" s="19" t="str">
        <f>IF(tblDados[[#This Row],[Mandante]]="","",IF(COUNTIF(CadastroEquipes,TRIM(tblDados[[#This Row],[Mandante]]))&gt;0,"","⚠ Nome não cadastrado"))</f>
        <v/>
      </c>
      <c r="V1343" s="19" t="str">
        <f>IF(tblDados[[#This Row],[Visitante]]="","",IF(COUNTIF(CadastroEquipes,TRIM(tblDados[[#This Row],[Visitante]]))&gt;0,"","⚠ Nome não cadastrado"))</f>
        <v/>
      </c>
    </row>
    <row r="1344" spans="1:22" x14ac:dyDescent="0.3">
      <c r="A1344" s="1" t="s">
        <v>3813</v>
      </c>
      <c r="B1344" s="102">
        <v>46158</v>
      </c>
      <c r="C1344" s="6">
        <v>0.85416666666666696</v>
      </c>
      <c r="D1344" s="1" t="s">
        <v>39</v>
      </c>
      <c r="E1344" s="1" t="s">
        <v>3705</v>
      </c>
      <c r="F1344" s="1" t="s">
        <v>3814</v>
      </c>
      <c r="G1344" s="39" t="s">
        <v>3741</v>
      </c>
      <c r="H1344" s="1">
        <v>1</v>
      </c>
      <c r="I1344" s="1">
        <v>1</v>
      </c>
      <c r="J1344" s="39" t="s">
        <v>237</v>
      </c>
      <c r="K1344" s="1">
        <v>1</v>
      </c>
      <c r="L1344" s="1">
        <v>1</v>
      </c>
      <c r="S1344" s="1" t="str">
        <f>IF(tblDados[[#This Row],[Mandante]]="","",TEXT(tblDados[[#This Row],[Data]],"aaaa-mm-dd")&amp;"|"&amp;TRIM(tblDados[[#This Row],[Mandante]])&amp;"|"&amp;TRIM(tblDados[[#This Row],[Visitante]]))</f>
        <v>2026-05-16|Philadelphia Union|Columbus Crew</v>
      </c>
      <c r="T1344" s="1">
        <f>IF($G1344="",0,IF(COUNTIF($S$2:$S1483,$S1344)=1,1,0))</f>
        <v>1</v>
      </c>
      <c r="U1344" s="19" t="str">
        <f>IF(tblDados[[#This Row],[Mandante]]="","",IF(COUNTIF(CadastroEquipes,TRIM(tblDados[[#This Row],[Mandante]]))&gt;0,"","⚠ Nome não cadastrado"))</f>
        <v/>
      </c>
      <c r="V1344" s="19" t="str">
        <f>IF(tblDados[[#This Row],[Visitante]]="","",IF(COUNTIF(CadastroEquipes,TRIM(tblDados[[#This Row],[Visitante]]))&gt;0,"","⚠ Nome não cadastrado"))</f>
        <v/>
      </c>
    </row>
    <row r="1345" spans="1:22" x14ac:dyDescent="0.3">
      <c r="A1345" s="1" t="s">
        <v>3815</v>
      </c>
      <c r="B1345" s="102">
        <v>46155</v>
      </c>
      <c r="C1345" s="6">
        <v>0.85416666666666696</v>
      </c>
      <c r="D1345" s="1" t="s">
        <v>39</v>
      </c>
      <c r="E1345" s="1" t="s">
        <v>3705</v>
      </c>
      <c r="F1345" s="1" t="s">
        <v>3816</v>
      </c>
      <c r="G1345" s="39" t="s">
        <v>3766</v>
      </c>
      <c r="H1345" s="1">
        <v>3</v>
      </c>
      <c r="I1345" s="1">
        <v>2</v>
      </c>
      <c r="J1345" s="39" t="s">
        <v>237</v>
      </c>
      <c r="K1345" s="1">
        <v>2</v>
      </c>
      <c r="L1345" s="1">
        <v>3</v>
      </c>
      <c r="S1345" s="1" t="str">
        <f>IF(tblDados[[#This Row],[Mandante]]="","",TEXT(tblDados[[#This Row],[Data]],"aaaa-mm-dd")&amp;"|"&amp;TRIM(tblDados[[#This Row],[Mandante]])&amp;"|"&amp;TRIM(tblDados[[#This Row],[Visitante]]))</f>
        <v>2026-05-13|New York Red Bulls|Columbus Crew</v>
      </c>
      <c r="T1345" s="1">
        <f>IF($G1345="",0,IF(COUNTIF($S$2:$S1484,$S1345)=1,1,0))</f>
        <v>1</v>
      </c>
      <c r="U1345" s="19" t="str">
        <f>IF(tblDados[[#This Row],[Mandante]]="","",IF(COUNTIF(CadastroEquipes,TRIM(tblDados[[#This Row],[Mandante]]))&gt;0,"","⚠ Nome não cadastrado"))</f>
        <v/>
      </c>
      <c r="V1345" s="19" t="str">
        <f>IF(tblDados[[#This Row],[Visitante]]="","",IF(COUNTIF(CadastroEquipes,TRIM(tblDados[[#This Row],[Visitante]]))&gt;0,"","⚠ Nome não cadastrado"))</f>
        <v/>
      </c>
    </row>
    <row r="1346" spans="1:22" ht="14.4" x14ac:dyDescent="0.3">
      <c r="A1346" s="1" t="s">
        <v>3817</v>
      </c>
      <c r="B1346" s="102">
        <v>46152</v>
      </c>
      <c r="C1346" s="6">
        <v>0.72916666666666696</v>
      </c>
      <c r="D1346" s="1" t="s">
        <v>39</v>
      </c>
      <c r="E1346" s="1" t="s">
        <v>3705</v>
      </c>
      <c r="F1346" s="1" t="s">
        <v>3818</v>
      </c>
      <c r="G1346" s="39" t="s">
        <v>3749</v>
      </c>
      <c r="H1346" s="1">
        <v>3</v>
      </c>
      <c r="I1346" s="1">
        <v>0</v>
      </c>
      <c r="J1346" s="39" t="s">
        <v>237</v>
      </c>
      <c r="K1346" s="1">
        <v>0</v>
      </c>
      <c r="L1346" s="1">
        <v>3</v>
      </c>
      <c r="S1346" s="1" t="str">
        <f>IF(tblDados[[#This Row],[Mandante]]="","",TEXT(tblDados[[#This Row],[Data]],"aaaa-mm-dd")&amp;"|"&amp;TRIM(tblDados[[#This Row],[Mandante]])&amp;"|"&amp;TRIM(tblDados[[#This Row],[Visitante]]))</f>
        <v>2026-05-10|New York City FC|Columbus Crew</v>
      </c>
      <c r="T1346">
        <f>IF($G1346="",0,IF(COUNTIF($S$2:$S2834,$S1346)=1,1,0))</f>
        <v>1</v>
      </c>
      <c r="U1346" s="19" t="str">
        <f>IF(tblDados[[#This Row],[Mandante]]="","",IF(COUNTIF(CadastroEquipes,TRIM(tblDados[[#This Row],[Mandante]]))&gt;0,"","⚠ Nome não cadastrado"))</f>
        <v/>
      </c>
      <c r="V1346" s="19" t="str">
        <f>IF(tblDados[[#This Row],[Visitante]]="","",IF(COUNTIF(CadastroEquipes,TRIM(tblDados[[#This Row],[Visitante]]))&gt;0,"","⚠ Nome não cadastrado"))</f>
        <v/>
      </c>
    </row>
    <row r="1347" spans="1:22" ht="14.4" x14ac:dyDescent="0.3">
      <c r="A1347" s="1" t="s">
        <v>3822</v>
      </c>
      <c r="B1347" s="102">
        <v>46137</v>
      </c>
      <c r="C1347" s="6">
        <v>0.85416666666666696</v>
      </c>
      <c r="D1347" s="1" t="s">
        <v>39</v>
      </c>
      <c r="E1347" s="1" t="s">
        <v>3705</v>
      </c>
      <c r="F1347" s="1" t="s">
        <v>3823</v>
      </c>
      <c r="G1347" s="39" t="s">
        <v>237</v>
      </c>
      <c r="H1347" s="1">
        <v>2</v>
      </c>
      <c r="I1347" s="1">
        <v>0</v>
      </c>
      <c r="J1347" s="39" t="s">
        <v>3741</v>
      </c>
      <c r="K1347" s="1">
        <v>0</v>
      </c>
      <c r="L1347" s="1">
        <v>2</v>
      </c>
      <c r="S1347" s="1" t="str">
        <f>IF(tblDados[[#This Row],[Mandante]]="","",TEXT(tblDados[[#This Row],[Data]],"aaaa-mm-dd")&amp;"|"&amp;TRIM(tblDados[[#This Row],[Mandante]])&amp;"|"&amp;TRIM(tblDados[[#This Row],[Visitante]]))</f>
        <v>2026-04-25|Columbus Crew|Philadelphia Union</v>
      </c>
      <c r="T1347">
        <f>IF($G1347="",0,IF(COUNTIF($S$2:$S2835,$S1347)=1,1,0))</f>
        <v>1</v>
      </c>
      <c r="U1347" s="19" t="str">
        <f>IF(tblDados[[#This Row],[Mandante]]="","",IF(COUNTIF(CadastroEquipes,TRIM(tblDados[[#This Row],[Mandante]]))&gt;0,"","⚠ Nome não cadastrado"))</f>
        <v/>
      </c>
      <c r="V1347" s="19" t="str">
        <f>IF(tblDados[[#This Row],[Visitante]]="","",IF(COUNTIF(CadastroEquipes,TRIM(tblDados[[#This Row],[Visitante]]))&gt;0,"","⚠ Nome não cadastrado"))</f>
        <v/>
      </c>
    </row>
    <row r="1348" spans="1:22" ht="14.4" x14ac:dyDescent="0.3">
      <c r="A1348" s="1" t="s">
        <v>3826</v>
      </c>
      <c r="B1348" s="102">
        <v>46130</v>
      </c>
      <c r="C1348" s="6">
        <v>0.85416666666666696</v>
      </c>
      <c r="D1348" s="1" t="s">
        <v>39</v>
      </c>
      <c r="E1348" s="1" t="s">
        <v>3705</v>
      </c>
      <c r="F1348" s="1" t="s">
        <v>3827</v>
      </c>
      <c r="G1348" s="39" t="s">
        <v>3721</v>
      </c>
      <c r="H1348" s="1">
        <v>2</v>
      </c>
      <c r="I1348" s="1">
        <v>1</v>
      </c>
      <c r="J1348" s="39" t="s">
        <v>237</v>
      </c>
      <c r="K1348" s="1">
        <v>1</v>
      </c>
      <c r="L1348" s="1">
        <v>2</v>
      </c>
      <c r="S1348" s="1" t="str">
        <f>IF(tblDados[[#This Row],[Mandante]]="","",TEXT(tblDados[[#This Row],[Data]],"aaaa-mm-dd")&amp;"|"&amp;TRIM(tblDados[[#This Row],[Mandante]])&amp;"|"&amp;TRIM(tblDados[[#This Row],[Visitante]]))</f>
        <v>2026-04-18|New England Revolution|Columbus Crew</v>
      </c>
      <c r="T1348">
        <f>IF($G1348="",0,IF(COUNTIF($S$2:$S2836,$S1348)=1,1,0))</f>
        <v>1</v>
      </c>
      <c r="U1348" s="19" t="str">
        <f>IF(tblDados[[#This Row],[Mandante]]="","",IF(COUNTIF(CadastroEquipes,TRIM(tblDados[[#This Row],[Mandante]]))&gt;0,"","⚠ Nome não cadastrado"))</f>
        <v/>
      </c>
      <c r="V1348" s="19" t="str">
        <f>IF(tblDados[[#This Row],[Visitante]]="","",IF(COUNTIF(CadastroEquipes,TRIM(tblDados[[#This Row],[Visitante]]))&gt;0,"","⚠ Nome não cadastrado"))</f>
        <v/>
      </c>
    </row>
    <row r="1349" spans="1:22" ht="14.4" x14ac:dyDescent="0.3">
      <c r="A1349" s="1" t="s">
        <v>3828</v>
      </c>
      <c r="B1349" s="102">
        <v>46124</v>
      </c>
      <c r="C1349" s="6">
        <v>0.83333333333333304</v>
      </c>
      <c r="D1349" s="1" t="s">
        <v>39</v>
      </c>
      <c r="E1349" s="1" t="s">
        <v>3705</v>
      </c>
      <c r="F1349" s="1" t="s">
        <v>3829</v>
      </c>
      <c r="G1349" s="39" t="s">
        <v>237</v>
      </c>
      <c r="H1349" s="1">
        <v>1</v>
      </c>
      <c r="I1349" s="1">
        <v>1</v>
      </c>
      <c r="J1349" s="39" t="s">
        <v>3729</v>
      </c>
      <c r="K1349" s="1">
        <v>1</v>
      </c>
      <c r="L1349" s="1">
        <v>1</v>
      </c>
      <c r="S1349" s="1" t="str">
        <f>IF(tblDados[[#This Row],[Mandante]]="","",TEXT(tblDados[[#This Row],[Data]],"aaaa-mm-dd")&amp;"|"&amp;TRIM(tblDados[[#This Row],[Mandante]])&amp;"|"&amp;TRIM(tblDados[[#This Row],[Visitante]]))</f>
        <v>2026-04-12|Columbus Crew|Orlando City SC</v>
      </c>
      <c r="T1349">
        <f>IF($G1349="",0,IF(COUNTIF($S$2:$S2837,$S1349)=1,1,0))</f>
        <v>1</v>
      </c>
      <c r="U1349" s="19" t="str">
        <f>IF(tblDados[[#This Row],[Mandante]]="","",IF(COUNTIF(CadastroEquipes,TRIM(tblDados[[#This Row],[Mandante]]))&gt;0,"","⚠ Nome não cadastrado"))</f>
        <v/>
      </c>
      <c r="V1349" s="19" t="str">
        <f>IF(tblDados[[#This Row],[Visitante]]="","",IF(COUNTIF(CadastroEquipes,TRIM(tblDados[[#This Row],[Visitante]]))&gt;0,"","⚠ Nome não cadastrado"))</f>
        <v/>
      </c>
    </row>
    <row r="1350" spans="1:22" ht="14.4" x14ac:dyDescent="0.3">
      <c r="A1350" s="1" t="s">
        <v>3830</v>
      </c>
      <c r="B1350" s="102">
        <v>46235</v>
      </c>
      <c r="C1350" s="6">
        <v>0.85416666666666696</v>
      </c>
      <c r="D1350" s="1" t="s">
        <v>39</v>
      </c>
      <c r="E1350" s="1" t="s">
        <v>3705</v>
      </c>
      <c r="F1350" s="1" t="s">
        <v>3831</v>
      </c>
      <c r="G1350" s="39" t="s">
        <v>3780</v>
      </c>
      <c r="H1350" s="1">
        <v>2</v>
      </c>
      <c r="I1350" s="1">
        <v>2</v>
      </c>
      <c r="J1350" s="39" t="s">
        <v>3718</v>
      </c>
      <c r="K1350" s="1">
        <v>2</v>
      </c>
      <c r="L1350" s="1">
        <v>2</v>
      </c>
      <c r="S1350" s="1" t="str">
        <f>IF(tblDados[[#This Row],[Mandante]]="","",TEXT(tblDados[[#This Row],[Data]],"aaaa-mm-dd")&amp;"|"&amp;TRIM(tblDados[[#This Row],[Mandante]])&amp;"|"&amp;TRIM(tblDados[[#This Row],[Visitante]]))</f>
        <v>2026-08-01|D.C. United|Nashville SC</v>
      </c>
      <c r="T1350">
        <f>IF($G1350="",0,IF(COUNTIF($S$2:$S2838,$S1350)=1,1,0))</f>
        <v>1</v>
      </c>
      <c r="U1350" s="19" t="str">
        <f>IF(tblDados[[#This Row],[Mandante]]="","",IF(COUNTIF(CadastroEquipes,TRIM(tblDados[[#This Row],[Mandante]]))&gt;0,"","⚠ Nome não cadastrado"))</f>
        <v/>
      </c>
      <c r="V1350" s="19" t="str">
        <f>IF(tblDados[[#This Row],[Visitante]]="","",IF(COUNTIF(CadastroEquipes,TRIM(tblDados[[#This Row],[Visitante]]))&gt;0,"","⚠ Nome não cadastrado"))</f>
        <v/>
      </c>
    </row>
    <row r="1351" spans="1:22" ht="14.4" x14ac:dyDescent="0.3">
      <c r="A1351" s="1" t="s">
        <v>3832</v>
      </c>
      <c r="B1351" s="102">
        <v>46228</v>
      </c>
      <c r="C1351" s="6">
        <v>0.85416666666666696</v>
      </c>
      <c r="D1351" s="1" t="s">
        <v>39</v>
      </c>
      <c r="E1351" s="1" t="s">
        <v>3705</v>
      </c>
      <c r="F1351" s="1" t="s">
        <v>3833</v>
      </c>
      <c r="G1351" s="39" t="s">
        <v>3780</v>
      </c>
      <c r="H1351" s="1">
        <v>2</v>
      </c>
      <c r="I1351" s="1">
        <v>1</v>
      </c>
      <c r="J1351" s="39" t="s">
        <v>192</v>
      </c>
      <c r="K1351" s="1">
        <v>1</v>
      </c>
      <c r="L1351" s="1">
        <v>2</v>
      </c>
      <c r="S1351" s="1" t="str">
        <f>IF(tblDados[[#This Row],[Mandante]]="","",TEXT(tblDados[[#This Row],[Data]],"aaaa-mm-dd")&amp;"|"&amp;TRIM(tblDados[[#This Row],[Mandante]])&amp;"|"&amp;TRIM(tblDados[[#This Row],[Visitante]]))</f>
        <v>2026-07-25|D.C. United|Toronto FC</v>
      </c>
      <c r="T1351">
        <f>IF($G1351="",0,IF(COUNTIF($S$2:$S2839,$S1351)=1,1,0))</f>
        <v>1</v>
      </c>
      <c r="U1351" s="19" t="str">
        <f>IF(tblDados[[#This Row],[Mandante]]="","",IF(COUNTIF(CadastroEquipes,TRIM(tblDados[[#This Row],[Mandante]]))&gt;0,"","⚠ Nome não cadastrado"))</f>
        <v/>
      </c>
      <c r="V1351" s="19" t="str">
        <f>IF(tblDados[[#This Row],[Visitante]]="","",IF(COUNTIF(CadastroEquipes,TRIM(tblDados[[#This Row],[Visitante]]))&gt;0,"","⚠ Nome não cadastrado"))</f>
        <v/>
      </c>
    </row>
    <row r="1352" spans="1:22" ht="14.4" x14ac:dyDescent="0.3">
      <c r="A1352" s="1" t="s">
        <v>3837</v>
      </c>
      <c r="B1352" s="102">
        <v>46165</v>
      </c>
      <c r="C1352" s="6">
        <v>0.85416666666666696</v>
      </c>
      <c r="D1352" s="1" t="s">
        <v>39</v>
      </c>
      <c r="E1352" s="1" t="s">
        <v>3705</v>
      </c>
      <c r="F1352" s="1" t="s">
        <v>3838</v>
      </c>
      <c r="G1352" s="39" t="s">
        <v>3780</v>
      </c>
      <c r="H1352" s="1">
        <v>4</v>
      </c>
      <c r="I1352" s="1">
        <v>4</v>
      </c>
      <c r="J1352" s="39" t="s">
        <v>3726</v>
      </c>
      <c r="K1352" s="1">
        <v>4</v>
      </c>
      <c r="L1352" s="1">
        <v>4</v>
      </c>
      <c r="S1352" s="1" t="str">
        <f>IF(tblDados[[#This Row],[Mandante]]="","",TEXT(tblDados[[#This Row],[Data]],"aaaa-mm-dd")&amp;"|"&amp;TRIM(tblDados[[#This Row],[Mandante]])&amp;"|"&amp;TRIM(tblDados[[#This Row],[Visitante]]))</f>
        <v>2026-05-23|D.C. United|CF Montréal</v>
      </c>
      <c r="T1352">
        <f>IF($G1352="",0,IF(COUNTIF($S$2:$S2840,$S1352)=1,1,0))</f>
        <v>1</v>
      </c>
      <c r="U1352" s="19" t="str">
        <f>IF(tblDados[[#This Row],[Mandante]]="","",IF(COUNTIF(CadastroEquipes,TRIM(tblDados[[#This Row],[Mandante]]))&gt;0,"","⚠ Nome não cadastrado"))</f>
        <v/>
      </c>
      <c r="V1352" s="19" t="str">
        <f>IF(tblDados[[#This Row],[Visitante]]="","",IF(COUNTIF(CadastroEquipes,TRIM(tblDados[[#This Row],[Visitante]]))&gt;0,"","⚠ Nome não cadastrado"))</f>
        <v/>
      </c>
    </row>
    <row r="1353" spans="1:22" ht="14.4" x14ac:dyDescent="0.3">
      <c r="A1353" s="1" t="s">
        <v>3842</v>
      </c>
      <c r="B1353" s="102">
        <v>46151</v>
      </c>
      <c r="C1353" s="6">
        <v>0.91666666666666696</v>
      </c>
      <c r="D1353" s="1" t="s">
        <v>39</v>
      </c>
      <c r="E1353" s="1" t="s">
        <v>3705</v>
      </c>
      <c r="F1353" s="1" t="s">
        <v>3843</v>
      </c>
      <c r="G1353" s="39" t="s">
        <v>3718</v>
      </c>
      <c r="H1353" s="1">
        <v>2</v>
      </c>
      <c r="I1353" s="1">
        <v>2</v>
      </c>
      <c r="J1353" s="39" t="s">
        <v>3780</v>
      </c>
      <c r="K1353" s="1">
        <v>2</v>
      </c>
      <c r="L1353" s="1">
        <v>2</v>
      </c>
      <c r="S1353" s="1" t="str">
        <f>IF(tblDados[[#This Row],[Mandante]]="","",TEXT(tblDados[[#This Row],[Data]],"aaaa-mm-dd")&amp;"|"&amp;TRIM(tblDados[[#This Row],[Mandante]])&amp;"|"&amp;TRIM(tblDados[[#This Row],[Visitante]]))</f>
        <v>2026-05-09|Nashville SC|D.C. United</v>
      </c>
      <c r="T1353">
        <f>IF($G1353="",0,IF(COUNTIF($S$2:$S2841,$S1353)=1,1,0))</f>
        <v>1</v>
      </c>
      <c r="U1353" s="19" t="str">
        <f>IF(tblDados[[#This Row],[Mandante]]="","",IF(COUNTIF(CadastroEquipes,TRIM(tblDados[[#This Row],[Mandante]]))&gt;0,"","⚠ Nome não cadastrado"))</f>
        <v/>
      </c>
      <c r="V1353" s="19" t="str">
        <f>IF(tblDados[[#This Row],[Visitante]]="","",IF(COUNTIF(CadastroEquipes,TRIM(tblDados[[#This Row],[Visitante]]))&gt;0,"","⚠ Nome não cadastrado"))</f>
        <v/>
      </c>
    </row>
    <row r="1354" spans="1:22" ht="14.4" x14ac:dyDescent="0.3">
      <c r="A1354" s="1" t="s">
        <v>3844</v>
      </c>
      <c r="B1354" s="102">
        <v>46145</v>
      </c>
      <c r="C1354" s="6">
        <v>0.72916666666666696</v>
      </c>
      <c r="D1354" s="1" t="s">
        <v>39</v>
      </c>
      <c r="E1354" s="1" t="s">
        <v>3705</v>
      </c>
      <c r="F1354" s="1" t="s">
        <v>3845</v>
      </c>
      <c r="G1354" s="39" t="s">
        <v>3749</v>
      </c>
      <c r="H1354" s="1">
        <v>0</v>
      </c>
      <c r="I1354" s="1">
        <v>2</v>
      </c>
      <c r="J1354" s="39" t="s">
        <v>3780</v>
      </c>
      <c r="K1354" s="1">
        <v>2</v>
      </c>
      <c r="L1354" s="1">
        <v>0</v>
      </c>
      <c r="S1354" s="1" t="str">
        <f>IF(tblDados[[#This Row],[Mandante]]="","",TEXT(tblDados[[#This Row],[Data]],"aaaa-mm-dd")&amp;"|"&amp;TRIM(tblDados[[#This Row],[Mandante]])&amp;"|"&amp;TRIM(tblDados[[#This Row],[Visitante]]))</f>
        <v>2026-05-03|New York City FC|D.C. United</v>
      </c>
      <c r="T1354">
        <f>IF($G1354="",0,IF(COUNTIF($S$2:$S2842,$S1354)=1,1,0))</f>
        <v>1</v>
      </c>
      <c r="U1354" s="19" t="str">
        <f>IF(tblDados[[#This Row],[Mandante]]="","",IF(COUNTIF(CadastroEquipes,TRIM(tblDados[[#This Row],[Mandante]]))&gt;0,"","⚠ Nome não cadastrado"))</f>
        <v/>
      </c>
      <c r="V1354" s="19" t="str">
        <f>IF(tblDados[[#This Row],[Visitante]]="","",IF(COUNTIF(CadastroEquipes,TRIM(tblDados[[#This Row],[Visitante]]))&gt;0,"","⚠ Nome não cadastrado"))</f>
        <v/>
      </c>
    </row>
    <row r="1355" spans="1:22" ht="14.4" x14ac:dyDescent="0.3">
      <c r="A1355" s="1" t="s">
        <v>3846</v>
      </c>
      <c r="B1355" s="102">
        <v>46137</v>
      </c>
      <c r="C1355" s="6">
        <v>0.85416666666666696</v>
      </c>
      <c r="D1355" s="1" t="s">
        <v>39</v>
      </c>
      <c r="E1355" s="1" t="s">
        <v>3705</v>
      </c>
      <c r="F1355" s="1" t="s">
        <v>3847</v>
      </c>
      <c r="G1355" s="39" t="s">
        <v>3780</v>
      </c>
      <c r="H1355" s="1">
        <v>3</v>
      </c>
      <c r="I1355" s="1">
        <v>2</v>
      </c>
      <c r="J1355" s="39" t="s">
        <v>3729</v>
      </c>
      <c r="K1355" s="1">
        <v>2</v>
      </c>
      <c r="L1355" s="1">
        <v>3</v>
      </c>
      <c r="S1355" s="1" t="str">
        <f>IF(tblDados[[#This Row],[Mandante]]="","",TEXT(tblDados[[#This Row],[Data]],"aaaa-mm-dd")&amp;"|"&amp;TRIM(tblDados[[#This Row],[Mandante]])&amp;"|"&amp;TRIM(tblDados[[#This Row],[Visitante]]))</f>
        <v>2026-04-25|D.C. United|Orlando City SC</v>
      </c>
      <c r="T1355">
        <f>IF($G1355="",0,IF(COUNTIF($S$2:$S2843,$S1355)=1,1,0))</f>
        <v>1</v>
      </c>
      <c r="U1355" s="19" t="str">
        <f>IF(tblDados[[#This Row],[Mandante]]="","",IF(COUNTIF(CadastroEquipes,TRIM(tblDados[[#This Row],[Mandante]]))&gt;0,"","⚠ Nome não cadastrado"))</f>
        <v/>
      </c>
      <c r="V1355" s="19" t="str">
        <f>IF(tblDados[[#This Row],[Visitante]]="","",IF(COUNTIF(CadastroEquipes,TRIM(tblDados[[#This Row],[Visitante]]))&gt;0,"","⚠ Nome não cadastrado"))</f>
        <v/>
      </c>
    </row>
    <row r="1356" spans="1:22" ht="14.4" x14ac:dyDescent="0.3">
      <c r="A1356" s="1" t="s">
        <v>3848</v>
      </c>
      <c r="B1356" s="102">
        <v>46134</v>
      </c>
      <c r="C1356" s="6">
        <v>0.85416666666666696</v>
      </c>
      <c r="D1356" s="1" t="s">
        <v>39</v>
      </c>
      <c r="E1356" s="1" t="s">
        <v>3705</v>
      </c>
      <c r="F1356" s="1" t="s">
        <v>3849</v>
      </c>
      <c r="G1356" s="39" t="s">
        <v>3766</v>
      </c>
      <c r="H1356" s="1">
        <v>4</v>
      </c>
      <c r="I1356" s="1">
        <v>4</v>
      </c>
      <c r="J1356" s="39" t="s">
        <v>3780</v>
      </c>
      <c r="K1356" s="1">
        <v>4</v>
      </c>
      <c r="L1356" s="1">
        <v>4</v>
      </c>
      <c r="S1356" s="1" t="str">
        <f>IF(tblDados[[#This Row],[Mandante]]="","",TEXT(tblDados[[#This Row],[Data]],"aaaa-mm-dd")&amp;"|"&amp;TRIM(tblDados[[#This Row],[Mandante]])&amp;"|"&amp;TRIM(tblDados[[#This Row],[Visitante]]))</f>
        <v>2026-04-22|New York Red Bulls|D.C. United</v>
      </c>
      <c r="T1356">
        <f>IF($G1356="",0,IF(COUNTIF($S$2:$S2844,$S1356)=1,1,0))</f>
        <v>1</v>
      </c>
      <c r="U1356" s="19" t="str">
        <f>IF(tblDados[[#This Row],[Mandante]]="","",IF(COUNTIF(CadastroEquipes,TRIM(tblDados[[#This Row],[Mandante]]))&gt;0,"","⚠ Nome não cadastrado"))</f>
        <v/>
      </c>
      <c r="V1356" s="19" t="str">
        <f>IF(tblDados[[#This Row],[Visitante]]="","",IF(COUNTIF(CadastroEquipes,TRIM(tblDados[[#This Row],[Visitante]]))&gt;0,"","⚠ Nome não cadastrado"))</f>
        <v/>
      </c>
    </row>
    <row r="1357" spans="1:22" ht="14.4" x14ac:dyDescent="0.3">
      <c r="A1357" s="1" t="s">
        <v>3850</v>
      </c>
      <c r="B1357" s="102">
        <v>46130</v>
      </c>
      <c r="C1357" s="6">
        <v>0.85416666666666696</v>
      </c>
      <c r="D1357" s="1" t="s">
        <v>39</v>
      </c>
      <c r="E1357" s="1" t="s">
        <v>3705</v>
      </c>
      <c r="F1357" s="1" t="s">
        <v>3851</v>
      </c>
      <c r="G1357" s="39" t="s">
        <v>3741</v>
      </c>
      <c r="H1357" s="1">
        <v>0</v>
      </c>
      <c r="I1357" s="1">
        <v>0</v>
      </c>
      <c r="J1357" s="39" t="s">
        <v>3780</v>
      </c>
      <c r="K1357" s="1">
        <v>0</v>
      </c>
      <c r="L1357" s="1">
        <v>0</v>
      </c>
      <c r="S1357" s="1" t="str">
        <f>IF(tblDados[[#This Row],[Mandante]]="","",TEXT(tblDados[[#This Row],[Data]],"aaaa-mm-dd")&amp;"|"&amp;TRIM(tblDados[[#This Row],[Mandante]])&amp;"|"&amp;TRIM(tblDados[[#This Row],[Visitante]]))</f>
        <v>2026-04-18|Philadelphia Union|D.C. United</v>
      </c>
      <c r="T1357">
        <f>IF($G1357="",0,IF(COUNTIF($S$2:$S2845,$S1357)=1,1,0))</f>
        <v>1</v>
      </c>
      <c r="U1357" s="19" t="str">
        <f>IF(tblDados[[#This Row],[Mandante]]="","",IF(COUNTIF(CadastroEquipes,TRIM(tblDados[[#This Row],[Mandante]]))&gt;0,"","⚠ Nome não cadastrado"))</f>
        <v/>
      </c>
      <c r="V1357" s="19" t="str">
        <f>IF(tblDados[[#This Row],[Visitante]]="","",IF(COUNTIF(CadastroEquipes,TRIM(tblDados[[#This Row],[Visitante]]))&gt;0,"","⚠ Nome não cadastrado"))</f>
        <v/>
      </c>
    </row>
    <row r="1358" spans="1:22" ht="14.4" x14ac:dyDescent="0.3">
      <c r="A1358" s="1" t="s">
        <v>3852</v>
      </c>
      <c r="B1358" s="102">
        <v>46123</v>
      </c>
      <c r="C1358" s="6">
        <v>0.85416666666666696</v>
      </c>
      <c r="D1358" s="1" t="s">
        <v>39</v>
      </c>
      <c r="E1358" s="1" t="s">
        <v>3705</v>
      </c>
      <c r="F1358" s="1" t="s">
        <v>3853</v>
      </c>
      <c r="G1358" s="39" t="s">
        <v>3721</v>
      </c>
      <c r="H1358" s="1">
        <v>1</v>
      </c>
      <c r="I1358" s="1">
        <v>0</v>
      </c>
      <c r="J1358" s="39" t="s">
        <v>3780</v>
      </c>
      <c r="K1358" s="1">
        <v>0</v>
      </c>
      <c r="L1358" s="1">
        <v>1</v>
      </c>
      <c r="S1358" s="1" t="str">
        <f>IF(tblDados[[#This Row],[Mandante]]="","",TEXT(tblDados[[#This Row],[Data]],"aaaa-mm-dd")&amp;"|"&amp;TRIM(tblDados[[#This Row],[Mandante]])&amp;"|"&amp;TRIM(tblDados[[#This Row],[Visitante]]))</f>
        <v>2026-04-11|New England Revolution|D.C. United</v>
      </c>
      <c r="T1358">
        <f>IF($G1358="",0,IF(COUNTIF($S$2:$S2846,$S1358)=1,1,0))</f>
        <v>1</v>
      </c>
      <c r="U1358" s="19" t="str">
        <f>IF(tblDados[[#This Row],[Mandante]]="","",IF(COUNTIF(CadastroEquipes,TRIM(tblDados[[#This Row],[Mandante]]))&gt;0,"","⚠ Nome não cadastrado"))</f>
        <v/>
      </c>
      <c r="V1358" s="19" t="str">
        <f>IF(tblDados[[#This Row],[Visitante]]="","",IF(COUNTIF(CadastroEquipes,TRIM(tblDados[[#This Row],[Visitante]]))&gt;0,"","⚠ Nome não cadastrado"))</f>
        <v/>
      </c>
    </row>
    <row r="1359" spans="1:22" ht="14.4" x14ac:dyDescent="0.3">
      <c r="A1359" s="1" t="s">
        <v>3855</v>
      </c>
      <c r="B1359" s="102">
        <v>46228</v>
      </c>
      <c r="C1359" s="6">
        <v>0.85416666666666696</v>
      </c>
      <c r="D1359" s="1" t="s">
        <v>39</v>
      </c>
      <c r="E1359" s="1" t="s">
        <v>3705</v>
      </c>
      <c r="F1359" s="1" t="s">
        <v>3856</v>
      </c>
      <c r="G1359" s="39" t="s">
        <v>3726</v>
      </c>
      <c r="H1359" s="1">
        <v>0</v>
      </c>
      <c r="I1359" s="1">
        <v>1</v>
      </c>
      <c r="J1359" s="39" t="s">
        <v>3787</v>
      </c>
      <c r="K1359" s="1">
        <v>1</v>
      </c>
      <c r="L1359" s="1">
        <v>0</v>
      </c>
      <c r="S1359" s="1" t="str">
        <f>IF(tblDados[[#This Row],[Mandante]]="","",TEXT(tblDados[[#This Row],[Data]],"aaaa-mm-dd")&amp;"|"&amp;TRIM(tblDados[[#This Row],[Mandante]])&amp;"|"&amp;TRIM(tblDados[[#This Row],[Visitante]]))</f>
        <v>2026-07-25|CF Montréal|Inter Miami CF</v>
      </c>
      <c r="T1359">
        <f>IF($G1359="",0,IF(COUNTIF($S$2:$S2847,$S1359)=1,1,0))</f>
        <v>1</v>
      </c>
      <c r="U1359" s="19" t="str">
        <f>IF(tblDados[[#This Row],[Mandante]]="","",IF(COUNTIF(CadastroEquipes,TRIM(tblDados[[#This Row],[Mandante]]))&gt;0,"","⚠ Nome não cadastrado"))</f>
        <v/>
      </c>
      <c r="V1359" s="19" t="str">
        <f>IF(tblDados[[#This Row],[Visitante]]="","",IF(COUNTIF(CadastroEquipes,TRIM(tblDados[[#This Row],[Visitante]]))&gt;0,"","⚠ Nome não cadastrado"))</f>
        <v/>
      </c>
    </row>
    <row r="1360" spans="1:22" ht="14.4" x14ac:dyDescent="0.3">
      <c r="A1360" s="1" t="s">
        <v>3857</v>
      </c>
      <c r="B1360" s="102">
        <v>46166</v>
      </c>
      <c r="C1360" s="6">
        <v>0.83333333333333304</v>
      </c>
      <c r="D1360" s="1" t="s">
        <v>39</v>
      </c>
      <c r="E1360" s="1" t="s">
        <v>3705</v>
      </c>
      <c r="F1360" s="1" t="s">
        <v>3858</v>
      </c>
      <c r="G1360" s="39" t="s">
        <v>3787</v>
      </c>
      <c r="H1360" s="1">
        <v>6</v>
      </c>
      <c r="I1360" s="1">
        <v>4</v>
      </c>
      <c r="J1360" s="39" t="s">
        <v>3741</v>
      </c>
      <c r="K1360" s="1">
        <v>4</v>
      </c>
      <c r="L1360" s="1">
        <v>6</v>
      </c>
      <c r="S1360" s="1" t="str">
        <f>IF(tblDados[[#This Row],[Mandante]]="","",TEXT(tblDados[[#This Row],[Data]],"aaaa-mm-dd")&amp;"|"&amp;TRIM(tblDados[[#This Row],[Mandante]])&amp;"|"&amp;TRIM(tblDados[[#This Row],[Visitante]]))</f>
        <v>2026-05-24|Inter Miami CF|Philadelphia Union</v>
      </c>
      <c r="T1360">
        <f>IF($G1360="",0,IF(COUNTIF($S$2:$S2848,$S1360)=1,1,0))</f>
        <v>1</v>
      </c>
      <c r="U1360" s="19" t="str">
        <f>IF(tblDados[[#This Row],[Mandante]]="","",IF(COUNTIF(CadastroEquipes,TRIM(tblDados[[#This Row],[Mandante]]))&gt;0,"","⚠ Nome não cadastrado"))</f>
        <v/>
      </c>
      <c r="V1360" s="19" t="str">
        <f>IF(tblDados[[#This Row],[Visitante]]="","",IF(COUNTIF(CadastroEquipes,TRIM(tblDados[[#This Row],[Visitante]]))&gt;0,"","⚠ Nome não cadastrado"))</f>
        <v/>
      </c>
    </row>
    <row r="1361" spans="1:22" ht="14.4" x14ac:dyDescent="0.3">
      <c r="A1361" s="1" t="s">
        <v>3861</v>
      </c>
      <c r="B1361" s="102">
        <v>46151</v>
      </c>
      <c r="C1361" s="6">
        <v>0.85416666666666696</v>
      </c>
      <c r="D1361" s="1" t="s">
        <v>39</v>
      </c>
      <c r="E1361" s="1" t="s">
        <v>3705</v>
      </c>
      <c r="F1361" s="1" t="s">
        <v>3862</v>
      </c>
      <c r="G1361" s="39" t="s">
        <v>192</v>
      </c>
      <c r="H1361" s="1">
        <v>2</v>
      </c>
      <c r="I1361" s="1">
        <v>4</v>
      </c>
      <c r="J1361" s="39" t="s">
        <v>3787</v>
      </c>
      <c r="K1361" s="1">
        <v>4</v>
      </c>
      <c r="L1361" s="1">
        <v>2</v>
      </c>
      <c r="S1361" s="1" t="str">
        <f>IF(tblDados[[#This Row],[Mandante]]="","",TEXT(tblDados[[#This Row],[Data]],"aaaa-mm-dd")&amp;"|"&amp;TRIM(tblDados[[#This Row],[Mandante]])&amp;"|"&amp;TRIM(tblDados[[#This Row],[Visitante]]))</f>
        <v>2026-05-09|Toronto FC|Inter Miami CF</v>
      </c>
      <c r="T1361">
        <f>IF($G1361="",0,IF(COUNTIF($S$2:$S2849,$S1361)=1,1,0))</f>
        <v>1</v>
      </c>
      <c r="U1361" s="19" t="str">
        <f>IF(tblDados[[#This Row],[Mandante]]="","",IF(COUNTIF(CadastroEquipes,TRIM(tblDados[[#This Row],[Mandante]]))&gt;0,"","⚠ Nome não cadastrado"))</f>
        <v/>
      </c>
      <c r="V1361" s="19" t="str">
        <f>IF(tblDados[[#This Row],[Visitante]]="","",IF(COUNTIF(CadastroEquipes,TRIM(tblDados[[#This Row],[Visitante]]))&gt;0,"","⚠ Nome não cadastrado"))</f>
        <v/>
      </c>
    </row>
    <row r="1362" spans="1:22" ht="14.4" x14ac:dyDescent="0.3">
      <c r="A1362" s="1" t="s">
        <v>3863</v>
      </c>
      <c r="B1362" s="102">
        <v>46144</v>
      </c>
      <c r="C1362" s="6">
        <v>0.83333333333333304</v>
      </c>
      <c r="D1362" s="1" t="s">
        <v>39</v>
      </c>
      <c r="E1362" s="1" t="s">
        <v>3705</v>
      </c>
      <c r="F1362" s="1" t="s">
        <v>3864</v>
      </c>
      <c r="G1362" s="39" t="s">
        <v>3787</v>
      </c>
      <c r="H1362" s="1">
        <v>3</v>
      </c>
      <c r="I1362" s="1">
        <v>4</v>
      </c>
      <c r="J1362" s="39" t="s">
        <v>3729</v>
      </c>
      <c r="K1362" s="1">
        <v>4</v>
      </c>
      <c r="L1362" s="1">
        <v>3</v>
      </c>
      <c r="S1362" s="1" t="str">
        <f>IF(tblDados[[#This Row],[Mandante]]="","",TEXT(tblDados[[#This Row],[Data]],"aaaa-mm-dd")&amp;"|"&amp;TRIM(tblDados[[#This Row],[Mandante]])&amp;"|"&amp;TRIM(tblDados[[#This Row],[Visitante]]))</f>
        <v>2026-05-02|Inter Miami CF|Orlando City SC</v>
      </c>
      <c r="T1362">
        <f>IF($G1362="",0,IF(COUNTIF($S$2:$S2850,$S1362)=1,1,0))</f>
        <v>1</v>
      </c>
      <c r="U1362" s="19" t="str">
        <f>IF(tblDados[[#This Row],[Mandante]]="","",IF(COUNTIF(CadastroEquipes,TRIM(tblDados[[#This Row],[Mandante]]))&gt;0,"","⚠ Nome não cadastrado"))</f>
        <v/>
      </c>
      <c r="V1362" s="19" t="str">
        <f>IF(tblDados[[#This Row],[Visitante]]="","",IF(COUNTIF(CadastroEquipes,TRIM(tblDados[[#This Row],[Visitante]]))&gt;0,"","⚠ Nome não cadastrado"))</f>
        <v/>
      </c>
    </row>
    <row r="1363" spans="1:22" ht="14.4" x14ac:dyDescent="0.3">
      <c r="A1363" s="1" t="s">
        <v>3865</v>
      </c>
      <c r="B1363" s="102">
        <v>46137</v>
      </c>
      <c r="C1363" s="6">
        <v>0.85416666666666696</v>
      </c>
      <c r="D1363" s="1" t="s">
        <v>39</v>
      </c>
      <c r="E1363" s="1" t="s">
        <v>3705</v>
      </c>
      <c r="F1363" s="1" t="s">
        <v>3866</v>
      </c>
      <c r="G1363" s="39" t="s">
        <v>3787</v>
      </c>
      <c r="H1363" s="1">
        <v>1</v>
      </c>
      <c r="I1363" s="1">
        <v>1</v>
      </c>
      <c r="J1363" s="39" t="s">
        <v>3721</v>
      </c>
      <c r="K1363" s="1">
        <v>1</v>
      </c>
      <c r="L1363" s="1">
        <v>1</v>
      </c>
      <c r="S1363" s="1" t="str">
        <f>IF(tblDados[[#This Row],[Mandante]]="","",TEXT(tblDados[[#This Row],[Data]],"aaaa-mm-dd")&amp;"|"&amp;TRIM(tblDados[[#This Row],[Mandante]])&amp;"|"&amp;TRIM(tblDados[[#This Row],[Visitante]]))</f>
        <v>2026-04-25|Inter Miami CF|New England Revolution</v>
      </c>
      <c r="T1363">
        <f>IF($G1363="",0,IF(COUNTIF($S$2:$S2851,$S1363)=1,1,0))</f>
        <v>1</v>
      </c>
      <c r="U1363" s="19" t="str">
        <f>IF(tblDados[[#This Row],[Mandante]]="","",IF(COUNTIF(CadastroEquipes,TRIM(tblDados[[#This Row],[Mandante]]))&gt;0,"","⚠ Nome não cadastrado"))</f>
        <v/>
      </c>
      <c r="V1363" s="19" t="str">
        <f>IF(tblDados[[#This Row],[Visitante]]="","",IF(COUNTIF(CadastroEquipes,TRIM(tblDados[[#This Row],[Visitante]]))&gt;0,"","⚠ Nome não cadastrado"))</f>
        <v/>
      </c>
    </row>
    <row r="1364" spans="1:22" ht="14.4" x14ac:dyDescent="0.3">
      <c r="A1364" s="1" t="s">
        <v>3873</v>
      </c>
      <c r="B1364" s="102">
        <v>46123</v>
      </c>
      <c r="C1364" s="6">
        <v>0.85416666666666696</v>
      </c>
      <c r="D1364" s="1" t="s">
        <v>39</v>
      </c>
      <c r="E1364" s="1" t="s">
        <v>3705</v>
      </c>
      <c r="F1364" s="1" t="s">
        <v>3874</v>
      </c>
      <c r="G1364" s="39" t="s">
        <v>3787</v>
      </c>
      <c r="H1364" s="1">
        <v>2</v>
      </c>
      <c r="I1364" s="1">
        <v>2</v>
      </c>
      <c r="J1364" s="39" t="s">
        <v>3766</v>
      </c>
      <c r="K1364" s="1">
        <v>2</v>
      </c>
      <c r="L1364" s="1">
        <v>2</v>
      </c>
      <c r="S1364" s="1" t="str">
        <f>IF(tblDados[[#This Row],[Mandante]]="","",TEXT(tblDados[[#This Row],[Data]],"aaaa-mm-dd")&amp;"|"&amp;TRIM(tblDados[[#This Row],[Mandante]])&amp;"|"&amp;TRIM(tblDados[[#This Row],[Visitante]]))</f>
        <v>2026-04-11|Inter Miami CF|New York Red Bulls</v>
      </c>
      <c r="T1364">
        <f>IF($G1364="",0,IF(COUNTIF($S$2:$S2852,$S1364)=1,1,0))</f>
        <v>1</v>
      </c>
      <c r="U1364" s="19" t="str">
        <f>IF(tblDados[[#This Row],[Mandante]]="","",IF(COUNTIF(CadastroEquipes,TRIM(tblDados[[#This Row],[Mandante]]))&gt;0,"","⚠ Nome não cadastrado"))</f>
        <v/>
      </c>
      <c r="V1364" s="19" t="str">
        <f>IF(tblDados[[#This Row],[Visitante]]="","",IF(COUNTIF(CadastroEquipes,TRIM(tblDados[[#This Row],[Visitante]]))&gt;0,"","⚠ Nome não cadastrado"))</f>
        <v/>
      </c>
    </row>
    <row r="1365" spans="1:22" ht="14.4" x14ac:dyDescent="0.3">
      <c r="A1365" s="1" t="s">
        <v>3875</v>
      </c>
      <c r="B1365" s="102">
        <v>46228</v>
      </c>
      <c r="C1365" s="6">
        <v>0.85416666666666696</v>
      </c>
      <c r="D1365" s="1" t="s">
        <v>39</v>
      </c>
      <c r="E1365" s="1" t="s">
        <v>3705</v>
      </c>
      <c r="F1365" s="1" t="s">
        <v>3876</v>
      </c>
      <c r="G1365" s="39" t="s">
        <v>3729</v>
      </c>
      <c r="H1365" s="1">
        <v>1</v>
      </c>
      <c r="I1365" s="1">
        <v>0</v>
      </c>
      <c r="J1365" s="39" t="s">
        <v>3718</v>
      </c>
      <c r="K1365" s="1">
        <v>0</v>
      </c>
      <c r="L1365" s="1">
        <v>1</v>
      </c>
      <c r="S1365" s="1" t="str">
        <f>IF(tblDados[[#This Row],[Mandante]]="","",TEXT(tblDados[[#This Row],[Data]],"aaaa-mm-dd")&amp;"|"&amp;TRIM(tblDados[[#This Row],[Mandante]])&amp;"|"&amp;TRIM(tblDados[[#This Row],[Visitante]]))</f>
        <v>2026-07-25|Orlando City SC|Nashville SC</v>
      </c>
      <c r="T1365">
        <f>IF($G1365="",0,IF(COUNTIF($S$2:$S2853,$S1365)=1,1,0))</f>
        <v>1</v>
      </c>
      <c r="U1365" s="19" t="str">
        <f>IF(tblDados[[#This Row],[Mandante]]="","",IF(COUNTIF(CadastroEquipes,TRIM(tblDados[[#This Row],[Mandante]]))&gt;0,"","⚠ Nome não cadastrado"))</f>
        <v/>
      </c>
      <c r="V1365" s="19" t="str">
        <f>IF(tblDados[[#This Row],[Visitante]]="","",IF(COUNTIF(CadastroEquipes,TRIM(tblDados[[#This Row],[Visitante]]))&gt;0,"","⚠ Nome não cadastrado"))</f>
        <v/>
      </c>
    </row>
    <row r="1366" spans="1:22" ht="14.4" x14ac:dyDescent="0.3">
      <c r="A1366" s="1" t="s">
        <v>3877</v>
      </c>
      <c r="B1366" s="102">
        <v>46225</v>
      </c>
      <c r="C1366" s="6">
        <v>0.89583333333333304</v>
      </c>
      <c r="D1366" s="1" t="s">
        <v>39</v>
      </c>
      <c r="E1366" s="1" t="s">
        <v>3705</v>
      </c>
      <c r="F1366" s="1" t="s">
        <v>3878</v>
      </c>
      <c r="G1366" s="39" t="s">
        <v>3718</v>
      </c>
      <c r="H1366" s="1">
        <v>1</v>
      </c>
      <c r="I1366" s="1">
        <v>0</v>
      </c>
      <c r="J1366" s="39" t="s">
        <v>3726</v>
      </c>
      <c r="K1366" s="1">
        <v>0</v>
      </c>
      <c r="L1366" s="1">
        <v>1</v>
      </c>
      <c r="S1366" s="1" t="str">
        <f>IF(tblDados[[#This Row],[Mandante]]="","",TEXT(tblDados[[#This Row],[Data]],"aaaa-mm-dd")&amp;"|"&amp;TRIM(tblDados[[#This Row],[Mandante]])&amp;"|"&amp;TRIM(tblDados[[#This Row],[Visitante]]))</f>
        <v>2026-07-22|Nashville SC|CF Montréal</v>
      </c>
      <c r="T1366">
        <f>IF($G1366="",0,IF(COUNTIF($S$2:$S2854,$S1366)=1,1,0))</f>
        <v>1</v>
      </c>
      <c r="U1366" s="19" t="str">
        <f>IF(tblDados[[#This Row],[Mandante]]="","",IF(COUNTIF(CadastroEquipes,TRIM(tblDados[[#This Row],[Mandante]]))&gt;0,"","⚠ Nome não cadastrado"))</f>
        <v/>
      </c>
      <c r="V1366" s="19" t="str">
        <f>IF(tblDados[[#This Row],[Visitante]]="","",IF(COUNTIF(CadastroEquipes,TRIM(tblDados[[#This Row],[Visitante]]))&gt;0,"","⚠ Nome não cadastrado"))</f>
        <v/>
      </c>
    </row>
    <row r="1367" spans="1:22" ht="14.4" x14ac:dyDescent="0.3">
      <c r="A1367" s="1" t="s">
        <v>3879</v>
      </c>
      <c r="B1367" s="102">
        <v>46165</v>
      </c>
      <c r="C1367" s="6">
        <v>0.89583333333333304</v>
      </c>
      <c r="D1367" s="1" t="s">
        <v>39</v>
      </c>
      <c r="E1367" s="1" t="s">
        <v>3705</v>
      </c>
      <c r="F1367" s="1" t="s">
        <v>3880</v>
      </c>
      <c r="G1367" s="39" t="s">
        <v>3718</v>
      </c>
      <c r="H1367" s="1">
        <v>2</v>
      </c>
      <c r="I1367" s="1">
        <v>1</v>
      </c>
      <c r="J1367" s="39" t="s">
        <v>3749</v>
      </c>
      <c r="K1367" s="1">
        <v>1</v>
      </c>
      <c r="L1367" s="1">
        <v>2</v>
      </c>
      <c r="S1367" s="1" t="str">
        <f>IF(tblDados[[#This Row],[Mandante]]="","",TEXT(tblDados[[#This Row],[Data]],"aaaa-mm-dd")&amp;"|"&amp;TRIM(tblDados[[#This Row],[Mandante]])&amp;"|"&amp;TRIM(tblDados[[#This Row],[Visitante]]))</f>
        <v>2026-05-23|Nashville SC|New York City FC</v>
      </c>
      <c r="T1367">
        <f>IF($G1367="",0,IF(COUNTIF($S$2:$S2855,$S1367)=1,1,0))</f>
        <v>1</v>
      </c>
      <c r="U1367" s="19" t="str">
        <f>IF(tblDados[[#This Row],[Mandante]]="","",IF(COUNTIF(CadastroEquipes,TRIM(tblDados[[#This Row],[Mandante]]))&gt;0,"","⚠ Nome não cadastrado"))</f>
        <v/>
      </c>
      <c r="V1367" s="19" t="str">
        <f>IF(tblDados[[#This Row],[Visitante]]="","",IF(COUNTIF(CadastroEquipes,TRIM(tblDados[[#This Row],[Visitante]]))&gt;0,"","⚠ Nome não cadastrado"))</f>
        <v/>
      </c>
    </row>
    <row r="1368" spans="1:22" ht="14.4" x14ac:dyDescent="0.3">
      <c r="A1368" s="1" t="s">
        <v>3884</v>
      </c>
      <c r="B1368" s="102">
        <v>46155</v>
      </c>
      <c r="C1368" s="6">
        <v>0.85416666666666696</v>
      </c>
      <c r="D1368" s="1" t="s">
        <v>39</v>
      </c>
      <c r="E1368" s="1" t="s">
        <v>3705</v>
      </c>
      <c r="F1368" s="1" t="s">
        <v>3885</v>
      </c>
      <c r="G1368" s="39" t="s">
        <v>3721</v>
      </c>
      <c r="H1368" s="1">
        <v>0</v>
      </c>
      <c r="I1368" s="1">
        <v>3</v>
      </c>
      <c r="J1368" s="39" t="s">
        <v>3718</v>
      </c>
      <c r="K1368" s="1">
        <v>3</v>
      </c>
      <c r="L1368" s="1">
        <v>0</v>
      </c>
      <c r="S1368" s="1" t="str">
        <f>IF(tblDados[[#This Row],[Mandante]]="","",TEXT(tblDados[[#This Row],[Data]],"aaaa-mm-dd")&amp;"|"&amp;TRIM(tblDados[[#This Row],[Mandante]])&amp;"|"&amp;TRIM(tblDados[[#This Row],[Visitante]]))</f>
        <v>2026-05-13|New England Revolution|Nashville SC</v>
      </c>
      <c r="T1368">
        <f>IF($G1368="",0,IF(COUNTIF($S$2:$S2856,$S1368)=1,1,0))</f>
        <v>1</v>
      </c>
      <c r="U1368" s="19" t="str">
        <f>IF(tblDados[[#This Row],[Mandante]]="","",IF(COUNTIF(CadastroEquipes,TRIM(tblDados[[#This Row],[Mandante]]))&gt;0,"","⚠ Nome não cadastrado"))</f>
        <v/>
      </c>
      <c r="V1368" s="19" t="str">
        <f>IF(tblDados[[#This Row],[Visitante]]="","",IF(COUNTIF(CadastroEquipes,TRIM(tblDados[[#This Row],[Visitante]]))&gt;0,"","⚠ Nome não cadastrado"))</f>
        <v/>
      </c>
    </row>
    <row r="1369" spans="1:22" ht="14.4" x14ac:dyDescent="0.3">
      <c r="A1369" s="1" t="s">
        <v>3886</v>
      </c>
      <c r="B1369" s="102">
        <v>46144</v>
      </c>
      <c r="C1369" s="6">
        <v>0.77083333333333304</v>
      </c>
      <c r="D1369" s="1" t="s">
        <v>39</v>
      </c>
      <c r="E1369" s="1" t="s">
        <v>3705</v>
      </c>
      <c r="F1369" s="1" t="s">
        <v>3887</v>
      </c>
      <c r="G1369" s="39" t="s">
        <v>3741</v>
      </c>
      <c r="H1369" s="1">
        <v>0</v>
      </c>
      <c r="I1369" s="1">
        <v>0</v>
      </c>
      <c r="J1369" s="39" t="s">
        <v>3718</v>
      </c>
      <c r="K1369" s="1">
        <v>0</v>
      </c>
      <c r="L1369" s="1">
        <v>0</v>
      </c>
      <c r="S1369" s="1" t="str">
        <f>IF(tblDados[[#This Row],[Mandante]]="","",TEXT(tblDados[[#This Row],[Data]],"aaaa-mm-dd")&amp;"|"&amp;TRIM(tblDados[[#This Row],[Mandante]])&amp;"|"&amp;TRIM(tblDados[[#This Row],[Visitante]]))</f>
        <v>2026-05-02|Philadelphia Union|Nashville SC</v>
      </c>
      <c r="T1369">
        <f>IF($G1369="",0,IF(COUNTIF($S$2:$S2857,$S1369)=1,1,0))</f>
        <v>1</v>
      </c>
      <c r="U1369" s="19" t="str">
        <f>IF(tblDados[[#This Row],[Mandante]]="","",IF(COUNTIF(CadastroEquipes,TRIM(tblDados[[#This Row],[Mandante]]))&gt;0,"","⚠ Nome não cadastrado"))</f>
        <v/>
      </c>
      <c r="V1369" s="19" t="str">
        <f>IF(tblDados[[#This Row],[Visitante]]="","",IF(COUNTIF(CadastroEquipes,TRIM(tblDados[[#This Row],[Visitante]]))&gt;0,"","⚠ Nome não cadastrado"))</f>
        <v/>
      </c>
    </row>
    <row r="1370" spans="1:22" ht="14.4" x14ac:dyDescent="0.3">
      <c r="A1370" s="1" t="s">
        <v>3890</v>
      </c>
      <c r="B1370" s="102">
        <v>46235</v>
      </c>
      <c r="C1370" s="6">
        <v>0.85416666666666696</v>
      </c>
      <c r="D1370" s="1" t="s">
        <v>39</v>
      </c>
      <c r="E1370" s="1" t="s">
        <v>3705</v>
      </c>
      <c r="F1370" s="1" t="s">
        <v>3891</v>
      </c>
      <c r="G1370" s="39" t="s">
        <v>3726</v>
      </c>
      <c r="H1370" s="1">
        <v>2</v>
      </c>
      <c r="I1370" s="1">
        <v>2</v>
      </c>
      <c r="J1370" s="39" t="s">
        <v>3721</v>
      </c>
      <c r="K1370" s="1">
        <v>2</v>
      </c>
      <c r="L1370" s="1">
        <v>2</v>
      </c>
      <c r="S1370" s="1" t="str">
        <f>IF(tblDados[[#This Row],[Mandante]]="","",TEXT(tblDados[[#This Row],[Data]],"aaaa-mm-dd")&amp;"|"&amp;TRIM(tblDados[[#This Row],[Mandante]])&amp;"|"&amp;TRIM(tblDados[[#This Row],[Visitante]]))</f>
        <v>2026-08-01|CF Montréal|New England Revolution</v>
      </c>
      <c r="T1370">
        <f>IF($G1370="",0,IF(COUNTIF($S$2:$S2858,$S1370)=1,1,0))</f>
        <v>1</v>
      </c>
      <c r="U1370" s="19" t="str">
        <f>IF(tblDados[[#This Row],[Mandante]]="","",IF(COUNTIF(CadastroEquipes,TRIM(tblDados[[#This Row],[Mandante]]))&gt;0,"","⚠ Nome não cadastrado"))</f>
        <v/>
      </c>
      <c r="V1370" s="19" t="str">
        <f>IF(tblDados[[#This Row],[Visitante]]="","",IF(COUNTIF(CadastroEquipes,TRIM(tblDados[[#This Row],[Visitante]]))&gt;0,"","⚠ Nome não cadastrado"))</f>
        <v/>
      </c>
    </row>
    <row r="1371" spans="1:22" ht="14.4" x14ac:dyDescent="0.3">
      <c r="A1371" s="1" t="s">
        <v>3892</v>
      </c>
      <c r="B1371" s="102">
        <v>46225</v>
      </c>
      <c r="C1371" s="6">
        <v>0.85416666666666696</v>
      </c>
      <c r="D1371" s="1" t="s">
        <v>39</v>
      </c>
      <c r="E1371" s="1" t="s">
        <v>3705</v>
      </c>
      <c r="F1371" s="1" t="s">
        <v>3893</v>
      </c>
      <c r="G1371" s="39" t="s">
        <v>3721</v>
      </c>
      <c r="H1371" s="1">
        <v>0</v>
      </c>
      <c r="I1371" s="1">
        <v>0</v>
      </c>
      <c r="J1371" s="39" t="s">
        <v>192</v>
      </c>
      <c r="K1371" s="1">
        <v>0</v>
      </c>
      <c r="L1371" s="1">
        <v>0</v>
      </c>
      <c r="S1371" s="1" t="str">
        <f>IF(tblDados[[#This Row],[Mandante]]="","",TEXT(tblDados[[#This Row],[Data]],"aaaa-mm-dd")&amp;"|"&amp;TRIM(tblDados[[#This Row],[Mandante]])&amp;"|"&amp;TRIM(tblDados[[#This Row],[Visitante]]))</f>
        <v>2026-07-22|New England Revolution|Toronto FC</v>
      </c>
      <c r="T1371">
        <f>IF($G1371="",0,IF(COUNTIF($S$2:$S2859,$S1371)=1,1,0))</f>
        <v>1</v>
      </c>
      <c r="U1371" s="19" t="str">
        <f>IF(tblDados[[#This Row],[Mandante]]="","",IF(COUNTIF(CadastroEquipes,TRIM(tblDados[[#This Row],[Mandante]]))&gt;0,"","⚠ Nome não cadastrado"))</f>
        <v/>
      </c>
      <c r="V1371" s="19" t="str">
        <f>IF(tblDados[[#This Row],[Visitante]]="","",IF(COUNTIF(CadastroEquipes,TRIM(tblDados[[#This Row],[Visitante]]))&gt;0,"","⚠ Nome não cadastrado"))</f>
        <v/>
      </c>
    </row>
    <row r="1372" spans="1:22" ht="14.4" x14ac:dyDescent="0.3">
      <c r="A1372" s="1" t="s">
        <v>3896</v>
      </c>
      <c r="B1372" s="102">
        <v>46151</v>
      </c>
      <c r="C1372" s="6">
        <v>0.85416666666666696</v>
      </c>
      <c r="D1372" s="1" t="s">
        <v>39</v>
      </c>
      <c r="E1372" s="1" t="s">
        <v>3705</v>
      </c>
      <c r="F1372" s="1" t="s">
        <v>3897</v>
      </c>
      <c r="G1372" s="39" t="s">
        <v>3721</v>
      </c>
      <c r="H1372" s="1">
        <v>2</v>
      </c>
      <c r="I1372" s="1">
        <v>1</v>
      </c>
      <c r="J1372" s="39" t="s">
        <v>3741</v>
      </c>
      <c r="K1372" s="1">
        <v>1</v>
      </c>
      <c r="L1372" s="1">
        <v>2</v>
      </c>
      <c r="S1372" s="1" t="str">
        <f>IF(tblDados[[#This Row],[Mandante]]="","",TEXT(tblDados[[#This Row],[Data]],"aaaa-mm-dd")&amp;"|"&amp;TRIM(tblDados[[#This Row],[Mandante]])&amp;"|"&amp;TRIM(tblDados[[#This Row],[Visitante]]))</f>
        <v>2026-05-09|New England Revolution|Philadelphia Union</v>
      </c>
      <c r="T1372">
        <f>IF($G1372="",0,IF(COUNTIF($S$2:$S2860,$S1372)=1,1,0))</f>
        <v>1</v>
      </c>
      <c r="U1372" s="19" t="str">
        <f>IF(tblDados[[#This Row],[Mandante]]="","",IF(COUNTIF(CadastroEquipes,TRIM(tblDados[[#This Row],[Mandante]]))&gt;0,"","⚠ Nome não cadastrado"))</f>
        <v/>
      </c>
      <c r="V1372" s="19" t="str">
        <f>IF(tblDados[[#This Row],[Visitante]]="","",IF(COUNTIF(CadastroEquipes,TRIM(tblDados[[#This Row],[Visitante]]))&gt;0,"","⚠ Nome não cadastrado"))</f>
        <v/>
      </c>
    </row>
    <row r="1373" spans="1:22" ht="14.4" x14ac:dyDescent="0.3">
      <c r="A1373" s="1" t="s">
        <v>3898</v>
      </c>
      <c r="B1373" s="102">
        <v>46219</v>
      </c>
      <c r="C1373" s="6">
        <v>0.85416666666666696</v>
      </c>
      <c r="D1373" s="1" t="s">
        <v>39</v>
      </c>
      <c r="E1373" s="1" t="s">
        <v>3705</v>
      </c>
      <c r="F1373" s="1" t="s">
        <v>3899</v>
      </c>
      <c r="G1373" s="39" t="s">
        <v>3726</v>
      </c>
      <c r="H1373" s="1">
        <v>0</v>
      </c>
      <c r="I1373" s="1">
        <v>0</v>
      </c>
      <c r="J1373" s="39" t="s">
        <v>192</v>
      </c>
      <c r="K1373" s="1">
        <v>0</v>
      </c>
      <c r="L1373" s="1">
        <v>0</v>
      </c>
      <c r="S1373" s="1" t="str">
        <f>IF(tblDados[[#This Row],[Mandante]]="","",TEXT(tblDados[[#This Row],[Data]],"aaaa-mm-dd")&amp;"|"&amp;TRIM(tblDados[[#This Row],[Mandante]])&amp;"|"&amp;TRIM(tblDados[[#This Row],[Visitante]]))</f>
        <v>2026-07-16|CF Montréal|Toronto FC</v>
      </c>
      <c r="T1373">
        <f>IF($G1373="",0,IF(COUNTIF($S$2:$S2861,$S1373)=1,1,0))</f>
        <v>1</v>
      </c>
      <c r="U1373" s="19" t="str">
        <f>IF(tblDados[[#This Row],[Mandante]]="","",IF(COUNTIF(CadastroEquipes,TRIM(tblDados[[#This Row],[Mandante]]))&gt;0,"","⚠ Nome não cadastrado"))</f>
        <v/>
      </c>
      <c r="V1373" s="19" t="str">
        <f>IF(tblDados[[#This Row],[Visitante]]="","",IF(COUNTIF(CadastroEquipes,TRIM(tblDados[[#This Row],[Visitante]]))&gt;0,"","⚠ Nome não cadastrado"))</f>
        <v/>
      </c>
    </row>
    <row r="1374" spans="1:22" ht="14.4" x14ac:dyDescent="0.3">
      <c r="A1374" s="1" t="s">
        <v>3902</v>
      </c>
      <c r="B1374" s="102">
        <v>46151</v>
      </c>
      <c r="C1374" s="6">
        <v>0.85416666666666696</v>
      </c>
      <c r="D1374" s="1" t="s">
        <v>39</v>
      </c>
      <c r="E1374" s="1" t="s">
        <v>3705</v>
      </c>
      <c r="F1374" s="1" t="s">
        <v>3903</v>
      </c>
      <c r="G1374" s="39" t="s">
        <v>3726</v>
      </c>
      <c r="H1374" s="1">
        <v>2</v>
      </c>
      <c r="I1374" s="1">
        <v>0</v>
      </c>
      <c r="J1374" s="39" t="s">
        <v>3729</v>
      </c>
      <c r="K1374" s="1">
        <v>0</v>
      </c>
      <c r="L1374" s="1">
        <v>2</v>
      </c>
      <c r="S1374" s="1" t="str">
        <f>IF(tblDados[[#This Row],[Mandante]]="","",TEXT(tblDados[[#This Row],[Data]],"aaaa-mm-dd")&amp;"|"&amp;TRIM(tblDados[[#This Row],[Mandante]])&amp;"|"&amp;TRIM(tblDados[[#This Row],[Visitante]]))</f>
        <v>2026-05-09|CF Montréal|Orlando City SC</v>
      </c>
      <c r="T1374">
        <f>IF($G1374="",0,IF(COUNTIF($S$2:$S2862,$S1374)=1,1,0))</f>
        <v>1</v>
      </c>
      <c r="U1374" s="19" t="str">
        <f>IF(tblDados[[#This Row],[Mandante]]="","",IF(COUNTIF(CadastroEquipes,TRIM(tblDados[[#This Row],[Mandante]]))&gt;0,"","⚠ Nome não cadastrado"))</f>
        <v/>
      </c>
      <c r="V1374" s="19" t="str">
        <f>IF(tblDados[[#This Row],[Visitante]]="","",IF(COUNTIF(CadastroEquipes,TRIM(tblDados[[#This Row],[Visitante]]))&gt;0,"","⚠ Nome não cadastrado"))</f>
        <v/>
      </c>
    </row>
    <row r="1375" spans="1:22" ht="14.4" x14ac:dyDescent="0.3">
      <c r="A1375" s="1" t="s">
        <v>3904</v>
      </c>
      <c r="B1375" s="102">
        <v>46137</v>
      </c>
      <c r="C1375" s="6">
        <v>0.85416666666666696</v>
      </c>
      <c r="D1375" s="1" t="s">
        <v>39</v>
      </c>
      <c r="E1375" s="1" t="s">
        <v>3705</v>
      </c>
      <c r="F1375" s="1" t="s">
        <v>3905</v>
      </c>
      <c r="G1375" s="39" t="s">
        <v>3726</v>
      </c>
      <c r="H1375" s="1">
        <v>1</v>
      </c>
      <c r="I1375" s="1">
        <v>0</v>
      </c>
      <c r="J1375" s="39" t="s">
        <v>3749</v>
      </c>
      <c r="K1375" s="1">
        <v>0</v>
      </c>
      <c r="L1375" s="1">
        <v>1</v>
      </c>
      <c r="S1375" s="1" t="str">
        <f>IF(tblDados[[#This Row],[Mandante]]="","",TEXT(tblDados[[#This Row],[Data]],"aaaa-mm-dd")&amp;"|"&amp;TRIM(tblDados[[#This Row],[Mandante]])&amp;"|"&amp;TRIM(tblDados[[#This Row],[Visitante]]))</f>
        <v>2026-04-25|CF Montréal|New York City FC</v>
      </c>
      <c r="T1375">
        <f>IF($G1375="",0,IF(COUNTIF($S$2:$S2863,$S1375)=1,1,0))</f>
        <v>1</v>
      </c>
      <c r="U1375" s="19" t="str">
        <f>IF(tblDados[[#This Row],[Mandante]]="","",IF(COUNTIF(CadastroEquipes,TRIM(tblDados[[#This Row],[Mandante]]))&gt;0,"","⚠ Nome não cadastrado"))</f>
        <v/>
      </c>
      <c r="V1375" s="19" t="str">
        <f>IF(tblDados[[#This Row],[Visitante]]="","",IF(COUNTIF(CadastroEquipes,TRIM(tblDados[[#This Row],[Visitante]]))&gt;0,"","⚠ Nome não cadastrado"))</f>
        <v/>
      </c>
    </row>
    <row r="1376" spans="1:22" ht="14.4" x14ac:dyDescent="0.3">
      <c r="A1376" s="1" t="s">
        <v>3906</v>
      </c>
      <c r="B1376" s="102">
        <v>46130</v>
      </c>
      <c r="C1376" s="6">
        <v>0.85416666666666696</v>
      </c>
      <c r="D1376" s="1" t="s">
        <v>39</v>
      </c>
      <c r="E1376" s="1" t="s">
        <v>3705</v>
      </c>
      <c r="F1376" s="1" t="s">
        <v>3907</v>
      </c>
      <c r="G1376" s="39" t="s">
        <v>3726</v>
      </c>
      <c r="H1376" s="1">
        <v>4</v>
      </c>
      <c r="I1376" s="1">
        <v>1</v>
      </c>
      <c r="J1376" s="39" t="s">
        <v>3766</v>
      </c>
      <c r="K1376" s="1">
        <v>1</v>
      </c>
      <c r="L1376" s="1">
        <v>4</v>
      </c>
      <c r="S1376" s="1" t="str">
        <f>IF(tblDados[[#This Row],[Mandante]]="","",TEXT(tblDados[[#This Row],[Data]],"aaaa-mm-dd")&amp;"|"&amp;TRIM(tblDados[[#This Row],[Mandante]])&amp;"|"&amp;TRIM(tblDados[[#This Row],[Visitante]]))</f>
        <v>2026-04-18|CF Montréal|New York Red Bulls</v>
      </c>
      <c r="T1376">
        <f>IF($G1376="",0,IF(COUNTIF($S$2:$S2864,$S1376)=1,1,0))</f>
        <v>1</v>
      </c>
      <c r="U1376" s="19" t="str">
        <f>IF(tblDados[[#This Row],[Mandante]]="","",IF(COUNTIF(CadastroEquipes,TRIM(tblDados[[#This Row],[Mandante]]))&gt;0,"","⚠ Nome não cadastrado"))</f>
        <v/>
      </c>
      <c r="V1376" s="19" t="str">
        <f>IF(tblDados[[#This Row],[Visitante]]="","",IF(COUNTIF(CadastroEquipes,TRIM(tblDados[[#This Row],[Visitante]]))&gt;0,"","⚠ Nome não cadastrado"))</f>
        <v/>
      </c>
    </row>
    <row r="1377" spans="1:22" ht="14.4" x14ac:dyDescent="0.3">
      <c r="A1377" s="1" t="s">
        <v>3908</v>
      </c>
      <c r="B1377" s="102">
        <v>46123</v>
      </c>
      <c r="C1377" s="6">
        <v>0.85416666666666696</v>
      </c>
      <c r="D1377" s="1" t="s">
        <v>39</v>
      </c>
      <c r="E1377" s="1" t="s">
        <v>3705</v>
      </c>
      <c r="F1377" s="1" t="s">
        <v>3909</v>
      </c>
      <c r="G1377" s="39" t="s">
        <v>3726</v>
      </c>
      <c r="H1377" s="1">
        <v>1</v>
      </c>
      <c r="I1377" s="1">
        <v>2</v>
      </c>
      <c r="J1377" s="39" t="s">
        <v>3741</v>
      </c>
      <c r="K1377" s="1">
        <v>2</v>
      </c>
      <c r="L1377" s="1">
        <v>1</v>
      </c>
      <c r="S1377" s="1" t="str">
        <f>IF(tblDados[[#This Row],[Mandante]]="","",TEXT(tblDados[[#This Row],[Data]],"aaaa-mm-dd")&amp;"|"&amp;TRIM(tblDados[[#This Row],[Mandante]])&amp;"|"&amp;TRIM(tblDados[[#This Row],[Visitante]]))</f>
        <v>2026-04-11|CF Montréal|Philadelphia Union</v>
      </c>
      <c r="T1377">
        <f>IF($G1377="",0,IF(COUNTIF($S$2:$S2865,$S1377)=1,1,0))</f>
        <v>1</v>
      </c>
      <c r="U1377" s="19" t="str">
        <f>IF(tblDados[[#This Row],[Mandante]]="","",IF(COUNTIF(CadastroEquipes,TRIM(tblDados[[#This Row],[Mandante]]))&gt;0,"","⚠ Nome não cadastrado"))</f>
        <v/>
      </c>
      <c r="V1377" s="19" t="str">
        <f>IF(tblDados[[#This Row],[Visitante]]="","",IF(COUNTIF(CadastroEquipes,TRIM(tblDados[[#This Row],[Visitante]]))&gt;0,"","⚠ Nome não cadastrado"))</f>
        <v/>
      </c>
    </row>
    <row r="1378" spans="1:22" ht="14.4" x14ac:dyDescent="0.3">
      <c r="A1378" s="1" t="s">
        <v>3911</v>
      </c>
      <c r="B1378" s="102">
        <v>46158</v>
      </c>
      <c r="C1378" s="6">
        <v>0.85416666666666696</v>
      </c>
      <c r="D1378" s="1" t="s">
        <v>39</v>
      </c>
      <c r="E1378" s="1" t="s">
        <v>3705</v>
      </c>
      <c r="F1378" s="1" t="s">
        <v>3912</v>
      </c>
      <c r="G1378" s="39" t="s">
        <v>3766</v>
      </c>
      <c r="H1378" s="1">
        <v>1</v>
      </c>
      <c r="I1378" s="1">
        <v>1</v>
      </c>
      <c r="J1378" s="39" t="s">
        <v>3749</v>
      </c>
      <c r="K1378" s="1">
        <v>1</v>
      </c>
      <c r="L1378" s="1">
        <v>1</v>
      </c>
      <c r="S1378" s="1" t="str">
        <f>IF(tblDados[[#This Row],[Mandante]]="","",TEXT(tblDados[[#This Row],[Data]],"aaaa-mm-dd")&amp;"|"&amp;TRIM(tblDados[[#This Row],[Mandante]])&amp;"|"&amp;TRIM(tblDados[[#This Row],[Visitante]]))</f>
        <v>2026-05-16|New York Red Bulls|New York City FC</v>
      </c>
      <c r="T1378">
        <f>IF($G1378="",0,IF(COUNTIF($S$2:$S2866,$S1378)=1,1,0))</f>
        <v>1</v>
      </c>
      <c r="U1378" s="19" t="str">
        <f>IF(tblDados[[#This Row],[Mandante]]="","",IF(COUNTIF(CadastroEquipes,TRIM(tblDados[[#This Row],[Mandante]]))&gt;0,"","⚠ Nome não cadastrado"))</f>
        <v/>
      </c>
      <c r="V1378" s="19" t="str">
        <f>IF(tblDados[[#This Row],[Visitante]]="","",IF(COUNTIF(CadastroEquipes,TRIM(tblDados[[#This Row],[Visitante]]))&gt;0,"","⚠ Nome não cadastrado"))</f>
        <v/>
      </c>
    </row>
    <row r="1379" spans="1:22" ht="14.4" x14ac:dyDescent="0.3">
      <c r="A1379" s="1" t="s">
        <v>3915</v>
      </c>
      <c r="B1379" s="102">
        <v>46235</v>
      </c>
      <c r="C1379" s="6">
        <v>0.85416666666666696</v>
      </c>
      <c r="D1379" s="1" t="s">
        <v>39</v>
      </c>
      <c r="E1379" s="1" t="s">
        <v>3705</v>
      </c>
      <c r="F1379" s="1" t="s">
        <v>3916</v>
      </c>
      <c r="G1379" s="39" t="s">
        <v>3766</v>
      </c>
      <c r="H1379" s="1">
        <v>3</v>
      </c>
      <c r="I1379" s="1">
        <v>2</v>
      </c>
      <c r="J1379" s="39" t="s">
        <v>3729</v>
      </c>
      <c r="K1379" s="1">
        <v>2</v>
      </c>
      <c r="L1379" s="1">
        <v>3</v>
      </c>
      <c r="S1379" s="1" t="str">
        <f>IF(tblDados[[#This Row],[Mandante]]="","",TEXT(tblDados[[#This Row],[Data]],"aaaa-mm-dd")&amp;"|"&amp;TRIM(tblDados[[#This Row],[Mandante]])&amp;"|"&amp;TRIM(tblDados[[#This Row],[Visitante]]))</f>
        <v>2026-08-01|New York Red Bulls|Orlando City SC</v>
      </c>
      <c r="T1379">
        <f>IF($G1379="",0,IF(COUNTIF($S$2:$S2867,$S1379)=1,1,0))</f>
        <v>1</v>
      </c>
      <c r="U1379" s="19" t="str">
        <f>IF(tblDados[[#This Row],[Mandante]]="","",IF(COUNTIF(CadastroEquipes,TRIM(tblDados[[#This Row],[Mandante]]))&gt;0,"","⚠ Nome não cadastrado"))</f>
        <v/>
      </c>
      <c r="V1379" s="19" t="str">
        <f>IF(tblDados[[#This Row],[Visitante]]="","",IF(COUNTIF(CadastroEquipes,TRIM(tblDados[[#This Row],[Visitante]]))&gt;0,"","⚠ Nome não cadastrado"))</f>
        <v/>
      </c>
    </row>
    <row r="1380" spans="1:22" ht="14.4" x14ac:dyDescent="0.3">
      <c r="A1380" s="1" t="s">
        <v>3917</v>
      </c>
      <c r="B1380" s="102">
        <v>46225</v>
      </c>
      <c r="C1380" s="6">
        <v>0.85416666666666696</v>
      </c>
      <c r="D1380" s="1" t="s">
        <v>39</v>
      </c>
      <c r="E1380" s="1" t="s">
        <v>3705</v>
      </c>
      <c r="F1380" s="1" t="s">
        <v>3918</v>
      </c>
      <c r="G1380" s="39" t="s">
        <v>3741</v>
      </c>
      <c r="H1380" s="1">
        <v>3</v>
      </c>
      <c r="I1380" s="1">
        <v>1</v>
      </c>
      <c r="J1380" s="39" t="s">
        <v>3766</v>
      </c>
      <c r="K1380" s="1">
        <v>1</v>
      </c>
      <c r="L1380" s="1">
        <v>3</v>
      </c>
      <c r="S1380" s="1" t="str">
        <f>IF(tblDados[[#This Row],[Mandante]]="","",TEXT(tblDados[[#This Row],[Data]],"aaaa-mm-dd")&amp;"|"&amp;TRIM(tblDados[[#This Row],[Mandante]])&amp;"|"&amp;TRIM(tblDados[[#This Row],[Visitante]]))</f>
        <v>2026-07-22|Philadelphia Union|New York Red Bulls</v>
      </c>
      <c r="T1380">
        <f>IF($G1380="",0,IF(COUNTIF($S$2:$S2868,$S1380)=1,1,0))</f>
        <v>1</v>
      </c>
      <c r="U1380" s="19" t="str">
        <f>IF(tblDados[[#This Row],[Mandante]]="","",IF(COUNTIF(CadastroEquipes,TRIM(tblDados[[#This Row],[Mandante]]))&gt;0,"","⚠ Nome não cadastrado"))</f>
        <v/>
      </c>
      <c r="V1380" s="19" t="str">
        <f>IF(tblDados[[#This Row],[Visitante]]="","",IF(COUNTIF(CadastroEquipes,TRIM(tblDados[[#This Row],[Visitante]]))&gt;0,"","⚠ Nome não cadastrado"))</f>
        <v/>
      </c>
    </row>
    <row r="1381" spans="1:22" ht="14.4" x14ac:dyDescent="0.3">
      <c r="A1381" s="1" t="s">
        <v>3926</v>
      </c>
      <c r="B1381" s="102">
        <v>46155</v>
      </c>
      <c r="C1381" s="6">
        <v>0.85416666666666696</v>
      </c>
      <c r="D1381" s="1" t="s">
        <v>39</v>
      </c>
      <c r="E1381" s="1" t="s">
        <v>3705</v>
      </c>
      <c r="F1381" s="1" t="s">
        <v>3927</v>
      </c>
      <c r="G1381" s="39" t="s">
        <v>3729</v>
      </c>
      <c r="H1381" s="1">
        <v>4</v>
      </c>
      <c r="I1381" s="1">
        <v>3</v>
      </c>
      <c r="J1381" s="39" t="s">
        <v>3741</v>
      </c>
      <c r="K1381" s="1">
        <v>3</v>
      </c>
      <c r="L1381" s="1">
        <v>4</v>
      </c>
      <c r="S1381" s="1" t="str">
        <f>IF(tblDados[[#This Row],[Mandante]]="","",TEXT(tblDados[[#This Row],[Data]],"aaaa-mm-dd")&amp;"|"&amp;TRIM(tblDados[[#This Row],[Mandante]])&amp;"|"&amp;TRIM(tblDados[[#This Row],[Visitante]]))</f>
        <v>2026-05-13|Orlando City SC|Philadelphia Union</v>
      </c>
      <c r="T1381">
        <f>IF($G1381="",0,IF(COUNTIF($S$2:$S2869,$S1381)=1,1,0))</f>
        <v>1</v>
      </c>
      <c r="U1381" s="19" t="str">
        <f>IF(tblDados[[#This Row],[Mandante]]="","",IF(COUNTIF(CadastroEquipes,TRIM(tblDados[[#This Row],[Mandante]]))&gt;0,"","⚠ Nome não cadastrado"))</f>
        <v/>
      </c>
      <c r="V1381" s="19" t="str">
        <f>IF(tblDados[[#This Row],[Visitante]]="","",IF(COUNTIF(CadastroEquipes,TRIM(tblDados[[#This Row],[Visitante]]))&gt;0,"","⚠ Nome não cadastrado"))</f>
        <v/>
      </c>
    </row>
    <row r="1382" spans="1:22" ht="14.4" x14ac:dyDescent="0.3">
      <c r="A1382" s="1" t="s">
        <v>3933</v>
      </c>
      <c r="B1382" s="102">
        <v>46134</v>
      </c>
      <c r="C1382" s="6">
        <v>0.85416666666666696</v>
      </c>
      <c r="D1382" s="1" t="s">
        <v>39</v>
      </c>
      <c r="E1382" s="1" t="s">
        <v>3705</v>
      </c>
      <c r="F1382" s="1" t="s">
        <v>3934</v>
      </c>
      <c r="G1382" s="39" t="s">
        <v>192</v>
      </c>
      <c r="H1382" s="1">
        <v>3</v>
      </c>
      <c r="I1382" s="1">
        <v>3</v>
      </c>
      <c r="J1382" s="39" t="s">
        <v>3741</v>
      </c>
      <c r="K1382" s="1">
        <v>3</v>
      </c>
      <c r="L1382" s="1">
        <v>3</v>
      </c>
      <c r="S1382" s="1" t="str">
        <f>IF(tblDados[[#This Row],[Mandante]]="","",TEXT(tblDados[[#This Row],[Data]],"aaaa-mm-dd")&amp;"|"&amp;TRIM(tblDados[[#This Row],[Mandante]])&amp;"|"&amp;TRIM(tblDados[[#This Row],[Visitante]]))</f>
        <v>2026-04-22|Toronto FC|Philadelphia Union</v>
      </c>
      <c r="T1382">
        <f>IF($G1382="",0,IF(COUNTIF($S$2:$S2870,$S1382)=1,1,0))</f>
        <v>1</v>
      </c>
      <c r="U1382" s="19" t="str">
        <f>IF(tblDados[[#This Row],[Mandante]]="","",IF(COUNTIF(CadastroEquipes,TRIM(tblDados[[#This Row],[Mandante]]))&gt;0,"","⚠ Nome não cadastrado"))</f>
        <v/>
      </c>
      <c r="V1382" s="19" t="str">
        <f>IF(tblDados[[#This Row],[Visitante]]="","",IF(COUNTIF(CadastroEquipes,TRIM(tblDados[[#This Row],[Visitante]]))&gt;0,"","⚠ Nome não cadastrado"))</f>
        <v/>
      </c>
    </row>
    <row r="1383" spans="1:22" ht="14.4" x14ac:dyDescent="0.3">
      <c r="A1383" s="1" t="s">
        <v>3940</v>
      </c>
      <c r="B1383" s="102">
        <v>46235</v>
      </c>
      <c r="C1383" s="6">
        <v>0.9375</v>
      </c>
      <c r="D1383" s="1" t="s">
        <v>39</v>
      </c>
      <c r="E1383" s="1" t="s">
        <v>3707</v>
      </c>
      <c r="F1383" s="1" t="s">
        <v>3941</v>
      </c>
      <c r="G1383" s="39" t="s">
        <v>3872</v>
      </c>
      <c r="H1383" s="1">
        <v>1</v>
      </c>
      <c r="I1383" s="1">
        <v>0</v>
      </c>
      <c r="J1383" s="39" t="s">
        <v>3939</v>
      </c>
      <c r="K1383" s="1">
        <v>0</v>
      </c>
      <c r="L1383" s="1">
        <v>1</v>
      </c>
      <c r="S1383" s="1" t="str">
        <f>IF(tblDados[[#This Row],[Mandante]]="","",TEXT(tblDados[[#This Row],[Data]],"aaaa-mm-dd")&amp;"|"&amp;TRIM(tblDados[[#This Row],[Mandante]])&amp;"|"&amp;TRIM(tblDados[[#This Row],[Visitante]]))</f>
        <v>2026-08-01|Colorado Rapids|Austin FC</v>
      </c>
      <c r="T1383">
        <f>IF($G1383="",0,IF(COUNTIF($S$2:$S2871,$S1383)=1,1,0))</f>
        <v>1</v>
      </c>
      <c r="U1383" s="19" t="str">
        <f>IF(tblDados[[#This Row],[Mandante]]="","",IF(COUNTIF(CadastroEquipes,TRIM(tblDados[[#This Row],[Mandante]]))&gt;0,"","⚠ Nome não cadastrado"))</f>
        <v/>
      </c>
      <c r="V1383" s="19" t="str">
        <f>IF(tblDados[[#This Row],[Visitante]]="","",IF(COUNTIF(CadastroEquipes,TRIM(tblDados[[#This Row],[Visitante]]))&gt;0,"","⚠ Nome não cadastrado"))</f>
        <v/>
      </c>
    </row>
    <row r="1384" spans="1:22" ht="14.4" x14ac:dyDescent="0.3">
      <c r="A1384" s="1" t="s">
        <v>3942</v>
      </c>
      <c r="B1384" s="102">
        <v>46228</v>
      </c>
      <c r="C1384" s="6">
        <v>0.89583333333333304</v>
      </c>
      <c r="D1384" s="1" t="s">
        <v>39</v>
      </c>
      <c r="E1384" s="1" t="s">
        <v>3707</v>
      </c>
      <c r="F1384" s="1" t="s">
        <v>3943</v>
      </c>
      <c r="G1384" s="39" t="s">
        <v>3836</v>
      </c>
      <c r="H1384" s="1">
        <v>3</v>
      </c>
      <c r="I1384" s="1">
        <v>0</v>
      </c>
      <c r="J1384" s="39" t="s">
        <v>3939</v>
      </c>
      <c r="K1384" s="1">
        <v>0</v>
      </c>
      <c r="L1384" s="1">
        <v>3</v>
      </c>
      <c r="S1384" s="1" t="str">
        <f>IF(tblDados[[#This Row],[Mandante]]="","",TEXT(tblDados[[#This Row],[Data]],"aaaa-mm-dd")&amp;"|"&amp;TRIM(tblDados[[#This Row],[Mandante]])&amp;"|"&amp;TRIM(tblDados[[#This Row],[Visitante]]))</f>
        <v>2026-07-25|Houston Dynamo FC|Austin FC</v>
      </c>
      <c r="T1384">
        <f>IF($G1384="",0,IF(COUNTIF($S$2:$S2872,$S1384)=1,1,0))</f>
        <v>1</v>
      </c>
      <c r="U1384" s="19" t="str">
        <f>IF(tblDados[[#This Row],[Mandante]]="","",IF(COUNTIF(CadastroEquipes,TRIM(tblDados[[#This Row],[Mandante]]))&gt;0,"","⚠ Nome não cadastrado"))</f>
        <v/>
      </c>
      <c r="V1384" s="19" t="str">
        <f>IF(tblDados[[#This Row],[Visitante]]="","",IF(COUNTIF(CadastroEquipes,TRIM(tblDados[[#This Row],[Visitante]]))&gt;0,"","⚠ Nome não cadastrado"))</f>
        <v/>
      </c>
    </row>
    <row r="1385" spans="1:22" ht="14.4" x14ac:dyDescent="0.3">
      <c r="A1385" s="1" t="s">
        <v>3944</v>
      </c>
      <c r="B1385" s="102">
        <v>46225</v>
      </c>
      <c r="C1385" s="6">
        <v>0.89583333333333304</v>
      </c>
      <c r="D1385" s="1" t="s">
        <v>39</v>
      </c>
      <c r="E1385" s="1" t="s">
        <v>3707</v>
      </c>
      <c r="F1385" s="1" t="s">
        <v>3945</v>
      </c>
      <c r="G1385" s="39" t="s">
        <v>3939</v>
      </c>
      <c r="H1385" s="1">
        <v>3</v>
      </c>
      <c r="I1385" s="1">
        <v>1</v>
      </c>
      <c r="J1385" s="39" t="s">
        <v>3932</v>
      </c>
      <c r="K1385" s="1">
        <v>1</v>
      </c>
      <c r="L1385" s="1">
        <v>3</v>
      </c>
      <c r="S1385" s="1" t="str">
        <f>IF(tblDados[[#This Row],[Mandante]]="","",TEXT(tblDados[[#This Row],[Data]],"aaaa-mm-dd")&amp;"|"&amp;TRIM(tblDados[[#This Row],[Mandante]])&amp;"|"&amp;TRIM(tblDados[[#This Row],[Visitante]]))</f>
        <v>2026-07-22|Austin FC|Seattle Sounders FC</v>
      </c>
      <c r="T1385">
        <f>IF($G1385="",0,IF(COUNTIF($S$2:$S2873,$S1385)=1,1,0))</f>
        <v>1</v>
      </c>
      <c r="U1385" s="19" t="str">
        <f>IF(tblDados[[#This Row],[Mandante]]="","",IF(COUNTIF(CadastroEquipes,TRIM(tblDados[[#This Row],[Mandante]]))&gt;0,"","⚠ Nome não cadastrado"))</f>
        <v/>
      </c>
      <c r="V1385" s="19" t="str">
        <f>IF(tblDados[[#This Row],[Visitante]]="","",IF(COUNTIF(CadastroEquipes,TRIM(tblDados[[#This Row],[Visitante]]))&gt;0,"","⚠ Nome não cadastrado"))</f>
        <v/>
      </c>
    </row>
    <row r="1386" spans="1:22" ht="14.4" x14ac:dyDescent="0.3">
      <c r="A1386" s="1" t="s">
        <v>3946</v>
      </c>
      <c r="B1386" s="102">
        <v>46165</v>
      </c>
      <c r="C1386" s="6">
        <v>0.85416666666666696</v>
      </c>
      <c r="D1386" s="1" t="s">
        <v>39</v>
      </c>
      <c r="E1386" s="1" t="s">
        <v>3707</v>
      </c>
      <c r="F1386" s="1" t="s">
        <v>3947</v>
      </c>
      <c r="G1386" s="39" t="s">
        <v>3841</v>
      </c>
      <c r="H1386" s="1">
        <v>3</v>
      </c>
      <c r="I1386" s="1">
        <v>0</v>
      </c>
      <c r="J1386" s="39" t="s">
        <v>3939</v>
      </c>
      <c r="K1386" s="1">
        <v>0</v>
      </c>
      <c r="L1386" s="1">
        <v>3</v>
      </c>
      <c r="S1386" s="1" t="str">
        <f>IF(tblDados[[#This Row],[Mandante]]="","",TEXT(tblDados[[#This Row],[Data]],"aaaa-mm-dd")&amp;"|"&amp;TRIM(tblDados[[#This Row],[Mandante]])&amp;"|"&amp;TRIM(tblDados[[#This Row],[Visitante]]))</f>
        <v>2026-05-23|St. Louis CITY SC|Austin FC</v>
      </c>
      <c r="T1386">
        <f>IF($G1386="",0,IF(COUNTIF($S$2:$S2874,$S1386)=1,1,0))</f>
        <v>1</v>
      </c>
      <c r="U1386" s="19" t="str">
        <f>IF(tblDados[[#This Row],[Mandante]]="","",IF(COUNTIF(CadastroEquipes,TRIM(tblDados[[#This Row],[Mandante]]))&gt;0,"","⚠ Nome não cadastrado"))</f>
        <v/>
      </c>
      <c r="V1386" s="19" t="str">
        <f>IF(tblDados[[#This Row],[Visitante]]="","",IF(COUNTIF(CadastroEquipes,TRIM(tblDados[[#This Row],[Visitante]]))&gt;0,"","⚠ Nome não cadastrado"))</f>
        <v/>
      </c>
    </row>
    <row r="1387" spans="1:22" ht="14.4" x14ac:dyDescent="0.3">
      <c r="A1387" s="1" t="s">
        <v>3948</v>
      </c>
      <c r="B1387" s="102">
        <v>46158</v>
      </c>
      <c r="C1387" s="6">
        <v>0.89583333333333304</v>
      </c>
      <c r="D1387" s="1" t="s">
        <v>39</v>
      </c>
      <c r="E1387" s="1" t="s">
        <v>3707</v>
      </c>
      <c r="F1387" s="1" t="s">
        <v>3949</v>
      </c>
      <c r="G1387" s="39" t="s">
        <v>3939</v>
      </c>
      <c r="H1387" s="1">
        <v>1</v>
      </c>
      <c r="I1387" s="1">
        <v>2</v>
      </c>
      <c r="J1387" s="39" t="s">
        <v>3792</v>
      </c>
      <c r="K1387" s="1">
        <v>2</v>
      </c>
      <c r="L1387" s="1">
        <v>1</v>
      </c>
      <c r="S1387" s="1" t="str">
        <f>IF(tblDados[[#This Row],[Mandante]]="","",TEXT(tblDados[[#This Row],[Data]],"aaaa-mm-dd")&amp;"|"&amp;TRIM(tblDados[[#This Row],[Mandante]])&amp;"|"&amp;TRIM(tblDados[[#This Row],[Visitante]]))</f>
        <v>2026-05-16|Austin FC|Sporting Kansas City</v>
      </c>
      <c r="T1387">
        <f>IF($G1387="",0,IF(COUNTIF($S$2:$S2875,$S1387)=1,1,0))</f>
        <v>1</v>
      </c>
      <c r="U1387" s="19" t="str">
        <f>IF(tblDados[[#This Row],[Mandante]]="","",IF(COUNTIF(CadastroEquipes,TRIM(tblDados[[#This Row],[Mandante]]))&gt;0,"","⚠ Nome não cadastrado"))</f>
        <v/>
      </c>
      <c r="V1387" s="19" t="str">
        <f>IF(tblDados[[#This Row],[Visitante]]="","",IF(COUNTIF(CadastroEquipes,TRIM(tblDados[[#This Row],[Visitante]]))&gt;0,"","⚠ Nome não cadastrado"))</f>
        <v/>
      </c>
    </row>
    <row r="1388" spans="1:22" ht="14.4" x14ac:dyDescent="0.3">
      <c r="A1388" s="1" t="s">
        <v>3950</v>
      </c>
      <c r="B1388" s="102">
        <v>46155</v>
      </c>
      <c r="C1388" s="6">
        <v>0.97916666666666696</v>
      </c>
      <c r="D1388" s="1" t="s">
        <v>39</v>
      </c>
      <c r="E1388" s="1" t="s">
        <v>3707</v>
      </c>
      <c r="F1388" s="1" t="s">
        <v>3951</v>
      </c>
      <c r="G1388" s="39" t="s">
        <v>3807</v>
      </c>
      <c r="H1388" s="1">
        <v>5</v>
      </c>
      <c r="I1388" s="1">
        <v>0</v>
      </c>
      <c r="J1388" s="39" t="s">
        <v>3939</v>
      </c>
      <c r="K1388" s="1">
        <v>0</v>
      </c>
      <c r="L1388" s="1">
        <v>5</v>
      </c>
      <c r="S1388" s="1" t="str">
        <f>IF(tblDados[[#This Row],[Mandante]]="","",TEXT(tblDados[[#This Row],[Data]],"aaaa-mm-dd")&amp;"|"&amp;TRIM(tblDados[[#This Row],[Mandante]])&amp;"|"&amp;TRIM(tblDados[[#This Row],[Visitante]]))</f>
        <v>2026-05-13|San Diego FC|Austin FC</v>
      </c>
      <c r="T1388">
        <f>IF($G1388="",0,IF(COUNTIF($S$2:$S2876,$S1388)=1,1,0))</f>
        <v>1</v>
      </c>
      <c r="U1388" s="19" t="str">
        <f>IF(tblDados[[#This Row],[Mandante]]="","",IF(COUNTIF(CadastroEquipes,TRIM(tblDados[[#This Row],[Mandante]]))&gt;0,"","⚠ Nome não cadastrado"))</f>
        <v/>
      </c>
      <c r="V1388" s="19" t="str">
        <f>IF(tblDados[[#This Row],[Visitante]]="","",IF(COUNTIF(CadastroEquipes,TRIM(tblDados[[#This Row],[Visitante]]))&gt;0,"","⚠ Nome não cadastrado"))</f>
        <v/>
      </c>
    </row>
    <row r="1389" spans="1:22" ht="14.4" x14ac:dyDescent="0.3">
      <c r="A1389" s="1" t="s">
        <v>3952</v>
      </c>
      <c r="B1389" s="102">
        <v>46152</v>
      </c>
      <c r="C1389" s="6">
        <v>0.83333333333333304</v>
      </c>
      <c r="D1389" s="1" t="s">
        <v>39</v>
      </c>
      <c r="E1389" s="1" t="s">
        <v>3707</v>
      </c>
      <c r="F1389" s="1" t="s">
        <v>3953</v>
      </c>
      <c r="G1389" s="39" t="s">
        <v>3821</v>
      </c>
      <c r="H1389" s="1">
        <v>2</v>
      </c>
      <c r="I1389" s="1">
        <v>2</v>
      </c>
      <c r="J1389" s="39" t="s">
        <v>3939</v>
      </c>
      <c r="K1389" s="1">
        <v>2</v>
      </c>
      <c r="L1389" s="1">
        <v>2</v>
      </c>
      <c r="S1389" s="1" t="str">
        <f>IF(tblDados[[#This Row],[Mandante]]="","",TEXT(tblDados[[#This Row],[Data]],"aaaa-mm-dd")&amp;"|"&amp;TRIM(tblDados[[#This Row],[Mandante]])&amp;"|"&amp;TRIM(tblDados[[#This Row],[Visitante]]))</f>
        <v>2026-05-10|Minnesota United FC|Austin FC</v>
      </c>
      <c r="T1389">
        <f>IF($G1389="",0,IF(COUNTIF($S$2:$S2877,$S1389)=1,1,0))</f>
        <v>1</v>
      </c>
      <c r="U1389" s="19" t="str">
        <f>IF(tblDados[[#This Row],[Mandante]]="","",IF(COUNTIF(CadastroEquipes,TRIM(tblDados[[#This Row],[Mandante]]))&gt;0,"","⚠ Nome não cadastrado"))</f>
        <v/>
      </c>
      <c r="V1389" s="19" t="str">
        <f>IF(tblDados[[#This Row],[Visitante]]="","",IF(COUNTIF(CadastroEquipes,TRIM(tblDados[[#This Row],[Visitante]]))&gt;0,"","⚠ Nome não cadastrado"))</f>
        <v/>
      </c>
    </row>
    <row r="1390" spans="1:22" ht="14.4" x14ac:dyDescent="0.3">
      <c r="A1390" s="1" t="s">
        <v>3954</v>
      </c>
      <c r="B1390" s="102">
        <v>46145</v>
      </c>
      <c r="C1390" s="6">
        <v>0.83333333333333304</v>
      </c>
      <c r="D1390" s="1" t="s">
        <v>39</v>
      </c>
      <c r="E1390" s="1" t="s">
        <v>3707</v>
      </c>
      <c r="F1390" s="1" t="s">
        <v>3955</v>
      </c>
      <c r="G1390" s="39" t="s">
        <v>3939</v>
      </c>
      <c r="H1390" s="1">
        <v>2</v>
      </c>
      <c r="I1390" s="1">
        <v>0</v>
      </c>
      <c r="J1390" s="39" t="s">
        <v>3841</v>
      </c>
      <c r="K1390" s="1">
        <v>0</v>
      </c>
      <c r="L1390" s="1">
        <v>2</v>
      </c>
      <c r="S1390" s="1" t="str">
        <f>IF(tblDados[[#This Row],[Mandante]]="","",TEXT(tblDados[[#This Row],[Data]],"aaaa-mm-dd")&amp;"|"&amp;TRIM(tblDados[[#This Row],[Mandante]])&amp;"|"&amp;TRIM(tblDados[[#This Row],[Visitante]]))</f>
        <v>2026-05-03|Austin FC|St. Louis CITY SC</v>
      </c>
      <c r="T1390">
        <f>IF($G1390="",0,IF(COUNTIF($S$2:$S2878,$S1390)=1,1,0))</f>
        <v>1</v>
      </c>
      <c r="U1390" s="19" t="str">
        <f>IF(tblDados[[#This Row],[Mandante]]="","",IF(COUNTIF(CadastroEquipes,TRIM(tblDados[[#This Row],[Mandante]]))&gt;0,"","⚠ Nome não cadastrado"))</f>
        <v/>
      </c>
      <c r="V1390" s="19" t="str">
        <f>IF(tblDados[[#This Row],[Visitante]]="","",IF(COUNTIF(CadastroEquipes,TRIM(tblDados[[#This Row],[Visitante]]))&gt;0,"","⚠ Nome não cadastrado"))</f>
        <v/>
      </c>
    </row>
    <row r="1391" spans="1:22" ht="14.4" x14ac:dyDescent="0.3">
      <c r="A1391" s="1" t="s">
        <v>3956</v>
      </c>
      <c r="B1391" s="102">
        <v>46137</v>
      </c>
      <c r="C1391" s="6">
        <v>0.89583333333333304</v>
      </c>
      <c r="D1391" s="1" t="s">
        <v>39</v>
      </c>
      <c r="E1391" s="1" t="s">
        <v>3707</v>
      </c>
      <c r="F1391" s="1" t="s">
        <v>3957</v>
      </c>
      <c r="G1391" s="39" t="s">
        <v>3939</v>
      </c>
      <c r="H1391" s="1">
        <v>2</v>
      </c>
      <c r="I1391" s="1">
        <v>0</v>
      </c>
      <c r="J1391" s="39" t="s">
        <v>3836</v>
      </c>
      <c r="K1391" s="1">
        <v>0</v>
      </c>
      <c r="L1391" s="1">
        <v>2</v>
      </c>
      <c r="S1391" s="1" t="str">
        <f>IF(tblDados[[#This Row],[Mandante]]="","",TEXT(tblDados[[#This Row],[Data]],"aaaa-mm-dd")&amp;"|"&amp;TRIM(tblDados[[#This Row],[Mandante]])&amp;"|"&amp;TRIM(tblDados[[#This Row],[Visitante]]))</f>
        <v>2026-04-25|Austin FC|Houston Dynamo FC</v>
      </c>
      <c r="T1391">
        <f>IF($G1391="",0,IF(COUNTIF($S$2:$S2879,$S1391)=1,1,0))</f>
        <v>1</v>
      </c>
      <c r="U1391" s="19" t="str">
        <f>IF(tblDados[[#This Row],[Mandante]]="","",IF(COUNTIF(CadastroEquipes,TRIM(tblDados[[#This Row],[Mandante]]))&gt;0,"","⚠ Nome não cadastrado"))</f>
        <v/>
      </c>
      <c r="V1391" s="19" t="str">
        <f>IF(tblDados[[#This Row],[Visitante]]="","",IF(COUNTIF(CadastroEquipes,TRIM(tblDados[[#This Row],[Visitante]]))&gt;0,"","⚠ Nome não cadastrado"))</f>
        <v/>
      </c>
    </row>
    <row r="1392" spans="1:22" ht="14.4" x14ac:dyDescent="0.3">
      <c r="A1392" s="1" t="s">
        <v>3958</v>
      </c>
      <c r="B1392" s="102">
        <v>46134</v>
      </c>
      <c r="C1392" s="6">
        <v>0.97916666666666696</v>
      </c>
      <c r="D1392" s="1" t="s">
        <v>39</v>
      </c>
      <c r="E1392" s="1" t="s">
        <v>3707</v>
      </c>
      <c r="F1392" s="1" t="s">
        <v>3959</v>
      </c>
      <c r="G1392" s="39" t="s">
        <v>241</v>
      </c>
      <c r="H1392" s="1">
        <v>5</v>
      </c>
      <c r="I1392" s="1">
        <v>1</v>
      </c>
      <c r="J1392" s="39" t="s">
        <v>3939</v>
      </c>
      <c r="K1392" s="1">
        <v>1</v>
      </c>
      <c r="L1392" s="1">
        <v>5</v>
      </c>
      <c r="S1392" s="1" t="str">
        <f>IF(tblDados[[#This Row],[Mandante]]="","",TEXT(tblDados[[#This Row],[Data]],"aaaa-mm-dd")&amp;"|"&amp;TRIM(tblDados[[#This Row],[Mandante]])&amp;"|"&amp;TRIM(tblDados[[#This Row],[Visitante]]))</f>
        <v>2026-04-22|San Jose Earthquakes|Austin FC</v>
      </c>
      <c r="T1392">
        <f>IF($G1392="",0,IF(COUNTIF($S$2:$S2880,$S1392)=1,1,0))</f>
        <v>1</v>
      </c>
      <c r="U1392" s="19" t="str">
        <f>IF(tblDados[[#This Row],[Mandante]]="","",IF(COUNTIF(CadastroEquipes,TRIM(tblDados[[#This Row],[Mandante]]))&gt;0,"","⚠ Nome não cadastrado"))</f>
        <v/>
      </c>
      <c r="V1392" s="19" t="str">
        <f>IF(tblDados[[#This Row],[Visitante]]="","",IF(COUNTIF(CadastroEquipes,TRIM(tblDados[[#This Row],[Visitante]]))&gt;0,"","⚠ Nome não cadastrado"))</f>
        <v/>
      </c>
    </row>
    <row r="1393" spans="1:22" ht="14.4" x14ac:dyDescent="0.3">
      <c r="A1393" s="1" t="s">
        <v>3962</v>
      </c>
      <c r="B1393" s="102">
        <v>46228</v>
      </c>
      <c r="C1393" s="6">
        <v>0.89583333333333304</v>
      </c>
      <c r="D1393" s="1" t="s">
        <v>39</v>
      </c>
      <c r="E1393" s="1" t="s">
        <v>3707</v>
      </c>
      <c r="F1393" s="1" t="s">
        <v>3963</v>
      </c>
      <c r="G1393" s="39" t="s">
        <v>3841</v>
      </c>
      <c r="H1393" s="1">
        <v>1</v>
      </c>
      <c r="I1393" s="1">
        <v>0</v>
      </c>
      <c r="J1393" s="39" t="s">
        <v>3872</v>
      </c>
      <c r="K1393" s="1">
        <v>0</v>
      </c>
      <c r="L1393" s="1">
        <v>1</v>
      </c>
      <c r="S1393" s="1" t="str">
        <f>IF(tblDados[[#This Row],[Mandante]]="","",TEXT(tblDados[[#This Row],[Data]],"aaaa-mm-dd")&amp;"|"&amp;TRIM(tblDados[[#This Row],[Mandante]])&amp;"|"&amp;TRIM(tblDados[[#This Row],[Visitante]]))</f>
        <v>2026-07-25|St. Louis CITY SC|Colorado Rapids</v>
      </c>
      <c r="T1393">
        <f>IF($G1393="",0,IF(COUNTIF($S$2:$S2881,$S1393)=1,1,0))</f>
        <v>1</v>
      </c>
      <c r="U1393" s="19" t="str">
        <f>IF(tblDados[[#This Row],[Mandante]]="","",IF(COUNTIF(CadastroEquipes,TRIM(tblDados[[#This Row],[Mandante]]))&gt;0,"","⚠ Nome não cadastrado"))</f>
        <v/>
      </c>
      <c r="V1393" s="19" t="str">
        <f>IF(tblDados[[#This Row],[Visitante]]="","",IF(COUNTIF(CadastroEquipes,TRIM(tblDados[[#This Row],[Visitante]]))&gt;0,"","⚠ Nome não cadastrado"))</f>
        <v/>
      </c>
    </row>
    <row r="1394" spans="1:22" ht="14.4" x14ac:dyDescent="0.3">
      <c r="A1394" s="1" t="s">
        <v>3964</v>
      </c>
      <c r="B1394" s="102">
        <v>46225</v>
      </c>
      <c r="C1394" s="6">
        <v>0.9375</v>
      </c>
      <c r="D1394" s="1" t="s">
        <v>39</v>
      </c>
      <c r="E1394" s="1" t="s">
        <v>3707</v>
      </c>
      <c r="F1394" s="1" t="s">
        <v>3965</v>
      </c>
      <c r="G1394" s="39" t="s">
        <v>3872</v>
      </c>
      <c r="H1394" s="1">
        <v>1</v>
      </c>
      <c r="I1394" s="1">
        <v>0</v>
      </c>
      <c r="J1394" s="39" t="s">
        <v>3807</v>
      </c>
      <c r="K1394" s="1">
        <v>0</v>
      </c>
      <c r="L1394" s="1">
        <v>1</v>
      </c>
      <c r="S1394" s="1" t="str">
        <f>IF(tblDados[[#This Row],[Mandante]]="","",TEXT(tblDados[[#This Row],[Data]],"aaaa-mm-dd")&amp;"|"&amp;TRIM(tblDados[[#This Row],[Mandante]])&amp;"|"&amp;TRIM(tblDados[[#This Row],[Visitante]]))</f>
        <v>2026-07-22|Colorado Rapids|San Diego FC</v>
      </c>
      <c r="T1394">
        <f>IF($G1394="",0,IF(COUNTIF($S$2:$S2882,$S1394)=1,1,0))</f>
        <v>1</v>
      </c>
      <c r="U1394" s="19" t="str">
        <f>IF(tblDados[[#This Row],[Mandante]]="","",IF(COUNTIF(CadastroEquipes,TRIM(tblDados[[#This Row],[Mandante]]))&gt;0,"","⚠ Nome não cadastrado"))</f>
        <v/>
      </c>
      <c r="V1394" s="19" t="str">
        <f>IF(tblDados[[#This Row],[Visitante]]="","",IF(COUNTIF(CadastroEquipes,TRIM(tblDados[[#This Row],[Visitante]]))&gt;0,"","⚠ Nome não cadastrado"))</f>
        <v/>
      </c>
    </row>
    <row r="1395" spans="1:22" ht="14.4" x14ac:dyDescent="0.3">
      <c r="A1395" s="1" t="s">
        <v>3966</v>
      </c>
      <c r="B1395" s="102">
        <v>46165</v>
      </c>
      <c r="C1395" s="6">
        <v>0.9375</v>
      </c>
      <c r="D1395" s="1" t="s">
        <v>39</v>
      </c>
      <c r="E1395" s="1" t="s">
        <v>3707</v>
      </c>
      <c r="F1395" s="1" t="s">
        <v>3967</v>
      </c>
      <c r="G1395" s="39" t="s">
        <v>3872</v>
      </c>
      <c r="H1395" s="1">
        <v>1</v>
      </c>
      <c r="I1395" s="1">
        <v>2</v>
      </c>
      <c r="J1395" s="39" t="s">
        <v>3923</v>
      </c>
      <c r="K1395" s="1">
        <v>2</v>
      </c>
      <c r="L1395" s="1">
        <v>1</v>
      </c>
      <c r="S1395" s="1" t="str">
        <f>IF(tblDados[[#This Row],[Mandante]]="","",TEXT(tblDados[[#This Row],[Data]],"aaaa-mm-dd")&amp;"|"&amp;TRIM(tblDados[[#This Row],[Mandante]])&amp;"|"&amp;TRIM(tblDados[[#This Row],[Visitante]]))</f>
        <v>2026-05-23|Colorado Rapids|FC Dallas</v>
      </c>
      <c r="T1395">
        <f>IF($G1395="",0,IF(COUNTIF($S$2:$S2883,$S1395)=1,1,0))</f>
        <v>1</v>
      </c>
      <c r="U1395" s="19" t="str">
        <f>IF(tblDados[[#This Row],[Mandante]]="","",IF(COUNTIF(CadastroEquipes,TRIM(tblDados[[#This Row],[Mandante]]))&gt;0,"","⚠ Nome não cadastrado"))</f>
        <v/>
      </c>
      <c r="V1395" s="19" t="str">
        <f>IF(tblDados[[#This Row],[Visitante]]="","",IF(COUNTIF(CadastroEquipes,TRIM(tblDados[[#This Row],[Visitante]]))&gt;0,"","⚠ Nome não cadastrado"))</f>
        <v/>
      </c>
    </row>
    <row r="1396" spans="1:22" ht="14.4" x14ac:dyDescent="0.3">
      <c r="A1396" s="1" t="s">
        <v>3968</v>
      </c>
      <c r="B1396" s="102">
        <v>46158</v>
      </c>
      <c r="C1396" s="6">
        <v>0.9375</v>
      </c>
      <c r="D1396" s="1" t="s">
        <v>39</v>
      </c>
      <c r="E1396" s="1" t="s">
        <v>3707</v>
      </c>
      <c r="F1396" s="1" t="s">
        <v>3969</v>
      </c>
      <c r="G1396" s="39" t="s">
        <v>3869</v>
      </c>
      <c r="H1396" s="1">
        <v>2</v>
      </c>
      <c r="I1396" s="1">
        <v>1</v>
      </c>
      <c r="J1396" s="39" t="s">
        <v>3872</v>
      </c>
      <c r="K1396" s="1">
        <v>1</v>
      </c>
      <c r="L1396" s="1">
        <v>2</v>
      </c>
      <c r="S1396" s="1" t="str">
        <f>IF(tblDados[[#This Row],[Mandante]]="","",TEXT(tblDados[[#This Row],[Data]],"aaaa-mm-dd")&amp;"|"&amp;TRIM(tblDados[[#This Row],[Mandante]])&amp;"|"&amp;TRIM(tblDados[[#This Row],[Visitante]]))</f>
        <v>2026-05-16|Real Salt Lake|Colorado Rapids</v>
      </c>
      <c r="T1396">
        <f>IF($G1396="",0,IF(COUNTIF($S$2:$S2884,$S1396)=1,1,0))</f>
        <v>1</v>
      </c>
      <c r="U1396" s="19" t="str">
        <f>IF(tblDados[[#This Row],[Mandante]]="","",IF(COUNTIF(CadastroEquipes,TRIM(tblDados[[#This Row],[Mandante]]))&gt;0,"","⚠ Nome não cadastrado"))</f>
        <v/>
      </c>
      <c r="V1396" s="19" t="str">
        <f>IF(tblDados[[#This Row],[Visitante]]="","",IF(COUNTIF(CadastroEquipes,TRIM(tblDados[[#This Row],[Visitante]]))&gt;0,"","⚠ Nome não cadastrado"))</f>
        <v/>
      </c>
    </row>
    <row r="1397" spans="1:22" ht="14.4" x14ac:dyDescent="0.3">
      <c r="A1397" s="1" t="s">
        <v>3970</v>
      </c>
      <c r="B1397" s="102">
        <v>46155</v>
      </c>
      <c r="C1397" s="6">
        <v>0.89583333333333304</v>
      </c>
      <c r="D1397" s="1" t="s">
        <v>39</v>
      </c>
      <c r="E1397" s="1" t="s">
        <v>3707</v>
      </c>
      <c r="F1397" s="1" t="s">
        <v>3971</v>
      </c>
      <c r="G1397" s="39" t="s">
        <v>3821</v>
      </c>
      <c r="H1397" s="1">
        <v>0</v>
      </c>
      <c r="I1397" s="1">
        <v>1</v>
      </c>
      <c r="J1397" s="39" t="s">
        <v>3872</v>
      </c>
      <c r="K1397" s="1">
        <v>1</v>
      </c>
      <c r="L1397" s="1">
        <v>0</v>
      </c>
      <c r="S1397" s="1" t="str">
        <f>IF(tblDados[[#This Row],[Mandante]]="","",TEXT(tblDados[[#This Row],[Data]],"aaaa-mm-dd")&amp;"|"&amp;TRIM(tblDados[[#This Row],[Mandante]])&amp;"|"&amp;TRIM(tblDados[[#This Row],[Visitante]]))</f>
        <v>2026-05-13|Minnesota United FC|Colorado Rapids</v>
      </c>
      <c r="T1397">
        <f>IF($G1397="",0,IF(COUNTIF($S$2:$S2885,$S1397)=1,1,0))</f>
        <v>1</v>
      </c>
      <c r="U1397" s="19" t="str">
        <f>IF(tblDados[[#This Row],[Mandante]]="","",IF(COUNTIF(CadastroEquipes,TRIM(tblDados[[#This Row],[Mandante]]))&gt;0,"","⚠ Nome não cadastrado"))</f>
        <v/>
      </c>
      <c r="V1397" s="19" t="str">
        <f>IF(tblDados[[#This Row],[Visitante]]="","",IF(COUNTIF(CadastroEquipes,TRIM(tblDados[[#This Row],[Visitante]]))&gt;0,"","⚠ Nome não cadastrado"))</f>
        <v/>
      </c>
    </row>
    <row r="1398" spans="1:22" ht="14.4" x14ac:dyDescent="0.3">
      <c r="A1398" s="1" t="s">
        <v>3972</v>
      </c>
      <c r="B1398" s="102">
        <v>46151</v>
      </c>
      <c r="C1398" s="6">
        <v>0.9375</v>
      </c>
      <c r="D1398" s="1" t="s">
        <v>39</v>
      </c>
      <c r="E1398" s="1" t="s">
        <v>3707</v>
      </c>
      <c r="F1398" s="1" t="s">
        <v>3973</v>
      </c>
      <c r="G1398" s="39" t="s">
        <v>3872</v>
      </c>
      <c r="H1398" s="1">
        <v>0</v>
      </c>
      <c r="I1398" s="1">
        <v>1</v>
      </c>
      <c r="J1398" s="39" t="s">
        <v>3841</v>
      </c>
      <c r="K1398" s="1">
        <v>1</v>
      </c>
      <c r="L1398" s="1">
        <v>0</v>
      </c>
      <c r="S1398" s="1" t="str">
        <f>IF(tblDados[[#This Row],[Mandante]]="","",TEXT(tblDados[[#This Row],[Data]],"aaaa-mm-dd")&amp;"|"&amp;TRIM(tblDados[[#This Row],[Mandante]])&amp;"|"&amp;TRIM(tblDados[[#This Row],[Visitante]]))</f>
        <v>2026-05-09|Colorado Rapids|St. Louis CITY SC</v>
      </c>
      <c r="T1398">
        <f>IF($G1398="",0,IF(COUNTIF($S$2:$S2886,$S1398)=1,1,0))</f>
        <v>1</v>
      </c>
      <c r="U1398" s="19" t="str">
        <f>IF(tblDados[[#This Row],[Mandante]]="","",IF(COUNTIF(CadastroEquipes,TRIM(tblDados[[#This Row],[Mandante]]))&gt;0,"","⚠ Nome não cadastrado"))</f>
        <v/>
      </c>
      <c r="V1398" s="19" t="str">
        <f>IF(tblDados[[#This Row],[Visitante]]="","",IF(COUNTIF(CadastroEquipes,TRIM(tblDados[[#This Row],[Visitante]]))&gt;0,"","⚠ Nome não cadastrado"))</f>
        <v/>
      </c>
    </row>
    <row r="1399" spans="1:22" ht="14.4" x14ac:dyDescent="0.3">
      <c r="A1399" s="1" t="s">
        <v>3974</v>
      </c>
      <c r="B1399" s="102">
        <v>46144</v>
      </c>
      <c r="C1399" s="6">
        <v>0.89583333333333304</v>
      </c>
      <c r="D1399" s="1" t="s">
        <v>39</v>
      </c>
      <c r="E1399" s="1" t="s">
        <v>3707</v>
      </c>
      <c r="F1399" s="1" t="s">
        <v>3975</v>
      </c>
      <c r="G1399" s="39" t="s">
        <v>3836</v>
      </c>
      <c r="H1399" s="1">
        <v>1</v>
      </c>
      <c r="I1399" s="1">
        <v>0</v>
      </c>
      <c r="J1399" s="39" t="s">
        <v>3872</v>
      </c>
      <c r="K1399" s="1">
        <v>0</v>
      </c>
      <c r="L1399" s="1">
        <v>1</v>
      </c>
      <c r="S1399" s="1" t="str">
        <f>IF(tblDados[[#This Row],[Mandante]]="","",TEXT(tblDados[[#This Row],[Data]],"aaaa-mm-dd")&amp;"|"&amp;TRIM(tblDados[[#This Row],[Mandante]])&amp;"|"&amp;TRIM(tblDados[[#This Row],[Visitante]]))</f>
        <v>2026-05-02|Houston Dynamo FC|Colorado Rapids</v>
      </c>
      <c r="T1399">
        <f>IF($G1399="",0,IF(COUNTIF($S$2:$S2887,$S1399)=1,1,0))</f>
        <v>1</v>
      </c>
      <c r="U1399" s="19" t="str">
        <f>IF(tblDados[[#This Row],[Mandante]]="","",IF(COUNTIF(CadastroEquipes,TRIM(tblDados[[#This Row],[Mandante]]))&gt;0,"","⚠ Nome não cadastrado"))</f>
        <v/>
      </c>
      <c r="V1399" s="19" t="str">
        <f>IF(tblDados[[#This Row],[Visitante]]="","",IF(COUNTIF(CadastroEquipes,TRIM(tblDados[[#This Row],[Visitante]]))&gt;0,"","⚠ Nome não cadastrado"))</f>
        <v/>
      </c>
    </row>
    <row r="1400" spans="1:22" ht="14.4" x14ac:dyDescent="0.3">
      <c r="A1400" s="1" t="s">
        <v>3976</v>
      </c>
      <c r="B1400" s="102">
        <v>46137</v>
      </c>
      <c r="C1400" s="6">
        <v>0.97916666666666696</v>
      </c>
      <c r="D1400" s="1" t="s">
        <v>39</v>
      </c>
      <c r="E1400" s="1" t="s">
        <v>3707</v>
      </c>
      <c r="F1400" s="1" t="s">
        <v>3977</v>
      </c>
      <c r="G1400" s="39" t="s">
        <v>3810</v>
      </c>
      <c r="H1400" s="1">
        <v>3</v>
      </c>
      <c r="I1400" s="1">
        <v>1</v>
      </c>
      <c r="J1400" s="39" t="s">
        <v>3872</v>
      </c>
      <c r="K1400" s="1">
        <v>1</v>
      </c>
      <c r="L1400" s="1">
        <v>3</v>
      </c>
      <c r="S1400" s="1" t="str">
        <f>IF(tblDados[[#This Row],[Mandante]]="","",TEXT(tblDados[[#This Row],[Data]],"aaaa-mm-dd")&amp;"|"&amp;TRIM(tblDados[[#This Row],[Mandante]])&amp;"|"&amp;TRIM(tblDados[[#This Row],[Visitante]]))</f>
        <v>2026-04-25|Vancouver Whitecaps FC|Colorado Rapids</v>
      </c>
      <c r="T1400">
        <f>IF($G1400="",0,IF(COUNTIF($S$2:$S2888,$S1400)=1,1,0))</f>
        <v>1</v>
      </c>
      <c r="U1400" s="19" t="str">
        <f>IF(tblDados[[#This Row],[Mandante]]="","",IF(COUNTIF(CadastroEquipes,TRIM(tblDados[[#This Row],[Mandante]]))&gt;0,"","⚠ Nome não cadastrado"))</f>
        <v/>
      </c>
      <c r="V1400" s="19" t="str">
        <f>IF(tblDados[[#This Row],[Visitante]]="","",IF(COUNTIF(CadastroEquipes,TRIM(tblDados[[#This Row],[Visitante]]))&gt;0,"","⚠ Nome não cadastrado"))</f>
        <v/>
      </c>
    </row>
    <row r="1401" spans="1:22" ht="14.4" x14ac:dyDescent="0.3">
      <c r="A1401" s="1" t="s">
        <v>3978</v>
      </c>
      <c r="B1401" s="102">
        <v>46134</v>
      </c>
      <c r="C1401" s="6">
        <v>0.97916666666666696</v>
      </c>
      <c r="D1401" s="1" t="s">
        <v>39</v>
      </c>
      <c r="E1401" s="1" t="s">
        <v>3707</v>
      </c>
      <c r="F1401" s="1" t="s">
        <v>3979</v>
      </c>
      <c r="G1401" s="39" t="s">
        <v>3883</v>
      </c>
      <c r="H1401" s="1">
        <v>0</v>
      </c>
      <c r="I1401" s="1">
        <v>0</v>
      </c>
      <c r="J1401" s="39" t="s">
        <v>3872</v>
      </c>
      <c r="K1401" s="1">
        <v>0</v>
      </c>
      <c r="L1401" s="1">
        <v>0</v>
      </c>
      <c r="S1401" s="1" t="str">
        <f>IF(tblDados[[#This Row],[Mandante]]="","",TEXT(tblDados[[#This Row],[Data]],"aaaa-mm-dd")&amp;"|"&amp;TRIM(tblDados[[#This Row],[Mandante]])&amp;"|"&amp;TRIM(tblDados[[#This Row],[Visitante]]))</f>
        <v>2026-04-22|Los Angeles FC|Colorado Rapids</v>
      </c>
      <c r="T1401">
        <f>IF($G1401="",0,IF(COUNTIF($S$2:$S2889,$S1401)=1,1,0))</f>
        <v>1</v>
      </c>
      <c r="U1401" s="19" t="str">
        <f>IF(tblDados[[#This Row],[Mandante]]="","",IF(COUNTIF(CadastroEquipes,TRIM(tblDados[[#This Row],[Mandante]]))&gt;0,"","⚠ Nome não cadastrado"))</f>
        <v/>
      </c>
      <c r="V1401" s="19" t="str">
        <f>IF(tblDados[[#This Row],[Visitante]]="","",IF(COUNTIF(CadastroEquipes,TRIM(tblDados[[#This Row],[Visitante]]))&gt;0,"","⚠ Nome não cadastrado"))</f>
        <v/>
      </c>
    </row>
    <row r="1402" spans="1:22" ht="14.4" x14ac:dyDescent="0.3">
      <c r="A1402" s="1" t="s">
        <v>3980</v>
      </c>
      <c r="B1402" s="102">
        <v>46123</v>
      </c>
      <c r="C1402" s="6">
        <v>0.9375</v>
      </c>
      <c r="D1402" s="1" t="s">
        <v>39</v>
      </c>
      <c r="E1402" s="1" t="s">
        <v>3707</v>
      </c>
      <c r="F1402" s="1" t="s">
        <v>3981</v>
      </c>
      <c r="G1402" s="39" t="s">
        <v>3872</v>
      </c>
      <c r="H1402" s="1">
        <v>6</v>
      </c>
      <c r="I1402" s="1">
        <v>2</v>
      </c>
      <c r="J1402" s="39" t="s">
        <v>3836</v>
      </c>
      <c r="K1402" s="1">
        <v>2</v>
      </c>
      <c r="L1402" s="1">
        <v>6</v>
      </c>
      <c r="S1402" s="1" t="str">
        <f>IF(tblDados[[#This Row],[Mandante]]="","",TEXT(tblDados[[#This Row],[Data]],"aaaa-mm-dd")&amp;"|"&amp;TRIM(tblDados[[#This Row],[Mandante]])&amp;"|"&amp;TRIM(tblDados[[#This Row],[Visitante]]))</f>
        <v>2026-04-11|Colorado Rapids|Houston Dynamo FC</v>
      </c>
      <c r="T1402">
        <f>IF($G1402="",0,IF(COUNTIF($S$2:$S2890,$S1402)=1,1,0))</f>
        <v>1</v>
      </c>
      <c r="U1402" s="19" t="str">
        <f>IF(tblDados[[#This Row],[Mandante]]="","",IF(COUNTIF(CadastroEquipes,TRIM(tblDados[[#This Row],[Mandante]]))&gt;0,"","⚠ Nome não cadastrado"))</f>
        <v/>
      </c>
      <c r="V1402" s="19" t="str">
        <f>IF(tblDados[[#This Row],[Visitante]]="","",IF(COUNTIF(CadastroEquipes,TRIM(tblDados[[#This Row],[Visitante]]))&gt;0,"","⚠ Nome não cadastrado"))</f>
        <v/>
      </c>
    </row>
    <row r="1403" spans="1:22" ht="14.4" x14ac:dyDescent="0.3">
      <c r="A1403" s="1" t="s">
        <v>3982</v>
      </c>
      <c r="B1403" s="102">
        <v>46235</v>
      </c>
      <c r="C1403" s="6">
        <v>0.97916666666666696</v>
      </c>
      <c r="D1403" s="1" t="s">
        <v>39</v>
      </c>
      <c r="E1403" s="1" t="s">
        <v>3707</v>
      </c>
      <c r="F1403" s="1" t="s">
        <v>3983</v>
      </c>
      <c r="G1403" s="39" t="s">
        <v>3744</v>
      </c>
      <c r="H1403" s="1">
        <v>0</v>
      </c>
      <c r="I1403" s="1">
        <v>0</v>
      </c>
      <c r="J1403" s="39" t="s">
        <v>3923</v>
      </c>
      <c r="K1403" s="1">
        <v>0</v>
      </c>
      <c r="L1403" s="1">
        <v>0</v>
      </c>
      <c r="S1403" s="1" t="str">
        <f>IF(tblDados[[#This Row],[Mandante]]="","",TEXT(tblDados[[#This Row],[Data]],"aaaa-mm-dd")&amp;"|"&amp;TRIM(tblDados[[#This Row],[Mandante]])&amp;"|"&amp;TRIM(tblDados[[#This Row],[Visitante]]))</f>
        <v>2026-08-01|LA Galaxy|FC Dallas</v>
      </c>
      <c r="T1403">
        <f>IF($G1403="",0,IF(COUNTIF($S$2:$S2891,$S1403)=1,1,0))</f>
        <v>1</v>
      </c>
      <c r="U1403" s="19" t="str">
        <f>IF(tblDados[[#This Row],[Mandante]]="","",IF(COUNTIF(CadastroEquipes,TRIM(tblDados[[#This Row],[Mandante]]))&gt;0,"","⚠ Nome não cadastrado"))</f>
        <v/>
      </c>
      <c r="V1403" s="19" t="str">
        <f>IF(tblDados[[#This Row],[Visitante]]="","",IF(COUNTIF(CadastroEquipes,TRIM(tblDados[[#This Row],[Visitante]]))&gt;0,"","⚠ Nome não cadastrado"))</f>
        <v/>
      </c>
    </row>
    <row r="1404" spans="1:22" ht="14.4" x14ac:dyDescent="0.3">
      <c r="A1404" s="1" t="s">
        <v>3984</v>
      </c>
      <c r="B1404" s="102">
        <v>46228</v>
      </c>
      <c r="C1404" s="6">
        <v>0.9375</v>
      </c>
      <c r="D1404" s="1" t="s">
        <v>39</v>
      </c>
      <c r="E1404" s="1" t="s">
        <v>3707</v>
      </c>
      <c r="F1404" s="1" t="s">
        <v>3985</v>
      </c>
      <c r="G1404" s="39" t="s">
        <v>3807</v>
      </c>
      <c r="H1404" s="1">
        <v>1</v>
      </c>
      <c r="I1404" s="1">
        <v>0</v>
      </c>
      <c r="J1404" s="39" t="s">
        <v>3923</v>
      </c>
      <c r="K1404" s="1">
        <v>0</v>
      </c>
      <c r="L1404" s="1">
        <v>1</v>
      </c>
      <c r="S1404" s="1" t="str">
        <f>IF(tblDados[[#This Row],[Mandante]]="","",TEXT(tblDados[[#This Row],[Data]],"aaaa-mm-dd")&amp;"|"&amp;TRIM(tblDados[[#This Row],[Mandante]])&amp;"|"&amp;TRIM(tblDados[[#This Row],[Visitante]]))</f>
        <v>2026-07-25|San Diego FC|FC Dallas</v>
      </c>
      <c r="T1404">
        <f>IF($G1404="",0,IF(COUNTIF($S$2:$S2892,$S1404)=1,1,0))</f>
        <v>1</v>
      </c>
      <c r="U1404" s="19" t="str">
        <f>IF(tblDados[[#This Row],[Mandante]]="","",IF(COUNTIF(CadastroEquipes,TRIM(tblDados[[#This Row],[Mandante]]))&gt;0,"","⚠ Nome não cadastrado"))</f>
        <v/>
      </c>
      <c r="V1404" s="19" t="str">
        <f>IF(tblDados[[#This Row],[Visitante]]="","",IF(COUNTIF(CadastroEquipes,TRIM(tblDados[[#This Row],[Visitante]]))&gt;0,"","⚠ Nome não cadastrado"))</f>
        <v/>
      </c>
    </row>
    <row r="1405" spans="1:22" ht="14.4" x14ac:dyDescent="0.3">
      <c r="A1405" s="1" t="s">
        <v>3986</v>
      </c>
      <c r="B1405" s="102">
        <v>46225</v>
      </c>
      <c r="C1405" s="6">
        <v>0.9375</v>
      </c>
      <c r="D1405" s="1" t="s">
        <v>39</v>
      </c>
      <c r="E1405" s="1" t="s">
        <v>3707</v>
      </c>
      <c r="F1405" s="1" t="s">
        <v>3987</v>
      </c>
      <c r="G1405" s="39" t="s">
        <v>247</v>
      </c>
      <c r="H1405" s="1">
        <v>2</v>
      </c>
      <c r="I1405" s="1">
        <v>2</v>
      </c>
      <c r="J1405" s="39" t="s">
        <v>3923</v>
      </c>
      <c r="K1405" s="1">
        <v>2</v>
      </c>
      <c r="L1405" s="1">
        <v>2</v>
      </c>
      <c r="S1405" s="1" t="str">
        <f>IF(tblDados[[#This Row],[Mandante]]="","",TEXT(tblDados[[#This Row],[Data]],"aaaa-mm-dd")&amp;"|"&amp;TRIM(tblDados[[#This Row],[Mandante]])&amp;"|"&amp;TRIM(tblDados[[#This Row],[Visitante]]))</f>
        <v>2026-07-22|Portland Timbers|FC Dallas</v>
      </c>
      <c r="T1405">
        <f>IF($G1405="",0,IF(COUNTIF($S$2:$S2893,$S1405)=1,1,0))</f>
        <v>1</v>
      </c>
      <c r="U1405" s="19" t="str">
        <f>IF(tblDados[[#This Row],[Mandante]]="","",IF(COUNTIF(CadastroEquipes,TRIM(tblDados[[#This Row],[Mandante]]))&gt;0,"","⚠ Nome não cadastrado"))</f>
        <v/>
      </c>
      <c r="V1405" s="19" t="str">
        <f>IF(tblDados[[#This Row],[Visitante]]="","",IF(COUNTIF(CadastroEquipes,TRIM(tblDados[[#This Row],[Visitante]]))&gt;0,"","⚠ Nome não cadastrado"))</f>
        <v/>
      </c>
    </row>
    <row r="1406" spans="1:22" ht="14.4" x14ac:dyDescent="0.3">
      <c r="A1406" s="1" t="s">
        <v>3988</v>
      </c>
      <c r="B1406" s="102">
        <v>46158</v>
      </c>
      <c r="C1406" s="6">
        <v>0.97916666666666696</v>
      </c>
      <c r="D1406" s="1" t="s">
        <v>39</v>
      </c>
      <c r="E1406" s="1" t="s">
        <v>3707</v>
      </c>
      <c r="F1406" s="1" t="s">
        <v>3989</v>
      </c>
      <c r="G1406" s="39" t="s">
        <v>241</v>
      </c>
      <c r="H1406" s="1">
        <v>2</v>
      </c>
      <c r="I1406" s="1">
        <v>3</v>
      </c>
      <c r="J1406" s="39" t="s">
        <v>3923</v>
      </c>
      <c r="K1406" s="1">
        <v>3</v>
      </c>
      <c r="L1406" s="1">
        <v>2</v>
      </c>
      <c r="S1406" s="1" t="str">
        <f>IF(tblDados[[#This Row],[Mandante]]="","",TEXT(tblDados[[#This Row],[Data]],"aaaa-mm-dd")&amp;"|"&amp;TRIM(tblDados[[#This Row],[Mandante]])&amp;"|"&amp;TRIM(tblDados[[#This Row],[Visitante]]))</f>
        <v>2026-05-16|San Jose Earthquakes|FC Dallas</v>
      </c>
      <c r="T1406">
        <f>IF($G1406="",0,IF(COUNTIF($S$2:$S2894,$S1406)=1,1,0))</f>
        <v>1</v>
      </c>
      <c r="U1406" s="19" t="str">
        <f>IF(tblDados[[#This Row],[Mandante]]="","",IF(COUNTIF(CadastroEquipes,TRIM(tblDados[[#This Row],[Mandante]]))&gt;0,"","⚠ Nome não cadastrado"))</f>
        <v/>
      </c>
      <c r="V1406" s="19" t="str">
        <f>IF(tblDados[[#This Row],[Visitante]]="","",IF(COUNTIF(CadastroEquipes,TRIM(tblDados[[#This Row],[Visitante]]))&gt;0,"","⚠ Nome não cadastrado"))</f>
        <v/>
      </c>
    </row>
    <row r="1407" spans="1:22" ht="14.4" x14ac:dyDescent="0.3">
      <c r="A1407" s="1" t="s">
        <v>3990</v>
      </c>
      <c r="B1407" s="102">
        <v>46155</v>
      </c>
      <c r="C1407" s="6">
        <v>0.85416666666666696</v>
      </c>
      <c r="D1407" s="1" t="s">
        <v>39</v>
      </c>
      <c r="E1407" s="1" t="s">
        <v>3707</v>
      </c>
      <c r="F1407" s="1" t="s">
        <v>3991</v>
      </c>
      <c r="G1407" s="39" t="s">
        <v>3923</v>
      </c>
      <c r="H1407" s="1">
        <v>2</v>
      </c>
      <c r="I1407" s="1">
        <v>3</v>
      </c>
      <c r="J1407" s="39" t="s">
        <v>3810</v>
      </c>
      <c r="K1407" s="1">
        <v>3</v>
      </c>
      <c r="L1407" s="1">
        <v>2</v>
      </c>
      <c r="S1407" s="1" t="str">
        <f>IF(tblDados[[#This Row],[Mandante]]="","",TEXT(tblDados[[#This Row],[Data]],"aaaa-mm-dd")&amp;"|"&amp;TRIM(tblDados[[#This Row],[Mandante]])&amp;"|"&amp;TRIM(tblDados[[#This Row],[Visitante]]))</f>
        <v>2026-05-13|FC Dallas|Vancouver Whitecaps FC</v>
      </c>
      <c r="T1407">
        <f>IF($G1407="",0,IF(COUNTIF($S$2:$S2895,$S1407)=1,1,0))</f>
        <v>1</v>
      </c>
      <c r="U1407" s="19" t="str">
        <f>IF(tblDados[[#This Row],[Mandante]]="","",IF(COUNTIF(CadastroEquipes,TRIM(tblDados[[#This Row],[Mandante]]))&gt;0,"","⚠ Nome não cadastrado"))</f>
        <v/>
      </c>
      <c r="V1407" s="19" t="str">
        <f>IF(tblDados[[#This Row],[Visitante]]="","",IF(COUNTIF(CadastroEquipes,TRIM(tblDados[[#This Row],[Visitante]]))&gt;0,"","⚠ Nome não cadastrado"))</f>
        <v/>
      </c>
    </row>
    <row r="1408" spans="1:22" ht="14.4" x14ac:dyDescent="0.3">
      <c r="A1408" s="1" t="s">
        <v>3992</v>
      </c>
      <c r="B1408" s="102">
        <v>46151</v>
      </c>
      <c r="C1408" s="6">
        <v>0.85416666666666696</v>
      </c>
      <c r="D1408" s="1" t="s">
        <v>39</v>
      </c>
      <c r="E1408" s="1" t="s">
        <v>3707</v>
      </c>
      <c r="F1408" s="1" t="s">
        <v>3993</v>
      </c>
      <c r="G1408" s="39" t="s">
        <v>3923</v>
      </c>
      <c r="H1408" s="1">
        <v>3</v>
      </c>
      <c r="I1408" s="1">
        <v>1</v>
      </c>
      <c r="J1408" s="39" t="s">
        <v>3869</v>
      </c>
      <c r="K1408" s="1">
        <v>1</v>
      </c>
      <c r="L1408" s="1">
        <v>3</v>
      </c>
      <c r="S1408" s="1" t="str">
        <f>IF(tblDados[[#This Row],[Mandante]]="","",TEXT(tblDados[[#This Row],[Data]],"aaaa-mm-dd")&amp;"|"&amp;TRIM(tblDados[[#This Row],[Mandante]])&amp;"|"&amp;TRIM(tblDados[[#This Row],[Visitante]]))</f>
        <v>2026-05-09|FC Dallas|Real Salt Lake</v>
      </c>
      <c r="T1408">
        <f>IF($G1408="",0,IF(COUNTIF($S$2:$S2896,$S1408)=1,1,0))</f>
        <v>1</v>
      </c>
      <c r="U1408" s="19" t="str">
        <f>IF(tblDados[[#This Row],[Mandante]]="","",IF(COUNTIF(CadastroEquipes,TRIM(tblDados[[#This Row],[Mandante]]))&gt;0,"","⚠ Nome não cadastrado"))</f>
        <v/>
      </c>
      <c r="V1408" s="19" t="str">
        <f>IF(tblDados[[#This Row],[Visitante]]="","",IF(COUNTIF(CadastroEquipes,TRIM(tblDados[[#This Row],[Visitante]]))&gt;0,"","⚠ Nome não cadastrado"))</f>
        <v/>
      </c>
    </row>
    <row r="1409" spans="1:22" ht="14.4" x14ac:dyDescent="0.3">
      <c r="A1409" s="1" t="s">
        <v>3994</v>
      </c>
      <c r="B1409" s="102">
        <v>46137</v>
      </c>
      <c r="C1409" s="6">
        <v>0.97916666666666696</v>
      </c>
      <c r="D1409" s="1" t="s">
        <v>39</v>
      </c>
      <c r="E1409" s="1" t="s">
        <v>3707</v>
      </c>
      <c r="F1409" s="1" t="s">
        <v>3995</v>
      </c>
      <c r="G1409" s="39" t="s">
        <v>3932</v>
      </c>
      <c r="H1409" s="1">
        <v>2</v>
      </c>
      <c r="I1409" s="1">
        <v>1</v>
      </c>
      <c r="J1409" s="39" t="s">
        <v>3923</v>
      </c>
      <c r="K1409" s="1">
        <v>1</v>
      </c>
      <c r="L1409" s="1">
        <v>2</v>
      </c>
      <c r="S1409" s="1" t="str">
        <f>IF(tblDados[[#This Row],[Mandante]]="","",TEXT(tblDados[[#This Row],[Data]],"aaaa-mm-dd")&amp;"|"&amp;TRIM(tblDados[[#This Row],[Mandante]])&amp;"|"&amp;TRIM(tblDados[[#This Row],[Visitante]]))</f>
        <v>2026-04-25|Seattle Sounders FC|FC Dallas</v>
      </c>
      <c r="T1409">
        <f>IF($G1409="",0,IF(COUNTIF($S$2:$S2897,$S1409)=1,1,0))</f>
        <v>1</v>
      </c>
      <c r="U1409" s="19" t="str">
        <f>IF(tblDados[[#This Row],[Mandante]]="","",IF(COUNTIF(CadastroEquipes,TRIM(tblDados[[#This Row],[Mandante]]))&gt;0,"","⚠ Nome não cadastrado"))</f>
        <v/>
      </c>
      <c r="V1409" s="19" t="str">
        <f>IF(tblDados[[#This Row],[Visitante]]="","",IF(COUNTIF(CadastroEquipes,TRIM(tblDados[[#This Row],[Visitante]]))&gt;0,"","⚠ Nome não cadastrado"))</f>
        <v/>
      </c>
    </row>
    <row r="1410" spans="1:22" ht="14.4" x14ac:dyDescent="0.3">
      <c r="A1410" s="1" t="s">
        <v>3996</v>
      </c>
      <c r="B1410" s="102">
        <v>46134</v>
      </c>
      <c r="C1410" s="6">
        <v>0.85416666666666696</v>
      </c>
      <c r="D1410" s="1" t="s">
        <v>39</v>
      </c>
      <c r="E1410" s="1" t="s">
        <v>3707</v>
      </c>
      <c r="F1410" s="1" t="s">
        <v>3997</v>
      </c>
      <c r="G1410" s="39" t="s">
        <v>3923</v>
      </c>
      <c r="H1410" s="1">
        <v>0</v>
      </c>
      <c r="I1410" s="1">
        <v>1</v>
      </c>
      <c r="J1410" s="39" t="s">
        <v>3821</v>
      </c>
      <c r="K1410" s="1">
        <v>1</v>
      </c>
      <c r="L1410" s="1">
        <v>0</v>
      </c>
      <c r="S1410" s="1" t="str">
        <f>IF(tblDados[[#This Row],[Mandante]]="","",TEXT(tblDados[[#This Row],[Data]],"aaaa-mm-dd")&amp;"|"&amp;TRIM(tblDados[[#This Row],[Mandante]])&amp;"|"&amp;TRIM(tblDados[[#This Row],[Visitante]]))</f>
        <v>2026-04-22|FC Dallas|Minnesota United FC</v>
      </c>
      <c r="T1410">
        <f>IF($G1410="",0,IF(COUNTIF($S$2:$S2898,$S1410)=1,1,0))</f>
        <v>1</v>
      </c>
      <c r="U1410" s="19" t="str">
        <f>IF(tblDados[[#This Row],[Mandante]]="","",IF(COUNTIF(CadastroEquipes,TRIM(tblDados[[#This Row],[Mandante]]))&gt;0,"","⚠ Nome não cadastrado"))</f>
        <v/>
      </c>
      <c r="V1410" s="19" t="str">
        <f>IF(tblDados[[#This Row],[Visitante]]="","",IF(COUNTIF(CadastroEquipes,TRIM(tblDados[[#This Row],[Visitante]]))&gt;0,"","⚠ Nome não cadastrado"))</f>
        <v/>
      </c>
    </row>
    <row r="1411" spans="1:22" ht="14.4" x14ac:dyDescent="0.3">
      <c r="A1411" s="1" t="s">
        <v>3998</v>
      </c>
      <c r="B1411" s="102">
        <v>46130</v>
      </c>
      <c r="C1411" s="6">
        <v>0.85416666666666696</v>
      </c>
      <c r="D1411" s="1" t="s">
        <v>39</v>
      </c>
      <c r="E1411" s="1" t="s">
        <v>3707</v>
      </c>
      <c r="F1411" s="1" t="s">
        <v>3999</v>
      </c>
      <c r="G1411" s="39" t="s">
        <v>3923</v>
      </c>
      <c r="H1411" s="1">
        <v>2</v>
      </c>
      <c r="I1411" s="1">
        <v>2</v>
      </c>
      <c r="J1411" s="39" t="s">
        <v>3744</v>
      </c>
      <c r="K1411" s="1">
        <v>2</v>
      </c>
      <c r="L1411" s="1">
        <v>2</v>
      </c>
      <c r="S1411" s="1" t="str">
        <f>IF(tblDados[[#This Row],[Mandante]]="","",TEXT(tblDados[[#This Row],[Data]],"aaaa-mm-dd")&amp;"|"&amp;TRIM(tblDados[[#This Row],[Mandante]])&amp;"|"&amp;TRIM(tblDados[[#This Row],[Visitante]]))</f>
        <v>2026-04-18|FC Dallas|LA Galaxy</v>
      </c>
      <c r="T1411">
        <f>IF($G1411="",0,IF(COUNTIF($S$2:$S2899,$S1411)=1,1,0))</f>
        <v>1</v>
      </c>
      <c r="U1411" s="19" t="str">
        <f>IF(tblDados[[#This Row],[Mandante]]="","",IF(COUNTIF(CadastroEquipes,TRIM(tblDados[[#This Row],[Mandante]]))&gt;0,"","⚠ Nome não cadastrado"))</f>
        <v/>
      </c>
      <c r="V1411" s="19" t="str">
        <f>IF(tblDados[[#This Row],[Visitante]]="","",IF(COUNTIF(CadastroEquipes,TRIM(tblDados[[#This Row],[Visitante]]))&gt;0,"","⚠ Nome não cadastrado"))</f>
        <v/>
      </c>
    </row>
    <row r="1412" spans="1:22" ht="14.4" x14ac:dyDescent="0.3">
      <c r="A1412" s="1" t="s">
        <v>4000</v>
      </c>
      <c r="B1412" s="102">
        <v>46123</v>
      </c>
      <c r="C1412" s="6">
        <v>0.85416666666666696</v>
      </c>
      <c r="D1412" s="1" t="s">
        <v>39</v>
      </c>
      <c r="E1412" s="1" t="s">
        <v>3707</v>
      </c>
      <c r="F1412" s="1" t="s">
        <v>4001</v>
      </c>
      <c r="G1412" s="39" t="s">
        <v>3923</v>
      </c>
      <c r="H1412" s="1">
        <v>1</v>
      </c>
      <c r="I1412" s="1">
        <v>1</v>
      </c>
      <c r="J1412" s="39" t="s">
        <v>3841</v>
      </c>
      <c r="K1412" s="1">
        <v>1</v>
      </c>
      <c r="L1412" s="1">
        <v>1</v>
      </c>
      <c r="S1412" s="1" t="str">
        <f>IF(tblDados[[#This Row],[Mandante]]="","",TEXT(tblDados[[#This Row],[Data]],"aaaa-mm-dd")&amp;"|"&amp;TRIM(tblDados[[#This Row],[Mandante]])&amp;"|"&amp;TRIM(tblDados[[#This Row],[Visitante]]))</f>
        <v>2026-04-11|FC Dallas|St. Louis CITY SC</v>
      </c>
      <c r="T1412">
        <f>IF($G1412="",0,IF(COUNTIF($S$2:$S2900,$S1412)=1,1,0))</f>
        <v>1</v>
      </c>
      <c r="U1412" s="19" t="str">
        <f>IF(tblDados[[#This Row],[Mandante]]="","",IF(COUNTIF(CadastroEquipes,TRIM(tblDados[[#This Row],[Mandante]]))&gt;0,"","⚠ Nome não cadastrado"))</f>
        <v/>
      </c>
      <c r="V1412" s="19" t="str">
        <f>IF(tblDados[[#This Row],[Visitante]]="","",IF(COUNTIF(CadastroEquipes,TRIM(tblDados[[#This Row],[Visitante]]))&gt;0,"","⚠ Nome não cadastrado"))</f>
        <v/>
      </c>
    </row>
    <row r="1413" spans="1:22" ht="14.4" x14ac:dyDescent="0.3">
      <c r="A1413" s="1" t="s">
        <v>4002</v>
      </c>
      <c r="B1413" s="102">
        <v>46235</v>
      </c>
      <c r="C1413" s="6">
        <v>0.89583333333333304</v>
      </c>
      <c r="D1413" s="1" t="s">
        <v>39</v>
      </c>
      <c r="E1413" s="1" t="s">
        <v>3707</v>
      </c>
      <c r="F1413" s="1" t="s">
        <v>4003</v>
      </c>
      <c r="G1413" s="39" t="s">
        <v>3792</v>
      </c>
      <c r="H1413" s="1">
        <v>0</v>
      </c>
      <c r="I1413" s="1">
        <v>2</v>
      </c>
      <c r="J1413" s="39" t="s">
        <v>3836</v>
      </c>
      <c r="K1413" s="1">
        <v>2</v>
      </c>
      <c r="L1413" s="1">
        <v>0</v>
      </c>
      <c r="S1413" s="1" t="str">
        <f>IF(tblDados[[#This Row],[Mandante]]="","",TEXT(tblDados[[#This Row],[Data]],"aaaa-mm-dd")&amp;"|"&amp;TRIM(tblDados[[#This Row],[Mandante]])&amp;"|"&amp;TRIM(tblDados[[#This Row],[Visitante]]))</f>
        <v>2026-08-01|Sporting Kansas City|Houston Dynamo FC</v>
      </c>
      <c r="T1413">
        <f>IF($G1413="",0,IF(COUNTIF($S$2:$S2901,$S1413)=1,1,0))</f>
        <v>1</v>
      </c>
      <c r="U1413" s="19" t="str">
        <f>IF(tblDados[[#This Row],[Mandante]]="","",IF(COUNTIF(CadastroEquipes,TRIM(tblDados[[#This Row],[Mandante]]))&gt;0,"","⚠ Nome não cadastrado"))</f>
        <v/>
      </c>
      <c r="V1413" s="19" t="str">
        <f>IF(tblDados[[#This Row],[Visitante]]="","",IF(COUNTIF(CadastroEquipes,TRIM(tblDados[[#This Row],[Visitante]]))&gt;0,"","⚠ Nome não cadastrado"))</f>
        <v/>
      </c>
    </row>
    <row r="1414" spans="1:22" ht="14.4" x14ac:dyDescent="0.3">
      <c r="A1414" s="1" t="s">
        <v>4004</v>
      </c>
      <c r="B1414" s="102">
        <v>46165</v>
      </c>
      <c r="C1414" s="6">
        <v>0.97916666666666696</v>
      </c>
      <c r="D1414" s="1" t="s">
        <v>39</v>
      </c>
      <c r="E1414" s="1" t="s">
        <v>3707</v>
      </c>
      <c r="F1414" s="1" t="s">
        <v>4005</v>
      </c>
      <c r="G1414" s="39" t="s">
        <v>3744</v>
      </c>
      <c r="H1414" s="1">
        <v>1</v>
      </c>
      <c r="I1414" s="1">
        <v>1</v>
      </c>
      <c r="J1414" s="39" t="s">
        <v>3836</v>
      </c>
      <c r="K1414" s="1">
        <v>1</v>
      </c>
      <c r="L1414" s="1">
        <v>1</v>
      </c>
      <c r="S1414" s="1" t="str">
        <f>IF(tblDados[[#This Row],[Mandante]]="","",TEXT(tblDados[[#This Row],[Data]],"aaaa-mm-dd")&amp;"|"&amp;TRIM(tblDados[[#This Row],[Mandante]])&amp;"|"&amp;TRIM(tblDados[[#This Row],[Visitante]]))</f>
        <v>2026-05-23|LA Galaxy|Houston Dynamo FC</v>
      </c>
      <c r="T1414">
        <f>IF($G1414="",0,IF(COUNTIF($S$2:$S2902,$S1414)=1,1,0))</f>
        <v>1</v>
      </c>
      <c r="U1414" s="19" t="str">
        <f>IF(tblDados[[#This Row],[Mandante]]="","",IF(COUNTIF(CadastroEquipes,TRIM(tblDados[[#This Row],[Mandante]]))&gt;0,"","⚠ Nome não cadastrado"))</f>
        <v/>
      </c>
      <c r="V1414" s="19" t="str">
        <f>IF(tblDados[[#This Row],[Visitante]]="","",IF(COUNTIF(CadastroEquipes,TRIM(tblDados[[#This Row],[Visitante]]))&gt;0,"","⚠ Nome não cadastrado"))</f>
        <v/>
      </c>
    </row>
    <row r="1415" spans="1:22" ht="14.4" x14ac:dyDescent="0.3">
      <c r="A1415" s="1" t="s">
        <v>4006</v>
      </c>
      <c r="B1415" s="102">
        <v>46158</v>
      </c>
      <c r="C1415" s="6">
        <v>0.89583333333333304</v>
      </c>
      <c r="D1415" s="1" t="s">
        <v>39</v>
      </c>
      <c r="E1415" s="1" t="s">
        <v>3707</v>
      </c>
      <c r="F1415" s="1" t="s">
        <v>4007</v>
      </c>
      <c r="G1415" s="39" t="s">
        <v>3836</v>
      </c>
      <c r="H1415" s="1">
        <v>1</v>
      </c>
      <c r="I1415" s="1">
        <v>0</v>
      </c>
      <c r="J1415" s="39" t="s">
        <v>3810</v>
      </c>
      <c r="K1415" s="1">
        <v>0</v>
      </c>
      <c r="L1415" s="1">
        <v>1</v>
      </c>
      <c r="S1415" s="1" t="str">
        <f>IF(tblDados[[#This Row],[Mandante]]="","",TEXT(tblDados[[#This Row],[Data]],"aaaa-mm-dd")&amp;"|"&amp;TRIM(tblDados[[#This Row],[Mandante]])&amp;"|"&amp;TRIM(tblDados[[#This Row],[Visitante]]))</f>
        <v>2026-05-16|Houston Dynamo FC|Vancouver Whitecaps FC</v>
      </c>
      <c r="T1415">
        <f>IF($G1415="",0,IF(COUNTIF($S$2:$S2903,$S1415)=1,1,0))</f>
        <v>1</v>
      </c>
      <c r="U1415" s="19" t="str">
        <f>IF(tblDados[[#This Row],[Mandante]]="","",IF(COUNTIF(CadastroEquipes,TRIM(tblDados[[#This Row],[Mandante]]))&gt;0,"","⚠ Nome não cadastrado"))</f>
        <v/>
      </c>
      <c r="V1415" s="19" t="str">
        <f>IF(tblDados[[#This Row],[Visitante]]="","",IF(COUNTIF(CadastroEquipes,TRIM(tblDados[[#This Row],[Visitante]]))&gt;0,"","⚠ Nome não cadastrado"))</f>
        <v/>
      </c>
    </row>
    <row r="1416" spans="1:22" ht="14.4" x14ac:dyDescent="0.3">
      <c r="A1416" s="1" t="s">
        <v>4008</v>
      </c>
      <c r="B1416" s="102">
        <v>46155</v>
      </c>
      <c r="C1416" s="6">
        <v>0.9375</v>
      </c>
      <c r="D1416" s="1" t="s">
        <v>39</v>
      </c>
      <c r="E1416" s="1" t="s">
        <v>3707</v>
      </c>
      <c r="F1416" s="1" t="s">
        <v>4009</v>
      </c>
      <c r="G1416" s="39" t="s">
        <v>3869</v>
      </c>
      <c r="H1416" s="1">
        <v>3</v>
      </c>
      <c r="I1416" s="1">
        <v>0</v>
      </c>
      <c r="J1416" s="39" t="s">
        <v>3836</v>
      </c>
      <c r="K1416" s="1">
        <v>0</v>
      </c>
      <c r="L1416" s="1">
        <v>3</v>
      </c>
      <c r="S1416" s="1" t="str">
        <f>IF(tblDados[[#This Row],[Mandante]]="","",TEXT(tblDados[[#This Row],[Data]],"aaaa-mm-dd")&amp;"|"&amp;TRIM(tblDados[[#This Row],[Mandante]])&amp;"|"&amp;TRIM(tblDados[[#This Row],[Visitante]]))</f>
        <v>2026-05-13|Real Salt Lake|Houston Dynamo FC</v>
      </c>
      <c r="T1416">
        <f>IF($G1416="",0,IF(COUNTIF($S$2:$S2904,$S1416)=1,1,0))</f>
        <v>1</v>
      </c>
      <c r="U1416" s="19" t="str">
        <f>IF(tblDados[[#This Row],[Mandante]]="","",IF(COUNTIF(CadastroEquipes,TRIM(tblDados[[#This Row],[Mandante]]))&gt;0,"","⚠ Nome não cadastrado"))</f>
        <v/>
      </c>
      <c r="V1416" s="19" t="str">
        <f>IF(tblDados[[#This Row],[Visitante]]="","",IF(COUNTIF(CadastroEquipes,TRIM(tblDados[[#This Row],[Visitante]]))&gt;0,"","⚠ Nome não cadastrado"))</f>
        <v/>
      </c>
    </row>
    <row r="1417" spans="1:22" ht="14.4" x14ac:dyDescent="0.3">
      <c r="A1417" s="1" t="s">
        <v>4010</v>
      </c>
      <c r="B1417" s="102">
        <v>46152</v>
      </c>
      <c r="C1417" s="6">
        <v>0.91666666666666696</v>
      </c>
      <c r="D1417" s="1" t="s">
        <v>39</v>
      </c>
      <c r="E1417" s="1" t="s">
        <v>3707</v>
      </c>
      <c r="F1417" s="1" t="s">
        <v>4011</v>
      </c>
      <c r="G1417" s="39" t="s">
        <v>3883</v>
      </c>
      <c r="H1417" s="1">
        <v>1</v>
      </c>
      <c r="I1417" s="1">
        <v>4</v>
      </c>
      <c r="J1417" s="39" t="s">
        <v>3836</v>
      </c>
      <c r="K1417" s="1">
        <v>4</v>
      </c>
      <c r="L1417" s="1">
        <v>1</v>
      </c>
      <c r="S1417" s="1" t="str">
        <f>IF(tblDados[[#This Row],[Mandante]]="","",TEXT(tblDados[[#This Row],[Data]],"aaaa-mm-dd")&amp;"|"&amp;TRIM(tblDados[[#This Row],[Mandante]])&amp;"|"&amp;TRIM(tblDados[[#This Row],[Visitante]]))</f>
        <v>2026-05-10|Los Angeles FC|Houston Dynamo FC</v>
      </c>
      <c r="T1417">
        <f>IF($G1417="",0,IF(COUNTIF($S$2:$S2905,$S1417)=1,1,0))</f>
        <v>1</v>
      </c>
      <c r="U1417" s="19" t="str">
        <f>IF(tblDados[[#This Row],[Mandante]]="","",IF(COUNTIF(CadastroEquipes,TRIM(tblDados[[#This Row],[Mandante]]))&gt;0,"","⚠ Nome não cadastrado"))</f>
        <v/>
      </c>
      <c r="V1417" s="19" t="str">
        <f>IF(tblDados[[#This Row],[Visitante]]="","",IF(COUNTIF(CadastroEquipes,TRIM(tblDados[[#This Row],[Visitante]]))&gt;0,"","⚠ Nome não cadastrado"))</f>
        <v/>
      </c>
    </row>
    <row r="1418" spans="1:22" ht="14.4" x14ac:dyDescent="0.3">
      <c r="A1418" s="1" t="s">
        <v>4012</v>
      </c>
      <c r="B1418" s="102">
        <v>46134</v>
      </c>
      <c r="C1418" s="6">
        <v>0.89583333333333304</v>
      </c>
      <c r="D1418" s="1" t="s">
        <v>39</v>
      </c>
      <c r="E1418" s="1" t="s">
        <v>3707</v>
      </c>
      <c r="F1418" s="1" t="s">
        <v>4013</v>
      </c>
      <c r="G1418" s="39" t="s">
        <v>3836</v>
      </c>
      <c r="H1418" s="1">
        <v>1</v>
      </c>
      <c r="I1418" s="1">
        <v>0</v>
      </c>
      <c r="J1418" s="39" t="s">
        <v>3807</v>
      </c>
      <c r="K1418" s="1">
        <v>0</v>
      </c>
      <c r="L1418" s="1">
        <v>1</v>
      </c>
      <c r="S1418" s="1" t="str">
        <f>IF(tblDados[[#This Row],[Mandante]]="","",TEXT(tblDados[[#This Row],[Data]],"aaaa-mm-dd")&amp;"|"&amp;TRIM(tblDados[[#This Row],[Mandante]])&amp;"|"&amp;TRIM(tblDados[[#This Row],[Visitante]]))</f>
        <v>2026-04-22|Houston Dynamo FC|San Diego FC</v>
      </c>
      <c r="T1418">
        <f>IF($G1418="",0,IF(COUNTIF($S$2:$S2906,$S1418)=1,1,0))</f>
        <v>1</v>
      </c>
      <c r="U1418" s="19" t="str">
        <f>IF(tblDados[[#This Row],[Mandante]]="","",IF(COUNTIF(CadastroEquipes,TRIM(tblDados[[#This Row],[Mandante]]))&gt;0,"","⚠ Nome não cadastrado"))</f>
        <v/>
      </c>
      <c r="V1418" s="19" t="str">
        <f>IF(tblDados[[#This Row],[Visitante]]="","",IF(COUNTIF(CadastroEquipes,TRIM(tblDados[[#This Row],[Visitante]]))&gt;0,"","⚠ Nome não cadastrado"))</f>
        <v/>
      </c>
    </row>
    <row r="1419" spans="1:22" ht="14.4" x14ac:dyDescent="0.3">
      <c r="A1419" s="1" t="s">
        <v>4014</v>
      </c>
      <c r="B1419" s="102">
        <v>46228</v>
      </c>
      <c r="C1419" s="6">
        <v>0.97916666666666696</v>
      </c>
      <c r="D1419" s="1" t="s">
        <v>39</v>
      </c>
      <c r="E1419" s="1" t="s">
        <v>3707</v>
      </c>
      <c r="F1419" s="1" t="s">
        <v>4015</v>
      </c>
      <c r="G1419" s="39" t="s">
        <v>241</v>
      </c>
      <c r="H1419" s="1">
        <v>1</v>
      </c>
      <c r="I1419" s="1">
        <v>1</v>
      </c>
      <c r="J1419" s="39" t="s">
        <v>3744</v>
      </c>
      <c r="K1419" s="1">
        <v>1</v>
      </c>
      <c r="L1419" s="1">
        <v>1</v>
      </c>
      <c r="S1419" s="1" t="str">
        <f>IF(tblDados[[#This Row],[Mandante]]="","",TEXT(tblDados[[#This Row],[Data]],"aaaa-mm-dd")&amp;"|"&amp;TRIM(tblDados[[#This Row],[Mandante]])&amp;"|"&amp;TRIM(tblDados[[#This Row],[Visitante]]))</f>
        <v>2026-07-25|San Jose Earthquakes|LA Galaxy</v>
      </c>
      <c r="T1419">
        <f>IF($G1419="",0,IF(COUNTIF($S$2:$S2907,$S1419)=1,1,0))</f>
        <v>1</v>
      </c>
      <c r="U1419" s="19" t="str">
        <f>IF(tblDados[[#This Row],[Mandante]]="","",IF(COUNTIF(CadastroEquipes,TRIM(tblDados[[#This Row],[Mandante]]))&gt;0,"","⚠ Nome não cadastrado"))</f>
        <v/>
      </c>
      <c r="V1419" s="19" t="str">
        <f>IF(tblDados[[#This Row],[Visitante]]="","",IF(COUNTIF(CadastroEquipes,TRIM(tblDados[[#This Row],[Visitante]]))&gt;0,"","⚠ Nome não cadastrado"))</f>
        <v/>
      </c>
    </row>
    <row r="1420" spans="1:22" ht="14.4" x14ac:dyDescent="0.3">
      <c r="A1420" s="1" t="s">
        <v>4016</v>
      </c>
      <c r="B1420" s="102">
        <v>46225</v>
      </c>
      <c r="C1420" s="6">
        <v>0.97916666666666696</v>
      </c>
      <c r="D1420" s="1" t="s">
        <v>39</v>
      </c>
      <c r="E1420" s="1" t="s">
        <v>3707</v>
      </c>
      <c r="F1420" s="1" t="s">
        <v>4017</v>
      </c>
      <c r="G1420" s="39" t="s">
        <v>3744</v>
      </c>
      <c r="H1420" s="1">
        <v>1</v>
      </c>
      <c r="I1420" s="1">
        <v>3</v>
      </c>
      <c r="J1420" s="39" t="s">
        <v>3841</v>
      </c>
      <c r="K1420" s="1">
        <v>3</v>
      </c>
      <c r="L1420" s="1">
        <v>1</v>
      </c>
      <c r="S1420" s="1" t="str">
        <f>IF(tblDados[[#This Row],[Mandante]]="","",TEXT(tblDados[[#This Row],[Data]],"aaaa-mm-dd")&amp;"|"&amp;TRIM(tblDados[[#This Row],[Mandante]])&amp;"|"&amp;TRIM(tblDados[[#This Row],[Visitante]]))</f>
        <v>2026-07-22|LA Galaxy|St. Louis CITY SC</v>
      </c>
      <c r="T1420">
        <f>IF($G1420="",0,IF(COUNTIF($S$2:$S2908,$S1420)=1,1,0))</f>
        <v>1</v>
      </c>
      <c r="U1420" s="19" t="str">
        <f>IF(tblDados[[#This Row],[Mandante]]="","",IF(COUNTIF(CadastroEquipes,TRIM(tblDados[[#This Row],[Mandante]]))&gt;0,"","⚠ Nome não cadastrado"))</f>
        <v/>
      </c>
      <c r="V1420" s="19" t="str">
        <f>IF(tblDados[[#This Row],[Visitante]]="","",IF(COUNTIF(CadastroEquipes,TRIM(tblDados[[#This Row],[Visitante]]))&gt;0,"","⚠ Nome não cadastrado"))</f>
        <v/>
      </c>
    </row>
    <row r="1421" spans="1:22" ht="14.4" x14ac:dyDescent="0.3">
      <c r="A1421" s="1" t="s">
        <v>4018</v>
      </c>
      <c r="B1421" s="102">
        <v>46220</v>
      </c>
      <c r="C1421" s="6">
        <v>0.97916666666666696</v>
      </c>
      <c r="D1421" s="1" t="s">
        <v>39</v>
      </c>
      <c r="E1421" s="1" t="s">
        <v>3707</v>
      </c>
      <c r="F1421" s="1" t="s">
        <v>4019</v>
      </c>
      <c r="G1421" s="39" t="s">
        <v>3744</v>
      </c>
      <c r="H1421" s="1">
        <v>0</v>
      </c>
      <c r="I1421" s="1">
        <v>3</v>
      </c>
      <c r="J1421" s="39" t="s">
        <v>3883</v>
      </c>
      <c r="K1421" s="1">
        <v>3</v>
      </c>
      <c r="L1421" s="1">
        <v>0</v>
      </c>
      <c r="S1421" s="1" t="str">
        <f>IF(tblDados[[#This Row],[Mandante]]="","",TEXT(tblDados[[#This Row],[Data]],"aaaa-mm-dd")&amp;"|"&amp;TRIM(tblDados[[#This Row],[Mandante]])&amp;"|"&amp;TRIM(tblDados[[#This Row],[Visitante]]))</f>
        <v>2026-07-17|LA Galaxy|Los Angeles FC</v>
      </c>
      <c r="T1421">
        <f>IF($G1421="",0,IF(COUNTIF($S$2:$S2909,$S1421)=1,1,0))</f>
        <v>1</v>
      </c>
      <c r="U1421" s="19" t="str">
        <f>IF(tblDados[[#This Row],[Mandante]]="","",IF(COUNTIF(CadastroEquipes,TRIM(tblDados[[#This Row],[Mandante]]))&gt;0,"","⚠ Nome não cadastrado"))</f>
        <v/>
      </c>
      <c r="V1421" s="19" t="str">
        <f>IF(tblDados[[#This Row],[Visitante]]="","",IF(COUNTIF(CadastroEquipes,TRIM(tblDados[[#This Row],[Visitante]]))&gt;0,"","⚠ Nome não cadastrado"))</f>
        <v/>
      </c>
    </row>
    <row r="1422" spans="1:22" ht="14.4" x14ac:dyDescent="0.3">
      <c r="A1422" s="1" t="s">
        <v>4020</v>
      </c>
      <c r="B1422" s="102">
        <v>46158</v>
      </c>
      <c r="C1422" s="6">
        <v>0.97916666666666696</v>
      </c>
      <c r="D1422" s="1" t="s">
        <v>39</v>
      </c>
      <c r="E1422" s="1" t="s">
        <v>3707</v>
      </c>
      <c r="F1422" s="1" t="s">
        <v>4021</v>
      </c>
      <c r="G1422" s="39" t="s">
        <v>3932</v>
      </c>
      <c r="H1422" s="1">
        <v>0</v>
      </c>
      <c r="I1422" s="1">
        <v>2</v>
      </c>
      <c r="J1422" s="39" t="s">
        <v>3744</v>
      </c>
      <c r="K1422" s="1">
        <v>2</v>
      </c>
      <c r="L1422" s="1">
        <v>0</v>
      </c>
      <c r="S1422" s="1" t="str">
        <f>IF(tblDados[[#This Row],[Mandante]]="","",TEXT(tblDados[[#This Row],[Data]],"aaaa-mm-dd")&amp;"|"&amp;TRIM(tblDados[[#This Row],[Mandante]])&amp;"|"&amp;TRIM(tblDados[[#This Row],[Visitante]]))</f>
        <v>2026-05-16|Seattle Sounders FC|LA Galaxy</v>
      </c>
      <c r="T1422">
        <f>IF($G1422="",0,IF(COUNTIF($S$2:$S2910,$S1422)=1,1,0))</f>
        <v>1</v>
      </c>
      <c r="U1422" s="19" t="str">
        <f>IF(tblDados[[#This Row],[Mandante]]="","",IF(COUNTIF(CadastroEquipes,TRIM(tblDados[[#This Row],[Mandante]]))&gt;0,"","⚠ Nome não cadastrado"))</f>
        <v/>
      </c>
      <c r="V1422" s="19" t="str">
        <f>IF(tblDados[[#This Row],[Visitante]]="","",IF(COUNTIF(CadastroEquipes,TRIM(tblDados[[#This Row],[Visitante]]))&gt;0,"","⚠ Nome não cadastrado"))</f>
        <v/>
      </c>
    </row>
    <row r="1423" spans="1:22" ht="14.4" x14ac:dyDescent="0.3">
      <c r="A1423" s="1" t="s">
        <v>4022</v>
      </c>
      <c r="B1423" s="102">
        <v>46155</v>
      </c>
      <c r="C1423" s="6">
        <v>0.89583333333333304</v>
      </c>
      <c r="D1423" s="1" t="s">
        <v>39</v>
      </c>
      <c r="E1423" s="1" t="s">
        <v>3707</v>
      </c>
      <c r="F1423" s="1" t="s">
        <v>4023</v>
      </c>
      <c r="G1423" s="39" t="s">
        <v>3792</v>
      </c>
      <c r="H1423" s="1">
        <v>3</v>
      </c>
      <c r="I1423" s="1">
        <v>1</v>
      </c>
      <c r="J1423" s="39" t="s">
        <v>3744</v>
      </c>
      <c r="K1423" s="1">
        <v>1</v>
      </c>
      <c r="L1423" s="1">
        <v>3</v>
      </c>
      <c r="S1423" s="1" t="str">
        <f>IF(tblDados[[#This Row],[Mandante]]="","",TEXT(tblDados[[#This Row],[Data]],"aaaa-mm-dd")&amp;"|"&amp;TRIM(tblDados[[#This Row],[Mandante]])&amp;"|"&amp;TRIM(tblDados[[#This Row],[Visitante]]))</f>
        <v>2026-05-13|Sporting Kansas City|LA Galaxy</v>
      </c>
      <c r="T1423">
        <f>IF($G1423="",0,IF(COUNTIF($S$2:$S2911,$S1423)=1,1,0))</f>
        <v>1</v>
      </c>
      <c r="U1423" s="19" t="str">
        <f>IF(tblDados[[#This Row],[Mandante]]="","",IF(COUNTIF(CadastroEquipes,TRIM(tblDados[[#This Row],[Mandante]]))&gt;0,"","⚠ Nome não cadastrado"))</f>
        <v/>
      </c>
      <c r="V1423" s="19" t="str">
        <f>IF(tblDados[[#This Row],[Visitante]]="","",IF(COUNTIF(CadastroEquipes,TRIM(tblDados[[#This Row],[Visitante]]))&gt;0,"","⚠ Nome não cadastrado"))</f>
        <v/>
      </c>
    </row>
    <row r="1424" spans="1:22" ht="14.4" x14ac:dyDescent="0.3">
      <c r="A1424" s="1" t="s">
        <v>4024</v>
      </c>
      <c r="B1424" s="102">
        <v>46144</v>
      </c>
      <c r="C1424" s="6">
        <v>0.97916666666666696</v>
      </c>
      <c r="D1424" s="1" t="s">
        <v>39</v>
      </c>
      <c r="E1424" s="1" t="s">
        <v>3707</v>
      </c>
      <c r="F1424" s="1" t="s">
        <v>4025</v>
      </c>
      <c r="G1424" s="39" t="s">
        <v>3744</v>
      </c>
      <c r="H1424" s="1">
        <v>1</v>
      </c>
      <c r="I1424" s="1">
        <v>1</v>
      </c>
      <c r="J1424" s="39" t="s">
        <v>3810</v>
      </c>
      <c r="K1424" s="1">
        <v>1</v>
      </c>
      <c r="L1424" s="1">
        <v>1</v>
      </c>
      <c r="S1424" s="1" t="str">
        <f>IF(tblDados[[#This Row],[Mandante]]="","",TEXT(tblDados[[#This Row],[Data]],"aaaa-mm-dd")&amp;"|"&amp;TRIM(tblDados[[#This Row],[Mandante]])&amp;"|"&amp;TRIM(tblDados[[#This Row],[Visitante]]))</f>
        <v>2026-05-02|LA Galaxy|Vancouver Whitecaps FC</v>
      </c>
      <c r="T1424">
        <f>IF($G1424="",0,IF(COUNTIF($S$2:$S2912,$S1424)=1,1,0))</f>
        <v>1</v>
      </c>
      <c r="U1424" s="19" t="str">
        <f>IF(tblDados[[#This Row],[Mandante]]="","",IF(COUNTIF(CadastroEquipes,TRIM(tblDados[[#This Row],[Mandante]]))&gt;0,"","⚠ Nome não cadastrado"))</f>
        <v/>
      </c>
      <c r="V1424" s="19" t="str">
        <f>IF(tblDados[[#This Row],[Visitante]]="","",IF(COUNTIF(CadastroEquipes,TRIM(tblDados[[#This Row],[Visitante]]))&gt;0,"","⚠ Nome não cadastrado"))</f>
        <v/>
      </c>
    </row>
    <row r="1425" spans="1:22" ht="14.4" x14ac:dyDescent="0.3">
      <c r="A1425" s="1" t="s">
        <v>4026</v>
      </c>
      <c r="B1425" s="102">
        <v>46138</v>
      </c>
      <c r="C1425" s="6">
        <v>0.97916666666666696</v>
      </c>
      <c r="D1425" s="1" t="s">
        <v>39</v>
      </c>
      <c r="E1425" s="1" t="s">
        <v>3707</v>
      </c>
      <c r="F1425" s="1" t="s">
        <v>4027</v>
      </c>
      <c r="G1425" s="39" t="s">
        <v>3744</v>
      </c>
      <c r="H1425" s="1">
        <v>2</v>
      </c>
      <c r="I1425" s="1">
        <v>1</v>
      </c>
      <c r="J1425" s="39" t="s">
        <v>3869</v>
      </c>
      <c r="K1425" s="1">
        <v>1</v>
      </c>
      <c r="L1425" s="1">
        <v>2</v>
      </c>
      <c r="S1425" s="1" t="str">
        <f>IF(tblDados[[#This Row],[Mandante]]="","",TEXT(tblDados[[#This Row],[Data]],"aaaa-mm-dd")&amp;"|"&amp;TRIM(tblDados[[#This Row],[Mandante]])&amp;"|"&amp;TRIM(tblDados[[#This Row],[Visitante]]))</f>
        <v>2026-04-26|LA Galaxy|Real Salt Lake</v>
      </c>
      <c r="T1425">
        <f>IF($G1425="",0,IF(COUNTIF($S$2:$S2913,$S1425)=1,1,0))</f>
        <v>1</v>
      </c>
      <c r="U1425" s="19" t="str">
        <f>IF(tblDados[[#This Row],[Mandante]]="","",IF(COUNTIF(CadastroEquipes,TRIM(tblDados[[#This Row],[Mandante]]))&gt;0,"","⚠ Nome não cadastrado"))</f>
        <v/>
      </c>
      <c r="V1425" s="19" t="str">
        <f>IF(tblDados[[#This Row],[Visitante]]="","",IF(COUNTIF(CadastroEquipes,TRIM(tblDados[[#This Row],[Visitante]]))&gt;0,"","⚠ Nome não cadastrado"))</f>
        <v/>
      </c>
    </row>
    <row r="1426" spans="1:22" ht="14.4" x14ac:dyDescent="0.3">
      <c r="A1426" s="1" t="s">
        <v>4028</v>
      </c>
      <c r="B1426" s="102">
        <v>46235</v>
      </c>
      <c r="C1426" s="6">
        <v>0.97916666666666696</v>
      </c>
      <c r="D1426" s="1" t="s">
        <v>39</v>
      </c>
      <c r="E1426" s="1" t="s">
        <v>3707</v>
      </c>
      <c r="F1426" s="1" t="s">
        <v>4029</v>
      </c>
      <c r="G1426" s="39" t="s">
        <v>3810</v>
      </c>
      <c r="H1426" s="1">
        <v>1</v>
      </c>
      <c r="I1426" s="1">
        <v>1</v>
      </c>
      <c r="J1426" s="39" t="s">
        <v>3883</v>
      </c>
      <c r="K1426" s="1">
        <v>1</v>
      </c>
      <c r="L1426" s="1">
        <v>1</v>
      </c>
      <c r="S1426" s="1" t="str">
        <f>IF(tblDados[[#This Row],[Mandante]]="","",TEXT(tblDados[[#This Row],[Data]],"aaaa-mm-dd")&amp;"|"&amp;TRIM(tblDados[[#This Row],[Mandante]])&amp;"|"&amp;TRIM(tblDados[[#This Row],[Visitante]]))</f>
        <v>2026-08-01|Vancouver Whitecaps FC|Los Angeles FC</v>
      </c>
      <c r="T1426">
        <f>IF($G1426="",0,IF(COUNTIF($S$2:$S2914,$S1426)=1,1,0))</f>
        <v>1</v>
      </c>
      <c r="U1426" s="19" t="str">
        <f>IF(tblDados[[#This Row],[Mandante]]="","",IF(COUNTIF(CadastroEquipes,TRIM(tblDados[[#This Row],[Mandante]]))&gt;0,"","⚠ Nome não cadastrado"))</f>
        <v/>
      </c>
      <c r="V1426" s="19" t="str">
        <f>IF(tblDados[[#This Row],[Visitante]]="","",IF(COUNTIF(CadastroEquipes,TRIM(tblDados[[#This Row],[Visitante]]))&gt;0,"","⚠ Nome não cadastrado"))</f>
        <v/>
      </c>
    </row>
    <row r="1427" spans="1:22" ht="14.4" x14ac:dyDescent="0.3">
      <c r="A1427" s="1" t="s">
        <v>4030</v>
      </c>
      <c r="B1427" s="102">
        <v>46228</v>
      </c>
      <c r="C1427" s="6">
        <v>0.97916666666666696</v>
      </c>
      <c r="D1427" s="1" t="s">
        <v>39</v>
      </c>
      <c r="E1427" s="1" t="s">
        <v>3707</v>
      </c>
      <c r="F1427" s="1" t="s">
        <v>4031</v>
      </c>
      <c r="G1427" s="39" t="s">
        <v>3883</v>
      </c>
      <c r="H1427" s="1">
        <v>4</v>
      </c>
      <c r="I1427" s="1">
        <v>0</v>
      </c>
      <c r="J1427" s="39" t="s">
        <v>3792</v>
      </c>
      <c r="K1427" s="1">
        <v>0</v>
      </c>
      <c r="L1427" s="1">
        <v>4</v>
      </c>
      <c r="S1427" s="1" t="str">
        <f>IF(tblDados[[#This Row],[Mandante]]="","",TEXT(tblDados[[#This Row],[Data]],"aaaa-mm-dd")&amp;"|"&amp;TRIM(tblDados[[#This Row],[Mandante]])&amp;"|"&amp;TRIM(tblDados[[#This Row],[Visitante]]))</f>
        <v>2026-07-25|Los Angeles FC|Sporting Kansas City</v>
      </c>
      <c r="T1427">
        <f>IF($G1427="",0,IF(COUNTIF($S$2:$S2915,$S1427)=1,1,0))</f>
        <v>1</v>
      </c>
      <c r="U1427" s="19" t="str">
        <f>IF(tblDados[[#This Row],[Mandante]]="","",IF(COUNTIF(CadastroEquipes,TRIM(tblDados[[#This Row],[Mandante]]))&gt;0,"","⚠ Nome não cadastrado"))</f>
        <v/>
      </c>
      <c r="V1427" s="19" t="str">
        <f>IF(tblDados[[#This Row],[Visitante]]="","",IF(COUNTIF(CadastroEquipes,TRIM(tblDados[[#This Row],[Visitante]]))&gt;0,"","⚠ Nome não cadastrado"))</f>
        <v/>
      </c>
    </row>
    <row r="1428" spans="1:22" ht="14.4" x14ac:dyDescent="0.3">
      <c r="A1428" s="1" t="s">
        <v>4032</v>
      </c>
      <c r="B1428" s="102">
        <v>46225</v>
      </c>
      <c r="C1428" s="6">
        <v>0.97916666666666696</v>
      </c>
      <c r="D1428" s="1" t="s">
        <v>39</v>
      </c>
      <c r="E1428" s="1" t="s">
        <v>3707</v>
      </c>
      <c r="F1428" s="1" t="s">
        <v>4033</v>
      </c>
      <c r="G1428" s="39" t="s">
        <v>3883</v>
      </c>
      <c r="H1428" s="1">
        <v>3</v>
      </c>
      <c r="I1428" s="1">
        <v>1</v>
      </c>
      <c r="J1428" s="39" t="s">
        <v>3869</v>
      </c>
      <c r="K1428" s="1">
        <v>1</v>
      </c>
      <c r="L1428" s="1">
        <v>3</v>
      </c>
      <c r="S1428" s="1" t="str">
        <f>IF(tblDados[[#This Row],[Mandante]]="","",TEXT(tblDados[[#This Row],[Data]],"aaaa-mm-dd")&amp;"|"&amp;TRIM(tblDados[[#This Row],[Mandante]])&amp;"|"&amp;TRIM(tblDados[[#This Row],[Visitante]]))</f>
        <v>2026-07-22|Los Angeles FC|Real Salt Lake</v>
      </c>
      <c r="T1428">
        <f>IF($G1428="",0,IF(COUNTIF($S$2:$S2916,$S1428)=1,1,0))</f>
        <v>1</v>
      </c>
      <c r="U1428" s="19" t="str">
        <f>IF(tblDados[[#This Row],[Mandante]]="","",IF(COUNTIF(CadastroEquipes,TRIM(tblDados[[#This Row],[Mandante]]))&gt;0,"","⚠ Nome não cadastrado"))</f>
        <v/>
      </c>
      <c r="V1428" s="19" t="str">
        <f>IF(tblDados[[#This Row],[Visitante]]="","",IF(COUNTIF(CadastroEquipes,TRIM(tblDados[[#This Row],[Visitante]]))&gt;0,"","⚠ Nome não cadastrado"))</f>
        <v/>
      </c>
    </row>
    <row r="1429" spans="1:22" ht="14.4" x14ac:dyDescent="0.3">
      <c r="A1429" s="1" t="s">
        <v>4034</v>
      </c>
      <c r="B1429" s="102">
        <v>46166</v>
      </c>
      <c r="C1429" s="6">
        <v>0.91666666666666696</v>
      </c>
      <c r="D1429" s="1" t="s">
        <v>39</v>
      </c>
      <c r="E1429" s="1" t="s">
        <v>3707</v>
      </c>
      <c r="F1429" s="1" t="s">
        <v>4035</v>
      </c>
      <c r="G1429" s="39" t="s">
        <v>3883</v>
      </c>
      <c r="H1429" s="1">
        <v>1</v>
      </c>
      <c r="I1429" s="1">
        <v>0</v>
      </c>
      <c r="J1429" s="39" t="s">
        <v>3932</v>
      </c>
      <c r="K1429" s="1">
        <v>0</v>
      </c>
      <c r="L1429" s="1">
        <v>1</v>
      </c>
      <c r="S1429" s="1" t="str">
        <f>IF(tblDados[[#This Row],[Mandante]]="","",TEXT(tblDados[[#This Row],[Data]],"aaaa-mm-dd")&amp;"|"&amp;TRIM(tblDados[[#This Row],[Mandante]])&amp;"|"&amp;TRIM(tblDados[[#This Row],[Visitante]]))</f>
        <v>2026-05-24|Los Angeles FC|Seattle Sounders FC</v>
      </c>
      <c r="T1429">
        <f>IF($G1429="",0,IF(COUNTIF($S$2:$S2917,$S1429)=1,1,0))</f>
        <v>1</v>
      </c>
      <c r="U1429" s="19" t="str">
        <f>IF(tblDados[[#This Row],[Mandante]]="","",IF(COUNTIF(CadastroEquipes,TRIM(tblDados[[#This Row],[Mandante]]))&gt;0,"","⚠ Nome não cadastrado"))</f>
        <v/>
      </c>
      <c r="V1429" s="19" t="str">
        <f>IF(tblDados[[#This Row],[Visitante]]="","",IF(COUNTIF(CadastroEquipes,TRIM(tblDados[[#This Row],[Visitante]]))&gt;0,"","⚠ Nome não cadastrado"))</f>
        <v/>
      </c>
    </row>
    <row r="1430" spans="1:22" ht="14.4" x14ac:dyDescent="0.3">
      <c r="A1430" s="1" t="s">
        <v>4036</v>
      </c>
      <c r="B1430" s="102">
        <v>46155</v>
      </c>
      <c r="C1430" s="6">
        <v>0.89583333333333304</v>
      </c>
      <c r="D1430" s="1" t="s">
        <v>39</v>
      </c>
      <c r="E1430" s="1" t="s">
        <v>3707</v>
      </c>
      <c r="F1430" s="1" t="s">
        <v>4037</v>
      </c>
      <c r="G1430" s="39" t="s">
        <v>3841</v>
      </c>
      <c r="H1430" s="1">
        <v>2</v>
      </c>
      <c r="I1430" s="1">
        <v>1</v>
      </c>
      <c r="J1430" s="39" t="s">
        <v>3883</v>
      </c>
      <c r="K1430" s="1">
        <v>1</v>
      </c>
      <c r="L1430" s="1">
        <v>2</v>
      </c>
      <c r="S1430" s="1" t="str">
        <f>IF(tblDados[[#This Row],[Mandante]]="","",TEXT(tblDados[[#This Row],[Data]],"aaaa-mm-dd")&amp;"|"&amp;TRIM(tblDados[[#This Row],[Mandante]])&amp;"|"&amp;TRIM(tblDados[[#This Row],[Visitante]]))</f>
        <v>2026-05-13|St. Louis CITY SC|Los Angeles FC</v>
      </c>
      <c r="T1430">
        <f>IF($G1430="",0,IF(COUNTIF($S$2:$S2918,$S1430)=1,1,0))</f>
        <v>1</v>
      </c>
      <c r="U1430" s="19" t="str">
        <f>IF(tblDados[[#This Row],[Mandante]]="","",IF(COUNTIF(CadastroEquipes,TRIM(tblDados[[#This Row],[Mandante]]))&gt;0,"","⚠ Nome não cadastrado"))</f>
        <v/>
      </c>
      <c r="V1430" s="19" t="str">
        <f>IF(tblDados[[#This Row],[Visitante]]="","",IF(COUNTIF(CadastroEquipes,TRIM(tblDados[[#This Row],[Visitante]]))&gt;0,"","⚠ Nome não cadastrado"))</f>
        <v/>
      </c>
    </row>
    <row r="1431" spans="1:22" ht="14.4" x14ac:dyDescent="0.3">
      <c r="A1431" s="1" t="s">
        <v>4038</v>
      </c>
      <c r="B1431" s="102">
        <v>46144</v>
      </c>
      <c r="C1431" s="6">
        <v>0.97916666666666696</v>
      </c>
      <c r="D1431" s="1" t="s">
        <v>39</v>
      </c>
      <c r="E1431" s="1" t="s">
        <v>3707</v>
      </c>
      <c r="F1431" s="1" t="s">
        <v>4039</v>
      </c>
      <c r="G1431" s="39" t="s">
        <v>3807</v>
      </c>
      <c r="H1431" s="1">
        <v>2</v>
      </c>
      <c r="I1431" s="1">
        <v>2</v>
      </c>
      <c r="J1431" s="39" t="s">
        <v>3883</v>
      </c>
      <c r="K1431" s="1">
        <v>2</v>
      </c>
      <c r="L1431" s="1">
        <v>2</v>
      </c>
      <c r="S1431" s="1" t="str">
        <f>IF(tblDados[[#This Row],[Mandante]]="","",TEXT(tblDados[[#This Row],[Data]],"aaaa-mm-dd")&amp;"|"&amp;TRIM(tblDados[[#This Row],[Mandante]])&amp;"|"&amp;TRIM(tblDados[[#This Row],[Visitante]]))</f>
        <v>2026-05-02|San Diego FC|Los Angeles FC</v>
      </c>
      <c r="T1431">
        <f>IF($G1431="",0,IF(COUNTIF($S$2:$S2919,$S1431)=1,1,0))</f>
        <v>1</v>
      </c>
      <c r="U1431" s="19" t="str">
        <f>IF(tblDados[[#This Row],[Mandante]]="","",IF(COUNTIF(CadastroEquipes,TRIM(tblDados[[#This Row],[Mandante]]))&gt;0,"","⚠ Nome não cadastrado"))</f>
        <v/>
      </c>
      <c r="V1431" s="19" t="str">
        <f>IF(tblDados[[#This Row],[Visitante]]="","",IF(COUNTIF(CadastroEquipes,TRIM(tblDados[[#This Row],[Visitante]]))&gt;0,"","⚠ Nome não cadastrado"))</f>
        <v/>
      </c>
    </row>
    <row r="1432" spans="1:22" ht="14.4" x14ac:dyDescent="0.3">
      <c r="A1432" s="1" t="s">
        <v>4040</v>
      </c>
      <c r="B1432" s="102">
        <v>46137</v>
      </c>
      <c r="C1432" s="6">
        <v>0.89583333333333304</v>
      </c>
      <c r="D1432" s="1" t="s">
        <v>39</v>
      </c>
      <c r="E1432" s="1" t="s">
        <v>3707</v>
      </c>
      <c r="F1432" s="1" t="s">
        <v>4041</v>
      </c>
      <c r="G1432" s="39" t="s">
        <v>3821</v>
      </c>
      <c r="H1432" s="1">
        <v>0</v>
      </c>
      <c r="I1432" s="1">
        <v>1</v>
      </c>
      <c r="J1432" s="39" t="s">
        <v>3883</v>
      </c>
      <c r="K1432" s="1">
        <v>1</v>
      </c>
      <c r="L1432" s="1">
        <v>0</v>
      </c>
      <c r="S1432" s="1" t="str">
        <f>IF(tblDados[[#This Row],[Mandante]]="","",TEXT(tblDados[[#This Row],[Data]],"aaaa-mm-dd")&amp;"|"&amp;TRIM(tblDados[[#This Row],[Mandante]])&amp;"|"&amp;TRIM(tblDados[[#This Row],[Visitante]]))</f>
        <v>2026-04-25|Minnesota United FC|Los Angeles FC</v>
      </c>
      <c r="T1432">
        <f>IF($G1432="",0,IF(COUNTIF($S$2:$S2920,$S1432)=1,1,0))</f>
        <v>1</v>
      </c>
      <c r="U1432" s="19" t="str">
        <f>IF(tblDados[[#This Row],[Mandante]]="","",IF(COUNTIF(CadastroEquipes,TRIM(tblDados[[#This Row],[Mandante]]))&gt;0,"","⚠ Nome não cadastrado"))</f>
        <v/>
      </c>
      <c r="V1432" s="19" t="str">
        <f>IF(tblDados[[#This Row],[Visitante]]="","",IF(COUNTIF(CadastroEquipes,TRIM(tblDados[[#This Row],[Visitante]]))&gt;0,"","⚠ Nome não cadastrado"))</f>
        <v/>
      </c>
    </row>
    <row r="1433" spans="1:22" ht="14.4" x14ac:dyDescent="0.3">
      <c r="A1433" s="1" t="s">
        <v>4042</v>
      </c>
      <c r="B1433" s="102">
        <v>46131</v>
      </c>
      <c r="C1433" s="6">
        <v>0.91666666666666696</v>
      </c>
      <c r="D1433" s="1" t="s">
        <v>39</v>
      </c>
      <c r="E1433" s="1" t="s">
        <v>3707</v>
      </c>
      <c r="F1433" s="1" t="s">
        <v>4043</v>
      </c>
      <c r="G1433" s="39" t="s">
        <v>3883</v>
      </c>
      <c r="H1433" s="1">
        <v>1</v>
      </c>
      <c r="I1433" s="1">
        <v>4</v>
      </c>
      <c r="J1433" s="39" t="s">
        <v>241</v>
      </c>
      <c r="K1433" s="1">
        <v>4</v>
      </c>
      <c r="L1433" s="1">
        <v>1</v>
      </c>
      <c r="S1433" s="1" t="str">
        <f>IF(tblDados[[#This Row],[Mandante]]="","",TEXT(tblDados[[#This Row],[Data]],"aaaa-mm-dd")&amp;"|"&amp;TRIM(tblDados[[#This Row],[Mandante]])&amp;"|"&amp;TRIM(tblDados[[#This Row],[Visitante]]))</f>
        <v>2026-04-19|Los Angeles FC|San Jose Earthquakes</v>
      </c>
      <c r="T1433">
        <f>IF($G1433="",0,IF(COUNTIF($S$2:$S2921,$S1433)=1,1,0))</f>
        <v>1</v>
      </c>
      <c r="U1433" s="19" t="str">
        <f>IF(tblDados[[#This Row],[Mandante]]="","",IF(COUNTIF(CadastroEquipes,TRIM(tblDados[[#This Row],[Mandante]]))&gt;0,"","⚠ Nome não cadastrado"))</f>
        <v/>
      </c>
      <c r="V1433" s="19" t="str">
        <f>IF(tblDados[[#This Row],[Visitante]]="","",IF(COUNTIF(CadastroEquipes,TRIM(tblDados[[#This Row],[Visitante]]))&gt;0,"","⚠ Nome não cadastrado"))</f>
        <v/>
      </c>
    </row>
    <row r="1434" spans="1:22" ht="14.4" x14ac:dyDescent="0.3">
      <c r="A1434" s="1" t="s">
        <v>4044</v>
      </c>
      <c r="B1434" s="102">
        <v>46235</v>
      </c>
      <c r="C1434" s="6">
        <v>0.89583333333333304</v>
      </c>
      <c r="D1434" s="1" t="s">
        <v>39</v>
      </c>
      <c r="E1434" s="1" t="s">
        <v>3707</v>
      </c>
      <c r="F1434" s="1" t="s">
        <v>4045</v>
      </c>
      <c r="G1434" s="39" t="s">
        <v>3821</v>
      </c>
      <c r="H1434" s="1">
        <v>1</v>
      </c>
      <c r="I1434" s="1">
        <v>1</v>
      </c>
      <c r="J1434" s="39" t="s">
        <v>3807</v>
      </c>
      <c r="K1434" s="1">
        <v>1</v>
      </c>
      <c r="L1434" s="1">
        <v>1</v>
      </c>
      <c r="S1434" s="1" t="str">
        <f>IF(tblDados[[#This Row],[Mandante]]="","",TEXT(tblDados[[#This Row],[Data]],"aaaa-mm-dd")&amp;"|"&amp;TRIM(tblDados[[#This Row],[Mandante]])&amp;"|"&amp;TRIM(tblDados[[#This Row],[Visitante]]))</f>
        <v>2026-08-01|Minnesota United FC|San Diego FC</v>
      </c>
      <c r="T1434">
        <f>IF($G1434="",0,IF(COUNTIF($S$2:$S2922,$S1434)=1,1,0))</f>
        <v>1</v>
      </c>
      <c r="U1434" s="19" t="str">
        <f>IF(tblDados[[#This Row],[Mandante]]="","",IF(COUNTIF(CadastroEquipes,TRIM(tblDados[[#This Row],[Mandante]]))&gt;0,"","⚠ Nome não cadastrado"))</f>
        <v/>
      </c>
      <c r="V1434" s="19" t="str">
        <f>IF(tblDados[[#This Row],[Visitante]]="","",IF(COUNTIF(CadastroEquipes,TRIM(tblDados[[#This Row],[Visitante]]))&gt;0,"","⚠ Nome não cadastrado"))</f>
        <v/>
      </c>
    </row>
    <row r="1435" spans="1:22" ht="14.4" x14ac:dyDescent="0.3">
      <c r="A1435" s="1" t="s">
        <v>4046</v>
      </c>
      <c r="B1435" s="102">
        <v>46228</v>
      </c>
      <c r="C1435" s="6">
        <v>0.89583333333333304</v>
      </c>
      <c r="D1435" s="1" t="s">
        <v>39</v>
      </c>
      <c r="E1435" s="1" t="s">
        <v>3707</v>
      </c>
      <c r="F1435" s="1" t="s">
        <v>4047</v>
      </c>
      <c r="G1435" s="39" t="s">
        <v>3821</v>
      </c>
      <c r="H1435" s="1">
        <v>0</v>
      </c>
      <c r="I1435" s="1">
        <v>0</v>
      </c>
      <c r="J1435" s="39" t="s">
        <v>3810</v>
      </c>
      <c r="K1435" s="1">
        <v>0</v>
      </c>
      <c r="L1435" s="1">
        <v>0</v>
      </c>
      <c r="S1435" s="1" t="str">
        <f>IF(tblDados[[#This Row],[Mandante]]="","",TEXT(tblDados[[#This Row],[Data]],"aaaa-mm-dd")&amp;"|"&amp;TRIM(tblDados[[#This Row],[Mandante]])&amp;"|"&amp;TRIM(tblDados[[#This Row],[Visitante]]))</f>
        <v>2026-07-25|Minnesota United FC|Vancouver Whitecaps FC</v>
      </c>
      <c r="T1435">
        <f>IF($G1435="",0,IF(COUNTIF($S$2:$S2923,$S1435)=1,1,0))</f>
        <v>1</v>
      </c>
      <c r="U1435" s="19" t="str">
        <f>IF(tblDados[[#This Row],[Mandante]]="","",IF(COUNTIF(CadastroEquipes,TRIM(tblDados[[#This Row],[Mandante]]))&gt;0,"","⚠ Nome não cadastrado"))</f>
        <v/>
      </c>
      <c r="V1435" s="19" t="str">
        <f>IF(tblDados[[#This Row],[Visitante]]="","",IF(COUNTIF(CadastroEquipes,TRIM(tblDados[[#This Row],[Visitante]]))&gt;0,"","⚠ Nome não cadastrado"))</f>
        <v/>
      </c>
    </row>
    <row r="1436" spans="1:22" ht="14.4" x14ac:dyDescent="0.3">
      <c r="A1436" s="1" t="s">
        <v>4048</v>
      </c>
      <c r="B1436" s="102">
        <v>46225</v>
      </c>
      <c r="C1436" s="6">
        <v>0.89583333333333304</v>
      </c>
      <c r="D1436" s="1" t="s">
        <v>39</v>
      </c>
      <c r="E1436" s="1" t="s">
        <v>3707</v>
      </c>
      <c r="F1436" s="1" t="s">
        <v>4049</v>
      </c>
      <c r="G1436" s="39" t="s">
        <v>3792</v>
      </c>
      <c r="H1436" s="1">
        <v>2</v>
      </c>
      <c r="I1436" s="1">
        <v>1</v>
      </c>
      <c r="J1436" s="39" t="s">
        <v>3821</v>
      </c>
      <c r="K1436" s="1">
        <v>1</v>
      </c>
      <c r="L1436" s="1">
        <v>2</v>
      </c>
      <c r="S1436" s="1" t="str">
        <f>IF(tblDados[[#This Row],[Mandante]]="","",TEXT(tblDados[[#This Row],[Data]],"aaaa-mm-dd")&amp;"|"&amp;TRIM(tblDados[[#This Row],[Mandante]])&amp;"|"&amp;TRIM(tblDados[[#This Row],[Visitante]]))</f>
        <v>2026-07-22|Sporting Kansas City|Minnesota United FC</v>
      </c>
      <c r="T1436">
        <f>IF($G1436="",0,IF(COUNTIF($S$2:$S2924,$S1436)=1,1,0))</f>
        <v>1</v>
      </c>
      <c r="U1436" s="19" t="str">
        <f>IF(tblDados[[#This Row],[Mandante]]="","",IF(COUNTIF(CadastroEquipes,TRIM(tblDados[[#This Row],[Mandante]]))&gt;0,"","⚠ Nome não cadastrado"))</f>
        <v/>
      </c>
      <c r="V1436" s="19" t="str">
        <f>IF(tblDados[[#This Row],[Visitante]]="","",IF(COUNTIF(CadastroEquipes,TRIM(tblDados[[#This Row],[Visitante]]))&gt;0,"","⚠ Nome não cadastrado"))</f>
        <v/>
      </c>
    </row>
    <row r="1437" spans="1:22" ht="14.4" x14ac:dyDescent="0.3">
      <c r="A1437" s="1" t="s">
        <v>4050</v>
      </c>
      <c r="B1437" s="102">
        <v>46165</v>
      </c>
      <c r="C1437" s="6">
        <v>0.89583333333333304</v>
      </c>
      <c r="D1437" s="1" t="s">
        <v>39</v>
      </c>
      <c r="E1437" s="1" t="s">
        <v>3707</v>
      </c>
      <c r="F1437" s="1" t="s">
        <v>4051</v>
      </c>
      <c r="G1437" s="39" t="s">
        <v>3821</v>
      </c>
      <c r="H1437" s="1">
        <v>1</v>
      </c>
      <c r="I1437" s="1">
        <v>1</v>
      </c>
      <c r="J1437" s="39" t="s">
        <v>3869</v>
      </c>
      <c r="K1437" s="1">
        <v>1</v>
      </c>
      <c r="L1437" s="1">
        <v>1</v>
      </c>
      <c r="S1437" s="1" t="str">
        <f>IF(tblDados[[#This Row],[Mandante]]="","",TEXT(tblDados[[#This Row],[Data]],"aaaa-mm-dd")&amp;"|"&amp;TRIM(tblDados[[#This Row],[Mandante]])&amp;"|"&amp;TRIM(tblDados[[#This Row],[Visitante]]))</f>
        <v>2026-05-23|Minnesota United FC|Real Salt Lake</v>
      </c>
      <c r="T1437">
        <f>IF($G1437="",0,IF(COUNTIF($S$2:$S2925,$S1437)=1,1,0))</f>
        <v>1</v>
      </c>
      <c r="U1437" s="19" t="str">
        <f>IF(tblDados[[#This Row],[Mandante]]="","",IF(COUNTIF(CadastroEquipes,TRIM(tblDados[[#This Row],[Mandante]]))&gt;0,"","⚠ Nome não cadastrado"))</f>
        <v/>
      </c>
      <c r="V1437" s="19" t="str">
        <f>IF(tblDados[[#This Row],[Visitante]]="","",IF(COUNTIF(CadastroEquipes,TRIM(tblDados[[#This Row],[Visitante]]))&gt;0,"","⚠ Nome não cadastrado"))</f>
        <v/>
      </c>
    </row>
    <row r="1438" spans="1:22" ht="14.4" x14ac:dyDescent="0.3">
      <c r="A1438" s="1" t="s">
        <v>4052</v>
      </c>
      <c r="B1438" s="102">
        <v>46130</v>
      </c>
      <c r="C1438" s="6">
        <v>0.89583333333333304</v>
      </c>
      <c r="D1438" s="1" t="s">
        <v>39</v>
      </c>
      <c r="E1438" s="1" t="s">
        <v>3707</v>
      </c>
      <c r="F1438" s="1" t="s">
        <v>4053</v>
      </c>
      <c r="G1438" s="39" t="s">
        <v>3821</v>
      </c>
      <c r="H1438" s="1">
        <v>2</v>
      </c>
      <c r="I1438" s="1">
        <v>0</v>
      </c>
      <c r="J1438" s="39" t="s">
        <v>247</v>
      </c>
      <c r="K1438" s="1">
        <v>0</v>
      </c>
      <c r="L1438" s="1">
        <v>2</v>
      </c>
      <c r="S1438" s="1" t="str">
        <f>IF(tblDados[[#This Row],[Mandante]]="","",TEXT(tblDados[[#This Row],[Data]],"aaaa-mm-dd")&amp;"|"&amp;TRIM(tblDados[[#This Row],[Mandante]])&amp;"|"&amp;TRIM(tblDados[[#This Row],[Visitante]]))</f>
        <v>2026-04-18|Minnesota United FC|Portland Timbers</v>
      </c>
      <c r="T1438">
        <f>IF($G1438="",0,IF(COUNTIF($S$2:$S2926,$S1438)=1,1,0))</f>
        <v>1</v>
      </c>
      <c r="U1438" s="19" t="str">
        <f>IF(tblDados[[#This Row],[Mandante]]="","",IF(COUNTIF(CadastroEquipes,TRIM(tblDados[[#This Row],[Mandante]]))&gt;0,"","⚠ Nome não cadastrado"))</f>
        <v/>
      </c>
      <c r="V1438" s="19" t="str">
        <f>IF(tblDados[[#This Row],[Visitante]]="","",IF(COUNTIF(CadastroEquipes,TRIM(tblDados[[#This Row],[Visitante]]))&gt;0,"","⚠ Nome não cadastrado"))</f>
        <v/>
      </c>
    </row>
    <row r="1439" spans="1:22" ht="14.4" x14ac:dyDescent="0.3">
      <c r="A1439" s="1" t="s">
        <v>4054</v>
      </c>
      <c r="B1439" s="102">
        <v>46123</v>
      </c>
      <c r="C1439" s="6">
        <v>0.97916666666666696</v>
      </c>
      <c r="D1439" s="1" t="s">
        <v>39</v>
      </c>
      <c r="E1439" s="1" t="s">
        <v>3707</v>
      </c>
      <c r="F1439" s="1" t="s">
        <v>4055</v>
      </c>
      <c r="G1439" s="39" t="s">
        <v>3807</v>
      </c>
      <c r="H1439" s="1">
        <v>1</v>
      </c>
      <c r="I1439" s="1">
        <v>2</v>
      </c>
      <c r="J1439" s="39" t="s">
        <v>3821</v>
      </c>
      <c r="K1439" s="1">
        <v>2</v>
      </c>
      <c r="L1439" s="1">
        <v>1</v>
      </c>
      <c r="S1439" s="1" t="str">
        <f>IF(tblDados[[#This Row],[Mandante]]="","",TEXT(tblDados[[#This Row],[Data]],"aaaa-mm-dd")&amp;"|"&amp;TRIM(tblDados[[#This Row],[Mandante]])&amp;"|"&amp;TRIM(tblDados[[#This Row],[Visitante]]))</f>
        <v>2026-04-11|San Diego FC|Minnesota United FC</v>
      </c>
      <c r="T1439">
        <f>IF($G1439="",0,IF(COUNTIF($S$2:$S2927,$S1439)=1,1,0))</f>
        <v>1</v>
      </c>
      <c r="U1439" s="19" t="str">
        <f>IF(tblDados[[#This Row],[Mandante]]="","",IF(COUNTIF(CadastroEquipes,TRIM(tblDados[[#This Row],[Mandante]]))&gt;0,"","⚠ Nome não cadastrado"))</f>
        <v/>
      </c>
      <c r="V1439" s="19" t="str">
        <f>IF(tblDados[[#This Row],[Visitante]]="","",IF(COUNTIF(CadastroEquipes,TRIM(tblDados[[#This Row],[Visitante]]))&gt;0,"","⚠ Nome não cadastrado"))</f>
        <v/>
      </c>
    </row>
    <row r="1440" spans="1:22" ht="14.4" x14ac:dyDescent="0.3">
      <c r="A1440" s="1" t="s">
        <v>4057</v>
      </c>
      <c r="B1440" s="102">
        <v>46228</v>
      </c>
      <c r="C1440" s="6">
        <v>0.9375</v>
      </c>
      <c r="D1440" s="1" t="s">
        <v>39</v>
      </c>
      <c r="E1440" s="1" t="s">
        <v>3707</v>
      </c>
      <c r="F1440" s="1" t="s">
        <v>4058</v>
      </c>
      <c r="G1440" s="39" t="s">
        <v>247</v>
      </c>
      <c r="H1440" s="1">
        <v>2</v>
      </c>
      <c r="I1440" s="1">
        <v>1</v>
      </c>
      <c r="J1440" s="39" t="s">
        <v>3869</v>
      </c>
      <c r="K1440" s="1">
        <v>1</v>
      </c>
      <c r="L1440" s="1">
        <v>2</v>
      </c>
      <c r="S1440" s="1" t="str">
        <f>IF(tblDados[[#This Row],[Mandante]]="","",TEXT(tblDados[[#This Row],[Data]],"aaaa-mm-dd")&amp;"|"&amp;TRIM(tblDados[[#This Row],[Mandante]])&amp;"|"&amp;TRIM(tblDados[[#This Row],[Visitante]]))</f>
        <v>2026-07-25|Portland Timbers|Real Salt Lake</v>
      </c>
      <c r="T1440">
        <f>IF($G1440="",0,IF(COUNTIF($S$2:$S2928,$S1440)=1,1,0))</f>
        <v>1</v>
      </c>
      <c r="U1440" s="19" t="str">
        <f>IF(tblDados[[#This Row],[Mandante]]="","",IF(COUNTIF(CadastroEquipes,TRIM(tblDados[[#This Row],[Mandante]]))&gt;0,"","⚠ Nome não cadastrado"))</f>
        <v/>
      </c>
      <c r="V1440" s="19" t="str">
        <f>IF(tblDados[[#This Row],[Visitante]]="","",IF(COUNTIF(CadastroEquipes,TRIM(tblDados[[#This Row],[Visitante]]))&gt;0,"","⚠ Nome não cadastrado"))</f>
        <v/>
      </c>
    </row>
    <row r="1441" spans="1:22" ht="14.4" x14ac:dyDescent="0.3">
      <c r="A1441" s="1" t="s">
        <v>4059</v>
      </c>
      <c r="B1441" s="102">
        <v>46219</v>
      </c>
      <c r="C1441" s="6">
        <v>0.9375</v>
      </c>
      <c r="D1441" s="1" t="s">
        <v>39</v>
      </c>
      <c r="E1441" s="1" t="s">
        <v>3707</v>
      </c>
      <c r="F1441" s="1" t="s">
        <v>4060</v>
      </c>
      <c r="G1441" s="39" t="s">
        <v>3932</v>
      </c>
      <c r="H1441" s="1">
        <v>1</v>
      </c>
      <c r="I1441" s="1">
        <v>5</v>
      </c>
      <c r="J1441" s="39" t="s">
        <v>247</v>
      </c>
      <c r="K1441" s="1">
        <v>5</v>
      </c>
      <c r="L1441" s="1">
        <v>1</v>
      </c>
      <c r="S1441" s="1" t="str">
        <f>IF(tblDados[[#This Row],[Mandante]]="","",TEXT(tblDados[[#This Row],[Data]],"aaaa-mm-dd")&amp;"|"&amp;TRIM(tblDados[[#This Row],[Mandante]])&amp;"|"&amp;TRIM(tblDados[[#This Row],[Visitante]]))</f>
        <v>2026-07-16|Seattle Sounders FC|Portland Timbers</v>
      </c>
      <c r="T1441">
        <f>IF($G1441="",0,IF(COUNTIF($S$2:$S2929,$S1441)=1,1,0))</f>
        <v>1</v>
      </c>
      <c r="U1441" s="19" t="str">
        <f>IF(tblDados[[#This Row],[Mandante]]="","",IF(COUNTIF(CadastroEquipes,TRIM(tblDados[[#This Row],[Mandante]]))&gt;0,"","⚠ Nome não cadastrado"))</f>
        <v/>
      </c>
      <c r="V1441" s="19" t="str">
        <f>IF(tblDados[[#This Row],[Visitante]]="","",IF(COUNTIF(CadastroEquipes,TRIM(tblDados[[#This Row],[Visitante]]))&gt;0,"","⚠ Nome não cadastrado"))</f>
        <v/>
      </c>
    </row>
    <row r="1442" spans="1:22" ht="14.4" x14ac:dyDescent="0.3">
      <c r="A1442" s="1" t="s">
        <v>4061</v>
      </c>
      <c r="B1442" s="102">
        <v>46165</v>
      </c>
      <c r="C1442" s="6">
        <v>0.89583333333333304</v>
      </c>
      <c r="D1442" s="1" t="s">
        <v>39</v>
      </c>
      <c r="E1442" s="1" t="s">
        <v>3707</v>
      </c>
      <c r="F1442" s="1" t="s">
        <v>4062</v>
      </c>
      <c r="G1442" s="39" t="s">
        <v>247</v>
      </c>
      <c r="H1442" s="1">
        <v>1</v>
      </c>
      <c r="I1442" s="1">
        <v>3</v>
      </c>
      <c r="J1442" s="39" t="s">
        <v>241</v>
      </c>
      <c r="K1442" s="1">
        <v>3</v>
      </c>
      <c r="L1442" s="1">
        <v>1</v>
      </c>
      <c r="S1442" s="1" t="str">
        <f>IF(tblDados[[#This Row],[Mandante]]="","",TEXT(tblDados[[#This Row],[Data]],"aaaa-mm-dd")&amp;"|"&amp;TRIM(tblDados[[#This Row],[Mandante]])&amp;"|"&amp;TRIM(tblDados[[#This Row],[Visitante]]))</f>
        <v>2026-05-23|Portland Timbers|San Jose Earthquakes</v>
      </c>
      <c r="T1442">
        <f>IF($G1442="",0,IF(COUNTIF($S$2:$S2930,$S1442)=1,1,0))</f>
        <v>1</v>
      </c>
      <c r="U1442" s="19" t="str">
        <f>IF(tblDados[[#This Row],[Mandante]]="","",IF(COUNTIF(CadastroEquipes,TRIM(tblDados[[#This Row],[Mandante]]))&gt;0,"","⚠ Nome não cadastrado"))</f>
        <v/>
      </c>
      <c r="V1442" s="19" t="str">
        <f>IF(tblDados[[#This Row],[Visitante]]="","",IF(COUNTIF(CadastroEquipes,TRIM(tblDados[[#This Row],[Visitante]]))&gt;0,"","⚠ Nome não cadastrado"))</f>
        <v/>
      </c>
    </row>
    <row r="1443" spans="1:22" ht="14.4" x14ac:dyDescent="0.3">
      <c r="A1443" s="1" t="s">
        <v>4063</v>
      </c>
      <c r="B1443" s="102">
        <v>46151</v>
      </c>
      <c r="C1443" s="6">
        <v>0.9375</v>
      </c>
      <c r="D1443" s="1" t="s">
        <v>39</v>
      </c>
      <c r="E1443" s="1" t="s">
        <v>3707</v>
      </c>
      <c r="F1443" s="1" t="s">
        <v>4064</v>
      </c>
      <c r="G1443" s="39" t="s">
        <v>247</v>
      </c>
      <c r="H1443" s="1">
        <v>6</v>
      </c>
      <c r="I1443" s="1">
        <v>0</v>
      </c>
      <c r="J1443" s="39" t="s">
        <v>3792</v>
      </c>
      <c r="K1443" s="1">
        <v>0</v>
      </c>
      <c r="L1443" s="1">
        <v>6</v>
      </c>
      <c r="S1443" s="1" t="str">
        <f>IF(tblDados[[#This Row],[Mandante]]="","",TEXT(tblDados[[#This Row],[Data]],"aaaa-mm-dd")&amp;"|"&amp;TRIM(tblDados[[#This Row],[Mandante]])&amp;"|"&amp;TRIM(tblDados[[#This Row],[Visitante]]))</f>
        <v>2026-05-09|Portland Timbers|Sporting Kansas City</v>
      </c>
      <c r="T1443">
        <f>IF($G1443="",0,IF(COUNTIF($S$2:$S2931,$S1443)=1,1,0))</f>
        <v>1</v>
      </c>
      <c r="U1443" s="19" t="str">
        <f>IF(tblDados[[#This Row],[Mandante]]="","",IF(COUNTIF(CadastroEquipes,TRIM(tblDados[[#This Row],[Mandante]]))&gt;0,"","⚠ Nome não cadastrado"))</f>
        <v/>
      </c>
      <c r="V1443" s="19" t="str">
        <f>IF(tblDados[[#This Row],[Visitante]]="","",IF(COUNTIF(CadastroEquipes,TRIM(tblDados[[#This Row],[Visitante]]))&gt;0,"","⚠ Nome não cadastrado"))</f>
        <v/>
      </c>
    </row>
    <row r="1444" spans="1:22" ht="14.4" x14ac:dyDescent="0.3">
      <c r="A1444" s="1" t="s">
        <v>4065</v>
      </c>
      <c r="B1444" s="102">
        <v>46144</v>
      </c>
      <c r="C1444" s="6">
        <v>0.6875</v>
      </c>
      <c r="D1444" s="1" t="s">
        <v>39</v>
      </c>
      <c r="E1444" s="1" t="s">
        <v>3707</v>
      </c>
      <c r="F1444" s="1" t="s">
        <v>4066</v>
      </c>
      <c r="G1444" s="39" t="s">
        <v>3869</v>
      </c>
      <c r="H1444" s="1">
        <v>2</v>
      </c>
      <c r="I1444" s="1">
        <v>0</v>
      </c>
      <c r="J1444" s="39" t="s">
        <v>247</v>
      </c>
      <c r="K1444" s="1">
        <v>0</v>
      </c>
      <c r="L1444" s="1">
        <v>2</v>
      </c>
      <c r="S1444" s="1" t="str">
        <f>IF(tblDados[[#This Row],[Mandante]]="","",TEXT(tblDados[[#This Row],[Data]],"aaaa-mm-dd")&amp;"|"&amp;TRIM(tblDados[[#This Row],[Mandante]])&amp;"|"&amp;TRIM(tblDados[[#This Row],[Visitante]]))</f>
        <v>2026-05-02|Real Salt Lake|Portland Timbers</v>
      </c>
      <c r="T1444">
        <f>IF($G1444="",0,IF(COUNTIF($S$2:$S2932,$S1444)=1,1,0))</f>
        <v>1</v>
      </c>
      <c r="U1444" s="19" t="str">
        <f>IF(tblDados[[#This Row],[Mandante]]="","",IF(COUNTIF(CadastroEquipes,TRIM(tblDados[[#This Row],[Mandante]]))&gt;0,"","⚠ Nome não cadastrado"))</f>
        <v/>
      </c>
      <c r="V1444" s="19" t="str">
        <f>IF(tblDados[[#This Row],[Visitante]]="","",IF(COUNTIF(CadastroEquipes,TRIM(tblDados[[#This Row],[Visitante]]))&gt;0,"","⚠ Nome não cadastrado"))</f>
        <v/>
      </c>
    </row>
    <row r="1445" spans="1:22" ht="14.4" x14ac:dyDescent="0.3">
      <c r="A1445" s="1" t="s">
        <v>4067</v>
      </c>
      <c r="B1445" s="102">
        <v>46137</v>
      </c>
      <c r="C1445" s="6">
        <v>0.89583333333333304</v>
      </c>
      <c r="D1445" s="1" t="s">
        <v>39</v>
      </c>
      <c r="E1445" s="1" t="s">
        <v>3707</v>
      </c>
      <c r="F1445" s="1" t="s">
        <v>4068</v>
      </c>
      <c r="G1445" s="39" t="s">
        <v>3807</v>
      </c>
      <c r="H1445" s="1">
        <v>1</v>
      </c>
      <c r="I1445" s="1">
        <v>2</v>
      </c>
      <c r="J1445" s="39" t="s">
        <v>247</v>
      </c>
      <c r="K1445" s="1">
        <v>2</v>
      </c>
      <c r="L1445" s="1">
        <v>1</v>
      </c>
      <c r="S1445" s="1" t="str">
        <f>IF(tblDados[[#This Row],[Mandante]]="","",TEXT(tblDados[[#This Row],[Data]],"aaaa-mm-dd")&amp;"|"&amp;TRIM(tblDados[[#This Row],[Mandante]])&amp;"|"&amp;TRIM(tblDados[[#This Row],[Visitante]]))</f>
        <v>2026-04-25|San Diego FC|Portland Timbers</v>
      </c>
      <c r="T1445">
        <f>IF($G1445="",0,IF(COUNTIF($S$2:$S2933,$S1445)=1,1,0))</f>
        <v>1</v>
      </c>
      <c r="U1445" s="19" t="str">
        <f>IF(tblDados[[#This Row],[Mandante]]="","",IF(COUNTIF(CadastroEquipes,TRIM(tblDados[[#This Row],[Mandante]]))&gt;0,"","⚠ Nome não cadastrado"))</f>
        <v/>
      </c>
      <c r="V1445" s="19" t="str">
        <f>IF(tblDados[[#This Row],[Visitante]]="","",IF(COUNTIF(CadastroEquipes,TRIM(tblDados[[#This Row],[Visitante]]))&gt;0,"","⚠ Nome não cadastrado"))</f>
        <v/>
      </c>
    </row>
    <row r="1446" spans="1:22" ht="14.4" x14ac:dyDescent="0.3">
      <c r="A1446" s="1" t="s">
        <v>4069</v>
      </c>
      <c r="B1446" s="102">
        <v>46123</v>
      </c>
      <c r="C1446" s="6">
        <v>0.6875</v>
      </c>
      <c r="D1446" s="1" t="s">
        <v>39</v>
      </c>
      <c r="E1446" s="1" t="s">
        <v>3707</v>
      </c>
      <c r="F1446" s="1" t="s">
        <v>4070</v>
      </c>
      <c r="G1446" s="39" t="s">
        <v>247</v>
      </c>
      <c r="H1446" s="1">
        <v>2</v>
      </c>
      <c r="I1446" s="1">
        <v>1</v>
      </c>
      <c r="J1446" s="39" t="s">
        <v>3883</v>
      </c>
      <c r="K1446" s="1">
        <v>1</v>
      </c>
      <c r="L1446" s="1">
        <v>2</v>
      </c>
      <c r="S1446" s="1" t="str">
        <f>IF(tblDados[[#This Row],[Mandante]]="","",TEXT(tblDados[[#This Row],[Data]],"aaaa-mm-dd")&amp;"|"&amp;TRIM(tblDados[[#This Row],[Mandante]])&amp;"|"&amp;TRIM(tblDados[[#This Row],[Visitante]]))</f>
        <v>2026-04-11|Portland Timbers|Los Angeles FC</v>
      </c>
      <c r="T1446">
        <f>IF($G1446="",0,IF(COUNTIF($S$2:$S2934,$S1446)=1,1,0))</f>
        <v>1</v>
      </c>
      <c r="U1446" s="19" t="str">
        <f>IF(tblDados[[#This Row],[Mandante]]="","",IF(COUNTIF(CadastroEquipes,TRIM(tblDados[[#This Row],[Mandante]]))&gt;0,"","⚠ Nome não cadastrado"))</f>
        <v/>
      </c>
      <c r="V1446" s="19" t="str">
        <f>IF(tblDados[[#This Row],[Visitante]]="","",IF(COUNTIF(CadastroEquipes,TRIM(tblDados[[#This Row],[Visitante]]))&gt;0,"","⚠ Nome não cadastrado"))</f>
        <v/>
      </c>
    </row>
    <row r="1447" spans="1:22" ht="14.4" x14ac:dyDescent="0.3">
      <c r="A1447" s="1" t="s">
        <v>4071</v>
      </c>
      <c r="B1447" s="102">
        <v>46235</v>
      </c>
      <c r="C1447" s="6">
        <v>0.89583333333333304</v>
      </c>
      <c r="D1447" s="1" t="s">
        <v>39</v>
      </c>
      <c r="E1447" s="1" t="s">
        <v>3707</v>
      </c>
      <c r="F1447" s="1" t="s">
        <v>4072</v>
      </c>
      <c r="G1447" s="39" t="s">
        <v>3841</v>
      </c>
      <c r="H1447" s="1">
        <v>1</v>
      </c>
      <c r="I1447" s="1">
        <v>1</v>
      </c>
      <c r="J1447" s="39" t="s">
        <v>3869</v>
      </c>
      <c r="K1447" s="1">
        <v>1</v>
      </c>
      <c r="L1447" s="1">
        <v>1</v>
      </c>
      <c r="S1447" s="1" t="str">
        <f>IF(tblDados[[#This Row],[Mandante]]="","",TEXT(tblDados[[#This Row],[Data]],"aaaa-mm-dd")&amp;"|"&amp;TRIM(tblDados[[#This Row],[Mandante]])&amp;"|"&amp;TRIM(tblDados[[#This Row],[Visitante]]))</f>
        <v>2026-08-01|St. Louis CITY SC|Real Salt Lake</v>
      </c>
      <c r="T1447">
        <f>IF($G1447="",0,IF(COUNTIF($S$2:$S2935,$S1447)=1,1,0))</f>
        <v>1</v>
      </c>
      <c r="U1447" s="19" t="str">
        <f>IF(tblDados[[#This Row],[Mandante]]="","",IF(COUNTIF(CadastroEquipes,TRIM(tblDados[[#This Row],[Mandante]]))&gt;0,"","⚠ Nome não cadastrado"))</f>
        <v/>
      </c>
      <c r="V1447" s="19" t="str">
        <f>IF(tblDados[[#This Row],[Visitante]]="","",IF(COUNTIF(CadastroEquipes,TRIM(tblDados[[#This Row],[Visitante]]))&gt;0,"","⚠ Nome não cadastrado"))</f>
        <v/>
      </c>
    </row>
    <row r="1448" spans="1:22" ht="14.4" x14ac:dyDescent="0.3">
      <c r="A1448" s="1" t="s">
        <v>4073</v>
      </c>
      <c r="B1448" s="102">
        <v>46130</v>
      </c>
      <c r="C1448" s="6">
        <v>0.9375</v>
      </c>
      <c r="D1448" s="1" t="s">
        <v>39</v>
      </c>
      <c r="E1448" s="1" t="s">
        <v>3707</v>
      </c>
      <c r="F1448" s="1" t="s">
        <v>4074</v>
      </c>
      <c r="G1448" s="39" t="s">
        <v>3869</v>
      </c>
      <c r="H1448" s="1">
        <v>4</v>
      </c>
      <c r="I1448" s="1">
        <v>2</v>
      </c>
      <c r="J1448" s="39" t="s">
        <v>3807</v>
      </c>
      <c r="K1448" s="1">
        <v>2</v>
      </c>
      <c r="L1448" s="1">
        <v>4</v>
      </c>
      <c r="S1448" s="1" t="str">
        <f>IF(tblDados[[#This Row],[Mandante]]="","",TEXT(tblDados[[#This Row],[Data]],"aaaa-mm-dd")&amp;"|"&amp;TRIM(tblDados[[#This Row],[Mandante]])&amp;"|"&amp;TRIM(tblDados[[#This Row],[Visitante]]))</f>
        <v>2026-04-18|Real Salt Lake|San Diego FC</v>
      </c>
      <c r="T1448">
        <f>IF($G1448="",0,IF(COUNTIF($S$2:$S2936,$S1448)=1,1,0))</f>
        <v>1</v>
      </c>
      <c r="U1448" s="19" t="str">
        <f>IF(tblDados[[#This Row],[Mandante]]="","",IF(COUNTIF(CadastroEquipes,TRIM(tblDados[[#This Row],[Mandante]]))&gt;0,"","⚠ Nome não cadastrado"))</f>
        <v/>
      </c>
      <c r="V1448" s="19" t="str">
        <f>IF(tblDados[[#This Row],[Visitante]]="","",IF(COUNTIF(CadastroEquipes,TRIM(tblDados[[#This Row],[Visitante]]))&gt;0,"","⚠ Nome não cadastrado"))</f>
        <v/>
      </c>
    </row>
    <row r="1449" spans="1:22" ht="14.4" x14ac:dyDescent="0.3">
      <c r="A1449" s="1" t="s">
        <v>4075</v>
      </c>
      <c r="B1449" s="102">
        <v>46116</v>
      </c>
      <c r="C1449" s="6">
        <v>0.9375</v>
      </c>
      <c r="D1449" s="1" t="s">
        <v>39</v>
      </c>
      <c r="E1449" s="1" t="s">
        <v>3707</v>
      </c>
      <c r="F1449" s="1" t="s">
        <v>4076</v>
      </c>
      <c r="G1449" s="39" t="s">
        <v>3869</v>
      </c>
      <c r="H1449" s="1">
        <v>3</v>
      </c>
      <c r="I1449" s="1">
        <v>1</v>
      </c>
      <c r="J1449" s="39" t="s">
        <v>3792</v>
      </c>
      <c r="K1449" s="1">
        <v>1</v>
      </c>
      <c r="L1449" s="1">
        <v>3</v>
      </c>
      <c r="S1449" s="1" t="str">
        <f>IF(tblDados[[#This Row],[Mandante]]="","",TEXT(tblDados[[#This Row],[Data]],"aaaa-mm-dd")&amp;"|"&amp;TRIM(tblDados[[#This Row],[Mandante]])&amp;"|"&amp;TRIM(tblDados[[#This Row],[Visitante]]))</f>
        <v>2026-04-04|Real Salt Lake|Sporting Kansas City</v>
      </c>
      <c r="T1449">
        <f>IF($G1449="",0,IF(COUNTIF($S$2:$S2937,$S1449)=1,1,0))</f>
        <v>1</v>
      </c>
      <c r="U1449" s="19" t="str">
        <f>IF(tblDados[[#This Row],[Mandante]]="","",IF(COUNTIF(CadastroEquipes,TRIM(tblDados[[#This Row],[Mandante]]))&gt;0,"","⚠ Nome não cadastrado"))</f>
        <v/>
      </c>
      <c r="V1449" s="19" t="str">
        <f>IF(tblDados[[#This Row],[Visitante]]="","",IF(COUNTIF(CadastroEquipes,TRIM(tblDados[[#This Row],[Visitante]]))&gt;0,"","⚠ Nome não cadastrado"))</f>
        <v/>
      </c>
    </row>
    <row r="1450" spans="1:22" ht="14.4" x14ac:dyDescent="0.3">
      <c r="A1450" s="1" t="s">
        <v>4077</v>
      </c>
      <c r="B1450" s="102">
        <v>46165</v>
      </c>
      <c r="C1450" s="6">
        <v>0.97916666666666696</v>
      </c>
      <c r="D1450" s="1" t="s">
        <v>39</v>
      </c>
      <c r="E1450" s="1" t="s">
        <v>3707</v>
      </c>
      <c r="F1450" s="1" t="s">
        <v>4078</v>
      </c>
      <c r="G1450" s="39" t="s">
        <v>3807</v>
      </c>
      <c r="H1450" s="1">
        <v>2</v>
      </c>
      <c r="I1450" s="1">
        <v>4</v>
      </c>
      <c r="J1450" s="39" t="s">
        <v>3810</v>
      </c>
      <c r="K1450" s="1">
        <v>4</v>
      </c>
      <c r="L1450" s="1">
        <v>2</v>
      </c>
      <c r="S1450" s="1" t="str">
        <f>IF(tblDados[[#This Row],[Mandante]]="","",TEXT(tblDados[[#This Row],[Data]],"aaaa-mm-dd")&amp;"|"&amp;TRIM(tblDados[[#This Row],[Mandante]])&amp;"|"&amp;TRIM(tblDados[[#This Row],[Visitante]]))</f>
        <v>2026-05-23|San Diego FC|Vancouver Whitecaps FC</v>
      </c>
      <c r="T1450">
        <f>IF($G1450="",0,IF(COUNTIF($S$2:$S2938,$S1450)=1,1,0))</f>
        <v>1</v>
      </c>
      <c r="U1450" s="19" t="str">
        <f>IF(tblDados[[#This Row],[Mandante]]="","",IF(COUNTIF(CadastroEquipes,TRIM(tblDados[[#This Row],[Mandante]]))&gt;0,"","⚠ Nome não cadastrado"))</f>
        <v/>
      </c>
      <c r="V1450" s="19" t="str">
        <f>IF(tblDados[[#This Row],[Visitante]]="","",IF(COUNTIF(CadastroEquipes,TRIM(tblDados[[#This Row],[Visitante]]))&gt;0,"","⚠ Nome não cadastrado"))</f>
        <v/>
      </c>
    </row>
    <row r="1451" spans="1:22" ht="14.4" x14ac:dyDescent="0.3">
      <c r="A1451" s="1" t="s">
        <v>4079</v>
      </c>
      <c r="B1451" s="102">
        <v>46151</v>
      </c>
      <c r="C1451" s="6">
        <v>0.97916666666666696</v>
      </c>
      <c r="D1451" s="1" t="s">
        <v>39</v>
      </c>
      <c r="E1451" s="1" t="s">
        <v>3707</v>
      </c>
      <c r="F1451" s="1" t="s">
        <v>4080</v>
      </c>
      <c r="G1451" s="39" t="s">
        <v>3932</v>
      </c>
      <c r="H1451" s="1">
        <v>1</v>
      </c>
      <c r="I1451" s="1">
        <v>1</v>
      </c>
      <c r="J1451" s="39" t="s">
        <v>3807</v>
      </c>
      <c r="K1451" s="1">
        <v>1</v>
      </c>
      <c r="L1451" s="1">
        <v>1</v>
      </c>
      <c r="S1451" s="1" t="str">
        <f>IF(tblDados[[#This Row],[Mandante]]="","",TEXT(tblDados[[#This Row],[Data]],"aaaa-mm-dd")&amp;"|"&amp;TRIM(tblDados[[#This Row],[Mandante]])&amp;"|"&amp;TRIM(tblDados[[#This Row],[Visitante]]))</f>
        <v>2026-05-09|Seattle Sounders FC|San Diego FC</v>
      </c>
      <c r="T1451">
        <f>IF($G1451="",0,IF(COUNTIF($S$2:$S2939,$S1451)=1,1,0))</f>
        <v>1</v>
      </c>
      <c r="U1451" s="19" t="str">
        <f>IF(tblDados[[#This Row],[Mandante]]="","",IF(COUNTIF(CadastroEquipes,TRIM(tblDados[[#This Row],[Mandante]]))&gt;0,"","⚠ Nome não cadastrado"))</f>
        <v/>
      </c>
      <c r="V1451" s="19" t="str">
        <f>IF(tblDados[[#This Row],[Visitante]]="","",IF(COUNTIF(CadastroEquipes,TRIM(tblDados[[#This Row],[Visitante]]))&gt;0,"","⚠ Nome não cadastrado"))</f>
        <v/>
      </c>
    </row>
    <row r="1452" spans="1:22" ht="14.4" x14ac:dyDescent="0.3">
      <c r="A1452" s="1" t="s">
        <v>4081</v>
      </c>
      <c r="B1452" s="102">
        <v>46155</v>
      </c>
      <c r="C1452" s="6">
        <v>0.9375</v>
      </c>
      <c r="D1452" s="1" t="s">
        <v>39</v>
      </c>
      <c r="E1452" s="1" t="s">
        <v>3707</v>
      </c>
      <c r="F1452" s="1" t="s">
        <v>4082</v>
      </c>
      <c r="G1452" s="39" t="s">
        <v>3932</v>
      </c>
      <c r="H1452" s="1">
        <v>3</v>
      </c>
      <c r="I1452" s="1">
        <v>2</v>
      </c>
      <c r="J1452" s="39" t="s">
        <v>241</v>
      </c>
      <c r="K1452" s="1">
        <v>2</v>
      </c>
      <c r="L1452" s="1">
        <v>3</v>
      </c>
      <c r="S1452" s="1" t="str">
        <f>IF(tblDados[[#This Row],[Mandante]]="","",TEXT(tblDados[[#This Row],[Data]],"aaaa-mm-dd")&amp;"|"&amp;TRIM(tblDados[[#This Row],[Mandante]])&amp;"|"&amp;TRIM(tblDados[[#This Row],[Visitante]]))</f>
        <v>2026-05-13|Seattle Sounders FC|San Jose Earthquakes</v>
      </c>
      <c r="T1452">
        <f>IF($G1452="",0,IF(COUNTIF($S$2:$S2940,$S1452)=1,1,0))</f>
        <v>1</v>
      </c>
      <c r="U1452" s="19" t="str">
        <f>IF(tblDados[[#This Row],[Mandante]]="","",IF(COUNTIF(CadastroEquipes,TRIM(tblDados[[#This Row],[Mandante]]))&gt;0,"","⚠ Nome não cadastrado"))</f>
        <v/>
      </c>
      <c r="V1452" s="19" t="str">
        <f>IF(tblDados[[#This Row],[Visitante]]="","",IF(COUNTIF(CadastroEquipes,TRIM(tblDados[[#This Row],[Visitante]]))&gt;0,"","⚠ Nome não cadastrado"))</f>
        <v/>
      </c>
    </row>
    <row r="1453" spans="1:22" ht="14.4" x14ac:dyDescent="0.3">
      <c r="A1453" s="1" t="s">
        <v>4083</v>
      </c>
      <c r="B1453" s="102">
        <v>46151</v>
      </c>
      <c r="C1453" s="6">
        <v>0.97916666666666696</v>
      </c>
      <c r="D1453" s="1" t="s">
        <v>39</v>
      </c>
      <c r="E1453" s="1" t="s">
        <v>3707</v>
      </c>
      <c r="F1453" s="1" t="s">
        <v>4084</v>
      </c>
      <c r="G1453" s="39" t="s">
        <v>241</v>
      </c>
      <c r="H1453" s="1">
        <v>1</v>
      </c>
      <c r="I1453" s="1">
        <v>1</v>
      </c>
      <c r="J1453" s="39" t="s">
        <v>3810</v>
      </c>
      <c r="K1453" s="1">
        <v>1</v>
      </c>
      <c r="L1453" s="1">
        <v>1</v>
      </c>
      <c r="S1453" s="1" t="str">
        <f>IF(tblDados[[#This Row],[Mandante]]="","",TEXT(tblDados[[#This Row],[Data]],"aaaa-mm-dd")&amp;"|"&amp;TRIM(tblDados[[#This Row],[Mandante]])&amp;"|"&amp;TRIM(tblDados[[#This Row],[Visitante]]))</f>
        <v>2026-05-09|San Jose Earthquakes|Vancouver Whitecaps FC</v>
      </c>
      <c r="T1453">
        <f>IF($G1453="",0,IF(COUNTIF($S$2:$S2941,$S1453)=1,1,0))</f>
        <v>1</v>
      </c>
      <c r="U1453" s="19" t="str">
        <f>IF(tblDados[[#This Row],[Mandante]]="","",IF(COUNTIF(CadastroEquipes,TRIM(tblDados[[#This Row],[Mandante]]))&gt;0,"","⚠ Nome não cadastrado"))</f>
        <v/>
      </c>
      <c r="V1453" s="19" t="str">
        <f>IF(tblDados[[#This Row],[Visitante]]="","",IF(COUNTIF(CadastroEquipes,TRIM(tblDados[[#This Row],[Visitante]]))&gt;0,"","⚠ Nome não cadastrado"))</f>
        <v/>
      </c>
    </row>
    <row r="1454" spans="1:22" ht="14.4" x14ac:dyDescent="0.3">
      <c r="A1454" s="1" t="s">
        <v>4085</v>
      </c>
      <c r="B1454" s="102">
        <v>46137</v>
      </c>
      <c r="C1454" s="6">
        <v>0.85416666666666696</v>
      </c>
      <c r="D1454" s="1" t="s">
        <v>39</v>
      </c>
      <c r="E1454" s="1" t="s">
        <v>3707</v>
      </c>
      <c r="F1454" s="1" t="s">
        <v>4086</v>
      </c>
      <c r="G1454" s="39" t="s">
        <v>3841</v>
      </c>
      <c r="H1454" s="1">
        <v>2</v>
      </c>
      <c r="I1454" s="1">
        <v>3</v>
      </c>
      <c r="J1454" s="39" t="s">
        <v>241</v>
      </c>
      <c r="K1454" s="1">
        <v>3</v>
      </c>
      <c r="L1454" s="1">
        <v>2</v>
      </c>
      <c r="S1454" s="1" t="str">
        <f>IF(tblDados[[#This Row],[Mandante]]="","",TEXT(tblDados[[#This Row],[Data]],"aaaa-mm-dd")&amp;"|"&amp;TRIM(tblDados[[#This Row],[Mandante]])&amp;"|"&amp;TRIM(tblDados[[#This Row],[Visitante]]))</f>
        <v>2026-04-25|St. Louis CITY SC|San Jose Earthquakes</v>
      </c>
      <c r="T1454">
        <f>IF($G1454="",0,IF(COUNTIF($S$2:$S2942,$S1454)=1,1,0))</f>
        <v>1</v>
      </c>
      <c r="U1454" s="19" t="str">
        <f>IF(tblDados[[#This Row],[Mandante]]="","",IF(COUNTIF(CadastroEquipes,TRIM(tblDados[[#This Row],[Mandante]]))&gt;0,"","⚠ Nome não cadastrado"))</f>
        <v/>
      </c>
      <c r="V1454" s="19" t="str">
        <f>IF(tblDados[[#This Row],[Visitante]]="","",IF(COUNTIF(CadastroEquipes,TRIM(tblDados[[#This Row],[Visitante]]))&gt;0,"","⚠ Nome não cadastrado"))</f>
        <v/>
      </c>
    </row>
    <row r="1455" spans="1:22" ht="14.4" x14ac:dyDescent="0.3">
      <c r="A1455" s="1" t="s">
        <v>4087</v>
      </c>
      <c r="B1455" s="102">
        <v>46123</v>
      </c>
      <c r="C1455" s="6">
        <v>0.85416666666666696</v>
      </c>
      <c r="D1455" s="1" t="s">
        <v>39</v>
      </c>
      <c r="E1455" s="1" t="s">
        <v>3707</v>
      </c>
      <c r="F1455" s="1" t="s">
        <v>4088</v>
      </c>
      <c r="G1455" s="39" t="s">
        <v>3792</v>
      </c>
      <c r="H1455" s="1">
        <v>1</v>
      </c>
      <c r="I1455" s="1">
        <v>3</v>
      </c>
      <c r="J1455" s="39" t="s">
        <v>241</v>
      </c>
      <c r="K1455" s="1">
        <v>3</v>
      </c>
      <c r="L1455" s="1">
        <v>1</v>
      </c>
      <c r="S1455" s="1" t="str">
        <f>IF(tblDados[[#This Row],[Mandante]]="","",TEXT(tblDados[[#This Row],[Data]],"aaaa-mm-dd")&amp;"|"&amp;TRIM(tblDados[[#This Row],[Mandante]])&amp;"|"&amp;TRIM(tblDados[[#This Row],[Visitante]]))</f>
        <v>2026-04-11|Sporting Kansas City|San Jose Earthquakes</v>
      </c>
      <c r="T1455">
        <f>IF($G1455="",0,IF(COUNTIF($S$2:$S2943,$S1455)=1,1,0))</f>
        <v>1</v>
      </c>
      <c r="U1455" s="19" t="str">
        <f>IF(tblDados[[#This Row],[Mandante]]="","",IF(COUNTIF(CadastroEquipes,TRIM(tblDados[[#This Row],[Mandante]]))&gt;0,"","⚠ Nome não cadastrado"))</f>
        <v/>
      </c>
      <c r="V1455" s="19" t="str">
        <f>IF(tblDados[[#This Row],[Visitante]]="","",IF(COUNTIF(CadastroEquipes,TRIM(tblDados[[#This Row],[Visitante]]))&gt;0,"","⚠ Nome não cadastrado"))</f>
        <v/>
      </c>
    </row>
    <row r="1456" spans="1:22" ht="14.4" x14ac:dyDescent="0.3">
      <c r="A1456" s="1" t="s">
        <v>4089</v>
      </c>
      <c r="B1456" s="102">
        <v>46144</v>
      </c>
      <c r="C1456" s="6">
        <v>0.89583333333333304</v>
      </c>
      <c r="D1456" s="1" t="s">
        <v>39</v>
      </c>
      <c r="E1456" s="1" t="s">
        <v>3707</v>
      </c>
      <c r="F1456" s="1" t="s">
        <v>4090</v>
      </c>
      <c r="G1456" s="39" t="s">
        <v>3792</v>
      </c>
      <c r="H1456" s="1">
        <v>1</v>
      </c>
      <c r="I1456" s="1">
        <v>1</v>
      </c>
      <c r="J1456" s="39" t="s">
        <v>3932</v>
      </c>
      <c r="K1456" s="1">
        <v>1</v>
      </c>
      <c r="L1456" s="1">
        <v>1</v>
      </c>
      <c r="S1456" s="1" t="str">
        <f>IF(tblDados[[#This Row],[Mandante]]="","",TEXT(tblDados[[#This Row],[Data]],"aaaa-mm-dd")&amp;"|"&amp;TRIM(tblDados[[#This Row],[Mandante]])&amp;"|"&amp;TRIM(tblDados[[#This Row],[Visitante]]))</f>
        <v>2026-05-02|Sporting Kansas City|Seattle Sounders FC</v>
      </c>
      <c r="T1456">
        <f>IF($G1456="",0,IF(COUNTIF($S$2:$S2944,$S1456)=1,1,0))</f>
        <v>1</v>
      </c>
      <c r="U1456" s="19" t="str">
        <f>IF(tblDados[[#This Row],[Mandante]]="","",IF(COUNTIF(CadastroEquipes,TRIM(tblDados[[#This Row],[Mandante]]))&gt;0,"","⚠ Nome não cadastrado"))</f>
        <v/>
      </c>
      <c r="V1456" s="19" t="str">
        <f>IF(tblDados[[#This Row],[Visitante]]="","",IF(COUNTIF(CadastroEquipes,TRIM(tblDados[[#This Row],[Visitante]]))&gt;0,"","⚠ Nome não cadastrado"))</f>
        <v/>
      </c>
    </row>
    <row r="1457" spans="1:22" ht="14.4" x14ac:dyDescent="0.3">
      <c r="A1457" s="1" t="s">
        <v>4091</v>
      </c>
      <c r="B1457" s="102">
        <v>46130</v>
      </c>
      <c r="C1457" s="6">
        <v>0.97916666666666696</v>
      </c>
      <c r="D1457" s="1" t="s">
        <v>39</v>
      </c>
      <c r="E1457" s="1" t="s">
        <v>3707</v>
      </c>
      <c r="F1457" s="1" t="s">
        <v>4092</v>
      </c>
      <c r="G1457" s="39" t="s">
        <v>3932</v>
      </c>
      <c r="H1457" s="1">
        <v>4</v>
      </c>
      <c r="I1457" s="1">
        <v>1</v>
      </c>
      <c r="J1457" s="39" t="s">
        <v>3841</v>
      </c>
      <c r="K1457" s="1">
        <v>1</v>
      </c>
      <c r="L1457" s="1">
        <v>4</v>
      </c>
      <c r="S1457" s="1" t="str">
        <f>IF(tblDados[[#This Row],[Mandante]]="","",TEXT(tblDados[[#This Row],[Data]],"aaaa-mm-dd")&amp;"|"&amp;TRIM(tblDados[[#This Row],[Mandante]])&amp;"|"&amp;TRIM(tblDados[[#This Row],[Visitante]]))</f>
        <v>2026-04-18|Seattle Sounders FC|St. Louis CITY SC</v>
      </c>
      <c r="T1457">
        <f>IF($G1457="",0,IF(COUNTIF($S$2:$S2945,$S1457)=1,1,0))</f>
        <v>1</v>
      </c>
      <c r="U1457" s="19" t="str">
        <f>IF(tblDados[[#This Row],[Mandante]]="","",IF(COUNTIF(CadastroEquipes,TRIM(tblDados[[#This Row],[Mandante]]))&gt;0,"","⚠ Nome não cadastrado"))</f>
        <v/>
      </c>
      <c r="V1457" s="19" t="str">
        <f>IF(tblDados[[#This Row],[Visitante]]="","",IF(COUNTIF(CadastroEquipes,TRIM(tblDados[[#This Row],[Visitante]]))&gt;0,"","⚠ Nome não cadastrado"))</f>
        <v/>
      </c>
    </row>
    <row r="1458" spans="1:22" ht="14.4" x14ac:dyDescent="0.3">
      <c r="A1458" s="1" t="s">
        <v>4093</v>
      </c>
      <c r="B1458" s="102">
        <v>46116</v>
      </c>
      <c r="C1458" s="6">
        <v>0.89583333333333304</v>
      </c>
      <c r="D1458" s="1" t="s">
        <v>39</v>
      </c>
      <c r="E1458" s="1" t="s">
        <v>3707</v>
      </c>
      <c r="F1458" s="1" t="s">
        <v>4094</v>
      </c>
      <c r="G1458" s="39" t="s">
        <v>3836</v>
      </c>
      <c r="H1458" s="1">
        <v>0</v>
      </c>
      <c r="I1458" s="1">
        <v>1</v>
      </c>
      <c r="J1458" s="39" t="s">
        <v>3932</v>
      </c>
      <c r="K1458" s="1">
        <v>1</v>
      </c>
      <c r="L1458" s="1">
        <v>0</v>
      </c>
      <c r="S1458" s="1" t="str">
        <f>IF(tblDados[[#This Row],[Mandante]]="","",TEXT(tblDados[[#This Row],[Data]],"aaaa-mm-dd")&amp;"|"&amp;TRIM(tblDados[[#This Row],[Mandante]])&amp;"|"&amp;TRIM(tblDados[[#This Row],[Visitante]]))</f>
        <v>2026-04-04|Houston Dynamo FC|Seattle Sounders FC</v>
      </c>
      <c r="T1458">
        <f>IF($G1458="",0,IF(COUNTIF($S$2:$S2946,$S1458)=1,1,0))</f>
        <v>1</v>
      </c>
      <c r="U1458" s="19" t="str">
        <f>IF(tblDados[[#This Row],[Mandante]]="","",IF(COUNTIF(CadastroEquipes,TRIM(tblDados[[#This Row],[Mandante]]))&gt;0,"","⚠ Nome não cadastrado"))</f>
        <v/>
      </c>
      <c r="V1458" s="19" t="str">
        <f>IF(tblDados[[#This Row],[Visitante]]="","",IF(COUNTIF(CadastroEquipes,TRIM(tblDados[[#This Row],[Visitante]]))&gt;0,"","⚠ Nome não cadastrado"))</f>
        <v/>
      </c>
    </row>
    <row r="1459" spans="1:22" ht="14.4" x14ac:dyDescent="0.3">
      <c r="A1459" s="1" t="s">
        <v>4095</v>
      </c>
      <c r="B1459" s="102">
        <v>46219</v>
      </c>
      <c r="C1459" s="6">
        <v>0.89583333333333304</v>
      </c>
      <c r="D1459" s="1" t="s">
        <v>39</v>
      </c>
      <c r="E1459" s="1" t="s">
        <v>3707</v>
      </c>
      <c r="F1459" s="1" t="s">
        <v>4096</v>
      </c>
      <c r="G1459" s="39" t="s">
        <v>3841</v>
      </c>
      <c r="H1459" s="1">
        <v>3</v>
      </c>
      <c r="I1459" s="1">
        <v>2</v>
      </c>
      <c r="J1459" s="39" t="s">
        <v>3792</v>
      </c>
      <c r="K1459" s="1">
        <v>2</v>
      </c>
      <c r="L1459" s="1">
        <v>3</v>
      </c>
      <c r="S1459" s="1" t="str">
        <f>IF(tblDados[[#This Row],[Mandante]]="","",TEXT(tblDados[[#This Row],[Data]],"aaaa-mm-dd")&amp;"|"&amp;TRIM(tblDados[[#This Row],[Mandante]])&amp;"|"&amp;TRIM(tblDados[[#This Row],[Visitante]]))</f>
        <v>2026-07-16|St. Louis CITY SC|Sporting Kansas City</v>
      </c>
      <c r="T1459">
        <f>IF($G1459="",0,IF(COUNTIF($S$2:$S2947,$S1459)=1,1,0))</f>
        <v>1</v>
      </c>
      <c r="U1459" s="19" t="str">
        <f>IF(tblDados[[#This Row],[Mandante]]="","",IF(COUNTIF(CadastroEquipes,TRIM(tblDados[[#This Row],[Mandante]]))&gt;0,"","⚠ Nome não cadastrado"))</f>
        <v/>
      </c>
      <c r="V1459" s="19" t="str">
        <f>IF(tblDados[[#This Row],[Visitante]]="","",IF(COUNTIF(CadastroEquipes,TRIM(tblDados[[#This Row],[Visitante]]))&gt;0,"","⚠ Nome não cadastrado"))</f>
        <v/>
      </c>
    </row>
    <row r="1460" spans="1:22" ht="14.4" x14ac:dyDescent="0.3">
      <c r="A1460" s="1" t="s">
        <v>4097</v>
      </c>
      <c r="B1460" s="102">
        <v>46129</v>
      </c>
      <c r="C1460" s="6">
        <v>0.97916666666666696</v>
      </c>
      <c r="D1460" s="1" t="s">
        <v>39</v>
      </c>
      <c r="E1460" s="1" t="s">
        <v>3707</v>
      </c>
      <c r="F1460" s="1" t="s">
        <v>4098</v>
      </c>
      <c r="G1460" s="39" t="s">
        <v>3810</v>
      </c>
      <c r="H1460" s="1">
        <v>3</v>
      </c>
      <c r="I1460" s="1">
        <v>0</v>
      </c>
      <c r="J1460" s="39" t="s">
        <v>3792</v>
      </c>
      <c r="K1460" s="1">
        <v>0</v>
      </c>
      <c r="L1460" s="1">
        <v>3</v>
      </c>
      <c r="S1460" s="1" t="str">
        <f>IF(tblDados[[#This Row],[Mandante]]="","",TEXT(tblDados[[#This Row],[Data]],"aaaa-mm-dd")&amp;"|"&amp;TRIM(tblDados[[#This Row],[Mandante]])&amp;"|"&amp;TRIM(tblDados[[#This Row],[Visitante]]))</f>
        <v>2026-04-17|Vancouver Whitecaps FC|Sporting Kansas City</v>
      </c>
      <c r="T1460">
        <f>IF($G1460="",0,IF(COUNTIF($S$2:$S2948,$S1460)=1,1,0))</f>
        <v>1</v>
      </c>
      <c r="U1460" s="19" t="str">
        <f>IF(tblDados[[#This Row],[Mandante]]="","",IF(COUNTIF(CadastroEquipes,TRIM(tblDados[[#This Row],[Mandante]]))&gt;0,"","⚠ Nome não cadastrado"))</f>
        <v/>
      </c>
      <c r="V1460" s="19" t="str">
        <f>IF(tblDados[[#This Row],[Visitante]]="","",IF(COUNTIF(CadastroEquipes,TRIM(tblDados[[#This Row],[Visitante]]))&gt;0,"","⚠ Nome não cadastrado"))</f>
        <v/>
      </c>
    </row>
    <row r="1461" spans="1:22" ht="14.4" x14ac:dyDescent="0.3">
      <c r="A1461" s="1" t="s">
        <v>4099</v>
      </c>
      <c r="B1461" s="102">
        <v>46116</v>
      </c>
      <c r="C1461" s="6">
        <v>0.97916666666666696</v>
      </c>
      <c r="D1461" s="1" t="s">
        <v>39</v>
      </c>
      <c r="E1461" s="1" t="s">
        <v>3707</v>
      </c>
      <c r="F1461" s="1" t="s">
        <v>4100</v>
      </c>
      <c r="G1461" s="39" t="s">
        <v>3810</v>
      </c>
      <c r="H1461" s="1">
        <v>3</v>
      </c>
      <c r="I1461" s="1">
        <v>2</v>
      </c>
      <c r="J1461" s="39" t="s">
        <v>247</v>
      </c>
      <c r="K1461" s="1">
        <v>2</v>
      </c>
      <c r="L1461" s="1">
        <v>3</v>
      </c>
      <c r="S1461" s="1" t="str">
        <f>IF(tblDados[[#This Row],[Mandante]]="","",TEXT(tblDados[[#This Row],[Data]],"aaaa-mm-dd")&amp;"|"&amp;TRIM(tblDados[[#This Row],[Mandante]])&amp;"|"&amp;TRIM(tblDados[[#This Row],[Visitante]]))</f>
        <v>2026-04-04|Vancouver Whitecaps FC|Portland Timbers</v>
      </c>
      <c r="T1461">
        <f>IF($G1461="",0,IF(COUNTIF($S$2:$S2949,$S1461)=1,1,0))</f>
        <v>1</v>
      </c>
      <c r="U1461" s="19" t="str">
        <f>IF(tblDados[[#This Row],[Mandante]]="","",IF(COUNTIF(CadastroEquipes,TRIM(tblDados[[#This Row],[Mandante]]))&gt;0,"","⚠ Nome não cadastrado"))</f>
        <v/>
      </c>
      <c r="V1461" s="19" t="str">
        <f>IF(tblDados[[#This Row],[Visitante]]="","",IF(COUNTIF(CadastroEquipes,TRIM(tblDados[[#This Row],[Visitante]]))&gt;0,"","⚠ Nome não cadastrado"))</f>
        <v/>
      </c>
    </row>
    <row r="1462" spans="1:22" ht="14.4" x14ac:dyDescent="0.3">
      <c r="A1462" s="1" t="s">
        <v>3790</v>
      </c>
      <c r="B1462" s="102">
        <v>46137</v>
      </c>
      <c r="C1462" s="6">
        <v>0.89583333333333304</v>
      </c>
      <c r="D1462" s="1" t="s">
        <v>39</v>
      </c>
      <c r="E1462" s="1" t="s">
        <v>3706</v>
      </c>
      <c r="F1462" s="1" t="s">
        <v>3791</v>
      </c>
      <c r="G1462" s="39" t="s">
        <v>3714</v>
      </c>
      <c r="H1462" s="1">
        <v>5</v>
      </c>
      <c r="I1462" s="1">
        <v>0</v>
      </c>
      <c r="J1462" s="39" t="s">
        <v>3792</v>
      </c>
      <c r="K1462" s="1">
        <v>0</v>
      </c>
      <c r="L1462" s="1">
        <v>5</v>
      </c>
      <c r="S1462" s="1" t="str">
        <f>IF(tblDados[[#This Row],[Mandante]]="","",TEXT(tblDados[[#This Row],[Data]],"aaaa-mm-dd")&amp;"|"&amp;TRIM(tblDados[[#This Row],[Mandante]])&amp;"|"&amp;TRIM(tblDados[[#This Row],[Visitante]]))</f>
        <v>2026-04-25|Chicago Fire FC|Sporting Kansas City</v>
      </c>
      <c r="T1462">
        <f>IF($G1462="",0,IF(COUNTIF($S$2:$S2950,$S1462)=1,1,0))</f>
        <v>1</v>
      </c>
      <c r="U1462" s="19" t="str">
        <f>IF(tblDados[[#This Row],[Mandante]]="","",IF(COUNTIF(CadastroEquipes,TRIM(tblDados[[#This Row],[Mandante]]))&gt;0,"","⚠ Nome não cadastrado"))</f>
        <v/>
      </c>
      <c r="V1462" s="19" t="str">
        <f>IF(tblDados[[#This Row],[Visitante]]="","",IF(COUNTIF(CadastroEquipes,TRIM(tblDados[[#This Row],[Visitante]]))&gt;0,"","⚠ Nome não cadastrado"))</f>
        <v/>
      </c>
    </row>
    <row r="1463" spans="1:22" ht="14.4" x14ac:dyDescent="0.3">
      <c r="A1463" s="1" t="s">
        <v>3742</v>
      </c>
      <c r="B1463" s="102">
        <v>46151</v>
      </c>
      <c r="C1463" s="6">
        <v>0.85416666666666696</v>
      </c>
      <c r="D1463" s="1" t="s">
        <v>39</v>
      </c>
      <c r="E1463" s="1" t="s">
        <v>3706</v>
      </c>
      <c r="F1463" s="1" t="s">
        <v>3743</v>
      </c>
      <c r="G1463" s="39" t="s">
        <v>3715</v>
      </c>
      <c r="H1463" s="1">
        <v>1</v>
      </c>
      <c r="I1463" s="1">
        <v>2</v>
      </c>
      <c r="J1463" s="39" t="s">
        <v>3744</v>
      </c>
      <c r="K1463" s="1">
        <v>2</v>
      </c>
      <c r="L1463" s="1">
        <v>1</v>
      </c>
      <c r="S1463" s="1" t="str">
        <f>IF(tblDados[[#This Row],[Mandante]]="","",TEXT(tblDados[[#This Row],[Data]],"aaaa-mm-dd")&amp;"|"&amp;TRIM(tblDados[[#This Row],[Mandante]])&amp;"|"&amp;TRIM(tblDados[[#This Row],[Visitante]]))</f>
        <v>2026-05-09|Atlanta United FC|LA Galaxy</v>
      </c>
      <c r="T1463">
        <f>IF($G1463="",0,IF(COUNTIF($S$2:$S2951,$S1463)=1,1,0))</f>
        <v>1</v>
      </c>
      <c r="U1463" s="19" t="str">
        <f>IF(tblDados[[#This Row],[Mandante]]="","",IF(COUNTIF(CadastroEquipes,TRIM(tblDados[[#This Row],[Mandante]]))&gt;0,"","⚠ Nome não cadastrado"))</f>
        <v/>
      </c>
      <c r="V1463" s="19" t="str">
        <f>IF(tblDados[[#This Row],[Visitante]]="","",IF(COUNTIF(CadastroEquipes,TRIM(tblDados[[#This Row],[Visitante]]))&gt;0,"","⚠ Nome não cadastrado"))</f>
        <v/>
      </c>
    </row>
    <row r="1464" spans="1:22" ht="14.4" x14ac:dyDescent="0.3">
      <c r="A1464" s="1" t="s">
        <v>3805</v>
      </c>
      <c r="B1464" s="102">
        <v>46158</v>
      </c>
      <c r="C1464" s="6">
        <v>0.9375</v>
      </c>
      <c r="D1464" s="1" t="s">
        <v>39</v>
      </c>
      <c r="E1464" s="1" t="s">
        <v>3706</v>
      </c>
      <c r="F1464" s="1" t="s">
        <v>3806</v>
      </c>
      <c r="G1464" s="39" t="s">
        <v>3807</v>
      </c>
      <c r="H1464" s="1">
        <v>3</v>
      </c>
      <c r="I1464" s="1">
        <v>3</v>
      </c>
      <c r="J1464" s="39" t="s">
        <v>240</v>
      </c>
      <c r="K1464" s="1">
        <v>3</v>
      </c>
      <c r="L1464" s="1">
        <v>3</v>
      </c>
      <c r="S1464" s="1" t="str">
        <f>IF(tblDados[[#This Row],[Mandante]]="","",TEXT(tblDados[[#This Row],[Data]],"aaaa-mm-dd")&amp;"|"&amp;TRIM(tblDados[[#This Row],[Mandante]])&amp;"|"&amp;TRIM(tblDados[[#This Row],[Visitante]]))</f>
        <v>2026-05-16|San Diego FC|FC Cincinnati</v>
      </c>
      <c r="T1464">
        <f>IF($G1464="",0,IF(COUNTIF($S$2:$S2952,$S1464)=1,1,0))</f>
        <v>1</v>
      </c>
      <c r="U1464" s="19" t="str">
        <f>IF(tblDados[[#This Row],[Mandante]]="","",IF(COUNTIF(CadastroEquipes,TRIM(tblDados[[#This Row],[Mandante]]))&gt;0,"","⚠ Nome não cadastrado"))</f>
        <v/>
      </c>
      <c r="V1464" s="19" t="str">
        <f>IF(tblDados[[#This Row],[Visitante]]="","",IF(COUNTIF(CadastroEquipes,TRIM(tblDados[[#This Row],[Visitante]]))&gt;0,"","⚠ Nome não cadastrado"))</f>
        <v/>
      </c>
    </row>
    <row r="1465" spans="1:22" ht="14.4" x14ac:dyDescent="0.3">
      <c r="A1465" s="1" t="s">
        <v>3808</v>
      </c>
      <c r="B1465" s="102">
        <v>46225</v>
      </c>
      <c r="C1465" s="6">
        <v>0.85416666666666696</v>
      </c>
      <c r="D1465" s="1" t="s">
        <v>39</v>
      </c>
      <c r="E1465" s="1" t="s">
        <v>3706</v>
      </c>
      <c r="F1465" s="1" t="s">
        <v>3809</v>
      </c>
      <c r="G1465" s="39" t="s">
        <v>240</v>
      </c>
      <c r="H1465" s="1">
        <v>4</v>
      </c>
      <c r="I1465" s="1">
        <v>3</v>
      </c>
      <c r="J1465" s="39" t="s">
        <v>3810</v>
      </c>
      <c r="K1465" s="1">
        <v>3</v>
      </c>
      <c r="L1465" s="1">
        <v>4</v>
      </c>
      <c r="S1465" s="1" t="str">
        <f>IF(tblDados[[#This Row],[Mandante]]="","",TEXT(tblDados[[#This Row],[Data]],"aaaa-mm-dd")&amp;"|"&amp;TRIM(tblDados[[#This Row],[Mandante]])&amp;"|"&amp;TRIM(tblDados[[#This Row],[Visitante]]))</f>
        <v>2026-07-22|FC Cincinnati|Vancouver Whitecaps FC</v>
      </c>
      <c r="T1465">
        <f>IF($G1465="",0,IF(COUNTIF($S$2:$S2953,$S1465)=1,1,0))</f>
        <v>1</v>
      </c>
      <c r="U1465" s="19" t="str">
        <f>IF(tblDados[[#This Row],[Mandante]]="","",IF(COUNTIF(CadastroEquipes,TRIM(tblDados[[#This Row],[Mandante]]))&gt;0,"","⚠ Nome não cadastrado"))</f>
        <v/>
      </c>
      <c r="V1465" s="19" t="str">
        <f>IF(tblDados[[#This Row],[Visitante]]="","",IF(COUNTIF(CadastroEquipes,TRIM(tblDados[[#This Row],[Visitante]]))&gt;0,"","⚠ Nome não cadastrado"))</f>
        <v/>
      </c>
    </row>
    <row r="1466" spans="1:22" ht="14.4" x14ac:dyDescent="0.3">
      <c r="A1466" s="1" t="s">
        <v>3819</v>
      </c>
      <c r="B1466" s="102">
        <v>46144</v>
      </c>
      <c r="C1466" s="6">
        <v>0.85416666666666696</v>
      </c>
      <c r="D1466" s="1" t="s">
        <v>39</v>
      </c>
      <c r="E1466" s="1" t="s">
        <v>3706</v>
      </c>
      <c r="F1466" s="1" t="s">
        <v>3820</v>
      </c>
      <c r="G1466" s="39" t="s">
        <v>237</v>
      </c>
      <c r="H1466" s="1">
        <v>2</v>
      </c>
      <c r="I1466" s="1">
        <v>3</v>
      </c>
      <c r="J1466" s="39" t="s">
        <v>3821</v>
      </c>
      <c r="K1466" s="1">
        <v>3</v>
      </c>
      <c r="L1466" s="1">
        <v>2</v>
      </c>
      <c r="S1466" s="1" t="str">
        <f>IF(tblDados[[#This Row],[Mandante]]="","",TEXT(tblDados[[#This Row],[Data]],"aaaa-mm-dd")&amp;"|"&amp;TRIM(tblDados[[#This Row],[Mandante]])&amp;"|"&amp;TRIM(tblDados[[#This Row],[Visitante]]))</f>
        <v>2026-05-02|Columbus Crew|Minnesota United FC</v>
      </c>
      <c r="T1466">
        <f>IF($G1466="",0,IF(COUNTIF($S$2:$S2954,$S1466)=1,1,0))</f>
        <v>1</v>
      </c>
      <c r="U1466" s="19" t="str">
        <f>IF(tblDados[[#This Row],[Mandante]]="","",IF(COUNTIF(CadastroEquipes,TRIM(tblDados[[#This Row],[Mandante]]))&gt;0,"","⚠ Nome não cadastrado"))</f>
        <v/>
      </c>
      <c r="V1466" s="19" t="str">
        <f>IF(tblDados[[#This Row],[Visitante]]="","",IF(COUNTIF(CadastroEquipes,TRIM(tblDados[[#This Row],[Visitante]]))&gt;0,"","⚠ Nome não cadastrado"))</f>
        <v/>
      </c>
    </row>
    <row r="1467" spans="1:22" ht="14.4" x14ac:dyDescent="0.3">
      <c r="A1467" s="1" t="s">
        <v>3824</v>
      </c>
      <c r="B1467" s="102">
        <v>46134</v>
      </c>
      <c r="C1467" s="6">
        <v>0.85416666666666696</v>
      </c>
      <c r="D1467" s="1" t="s">
        <v>39</v>
      </c>
      <c r="E1467" s="1" t="s">
        <v>3706</v>
      </c>
      <c r="F1467" s="1" t="s">
        <v>3825</v>
      </c>
      <c r="G1467" s="39" t="s">
        <v>237</v>
      </c>
      <c r="H1467" s="1">
        <v>2</v>
      </c>
      <c r="I1467" s="1">
        <v>1</v>
      </c>
      <c r="J1467" s="39" t="s">
        <v>3744</v>
      </c>
      <c r="K1467" s="1">
        <v>1</v>
      </c>
      <c r="L1467" s="1">
        <v>2</v>
      </c>
      <c r="S1467" s="1" t="str">
        <f>IF(tblDados[[#This Row],[Mandante]]="","",TEXT(tblDados[[#This Row],[Data]],"aaaa-mm-dd")&amp;"|"&amp;TRIM(tblDados[[#This Row],[Mandante]])&amp;"|"&amp;TRIM(tblDados[[#This Row],[Visitante]]))</f>
        <v>2026-04-22|Columbus Crew|LA Galaxy</v>
      </c>
      <c r="T1467">
        <f>IF($G1467="",0,IF(COUNTIF($S$2:$S2955,$S1467)=1,1,0))</f>
        <v>1</v>
      </c>
      <c r="U1467" s="19" t="str">
        <f>IF(tblDados[[#This Row],[Mandante]]="","",IF(COUNTIF(CadastroEquipes,TRIM(tblDados[[#This Row],[Mandante]]))&gt;0,"","⚠ Nome não cadastrado"))</f>
        <v/>
      </c>
      <c r="V1467" s="19" t="str">
        <f>IF(tblDados[[#This Row],[Visitante]]="","",IF(COUNTIF(CadastroEquipes,TRIM(tblDados[[#This Row],[Visitante]]))&gt;0,"","⚠ Nome não cadastrado"))</f>
        <v/>
      </c>
    </row>
    <row r="1468" spans="1:22" ht="14.4" x14ac:dyDescent="0.3">
      <c r="A1468" s="1" t="s">
        <v>3834</v>
      </c>
      <c r="B1468" s="102">
        <v>46225</v>
      </c>
      <c r="C1468" s="6">
        <v>0.89583333333333304</v>
      </c>
      <c r="D1468" s="1" t="s">
        <v>39</v>
      </c>
      <c r="E1468" s="1" t="s">
        <v>3706</v>
      </c>
      <c r="F1468" s="1" t="s">
        <v>3835</v>
      </c>
      <c r="G1468" s="39" t="s">
        <v>3836</v>
      </c>
      <c r="H1468" s="1">
        <v>1</v>
      </c>
      <c r="I1468" s="1">
        <v>1</v>
      </c>
      <c r="J1468" s="39" t="s">
        <v>3780</v>
      </c>
      <c r="K1468" s="1">
        <v>1</v>
      </c>
      <c r="L1468" s="1">
        <v>1</v>
      </c>
      <c r="S1468" s="1" t="str">
        <f>IF(tblDados[[#This Row],[Mandante]]="","",TEXT(tblDados[[#This Row],[Data]],"aaaa-mm-dd")&amp;"|"&amp;TRIM(tblDados[[#This Row],[Mandante]])&amp;"|"&amp;TRIM(tblDados[[#This Row],[Visitante]]))</f>
        <v>2026-07-22|Houston Dynamo FC|D.C. United</v>
      </c>
      <c r="T1468">
        <f>IF($G1468="",0,IF(COUNTIF($S$2:$S2956,$S1468)=1,1,0))</f>
        <v>1</v>
      </c>
      <c r="U1468" s="19" t="str">
        <f>IF(tblDados[[#This Row],[Mandante]]="","",IF(COUNTIF(CadastroEquipes,TRIM(tblDados[[#This Row],[Mandante]]))&gt;0,"","⚠ Nome não cadastrado"))</f>
        <v/>
      </c>
      <c r="V1468" s="19" t="str">
        <f>IF(tblDados[[#This Row],[Visitante]]="","",IF(COUNTIF(CadastroEquipes,TRIM(tblDados[[#This Row],[Visitante]]))&gt;0,"","⚠ Nome não cadastrado"))</f>
        <v/>
      </c>
    </row>
    <row r="1469" spans="1:22" ht="14.4" x14ac:dyDescent="0.3">
      <c r="A1469" s="1" t="s">
        <v>3839</v>
      </c>
      <c r="B1469" s="102">
        <v>46158</v>
      </c>
      <c r="C1469" s="6">
        <v>0.85416666666666696</v>
      </c>
      <c r="D1469" s="1" t="s">
        <v>39</v>
      </c>
      <c r="E1469" s="1" t="s">
        <v>3706</v>
      </c>
      <c r="F1469" s="1" t="s">
        <v>3840</v>
      </c>
      <c r="G1469" s="39" t="s">
        <v>3780</v>
      </c>
      <c r="H1469" s="1">
        <v>1</v>
      </c>
      <c r="I1469" s="1">
        <v>1</v>
      </c>
      <c r="J1469" s="39" t="s">
        <v>3841</v>
      </c>
      <c r="K1469" s="1">
        <v>1</v>
      </c>
      <c r="L1469" s="1">
        <v>1</v>
      </c>
      <c r="S1469" s="1" t="str">
        <f>IF(tblDados[[#This Row],[Mandante]]="","",TEXT(tblDados[[#This Row],[Data]],"aaaa-mm-dd")&amp;"|"&amp;TRIM(tblDados[[#This Row],[Mandante]])&amp;"|"&amp;TRIM(tblDados[[#This Row],[Visitante]]))</f>
        <v>2026-05-16|D.C. United|St. Louis CITY SC</v>
      </c>
      <c r="T1469">
        <f>IF($G1469="",0,IF(COUNTIF($S$2:$S2957,$S1469)=1,1,0))</f>
        <v>1</v>
      </c>
      <c r="U1469" s="19" t="str">
        <f>IF(tblDados[[#This Row],[Mandante]]="","",IF(COUNTIF(CadastroEquipes,TRIM(tblDados[[#This Row],[Mandante]]))&gt;0,"","⚠ Nome não cadastrado"))</f>
        <v/>
      </c>
      <c r="V1469" s="19" t="str">
        <f>IF(tblDados[[#This Row],[Visitante]]="","",IF(COUNTIF(CadastroEquipes,TRIM(tblDados[[#This Row],[Visitante]]))&gt;0,"","⚠ Nome não cadastrado"))</f>
        <v/>
      </c>
    </row>
    <row r="1470" spans="1:22" ht="14.4" x14ac:dyDescent="0.3">
      <c r="A1470" s="1" t="s">
        <v>3859</v>
      </c>
      <c r="B1470" s="102">
        <v>46159</v>
      </c>
      <c r="C1470" s="6">
        <v>0.79166666666666696</v>
      </c>
      <c r="D1470" s="1" t="s">
        <v>39</v>
      </c>
      <c r="E1470" s="1" t="s">
        <v>3706</v>
      </c>
      <c r="F1470" s="1" t="s">
        <v>3860</v>
      </c>
      <c r="G1470" s="39" t="s">
        <v>3787</v>
      </c>
      <c r="H1470" s="1">
        <v>2</v>
      </c>
      <c r="I1470" s="1">
        <v>0</v>
      </c>
      <c r="J1470" s="39" t="s">
        <v>247</v>
      </c>
      <c r="K1470" s="1">
        <v>0</v>
      </c>
      <c r="L1470" s="1">
        <v>2</v>
      </c>
      <c r="S1470" s="1" t="str">
        <f>IF(tblDados[[#This Row],[Mandante]]="","",TEXT(tblDados[[#This Row],[Data]],"aaaa-mm-dd")&amp;"|"&amp;TRIM(tblDados[[#This Row],[Mandante]])&amp;"|"&amp;TRIM(tblDados[[#This Row],[Visitante]]))</f>
        <v>2026-05-17|Inter Miami CF|Portland Timbers</v>
      </c>
      <c r="T1470">
        <f>IF($G1470="",0,IF(COUNTIF($S$2:$S2958,$S1470)=1,1,0))</f>
        <v>1</v>
      </c>
      <c r="U1470" s="19" t="str">
        <f>IF(tblDados[[#This Row],[Mandante]]="","",IF(COUNTIF(CadastroEquipes,TRIM(tblDados[[#This Row],[Mandante]]))&gt;0,"","⚠ Nome não cadastrado"))</f>
        <v/>
      </c>
      <c r="V1470" s="19" t="str">
        <f>IF(tblDados[[#This Row],[Visitante]]="","",IF(COUNTIF(CadastroEquipes,TRIM(tblDados[[#This Row],[Visitante]]))&gt;0,"","⚠ Nome não cadastrado"))</f>
        <v/>
      </c>
    </row>
    <row r="1471" spans="1:22" ht="14.4" x14ac:dyDescent="0.3">
      <c r="A1471" s="1" t="s">
        <v>3867</v>
      </c>
      <c r="B1471" s="102">
        <v>46134</v>
      </c>
      <c r="C1471" s="6">
        <v>0.9375</v>
      </c>
      <c r="D1471" s="1" t="s">
        <v>39</v>
      </c>
      <c r="E1471" s="1" t="s">
        <v>3706</v>
      </c>
      <c r="F1471" s="1" t="s">
        <v>3868</v>
      </c>
      <c r="G1471" s="39" t="s">
        <v>3869</v>
      </c>
      <c r="H1471" s="1">
        <v>0</v>
      </c>
      <c r="I1471" s="1">
        <v>2</v>
      </c>
      <c r="J1471" s="39" t="s">
        <v>3787</v>
      </c>
      <c r="K1471" s="1">
        <v>2</v>
      </c>
      <c r="L1471" s="1">
        <v>0</v>
      </c>
      <c r="S1471" s="1" t="str">
        <f>IF(tblDados[[#This Row],[Mandante]]="","",TEXT(tblDados[[#This Row],[Data]],"aaaa-mm-dd")&amp;"|"&amp;TRIM(tblDados[[#This Row],[Mandante]])&amp;"|"&amp;TRIM(tblDados[[#This Row],[Visitante]]))</f>
        <v>2026-04-22|Real Salt Lake|Inter Miami CF</v>
      </c>
      <c r="T1471">
        <f>IF($G1471="",0,IF(COUNTIF($S$2:$S2959,$S1471)=1,1,0))</f>
        <v>1</v>
      </c>
      <c r="U1471" s="19" t="str">
        <f>IF(tblDados[[#This Row],[Mandante]]="","",IF(COUNTIF(CadastroEquipes,TRIM(tblDados[[#This Row],[Mandante]]))&gt;0,"","⚠ Nome não cadastrado"))</f>
        <v/>
      </c>
      <c r="V1471" s="19" t="str">
        <f>IF(tblDados[[#This Row],[Visitante]]="","",IF(COUNTIF(CadastroEquipes,TRIM(tblDados[[#This Row],[Visitante]]))&gt;0,"","⚠ Nome não cadastrado"))</f>
        <v/>
      </c>
    </row>
    <row r="1472" spans="1:22" ht="14.4" x14ac:dyDescent="0.3">
      <c r="A1472" s="1" t="s">
        <v>3870</v>
      </c>
      <c r="B1472" s="102">
        <v>46130</v>
      </c>
      <c r="C1472" s="6">
        <v>0.72916666666666696</v>
      </c>
      <c r="D1472" s="1" t="s">
        <v>39</v>
      </c>
      <c r="E1472" s="1" t="s">
        <v>3706</v>
      </c>
      <c r="F1472" s="1" t="s">
        <v>3871</v>
      </c>
      <c r="G1472" s="39" t="s">
        <v>3872</v>
      </c>
      <c r="H1472" s="1">
        <v>2</v>
      </c>
      <c r="I1472" s="1">
        <v>3</v>
      </c>
      <c r="J1472" s="39" t="s">
        <v>3787</v>
      </c>
      <c r="K1472" s="1">
        <v>3</v>
      </c>
      <c r="L1472" s="1">
        <v>2</v>
      </c>
      <c r="S1472" s="1" t="str">
        <f>IF(tblDados[[#This Row],[Mandante]]="","",TEXT(tblDados[[#This Row],[Data]],"aaaa-mm-dd")&amp;"|"&amp;TRIM(tblDados[[#This Row],[Mandante]])&amp;"|"&amp;TRIM(tblDados[[#This Row],[Visitante]]))</f>
        <v>2026-04-18|Colorado Rapids|Inter Miami CF</v>
      </c>
      <c r="T1472">
        <f>IF($G1472="",0,IF(COUNTIF($S$2:$S2960,$S1472)=1,1,0))</f>
        <v>1</v>
      </c>
      <c r="U1472" s="19" t="str">
        <f>IF(tblDados[[#This Row],[Mandante]]="","",IF(COUNTIF(CadastroEquipes,TRIM(tblDados[[#This Row],[Mandante]]))&gt;0,"","⚠ Nome não cadastrado"))</f>
        <v/>
      </c>
      <c r="V1472" s="19" t="str">
        <f>IF(tblDados[[#This Row],[Visitante]]="","",IF(COUNTIF(CadastroEquipes,TRIM(tblDados[[#This Row],[Visitante]]))&gt;0,"","⚠ Nome não cadastrado"))</f>
        <v/>
      </c>
    </row>
    <row r="1473" spans="1:22" ht="14.4" x14ac:dyDescent="0.3">
      <c r="A1473" s="1" t="s">
        <v>3881</v>
      </c>
      <c r="B1473" s="102">
        <v>46159</v>
      </c>
      <c r="C1473" s="6">
        <v>0.875</v>
      </c>
      <c r="D1473" s="1" t="s">
        <v>39</v>
      </c>
      <c r="E1473" s="1" t="s">
        <v>3706</v>
      </c>
      <c r="F1473" s="1" t="s">
        <v>3882</v>
      </c>
      <c r="G1473" s="39" t="s">
        <v>3718</v>
      </c>
      <c r="H1473" s="1">
        <v>3</v>
      </c>
      <c r="I1473" s="1">
        <v>2</v>
      </c>
      <c r="J1473" s="39" t="s">
        <v>3883</v>
      </c>
      <c r="K1473" s="1">
        <v>2</v>
      </c>
      <c r="L1473" s="1">
        <v>3</v>
      </c>
      <c r="S1473" s="1" t="str">
        <f>IF(tblDados[[#This Row],[Mandante]]="","",TEXT(tblDados[[#This Row],[Data]],"aaaa-mm-dd")&amp;"|"&amp;TRIM(tblDados[[#This Row],[Mandante]])&amp;"|"&amp;TRIM(tblDados[[#This Row],[Visitante]]))</f>
        <v>2026-05-17|Nashville SC|Los Angeles FC</v>
      </c>
      <c r="T1473">
        <f>IF($G1473="",0,IF(COUNTIF($S$2:$S2961,$S1473)=1,1,0))</f>
        <v>1</v>
      </c>
      <c r="U1473" s="19" t="str">
        <f>IF(tblDados[[#This Row],[Mandante]]="","",IF(COUNTIF(CadastroEquipes,TRIM(tblDados[[#This Row],[Mandante]]))&gt;0,"","⚠ Nome não cadastrado"))</f>
        <v/>
      </c>
      <c r="V1473" s="19" t="str">
        <f>IF(tblDados[[#This Row],[Visitante]]="","",IF(COUNTIF(CadastroEquipes,TRIM(tblDados[[#This Row],[Visitante]]))&gt;0,"","⚠ Nome não cadastrado"))</f>
        <v/>
      </c>
    </row>
    <row r="1474" spans="1:22" ht="14.4" x14ac:dyDescent="0.3">
      <c r="A1474" s="1" t="s">
        <v>3888</v>
      </c>
      <c r="B1474" s="102">
        <v>46242</v>
      </c>
      <c r="C1474" s="6">
        <v>0.72916666666666696</v>
      </c>
      <c r="D1474" s="1" t="s">
        <v>39</v>
      </c>
      <c r="E1474" s="1" t="s">
        <v>3706</v>
      </c>
      <c r="F1474" s="1" t="s">
        <v>3889</v>
      </c>
      <c r="G1474" s="39" t="s">
        <v>3721</v>
      </c>
      <c r="H1474" s="1">
        <v>0</v>
      </c>
      <c r="I1474" s="1">
        <v>2</v>
      </c>
      <c r="J1474" s="39" t="s">
        <v>3836</v>
      </c>
      <c r="K1474" s="1">
        <v>2</v>
      </c>
      <c r="L1474" s="1">
        <v>0</v>
      </c>
      <c r="S1474" s="1" t="str">
        <f>IF(tblDados[[#This Row],[Mandante]]="","",TEXT(tblDados[[#This Row],[Data]],"aaaa-mm-dd")&amp;"|"&amp;TRIM(tblDados[[#This Row],[Mandante]])&amp;"|"&amp;TRIM(tblDados[[#This Row],[Visitante]]))</f>
        <v>2026-08-08|New England Revolution|Houston Dynamo FC</v>
      </c>
      <c r="T1474">
        <f>IF($G1474="",0,IF(COUNTIF($S$2:$S2962,$S1474)=1,1,0))</f>
        <v>1</v>
      </c>
      <c r="U1474" s="19" t="str">
        <f>IF(tblDados[[#This Row],[Mandante]]="","",IF(COUNTIF(CadastroEquipes,TRIM(tblDados[[#This Row],[Mandante]]))&gt;0,"","⚠ Nome não cadastrado"))</f>
        <v/>
      </c>
      <c r="V1474" s="19" t="str">
        <f>IF(tblDados[[#This Row],[Visitante]]="","",IF(COUNTIF(CadastroEquipes,TRIM(tblDados[[#This Row],[Visitante]]))&gt;0,"","⚠ Nome não cadastrado"))</f>
        <v/>
      </c>
    </row>
    <row r="1475" spans="1:22" ht="14.4" x14ac:dyDescent="0.3">
      <c r="A1475" s="1" t="s">
        <v>3894</v>
      </c>
      <c r="B1475" s="102">
        <v>46158</v>
      </c>
      <c r="C1475" s="6">
        <v>0.85416666666666696</v>
      </c>
      <c r="D1475" s="1" t="s">
        <v>39</v>
      </c>
      <c r="E1475" s="1" t="s">
        <v>3706</v>
      </c>
      <c r="F1475" s="1" t="s">
        <v>3895</v>
      </c>
      <c r="G1475" s="39" t="s">
        <v>3721</v>
      </c>
      <c r="H1475" s="1">
        <v>2</v>
      </c>
      <c r="I1475" s="1">
        <v>1</v>
      </c>
      <c r="J1475" s="39" t="s">
        <v>3821</v>
      </c>
      <c r="K1475" s="1">
        <v>1</v>
      </c>
      <c r="L1475" s="1">
        <v>2</v>
      </c>
      <c r="S1475" s="1" t="str">
        <f>IF(tblDados[[#This Row],[Mandante]]="","",TEXT(tblDados[[#This Row],[Data]],"aaaa-mm-dd")&amp;"|"&amp;TRIM(tblDados[[#This Row],[Mandante]])&amp;"|"&amp;TRIM(tblDados[[#This Row],[Visitante]]))</f>
        <v>2026-05-16|New England Revolution|Minnesota United FC</v>
      </c>
      <c r="T1475">
        <f>IF($G1475="",0,IF(COUNTIF($S$2:$S2963,$S1475)=1,1,0))</f>
        <v>1</v>
      </c>
      <c r="U1475" s="19" t="str">
        <f>IF(tblDados[[#This Row],[Mandante]]="","",IF(COUNTIF(CadastroEquipes,TRIM(tblDados[[#This Row],[Mandante]]))&gt;0,"","⚠ Nome não cadastrado"))</f>
        <v/>
      </c>
      <c r="V1475" s="19" t="str">
        <f>IF(tblDados[[#This Row],[Visitante]]="","",IF(COUNTIF(CadastroEquipes,TRIM(tblDados[[#This Row],[Visitante]]))&gt;0,"","⚠ Nome não cadastrado"))</f>
        <v/>
      </c>
    </row>
    <row r="1476" spans="1:22" ht="14.4" x14ac:dyDescent="0.3">
      <c r="A1476" s="1" t="s">
        <v>3900</v>
      </c>
      <c r="B1476" s="102">
        <v>46155</v>
      </c>
      <c r="C1476" s="6">
        <v>0.85416666666666696</v>
      </c>
      <c r="D1476" s="1" t="s">
        <v>39</v>
      </c>
      <c r="E1476" s="1" t="s">
        <v>3706</v>
      </c>
      <c r="F1476" s="1" t="s">
        <v>3901</v>
      </c>
      <c r="G1476" s="39" t="s">
        <v>3726</v>
      </c>
      <c r="H1476" s="1">
        <v>2</v>
      </c>
      <c r="I1476" s="1">
        <v>2</v>
      </c>
      <c r="J1476" s="39" t="s">
        <v>247</v>
      </c>
      <c r="K1476" s="1">
        <v>2</v>
      </c>
      <c r="L1476" s="1">
        <v>2</v>
      </c>
      <c r="S1476" s="1" t="str">
        <f>IF(tblDados[[#This Row],[Mandante]]="","",TEXT(tblDados[[#This Row],[Data]],"aaaa-mm-dd")&amp;"|"&amp;TRIM(tblDados[[#This Row],[Mandante]])&amp;"|"&amp;TRIM(tblDados[[#This Row],[Visitante]]))</f>
        <v>2026-05-13|CF Montréal|Portland Timbers</v>
      </c>
      <c r="T1476">
        <f>IF($G1476="",0,IF(COUNTIF($S$2:$S2964,$S1476)=1,1,0))</f>
        <v>1</v>
      </c>
      <c r="U1476" s="19" t="str">
        <f>IF(tblDados[[#This Row],[Mandante]]="","",IF(COUNTIF(CadastroEquipes,TRIM(tblDados[[#This Row],[Mandante]]))&gt;0,"","⚠ Nome não cadastrado"))</f>
        <v/>
      </c>
      <c r="V1476" s="19" t="str">
        <f>IF(tblDados[[#This Row],[Visitante]]="","",IF(COUNTIF(CadastroEquipes,TRIM(tblDados[[#This Row],[Visitante]]))&gt;0,"","⚠ Nome não cadastrado"))</f>
        <v/>
      </c>
    </row>
    <row r="1477" spans="1:22" ht="14.4" x14ac:dyDescent="0.3">
      <c r="A1477" s="1" t="s">
        <v>3913</v>
      </c>
      <c r="B1477" s="102">
        <v>46123</v>
      </c>
      <c r="C1477" s="6">
        <v>0.85416666666666696</v>
      </c>
      <c r="D1477" s="1" t="s">
        <v>39</v>
      </c>
      <c r="E1477" s="1" t="s">
        <v>3706</v>
      </c>
      <c r="F1477" s="1" t="s">
        <v>3914</v>
      </c>
      <c r="G1477" s="39" t="s">
        <v>3810</v>
      </c>
      <c r="H1477" s="1">
        <v>2</v>
      </c>
      <c r="I1477" s="1">
        <v>0</v>
      </c>
      <c r="J1477" s="39" t="s">
        <v>3749</v>
      </c>
      <c r="K1477" s="1">
        <v>0</v>
      </c>
      <c r="L1477" s="1">
        <v>2</v>
      </c>
      <c r="S1477" s="1" t="str">
        <f>IF(tblDados[[#This Row],[Mandante]]="","",TEXT(tblDados[[#This Row],[Data]],"aaaa-mm-dd")&amp;"|"&amp;TRIM(tblDados[[#This Row],[Mandante]])&amp;"|"&amp;TRIM(tblDados[[#This Row],[Visitante]]))</f>
        <v>2026-04-11|Vancouver Whitecaps FC|New York City FC</v>
      </c>
      <c r="T1477">
        <f>IF($G1477="",0,IF(COUNTIF($S$2:$S2965,$S1477)=1,1,0))</f>
        <v>1</v>
      </c>
      <c r="U1477" s="19" t="str">
        <f>IF(tblDados[[#This Row],[Mandante]]="","",IF(COUNTIF(CadastroEquipes,TRIM(tblDados[[#This Row],[Mandante]]))&gt;0,"","⚠ Nome não cadastrado"))</f>
        <v/>
      </c>
      <c r="V1477" s="19" t="str">
        <f>IF(tblDados[[#This Row],[Visitante]]="","",IF(COUNTIF(CadastroEquipes,TRIM(tblDados[[#This Row],[Visitante]]))&gt;0,"","⚠ Nome não cadastrado"))</f>
        <v/>
      </c>
    </row>
    <row r="1478" spans="1:22" ht="14.4" x14ac:dyDescent="0.3">
      <c r="A1478" s="1" t="s">
        <v>3919</v>
      </c>
      <c r="B1478" s="102">
        <v>46165</v>
      </c>
      <c r="C1478" s="6">
        <v>0.89583333333333304</v>
      </c>
      <c r="D1478" s="1" t="s">
        <v>39</v>
      </c>
      <c r="E1478" s="1" t="s">
        <v>3706</v>
      </c>
      <c r="F1478" s="1" t="s">
        <v>3920</v>
      </c>
      <c r="G1478" s="39" t="s">
        <v>3792</v>
      </c>
      <c r="H1478" s="1">
        <v>1</v>
      </c>
      <c r="I1478" s="1">
        <v>2</v>
      </c>
      <c r="J1478" s="39" t="s">
        <v>3766</v>
      </c>
      <c r="K1478" s="1">
        <v>2</v>
      </c>
      <c r="L1478" s="1">
        <v>1</v>
      </c>
      <c r="S1478" s="1" t="str">
        <f>IF(tblDados[[#This Row],[Mandante]]="","",TEXT(tblDados[[#This Row],[Data]],"aaaa-mm-dd")&amp;"|"&amp;TRIM(tblDados[[#This Row],[Mandante]])&amp;"|"&amp;TRIM(tblDados[[#This Row],[Visitante]]))</f>
        <v>2026-05-23|Sporting Kansas City|New York Red Bulls</v>
      </c>
      <c r="T1478">
        <f>IF($G1478="",0,IF(COUNTIF($S$2:$S2966,$S1478)=1,1,0))</f>
        <v>1</v>
      </c>
      <c r="U1478" s="19" t="str">
        <f>IF(tblDados[[#This Row],[Mandante]]="","",IF(COUNTIF(CadastroEquipes,TRIM(tblDados[[#This Row],[Mandante]]))&gt;0,"","⚠ Nome não cadastrado"))</f>
        <v/>
      </c>
      <c r="V1478" s="19" t="str">
        <f>IF(tblDados[[#This Row],[Visitante]]="","",IF(COUNTIF(CadastroEquipes,TRIM(tblDados[[#This Row],[Visitante]]))&gt;0,"","⚠ Nome não cadastrado"))</f>
        <v/>
      </c>
    </row>
    <row r="1479" spans="1:22" ht="14.4" x14ac:dyDescent="0.3">
      <c r="A1479" s="1" t="s">
        <v>3921</v>
      </c>
      <c r="B1479" s="102">
        <v>46144</v>
      </c>
      <c r="C1479" s="6">
        <v>0.85416666666666696</v>
      </c>
      <c r="D1479" s="1" t="s">
        <v>39</v>
      </c>
      <c r="E1479" s="1" t="s">
        <v>3706</v>
      </c>
      <c r="F1479" s="1" t="s">
        <v>3922</v>
      </c>
      <c r="G1479" s="39" t="s">
        <v>3766</v>
      </c>
      <c r="H1479" s="1">
        <v>0</v>
      </c>
      <c r="I1479" s="1">
        <v>2</v>
      </c>
      <c r="J1479" s="39" t="s">
        <v>3923</v>
      </c>
      <c r="K1479" s="1">
        <v>2</v>
      </c>
      <c r="L1479" s="1">
        <v>0</v>
      </c>
      <c r="S1479" s="1" t="str">
        <f>IF(tblDados[[#This Row],[Mandante]]="","",TEXT(tblDados[[#This Row],[Data]],"aaaa-mm-dd")&amp;"|"&amp;TRIM(tblDados[[#This Row],[Mandante]])&amp;"|"&amp;TRIM(tblDados[[#This Row],[Visitante]]))</f>
        <v>2026-05-02|New York Red Bulls|FC Dallas</v>
      </c>
      <c r="T1479">
        <f>IF($G1479="",0,IF(COUNTIF($S$2:$S2967,$S1479)=1,1,0))</f>
        <v>1</v>
      </c>
      <c r="U1479" s="19" t="str">
        <f>IF(tblDados[[#This Row],[Mandante]]="","",IF(COUNTIF(CadastroEquipes,TRIM(tblDados[[#This Row],[Mandante]]))&gt;0,"","⚠ Nome não cadastrado"))</f>
        <v/>
      </c>
      <c r="V1479" s="19" t="str">
        <f>IF(tblDados[[#This Row],[Visitante]]="","",IF(COUNTIF(CadastroEquipes,TRIM(tblDados[[#This Row],[Visitante]]))&gt;0,"","⚠ Nome não cadastrado"))</f>
        <v/>
      </c>
    </row>
    <row r="1480" spans="1:22" ht="14.4" x14ac:dyDescent="0.3">
      <c r="A1480" s="1" t="s">
        <v>3924</v>
      </c>
      <c r="B1480" s="102">
        <v>46225</v>
      </c>
      <c r="C1480" s="6">
        <v>0.97916666666666696</v>
      </c>
      <c r="D1480" s="1" t="s">
        <v>39</v>
      </c>
      <c r="E1480" s="1" t="s">
        <v>3706</v>
      </c>
      <c r="F1480" s="1" t="s">
        <v>3925</v>
      </c>
      <c r="G1480" s="39" t="s">
        <v>241</v>
      </c>
      <c r="H1480" s="1">
        <v>0</v>
      </c>
      <c r="I1480" s="1">
        <v>4</v>
      </c>
      <c r="J1480" s="39" t="s">
        <v>3729</v>
      </c>
      <c r="K1480" s="1">
        <v>4</v>
      </c>
      <c r="L1480" s="1">
        <v>0</v>
      </c>
      <c r="S1480" s="1" t="str">
        <f>IF(tblDados[[#This Row],[Mandante]]="","",TEXT(tblDados[[#This Row],[Data]],"aaaa-mm-dd")&amp;"|"&amp;TRIM(tblDados[[#This Row],[Mandante]])&amp;"|"&amp;TRIM(tblDados[[#This Row],[Visitante]]))</f>
        <v>2026-07-22|San Jose Earthquakes|Orlando City SC</v>
      </c>
      <c r="T1480">
        <f>IF($G1480="",0,IF(COUNTIF($S$2:$S2968,$S1480)=1,1,0))</f>
        <v>1</v>
      </c>
      <c r="U1480" s="19" t="str">
        <f>IF(tblDados[[#This Row],[Mandante]]="","",IF(COUNTIF(CadastroEquipes,TRIM(tblDados[[#This Row],[Mandante]]))&gt;0,"","⚠ Nome não cadastrado"))</f>
        <v/>
      </c>
      <c r="V1480" s="19" t="str">
        <f>IF(tblDados[[#This Row],[Visitante]]="","",IF(COUNTIF(CadastroEquipes,TRIM(tblDados[[#This Row],[Visitante]]))&gt;0,"","⚠ Nome não cadastrado"))</f>
        <v/>
      </c>
    </row>
    <row r="1481" spans="1:22" ht="14.4" x14ac:dyDescent="0.3">
      <c r="A1481" s="1" t="s">
        <v>3928</v>
      </c>
      <c r="B1481" s="102">
        <v>46130</v>
      </c>
      <c r="C1481" s="6">
        <v>0.85416666666666696</v>
      </c>
      <c r="D1481" s="1" t="s">
        <v>39</v>
      </c>
      <c r="E1481" s="1" t="s">
        <v>3706</v>
      </c>
      <c r="F1481" s="1" t="s">
        <v>3929</v>
      </c>
      <c r="G1481" s="39" t="s">
        <v>3729</v>
      </c>
      <c r="H1481" s="1">
        <v>0</v>
      </c>
      <c r="I1481" s="1">
        <v>1</v>
      </c>
      <c r="J1481" s="39" t="s">
        <v>3836</v>
      </c>
      <c r="K1481" s="1">
        <v>1</v>
      </c>
      <c r="L1481" s="1">
        <v>0</v>
      </c>
      <c r="S1481" s="1" t="str">
        <f>IF(tblDados[[#This Row],[Mandante]]="","",TEXT(tblDados[[#This Row],[Data]],"aaaa-mm-dd")&amp;"|"&amp;TRIM(tblDados[[#This Row],[Mandante]])&amp;"|"&amp;TRIM(tblDados[[#This Row],[Visitante]]))</f>
        <v>2026-04-18|Orlando City SC|Houston Dynamo FC</v>
      </c>
      <c r="T1481">
        <f>IF($G1481="",0,IF(COUNTIF($S$2:$S2969,$S1481)=1,1,0))</f>
        <v>1</v>
      </c>
      <c r="U1481" s="19" t="str">
        <f>IF(tblDados[[#This Row],[Mandante]]="","",IF(COUNTIF(CadastroEquipes,TRIM(tblDados[[#This Row],[Mandante]]))&gt;0,"","⚠ Nome não cadastrado"))</f>
        <v/>
      </c>
      <c r="V1481" s="19" t="str">
        <f>IF(tblDados[[#This Row],[Visitante]]="","",IF(COUNTIF(CadastroEquipes,TRIM(tblDados[[#This Row],[Visitante]]))&gt;0,"","⚠ Nome não cadastrado"))</f>
        <v/>
      </c>
    </row>
    <row r="1482" spans="1:22" ht="14.4" x14ac:dyDescent="0.3">
      <c r="A1482" s="1" t="s">
        <v>3930</v>
      </c>
      <c r="B1482" s="102">
        <v>46228</v>
      </c>
      <c r="C1482" s="6">
        <v>0.85416666666666696</v>
      </c>
      <c r="D1482" s="1" t="s">
        <v>39</v>
      </c>
      <c r="E1482" s="1" t="s">
        <v>3706</v>
      </c>
      <c r="F1482" s="1" t="s">
        <v>3931</v>
      </c>
      <c r="G1482" s="39" t="s">
        <v>3741</v>
      </c>
      <c r="H1482" s="1">
        <v>1</v>
      </c>
      <c r="I1482" s="1">
        <v>0</v>
      </c>
      <c r="J1482" s="39" t="s">
        <v>3932</v>
      </c>
      <c r="K1482" s="1">
        <v>0</v>
      </c>
      <c r="L1482" s="1">
        <v>1</v>
      </c>
      <c r="S1482" s="1" t="str">
        <f>IF(tblDados[[#This Row],[Mandante]]="","",TEXT(tblDados[[#This Row],[Data]],"aaaa-mm-dd")&amp;"|"&amp;TRIM(tblDados[[#This Row],[Mandante]])&amp;"|"&amp;TRIM(tblDados[[#This Row],[Visitante]]))</f>
        <v>2026-07-25|Philadelphia Union|Seattle Sounders FC</v>
      </c>
      <c r="T1482">
        <f>IF($G1482="",0,IF(COUNTIF($S$2:$S2970,$S1482)=1,1,0))</f>
        <v>1</v>
      </c>
      <c r="U1482" s="19" t="str">
        <f>IF(tblDados[[#This Row],[Mandante]]="","",IF(COUNTIF(CadastroEquipes,TRIM(tblDados[[#This Row],[Mandante]]))&gt;0,"","⚠ Nome não cadastrado"))</f>
        <v/>
      </c>
      <c r="V1482" s="19" t="str">
        <f>IF(tblDados[[#This Row],[Visitante]]="","",IF(COUNTIF(CadastroEquipes,TRIM(tblDados[[#This Row],[Visitante]]))&gt;0,"","⚠ Nome não cadastrado"))</f>
        <v/>
      </c>
    </row>
    <row r="1483" spans="1:22" ht="14.4" x14ac:dyDescent="0.3">
      <c r="A1483" s="1" t="s">
        <v>3935</v>
      </c>
      <c r="B1483" s="102">
        <v>46144</v>
      </c>
      <c r="C1483" s="6">
        <v>0.85416666666666696</v>
      </c>
      <c r="D1483" s="1" t="s">
        <v>39</v>
      </c>
      <c r="E1483" s="1" t="s">
        <v>3706</v>
      </c>
      <c r="F1483" s="1" t="s">
        <v>3936</v>
      </c>
      <c r="G1483" s="39" t="s">
        <v>192</v>
      </c>
      <c r="H1483" s="1">
        <v>1</v>
      </c>
      <c r="I1483" s="1">
        <v>1</v>
      </c>
      <c r="J1483" s="39" t="s">
        <v>241</v>
      </c>
      <c r="K1483" s="1">
        <v>1</v>
      </c>
      <c r="L1483" s="1">
        <v>1</v>
      </c>
      <c r="S1483" s="1" t="str">
        <f>IF(tblDados[[#This Row],[Mandante]]="","",TEXT(tblDados[[#This Row],[Data]],"aaaa-mm-dd")&amp;"|"&amp;TRIM(tblDados[[#This Row],[Mandante]])&amp;"|"&amp;TRIM(tblDados[[#This Row],[Visitante]]))</f>
        <v>2026-05-02|Toronto FC|San Jose Earthquakes</v>
      </c>
      <c r="T1483">
        <f>IF($G1483="",0,IF(COUNTIF($S$2:$S2971,$S1483)=1,1,0))</f>
        <v>1</v>
      </c>
      <c r="U1483" s="19" t="str">
        <f>IF(tblDados[[#This Row],[Mandante]]="","",IF(COUNTIF(CadastroEquipes,TRIM(tblDados[[#This Row],[Mandante]]))&gt;0,"","⚠ Nome não cadastrado"))</f>
        <v/>
      </c>
      <c r="V1483" s="19" t="str">
        <f>IF(tblDados[[#This Row],[Visitante]]="","",IF(COUNTIF(CadastroEquipes,TRIM(tblDados[[#This Row],[Visitante]]))&gt;0,"","⚠ Nome não cadastrado"))</f>
        <v/>
      </c>
    </row>
    <row r="1484" spans="1:22" ht="14.4" x14ac:dyDescent="0.3">
      <c r="A1484" s="1" t="s">
        <v>3937</v>
      </c>
      <c r="B1484" s="102">
        <v>46130</v>
      </c>
      <c r="C1484" s="6">
        <v>0.85416666666666696</v>
      </c>
      <c r="D1484" s="1" t="s">
        <v>39</v>
      </c>
      <c r="E1484" s="1" t="s">
        <v>3706</v>
      </c>
      <c r="F1484" s="1" t="s">
        <v>3938</v>
      </c>
      <c r="G1484" s="39" t="s">
        <v>192</v>
      </c>
      <c r="H1484" s="1">
        <v>3</v>
      </c>
      <c r="I1484" s="1">
        <v>3</v>
      </c>
      <c r="J1484" s="39" t="s">
        <v>3939</v>
      </c>
      <c r="K1484" s="1">
        <v>3</v>
      </c>
      <c r="L1484" s="1">
        <v>3</v>
      </c>
      <c r="S1484" s="1" t="str">
        <f>IF(tblDados[[#This Row],[Mandante]]="","",TEXT(tblDados[[#This Row],[Data]],"aaaa-mm-dd")&amp;"|"&amp;TRIM(tblDados[[#This Row],[Mandante]])&amp;"|"&amp;TRIM(tblDados[[#This Row],[Visitante]]))</f>
        <v>2026-04-18|Toronto FC|Austin FC</v>
      </c>
      <c r="T1484">
        <f>IF($G1484="",0,IF(COUNTIF($S$2:$S2972,$S1484)=1,1,0))</f>
        <v>1</v>
      </c>
      <c r="U1484" s="19" t="str">
        <f>IF(tblDados[[#This Row],[Mandante]]="","",IF(COUNTIF(CadastroEquipes,TRIM(tblDados[[#This Row],[Mandante]]))&gt;0,"","⚠ Nome não cadastrado"))</f>
        <v/>
      </c>
      <c r="V1484" s="19" t="str">
        <f>IF(tblDados[[#This Row],[Visitante]]="","",IF(COUNTIF(CadastroEquipes,TRIM(tblDados[[#This Row],[Visitante]]))&gt;0,"","⚠ Nome não cadastrado"))</f>
        <v/>
      </c>
    </row>
    <row r="1485" spans="1:22" ht="14.4" x14ac:dyDescent="0.3">
      <c r="A1485" s="1" t="s">
        <v>3960</v>
      </c>
      <c r="B1485" s="102">
        <v>46116</v>
      </c>
      <c r="C1485" s="6">
        <v>0.85416666666666696</v>
      </c>
      <c r="D1485" s="1" t="s">
        <v>39</v>
      </c>
      <c r="E1485" s="1" t="s">
        <v>3706</v>
      </c>
      <c r="F1485" s="1" t="s">
        <v>3961</v>
      </c>
      <c r="G1485" s="39" t="s">
        <v>3787</v>
      </c>
      <c r="H1485" s="1">
        <v>2</v>
      </c>
      <c r="I1485" s="1">
        <v>2</v>
      </c>
      <c r="J1485" s="39" t="s">
        <v>3939</v>
      </c>
      <c r="K1485" s="1">
        <v>2</v>
      </c>
      <c r="L1485" s="1">
        <v>2</v>
      </c>
      <c r="S1485" s="1" t="str">
        <f>IF(tblDados[[#This Row],[Mandante]]="","",TEXT(tblDados[[#This Row],[Data]],"aaaa-mm-dd")&amp;"|"&amp;TRIM(tblDados[[#This Row],[Mandante]])&amp;"|"&amp;TRIM(tblDados[[#This Row],[Visitante]]))</f>
        <v>2026-04-04|Inter Miami CF|Austin FC</v>
      </c>
      <c r="T1485">
        <f>IF($G1485="",0,IF(COUNTIF($S$2:$S2973,$S1485)=1,1,0))</f>
        <v>1</v>
      </c>
      <c r="U1485" s="19" t="str">
        <f>IF(tblDados[[#This Row],[Mandante]]="","",IF(COUNTIF(CadastroEquipes,TRIM(tblDados[[#This Row],[Mandante]]))&gt;0,"","⚠ Nome não cadastrado"))</f>
        <v/>
      </c>
      <c r="V1485" s="19" t="str">
        <f>IF(tblDados[[#This Row],[Visitante]]="","",IF(COUNTIF(CadastroEquipes,TRIM(tblDados[[#This Row],[Visitante]]))&gt;0,"","⚠ Nome não cadastrado"))</f>
        <v/>
      </c>
    </row>
    <row r="1486" spans="1:22" ht="14.4" x14ac:dyDescent="0.3">
      <c r="A1486" s="1" t="s">
        <v>4104</v>
      </c>
      <c r="B1486" s="102">
        <v>46241</v>
      </c>
      <c r="C1486" s="6">
        <v>0.875</v>
      </c>
      <c r="D1486" s="1" t="s">
        <v>17</v>
      </c>
      <c r="E1486" s="1" t="s">
        <v>4102</v>
      </c>
      <c r="F1486" s="1" t="s">
        <v>4105</v>
      </c>
      <c r="G1486" s="39" t="s">
        <v>932</v>
      </c>
      <c r="H1486" s="1">
        <v>0</v>
      </c>
      <c r="I1486" s="1">
        <v>2</v>
      </c>
      <c r="J1486" s="39" t="s">
        <v>146</v>
      </c>
      <c r="K1486" s="1">
        <v>2</v>
      </c>
      <c r="L1486" s="1">
        <v>0</v>
      </c>
      <c r="S1486" s="1" t="str">
        <f>IF(tblDados[[#This Row],[Mandante]]="","",TEXT(tblDados[[#This Row],[Data]],"aaaa-mm-dd")&amp;"|"&amp;TRIM(tblDados[[#This Row],[Mandante]])&amp;"|"&amp;TRIM(tblDados[[#This Row],[Visitante]]))</f>
        <v>2026-08-07|LDU Quito|Independiente del Valle</v>
      </c>
      <c r="T1486">
        <f>IF($G1486="",0,IF(COUNTIF($S$2:$S2974,$S1486)=1,1,0))</f>
        <v>1</v>
      </c>
      <c r="U1486" s="19" t="str">
        <f>IF(tblDados[[#This Row],[Mandante]]="","",IF(COUNTIF(CadastroEquipes,TRIM(tblDados[[#This Row],[Mandante]]))&gt;0,"","⚠ Nome não cadastrado"))</f>
        <v/>
      </c>
      <c r="V1486" s="19" t="str">
        <f>IF(tblDados[[#This Row],[Visitante]]="","",IF(COUNTIF(CadastroEquipes,TRIM(tblDados[[#This Row],[Visitante]]))&gt;0,"","⚠ Nome não cadastrado"))</f>
        <v/>
      </c>
    </row>
    <row r="1487" spans="1:22" ht="14.4" x14ac:dyDescent="0.3">
      <c r="A1487" s="1" t="s">
        <v>4106</v>
      </c>
      <c r="B1487" s="102">
        <v>46236</v>
      </c>
      <c r="C1487" s="6">
        <v>0.625</v>
      </c>
      <c r="D1487" s="1" t="s">
        <v>17</v>
      </c>
      <c r="E1487" s="1" t="s">
        <v>4102</v>
      </c>
      <c r="F1487" s="1" t="s">
        <v>4107</v>
      </c>
      <c r="G1487" s="39" t="s">
        <v>146</v>
      </c>
      <c r="H1487" s="1">
        <v>1</v>
      </c>
      <c r="I1487" s="1">
        <v>0</v>
      </c>
      <c r="J1487" s="39" t="s">
        <v>4108</v>
      </c>
      <c r="K1487" s="1">
        <v>0</v>
      </c>
      <c r="L1487" s="1">
        <v>1</v>
      </c>
      <c r="S1487" s="1" t="str">
        <f>IF(tblDados[[#This Row],[Mandante]]="","",TEXT(tblDados[[#This Row],[Data]],"aaaa-mm-dd")&amp;"|"&amp;TRIM(tblDados[[#This Row],[Mandante]])&amp;"|"&amp;TRIM(tblDados[[#This Row],[Visitante]]))</f>
        <v>2026-08-02|Independiente del Valle|Deportivo Cuenca</v>
      </c>
      <c r="T1487">
        <f>IF($G1487="",0,IF(COUNTIF($S$2:$S2975,$S1487)=1,1,0))</f>
        <v>1</v>
      </c>
      <c r="U1487" s="19" t="str">
        <f>IF(tblDados[[#This Row],[Mandante]]="","",IF(COUNTIF(CadastroEquipes,TRIM(tblDados[[#This Row],[Mandante]]))&gt;0,"","⚠ Nome não cadastrado"))</f>
        <v/>
      </c>
      <c r="V1487" s="19" t="str">
        <f>IF(tblDados[[#This Row],[Visitante]]="","",IF(COUNTIF(CadastroEquipes,TRIM(tblDados[[#This Row],[Visitante]]))&gt;0,"","⚠ Nome não cadastrado"))</f>
        <v/>
      </c>
    </row>
    <row r="1488" spans="1:22" ht="14.4" x14ac:dyDescent="0.3">
      <c r="A1488" s="1" t="s">
        <v>4109</v>
      </c>
      <c r="B1488" s="102">
        <v>46229</v>
      </c>
      <c r="C1488" s="6">
        <v>0.73958333333333337</v>
      </c>
      <c r="D1488" s="1" t="s">
        <v>17</v>
      </c>
      <c r="E1488" s="1" t="s">
        <v>4102</v>
      </c>
      <c r="F1488" s="1" t="s">
        <v>4110</v>
      </c>
      <c r="G1488" s="39" t="s">
        <v>4111</v>
      </c>
      <c r="H1488" s="1">
        <v>2</v>
      </c>
      <c r="I1488" s="1">
        <v>3</v>
      </c>
      <c r="J1488" s="39" t="s">
        <v>146</v>
      </c>
      <c r="K1488" s="1">
        <v>3</v>
      </c>
      <c r="L1488" s="1">
        <v>2</v>
      </c>
      <c r="S1488" s="1" t="str">
        <f>IF(tblDados[[#This Row],[Mandante]]="","",TEXT(tblDados[[#This Row],[Data]],"aaaa-mm-dd")&amp;"|"&amp;TRIM(tblDados[[#This Row],[Mandante]])&amp;"|"&amp;TRIM(tblDados[[#This Row],[Visitante]]))</f>
        <v>2026-07-26|Orense|Independiente del Valle</v>
      </c>
      <c r="T1488">
        <f>IF($G1488="",0,IF(COUNTIF($S$2:$S2976,$S1488)=1,1,0))</f>
        <v>1</v>
      </c>
      <c r="U1488" s="19" t="str">
        <f>IF(tblDados[[#This Row],[Mandante]]="","",IF(COUNTIF(CadastroEquipes,TRIM(tblDados[[#This Row],[Mandante]]))&gt;0,"","⚠ Nome não cadastrado"))</f>
        <v/>
      </c>
      <c r="V1488" s="19" t="str">
        <f>IF(tblDados[[#This Row],[Visitante]]="","",IF(COUNTIF(CadastroEquipes,TRIM(tblDados[[#This Row],[Visitante]]))&gt;0,"","⚠ Nome não cadastrado"))</f>
        <v/>
      </c>
    </row>
    <row r="1489" spans="1:22" ht="14.4" x14ac:dyDescent="0.3">
      <c r="A1489" s="1" t="s">
        <v>4112</v>
      </c>
      <c r="B1489" s="102">
        <v>46225</v>
      </c>
      <c r="C1489" s="6">
        <v>0.77083333333333337</v>
      </c>
      <c r="D1489" s="1" t="s">
        <v>17</v>
      </c>
      <c r="E1489" s="1" t="s">
        <v>4102</v>
      </c>
      <c r="F1489" s="1" t="s">
        <v>4113</v>
      </c>
      <c r="G1489" s="39" t="s">
        <v>146</v>
      </c>
      <c r="H1489" s="1">
        <v>3</v>
      </c>
      <c r="I1489" s="1">
        <v>0</v>
      </c>
      <c r="J1489" s="39" t="s">
        <v>4114</v>
      </c>
      <c r="K1489" s="1">
        <v>0</v>
      </c>
      <c r="L1489" s="1">
        <v>3</v>
      </c>
      <c r="S1489" s="1" t="str">
        <f>IF(tblDados[[#This Row],[Mandante]]="","",TEXT(tblDados[[#This Row],[Data]],"aaaa-mm-dd")&amp;"|"&amp;TRIM(tblDados[[#This Row],[Mandante]])&amp;"|"&amp;TRIM(tblDados[[#This Row],[Visitante]]))</f>
        <v>2026-07-22|Independiente del Valle|Técnico Universitario</v>
      </c>
      <c r="T1489">
        <f>IF($G1489="",0,IF(COUNTIF($S$2:$S2977,$S1489)=1,1,0))</f>
        <v>1</v>
      </c>
      <c r="U1489" s="19" t="str">
        <f>IF(tblDados[[#This Row],[Mandante]]="","",IF(COUNTIF(CadastroEquipes,TRIM(tblDados[[#This Row],[Mandante]]))&gt;0,"","⚠ Nome não cadastrado"))</f>
        <v/>
      </c>
      <c r="V1489" s="19" t="str">
        <f>IF(tblDados[[#This Row],[Visitante]]="","",IF(COUNTIF(CadastroEquipes,TRIM(tblDados[[#This Row],[Visitante]]))&gt;0,"","⚠ Nome não cadastrado"))</f>
        <v/>
      </c>
    </row>
    <row r="1490" spans="1:22" ht="14.4" x14ac:dyDescent="0.3">
      <c r="A1490" s="1" t="s">
        <v>4115</v>
      </c>
      <c r="B1490" s="102">
        <v>46222</v>
      </c>
      <c r="C1490" s="6">
        <v>0.88541666666666663</v>
      </c>
      <c r="D1490" s="1" t="s">
        <v>17</v>
      </c>
      <c r="E1490" s="1" t="s">
        <v>4102</v>
      </c>
      <c r="F1490" s="1" t="s">
        <v>4116</v>
      </c>
      <c r="G1490" s="39" t="s">
        <v>146</v>
      </c>
      <c r="H1490" s="1">
        <v>6</v>
      </c>
      <c r="I1490" s="1">
        <v>1</v>
      </c>
      <c r="J1490" s="39" t="s">
        <v>4117</v>
      </c>
      <c r="K1490" s="1">
        <v>1</v>
      </c>
      <c r="L1490" s="1">
        <v>6</v>
      </c>
      <c r="S1490" s="1" t="str">
        <f>IF(tblDados[[#This Row],[Mandante]]="","",TEXT(tblDados[[#This Row],[Data]],"aaaa-mm-dd")&amp;"|"&amp;TRIM(tblDados[[#This Row],[Mandante]])&amp;"|"&amp;TRIM(tblDados[[#This Row],[Visitante]]))</f>
        <v>2026-07-19|Independiente del Valle|Emelec</v>
      </c>
      <c r="T1490">
        <f>IF($G1490="",0,IF(COUNTIF($S$2:$S2978,$S1490)=1,1,0))</f>
        <v>1</v>
      </c>
      <c r="U1490" s="19" t="str">
        <f>IF(tblDados[[#This Row],[Mandante]]="","",IF(COUNTIF(CadastroEquipes,TRIM(tblDados[[#This Row],[Mandante]]))&gt;0,"","⚠ Nome não cadastrado"))</f>
        <v/>
      </c>
      <c r="V1490" s="19" t="str">
        <f>IF(tblDados[[#This Row],[Visitante]]="","",IF(COUNTIF(CadastroEquipes,TRIM(tblDados[[#This Row],[Visitante]]))&gt;0,"","⚠ Nome não cadastrado"))</f>
        <v/>
      </c>
    </row>
    <row r="1491" spans="1:22" ht="14.4" x14ac:dyDescent="0.3">
      <c r="A1491" s="1" t="s">
        <v>4118</v>
      </c>
      <c r="B1491" s="102">
        <v>46219</v>
      </c>
      <c r="C1491" s="6">
        <v>0.77083333333333337</v>
      </c>
      <c r="D1491" s="1" t="s">
        <v>17</v>
      </c>
      <c r="E1491" s="1" t="s">
        <v>4102</v>
      </c>
      <c r="F1491" s="1" t="s">
        <v>4119</v>
      </c>
      <c r="G1491" s="39" t="s">
        <v>4120</v>
      </c>
      <c r="H1491" s="1">
        <v>0</v>
      </c>
      <c r="I1491" s="1">
        <v>3</v>
      </c>
      <c r="J1491" s="39" t="s">
        <v>146</v>
      </c>
      <c r="K1491" s="1">
        <v>3</v>
      </c>
      <c r="L1491" s="1">
        <v>0</v>
      </c>
      <c r="S1491" s="1" t="str">
        <f>IF(tblDados[[#This Row],[Mandante]]="","",TEXT(tblDados[[#This Row],[Data]],"aaaa-mm-dd")&amp;"|"&amp;TRIM(tblDados[[#This Row],[Mandante]])&amp;"|"&amp;TRIM(tblDados[[#This Row],[Visitante]]))</f>
        <v>2026-07-16|Aucas|Independiente del Valle</v>
      </c>
      <c r="T1491">
        <f>IF($G1491="",0,IF(COUNTIF($S$2:$S2979,$S1491)=1,1,0))</f>
        <v>1</v>
      </c>
      <c r="U1491" s="19" t="str">
        <f>IF(tblDados[[#This Row],[Mandante]]="","",IF(COUNTIF(CadastroEquipes,TRIM(tblDados[[#This Row],[Mandante]]))&gt;0,"","⚠ Nome não cadastrado"))</f>
        <v/>
      </c>
      <c r="V1491" s="19" t="str">
        <f>IF(tblDados[[#This Row],[Visitante]]="","",IF(COUNTIF(CadastroEquipes,TRIM(tblDados[[#This Row],[Visitante]]))&gt;0,"","⚠ Nome não cadastrado"))</f>
        <v/>
      </c>
    </row>
    <row r="1492" spans="1:22" ht="14.4" x14ac:dyDescent="0.3">
      <c r="A1492" s="1" t="s">
        <v>4121</v>
      </c>
      <c r="B1492" s="102">
        <v>46214</v>
      </c>
      <c r="C1492" s="6">
        <v>0.67361111111111116</v>
      </c>
      <c r="D1492" s="1" t="s">
        <v>17</v>
      </c>
      <c r="E1492" s="1" t="s">
        <v>4102</v>
      </c>
      <c r="F1492" s="1" t="s">
        <v>4122</v>
      </c>
      <c r="G1492" s="39" t="s">
        <v>4123</v>
      </c>
      <c r="H1492" s="1">
        <v>1</v>
      </c>
      <c r="I1492" s="1">
        <v>4</v>
      </c>
      <c r="J1492" s="39" t="s">
        <v>146</v>
      </c>
      <c r="K1492" s="1">
        <v>4</v>
      </c>
      <c r="L1492" s="1">
        <v>1</v>
      </c>
      <c r="S1492" s="1" t="str">
        <f>IF(tblDados[[#This Row],[Mandante]]="","",TEXT(tblDados[[#This Row],[Data]],"aaaa-mm-dd")&amp;"|"&amp;TRIM(tblDados[[#This Row],[Mandante]])&amp;"|"&amp;TRIM(tblDados[[#This Row],[Visitante]]))</f>
        <v>2026-07-11|Mushuc Runa|Independiente del Valle</v>
      </c>
      <c r="T1492">
        <f>IF($G1492="",0,IF(COUNTIF($S$2:$S2980,$S1492)=1,1,0))</f>
        <v>1</v>
      </c>
      <c r="U1492" s="19" t="str">
        <f>IF(tblDados[[#This Row],[Mandante]]="","",IF(COUNTIF(CadastroEquipes,TRIM(tblDados[[#This Row],[Mandante]]))&gt;0,"","⚠ Nome não cadastrado"))</f>
        <v/>
      </c>
      <c r="V1492" s="19" t="str">
        <f>IF(tblDados[[#This Row],[Visitante]]="","",IF(COUNTIF(CadastroEquipes,TRIM(tblDados[[#This Row],[Visitante]]))&gt;0,"","⚠ Nome não cadastrado"))</f>
        <v/>
      </c>
    </row>
    <row r="1493" spans="1:22" ht="14.4" x14ac:dyDescent="0.3">
      <c r="A1493" s="1" t="s">
        <v>4124</v>
      </c>
      <c r="B1493" s="102">
        <v>46173</v>
      </c>
      <c r="C1493" s="6">
        <v>0.72916666666666663</v>
      </c>
      <c r="D1493" s="1" t="s">
        <v>17</v>
      </c>
      <c r="E1493" s="1" t="s">
        <v>4102</v>
      </c>
      <c r="F1493" s="1" t="s">
        <v>4125</v>
      </c>
      <c r="G1493" s="39" t="s">
        <v>4126</v>
      </c>
      <c r="H1493" s="1">
        <v>2</v>
      </c>
      <c r="I1493" s="1">
        <v>4</v>
      </c>
      <c r="J1493" s="39" t="s">
        <v>146</v>
      </c>
      <c r="K1493" s="1">
        <v>4</v>
      </c>
      <c r="L1493" s="1">
        <v>2</v>
      </c>
      <c r="S1493" s="1" t="str">
        <f>IF(tblDados[[#This Row],[Mandante]]="","",TEXT(tblDados[[#This Row],[Data]],"aaaa-mm-dd")&amp;"|"&amp;TRIM(tblDados[[#This Row],[Mandante]])&amp;"|"&amp;TRIM(tblDados[[#This Row],[Visitante]]))</f>
        <v>2026-05-31|Guayaquil City FC|Independiente del Valle</v>
      </c>
      <c r="T1493">
        <f>IF($G1493="",0,IF(COUNTIF($S$2:$S2981,$S1493)=1,1,0))</f>
        <v>1</v>
      </c>
      <c r="U1493" s="19" t="str">
        <f>IF(tblDados[[#This Row],[Mandante]]="","",IF(COUNTIF(CadastroEquipes,TRIM(tblDados[[#This Row],[Mandante]]))&gt;0,"","⚠ Nome não cadastrado"))</f>
        <v/>
      </c>
      <c r="V1493" s="19" t="str">
        <f>IF(tblDados[[#This Row],[Visitante]]="","",IF(COUNTIF(CadastroEquipes,TRIM(tblDados[[#This Row],[Visitante]]))&gt;0,"","⚠ Nome não cadastrado"))</f>
        <v/>
      </c>
    </row>
    <row r="1494" spans="1:22" ht="14.4" x14ac:dyDescent="0.3">
      <c r="A1494" s="1" t="s">
        <v>4127</v>
      </c>
      <c r="B1494" s="102">
        <v>46164</v>
      </c>
      <c r="C1494" s="6">
        <v>0.875</v>
      </c>
      <c r="D1494" s="1" t="s">
        <v>17</v>
      </c>
      <c r="E1494" s="1" t="s">
        <v>4102</v>
      </c>
      <c r="F1494" s="1" t="s">
        <v>4251</v>
      </c>
      <c r="G1494" s="39" t="s">
        <v>146</v>
      </c>
      <c r="H1494" s="1">
        <v>2</v>
      </c>
      <c r="I1494" s="1">
        <v>3</v>
      </c>
      <c r="J1494" s="39" t="s">
        <v>4252</v>
      </c>
      <c r="K1494" s="1">
        <v>3</v>
      </c>
      <c r="L1494" s="1">
        <v>2</v>
      </c>
      <c r="S1494" s="1" t="str">
        <f>IF(tblDados[[#This Row],[Mandante]]="","",TEXT(tblDados[[#This Row],[Data]],"aaaa-mm-dd")&amp;"|"&amp;TRIM(tblDados[[#This Row],[Mandante]])&amp;"|"&amp;TRIM(tblDados[[#This Row],[Visitante]]))</f>
        <v>2026-05-22|Independiente del Valle|Libertad (Ecuador)</v>
      </c>
      <c r="T1494">
        <f>IF($G1494="",0,IF(COUNTIF($S$2:$S2982,$S1494)=1,1,0))</f>
        <v>1</v>
      </c>
      <c r="U1494" s="19" t="str">
        <f>IF(tblDados[[#This Row],[Mandante]]="","",IF(COUNTIF(CadastroEquipes,TRIM(tblDados[[#This Row],[Mandante]]))&gt;0,"","⚠ Nome não cadastrado"))</f>
        <v/>
      </c>
      <c r="V1494" s="19" t="str">
        <f>IF(tblDados[[#This Row],[Visitante]]="","",IF(COUNTIF(CadastroEquipes,TRIM(tblDados[[#This Row],[Visitante]]))&gt;0,"","⚠ Nome não cadastrado"))</f>
        <v/>
      </c>
    </row>
    <row r="1495" spans="1:22" ht="14.4" x14ac:dyDescent="0.3">
      <c r="A1495" s="1" t="s">
        <v>4128</v>
      </c>
      <c r="B1495" s="102">
        <v>46158</v>
      </c>
      <c r="C1495" s="6">
        <v>0.66666666666666663</v>
      </c>
      <c r="D1495" s="1" t="s">
        <v>17</v>
      </c>
      <c r="E1495" s="1" t="s">
        <v>4102</v>
      </c>
      <c r="F1495" s="1" t="s">
        <v>4129</v>
      </c>
      <c r="G1495" s="39" t="s">
        <v>4130</v>
      </c>
      <c r="H1495" s="1">
        <v>0</v>
      </c>
      <c r="I1495" s="1">
        <v>3</v>
      </c>
      <c r="J1495" s="39" t="s">
        <v>146</v>
      </c>
      <c r="K1495" s="1">
        <v>3</v>
      </c>
      <c r="L1495" s="1">
        <v>0</v>
      </c>
      <c r="S1495" s="1" t="str">
        <f>IF(tblDados[[#This Row],[Mandante]]="","",TEXT(tblDados[[#This Row],[Data]],"aaaa-mm-dd")&amp;"|"&amp;TRIM(tblDados[[#This Row],[Mandante]])&amp;"|"&amp;TRIM(tblDados[[#This Row],[Visitante]]))</f>
        <v>2026-05-16|Macará|Independiente del Valle</v>
      </c>
      <c r="T1495">
        <f>IF($G1495="",0,IF(COUNTIF($S$2:$S2983,$S1495)=1,1,0))</f>
        <v>1</v>
      </c>
      <c r="U1495" s="19" t="str">
        <f>IF(tblDados[[#This Row],[Mandante]]="","",IF(COUNTIF(CadastroEquipes,TRIM(tblDados[[#This Row],[Mandante]]))&gt;0,"","⚠ Nome não cadastrado"))</f>
        <v/>
      </c>
      <c r="V1495" s="19" t="str">
        <f>IF(tblDados[[#This Row],[Visitante]]="","",IF(COUNTIF(CadastroEquipes,TRIM(tblDados[[#This Row],[Visitante]]))&gt;0,"","⚠ Nome não cadastrado"))</f>
        <v/>
      </c>
    </row>
    <row r="1496" spans="1:22" ht="14.4" x14ac:dyDescent="0.3">
      <c r="A1496" s="1" t="s">
        <v>4131</v>
      </c>
      <c r="B1496" s="102">
        <v>46151</v>
      </c>
      <c r="C1496" s="6">
        <v>0.875</v>
      </c>
      <c r="D1496" s="1" t="s">
        <v>17</v>
      </c>
      <c r="E1496" s="1" t="s">
        <v>4102</v>
      </c>
      <c r="F1496" s="1" t="s">
        <v>4132</v>
      </c>
      <c r="G1496" s="39" t="s">
        <v>146</v>
      </c>
      <c r="H1496" s="1">
        <v>1</v>
      </c>
      <c r="I1496" s="1">
        <v>0</v>
      </c>
      <c r="J1496" s="39" t="s">
        <v>4133</v>
      </c>
      <c r="K1496" s="1">
        <v>0</v>
      </c>
      <c r="L1496" s="1">
        <v>1</v>
      </c>
      <c r="S1496" s="1" t="str">
        <f>IF(tblDados[[#This Row],[Mandante]]="","",TEXT(tblDados[[#This Row],[Data]],"aaaa-mm-dd")&amp;"|"&amp;TRIM(tblDados[[#This Row],[Mandante]])&amp;"|"&amp;TRIM(tblDados[[#This Row],[Visitante]]))</f>
        <v>2026-05-09|Independiente del Valle|Barcelona SC</v>
      </c>
      <c r="T1496">
        <f>IF($G1496="",0,IF(COUNTIF($S$2:$S2984,$S1496)=1,1,0))</f>
        <v>1</v>
      </c>
      <c r="U1496" s="19" t="str">
        <f>IF(tblDados[[#This Row],[Mandante]]="","",IF(COUNTIF(CadastroEquipes,TRIM(tblDados[[#This Row],[Mandante]]))&gt;0,"","⚠ Nome não cadastrado"))</f>
        <v/>
      </c>
      <c r="V1496" s="19" t="str">
        <f>IF(tblDados[[#This Row],[Visitante]]="","",IF(COUNTIF(CadastroEquipes,TRIM(tblDados[[#This Row],[Visitante]]))&gt;0,"","⚠ Nome não cadastrado"))</f>
        <v/>
      </c>
    </row>
    <row r="1497" spans="1:22" ht="14.4" x14ac:dyDescent="0.3">
      <c r="A1497" s="1" t="s">
        <v>4134</v>
      </c>
      <c r="B1497" s="102">
        <v>46235</v>
      </c>
      <c r="C1497" s="6">
        <v>0.77083333333333337</v>
      </c>
      <c r="D1497" s="1" t="s">
        <v>17</v>
      </c>
      <c r="E1497" s="1" t="s">
        <v>4102</v>
      </c>
      <c r="F1497" s="1" t="s">
        <v>4135</v>
      </c>
      <c r="G1497" s="39" t="s">
        <v>4136</v>
      </c>
      <c r="H1497" s="1">
        <v>5</v>
      </c>
      <c r="I1497" s="1">
        <v>0</v>
      </c>
      <c r="J1497" s="39" t="s">
        <v>4114</v>
      </c>
      <c r="K1497" s="1">
        <v>0</v>
      </c>
      <c r="L1497" s="1">
        <v>5</v>
      </c>
      <c r="S1497" s="1" t="str">
        <f>IF(tblDados[[#This Row],[Mandante]]="","",TEXT(tblDados[[#This Row],[Data]],"aaaa-mm-dd")&amp;"|"&amp;TRIM(tblDados[[#This Row],[Mandante]])&amp;"|"&amp;TRIM(tblDados[[#This Row],[Visitante]]))</f>
        <v>2026-08-01|Universidad Católica (Quito)|Técnico Universitario</v>
      </c>
      <c r="T1497">
        <f>IF($G1497="",0,IF(COUNTIF($S$2:$S2985,$S1497)=1,1,0))</f>
        <v>1</v>
      </c>
      <c r="U1497" s="19" t="str">
        <f>IF(tblDados[[#This Row],[Mandante]]="","",IF(COUNTIF(CadastroEquipes,TRIM(tblDados[[#This Row],[Mandante]]))&gt;0,"","⚠ Nome não cadastrado"))</f>
        <v/>
      </c>
      <c r="V1497" s="19" t="str">
        <f>IF(tblDados[[#This Row],[Visitante]]="","",IF(COUNTIF(CadastroEquipes,TRIM(tblDados[[#This Row],[Visitante]]))&gt;0,"","⚠ Nome não cadastrado"))</f>
        <v/>
      </c>
    </row>
    <row r="1498" spans="1:22" ht="14.4" x14ac:dyDescent="0.3">
      <c r="A1498" s="1" t="s">
        <v>4137</v>
      </c>
      <c r="B1498" s="102">
        <v>46230</v>
      </c>
      <c r="C1498" s="6">
        <v>0.77083333333333337</v>
      </c>
      <c r="D1498" s="1" t="s">
        <v>17</v>
      </c>
      <c r="E1498" s="1" t="s">
        <v>4102</v>
      </c>
      <c r="F1498" s="1" t="s">
        <v>4138</v>
      </c>
      <c r="G1498" s="39" t="s">
        <v>4126</v>
      </c>
      <c r="H1498" s="1">
        <v>0</v>
      </c>
      <c r="I1498" s="1">
        <v>0</v>
      </c>
      <c r="J1498" s="39" t="s">
        <v>4136</v>
      </c>
      <c r="K1498" s="1">
        <v>0</v>
      </c>
      <c r="L1498" s="1">
        <v>0</v>
      </c>
      <c r="S1498" s="1" t="str">
        <f>IF(tblDados[[#This Row],[Mandante]]="","",TEXT(tblDados[[#This Row],[Data]],"aaaa-mm-dd")&amp;"|"&amp;TRIM(tblDados[[#This Row],[Mandante]])&amp;"|"&amp;TRIM(tblDados[[#This Row],[Visitante]]))</f>
        <v>2026-07-27|Guayaquil City FC|Universidad Católica (Quito)</v>
      </c>
      <c r="T1498">
        <f>IF($G1498="",0,IF(COUNTIF($S$2:$S2986,$S1498)=1,1,0))</f>
        <v>1</v>
      </c>
      <c r="U1498" s="19" t="str">
        <f>IF(tblDados[[#This Row],[Mandante]]="","",IF(COUNTIF(CadastroEquipes,TRIM(tblDados[[#This Row],[Mandante]]))&gt;0,"","⚠ Nome não cadastrado"))</f>
        <v/>
      </c>
      <c r="V1498" s="19" t="str">
        <f>IF(tblDados[[#This Row],[Visitante]]="","",IF(COUNTIF(CadastroEquipes,TRIM(tblDados[[#This Row],[Visitante]]))&gt;0,"","⚠ Nome não cadastrado"))</f>
        <v/>
      </c>
    </row>
    <row r="1499" spans="1:22" ht="14.4" x14ac:dyDescent="0.3">
      <c r="A1499" s="1" t="s">
        <v>4139</v>
      </c>
      <c r="B1499" s="102">
        <v>46224</v>
      </c>
      <c r="C1499" s="6">
        <v>0.875</v>
      </c>
      <c r="D1499" s="1" t="s">
        <v>17</v>
      </c>
      <c r="E1499" s="1" t="s">
        <v>4102</v>
      </c>
      <c r="F1499" s="1" t="s">
        <v>4140</v>
      </c>
      <c r="G1499" s="39" t="s">
        <v>4136</v>
      </c>
      <c r="H1499" s="1">
        <v>2</v>
      </c>
      <c r="I1499" s="1">
        <v>1</v>
      </c>
      <c r="J1499" s="39" t="s">
        <v>4133</v>
      </c>
      <c r="K1499" s="1">
        <v>1</v>
      </c>
      <c r="L1499" s="1">
        <v>2</v>
      </c>
      <c r="S1499" s="1" t="str">
        <f>IF(tblDados[[#This Row],[Mandante]]="","",TEXT(tblDados[[#This Row],[Data]],"aaaa-mm-dd")&amp;"|"&amp;TRIM(tblDados[[#This Row],[Mandante]])&amp;"|"&amp;TRIM(tblDados[[#This Row],[Visitante]]))</f>
        <v>2026-07-21|Universidad Católica (Quito)|Barcelona SC</v>
      </c>
      <c r="T1499">
        <f>IF($G1499="",0,IF(COUNTIF($S$2:$S2987,$S1499)=1,1,0))</f>
        <v>1</v>
      </c>
      <c r="U1499" s="19" t="str">
        <f>IF(tblDados[[#This Row],[Mandante]]="","",IF(COUNTIF(CadastroEquipes,TRIM(tblDados[[#This Row],[Mandante]]))&gt;0,"","⚠ Nome não cadastrado"))</f>
        <v/>
      </c>
      <c r="V1499" s="19" t="str">
        <f>IF(tblDados[[#This Row],[Visitante]]="","",IF(COUNTIF(CadastroEquipes,TRIM(tblDados[[#This Row],[Visitante]]))&gt;0,"","⚠ Nome não cadastrado"))</f>
        <v/>
      </c>
    </row>
    <row r="1500" spans="1:22" ht="14.4" x14ac:dyDescent="0.3">
      <c r="A1500" s="1" t="s">
        <v>4141</v>
      </c>
      <c r="B1500" s="102">
        <v>46221</v>
      </c>
      <c r="C1500" s="6">
        <v>0.66666666666666663</v>
      </c>
      <c r="D1500" s="1" t="s">
        <v>17</v>
      </c>
      <c r="E1500" s="1" t="s">
        <v>4102</v>
      </c>
      <c r="F1500" s="1" t="s">
        <v>4142</v>
      </c>
      <c r="G1500" s="39" t="s">
        <v>4108</v>
      </c>
      <c r="H1500" s="1">
        <v>0</v>
      </c>
      <c r="I1500" s="1">
        <v>2</v>
      </c>
      <c r="J1500" s="39" t="s">
        <v>4136</v>
      </c>
      <c r="K1500" s="1">
        <v>2</v>
      </c>
      <c r="L1500" s="1">
        <v>0</v>
      </c>
      <c r="S1500" s="1" t="str">
        <f>IF(tblDados[[#This Row],[Mandante]]="","",TEXT(tblDados[[#This Row],[Data]],"aaaa-mm-dd")&amp;"|"&amp;TRIM(tblDados[[#This Row],[Mandante]])&amp;"|"&amp;TRIM(tblDados[[#This Row],[Visitante]]))</f>
        <v>2026-07-18|Deportivo Cuenca|Universidad Católica (Quito)</v>
      </c>
      <c r="T1500">
        <f>IF($G1500="",0,IF(COUNTIF($S$2:$S2988,$S1500)=1,1,0))</f>
        <v>1</v>
      </c>
      <c r="U1500" s="19" t="str">
        <f>IF(tblDados[[#This Row],[Mandante]]="","",IF(COUNTIF(CadastroEquipes,TRIM(tblDados[[#This Row],[Mandante]]))&gt;0,"","⚠ Nome não cadastrado"))</f>
        <v/>
      </c>
      <c r="V1500" s="19" t="str">
        <f>IF(tblDados[[#This Row],[Visitante]]="","",IF(COUNTIF(CadastroEquipes,TRIM(tblDados[[#This Row],[Visitante]]))&gt;0,"","⚠ Nome não cadastrado"))</f>
        <v/>
      </c>
    </row>
    <row r="1501" spans="1:22" ht="14.4" x14ac:dyDescent="0.3">
      <c r="A1501" s="1" t="s">
        <v>4143</v>
      </c>
      <c r="B1501" s="102">
        <v>46218</v>
      </c>
      <c r="C1501" s="6">
        <v>0.79166666666666663</v>
      </c>
      <c r="D1501" s="1" t="s">
        <v>17</v>
      </c>
      <c r="E1501" s="1" t="s">
        <v>4102</v>
      </c>
      <c r="F1501" s="1" t="s">
        <v>4144</v>
      </c>
      <c r="G1501" s="39" t="s">
        <v>4136</v>
      </c>
      <c r="H1501" s="1">
        <v>1</v>
      </c>
      <c r="I1501" s="1">
        <v>0</v>
      </c>
      <c r="J1501" s="39" t="s">
        <v>932</v>
      </c>
      <c r="K1501" s="1">
        <v>0</v>
      </c>
      <c r="L1501" s="1">
        <v>1</v>
      </c>
      <c r="S1501" s="1" t="str">
        <f>IF(tblDados[[#This Row],[Mandante]]="","",TEXT(tblDados[[#This Row],[Data]],"aaaa-mm-dd")&amp;"|"&amp;TRIM(tblDados[[#This Row],[Mandante]])&amp;"|"&amp;TRIM(tblDados[[#This Row],[Visitante]]))</f>
        <v>2026-07-15|Universidad Católica (Quito)|LDU Quito</v>
      </c>
      <c r="T1501">
        <f>IF($G1501="",0,IF(COUNTIF($S$2:$S2989,$S1501)=1,1,0))</f>
        <v>1</v>
      </c>
      <c r="U1501" s="19" t="str">
        <f>IF(tblDados[[#This Row],[Mandante]]="","",IF(COUNTIF(CadastroEquipes,TRIM(tblDados[[#This Row],[Mandante]]))&gt;0,"","⚠ Nome não cadastrado"))</f>
        <v/>
      </c>
      <c r="V1501" s="19" t="str">
        <f>IF(tblDados[[#This Row],[Visitante]]="","",IF(COUNTIF(CadastroEquipes,TRIM(tblDados[[#This Row],[Visitante]]))&gt;0,"","⚠ Nome não cadastrado"))</f>
        <v/>
      </c>
    </row>
    <row r="1502" spans="1:22" ht="14.4" x14ac:dyDescent="0.3">
      <c r="A1502" s="1" t="s">
        <v>4145</v>
      </c>
      <c r="B1502" s="102">
        <v>46213</v>
      </c>
      <c r="C1502" s="6">
        <v>0.79166666666666663</v>
      </c>
      <c r="D1502" s="1" t="s">
        <v>17</v>
      </c>
      <c r="E1502" s="1" t="s">
        <v>4102</v>
      </c>
      <c r="F1502" s="1" t="s">
        <v>4146</v>
      </c>
      <c r="G1502" s="39" t="s">
        <v>4147</v>
      </c>
      <c r="H1502" s="1">
        <v>1</v>
      </c>
      <c r="I1502" s="1">
        <v>0</v>
      </c>
      <c r="J1502" s="39" t="s">
        <v>4136</v>
      </c>
      <c r="K1502" s="1">
        <v>0</v>
      </c>
      <c r="L1502" s="1">
        <v>1</v>
      </c>
      <c r="S1502" s="1" t="str">
        <f>IF(tblDados[[#This Row],[Mandante]]="","",TEXT(tblDados[[#This Row],[Data]],"aaaa-mm-dd")&amp;"|"&amp;TRIM(tblDados[[#This Row],[Mandante]])&amp;"|"&amp;TRIM(tblDados[[#This Row],[Visitante]]))</f>
        <v>2026-07-10|Leones del Norte|Universidad Católica (Quito)</v>
      </c>
      <c r="T1502">
        <f>IF($G1502="",0,IF(COUNTIF($S$2:$S2990,$S1502)=1,1,0))</f>
        <v>1</v>
      </c>
      <c r="U1502" s="19" t="str">
        <f>IF(tblDados[[#This Row],[Mandante]]="","",IF(COUNTIF(CadastroEquipes,TRIM(tblDados[[#This Row],[Mandante]]))&gt;0,"","⚠ Nome não cadastrado"))</f>
        <v/>
      </c>
      <c r="V1502" s="19" t="str">
        <f>IF(tblDados[[#This Row],[Visitante]]="","",IF(COUNTIF(CadastroEquipes,TRIM(tblDados[[#This Row],[Visitante]]))&gt;0,"","⚠ Nome não cadastrado"))</f>
        <v/>
      </c>
    </row>
    <row r="1503" spans="1:22" ht="14.4" x14ac:dyDescent="0.3">
      <c r="A1503" s="1" t="s">
        <v>4148</v>
      </c>
      <c r="B1503" s="102">
        <v>46209</v>
      </c>
      <c r="C1503" s="6">
        <v>0.77083333333333337</v>
      </c>
      <c r="D1503" s="1" t="s">
        <v>17</v>
      </c>
      <c r="E1503" s="1" t="s">
        <v>4102</v>
      </c>
      <c r="F1503" s="1" t="s">
        <v>4149</v>
      </c>
      <c r="G1503" s="39" t="s">
        <v>4136</v>
      </c>
      <c r="H1503" s="1">
        <v>2</v>
      </c>
      <c r="I1503" s="1">
        <v>3</v>
      </c>
      <c r="J1503" s="39" t="s">
        <v>4123</v>
      </c>
      <c r="K1503" s="1">
        <v>3</v>
      </c>
      <c r="L1503" s="1">
        <v>2</v>
      </c>
      <c r="S1503" s="1" t="str">
        <f>IF(tblDados[[#This Row],[Mandante]]="","",TEXT(tblDados[[#This Row],[Data]],"aaaa-mm-dd")&amp;"|"&amp;TRIM(tblDados[[#This Row],[Mandante]])&amp;"|"&amp;TRIM(tblDados[[#This Row],[Visitante]]))</f>
        <v>2026-07-06|Universidad Católica (Quito)|Mushuc Runa</v>
      </c>
      <c r="T1503">
        <f>IF($G1503="",0,IF(COUNTIF($S$2:$S2991,$S1503)=1,1,0))</f>
        <v>1</v>
      </c>
      <c r="U1503" s="19" t="str">
        <f>IF(tblDados[[#This Row],[Mandante]]="","",IF(COUNTIF(CadastroEquipes,TRIM(tblDados[[#This Row],[Mandante]]))&gt;0,"","⚠ Nome não cadastrado"))</f>
        <v/>
      </c>
      <c r="V1503" s="19" t="str">
        <f>IF(tblDados[[#This Row],[Visitante]]="","",IF(COUNTIF(CadastroEquipes,TRIM(tblDados[[#This Row],[Visitante]]))&gt;0,"","⚠ Nome não cadastrado"))</f>
        <v/>
      </c>
    </row>
    <row r="1504" spans="1:22" ht="14.4" x14ac:dyDescent="0.3">
      <c r="A1504" s="1" t="s">
        <v>4150</v>
      </c>
      <c r="B1504" s="102">
        <v>46173</v>
      </c>
      <c r="C1504" s="6">
        <v>0.84027777777777779</v>
      </c>
      <c r="D1504" s="1" t="s">
        <v>17</v>
      </c>
      <c r="E1504" s="1" t="s">
        <v>4102</v>
      </c>
      <c r="F1504" s="1" t="s">
        <v>4151</v>
      </c>
      <c r="G1504" s="39" t="s">
        <v>4117</v>
      </c>
      <c r="H1504" s="1">
        <v>1</v>
      </c>
      <c r="I1504" s="1">
        <v>0</v>
      </c>
      <c r="J1504" s="39" t="s">
        <v>4136</v>
      </c>
      <c r="K1504" s="1">
        <v>0</v>
      </c>
      <c r="L1504" s="1">
        <v>1</v>
      </c>
      <c r="S1504" s="1" t="str">
        <f>IF(tblDados[[#This Row],[Mandante]]="","",TEXT(tblDados[[#This Row],[Data]],"aaaa-mm-dd")&amp;"|"&amp;TRIM(tblDados[[#This Row],[Mandante]])&amp;"|"&amp;TRIM(tblDados[[#This Row],[Visitante]]))</f>
        <v>2026-05-31|Emelec|Universidad Católica (Quito)</v>
      </c>
      <c r="T1504">
        <f>IF($G1504="",0,IF(COUNTIF($S$2:$S2992,$S1504)=1,1,0))</f>
        <v>1</v>
      </c>
      <c r="U1504" s="19" t="str">
        <f>IF(tblDados[[#This Row],[Mandante]]="","",IF(COUNTIF(CadastroEquipes,TRIM(tblDados[[#This Row],[Mandante]]))&gt;0,"","⚠ Nome não cadastrado"))</f>
        <v/>
      </c>
      <c r="V1504" s="19" t="str">
        <f>IF(tblDados[[#This Row],[Visitante]]="","",IF(COUNTIF(CadastroEquipes,TRIM(tblDados[[#This Row],[Visitante]]))&gt;0,"","⚠ Nome não cadastrado"))</f>
        <v/>
      </c>
    </row>
    <row r="1505" spans="1:22" ht="14.4" x14ac:dyDescent="0.3">
      <c r="A1505" s="1" t="s">
        <v>4152</v>
      </c>
      <c r="B1505" s="102">
        <v>46165</v>
      </c>
      <c r="C1505" s="6">
        <v>0.77083333333333337</v>
      </c>
      <c r="D1505" s="1" t="s">
        <v>17</v>
      </c>
      <c r="E1505" s="1" t="s">
        <v>4102</v>
      </c>
      <c r="F1505" s="1" t="s">
        <v>4153</v>
      </c>
      <c r="G1505" s="39" t="s">
        <v>4111</v>
      </c>
      <c r="H1505" s="1">
        <v>1</v>
      </c>
      <c r="I1505" s="1">
        <v>2</v>
      </c>
      <c r="J1505" s="39" t="s">
        <v>4136</v>
      </c>
      <c r="K1505" s="1">
        <v>2</v>
      </c>
      <c r="L1505" s="1">
        <v>1</v>
      </c>
      <c r="S1505" s="1" t="str">
        <f>IF(tblDados[[#This Row],[Mandante]]="","",TEXT(tblDados[[#This Row],[Data]],"aaaa-mm-dd")&amp;"|"&amp;TRIM(tblDados[[#This Row],[Mandante]])&amp;"|"&amp;TRIM(tblDados[[#This Row],[Visitante]]))</f>
        <v>2026-05-23|Orense|Universidad Católica (Quito)</v>
      </c>
      <c r="T1505">
        <f>IF($G1505="",0,IF(COUNTIF($S$2:$S2993,$S1505)=1,1,0))</f>
        <v>1</v>
      </c>
      <c r="U1505" s="19" t="str">
        <f>IF(tblDados[[#This Row],[Mandante]]="","",IF(COUNTIF(CadastroEquipes,TRIM(tblDados[[#This Row],[Mandante]]))&gt;0,"","⚠ Nome não cadastrado"))</f>
        <v/>
      </c>
      <c r="V1505" s="19" t="str">
        <f>IF(tblDados[[#This Row],[Visitante]]="","",IF(COUNTIF(CadastroEquipes,TRIM(tblDados[[#This Row],[Visitante]]))&gt;0,"","⚠ Nome não cadastrado"))</f>
        <v/>
      </c>
    </row>
    <row r="1506" spans="1:22" ht="14.4" x14ac:dyDescent="0.3">
      <c r="A1506" s="1" t="s">
        <v>4154</v>
      </c>
      <c r="B1506" s="102">
        <v>46158</v>
      </c>
      <c r="C1506" s="6">
        <v>0.77083333333333337</v>
      </c>
      <c r="D1506" s="1" t="s">
        <v>17</v>
      </c>
      <c r="E1506" s="1" t="s">
        <v>4102</v>
      </c>
      <c r="F1506" s="1" t="s">
        <v>4155</v>
      </c>
      <c r="G1506" s="39" t="s">
        <v>4136</v>
      </c>
      <c r="H1506" s="1">
        <v>2</v>
      </c>
      <c r="I1506" s="1">
        <v>2</v>
      </c>
      <c r="J1506" s="39" t="s">
        <v>931</v>
      </c>
      <c r="K1506" s="1">
        <v>2</v>
      </c>
      <c r="L1506" s="1">
        <v>2</v>
      </c>
      <c r="S1506" s="1" t="str">
        <f>IF(tblDados[[#This Row],[Mandante]]="","",TEXT(tblDados[[#This Row],[Data]],"aaaa-mm-dd")&amp;"|"&amp;TRIM(tblDados[[#This Row],[Mandante]])&amp;"|"&amp;TRIM(tblDados[[#This Row],[Visitante]]))</f>
        <v>2026-05-16|Universidad Católica (Quito)|Delfín SC</v>
      </c>
      <c r="T1506">
        <f>IF($G1506="",0,IF(COUNTIF($S$2:$S2994,$S1506)=1,1,0))</f>
        <v>1</v>
      </c>
      <c r="U1506" s="19" t="str">
        <f>IF(tblDados[[#This Row],[Mandante]]="","",IF(COUNTIF(CadastroEquipes,TRIM(tblDados[[#This Row],[Mandante]]))&gt;0,"","⚠ Nome não cadastrado"))</f>
        <v/>
      </c>
      <c r="V1506" s="19" t="str">
        <f>IF(tblDados[[#This Row],[Visitante]]="","",IF(COUNTIF(CadastroEquipes,TRIM(tblDados[[#This Row],[Visitante]]))&gt;0,"","⚠ Nome não cadastrado"))</f>
        <v/>
      </c>
    </row>
    <row r="1507" spans="1:22" ht="14.4" x14ac:dyDescent="0.3">
      <c r="A1507" s="1" t="s">
        <v>4156</v>
      </c>
      <c r="B1507" s="102">
        <v>46151</v>
      </c>
      <c r="C1507" s="6">
        <v>0.77083333333333337</v>
      </c>
      <c r="D1507" s="1" t="s">
        <v>17</v>
      </c>
      <c r="E1507" s="1" t="s">
        <v>4102</v>
      </c>
      <c r="F1507" s="1" t="s">
        <v>4157</v>
      </c>
      <c r="G1507" s="39" t="s">
        <v>4120</v>
      </c>
      <c r="H1507" s="1">
        <v>2</v>
      </c>
      <c r="I1507" s="1">
        <v>1</v>
      </c>
      <c r="J1507" s="39" t="s">
        <v>4136</v>
      </c>
      <c r="K1507" s="1">
        <v>1</v>
      </c>
      <c r="L1507" s="1">
        <v>2</v>
      </c>
      <c r="S1507" s="1" t="str">
        <f>IF(tblDados[[#This Row],[Mandante]]="","",TEXT(tblDados[[#This Row],[Data]],"aaaa-mm-dd")&amp;"|"&amp;TRIM(tblDados[[#This Row],[Mandante]])&amp;"|"&amp;TRIM(tblDados[[#This Row],[Visitante]]))</f>
        <v>2026-05-09|Aucas|Universidad Católica (Quito)</v>
      </c>
      <c r="T1507">
        <f>IF($G1507="",0,IF(COUNTIF($S$2:$S2995,$S1507)=1,1,0))</f>
        <v>1</v>
      </c>
      <c r="U1507" s="19" t="str">
        <f>IF(tblDados[[#This Row],[Mandante]]="","",IF(COUNTIF(CadastroEquipes,TRIM(tblDados[[#This Row],[Mandante]]))&gt;0,"","⚠ Nome não cadastrado"))</f>
        <v/>
      </c>
      <c r="V1507" s="19" t="str">
        <f>IF(tblDados[[#This Row],[Visitante]]="","",IF(COUNTIF(CadastroEquipes,TRIM(tblDados[[#This Row],[Visitante]]))&gt;0,"","⚠ Nome não cadastrado"))</f>
        <v/>
      </c>
    </row>
    <row r="1508" spans="1:22" ht="14.4" x14ac:dyDescent="0.3">
      <c r="A1508" s="1" t="s">
        <v>4158</v>
      </c>
      <c r="B1508" s="102">
        <v>46143</v>
      </c>
      <c r="C1508" s="6">
        <v>0.6875</v>
      </c>
      <c r="D1508" s="1" t="s">
        <v>17</v>
      </c>
      <c r="E1508" s="1" t="s">
        <v>4102</v>
      </c>
      <c r="F1508" s="1" t="s">
        <v>4159</v>
      </c>
      <c r="G1508" s="39" t="s">
        <v>4136</v>
      </c>
      <c r="H1508" s="1">
        <v>2</v>
      </c>
      <c r="I1508" s="1">
        <v>3</v>
      </c>
      <c r="J1508" s="39" t="s">
        <v>146</v>
      </c>
      <c r="K1508" s="1">
        <v>3</v>
      </c>
      <c r="L1508" s="1">
        <v>2</v>
      </c>
      <c r="S1508" s="1" t="str">
        <f>IF(tblDados[[#This Row],[Mandante]]="","",TEXT(tblDados[[#This Row],[Data]],"aaaa-mm-dd")&amp;"|"&amp;TRIM(tblDados[[#This Row],[Mandante]])&amp;"|"&amp;TRIM(tblDados[[#This Row],[Visitante]]))</f>
        <v>2026-05-01|Universidad Católica (Quito)|Independiente del Valle</v>
      </c>
      <c r="T1508">
        <f>IF($G1508="",0,IF(COUNTIF($S$2:$S2996,$S1508)=1,1,0))</f>
        <v>1</v>
      </c>
      <c r="U1508" s="19" t="str">
        <f>IF(tblDados[[#This Row],[Mandante]]="","",IF(COUNTIF(CadastroEquipes,TRIM(tblDados[[#This Row],[Mandante]]))&gt;0,"","⚠ Nome não cadastrado"))</f>
        <v/>
      </c>
      <c r="V1508" s="19" t="str">
        <f>IF(tblDados[[#This Row],[Visitante]]="","",IF(COUNTIF(CadastroEquipes,TRIM(tblDados[[#This Row],[Visitante]]))&gt;0,"","⚠ Nome não cadastrado"))</f>
        <v/>
      </c>
    </row>
    <row r="1509" spans="1:22" ht="14.4" x14ac:dyDescent="0.3">
      <c r="A1509" s="1" t="s">
        <v>4160</v>
      </c>
      <c r="B1509" s="102">
        <v>46242</v>
      </c>
      <c r="C1509" s="6">
        <v>0.875</v>
      </c>
      <c r="D1509" s="1" t="s">
        <v>17</v>
      </c>
      <c r="E1509" s="1" t="s">
        <v>4102</v>
      </c>
      <c r="F1509" s="1" t="s">
        <v>4161</v>
      </c>
      <c r="G1509" s="39" t="s">
        <v>4133</v>
      </c>
      <c r="H1509" s="1">
        <v>1</v>
      </c>
      <c r="I1509" s="1">
        <v>2</v>
      </c>
      <c r="J1509" s="39" t="s">
        <v>4130</v>
      </c>
      <c r="K1509" s="1">
        <v>2</v>
      </c>
      <c r="L1509" s="1">
        <v>1</v>
      </c>
      <c r="S1509" s="1" t="str">
        <f>IF(tblDados[[#This Row],[Mandante]]="","",TEXT(tblDados[[#This Row],[Data]],"aaaa-mm-dd")&amp;"|"&amp;TRIM(tblDados[[#This Row],[Mandante]])&amp;"|"&amp;TRIM(tblDados[[#This Row],[Visitante]]))</f>
        <v>2026-08-08|Barcelona SC|Macará</v>
      </c>
      <c r="T1509">
        <f>IF($G1509="",0,IF(COUNTIF($S$2:$S2997,$S1509)=1,1,0))</f>
        <v>1</v>
      </c>
      <c r="U1509" s="19" t="str">
        <f>IF(tblDados[[#This Row],[Mandante]]="","",IF(COUNTIF(CadastroEquipes,TRIM(tblDados[[#This Row],[Mandante]]))&gt;0,"","⚠ Nome não cadastrado"))</f>
        <v/>
      </c>
      <c r="V1509" s="19" t="str">
        <f>IF(tblDados[[#This Row],[Visitante]]="","",IF(COUNTIF(CadastroEquipes,TRIM(tblDados[[#This Row],[Visitante]]))&gt;0,"","⚠ Nome não cadastrado"))</f>
        <v/>
      </c>
    </row>
    <row r="1510" spans="1:22" ht="14.4" x14ac:dyDescent="0.3">
      <c r="A1510" s="1" t="s">
        <v>4162</v>
      </c>
      <c r="B1510" s="102">
        <v>46236</v>
      </c>
      <c r="C1510" s="6">
        <v>0.72916666666666663</v>
      </c>
      <c r="D1510" s="1" t="s">
        <v>17</v>
      </c>
      <c r="E1510" s="1" t="s">
        <v>4102</v>
      </c>
      <c r="F1510" s="1" t="s">
        <v>4163</v>
      </c>
      <c r="G1510" s="39" t="s">
        <v>4130</v>
      </c>
      <c r="H1510" s="1">
        <v>2</v>
      </c>
      <c r="I1510" s="1">
        <v>1</v>
      </c>
      <c r="J1510" s="39" t="s">
        <v>4126</v>
      </c>
      <c r="K1510" s="1">
        <v>1</v>
      </c>
      <c r="L1510" s="1">
        <v>2</v>
      </c>
      <c r="S1510" s="1" t="str">
        <f>IF(tblDados[[#This Row],[Mandante]]="","",TEXT(tblDados[[#This Row],[Data]],"aaaa-mm-dd")&amp;"|"&amp;TRIM(tblDados[[#This Row],[Mandante]])&amp;"|"&amp;TRIM(tblDados[[#This Row],[Visitante]]))</f>
        <v>2026-08-02|Macará|Guayaquil City FC</v>
      </c>
      <c r="T1510">
        <f>IF($G1510="",0,IF(COUNTIF($S$2:$S2998,$S1510)=1,1,0))</f>
        <v>1</v>
      </c>
      <c r="U1510" s="19" t="str">
        <f>IF(tblDados[[#This Row],[Mandante]]="","",IF(COUNTIF(CadastroEquipes,TRIM(tblDados[[#This Row],[Mandante]]))&gt;0,"","⚠ Nome não cadastrado"))</f>
        <v/>
      </c>
      <c r="V1510" s="19" t="str">
        <f>IF(tblDados[[#This Row],[Visitante]]="","",IF(COUNTIF(CadastroEquipes,TRIM(tblDados[[#This Row],[Visitante]]))&gt;0,"","⚠ Nome não cadastrado"))</f>
        <v/>
      </c>
    </row>
    <row r="1511" spans="1:22" ht="14.4" x14ac:dyDescent="0.3">
      <c r="A1511" s="1" t="s">
        <v>4164</v>
      </c>
      <c r="B1511" s="102">
        <v>46229</v>
      </c>
      <c r="C1511" s="6">
        <v>0.63541666666666663</v>
      </c>
      <c r="D1511" s="1" t="s">
        <v>17</v>
      </c>
      <c r="E1511" s="1" t="s">
        <v>4102</v>
      </c>
      <c r="F1511" s="1" t="s">
        <v>4165</v>
      </c>
      <c r="G1511" s="39" t="s">
        <v>4120</v>
      </c>
      <c r="H1511" s="1">
        <v>1</v>
      </c>
      <c r="I1511" s="1">
        <v>4</v>
      </c>
      <c r="J1511" s="39" t="s">
        <v>4130</v>
      </c>
      <c r="K1511" s="1">
        <v>4</v>
      </c>
      <c r="L1511" s="1">
        <v>1</v>
      </c>
      <c r="S1511" s="1" t="str">
        <f>IF(tblDados[[#This Row],[Mandante]]="","",TEXT(tblDados[[#This Row],[Data]],"aaaa-mm-dd")&amp;"|"&amp;TRIM(tblDados[[#This Row],[Mandante]])&amp;"|"&amp;TRIM(tblDados[[#This Row],[Visitante]]))</f>
        <v>2026-07-26|Aucas|Macará</v>
      </c>
      <c r="T1511">
        <f>IF($G1511="",0,IF(COUNTIF($S$2:$S2999,$S1511)=1,1,0))</f>
        <v>1</v>
      </c>
      <c r="U1511" s="19" t="str">
        <f>IF(tblDados[[#This Row],[Mandante]]="","",IF(COUNTIF(CadastroEquipes,TRIM(tblDados[[#This Row],[Mandante]]))&gt;0,"","⚠ Nome não cadastrado"))</f>
        <v/>
      </c>
      <c r="V1511" s="19" t="str">
        <f>IF(tblDados[[#This Row],[Visitante]]="","",IF(COUNTIF(CadastroEquipes,TRIM(tblDados[[#This Row],[Visitante]]))&gt;0,"","⚠ Nome não cadastrado"))</f>
        <v/>
      </c>
    </row>
    <row r="1512" spans="1:22" ht="14.4" x14ac:dyDescent="0.3">
      <c r="A1512" s="1" t="s">
        <v>4166</v>
      </c>
      <c r="B1512" s="102">
        <v>46225</v>
      </c>
      <c r="C1512" s="6">
        <v>0.66666666666666663</v>
      </c>
      <c r="D1512" s="1" t="s">
        <v>17</v>
      </c>
      <c r="E1512" s="1" t="s">
        <v>4102</v>
      </c>
      <c r="F1512" s="1" t="s">
        <v>4167</v>
      </c>
      <c r="G1512" s="39" t="s">
        <v>4130</v>
      </c>
      <c r="H1512" s="1">
        <v>3</v>
      </c>
      <c r="I1512" s="1">
        <v>0</v>
      </c>
      <c r="J1512" s="39" t="s">
        <v>4108</v>
      </c>
      <c r="K1512" s="1">
        <v>0</v>
      </c>
      <c r="L1512" s="1">
        <v>3</v>
      </c>
      <c r="S1512" s="1" t="str">
        <f>IF(tblDados[[#This Row],[Mandante]]="","",TEXT(tblDados[[#This Row],[Data]],"aaaa-mm-dd")&amp;"|"&amp;TRIM(tblDados[[#This Row],[Mandante]])&amp;"|"&amp;TRIM(tblDados[[#This Row],[Visitante]]))</f>
        <v>2026-07-22|Macará|Deportivo Cuenca</v>
      </c>
      <c r="T1512">
        <f>IF($G1512="",0,IF(COUNTIF($S$2:$S3000,$S1512)=1,1,0))</f>
        <v>1</v>
      </c>
      <c r="U1512" s="19" t="str">
        <f>IF(tblDados[[#This Row],[Mandante]]="","",IF(COUNTIF(CadastroEquipes,TRIM(tblDados[[#This Row],[Mandante]]))&gt;0,"","⚠ Nome não cadastrado"))</f>
        <v/>
      </c>
      <c r="V1512" s="19" t="str">
        <f>IF(tblDados[[#This Row],[Visitante]]="","",IF(COUNTIF(CadastroEquipes,TRIM(tblDados[[#This Row],[Visitante]]))&gt;0,"","⚠ Nome não cadastrado"))</f>
        <v/>
      </c>
    </row>
    <row r="1513" spans="1:22" ht="14.4" x14ac:dyDescent="0.3">
      <c r="A1513" s="1" t="s">
        <v>4168</v>
      </c>
      <c r="B1513" s="102">
        <v>46220</v>
      </c>
      <c r="C1513" s="6">
        <v>0.875</v>
      </c>
      <c r="D1513" s="1" t="s">
        <v>17</v>
      </c>
      <c r="E1513" s="1" t="s">
        <v>4102</v>
      </c>
      <c r="F1513" s="1" t="s">
        <v>4169</v>
      </c>
      <c r="G1513" s="39" t="s">
        <v>931</v>
      </c>
      <c r="H1513" s="1">
        <v>2</v>
      </c>
      <c r="I1513" s="1">
        <v>1</v>
      </c>
      <c r="J1513" s="39" t="s">
        <v>4130</v>
      </c>
      <c r="K1513" s="1">
        <v>1</v>
      </c>
      <c r="L1513" s="1">
        <v>2</v>
      </c>
      <c r="S1513" s="1" t="str">
        <f>IF(tblDados[[#This Row],[Mandante]]="","",TEXT(tblDados[[#This Row],[Data]],"aaaa-mm-dd")&amp;"|"&amp;TRIM(tblDados[[#This Row],[Mandante]])&amp;"|"&amp;TRIM(tblDados[[#This Row],[Visitante]]))</f>
        <v>2026-07-17|Delfín SC|Macará</v>
      </c>
      <c r="T1513">
        <f>IF($G1513="",0,IF(COUNTIF($S$2:$S3001,$S1513)=1,1,0))</f>
        <v>1</v>
      </c>
      <c r="U1513" s="19" t="str">
        <f>IF(tblDados[[#This Row],[Mandante]]="","",IF(COUNTIF(CadastroEquipes,TRIM(tblDados[[#This Row],[Mandante]]))&gt;0,"","⚠ Nome não cadastrado"))</f>
        <v/>
      </c>
      <c r="V1513" s="19" t="str">
        <f>IF(tblDados[[#This Row],[Visitante]]="","",IF(COUNTIF(CadastroEquipes,TRIM(tblDados[[#This Row],[Visitante]]))&gt;0,"","⚠ Nome não cadastrado"))</f>
        <v/>
      </c>
    </row>
    <row r="1514" spans="1:22" ht="14.4" x14ac:dyDescent="0.3">
      <c r="A1514" s="1" t="s">
        <v>4170</v>
      </c>
      <c r="B1514" s="102">
        <v>46217</v>
      </c>
      <c r="C1514" s="6">
        <v>0.77083333333333337</v>
      </c>
      <c r="D1514" s="1" t="s">
        <v>17</v>
      </c>
      <c r="E1514" s="1" t="s">
        <v>4102</v>
      </c>
      <c r="F1514" s="1" t="s">
        <v>4171</v>
      </c>
      <c r="G1514" s="39" t="s">
        <v>4130</v>
      </c>
      <c r="H1514" s="1">
        <v>2</v>
      </c>
      <c r="I1514" s="1">
        <v>1</v>
      </c>
      <c r="J1514" s="39" t="s">
        <v>4123</v>
      </c>
      <c r="K1514" s="1">
        <v>1</v>
      </c>
      <c r="L1514" s="1">
        <v>2</v>
      </c>
      <c r="S1514" s="1" t="str">
        <f>IF(tblDados[[#This Row],[Mandante]]="","",TEXT(tblDados[[#This Row],[Data]],"aaaa-mm-dd")&amp;"|"&amp;TRIM(tblDados[[#This Row],[Mandante]])&amp;"|"&amp;TRIM(tblDados[[#This Row],[Visitante]]))</f>
        <v>2026-07-14|Macará|Mushuc Runa</v>
      </c>
      <c r="T1514">
        <f>IF($G1514="",0,IF(COUNTIF($S$2:$S3002,$S1514)=1,1,0))</f>
        <v>1</v>
      </c>
      <c r="U1514" s="19" t="str">
        <f>IF(tblDados[[#This Row],[Mandante]]="","",IF(COUNTIF(CadastroEquipes,TRIM(tblDados[[#This Row],[Mandante]]))&gt;0,"","⚠ Nome não cadastrado"))</f>
        <v/>
      </c>
      <c r="V1514" s="19" t="str">
        <f>IF(tblDados[[#This Row],[Visitante]]="","",IF(COUNTIF(CadastroEquipes,TRIM(tblDados[[#This Row],[Visitante]]))&gt;0,"","⚠ Nome não cadastrado"))</f>
        <v/>
      </c>
    </row>
    <row r="1515" spans="1:22" ht="14.4" x14ac:dyDescent="0.3">
      <c r="A1515" s="1" t="s">
        <v>4172</v>
      </c>
      <c r="B1515" s="102">
        <v>46213</v>
      </c>
      <c r="C1515" s="6">
        <v>0.88541666666666663</v>
      </c>
      <c r="D1515" s="1" t="s">
        <v>17</v>
      </c>
      <c r="E1515" s="1" t="s">
        <v>4102</v>
      </c>
      <c r="F1515" s="1" t="s">
        <v>4173</v>
      </c>
      <c r="G1515" s="39" t="s">
        <v>4114</v>
      </c>
      <c r="H1515" s="1">
        <v>0</v>
      </c>
      <c r="I1515" s="1">
        <v>2</v>
      </c>
      <c r="J1515" s="39" t="s">
        <v>4130</v>
      </c>
      <c r="K1515" s="1">
        <v>2</v>
      </c>
      <c r="L1515" s="1">
        <v>0</v>
      </c>
      <c r="S1515" s="1" t="str">
        <f>IF(tblDados[[#This Row],[Mandante]]="","",TEXT(tblDados[[#This Row],[Data]],"aaaa-mm-dd")&amp;"|"&amp;TRIM(tblDados[[#This Row],[Mandante]])&amp;"|"&amp;TRIM(tblDados[[#This Row],[Visitante]]))</f>
        <v>2026-07-10|Técnico Universitario|Macará</v>
      </c>
      <c r="T1515">
        <f>IF($G1515="",0,IF(COUNTIF($S$2:$S3003,$S1515)=1,1,0))</f>
        <v>1</v>
      </c>
      <c r="U1515" s="19" t="str">
        <f>IF(tblDados[[#This Row],[Mandante]]="","",IF(COUNTIF(CadastroEquipes,TRIM(tblDados[[#This Row],[Mandante]]))&gt;0,"","⚠ Nome não cadastrado"))</f>
        <v/>
      </c>
      <c r="V1515" s="19" t="str">
        <f>IF(tblDados[[#This Row],[Visitante]]="","",IF(COUNTIF(CadastroEquipes,TRIM(tblDados[[#This Row],[Visitante]]))&gt;0,"","⚠ Nome não cadastrado"))</f>
        <v/>
      </c>
    </row>
    <row r="1516" spans="1:22" ht="14.4" x14ac:dyDescent="0.3">
      <c r="A1516" s="1" t="s">
        <v>4174</v>
      </c>
      <c r="B1516" s="102">
        <v>46208</v>
      </c>
      <c r="C1516" s="6">
        <v>0.625</v>
      </c>
      <c r="D1516" s="1" t="s">
        <v>17</v>
      </c>
      <c r="E1516" s="1" t="s">
        <v>4102</v>
      </c>
      <c r="F1516" s="1" t="s">
        <v>4175</v>
      </c>
      <c r="G1516" s="39" t="s">
        <v>4130</v>
      </c>
      <c r="H1516" s="1">
        <v>1</v>
      </c>
      <c r="I1516" s="1">
        <v>0</v>
      </c>
      <c r="J1516" s="39" t="s">
        <v>932</v>
      </c>
      <c r="K1516" s="1">
        <v>0</v>
      </c>
      <c r="L1516" s="1">
        <v>1</v>
      </c>
      <c r="S1516" s="1" t="str">
        <f>IF(tblDados[[#This Row],[Mandante]]="","",TEXT(tblDados[[#This Row],[Data]],"aaaa-mm-dd")&amp;"|"&amp;TRIM(tblDados[[#This Row],[Mandante]])&amp;"|"&amp;TRIM(tblDados[[#This Row],[Visitante]]))</f>
        <v>2026-07-05|Macará|LDU Quito</v>
      </c>
      <c r="T1516">
        <f>IF($G1516="",0,IF(COUNTIF($S$2:$S3004,$S1516)=1,1,0))</f>
        <v>1</v>
      </c>
      <c r="U1516" s="19" t="str">
        <f>IF(tblDados[[#This Row],[Mandante]]="","",IF(COUNTIF(CadastroEquipes,TRIM(tblDados[[#This Row],[Mandante]]))&gt;0,"","⚠ Nome não cadastrado"))</f>
        <v/>
      </c>
      <c r="V1516" s="19" t="str">
        <f>IF(tblDados[[#This Row],[Visitante]]="","",IF(COUNTIF(CadastroEquipes,TRIM(tblDados[[#This Row],[Visitante]]))&gt;0,"","⚠ Nome não cadastrado"))</f>
        <v/>
      </c>
    </row>
    <row r="1517" spans="1:22" ht="14.4" x14ac:dyDescent="0.3">
      <c r="A1517" s="1" t="s">
        <v>4176</v>
      </c>
      <c r="B1517" s="102">
        <v>46174</v>
      </c>
      <c r="C1517" s="6">
        <v>0.79166666666666663</v>
      </c>
      <c r="D1517" s="1" t="s">
        <v>17</v>
      </c>
      <c r="E1517" s="1" t="s">
        <v>4102</v>
      </c>
      <c r="F1517" s="1" t="s">
        <v>4177</v>
      </c>
      <c r="G1517" s="39" t="s">
        <v>4147</v>
      </c>
      <c r="H1517" s="1">
        <v>1</v>
      </c>
      <c r="I1517" s="1">
        <v>1</v>
      </c>
      <c r="J1517" s="39" t="s">
        <v>4130</v>
      </c>
      <c r="K1517" s="1">
        <v>1</v>
      </c>
      <c r="L1517" s="1">
        <v>1</v>
      </c>
      <c r="S1517" s="1" t="str">
        <f>IF(tblDados[[#This Row],[Mandante]]="","",TEXT(tblDados[[#This Row],[Data]],"aaaa-mm-dd")&amp;"|"&amp;TRIM(tblDados[[#This Row],[Mandante]])&amp;"|"&amp;TRIM(tblDados[[#This Row],[Visitante]]))</f>
        <v>2026-06-01|Leones del Norte|Macará</v>
      </c>
      <c r="T1517">
        <f>IF($G1517="",0,IF(COUNTIF($S$2:$S3005,$S1517)=1,1,0))</f>
        <v>1</v>
      </c>
      <c r="U1517" s="19" t="str">
        <f>IF(tblDados[[#This Row],[Mandante]]="","",IF(COUNTIF(CadastroEquipes,TRIM(tblDados[[#This Row],[Mandante]]))&gt;0,"","⚠ Nome não cadastrado"))</f>
        <v/>
      </c>
      <c r="V1517" s="19" t="str">
        <f>IF(tblDados[[#This Row],[Visitante]]="","",IF(COUNTIF(CadastroEquipes,TRIM(tblDados[[#This Row],[Visitante]]))&gt;0,"","⚠ Nome não cadastrado"))</f>
        <v/>
      </c>
    </row>
    <row r="1518" spans="1:22" ht="14.4" x14ac:dyDescent="0.3">
      <c r="A1518" s="1" t="s">
        <v>4178</v>
      </c>
      <c r="B1518" s="102">
        <v>46166</v>
      </c>
      <c r="C1518" s="6">
        <v>0.72916666666666663</v>
      </c>
      <c r="D1518" s="1" t="s">
        <v>17</v>
      </c>
      <c r="E1518" s="1" t="s">
        <v>4102</v>
      </c>
      <c r="F1518" s="1" t="s">
        <v>4179</v>
      </c>
      <c r="G1518" s="39" t="s">
        <v>4117</v>
      </c>
      <c r="H1518" s="1">
        <v>2</v>
      </c>
      <c r="I1518" s="1">
        <v>0</v>
      </c>
      <c r="J1518" s="39" t="s">
        <v>4130</v>
      </c>
      <c r="K1518" s="1">
        <v>0</v>
      </c>
      <c r="L1518" s="1">
        <v>2</v>
      </c>
      <c r="S1518" s="1" t="str">
        <f>IF(tblDados[[#This Row],[Mandante]]="","",TEXT(tblDados[[#This Row],[Data]],"aaaa-mm-dd")&amp;"|"&amp;TRIM(tblDados[[#This Row],[Mandante]])&amp;"|"&amp;TRIM(tblDados[[#This Row],[Visitante]]))</f>
        <v>2026-05-24|Emelec|Macará</v>
      </c>
      <c r="T1518">
        <f>IF($G1518="",0,IF(COUNTIF($S$2:$S3006,$S1518)=1,1,0))</f>
        <v>1</v>
      </c>
      <c r="U1518" s="19" t="str">
        <f>IF(tblDados[[#This Row],[Mandante]]="","",IF(COUNTIF(CadastroEquipes,TRIM(tblDados[[#This Row],[Mandante]]))&gt;0,"","⚠ Nome não cadastrado"))</f>
        <v/>
      </c>
      <c r="V1518" s="19" t="str">
        <f>IF(tblDados[[#This Row],[Visitante]]="","",IF(COUNTIF(CadastroEquipes,TRIM(tblDados[[#This Row],[Visitante]]))&gt;0,"","⚠ Nome não cadastrado"))</f>
        <v/>
      </c>
    </row>
    <row r="1519" spans="1:22" ht="14.4" x14ac:dyDescent="0.3">
      <c r="A1519" s="1" t="s">
        <v>4180</v>
      </c>
      <c r="B1519" s="102">
        <v>46152</v>
      </c>
      <c r="C1519" s="6">
        <v>0.84027777777777779</v>
      </c>
      <c r="D1519" s="1" t="s">
        <v>17</v>
      </c>
      <c r="E1519" s="1" t="s">
        <v>4102</v>
      </c>
      <c r="F1519" s="1" t="s">
        <v>4181</v>
      </c>
      <c r="G1519" s="39" t="s">
        <v>147</v>
      </c>
      <c r="H1519" s="1">
        <v>0</v>
      </c>
      <c r="I1519" s="1">
        <v>1</v>
      </c>
      <c r="J1519" s="39" t="s">
        <v>4130</v>
      </c>
      <c r="K1519" s="1">
        <v>1</v>
      </c>
      <c r="L1519" s="1">
        <v>0</v>
      </c>
      <c r="S1519" s="1" t="str">
        <f>IF(tblDados[[#This Row],[Mandante]]="","",TEXT(tblDados[[#This Row],[Data]],"aaaa-mm-dd")&amp;"|"&amp;TRIM(tblDados[[#This Row],[Mandante]])&amp;"|"&amp;TRIM(tblDados[[#This Row],[Visitante]]))</f>
        <v>2026-05-10|Manta FC|Macará</v>
      </c>
      <c r="T1519">
        <f>IF($G1519="",0,IF(COUNTIF($S$2:$S3007,$S1519)=1,1,0))</f>
        <v>1</v>
      </c>
      <c r="U1519" s="19" t="str">
        <f>IF(tblDados[[#This Row],[Mandante]]="","",IF(COUNTIF(CadastroEquipes,TRIM(tblDados[[#This Row],[Mandante]]))&gt;0,"","⚠ Nome não cadastrado"))</f>
        <v/>
      </c>
      <c r="V1519" s="19" t="str">
        <f>IF(tblDados[[#This Row],[Visitante]]="","",IF(COUNTIF(CadastroEquipes,TRIM(tblDados[[#This Row],[Visitante]]))&gt;0,"","⚠ Nome não cadastrado"))</f>
        <v/>
      </c>
    </row>
    <row r="1520" spans="1:22" ht="14.4" x14ac:dyDescent="0.3">
      <c r="A1520" s="1" t="s">
        <v>4182</v>
      </c>
      <c r="B1520" s="102">
        <v>46242</v>
      </c>
      <c r="C1520" s="6">
        <v>0.77083333333333337</v>
      </c>
      <c r="D1520" s="1" t="s">
        <v>17</v>
      </c>
      <c r="E1520" s="1" t="s">
        <v>4102</v>
      </c>
      <c r="F1520" s="1" t="s">
        <v>4183</v>
      </c>
      <c r="G1520" s="39" t="s">
        <v>4120</v>
      </c>
      <c r="H1520" s="1">
        <v>3</v>
      </c>
      <c r="I1520" s="1">
        <v>0</v>
      </c>
      <c r="J1520" s="39" t="s">
        <v>4147</v>
      </c>
      <c r="K1520" s="1">
        <v>0</v>
      </c>
      <c r="L1520" s="1">
        <v>3</v>
      </c>
      <c r="S1520" s="1" t="str">
        <f>IF(tblDados[[#This Row],[Mandante]]="","",TEXT(tblDados[[#This Row],[Data]],"aaaa-mm-dd")&amp;"|"&amp;TRIM(tblDados[[#This Row],[Mandante]])&amp;"|"&amp;TRIM(tblDados[[#This Row],[Visitante]]))</f>
        <v>2026-08-08|Aucas|Leones del Norte</v>
      </c>
      <c r="T1520">
        <f>IF($G1520="",0,IF(COUNTIF($S$2:$S3008,$S1520)=1,1,0))</f>
        <v>1</v>
      </c>
      <c r="U1520" s="19" t="str">
        <f>IF(tblDados[[#This Row],[Mandante]]="","",IF(COUNTIF(CadastroEquipes,TRIM(tblDados[[#This Row],[Mandante]]))&gt;0,"","⚠ Nome não cadastrado"))</f>
        <v/>
      </c>
      <c r="V1520" s="19" t="str">
        <f>IF(tblDados[[#This Row],[Visitante]]="","",IF(COUNTIF(CadastroEquipes,TRIM(tblDados[[#This Row],[Visitante]]))&gt;0,"","⚠ Nome não cadastrado"))</f>
        <v/>
      </c>
    </row>
    <row r="1521" spans="1:22" ht="14.4" x14ac:dyDescent="0.3">
      <c r="A1521" s="1" t="s">
        <v>4184</v>
      </c>
      <c r="B1521" s="102">
        <v>46235</v>
      </c>
      <c r="C1521" s="6">
        <v>0.875</v>
      </c>
      <c r="D1521" s="1" t="s">
        <v>17</v>
      </c>
      <c r="E1521" s="1" t="s">
        <v>4102</v>
      </c>
      <c r="F1521" s="1" t="s">
        <v>4185</v>
      </c>
      <c r="G1521" s="39" t="s">
        <v>4117</v>
      </c>
      <c r="H1521" s="1">
        <v>0</v>
      </c>
      <c r="I1521" s="1">
        <v>2</v>
      </c>
      <c r="J1521" s="39" t="s">
        <v>4120</v>
      </c>
      <c r="K1521" s="1">
        <v>2</v>
      </c>
      <c r="L1521" s="1">
        <v>0</v>
      </c>
      <c r="S1521" s="1" t="str">
        <f>IF(tblDados[[#This Row],[Mandante]]="","",TEXT(tblDados[[#This Row],[Data]],"aaaa-mm-dd")&amp;"|"&amp;TRIM(tblDados[[#This Row],[Mandante]])&amp;"|"&amp;TRIM(tblDados[[#This Row],[Visitante]]))</f>
        <v>2026-08-01|Emelec|Aucas</v>
      </c>
      <c r="T1521">
        <f>IF($G1521="",0,IF(COUNTIF($S$2:$S3009,$S1521)=1,1,0))</f>
        <v>1</v>
      </c>
      <c r="U1521" s="19" t="str">
        <f>IF(tblDados[[#This Row],[Mandante]]="","",IF(COUNTIF(CadastroEquipes,TRIM(tblDados[[#This Row],[Mandante]]))&gt;0,"","⚠ Nome não cadastrado"))</f>
        <v/>
      </c>
      <c r="V1521" s="19" t="str">
        <f>IF(tblDados[[#This Row],[Visitante]]="","",IF(COUNTIF(CadastroEquipes,TRIM(tblDados[[#This Row],[Visitante]]))&gt;0,"","⚠ Nome não cadastrado"))</f>
        <v/>
      </c>
    </row>
    <row r="1522" spans="1:22" ht="14.4" x14ac:dyDescent="0.3">
      <c r="A1522" s="1" t="s">
        <v>4186</v>
      </c>
      <c r="B1522" s="102">
        <v>46226</v>
      </c>
      <c r="C1522" s="6">
        <v>0.77083333333333337</v>
      </c>
      <c r="D1522" s="1" t="s">
        <v>17</v>
      </c>
      <c r="E1522" s="1" t="s">
        <v>4102</v>
      </c>
      <c r="F1522" s="1" t="s">
        <v>4187</v>
      </c>
      <c r="G1522" s="39" t="s">
        <v>4111</v>
      </c>
      <c r="H1522" s="1">
        <v>2</v>
      </c>
      <c r="I1522" s="1">
        <v>1</v>
      </c>
      <c r="J1522" s="39" t="s">
        <v>4120</v>
      </c>
      <c r="K1522" s="1">
        <v>1</v>
      </c>
      <c r="L1522" s="1">
        <v>2</v>
      </c>
      <c r="S1522" s="1" t="str">
        <f>IF(tblDados[[#This Row],[Mandante]]="","",TEXT(tblDados[[#This Row],[Data]],"aaaa-mm-dd")&amp;"|"&amp;TRIM(tblDados[[#This Row],[Mandante]])&amp;"|"&amp;TRIM(tblDados[[#This Row],[Visitante]]))</f>
        <v>2026-07-23|Orense|Aucas</v>
      </c>
      <c r="T1522">
        <f>IF($G1522="",0,IF(COUNTIF($S$2:$S3010,$S1522)=1,1,0))</f>
        <v>1</v>
      </c>
      <c r="U1522" s="19" t="str">
        <f>IF(tblDados[[#This Row],[Mandante]]="","",IF(COUNTIF(CadastroEquipes,TRIM(tblDados[[#This Row],[Mandante]]))&gt;0,"","⚠ Nome não cadastrado"))</f>
        <v/>
      </c>
      <c r="V1522" s="19" t="str">
        <f>IF(tblDados[[#This Row],[Visitante]]="","",IF(COUNTIF(CadastroEquipes,TRIM(tblDados[[#This Row],[Visitante]]))&gt;0,"","⚠ Nome não cadastrado"))</f>
        <v/>
      </c>
    </row>
    <row r="1523" spans="1:22" ht="14.4" x14ac:dyDescent="0.3">
      <c r="A1523" s="1" t="s">
        <v>4188</v>
      </c>
      <c r="B1523" s="102">
        <v>46222</v>
      </c>
      <c r="C1523" s="6">
        <v>0.57291666666666663</v>
      </c>
      <c r="D1523" s="1" t="s">
        <v>17</v>
      </c>
      <c r="E1523" s="1" t="s">
        <v>4102</v>
      </c>
      <c r="F1523" s="1" t="s">
        <v>4189</v>
      </c>
      <c r="G1523" s="39" t="s">
        <v>4114</v>
      </c>
      <c r="H1523" s="1">
        <v>0</v>
      </c>
      <c r="I1523" s="1">
        <v>1</v>
      </c>
      <c r="J1523" s="39" t="s">
        <v>4120</v>
      </c>
      <c r="K1523" s="1">
        <v>1</v>
      </c>
      <c r="L1523" s="1">
        <v>0</v>
      </c>
      <c r="S1523" s="1" t="str">
        <f>IF(tblDados[[#This Row],[Mandante]]="","",TEXT(tblDados[[#This Row],[Data]],"aaaa-mm-dd")&amp;"|"&amp;TRIM(tblDados[[#This Row],[Mandante]])&amp;"|"&amp;TRIM(tblDados[[#This Row],[Visitante]]))</f>
        <v>2026-07-19|Técnico Universitario|Aucas</v>
      </c>
      <c r="T1523">
        <f>IF($G1523="",0,IF(COUNTIF($S$2:$S3011,$S1523)=1,1,0))</f>
        <v>1</v>
      </c>
      <c r="U1523" s="19" t="str">
        <f>IF(tblDados[[#This Row],[Mandante]]="","",IF(COUNTIF(CadastroEquipes,TRIM(tblDados[[#This Row],[Mandante]]))&gt;0,"","⚠ Nome não cadastrado"))</f>
        <v/>
      </c>
      <c r="V1523" s="19" t="str">
        <f>IF(tblDados[[#This Row],[Visitante]]="","",IF(COUNTIF(CadastroEquipes,TRIM(tblDados[[#This Row],[Visitante]]))&gt;0,"","⚠ Nome não cadastrado"))</f>
        <v/>
      </c>
    </row>
    <row r="1524" spans="1:22" ht="14.4" x14ac:dyDescent="0.3">
      <c r="A1524" s="1" t="s">
        <v>4190</v>
      </c>
      <c r="B1524" s="102">
        <v>46215</v>
      </c>
      <c r="C1524" s="6">
        <v>0.67708333333333337</v>
      </c>
      <c r="D1524" s="1" t="s">
        <v>17</v>
      </c>
      <c r="E1524" s="1" t="s">
        <v>4102</v>
      </c>
      <c r="F1524" s="1" t="s">
        <v>4191</v>
      </c>
      <c r="G1524" s="39" t="s">
        <v>4108</v>
      </c>
      <c r="H1524" s="1">
        <v>0</v>
      </c>
      <c r="I1524" s="1">
        <v>1</v>
      </c>
      <c r="J1524" s="39" t="s">
        <v>4120</v>
      </c>
      <c r="K1524" s="1">
        <v>1</v>
      </c>
      <c r="L1524" s="1">
        <v>0</v>
      </c>
      <c r="S1524" s="1" t="str">
        <f>IF(tblDados[[#This Row],[Mandante]]="","",TEXT(tblDados[[#This Row],[Data]],"aaaa-mm-dd")&amp;"|"&amp;TRIM(tblDados[[#This Row],[Mandante]])&amp;"|"&amp;TRIM(tblDados[[#This Row],[Visitante]]))</f>
        <v>2026-07-12|Deportivo Cuenca|Aucas</v>
      </c>
      <c r="T1524">
        <f>IF($G1524="",0,IF(COUNTIF($S$2:$S3012,$S1524)=1,1,0))</f>
        <v>1</v>
      </c>
      <c r="U1524" s="19" t="str">
        <f>IF(tblDados[[#This Row],[Mandante]]="","",IF(COUNTIF(CadastroEquipes,TRIM(tblDados[[#This Row],[Mandante]]))&gt;0,"","⚠ Nome não cadastrado"))</f>
        <v/>
      </c>
      <c r="V1524" s="19" t="str">
        <f>IF(tblDados[[#This Row],[Visitante]]="","",IF(COUNTIF(CadastroEquipes,TRIM(tblDados[[#This Row],[Visitante]]))&gt;0,"","⚠ Nome não cadastrado"))</f>
        <v/>
      </c>
    </row>
    <row r="1525" spans="1:22" ht="14.4" x14ac:dyDescent="0.3">
      <c r="A1525" s="1" t="s">
        <v>4192</v>
      </c>
      <c r="B1525" s="102">
        <v>46210</v>
      </c>
      <c r="C1525" s="6">
        <v>0.875</v>
      </c>
      <c r="D1525" s="1" t="s">
        <v>17</v>
      </c>
      <c r="E1525" s="1" t="s">
        <v>4102</v>
      </c>
      <c r="F1525" s="1" t="s">
        <v>4193</v>
      </c>
      <c r="G1525" s="39" t="s">
        <v>4120</v>
      </c>
      <c r="H1525" s="1">
        <v>1</v>
      </c>
      <c r="I1525" s="1">
        <v>0</v>
      </c>
      <c r="J1525" s="39" t="s">
        <v>4126</v>
      </c>
      <c r="K1525" s="1">
        <v>0</v>
      </c>
      <c r="L1525" s="1">
        <v>1</v>
      </c>
      <c r="S1525" s="1" t="str">
        <f>IF(tblDados[[#This Row],[Mandante]]="","",TEXT(tblDados[[#This Row],[Data]],"aaaa-mm-dd")&amp;"|"&amp;TRIM(tblDados[[#This Row],[Mandante]])&amp;"|"&amp;TRIM(tblDados[[#This Row],[Visitante]]))</f>
        <v>2026-07-07|Aucas|Guayaquil City FC</v>
      </c>
      <c r="T1525">
        <f>IF($G1525="",0,IF(COUNTIF($S$2:$S3013,$S1525)=1,1,0))</f>
        <v>1</v>
      </c>
      <c r="U1525" s="19" t="str">
        <f>IF(tblDados[[#This Row],[Mandante]]="","",IF(COUNTIF(CadastroEquipes,TRIM(tblDados[[#This Row],[Mandante]]))&gt;0,"","⚠ Nome não cadastrado"))</f>
        <v/>
      </c>
      <c r="V1525" s="19" t="str">
        <f>IF(tblDados[[#This Row],[Visitante]]="","",IF(COUNTIF(CadastroEquipes,TRIM(tblDados[[#This Row],[Visitante]]))&gt;0,"","⚠ Nome não cadastrado"))</f>
        <v/>
      </c>
    </row>
    <row r="1526" spans="1:22" ht="14.4" x14ac:dyDescent="0.3">
      <c r="A1526" s="1" t="s">
        <v>4194</v>
      </c>
      <c r="B1526" s="102">
        <v>46173</v>
      </c>
      <c r="C1526" s="6">
        <v>0.625</v>
      </c>
      <c r="D1526" s="1" t="s">
        <v>17</v>
      </c>
      <c r="E1526" s="1" t="s">
        <v>4102</v>
      </c>
      <c r="F1526" s="1" t="s">
        <v>4195</v>
      </c>
      <c r="G1526" s="39" t="s">
        <v>4123</v>
      </c>
      <c r="H1526" s="1">
        <v>0</v>
      </c>
      <c r="I1526" s="1">
        <v>0</v>
      </c>
      <c r="J1526" s="39" t="s">
        <v>4120</v>
      </c>
      <c r="K1526" s="1">
        <v>0</v>
      </c>
      <c r="L1526" s="1">
        <v>0</v>
      </c>
      <c r="S1526" s="1" t="str">
        <f>IF(tblDados[[#This Row],[Mandante]]="","",TEXT(tblDados[[#This Row],[Data]],"aaaa-mm-dd")&amp;"|"&amp;TRIM(tblDados[[#This Row],[Mandante]])&amp;"|"&amp;TRIM(tblDados[[#This Row],[Visitante]]))</f>
        <v>2026-05-31|Mushuc Runa|Aucas</v>
      </c>
      <c r="T1526">
        <f>IF($G1526="",0,IF(COUNTIF($S$2:$S3014,$S1526)=1,1,0))</f>
        <v>1</v>
      </c>
      <c r="U1526" s="19" t="str">
        <f>IF(tblDados[[#This Row],[Mandante]]="","",IF(COUNTIF(CadastroEquipes,TRIM(tblDados[[#This Row],[Mandante]]))&gt;0,"","⚠ Nome não cadastrado"))</f>
        <v/>
      </c>
      <c r="V1526" s="19" t="str">
        <f>IF(tblDados[[#This Row],[Visitante]]="","",IF(COUNTIF(CadastroEquipes,TRIM(tblDados[[#This Row],[Visitante]]))&gt;0,"","⚠ Nome não cadastrado"))</f>
        <v/>
      </c>
    </row>
    <row r="1527" spans="1:22" ht="14.4" x14ac:dyDescent="0.3">
      <c r="A1527" s="1" t="s">
        <v>4196</v>
      </c>
      <c r="B1527" s="102">
        <v>46167</v>
      </c>
      <c r="C1527" s="6">
        <v>0.875</v>
      </c>
      <c r="D1527" s="1" t="s">
        <v>17</v>
      </c>
      <c r="E1527" s="1" t="s">
        <v>4102</v>
      </c>
      <c r="F1527" s="1" t="s">
        <v>4197</v>
      </c>
      <c r="G1527" s="39" t="s">
        <v>4120</v>
      </c>
      <c r="H1527" s="1">
        <v>3</v>
      </c>
      <c r="I1527" s="1">
        <v>1</v>
      </c>
      <c r="J1527" s="39" t="s">
        <v>147</v>
      </c>
      <c r="K1527" s="1">
        <v>1</v>
      </c>
      <c r="L1527" s="1">
        <v>3</v>
      </c>
      <c r="S1527" s="1" t="str">
        <f>IF(tblDados[[#This Row],[Mandante]]="","",TEXT(tblDados[[#This Row],[Data]],"aaaa-mm-dd")&amp;"|"&amp;TRIM(tblDados[[#This Row],[Mandante]])&amp;"|"&amp;TRIM(tblDados[[#This Row],[Visitante]]))</f>
        <v>2026-05-25|Aucas|Manta FC</v>
      </c>
      <c r="T1527">
        <f>IF($G1527="",0,IF(COUNTIF($S$2:$S3015,$S1527)=1,1,0))</f>
        <v>1</v>
      </c>
      <c r="U1527" s="19" t="str">
        <f>IF(tblDados[[#This Row],[Mandante]]="","",IF(COUNTIF(CadastroEquipes,TRIM(tblDados[[#This Row],[Mandante]]))&gt;0,"","⚠ Nome não cadastrado"))</f>
        <v/>
      </c>
      <c r="V1527" s="19" t="str">
        <f>IF(tblDados[[#This Row],[Visitante]]="","",IF(COUNTIF(CadastroEquipes,TRIM(tblDados[[#This Row],[Visitante]]))&gt;0,"","⚠ Nome não cadastrado"))</f>
        <v/>
      </c>
    </row>
    <row r="1528" spans="1:22" ht="14.4" x14ac:dyDescent="0.3">
      <c r="A1528" s="1" t="s">
        <v>4198</v>
      </c>
      <c r="B1528" s="102">
        <v>46158</v>
      </c>
      <c r="C1528" s="6">
        <v>0.875</v>
      </c>
      <c r="D1528" s="1" t="s">
        <v>17</v>
      </c>
      <c r="E1528" s="1" t="s">
        <v>4102</v>
      </c>
      <c r="F1528" s="1" t="s">
        <v>4199</v>
      </c>
      <c r="G1528" s="39" t="s">
        <v>4133</v>
      </c>
      <c r="H1528" s="1">
        <v>3</v>
      </c>
      <c r="I1528" s="1">
        <v>0</v>
      </c>
      <c r="J1528" s="39" t="s">
        <v>4120</v>
      </c>
      <c r="K1528" s="1">
        <v>0</v>
      </c>
      <c r="L1528" s="1">
        <v>3</v>
      </c>
      <c r="S1528" s="1" t="str">
        <f>IF(tblDados[[#This Row],[Mandante]]="","",TEXT(tblDados[[#This Row],[Data]],"aaaa-mm-dd")&amp;"|"&amp;TRIM(tblDados[[#This Row],[Mandante]])&amp;"|"&amp;TRIM(tblDados[[#This Row],[Visitante]]))</f>
        <v>2026-05-16|Barcelona SC|Aucas</v>
      </c>
      <c r="T1528">
        <f>IF($G1528="",0,IF(COUNTIF($S$2:$S3016,$S1528)=1,1,0))</f>
        <v>1</v>
      </c>
      <c r="U1528" s="19" t="str">
        <f>IF(tblDados[[#This Row],[Mandante]]="","",IF(COUNTIF(CadastroEquipes,TRIM(tblDados[[#This Row],[Mandante]]))&gt;0,"","⚠ Nome não cadastrado"))</f>
        <v/>
      </c>
      <c r="V1528" s="19" t="str">
        <f>IF(tblDados[[#This Row],[Visitante]]="","",IF(COUNTIF(CadastroEquipes,TRIM(tblDados[[#This Row],[Visitante]]))&gt;0,"","⚠ Nome não cadastrado"))</f>
        <v/>
      </c>
    </row>
    <row r="1529" spans="1:22" ht="14.4" x14ac:dyDescent="0.3">
      <c r="A1529" s="1" t="s">
        <v>4200</v>
      </c>
      <c r="B1529" s="102">
        <v>46236</v>
      </c>
      <c r="C1529" s="6">
        <v>0.84027777777777779</v>
      </c>
      <c r="D1529" s="1" t="s">
        <v>17</v>
      </c>
      <c r="E1529" s="1" t="s">
        <v>4102</v>
      </c>
      <c r="F1529" s="1" t="s">
        <v>4201</v>
      </c>
      <c r="G1529" s="39" t="s">
        <v>4147</v>
      </c>
      <c r="H1529" s="1">
        <v>1</v>
      </c>
      <c r="I1529" s="1">
        <v>1</v>
      </c>
      <c r="J1529" s="39" t="s">
        <v>4133</v>
      </c>
      <c r="K1529" s="1">
        <v>1</v>
      </c>
      <c r="L1529" s="1">
        <v>1</v>
      </c>
      <c r="S1529" s="1" t="str">
        <f>IF(tblDados[[#This Row],[Mandante]]="","",TEXT(tblDados[[#This Row],[Data]],"aaaa-mm-dd")&amp;"|"&amp;TRIM(tblDados[[#This Row],[Mandante]])&amp;"|"&amp;TRIM(tblDados[[#This Row],[Visitante]]))</f>
        <v>2026-08-02|Leones del Norte|Barcelona SC</v>
      </c>
      <c r="T1529">
        <f>IF($G1529="",0,IF(COUNTIF($S$2:$S3017,$S1529)=1,1,0))</f>
        <v>1</v>
      </c>
      <c r="U1529" s="19" t="str">
        <f>IF(tblDados[[#This Row],[Mandante]]="","",IF(COUNTIF(CadastroEquipes,TRIM(tblDados[[#This Row],[Mandante]]))&gt;0,"","⚠ Nome não cadastrado"))</f>
        <v/>
      </c>
      <c r="V1529" s="19" t="str">
        <f>IF(tblDados[[#This Row],[Visitante]]="","",IF(COUNTIF(CadastroEquipes,TRIM(tblDados[[#This Row],[Visitante]]))&gt;0,"","⚠ Nome não cadastrado"))</f>
        <v/>
      </c>
    </row>
    <row r="1530" spans="1:22" ht="14.4" x14ac:dyDescent="0.3">
      <c r="A1530" s="1" t="s">
        <v>4202</v>
      </c>
      <c r="B1530" s="102">
        <v>46229</v>
      </c>
      <c r="C1530" s="6">
        <v>0.88541666666666663</v>
      </c>
      <c r="D1530" s="1" t="s">
        <v>17</v>
      </c>
      <c r="E1530" s="1" t="s">
        <v>4102</v>
      </c>
      <c r="F1530" s="1" t="s">
        <v>4203</v>
      </c>
      <c r="G1530" s="39" t="s">
        <v>4133</v>
      </c>
      <c r="H1530" s="1">
        <v>0</v>
      </c>
      <c r="I1530" s="1">
        <v>1</v>
      </c>
      <c r="J1530" s="39" t="s">
        <v>932</v>
      </c>
      <c r="K1530" s="1">
        <v>1</v>
      </c>
      <c r="L1530" s="1">
        <v>0</v>
      </c>
      <c r="S1530" s="1" t="str">
        <f>IF(tblDados[[#This Row],[Mandante]]="","",TEXT(tblDados[[#This Row],[Data]],"aaaa-mm-dd")&amp;"|"&amp;TRIM(tblDados[[#This Row],[Mandante]])&amp;"|"&amp;TRIM(tblDados[[#This Row],[Visitante]]))</f>
        <v>2026-07-26|Barcelona SC|LDU Quito</v>
      </c>
      <c r="T1530">
        <f>IF($G1530="",0,IF(COUNTIF($S$2:$S3018,$S1530)=1,1,0))</f>
        <v>1</v>
      </c>
      <c r="U1530" s="19" t="str">
        <f>IF(tblDados[[#This Row],[Mandante]]="","",IF(COUNTIF(CadastroEquipes,TRIM(tblDados[[#This Row],[Mandante]]))&gt;0,"","⚠ Nome não cadastrado"))</f>
        <v/>
      </c>
      <c r="V1530" s="19" t="str">
        <f>IF(tblDados[[#This Row],[Visitante]]="","",IF(COUNTIF(CadastroEquipes,TRIM(tblDados[[#This Row],[Visitante]]))&gt;0,"","⚠ Nome não cadastrado"))</f>
        <v/>
      </c>
    </row>
    <row r="1531" spans="1:22" ht="14.4" x14ac:dyDescent="0.3">
      <c r="A1531" s="1" t="s">
        <v>4204</v>
      </c>
      <c r="B1531" s="102">
        <v>46221</v>
      </c>
      <c r="C1531" s="6">
        <v>0.875</v>
      </c>
      <c r="D1531" s="1" t="s">
        <v>17</v>
      </c>
      <c r="E1531" s="1" t="s">
        <v>4102</v>
      </c>
      <c r="F1531" s="1" t="s">
        <v>4253</v>
      </c>
      <c r="G1531" s="39" t="s">
        <v>4133</v>
      </c>
      <c r="H1531" s="1">
        <v>1</v>
      </c>
      <c r="I1531" s="1">
        <v>0</v>
      </c>
      <c r="J1531" s="39" t="s">
        <v>4252</v>
      </c>
      <c r="K1531" s="1">
        <v>0</v>
      </c>
      <c r="L1531" s="1">
        <v>1</v>
      </c>
      <c r="S1531" s="1" t="str">
        <f>IF(tblDados[[#This Row],[Mandante]]="","",TEXT(tblDados[[#This Row],[Data]],"aaaa-mm-dd")&amp;"|"&amp;TRIM(tblDados[[#This Row],[Mandante]])&amp;"|"&amp;TRIM(tblDados[[#This Row],[Visitante]]))</f>
        <v>2026-07-18|Barcelona SC|Libertad (Ecuador)</v>
      </c>
      <c r="T1531">
        <f>IF($G1531="",0,IF(COUNTIF($S$2:$S3019,$S1531)=1,1,0))</f>
        <v>1</v>
      </c>
      <c r="U1531" s="19" t="str">
        <f>IF(tblDados[[#This Row],[Mandante]]="","",IF(COUNTIF(CadastroEquipes,TRIM(tblDados[[#This Row],[Mandante]]))&gt;0,"","⚠ Nome não cadastrado"))</f>
        <v/>
      </c>
      <c r="V1531" s="19" t="str">
        <f>IF(tblDados[[#This Row],[Visitante]]="","",IF(COUNTIF(CadastroEquipes,TRIM(tblDados[[#This Row],[Visitante]]))&gt;0,"","⚠ Nome não cadastrado"))</f>
        <v/>
      </c>
    </row>
    <row r="1532" spans="1:22" ht="14.4" x14ac:dyDescent="0.3">
      <c r="A1532" s="1" t="s">
        <v>4205</v>
      </c>
      <c r="B1532" s="102">
        <v>46218</v>
      </c>
      <c r="C1532" s="6">
        <v>0.89583333333333337</v>
      </c>
      <c r="D1532" s="1" t="s">
        <v>17</v>
      </c>
      <c r="E1532" s="1" t="s">
        <v>4102</v>
      </c>
      <c r="F1532" s="1" t="s">
        <v>4206</v>
      </c>
      <c r="G1532" s="39" t="s">
        <v>4133</v>
      </c>
      <c r="H1532" s="1">
        <v>1</v>
      </c>
      <c r="I1532" s="1">
        <v>1</v>
      </c>
      <c r="J1532" s="39" t="s">
        <v>4126</v>
      </c>
      <c r="K1532" s="1">
        <v>1</v>
      </c>
      <c r="L1532" s="1">
        <v>1</v>
      </c>
      <c r="S1532" s="1" t="str">
        <f>IF(tblDados[[#This Row],[Mandante]]="","",TEXT(tblDados[[#This Row],[Data]],"aaaa-mm-dd")&amp;"|"&amp;TRIM(tblDados[[#This Row],[Mandante]])&amp;"|"&amp;TRIM(tblDados[[#This Row],[Visitante]]))</f>
        <v>2026-07-15|Barcelona SC|Guayaquil City FC</v>
      </c>
      <c r="T1532">
        <f>IF($G1532="",0,IF(COUNTIF($S$2:$S3020,$S1532)=1,1,0))</f>
        <v>1</v>
      </c>
      <c r="U1532" s="19" t="str">
        <f>IF(tblDados[[#This Row],[Mandante]]="","",IF(COUNTIF(CadastroEquipes,TRIM(tblDados[[#This Row],[Mandante]]))&gt;0,"","⚠ Nome não cadastrado"))</f>
        <v/>
      </c>
      <c r="V1532" s="19" t="str">
        <f>IF(tblDados[[#This Row],[Visitante]]="","",IF(COUNTIF(CadastroEquipes,TRIM(tblDados[[#This Row],[Visitante]]))&gt;0,"","⚠ Nome não cadastrado"))</f>
        <v/>
      </c>
    </row>
    <row r="1533" spans="1:22" ht="14.4" x14ac:dyDescent="0.3">
      <c r="A1533" s="1" t="s">
        <v>4207</v>
      </c>
      <c r="B1533" s="102">
        <v>46215</v>
      </c>
      <c r="C1533" s="6">
        <v>0.88194444444444442</v>
      </c>
      <c r="D1533" s="1" t="s">
        <v>17</v>
      </c>
      <c r="E1533" s="1" t="s">
        <v>4102</v>
      </c>
      <c r="F1533" s="1" t="s">
        <v>4208</v>
      </c>
      <c r="G1533" s="39" t="s">
        <v>4117</v>
      </c>
      <c r="H1533" s="1">
        <v>0</v>
      </c>
      <c r="I1533" s="1">
        <v>0</v>
      </c>
      <c r="J1533" s="39" t="s">
        <v>4133</v>
      </c>
      <c r="K1533" s="1">
        <v>0</v>
      </c>
      <c r="L1533" s="1">
        <v>0</v>
      </c>
      <c r="S1533" s="1" t="str">
        <f>IF(tblDados[[#This Row],[Mandante]]="","",TEXT(tblDados[[#This Row],[Data]],"aaaa-mm-dd")&amp;"|"&amp;TRIM(tblDados[[#This Row],[Mandante]])&amp;"|"&amp;TRIM(tblDados[[#This Row],[Visitante]]))</f>
        <v>2026-07-12|Emelec|Barcelona SC</v>
      </c>
      <c r="T1533">
        <f>IF($G1533="",0,IF(COUNTIF($S$2:$S3021,$S1533)=1,1,0))</f>
        <v>1</v>
      </c>
      <c r="U1533" s="19" t="str">
        <f>IF(tblDados[[#This Row],[Mandante]]="","",IF(COUNTIF(CadastroEquipes,TRIM(tblDados[[#This Row],[Mandante]]))&gt;0,"","⚠ Nome não cadastrado"))</f>
        <v/>
      </c>
      <c r="V1533" s="19" t="str">
        <f>IF(tblDados[[#This Row],[Visitante]]="","",IF(COUNTIF(CadastroEquipes,TRIM(tblDados[[#This Row],[Visitante]]))&gt;0,"","⚠ Nome não cadastrado"))</f>
        <v/>
      </c>
    </row>
    <row r="1534" spans="1:22" ht="14.4" x14ac:dyDescent="0.3">
      <c r="A1534" s="1" t="s">
        <v>4209</v>
      </c>
      <c r="B1534" s="102">
        <v>46207</v>
      </c>
      <c r="C1534" s="6">
        <v>0.875</v>
      </c>
      <c r="D1534" s="1" t="s">
        <v>17</v>
      </c>
      <c r="E1534" s="1" t="s">
        <v>4102</v>
      </c>
      <c r="F1534" s="1" t="s">
        <v>4210</v>
      </c>
      <c r="G1534" s="39" t="s">
        <v>4133</v>
      </c>
      <c r="H1534" s="1">
        <v>2</v>
      </c>
      <c r="I1534" s="1">
        <v>0</v>
      </c>
      <c r="J1534" s="39" t="s">
        <v>4108</v>
      </c>
      <c r="K1534" s="1">
        <v>0</v>
      </c>
      <c r="L1534" s="1">
        <v>2</v>
      </c>
      <c r="S1534" s="1" t="str">
        <f>IF(tblDados[[#This Row],[Mandante]]="","",TEXT(tblDados[[#This Row],[Data]],"aaaa-mm-dd")&amp;"|"&amp;TRIM(tblDados[[#This Row],[Mandante]])&amp;"|"&amp;TRIM(tblDados[[#This Row],[Visitante]]))</f>
        <v>2026-07-04|Barcelona SC|Deportivo Cuenca</v>
      </c>
      <c r="T1534">
        <f>IF($G1534="",0,IF(COUNTIF($S$2:$S3022,$S1534)=1,1,0))</f>
        <v>1</v>
      </c>
      <c r="U1534" s="19" t="str">
        <f>IF(tblDados[[#This Row],[Mandante]]="","",IF(COUNTIF(CadastroEquipes,TRIM(tblDados[[#This Row],[Mandante]]))&gt;0,"","⚠ Nome não cadastrado"))</f>
        <v/>
      </c>
      <c r="V1534" s="19" t="str">
        <f>IF(tblDados[[#This Row],[Visitante]]="","",IF(COUNTIF(CadastroEquipes,TRIM(tblDados[[#This Row],[Visitante]]))&gt;0,"","⚠ Nome não cadastrado"))</f>
        <v/>
      </c>
    </row>
    <row r="1535" spans="1:22" ht="14.4" x14ac:dyDescent="0.3">
      <c r="A1535" s="1" t="s">
        <v>4211</v>
      </c>
      <c r="B1535" s="102">
        <v>46174</v>
      </c>
      <c r="C1535" s="6">
        <v>0.89583333333333337</v>
      </c>
      <c r="D1535" s="1" t="s">
        <v>17</v>
      </c>
      <c r="E1535" s="1" t="s">
        <v>4102</v>
      </c>
      <c r="F1535" s="1" t="s">
        <v>4212</v>
      </c>
      <c r="G1535" s="39" t="s">
        <v>4114</v>
      </c>
      <c r="H1535" s="1">
        <v>1</v>
      </c>
      <c r="I1535" s="1">
        <v>0</v>
      </c>
      <c r="J1535" s="39" t="s">
        <v>4133</v>
      </c>
      <c r="K1535" s="1">
        <v>0</v>
      </c>
      <c r="L1535" s="1">
        <v>1</v>
      </c>
      <c r="S1535" s="1" t="str">
        <f>IF(tblDados[[#This Row],[Mandante]]="","",TEXT(tblDados[[#This Row],[Data]],"aaaa-mm-dd")&amp;"|"&amp;TRIM(tblDados[[#This Row],[Mandante]])&amp;"|"&amp;TRIM(tblDados[[#This Row],[Visitante]]))</f>
        <v>2026-06-01|Técnico Universitario|Barcelona SC</v>
      </c>
      <c r="T1535">
        <f>IF($G1535="",0,IF(COUNTIF($S$2:$S3023,$S1535)=1,1,0))</f>
        <v>1</v>
      </c>
      <c r="U1535" s="19" t="str">
        <f>IF(tblDados[[#This Row],[Mandante]]="","",IF(COUNTIF(CadastroEquipes,TRIM(tblDados[[#This Row],[Mandante]]))&gt;0,"","⚠ Nome não cadastrado"))</f>
        <v/>
      </c>
      <c r="V1535" s="19" t="str">
        <f>IF(tblDados[[#This Row],[Visitante]]="","",IF(COUNTIF(CadastroEquipes,TRIM(tblDados[[#This Row],[Visitante]]))&gt;0,"","⚠ Nome não cadastrado"))</f>
        <v/>
      </c>
    </row>
    <row r="1536" spans="1:22" ht="14.4" x14ac:dyDescent="0.3">
      <c r="A1536" s="1" t="s">
        <v>4213</v>
      </c>
      <c r="B1536" s="102">
        <v>46166</v>
      </c>
      <c r="C1536" s="6">
        <v>0.84027777777777779</v>
      </c>
      <c r="D1536" s="1" t="s">
        <v>17</v>
      </c>
      <c r="E1536" s="1" t="s">
        <v>4102</v>
      </c>
      <c r="F1536" s="1" t="s">
        <v>4214</v>
      </c>
      <c r="G1536" s="39" t="s">
        <v>931</v>
      </c>
      <c r="H1536" s="1">
        <v>1</v>
      </c>
      <c r="I1536" s="1">
        <v>2</v>
      </c>
      <c r="J1536" s="39" t="s">
        <v>4133</v>
      </c>
      <c r="K1536" s="1">
        <v>2</v>
      </c>
      <c r="L1536" s="1">
        <v>1</v>
      </c>
      <c r="S1536" s="1" t="str">
        <f>IF(tblDados[[#This Row],[Mandante]]="","",TEXT(tblDados[[#This Row],[Data]],"aaaa-mm-dd")&amp;"|"&amp;TRIM(tblDados[[#This Row],[Mandante]])&amp;"|"&amp;TRIM(tblDados[[#This Row],[Visitante]]))</f>
        <v>2026-05-24|Delfín SC|Barcelona SC</v>
      </c>
      <c r="T1536">
        <f>IF($G1536="",0,IF(COUNTIF($S$2:$S3024,$S1536)=1,1,0))</f>
        <v>1</v>
      </c>
      <c r="U1536" s="19" t="str">
        <f>IF(tblDados[[#This Row],[Mandante]]="","",IF(COUNTIF(CadastroEquipes,TRIM(tblDados[[#This Row],[Mandante]]))&gt;0,"","⚠ Nome não cadastrado"))</f>
        <v/>
      </c>
      <c r="V1536" s="19" t="str">
        <f>IF(tblDados[[#This Row],[Visitante]]="","",IF(COUNTIF(CadastroEquipes,TRIM(tblDados[[#This Row],[Visitante]]))&gt;0,"","⚠ Nome não cadastrado"))</f>
        <v/>
      </c>
    </row>
    <row r="1537" spans="1:22" ht="14.4" x14ac:dyDescent="0.3">
      <c r="A1537" s="1" t="s">
        <v>4215</v>
      </c>
      <c r="B1537" s="102">
        <v>46225</v>
      </c>
      <c r="C1537" s="6">
        <v>0.875</v>
      </c>
      <c r="D1537" s="1" t="s">
        <v>17</v>
      </c>
      <c r="E1537" s="1" t="s">
        <v>4102</v>
      </c>
      <c r="F1537" s="1" t="s">
        <v>4216</v>
      </c>
      <c r="G1537" s="39" t="s">
        <v>147</v>
      </c>
      <c r="H1537" s="1">
        <v>1</v>
      </c>
      <c r="I1537" s="1">
        <v>1</v>
      </c>
      <c r="J1537" s="39" t="s">
        <v>932</v>
      </c>
      <c r="K1537" s="1">
        <v>1</v>
      </c>
      <c r="L1537" s="1">
        <v>1</v>
      </c>
      <c r="S1537" s="1" t="str">
        <f>IF(tblDados[[#This Row],[Mandante]]="","",TEXT(tblDados[[#This Row],[Data]],"aaaa-mm-dd")&amp;"|"&amp;TRIM(tblDados[[#This Row],[Mandante]])&amp;"|"&amp;TRIM(tblDados[[#This Row],[Visitante]]))</f>
        <v>2026-07-22|Manta FC|LDU Quito</v>
      </c>
      <c r="T1537">
        <f>IF($G1537="",0,IF(COUNTIF($S$2:$S3025,$S1537)=1,1,0))</f>
        <v>1</v>
      </c>
      <c r="U1537" s="19" t="str">
        <f>IF(tblDados[[#This Row],[Mandante]]="","",IF(COUNTIF(CadastroEquipes,TRIM(tblDados[[#This Row],[Mandante]]))&gt;0,"","⚠ Nome não cadastrado"))</f>
        <v/>
      </c>
      <c r="V1537" s="19" t="str">
        <f>IF(tblDados[[#This Row],[Visitante]]="","",IF(COUNTIF(CadastroEquipes,TRIM(tblDados[[#This Row],[Visitante]]))&gt;0,"","⚠ Nome não cadastrado"))</f>
        <v/>
      </c>
    </row>
    <row r="1538" spans="1:22" ht="14.4" x14ac:dyDescent="0.3">
      <c r="A1538" s="1" t="s">
        <v>4217</v>
      </c>
      <c r="B1538" s="102">
        <v>46221</v>
      </c>
      <c r="C1538" s="6">
        <v>0.77083333333333337</v>
      </c>
      <c r="D1538" s="1" t="s">
        <v>17</v>
      </c>
      <c r="E1538" s="1" t="s">
        <v>4102</v>
      </c>
      <c r="F1538" s="1" t="s">
        <v>4218</v>
      </c>
      <c r="G1538" s="39" t="s">
        <v>932</v>
      </c>
      <c r="H1538" s="1">
        <v>0</v>
      </c>
      <c r="I1538" s="1">
        <v>1</v>
      </c>
      <c r="J1538" s="39" t="s">
        <v>4147</v>
      </c>
      <c r="K1538" s="1">
        <v>1</v>
      </c>
      <c r="L1538" s="1">
        <v>0</v>
      </c>
      <c r="S1538" s="1" t="str">
        <f>IF(tblDados[[#This Row],[Mandante]]="","",TEXT(tblDados[[#This Row],[Data]],"aaaa-mm-dd")&amp;"|"&amp;TRIM(tblDados[[#This Row],[Mandante]])&amp;"|"&amp;TRIM(tblDados[[#This Row],[Visitante]]))</f>
        <v>2026-07-18|LDU Quito|Leones del Norte</v>
      </c>
      <c r="T1538">
        <f>IF($G1538="",0,IF(COUNTIF($S$2:$S3026,$S1538)=1,1,0))</f>
        <v>1</v>
      </c>
      <c r="U1538" s="19" t="str">
        <f>IF(tblDados[[#This Row],[Mandante]]="","",IF(COUNTIF(CadastroEquipes,TRIM(tblDados[[#This Row],[Mandante]]))&gt;0,"","⚠ Nome não cadastrado"))</f>
        <v/>
      </c>
      <c r="V1538" s="19" t="str">
        <f>IF(tblDados[[#This Row],[Visitante]]="","",IF(COUNTIF(CadastroEquipes,TRIM(tblDados[[#This Row],[Visitante]]))&gt;0,"","⚠ Nome não cadastrado"))</f>
        <v/>
      </c>
    </row>
    <row r="1539" spans="1:22" ht="14.4" x14ac:dyDescent="0.3">
      <c r="A1539" s="1" t="s">
        <v>4219</v>
      </c>
      <c r="B1539" s="102">
        <v>46204</v>
      </c>
      <c r="C1539" s="6">
        <v>0.79166666666666663</v>
      </c>
      <c r="D1539" s="1" t="s">
        <v>17</v>
      </c>
      <c r="E1539" s="1" t="s">
        <v>4102</v>
      </c>
      <c r="F1539" s="1" t="s">
        <v>4220</v>
      </c>
      <c r="G1539" s="39" t="s">
        <v>932</v>
      </c>
      <c r="H1539" s="1">
        <v>3</v>
      </c>
      <c r="I1539" s="1">
        <v>0</v>
      </c>
      <c r="J1539" s="39" t="s">
        <v>4111</v>
      </c>
      <c r="K1539" s="1">
        <v>0</v>
      </c>
      <c r="L1539" s="1">
        <v>3</v>
      </c>
      <c r="S1539" s="1" t="str">
        <f>IF(tblDados[[#This Row],[Mandante]]="","",TEXT(tblDados[[#This Row],[Data]],"aaaa-mm-dd")&amp;"|"&amp;TRIM(tblDados[[#This Row],[Mandante]])&amp;"|"&amp;TRIM(tblDados[[#This Row],[Visitante]]))</f>
        <v>2026-07-01|LDU Quito|Orense</v>
      </c>
      <c r="T1539">
        <f>IF($G1539="",0,IF(COUNTIF($S$2:$S3027,$S1539)=1,1,0))</f>
        <v>1</v>
      </c>
      <c r="U1539" s="19" t="str">
        <f>IF(tblDados[[#This Row],[Mandante]]="","",IF(COUNTIF(CadastroEquipes,TRIM(tblDados[[#This Row],[Mandante]]))&gt;0,"","⚠ Nome não cadastrado"))</f>
        <v/>
      </c>
      <c r="V1539" s="19" t="str">
        <f>IF(tblDados[[#This Row],[Visitante]]="","",IF(COUNTIF(CadastroEquipes,TRIM(tblDados[[#This Row],[Visitante]]))&gt;0,"","⚠ Nome não cadastrado"))</f>
        <v/>
      </c>
    </row>
    <row r="1540" spans="1:22" ht="14.4" x14ac:dyDescent="0.3">
      <c r="A1540" s="1" t="s">
        <v>4221</v>
      </c>
      <c r="B1540" s="102">
        <v>46165</v>
      </c>
      <c r="C1540" s="6">
        <v>0.875</v>
      </c>
      <c r="D1540" s="1" t="s">
        <v>17</v>
      </c>
      <c r="E1540" s="1" t="s">
        <v>4102</v>
      </c>
      <c r="F1540" s="1" t="s">
        <v>4222</v>
      </c>
      <c r="G1540" s="39" t="s">
        <v>4108</v>
      </c>
      <c r="H1540" s="1">
        <v>1</v>
      </c>
      <c r="I1540" s="1">
        <v>1</v>
      </c>
      <c r="J1540" s="39" t="s">
        <v>932</v>
      </c>
      <c r="K1540" s="1">
        <v>1</v>
      </c>
      <c r="L1540" s="1">
        <v>1</v>
      </c>
      <c r="S1540" s="1" t="str">
        <f>IF(tblDados[[#This Row],[Mandante]]="","",TEXT(tblDados[[#This Row],[Data]],"aaaa-mm-dd")&amp;"|"&amp;TRIM(tblDados[[#This Row],[Mandante]])&amp;"|"&amp;TRIM(tblDados[[#This Row],[Visitante]]))</f>
        <v>2026-05-23|Deportivo Cuenca|LDU Quito</v>
      </c>
      <c r="T1540">
        <f>IF($G1540="",0,IF(COUNTIF($S$2:$S3028,$S1540)=1,1,0))</f>
        <v>1</v>
      </c>
      <c r="U1540" s="19" t="str">
        <f>IF(tblDados[[#This Row],[Mandante]]="","",IF(COUNTIF(CadastroEquipes,TRIM(tblDados[[#This Row],[Mandante]]))&gt;0,"","⚠ Nome não cadastrado"))</f>
        <v/>
      </c>
      <c r="V1540" s="19" t="str">
        <f>IF(tblDados[[#This Row],[Visitante]]="","",IF(COUNTIF(CadastroEquipes,TRIM(tblDados[[#This Row],[Visitante]]))&gt;0,"","⚠ Nome não cadastrado"))</f>
        <v/>
      </c>
    </row>
    <row r="1541" spans="1:22" ht="14.4" x14ac:dyDescent="0.3">
      <c r="A1541" s="1" t="s">
        <v>4223</v>
      </c>
      <c r="B1541" s="102">
        <v>46157</v>
      </c>
      <c r="C1541" s="6">
        <v>0.77083333333333337</v>
      </c>
      <c r="D1541" s="1" t="s">
        <v>17</v>
      </c>
      <c r="E1541" s="1" t="s">
        <v>4102</v>
      </c>
      <c r="F1541" s="1" t="s">
        <v>4224</v>
      </c>
      <c r="G1541" s="39" t="s">
        <v>932</v>
      </c>
      <c r="H1541" s="1">
        <v>2</v>
      </c>
      <c r="I1541" s="1">
        <v>1</v>
      </c>
      <c r="J1541" s="39" t="s">
        <v>4114</v>
      </c>
      <c r="K1541" s="1">
        <v>1</v>
      </c>
      <c r="L1541" s="1">
        <v>2</v>
      </c>
      <c r="S1541" s="1" t="str">
        <f>IF(tblDados[[#This Row],[Mandante]]="","",TEXT(tblDados[[#This Row],[Data]],"aaaa-mm-dd")&amp;"|"&amp;TRIM(tblDados[[#This Row],[Mandante]])&amp;"|"&amp;TRIM(tblDados[[#This Row],[Visitante]]))</f>
        <v>2026-05-15|LDU Quito|Técnico Universitario</v>
      </c>
      <c r="T1541">
        <f>IF($G1541="",0,IF(COUNTIF($S$2:$S3029,$S1541)=1,1,0))</f>
        <v>1</v>
      </c>
      <c r="U1541" s="19" t="str">
        <f>IF(tblDados[[#This Row],[Mandante]]="","",IF(COUNTIF(CadastroEquipes,TRIM(tblDados[[#This Row],[Mandante]]))&gt;0,"","⚠ Nome não cadastrado"))</f>
        <v/>
      </c>
      <c r="V1541" s="19" t="str">
        <f>IF(tblDados[[#This Row],[Visitante]]="","",IF(COUNTIF(CadastroEquipes,TRIM(tblDados[[#This Row],[Visitante]]))&gt;0,"","⚠ Nome não cadastrado"))</f>
        <v/>
      </c>
    </row>
    <row r="1542" spans="1:22" ht="14.4" x14ac:dyDescent="0.3">
      <c r="A1542" s="1" t="s">
        <v>4225</v>
      </c>
      <c r="B1542" s="102">
        <v>46153</v>
      </c>
      <c r="C1542" s="6">
        <v>0.875</v>
      </c>
      <c r="D1542" s="1" t="s">
        <v>17</v>
      </c>
      <c r="E1542" s="1" t="s">
        <v>4102</v>
      </c>
      <c r="F1542" s="1" t="s">
        <v>4226</v>
      </c>
      <c r="G1542" s="39" t="s">
        <v>4123</v>
      </c>
      <c r="H1542" s="1">
        <v>1</v>
      </c>
      <c r="I1542" s="1">
        <v>3</v>
      </c>
      <c r="J1542" s="39" t="s">
        <v>932</v>
      </c>
      <c r="K1542" s="1">
        <v>3</v>
      </c>
      <c r="L1542" s="1">
        <v>1</v>
      </c>
      <c r="S1542" s="1" t="str">
        <f>IF(tblDados[[#This Row],[Mandante]]="","",TEXT(tblDados[[#This Row],[Data]],"aaaa-mm-dd")&amp;"|"&amp;TRIM(tblDados[[#This Row],[Mandante]])&amp;"|"&amp;TRIM(tblDados[[#This Row],[Visitante]]))</f>
        <v>2026-05-11|Mushuc Runa|LDU Quito</v>
      </c>
      <c r="T1542">
        <f>IF($G1542="",0,IF(COUNTIF($S$2:$S3030,$S1542)=1,1,0))</f>
        <v>1</v>
      </c>
      <c r="U1542" s="19" t="str">
        <f>IF(tblDados[[#This Row],[Mandante]]="","",IF(COUNTIF(CadastroEquipes,TRIM(tblDados[[#This Row],[Mandante]]))&gt;0,"","⚠ Nome não cadastrado"))</f>
        <v/>
      </c>
      <c r="V1542" s="19" t="str">
        <f>IF(tblDados[[#This Row],[Visitante]]="","",IF(COUNTIF(CadastroEquipes,TRIM(tblDados[[#This Row],[Visitante]]))&gt;0,"","⚠ Nome não cadastrado"))</f>
        <v/>
      </c>
    </row>
    <row r="1543" spans="1:22" ht="14.4" x14ac:dyDescent="0.3">
      <c r="A1543" s="1" t="s">
        <v>4227</v>
      </c>
      <c r="B1543" s="102">
        <v>46144</v>
      </c>
      <c r="C1543" s="6">
        <v>0.77083333333333337</v>
      </c>
      <c r="D1543" s="1" t="s">
        <v>17</v>
      </c>
      <c r="E1543" s="1" t="s">
        <v>4102</v>
      </c>
      <c r="F1543" s="1" t="s">
        <v>4228</v>
      </c>
      <c r="G1543" s="39" t="s">
        <v>932</v>
      </c>
      <c r="H1543" s="1">
        <v>1</v>
      </c>
      <c r="I1543" s="1">
        <v>0</v>
      </c>
      <c r="J1543" s="39" t="s">
        <v>4126</v>
      </c>
      <c r="K1543" s="1">
        <v>0</v>
      </c>
      <c r="L1543" s="1">
        <v>1</v>
      </c>
      <c r="S1543" s="1" t="str">
        <f>IF(tblDados[[#This Row],[Mandante]]="","",TEXT(tblDados[[#This Row],[Data]],"aaaa-mm-dd")&amp;"|"&amp;TRIM(tblDados[[#This Row],[Mandante]])&amp;"|"&amp;TRIM(tblDados[[#This Row],[Visitante]]))</f>
        <v>2026-05-02|LDU Quito|Guayaquil City FC</v>
      </c>
      <c r="T1543">
        <f>IF($G1543="",0,IF(COUNTIF($S$2:$S3031,$S1543)=1,1,0))</f>
        <v>1</v>
      </c>
      <c r="U1543" s="19" t="str">
        <f>IF(tblDados[[#This Row],[Mandante]]="","",IF(COUNTIF(CadastroEquipes,TRIM(tblDados[[#This Row],[Mandante]]))&gt;0,"","⚠ Nome não cadastrado"))</f>
        <v/>
      </c>
      <c r="V1543" s="19" t="str">
        <f>IF(tblDados[[#This Row],[Visitante]]="","",IF(COUNTIF(CadastroEquipes,TRIM(tblDados[[#This Row],[Visitante]]))&gt;0,"","⚠ Nome não cadastrado"))</f>
        <v/>
      </c>
    </row>
    <row r="1544" spans="1:22" ht="14.4" x14ac:dyDescent="0.3">
      <c r="A1544" s="1" t="s">
        <v>4229</v>
      </c>
      <c r="B1544" s="102">
        <v>46229</v>
      </c>
      <c r="C1544" s="6">
        <v>0.63541666666666663</v>
      </c>
      <c r="D1544" s="1" t="s">
        <v>17</v>
      </c>
      <c r="E1544" s="1" t="s">
        <v>4102</v>
      </c>
      <c r="F1544" s="1" t="s">
        <v>4230</v>
      </c>
      <c r="G1544" s="39" t="s">
        <v>931</v>
      </c>
      <c r="H1544" s="1">
        <v>0</v>
      </c>
      <c r="I1544" s="1">
        <v>1</v>
      </c>
      <c r="J1544" s="39" t="s">
        <v>4147</v>
      </c>
      <c r="K1544" s="1">
        <v>1</v>
      </c>
      <c r="L1544" s="1">
        <v>0</v>
      </c>
      <c r="S1544" s="1" t="str">
        <f>IF(tblDados[[#This Row],[Mandante]]="","",TEXT(tblDados[[#This Row],[Data]],"aaaa-mm-dd")&amp;"|"&amp;TRIM(tblDados[[#This Row],[Mandante]])&amp;"|"&amp;TRIM(tblDados[[#This Row],[Visitante]]))</f>
        <v>2026-07-26|Delfín SC|Leones del Norte</v>
      </c>
      <c r="T1544">
        <f>IF($G1544="",0,IF(COUNTIF($S$2:$S3032,$S1544)=1,1,0))</f>
        <v>1</v>
      </c>
      <c r="U1544" s="19" t="str">
        <f>IF(tblDados[[#This Row],[Mandante]]="","",IF(COUNTIF(CadastroEquipes,TRIM(tblDados[[#This Row],[Mandante]]))&gt;0,"","⚠ Nome não cadastrado"))</f>
        <v/>
      </c>
      <c r="V1544" s="19" t="str">
        <f>IF(tblDados[[#This Row],[Visitante]]="","",IF(COUNTIF(CadastroEquipes,TRIM(tblDados[[#This Row],[Visitante]]))&gt;0,"","⚠ Nome não cadastrado"))</f>
        <v/>
      </c>
    </row>
    <row r="1545" spans="1:22" ht="14.4" x14ac:dyDescent="0.3">
      <c r="A1545" s="1" t="s">
        <v>4231</v>
      </c>
      <c r="B1545" s="102">
        <v>46226</v>
      </c>
      <c r="C1545" s="6">
        <v>0.77083333333333337</v>
      </c>
      <c r="D1545" s="1" t="s">
        <v>17</v>
      </c>
      <c r="E1545" s="1" t="s">
        <v>4102</v>
      </c>
      <c r="F1545" s="1" t="s">
        <v>4232</v>
      </c>
      <c r="G1545" s="39" t="s">
        <v>4147</v>
      </c>
      <c r="H1545" s="1">
        <v>1</v>
      </c>
      <c r="I1545" s="1">
        <v>1</v>
      </c>
      <c r="J1545" s="39" t="s">
        <v>4126</v>
      </c>
      <c r="K1545" s="1">
        <v>1</v>
      </c>
      <c r="L1545" s="1">
        <v>1</v>
      </c>
      <c r="S1545" s="1" t="str">
        <f>IF(tblDados[[#This Row],[Mandante]]="","",TEXT(tblDados[[#This Row],[Data]],"aaaa-mm-dd")&amp;"|"&amp;TRIM(tblDados[[#This Row],[Mandante]])&amp;"|"&amp;TRIM(tblDados[[#This Row],[Visitante]]))</f>
        <v>2026-07-23|Leones del Norte|Guayaquil City FC</v>
      </c>
      <c r="T1545">
        <f>IF($G1545="",0,IF(COUNTIF($S$2:$S3033,$S1545)=1,1,0))</f>
        <v>1</v>
      </c>
      <c r="U1545" s="19" t="str">
        <f>IF(tblDados[[#This Row],[Mandante]]="","",IF(COUNTIF(CadastroEquipes,TRIM(tblDados[[#This Row],[Mandante]]))&gt;0,"","⚠ Nome não cadastrado"))</f>
        <v/>
      </c>
      <c r="V1545" s="19" t="str">
        <f>IF(tblDados[[#This Row],[Visitante]]="","",IF(COUNTIF(CadastroEquipes,TRIM(tblDados[[#This Row],[Visitante]]))&gt;0,"","⚠ Nome não cadastrado"))</f>
        <v/>
      </c>
    </row>
    <row r="1546" spans="1:22" ht="14.4" x14ac:dyDescent="0.3">
      <c r="A1546" s="1" t="s">
        <v>4233</v>
      </c>
      <c r="B1546" s="102">
        <v>46218</v>
      </c>
      <c r="C1546" s="6">
        <v>0.79166666666666663</v>
      </c>
      <c r="D1546" s="1" t="s">
        <v>17</v>
      </c>
      <c r="E1546" s="1" t="s">
        <v>4102</v>
      </c>
      <c r="F1546" s="1" t="s">
        <v>4234</v>
      </c>
      <c r="G1546" s="39" t="s">
        <v>4147</v>
      </c>
      <c r="H1546" s="1">
        <v>1</v>
      </c>
      <c r="I1546" s="1">
        <v>1</v>
      </c>
      <c r="J1546" s="39" t="s">
        <v>4108</v>
      </c>
      <c r="K1546" s="1">
        <v>1</v>
      </c>
      <c r="L1546" s="1">
        <v>1</v>
      </c>
      <c r="S1546" s="1" t="str">
        <f>IF(tblDados[[#This Row],[Mandante]]="","",TEXT(tblDados[[#This Row],[Data]],"aaaa-mm-dd")&amp;"|"&amp;TRIM(tblDados[[#This Row],[Mandante]])&amp;"|"&amp;TRIM(tblDados[[#This Row],[Visitante]]))</f>
        <v>2026-07-15|Leones del Norte|Deportivo Cuenca</v>
      </c>
      <c r="T1546">
        <f>IF($G1546="",0,IF(COUNTIF($S$2:$S3034,$S1546)=1,1,0))</f>
        <v>1</v>
      </c>
      <c r="U1546" s="19" t="str">
        <f>IF(tblDados[[#This Row],[Mandante]]="","",IF(COUNTIF(CadastroEquipes,TRIM(tblDados[[#This Row],[Mandante]]))&gt;0,"","⚠ Nome não cadastrado"))</f>
        <v/>
      </c>
      <c r="V1546" s="19" t="str">
        <f>IF(tblDados[[#This Row],[Visitante]]="","",IF(COUNTIF(CadastroEquipes,TRIM(tblDados[[#This Row],[Visitante]]))&gt;0,"","⚠ Nome não cadastrado"))</f>
        <v/>
      </c>
    </row>
    <row r="1547" spans="1:22" ht="14.4" x14ac:dyDescent="0.3">
      <c r="A1547" s="1" t="s">
        <v>4235</v>
      </c>
      <c r="B1547" s="102">
        <v>46207</v>
      </c>
      <c r="C1547" s="6">
        <v>0.66666666666666663</v>
      </c>
      <c r="D1547" s="1" t="s">
        <v>17</v>
      </c>
      <c r="E1547" s="1" t="s">
        <v>4102</v>
      </c>
      <c r="F1547" s="1" t="s">
        <v>4254</v>
      </c>
      <c r="G1547" s="39" t="s">
        <v>4252</v>
      </c>
      <c r="H1547" s="1">
        <v>1</v>
      </c>
      <c r="I1547" s="1">
        <v>3</v>
      </c>
      <c r="J1547" s="39" t="s">
        <v>4147</v>
      </c>
      <c r="K1547" s="1">
        <v>3</v>
      </c>
      <c r="L1547" s="1">
        <v>1</v>
      </c>
      <c r="S1547" s="1" t="str">
        <f>IF(tblDados[[#This Row],[Mandante]]="","",TEXT(tblDados[[#This Row],[Data]],"aaaa-mm-dd")&amp;"|"&amp;TRIM(tblDados[[#This Row],[Mandante]])&amp;"|"&amp;TRIM(tblDados[[#This Row],[Visitante]]))</f>
        <v>2026-07-04|Libertad (Ecuador)|Leones del Norte</v>
      </c>
      <c r="T1547">
        <f>IF($G1547="",0,IF(COUNTIF($S$2:$S3035,$S1547)=1,1,0))</f>
        <v>1</v>
      </c>
      <c r="U1547" s="19" t="str">
        <f>IF(tblDados[[#This Row],[Mandante]]="","",IF(COUNTIF(CadastroEquipes,TRIM(tblDados[[#This Row],[Mandante]]))&gt;0,"","⚠ Nome não cadastrado"))</f>
        <v/>
      </c>
      <c r="V1547" s="19" t="str">
        <f>IF(tblDados[[#This Row],[Visitante]]="","",IF(COUNTIF(CadastroEquipes,TRIM(tblDados[[#This Row],[Visitante]]))&gt;0,"","⚠ Nome não cadastrado"))</f>
        <v/>
      </c>
    </row>
    <row r="1548" spans="1:22" ht="14.4" x14ac:dyDescent="0.3">
      <c r="A1548" s="1" t="s">
        <v>4236</v>
      </c>
      <c r="B1548" s="102">
        <v>46166</v>
      </c>
      <c r="C1548" s="6">
        <v>0.625</v>
      </c>
      <c r="D1548" s="1" t="s">
        <v>17</v>
      </c>
      <c r="E1548" s="1" t="s">
        <v>4102</v>
      </c>
      <c r="F1548" s="1" t="s">
        <v>4237</v>
      </c>
      <c r="G1548" s="39" t="s">
        <v>4114</v>
      </c>
      <c r="H1548" s="1">
        <v>2</v>
      </c>
      <c r="I1548" s="1">
        <v>1</v>
      </c>
      <c r="J1548" s="39" t="s">
        <v>4147</v>
      </c>
      <c r="K1548" s="1">
        <v>1</v>
      </c>
      <c r="L1548" s="1">
        <v>2</v>
      </c>
      <c r="S1548" s="1" t="str">
        <f>IF(tblDados[[#This Row],[Mandante]]="","",TEXT(tblDados[[#This Row],[Data]],"aaaa-mm-dd")&amp;"|"&amp;TRIM(tblDados[[#This Row],[Mandante]])&amp;"|"&amp;TRIM(tblDados[[#This Row],[Visitante]]))</f>
        <v>2026-05-24|Técnico Universitario|Leones del Norte</v>
      </c>
      <c r="T1548">
        <f>IF($G1548="",0,IF(COUNTIF($S$2:$S3036,$S1548)=1,1,0))</f>
        <v>1</v>
      </c>
      <c r="U1548" s="19" t="str">
        <f>IF(tblDados[[#This Row],[Mandante]]="","",IF(COUNTIF(CadastroEquipes,TRIM(tblDados[[#This Row],[Mandante]]))&gt;0,"","⚠ Nome não cadastrado"))</f>
        <v/>
      </c>
      <c r="V1548" s="19" t="str">
        <f>IF(tblDados[[#This Row],[Visitante]]="","",IF(COUNTIF(CadastroEquipes,TRIM(tblDados[[#This Row],[Visitante]]))&gt;0,"","⚠ Nome não cadastrado"))</f>
        <v/>
      </c>
    </row>
    <row r="1549" spans="1:22" ht="14.4" x14ac:dyDescent="0.3">
      <c r="A1549" s="1" t="s">
        <v>4238</v>
      </c>
      <c r="B1549" s="102">
        <v>46159</v>
      </c>
      <c r="C1549" s="6">
        <v>0.625</v>
      </c>
      <c r="D1549" s="1" t="s">
        <v>17</v>
      </c>
      <c r="E1549" s="1" t="s">
        <v>4102</v>
      </c>
      <c r="F1549" s="1" t="s">
        <v>4239</v>
      </c>
      <c r="G1549" s="39" t="s">
        <v>4147</v>
      </c>
      <c r="H1549" s="1">
        <v>3</v>
      </c>
      <c r="I1549" s="1">
        <v>1</v>
      </c>
      <c r="J1549" s="39" t="s">
        <v>4123</v>
      </c>
      <c r="K1549" s="1">
        <v>1</v>
      </c>
      <c r="L1549" s="1">
        <v>3</v>
      </c>
      <c r="S1549" s="1" t="str">
        <f>IF(tblDados[[#This Row],[Mandante]]="","",TEXT(tblDados[[#This Row],[Data]],"aaaa-mm-dd")&amp;"|"&amp;TRIM(tblDados[[#This Row],[Mandante]])&amp;"|"&amp;TRIM(tblDados[[#This Row],[Visitante]]))</f>
        <v>2026-05-17|Leones del Norte|Mushuc Runa</v>
      </c>
      <c r="T1549">
        <f>IF($G1549="",0,IF(COUNTIF($S$2:$S3037,$S1549)=1,1,0))</f>
        <v>1</v>
      </c>
      <c r="U1549" s="19" t="str">
        <f>IF(tblDados[[#This Row],[Mandante]]="","",IF(COUNTIF(CadastroEquipes,TRIM(tblDados[[#This Row],[Mandante]]))&gt;0,"","⚠ Nome não cadastrado"))</f>
        <v/>
      </c>
      <c r="V1549" s="19" t="str">
        <f>IF(tblDados[[#This Row],[Visitante]]="","",IF(COUNTIF(CadastroEquipes,TRIM(tblDados[[#This Row],[Visitante]]))&gt;0,"","⚠ Nome não cadastrado"))</f>
        <v/>
      </c>
    </row>
    <row r="1550" spans="1:22" ht="14.4" x14ac:dyDescent="0.3">
      <c r="A1550" s="1" t="s">
        <v>4240</v>
      </c>
      <c r="B1550" s="102">
        <v>46150</v>
      </c>
      <c r="C1550" s="6">
        <v>0.875</v>
      </c>
      <c r="D1550" s="1" t="s">
        <v>17</v>
      </c>
      <c r="E1550" s="1" t="s">
        <v>4102</v>
      </c>
      <c r="F1550" s="1" t="s">
        <v>4241</v>
      </c>
      <c r="G1550" s="39" t="s">
        <v>4111</v>
      </c>
      <c r="H1550" s="1">
        <v>2</v>
      </c>
      <c r="I1550" s="1">
        <v>0</v>
      </c>
      <c r="J1550" s="39" t="s">
        <v>4147</v>
      </c>
      <c r="K1550" s="1">
        <v>0</v>
      </c>
      <c r="L1550" s="1">
        <v>2</v>
      </c>
      <c r="S1550" s="1" t="str">
        <f>IF(tblDados[[#This Row],[Mandante]]="","",TEXT(tblDados[[#This Row],[Data]],"aaaa-mm-dd")&amp;"|"&amp;TRIM(tblDados[[#This Row],[Mandante]])&amp;"|"&amp;TRIM(tblDados[[#This Row],[Visitante]]))</f>
        <v>2026-05-08|Orense|Leones del Norte</v>
      </c>
      <c r="T1550">
        <f>IF($G1550="",0,IF(COUNTIF($S$2:$S3038,$S1550)=1,1,0))</f>
        <v>1</v>
      </c>
      <c r="U1550" s="19" t="str">
        <f>IF(tblDados[[#This Row],[Mandante]]="","",IF(COUNTIF(CadastroEquipes,TRIM(tblDados[[#This Row],[Mandante]]))&gt;0,"","⚠ Nome não cadastrado"))</f>
        <v/>
      </c>
      <c r="V1550" s="19" t="str">
        <f>IF(tblDados[[#This Row],[Visitante]]="","",IF(COUNTIF(CadastroEquipes,TRIM(tblDados[[#This Row],[Visitante]]))&gt;0,"","⚠ Nome não cadastrado"))</f>
        <v/>
      </c>
    </row>
    <row r="1551" spans="1:22" ht="14.4" x14ac:dyDescent="0.3">
      <c r="A1551" s="1" t="s">
        <v>4242</v>
      </c>
      <c r="B1551" s="102">
        <v>46230</v>
      </c>
      <c r="C1551" s="6">
        <v>0.875</v>
      </c>
      <c r="D1551" s="1" t="s">
        <v>17</v>
      </c>
      <c r="E1551" s="1" t="s">
        <v>4102</v>
      </c>
      <c r="F1551" s="1" t="s">
        <v>4243</v>
      </c>
      <c r="G1551" s="39" t="s">
        <v>4108</v>
      </c>
      <c r="H1551" s="1">
        <v>2</v>
      </c>
      <c r="I1551" s="1">
        <v>1</v>
      </c>
      <c r="J1551" s="39" t="s">
        <v>4117</v>
      </c>
      <c r="K1551" s="1">
        <v>1</v>
      </c>
      <c r="L1551" s="1">
        <v>2</v>
      </c>
      <c r="S1551" s="1" t="str">
        <f>IF(tblDados[[#This Row],[Mandante]]="","",TEXT(tblDados[[#This Row],[Data]],"aaaa-mm-dd")&amp;"|"&amp;TRIM(tblDados[[#This Row],[Mandante]])&amp;"|"&amp;TRIM(tblDados[[#This Row],[Visitante]]))</f>
        <v>2026-07-27|Deportivo Cuenca|Emelec</v>
      </c>
      <c r="T1551">
        <f>IF($G1551="",0,IF(COUNTIF($S$2:$S3039,$S1551)=1,1,0))</f>
        <v>1</v>
      </c>
      <c r="U1551" s="19" t="str">
        <f>IF(tblDados[[#This Row],[Mandante]]="","",IF(COUNTIF(CadastroEquipes,TRIM(tblDados[[#This Row],[Mandante]]))&gt;0,"","⚠ Nome não cadastrado"))</f>
        <v/>
      </c>
      <c r="V1551" s="19" t="str">
        <f>IF(tblDados[[#This Row],[Visitante]]="","",IF(COUNTIF(CadastroEquipes,TRIM(tblDados[[#This Row],[Visitante]]))&gt;0,"","⚠ Nome não cadastrado"))</f>
        <v/>
      </c>
    </row>
    <row r="1552" spans="1:22" ht="14.4" x14ac:dyDescent="0.3">
      <c r="A1552" s="1" t="s">
        <v>4244</v>
      </c>
      <c r="B1552" s="102">
        <v>46172</v>
      </c>
      <c r="C1552" s="6">
        <v>0.875</v>
      </c>
      <c r="D1552" s="1" t="s">
        <v>17</v>
      </c>
      <c r="E1552" s="1" t="s">
        <v>4102</v>
      </c>
      <c r="F1552" s="1" t="s">
        <v>4245</v>
      </c>
      <c r="G1552" s="39" t="s">
        <v>4108</v>
      </c>
      <c r="H1552" s="1">
        <v>1</v>
      </c>
      <c r="I1552" s="1">
        <v>0</v>
      </c>
      <c r="J1552" s="39" t="s">
        <v>931</v>
      </c>
      <c r="K1552" s="1">
        <v>0</v>
      </c>
      <c r="L1552" s="1">
        <v>1</v>
      </c>
      <c r="S1552" s="1" t="str">
        <f>IF(tblDados[[#This Row],[Mandante]]="","",TEXT(tblDados[[#This Row],[Data]],"aaaa-mm-dd")&amp;"|"&amp;TRIM(tblDados[[#This Row],[Mandante]])&amp;"|"&amp;TRIM(tblDados[[#This Row],[Visitante]]))</f>
        <v>2026-05-30|Deportivo Cuenca|Delfín SC</v>
      </c>
      <c r="T1552">
        <f>IF($G1552="",0,IF(COUNTIF($S$2:$S3040,$S1552)=1,1,0))</f>
        <v>1</v>
      </c>
      <c r="U1552" s="19" t="str">
        <f>IF(tblDados[[#This Row],[Mandante]]="","",IF(COUNTIF(CadastroEquipes,TRIM(tblDados[[#This Row],[Mandante]]))&gt;0,"","⚠ Nome não cadastrado"))</f>
        <v/>
      </c>
      <c r="V1552" s="19" t="str">
        <f>IF(tblDados[[#This Row],[Visitante]]="","",IF(COUNTIF(CadastroEquipes,TRIM(tblDados[[#This Row],[Visitante]]))&gt;0,"","⚠ Nome não cadastrado"))</f>
        <v/>
      </c>
    </row>
    <row r="1553" spans="1:22" ht="14.4" x14ac:dyDescent="0.3">
      <c r="A1553" s="1" t="s">
        <v>4246</v>
      </c>
      <c r="B1553" s="102">
        <v>46157</v>
      </c>
      <c r="C1553" s="6">
        <v>0.875</v>
      </c>
      <c r="D1553" s="1" t="s">
        <v>17</v>
      </c>
      <c r="E1553" s="1" t="s">
        <v>4102</v>
      </c>
      <c r="F1553" s="1" t="s">
        <v>4255</v>
      </c>
      <c r="G1553" s="39" t="s">
        <v>4252</v>
      </c>
      <c r="H1553" s="1">
        <v>0</v>
      </c>
      <c r="I1553" s="1">
        <v>1</v>
      </c>
      <c r="J1553" s="39" t="s">
        <v>4108</v>
      </c>
      <c r="K1553" s="1">
        <v>1</v>
      </c>
      <c r="L1553" s="1">
        <v>0</v>
      </c>
      <c r="S1553" s="1" t="str">
        <f>IF(tblDados[[#This Row],[Mandante]]="","",TEXT(tblDados[[#This Row],[Data]],"aaaa-mm-dd")&amp;"|"&amp;TRIM(tblDados[[#This Row],[Mandante]])&amp;"|"&amp;TRIM(tblDados[[#This Row],[Visitante]]))</f>
        <v>2026-05-15|Libertad (Ecuador)|Deportivo Cuenca</v>
      </c>
      <c r="T1553">
        <f>IF($G1553="",0,IF(COUNTIF($S$2:$S3041,$S1553)=1,1,0))</f>
        <v>1</v>
      </c>
      <c r="U1553" s="19" t="str">
        <f>IF(tblDados[[#This Row],[Mandante]]="","",IF(COUNTIF(CadastroEquipes,TRIM(tblDados[[#This Row],[Mandante]]))&gt;0,"","⚠ Nome não cadastrado"))</f>
        <v/>
      </c>
      <c r="V1553" s="19" t="str">
        <f>IF(tblDados[[#This Row],[Visitante]]="","",IF(COUNTIF(CadastroEquipes,TRIM(tblDados[[#This Row],[Visitante]]))&gt;0,"","⚠ Nome não cadastrado"))</f>
        <v/>
      </c>
    </row>
    <row r="1554" spans="1:22" ht="14.4" x14ac:dyDescent="0.3">
      <c r="A1554" s="1" t="s">
        <v>4247</v>
      </c>
      <c r="B1554" s="102">
        <v>46151</v>
      </c>
      <c r="C1554" s="6">
        <v>0.75</v>
      </c>
      <c r="D1554" s="1" t="s">
        <v>17</v>
      </c>
      <c r="E1554" s="1" t="s">
        <v>4102</v>
      </c>
      <c r="F1554" s="1" t="s">
        <v>4248</v>
      </c>
      <c r="G1554" s="39" t="s">
        <v>4126</v>
      </c>
      <c r="H1554" s="1">
        <v>0</v>
      </c>
      <c r="I1554" s="1">
        <v>1</v>
      </c>
      <c r="J1554" s="39" t="s">
        <v>4108</v>
      </c>
      <c r="K1554" s="1">
        <v>1</v>
      </c>
      <c r="L1554" s="1">
        <v>0</v>
      </c>
      <c r="S1554" s="1" t="str">
        <f>IF(tblDados[[#This Row],[Mandante]]="","",TEXT(tblDados[[#This Row],[Data]],"aaaa-mm-dd")&amp;"|"&amp;TRIM(tblDados[[#This Row],[Mandante]])&amp;"|"&amp;TRIM(tblDados[[#This Row],[Visitante]]))</f>
        <v>2026-05-09|Guayaquil City FC|Deportivo Cuenca</v>
      </c>
      <c r="T1554">
        <f>IF($G1554="",0,IF(COUNTIF($S$2:$S3042,$S1554)=1,1,0))</f>
        <v>1</v>
      </c>
      <c r="U1554" s="19" t="str">
        <f>IF(tblDados[[#This Row],[Mandante]]="","",IF(COUNTIF(CadastroEquipes,TRIM(tblDados[[#This Row],[Mandante]]))&gt;0,"","⚠ Nome não cadastrado"))</f>
        <v/>
      </c>
      <c r="V1554" s="19" t="str">
        <f>IF(tblDados[[#This Row],[Visitante]]="","",IF(COUNTIF(CadastroEquipes,TRIM(tblDados[[#This Row],[Visitante]]))&gt;0,"","⚠ Nome não cadastrado"))</f>
        <v/>
      </c>
    </row>
    <row r="1555" spans="1:22" ht="14.4" x14ac:dyDescent="0.3">
      <c r="A1555" s="1" t="s">
        <v>4249</v>
      </c>
      <c r="B1555" s="102">
        <v>46144</v>
      </c>
      <c r="C1555" s="6">
        <v>0.66666666666666663</v>
      </c>
      <c r="D1555" s="1" t="s">
        <v>17</v>
      </c>
      <c r="E1555" s="1" t="s">
        <v>4102</v>
      </c>
      <c r="F1555" s="1" t="s">
        <v>4250</v>
      </c>
      <c r="G1555" s="39" t="s">
        <v>4108</v>
      </c>
      <c r="H1555" s="1">
        <v>2</v>
      </c>
      <c r="I1555" s="1">
        <v>1</v>
      </c>
      <c r="J1555" s="39" t="s">
        <v>4114</v>
      </c>
      <c r="K1555" s="1">
        <v>1</v>
      </c>
      <c r="L1555" s="1">
        <v>2</v>
      </c>
      <c r="S1555" s="1" t="str">
        <f>IF(tblDados[[#This Row],[Mandante]]="","",TEXT(tblDados[[#This Row],[Data]],"aaaa-mm-dd")&amp;"|"&amp;TRIM(tblDados[[#This Row],[Mandante]])&amp;"|"&amp;TRIM(tblDados[[#This Row],[Visitante]]))</f>
        <v>2026-05-02|Deportivo Cuenca|Técnico Universitario</v>
      </c>
      <c r="T1555">
        <f>IF($G1555="",0,IF(COUNTIF($S$2:$S3043,$S1555)=1,1,0))</f>
        <v>1</v>
      </c>
      <c r="U1555" s="19" t="str">
        <f>IF(tblDados[[#This Row],[Mandante]]="","",IF(COUNTIF(CadastroEquipes,TRIM(tblDados[[#This Row],[Mandante]]))&gt;0,"","⚠ Nome não cadastrado"))</f>
        <v/>
      </c>
      <c r="V1555" s="19" t="str">
        <f>IF(tblDados[[#This Row],[Visitante]]="","",IF(COUNTIF(CadastroEquipes,TRIM(tblDados[[#This Row],[Visitante]]))&gt;0,"","⚠ Nome não cadastrado"))</f>
        <v/>
      </c>
    </row>
    <row r="1556" spans="1:22" ht="14.4" x14ac:dyDescent="0.3">
      <c r="A1556" s="1" t="s">
        <v>4256</v>
      </c>
      <c r="B1556" s="102">
        <v>46234</v>
      </c>
      <c r="C1556" s="6">
        <v>0.875</v>
      </c>
      <c r="D1556" s="1" t="s">
        <v>17</v>
      </c>
      <c r="E1556" s="1" t="s">
        <v>4102</v>
      </c>
      <c r="F1556" s="1" t="s">
        <v>4257</v>
      </c>
      <c r="G1556" s="39" t="s">
        <v>4252</v>
      </c>
      <c r="H1556" s="1">
        <v>3</v>
      </c>
      <c r="I1556" s="1">
        <v>0</v>
      </c>
      <c r="J1556" s="39" t="s">
        <v>4111</v>
      </c>
      <c r="K1556" s="1">
        <v>0</v>
      </c>
      <c r="L1556" s="1">
        <v>3</v>
      </c>
      <c r="S1556" s="1" t="str">
        <f>IF(tblDados[[#This Row],[Mandante]]="","",TEXT(tblDados[[#This Row],[Data]],"aaaa-mm-dd")&amp;"|"&amp;TRIM(tblDados[[#This Row],[Mandante]])&amp;"|"&amp;TRIM(tblDados[[#This Row],[Visitante]]))</f>
        <v>2026-07-31|Libertad (Ecuador)|Orense</v>
      </c>
      <c r="T1556">
        <f>IF($G1556="",0,IF(COUNTIF($S$2:$S3044,$S1556)=1,1,0))</f>
        <v>1</v>
      </c>
      <c r="U1556" s="19" t="str">
        <f>IF(tblDados[[#This Row],[Mandante]]="","",IF(COUNTIF(CadastroEquipes,TRIM(tblDados[[#This Row],[Mandante]]))&gt;0,"","⚠ Nome não cadastrado"))</f>
        <v/>
      </c>
      <c r="V1556" s="19" t="str">
        <f>IF(tblDados[[#This Row],[Visitante]]="","",IF(COUNTIF(CadastroEquipes,TRIM(tblDados[[#This Row],[Visitante]]))&gt;0,"","⚠ Nome não cadastrado"))</f>
        <v/>
      </c>
    </row>
    <row r="1557" spans="1:22" ht="14.4" x14ac:dyDescent="0.3">
      <c r="A1557" s="1" t="s">
        <v>4258</v>
      </c>
      <c r="B1557" s="102">
        <v>46230</v>
      </c>
      <c r="C1557" s="6">
        <v>0.66666666666666663</v>
      </c>
      <c r="D1557" s="1" t="s">
        <v>17</v>
      </c>
      <c r="E1557" s="1" t="s">
        <v>4102</v>
      </c>
      <c r="F1557" s="1" t="s">
        <v>4259</v>
      </c>
      <c r="G1557" s="39" t="s">
        <v>4123</v>
      </c>
      <c r="H1557" s="1">
        <v>0</v>
      </c>
      <c r="I1557" s="1">
        <v>2</v>
      </c>
      <c r="J1557" s="39" t="s">
        <v>4252</v>
      </c>
      <c r="K1557" s="1">
        <v>2</v>
      </c>
      <c r="L1557" s="1">
        <v>0</v>
      </c>
      <c r="S1557" s="1" t="str">
        <f>IF(tblDados[[#This Row],[Mandante]]="","",TEXT(tblDados[[#This Row],[Data]],"aaaa-mm-dd")&amp;"|"&amp;TRIM(tblDados[[#This Row],[Mandante]])&amp;"|"&amp;TRIM(tblDados[[#This Row],[Visitante]]))</f>
        <v>2026-07-27|Mushuc Runa|Libertad (Ecuador)</v>
      </c>
      <c r="T1557">
        <f>IF($G1557="",0,IF(COUNTIF($S$2:$S3045,$S1557)=1,1,0))</f>
        <v>1</v>
      </c>
      <c r="U1557" s="19" t="str">
        <f>IF(tblDados[[#This Row],[Mandante]]="","",IF(COUNTIF(CadastroEquipes,TRIM(tblDados[[#This Row],[Mandante]]))&gt;0,"","⚠ Nome não cadastrado"))</f>
        <v/>
      </c>
      <c r="V1557" s="19" t="str">
        <f>IF(tblDados[[#This Row],[Visitante]]="","",IF(COUNTIF(CadastroEquipes,TRIM(tblDados[[#This Row],[Visitante]]))&gt;0,"","⚠ Nome não cadastrado"))</f>
        <v/>
      </c>
    </row>
    <row r="1558" spans="1:22" ht="14.4" x14ac:dyDescent="0.3">
      <c r="A1558" s="1" t="s">
        <v>4260</v>
      </c>
      <c r="B1558" s="102">
        <v>46224</v>
      </c>
      <c r="C1558" s="6">
        <v>0.77083333333333337</v>
      </c>
      <c r="D1558" s="1" t="s">
        <v>17</v>
      </c>
      <c r="E1558" s="1" t="s">
        <v>4102</v>
      </c>
      <c r="F1558" s="1" t="s">
        <v>4261</v>
      </c>
      <c r="G1558" s="39" t="s">
        <v>4252</v>
      </c>
      <c r="H1558" s="1">
        <v>1</v>
      </c>
      <c r="I1558" s="1">
        <v>0</v>
      </c>
      <c r="J1558" s="39" t="s">
        <v>931</v>
      </c>
      <c r="K1558" s="1">
        <v>0</v>
      </c>
      <c r="L1558" s="1">
        <v>1</v>
      </c>
      <c r="S1558" s="1" t="str">
        <f>IF(tblDados[[#This Row],[Mandante]]="","",TEXT(tblDados[[#This Row],[Data]],"aaaa-mm-dd")&amp;"|"&amp;TRIM(tblDados[[#This Row],[Mandante]])&amp;"|"&amp;TRIM(tblDados[[#This Row],[Visitante]]))</f>
        <v>2026-07-21|Libertad (Ecuador)|Delfín SC</v>
      </c>
      <c r="T1558">
        <f>IF($G1558="",0,IF(COUNTIF($S$2:$S3046,$S1558)=1,1,0))</f>
        <v>1</v>
      </c>
      <c r="U1558" s="19" t="str">
        <f>IF(tblDados[[#This Row],[Mandante]]="","",IF(COUNTIF(CadastroEquipes,TRIM(tblDados[[#This Row],[Mandante]]))&gt;0,"","⚠ Nome não cadastrado"))</f>
        <v/>
      </c>
      <c r="V1558" s="19" t="str">
        <f>IF(tblDados[[#This Row],[Visitante]]="","",IF(COUNTIF(CadastroEquipes,TRIM(tblDados[[#This Row],[Visitante]]))&gt;0,"","⚠ Nome não cadastrado"))</f>
        <v/>
      </c>
    </row>
    <row r="1559" spans="1:22" ht="14.4" x14ac:dyDescent="0.3">
      <c r="A1559" s="1" t="s">
        <v>4262</v>
      </c>
      <c r="B1559" s="102">
        <v>46218</v>
      </c>
      <c r="C1559" s="6">
        <v>0.58333333333333337</v>
      </c>
      <c r="D1559" s="1" t="s">
        <v>17</v>
      </c>
      <c r="E1559" s="1" t="s">
        <v>4102</v>
      </c>
      <c r="F1559" s="1" t="s">
        <v>4263</v>
      </c>
      <c r="G1559" s="39" t="s">
        <v>4252</v>
      </c>
      <c r="H1559" s="1">
        <v>1</v>
      </c>
      <c r="I1559" s="1">
        <v>0</v>
      </c>
      <c r="J1559" s="39" t="s">
        <v>4114</v>
      </c>
      <c r="K1559" s="1">
        <v>0</v>
      </c>
      <c r="L1559" s="1">
        <v>1</v>
      </c>
      <c r="S1559" s="1" t="str">
        <f>IF(tblDados[[#This Row],[Mandante]]="","",TEXT(tblDados[[#This Row],[Data]],"aaaa-mm-dd")&amp;"|"&amp;TRIM(tblDados[[#This Row],[Mandante]])&amp;"|"&amp;TRIM(tblDados[[#This Row],[Visitante]]))</f>
        <v>2026-07-15|Libertad (Ecuador)|Técnico Universitario</v>
      </c>
      <c r="T1559">
        <f>IF($G1559="",0,IF(COUNTIF($S$2:$S3047,$S1559)=1,1,0))</f>
        <v>1</v>
      </c>
      <c r="U1559" s="19" t="str">
        <f>IF(tblDados[[#This Row],[Mandante]]="","",IF(COUNTIF(CadastroEquipes,TRIM(tblDados[[#This Row],[Mandante]]))&gt;0,"","⚠ Nome não cadastrado"))</f>
        <v/>
      </c>
      <c r="V1559" s="19" t="str">
        <f>IF(tblDados[[#This Row],[Visitante]]="","",IF(COUNTIF(CadastroEquipes,TRIM(tblDados[[#This Row],[Visitante]]))&gt;0,"","⚠ Nome não cadastrado"))</f>
        <v/>
      </c>
    </row>
    <row r="1560" spans="1:22" ht="14.4" x14ac:dyDescent="0.3">
      <c r="A1560" s="1" t="s">
        <v>4264</v>
      </c>
      <c r="B1560" s="102">
        <v>46215</v>
      </c>
      <c r="C1560" s="6">
        <v>0.58333333333333337</v>
      </c>
      <c r="D1560" s="1" t="s">
        <v>17</v>
      </c>
      <c r="E1560" s="1" t="s">
        <v>4102</v>
      </c>
      <c r="F1560" s="1" t="s">
        <v>4265</v>
      </c>
      <c r="G1560" s="39" t="s">
        <v>932</v>
      </c>
      <c r="H1560" s="1">
        <v>0</v>
      </c>
      <c r="I1560" s="1">
        <v>0</v>
      </c>
      <c r="J1560" s="39" t="s">
        <v>4252</v>
      </c>
      <c r="K1560" s="1">
        <v>0</v>
      </c>
      <c r="L1560" s="1">
        <v>0</v>
      </c>
      <c r="S1560" s="1" t="str">
        <f>IF(tblDados[[#This Row],[Mandante]]="","",TEXT(tblDados[[#This Row],[Data]],"aaaa-mm-dd")&amp;"|"&amp;TRIM(tblDados[[#This Row],[Mandante]])&amp;"|"&amp;TRIM(tblDados[[#This Row],[Visitante]]))</f>
        <v>2026-07-12|LDU Quito|Libertad (Ecuador)</v>
      </c>
      <c r="T1560">
        <f>IF($G1560="",0,IF(COUNTIF($S$2:$S3048,$S1560)=1,1,0))</f>
        <v>1</v>
      </c>
      <c r="U1560" s="19" t="str">
        <f>IF(tblDados[[#This Row],[Mandante]]="","",IF(COUNTIF(CadastroEquipes,TRIM(tblDados[[#This Row],[Mandante]]))&gt;0,"","⚠ Nome não cadastrado"))</f>
        <v/>
      </c>
      <c r="V1560" s="19" t="str">
        <f>IF(tblDados[[#This Row],[Visitante]]="","",IF(COUNTIF(CadastroEquipes,TRIM(tblDados[[#This Row],[Visitante]]))&gt;0,"","⚠ Nome não cadastrado"))</f>
        <v/>
      </c>
    </row>
    <row r="1561" spans="1:22" ht="14.4" x14ac:dyDescent="0.3">
      <c r="A1561" s="1" t="s">
        <v>4266</v>
      </c>
      <c r="B1561" s="102">
        <v>46172</v>
      </c>
      <c r="C1561" s="6">
        <v>0.66666666666666663</v>
      </c>
      <c r="D1561" s="1" t="s">
        <v>17</v>
      </c>
      <c r="E1561" s="1" t="s">
        <v>4102</v>
      </c>
      <c r="F1561" s="1" t="s">
        <v>4267</v>
      </c>
      <c r="G1561" s="39" t="s">
        <v>147</v>
      </c>
      <c r="H1561" s="1">
        <v>2</v>
      </c>
      <c r="I1561" s="1">
        <v>1</v>
      </c>
      <c r="J1561" s="39" t="s">
        <v>4252</v>
      </c>
      <c r="K1561" s="1">
        <v>1</v>
      </c>
      <c r="L1561" s="1">
        <v>2</v>
      </c>
      <c r="S1561" s="1" t="str">
        <f>IF(tblDados[[#This Row],[Mandante]]="","",TEXT(tblDados[[#This Row],[Data]],"aaaa-mm-dd")&amp;"|"&amp;TRIM(tblDados[[#This Row],[Mandante]])&amp;"|"&amp;TRIM(tblDados[[#This Row],[Visitante]]))</f>
        <v>2026-05-30|Manta FC|Libertad (Ecuador)</v>
      </c>
      <c r="T1561">
        <f>IF($G1561="",0,IF(COUNTIF($S$2:$S3049,$S1561)=1,1,0))</f>
        <v>1</v>
      </c>
      <c r="U1561" s="19" t="str">
        <f>IF(tblDados[[#This Row],[Mandante]]="","",IF(COUNTIF(CadastroEquipes,TRIM(tblDados[[#This Row],[Mandante]]))&gt;0,"","⚠ Nome não cadastrado"))</f>
        <v/>
      </c>
      <c r="V1561" s="19" t="str">
        <f>IF(tblDados[[#This Row],[Visitante]]="","",IF(COUNTIF(CadastroEquipes,TRIM(tblDados[[#This Row],[Visitante]]))&gt;0,"","⚠ Nome não cadastrado"))</f>
        <v/>
      </c>
    </row>
    <row r="1562" spans="1:22" ht="14.4" x14ac:dyDescent="0.3">
      <c r="A1562" s="1" t="s">
        <v>4268</v>
      </c>
      <c r="B1562" s="102">
        <v>46152</v>
      </c>
      <c r="C1562" s="6">
        <v>0.72916666666666663</v>
      </c>
      <c r="D1562" s="1" t="s">
        <v>17</v>
      </c>
      <c r="E1562" s="1" t="s">
        <v>4102</v>
      </c>
      <c r="F1562" s="1" t="s">
        <v>4269</v>
      </c>
      <c r="G1562" s="39" t="s">
        <v>4117</v>
      </c>
      <c r="H1562" s="1">
        <v>1</v>
      </c>
      <c r="I1562" s="1">
        <v>1</v>
      </c>
      <c r="J1562" s="39" t="s">
        <v>4252</v>
      </c>
      <c r="K1562" s="1">
        <v>1</v>
      </c>
      <c r="L1562" s="1">
        <v>1</v>
      </c>
      <c r="S1562" s="1" t="str">
        <f>IF(tblDados[[#This Row],[Mandante]]="","",TEXT(tblDados[[#This Row],[Data]],"aaaa-mm-dd")&amp;"|"&amp;TRIM(tblDados[[#This Row],[Mandante]])&amp;"|"&amp;TRIM(tblDados[[#This Row],[Visitante]]))</f>
        <v>2026-05-10|Emelec|Libertad (Ecuador)</v>
      </c>
      <c r="T1562">
        <f>IF($G1562="",0,IF(COUNTIF($S$2:$S3050,$S1562)=1,1,0))</f>
        <v>1</v>
      </c>
      <c r="U1562" s="19" t="str">
        <f>IF(tblDados[[#This Row],[Mandante]]="","",IF(COUNTIF(CadastroEquipes,TRIM(tblDados[[#This Row],[Mandante]]))&gt;0,"","⚠ Nome não cadastrado"))</f>
        <v/>
      </c>
      <c r="V1562" s="19" t="str">
        <f>IF(tblDados[[#This Row],[Visitante]]="","",IF(COUNTIF(CadastroEquipes,TRIM(tblDados[[#This Row],[Visitante]]))&gt;0,"","⚠ Nome não cadastrado"))</f>
        <v/>
      </c>
    </row>
    <row r="1563" spans="1:22" ht="14.4" x14ac:dyDescent="0.3">
      <c r="A1563" s="1" t="s">
        <v>4270</v>
      </c>
      <c r="B1563" s="102">
        <v>46143</v>
      </c>
      <c r="C1563" s="6">
        <v>0.875</v>
      </c>
      <c r="D1563" s="1" t="s">
        <v>17</v>
      </c>
      <c r="E1563" s="1" t="s">
        <v>4102</v>
      </c>
      <c r="F1563" s="1" t="s">
        <v>4271</v>
      </c>
      <c r="G1563" s="39" t="s">
        <v>4252</v>
      </c>
      <c r="H1563" s="1">
        <v>3</v>
      </c>
      <c r="I1563" s="1">
        <v>2</v>
      </c>
      <c r="J1563" s="39" t="s">
        <v>4120</v>
      </c>
      <c r="K1563" s="1">
        <v>2</v>
      </c>
      <c r="L1563" s="1">
        <v>3</v>
      </c>
      <c r="S1563" s="1" t="str">
        <f>IF(tblDados[[#This Row],[Mandante]]="","",TEXT(tblDados[[#This Row],[Data]],"aaaa-mm-dd")&amp;"|"&amp;TRIM(tblDados[[#This Row],[Mandante]])&amp;"|"&amp;TRIM(tblDados[[#This Row],[Visitante]]))</f>
        <v>2026-05-01|Libertad (Ecuador)|Aucas</v>
      </c>
      <c r="T1563">
        <f>IF($G1563="",0,IF(COUNTIF($S$2:$S3051,$S1563)=1,1,0))</f>
        <v>1</v>
      </c>
      <c r="U1563" s="19" t="str">
        <f>IF(tblDados[[#This Row],[Mandante]]="","",IF(COUNTIF(CadastroEquipes,TRIM(tblDados[[#This Row],[Mandante]]))&gt;0,"","⚠ Nome não cadastrado"))</f>
        <v/>
      </c>
      <c r="V1563" s="19" t="str">
        <f>IF(tblDados[[#This Row],[Visitante]]="","",IF(COUNTIF(CadastroEquipes,TRIM(tblDados[[#This Row],[Visitante]]))&gt;0,"","⚠ Nome não cadastrado"))</f>
        <v/>
      </c>
    </row>
    <row r="1564" spans="1:22" ht="14.4" x14ac:dyDescent="0.3">
      <c r="A1564" s="1" t="s">
        <v>4272</v>
      </c>
      <c r="B1564" s="102">
        <v>46235</v>
      </c>
      <c r="C1564" s="6">
        <v>0.66666666666666663</v>
      </c>
      <c r="D1564" s="1" t="s">
        <v>17</v>
      </c>
      <c r="E1564" s="1" t="s">
        <v>4102</v>
      </c>
      <c r="F1564" s="1" t="s">
        <v>4273</v>
      </c>
      <c r="G1564" s="39" t="s">
        <v>147</v>
      </c>
      <c r="H1564" s="1">
        <v>1</v>
      </c>
      <c r="I1564" s="1">
        <v>2</v>
      </c>
      <c r="J1564" s="39" t="s">
        <v>4123</v>
      </c>
      <c r="K1564" s="1">
        <v>2</v>
      </c>
      <c r="L1564" s="1">
        <v>1</v>
      </c>
      <c r="S1564" s="1" t="str">
        <f>IF(tblDados[[#This Row],[Mandante]]="","",TEXT(tblDados[[#This Row],[Data]],"aaaa-mm-dd")&amp;"|"&amp;TRIM(tblDados[[#This Row],[Mandante]])&amp;"|"&amp;TRIM(tblDados[[#This Row],[Visitante]]))</f>
        <v>2026-08-01|Manta FC|Mushuc Runa</v>
      </c>
      <c r="T1564">
        <f>IF($G1564="",0,IF(COUNTIF($S$2:$S3052,$S1564)=1,1,0))</f>
        <v>1</v>
      </c>
      <c r="U1564" s="19" t="str">
        <f>IF(tblDados[[#This Row],[Mandante]]="","",IF(COUNTIF(CadastroEquipes,TRIM(tblDados[[#This Row],[Mandante]]))&gt;0,"","⚠ Nome não cadastrado"))</f>
        <v/>
      </c>
      <c r="V1564" s="19" t="str">
        <f>IF(tblDados[[#This Row],[Visitante]]="","",IF(COUNTIF(CadastroEquipes,TRIM(tblDados[[#This Row],[Visitante]]))&gt;0,"","⚠ Nome não cadastrado"))</f>
        <v/>
      </c>
    </row>
    <row r="1565" spans="1:22" ht="14.4" x14ac:dyDescent="0.3">
      <c r="A1565" s="1" t="s">
        <v>4274</v>
      </c>
      <c r="B1565" s="102">
        <v>46226</v>
      </c>
      <c r="C1565" s="6">
        <v>0.875</v>
      </c>
      <c r="D1565" s="1" t="s">
        <v>17</v>
      </c>
      <c r="E1565" s="1" t="s">
        <v>4102</v>
      </c>
      <c r="F1565" s="1" t="s">
        <v>4275</v>
      </c>
      <c r="G1565" s="39" t="s">
        <v>4117</v>
      </c>
      <c r="H1565" s="1">
        <v>1</v>
      </c>
      <c r="I1565" s="1">
        <v>1</v>
      </c>
      <c r="J1565" s="39" t="s">
        <v>4123</v>
      </c>
      <c r="K1565" s="1">
        <v>1</v>
      </c>
      <c r="L1565" s="1">
        <v>1</v>
      </c>
      <c r="S1565" s="1" t="str">
        <f>IF(tblDados[[#This Row],[Mandante]]="","",TEXT(tblDados[[#This Row],[Data]],"aaaa-mm-dd")&amp;"|"&amp;TRIM(tblDados[[#This Row],[Mandante]])&amp;"|"&amp;TRIM(tblDados[[#This Row],[Visitante]]))</f>
        <v>2026-07-23|Emelec|Mushuc Runa</v>
      </c>
      <c r="T1565">
        <f>IF($G1565="",0,IF(COUNTIF($S$2:$S3053,$S1565)=1,1,0))</f>
        <v>1</v>
      </c>
      <c r="U1565" s="19" t="str">
        <f>IF(tblDados[[#This Row],[Mandante]]="","",IF(COUNTIF(CadastroEquipes,TRIM(tblDados[[#This Row],[Mandante]]))&gt;0,"","⚠ Nome não cadastrado"))</f>
        <v/>
      </c>
      <c r="V1565" s="19" t="str">
        <f>IF(tblDados[[#This Row],[Visitante]]="","",IF(COUNTIF(CadastroEquipes,TRIM(tblDados[[#This Row],[Visitante]]))&gt;0,"","⚠ Nome não cadastrado"))</f>
        <v/>
      </c>
    </row>
    <row r="1566" spans="1:22" ht="14.4" x14ac:dyDescent="0.3">
      <c r="A1566" s="1" t="s">
        <v>4276</v>
      </c>
      <c r="B1566" s="102">
        <v>46223</v>
      </c>
      <c r="C1566" s="6">
        <v>0.66666666666666663</v>
      </c>
      <c r="D1566" s="1" t="s">
        <v>17</v>
      </c>
      <c r="E1566" s="1" t="s">
        <v>4102</v>
      </c>
      <c r="F1566" s="1" t="s">
        <v>4277</v>
      </c>
      <c r="G1566" s="39" t="s">
        <v>4123</v>
      </c>
      <c r="H1566" s="1">
        <v>2</v>
      </c>
      <c r="I1566" s="1">
        <v>1</v>
      </c>
      <c r="J1566" s="39" t="s">
        <v>4111</v>
      </c>
      <c r="K1566" s="1">
        <v>1</v>
      </c>
      <c r="L1566" s="1">
        <v>2</v>
      </c>
      <c r="S1566" s="1" t="str">
        <f>IF(tblDados[[#This Row],[Mandante]]="","",TEXT(tblDados[[#This Row],[Data]],"aaaa-mm-dd")&amp;"|"&amp;TRIM(tblDados[[#This Row],[Mandante]])&amp;"|"&amp;TRIM(tblDados[[#This Row],[Visitante]]))</f>
        <v>2026-07-20|Mushuc Runa|Orense</v>
      </c>
      <c r="T1566">
        <f>IF($G1566="",0,IF(COUNTIF($S$2:$S3054,$S1566)=1,1,0))</f>
        <v>1</v>
      </c>
      <c r="U1566" s="19" t="str">
        <f>IF(tblDados[[#This Row],[Mandante]]="","",IF(COUNTIF(CadastroEquipes,TRIM(tblDados[[#This Row],[Mandante]]))&gt;0,"","⚠ Nome não cadastrado"))</f>
        <v/>
      </c>
      <c r="V1566" s="19" t="str">
        <f>IF(tblDados[[#This Row],[Visitante]]="","",IF(COUNTIF(CadastroEquipes,TRIM(tblDados[[#This Row],[Visitante]]))&gt;0,"","⚠ Nome não cadastrado"))</f>
        <v/>
      </c>
    </row>
    <row r="1567" spans="1:22" ht="14.4" x14ac:dyDescent="0.3">
      <c r="A1567" s="1" t="s">
        <v>4278</v>
      </c>
      <c r="B1567" s="102">
        <v>46165</v>
      </c>
      <c r="C1567" s="6">
        <v>0.66666666666666663</v>
      </c>
      <c r="D1567" s="1" t="s">
        <v>17</v>
      </c>
      <c r="E1567" s="1" t="s">
        <v>4102</v>
      </c>
      <c r="F1567" s="1" t="s">
        <v>4279</v>
      </c>
      <c r="G1567" s="39" t="s">
        <v>4123</v>
      </c>
      <c r="H1567" s="1">
        <v>2</v>
      </c>
      <c r="I1567" s="1">
        <v>2</v>
      </c>
      <c r="J1567" s="39" t="s">
        <v>4126</v>
      </c>
      <c r="K1567" s="1">
        <v>2</v>
      </c>
      <c r="L1567" s="1">
        <v>2</v>
      </c>
      <c r="S1567" s="1" t="str">
        <f>IF(tblDados[[#This Row],[Mandante]]="","",TEXT(tblDados[[#This Row],[Data]],"aaaa-mm-dd")&amp;"|"&amp;TRIM(tblDados[[#This Row],[Mandante]])&amp;"|"&amp;TRIM(tblDados[[#This Row],[Visitante]]))</f>
        <v>2026-05-23|Mushuc Runa|Guayaquil City FC</v>
      </c>
      <c r="T1567">
        <f>IF($G1567="",0,IF(COUNTIF($S$2:$S3055,$S1567)=1,1,0))</f>
        <v>1</v>
      </c>
      <c r="U1567" s="19" t="str">
        <f>IF(tblDados[[#This Row],[Mandante]]="","",IF(COUNTIF(CadastroEquipes,TRIM(tblDados[[#This Row],[Mandante]]))&gt;0,"","⚠ Nome não cadastrado"))</f>
        <v/>
      </c>
      <c r="V1567" s="19" t="str">
        <f>IF(tblDados[[#This Row],[Visitante]]="","",IF(COUNTIF(CadastroEquipes,TRIM(tblDados[[#This Row],[Visitante]]))&gt;0,"","⚠ Nome não cadastrado"))</f>
        <v/>
      </c>
    </row>
    <row r="1568" spans="1:22" ht="14.4" x14ac:dyDescent="0.3">
      <c r="A1568" s="1" t="s">
        <v>4280</v>
      </c>
      <c r="B1568" s="102">
        <v>46145</v>
      </c>
      <c r="C1568" s="6">
        <v>0.72916666666666663</v>
      </c>
      <c r="D1568" s="1" t="s">
        <v>17</v>
      </c>
      <c r="E1568" s="1" t="s">
        <v>4102</v>
      </c>
      <c r="F1568" s="1" t="s">
        <v>4281</v>
      </c>
      <c r="G1568" s="39" t="s">
        <v>931</v>
      </c>
      <c r="H1568" s="1">
        <v>1</v>
      </c>
      <c r="I1568" s="1">
        <v>0</v>
      </c>
      <c r="J1568" s="39" t="s">
        <v>4123</v>
      </c>
      <c r="K1568" s="1">
        <v>0</v>
      </c>
      <c r="L1568" s="1">
        <v>1</v>
      </c>
      <c r="S1568" s="1" t="str">
        <f>IF(tblDados[[#This Row],[Mandante]]="","",TEXT(tblDados[[#This Row],[Data]],"aaaa-mm-dd")&amp;"|"&amp;TRIM(tblDados[[#This Row],[Mandante]])&amp;"|"&amp;TRIM(tblDados[[#This Row],[Visitante]]))</f>
        <v>2026-05-03|Delfín SC|Mushuc Runa</v>
      </c>
      <c r="T1568">
        <f>IF($G1568="",0,IF(COUNTIF($S$2:$S3056,$S1568)=1,1,0))</f>
        <v>1</v>
      </c>
      <c r="U1568" s="19" t="str">
        <f>IF(tblDados[[#This Row],[Mandante]]="","",IF(COUNTIF(CadastroEquipes,TRIM(tblDados[[#This Row],[Mandante]]))&gt;0,"","⚠ Nome não cadastrado"))</f>
        <v/>
      </c>
      <c r="V1568" s="19" t="str">
        <f>IF(tblDados[[#This Row],[Visitante]]="","",IF(COUNTIF(CadastroEquipes,TRIM(tblDados[[#This Row],[Visitante]]))&gt;0,"","⚠ Nome não cadastrado"))</f>
        <v/>
      </c>
    </row>
    <row r="1569" spans="1:22" ht="14.4" x14ac:dyDescent="0.3">
      <c r="A1569" s="1" t="s">
        <v>4282</v>
      </c>
      <c r="B1569" s="102">
        <v>46222</v>
      </c>
      <c r="C1569" s="6">
        <v>0.78125</v>
      </c>
      <c r="D1569" s="1" t="s">
        <v>17</v>
      </c>
      <c r="E1569" s="1" t="s">
        <v>4102</v>
      </c>
      <c r="F1569" s="1" t="s">
        <v>4283</v>
      </c>
      <c r="G1569" s="39" t="s">
        <v>4126</v>
      </c>
      <c r="H1569" s="1">
        <v>1</v>
      </c>
      <c r="I1569" s="1">
        <v>0</v>
      </c>
      <c r="J1569" s="39" t="s">
        <v>147</v>
      </c>
      <c r="K1569" s="1">
        <v>0</v>
      </c>
      <c r="L1569" s="1">
        <v>1</v>
      </c>
      <c r="S1569" s="1" t="str">
        <f>IF(tblDados[[#This Row],[Mandante]]="","",TEXT(tblDados[[#This Row],[Data]],"aaaa-mm-dd")&amp;"|"&amp;TRIM(tblDados[[#This Row],[Mandante]])&amp;"|"&amp;TRIM(tblDados[[#This Row],[Visitante]]))</f>
        <v>2026-07-19|Guayaquil City FC|Manta FC</v>
      </c>
      <c r="T1569">
        <f>IF($G1569="",0,IF(COUNTIF($S$2:$S3057,$S1569)=1,1,0))</f>
        <v>1</v>
      </c>
      <c r="U1569" s="19" t="str">
        <f>IF(tblDados[[#This Row],[Mandante]]="","",IF(COUNTIF(CadastroEquipes,TRIM(tblDados[[#This Row],[Mandante]]))&gt;0,"","⚠ Nome não cadastrado"))</f>
        <v/>
      </c>
      <c r="V1569" s="19" t="str">
        <f>IF(tblDados[[#This Row],[Visitante]]="","",IF(COUNTIF(CadastroEquipes,TRIM(tblDados[[#This Row],[Visitante]]))&gt;0,"","⚠ Nome não cadastrado"))</f>
        <v/>
      </c>
    </row>
    <row r="1570" spans="1:22" ht="14.4" x14ac:dyDescent="0.3">
      <c r="A1570" s="1" t="s">
        <v>4284</v>
      </c>
      <c r="B1570" s="102">
        <v>46214</v>
      </c>
      <c r="C1570" s="6">
        <v>0.83333333333333337</v>
      </c>
      <c r="D1570" s="1" t="s">
        <v>17</v>
      </c>
      <c r="E1570" s="1" t="s">
        <v>4102</v>
      </c>
      <c r="F1570" s="1" t="s">
        <v>4285</v>
      </c>
      <c r="G1570" s="39" t="s">
        <v>4126</v>
      </c>
      <c r="H1570" s="1">
        <v>2</v>
      </c>
      <c r="I1570" s="1">
        <v>1</v>
      </c>
      <c r="J1570" s="39" t="s">
        <v>931</v>
      </c>
      <c r="K1570" s="1">
        <v>1</v>
      </c>
      <c r="L1570" s="1">
        <v>2</v>
      </c>
      <c r="S1570" s="1" t="str">
        <f>IF(tblDados[[#This Row],[Mandante]]="","",TEXT(tblDados[[#This Row],[Data]],"aaaa-mm-dd")&amp;"|"&amp;TRIM(tblDados[[#This Row],[Mandante]])&amp;"|"&amp;TRIM(tblDados[[#This Row],[Visitante]]))</f>
        <v>2026-07-11|Guayaquil City FC|Delfín SC</v>
      </c>
      <c r="T1570">
        <f>IF($G1570="",0,IF(COUNTIF($S$2:$S3058,$S1570)=1,1,0))</f>
        <v>1</v>
      </c>
      <c r="U1570" s="19" t="str">
        <f>IF(tblDados[[#This Row],[Mandante]]="","",IF(COUNTIF(CadastroEquipes,TRIM(tblDados[[#This Row],[Mandante]]))&gt;0,"","⚠ Nome não cadastrado"))</f>
        <v/>
      </c>
      <c r="V1570" s="19" t="str">
        <f>IF(tblDados[[#This Row],[Visitante]]="","",IF(COUNTIF(CadastroEquipes,TRIM(tblDados[[#This Row],[Visitante]]))&gt;0,"","⚠ Nome não cadastrado"))</f>
        <v/>
      </c>
    </row>
    <row r="1571" spans="1:22" ht="14.4" x14ac:dyDescent="0.3">
      <c r="A1571" s="1" t="s">
        <v>4286</v>
      </c>
      <c r="B1571" s="102">
        <v>46160</v>
      </c>
      <c r="C1571" s="6">
        <v>0.875</v>
      </c>
      <c r="D1571" s="1" t="s">
        <v>17</v>
      </c>
      <c r="E1571" s="1" t="s">
        <v>4102</v>
      </c>
      <c r="F1571" s="1" t="s">
        <v>4287</v>
      </c>
      <c r="G1571" s="39" t="s">
        <v>4126</v>
      </c>
      <c r="H1571" s="1">
        <v>0</v>
      </c>
      <c r="I1571" s="1">
        <v>1</v>
      </c>
      <c r="J1571" s="39" t="s">
        <v>4111</v>
      </c>
      <c r="K1571" s="1">
        <v>1</v>
      </c>
      <c r="L1571" s="1">
        <v>0</v>
      </c>
      <c r="S1571" s="1" t="str">
        <f>IF(tblDados[[#This Row],[Mandante]]="","",TEXT(tblDados[[#This Row],[Data]],"aaaa-mm-dd")&amp;"|"&amp;TRIM(tblDados[[#This Row],[Mandante]])&amp;"|"&amp;TRIM(tblDados[[#This Row],[Visitante]]))</f>
        <v>2026-05-18|Guayaquil City FC|Orense</v>
      </c>
      <c r="T1571">
        <f>IF($G1571="",0,IF(COUNTIF($S$2:$S3059,$S1571)=1,1,0))</f>
        <v>1</v>
      </c>
      <c r="U1571" s="19" t="str">
        <f>IF(tblDados[[#This Row],[Mandante]]="","",IF(COUNTIF(CadastroEquipes,TRIM(tblDados[[#This Row],[Mandante]]))&gt;0,"","⚠ Nome não cadastrado"))</f>
        <v/>
      </c>
      <c r="V1571" s="19" t="str">
        <f>IF(tblDados[[#This Row],[Visitante]]="","",IF(COUNTIF(CadastroEquipes,TRIM(tblDados[[#This Row],[Visitante]]))&gt;0,"","⚠ Nome não cadastrado"))</f>
        <v/>
      </c>
    </row>
    <row r="1572" spans="1:22" x14ac:dyDescent="0.3">
      <c r="A1572" s="1" t="s">
        <v>4288</v>
      </c>
      <c r="B1572" s="102">
        <v>46243</v>
      </c>
      <c r="C1572" s="6">
        <v>0.79166666666666663</v>
      </c>
      <c r="D1572" s="1" t="s">
        <v>17</v>
      </c>
      <c r="E1572" s="1" t="s">
        <v>4102</v>
      </c>
      <c r="F1572" s="1" t="s">
        <v>4289</v>
      </c>
      <c r="G1572" s="39" t="s">
        <v>4126</v>
      </c>
      <c r="H1572" s="1">
        <v>0</v>
      </c>
      <c r="I1572" s="1">
        <v>0</v>
      </c>
      <c r="J1572" s="39" t="s">
        <v>4117</v>
      </c>
      <c r="K1572" s="1">
        <v>0</v>
      </c>
      <c r="L1572" s="1">
        <v>0</v>
      </c>
      <c r="S1572" s="1" t="str">
        <f>IF(tblDados[[#This Row],[Mandante]]="","",TEXT(tblDados[[#This Row],[Data]],"aaaa-mm-dd")&amp;"|"&amp;TRIM(tblDados[[#This Row],[Mandante]])&amp;"|"&amp;TRIM(tblDados[[#This Row],[Visitante]]))</f>
        <v>2026-08-09|Guayaquil City FC|Emelec</v>
      </c>
      <c r="T1572" s="1">
        <f>IF($G1572="",0,IF(COUNTIF($S$2:$S3060,$S1572)=1,1,0))</f>
        <v>1</v>
      </c>
      <c r="U1572" s="19" t="str">
        <f>IF(tblDados[[#This Row],[Mandante]]="","",IF(COUNTIF(CadastroEquipes,TRIM(tblDados[[#This Row],[Mandante]]))&gt;0,"","⚠ Nome não cadastrado"))</f>
        <v/>
      </c>
      <c r="V1572" s="19" t="str">
        <f>IF(tblDados[[#This Row],[Visitante]]="","",IF(COUNTIF(CadastroEquipes,TRIM(tblDados[[#This Row],[Visitante]]))&gt;0,"","⚠ Nome não cadastrado"))</f>
        <v/>
      </c>
    </row>
    <row r="1573" spans="1:22" x14ac:dyDescent="0.3">
      <c r="A1573" s="1" t="s">
        <v>4290</v>
      </c>
      <c r="B1573" s="102">
        <v>46219</v>
      </c>
      <c r="C1573" s="6">
        <v>0.70833333333333337</v>
      </c>
      <c r="D1573" s="1" t="s">
        <v>17</v>
      </c>
      <c r="E1573" s="1" t="s">
        <v>4102</v>
      </c>
      <c r="F1573" s="1" t="s">
        <v>4291</v>
      </c>
      <c r="G1573" s="39" t="s">
        <v>4111</v>
      </c>
      <c r="H1573" s="1">
        <v>0</v>
      </c>
      <c r="I1573" s="1">
        <v>2</v>
      </c>
      <c r="J1573" s="39" t="s">
        <v>4117</v>
      </c>
      <c r="K1573" s="1">
        <v>2</v>
      </c>
      <c r="L1573" s="1">
        <v>0</v>
      </c>
      <c r="S1573" s="1" t="str">
        <f>IF(tblDados[[#This Row],[Mandante]]="","",TEXT(tblDados[[#This Row],[Data]],"aaaa-mm-dd")&amp;"|"&amp;TRIM(tblDados[[#This Row],[Mandante]])&amp;"|"&amp;TRIM(tblDados[[#This Row],[Visitante]]))</f>
        <v>2026-07-16|Orense|Emelec</v>
      </c>
      <c r="T1573" s="1">
        <f>IF($G1573="",0,IF(COUNTIF($S$2:$S3061,$S1573)=1,1,0))</f>
        <v>1</v>
      </c>
      <c r="U1573" s="19" t="str">
        <f>IF(tblDados[[#This Row],[Mandante]]="","",IF(COUNTIF(CadastroEquipes,TRIM(tblDados[[#This Row],[Mandante]]))&gt;0,"","⚠ Nome não cadastrado"))</f>
        <v/>
      </c>
      <c r="V1573" s="19" t="str">
        <f>IF(tblDados[[#This Row],[Visitante]]="","",IF(COUNTIF(CadastroEquipes,TRIM(tblDados[[#This Row],[Visitante]]))&gt;0,"","⚠ Nome não cadastrado"))</f>
        <v/>
      </c>
    </row>
    <row r="1574" spans="1:22" x14ac:dyDescent="0.3">
      <c r="A1574" s="1" t="s">
        <v>4292</v>
      </c>
      <c r="B1574" s="102">
        <v>46208</v>
      </c>
      <c r="C1574" s="6">
        <v>0.625</v>
      </c>
      <c r="D1574" s="1" t="s">
        <v>17</v>
      </c>
      <c r="E1574" s="1" t="s">
        <v>4102</v>
      </c>
      <c r="F1574" s="1" t="s">
        <v>4293</v>
      </c>
      <c r="G1574" s="39" t="s">
        <v>931</v>
      </c>
      <c r="H1574" s="1">
        <v>1</v>
      </c>
      <c r="I1574" s="1">
        <v>1</v>
      </c>
      <c r="J1574" s="39" t="s">
        <v>4117</v>
      </c>
      <c r="K1574" s="1">
        <v>1</v>
      </c>
      <c r="L1574" s="1">
        <v>1</v>
      </c>
      <c r="S1574" s="1" t="str">
        <f>IF(tblDados[[#This Row],[Mandante]]="","",TEXT(tblDados[[#This Row],[Data]],"aaaa-mm-dd")&amp;"|"&amp;TRIM(tblDados[[#This Row],[Mandante]])&amp;"|"&amp;TRIM(tblDados[[#This Row],[Visitante]]))</f>
        <v>2026-07-05|Delfín SC|Emelec</v>
      </c>
      <c r="T1574" s="1">
        <f>IF($G1574="",0,IF(COUNTIF($S$2:$S3062,$S1574)=1,1,0))</f>
        <v>1</v>
      </c>
      <c r="U1574" s="19" t="str">
        <f>IF(tblDados[[#This Row],[Mandante]]="","",IF(COUNTIF(CadastroEquipes,TRIM(tblDados[[#This Row],[Mandante]]))&gt;0,"","⚠ Nome não cadastrado"))</f>
        <v/>
      </c>
      <c r="V1574" s="19" t="str">
        <f>IF(tblDados[[#This Row],[Visitante]]="","",IF(COUNTIF(CadastroEquipes,TRIM(tblDados[[#This Row],[Visitante]]))&gt;0,"","⚠ Nome não cadastrado"))</f>
        <v/>
      </c>
    </row>
    <row r="1575" spans="1:22" x14ac:dyDescent="0.3">
      <c r="A1575" s="1" t="s">
        <v>4294</v>
      </c>
      <c r="B1575" s="102">
        <v>46159</v>
      </c>
      <c r="C1575" s="6">
        <v>0.84027777777777779</v>
      </c>
      <c r="D1575" s="1" t="s">
        <v>17</v>
      </c>
      <c r="E1575" s="1" t="s">
        <v>4102</v>
      </c>
      <c r="F1575" s="1" t="s">
        <v>4295</v>
      </c>
      <c r="G1575" s="39" t="s">
        <v>147</v>
      </c>
      <c r="H1575" s="1">
        <v>0</v>
      </c>
      <c r="I1575" s="1">
        <v>0</v>
      </c>
      <c r="J1575" s="39" t="s">
        <v>4117</v>
      </c>
      <c r="K1575" s="1">
        <v>0</v>
      </c>
      <c r="L1575" s="1">
        <v>0</v>
      </c>
      <c r="S1575" s="1" t="str">
        <f>IF(tblDados[[#This Row],[Mandante]]="","",TEXT(tblDados[[#This Row],[Data]],"aaaa-mm-dd")&amp;"|"&amp;TRIM(tblDados[[#This Row],[Mandante]])&amp;"|"&amp;TRIM(tblDados[[#This Row],[Visitante]]))</f>
        <v>2026-05-17|Manta FC|Emelec</v>
      </c>
      <c r="T1575" s="1">
        <f>IF($G1575="",0,IF(COUNTIF($S$2:$S3063,$S1575)=1,1,0))</f>
        <v>1</v>
      </c>
      <c r="U1575" s="19" t="str">
        <f>IF(tblDados[[#This Row],[Mandante]]="","",IF(COUNTIF(CadastroEquipes,TRIM(tblDados[[#This Row],[Mandante]]))&gt;0,"","⚠ Nome não cadastrado"))</f>
        <v/>
      </c>
      <c r="V1575" s="19" t="str">
        <f>IF(tblDados[[#This Row],[Visitante]]="","",IF(COUNTIF(CadastroEquipes,TRIM(tblDados[[#This Row],[Visitante]]))&gt;0,"","⚠ Nome não cadastrado"))</f>
        <v/>
      </c>
    </row>
    <row r="1576" spans="1:22" x14ac:dyDescent="0.3">
      <c r="A1576" s="1" t="s">
        <v>4296</v>
      </c>
      <c r="B1576" s="102">
        <v>46217</v>
      </c>
      <c r="C1576" s="6">
        <v>0.875</v>
      </c>
      <c r="D1576" s="1" t="s">
        <v>17</v>
      </c>
      <c r="E1576" s="1" t="s">
        <v>4102</v>
      </c>
      <c r="F1576" s="1" t="s">
        <v>4297</v>
      </c>
      <c r="G1576" s="39" t="s">
        <v>147</v>
      </c>
      <c r="H1576" s="1">
        <v>0</v>
      </c>
      <c r="I1576" s="1">
        <v>1</v>
      </c>
      <c r="J1576" s="39" t="s">
        <v>931</v>
      </c>
      <c r="K1576" s="1">
        <v>1</v>
      </c>
      <c r="L1576" s="1">
        <v>0</v>
      </c>
      <c r="S1576" s="1" t="str">
        <f>IF(tblDados[[#This Row],[Mandante]]="","",TEXT(tblDados[[#This Row],[Data]],"aaaa-mm-dd")&amp;"|"&amp;TRIM(tblDados[[#This Row],[Mandante]])&amp;"|"&amp;TRIM(tblDados[[#This Row],[Visitante]]))</f>
        <v>2026-07-14|Manta FC|Delfín SC</v>
      </c>
      <c r="T1576" s="1">
        <f>IF($G1576="",0,IF(COUNTIF($S$2:$S3064,$S1576)=1,1,0))</f>
        <v>1</v>
      </c>
      <c r="U1576" s="19" t="str">
        <f>IF(tblDados[[#This Row],[Mandante]]="","",IF(COUNTIF(CadastroEquipes,TRIM(tblDados[[#This Row],[Mandante]]))&gt;0,"","⚠ Nome não cadastrado"))</f>
        <v/>
      </c>
      <c r="V1576" s="19" t="str">
        <f>IF(tblDados[[#This Row],[Visitante]]="","",IF(COUNTIF(CadastroEquipes,TRIM(tblDados[[#This Row],[Visitante]]))&gt;0,"","⚠ Nome não cadastrado"))</f>
        <v/>
      </c>
    </row>
    <row r="1577" spans="1:22" x14ac:dyDescent="0.3">
      <c r="A1577" s="1" t="s">
        <v>4298</v>
      </c>
      <c r="B1577" s="102">
        <v>46151</v>
      </c>
      <c r="C1577" s="6">
        <v>0.64583333333333337</v>
      </c>
      <c r="D1577" s="1" t="s">
        <v>17</v>
      </c>
      <c r="E1577" s="1" t="s">
        <v>4102</v>
      </c>
      <c r="F1577" s="1" t="s">
        <v>4299</v>
      </c>
      <c r="G1577" s="39" t="s">
        <v>4114</v>
      </c>
      <c r="H1577" s="1">
        <v>4</v>
      </c>
      <c r="I1577" s="1">
        <v>0</v>
      </c>
      <c r="J1577" s="39" t="s">
        <v>931</v>
      </c>
      <c r="K1577" s="1">
        <v>0</v>
      </c>
      <c r="L1577" s="1">
        <v>4</v>
      </c>
      <c r="S1577" s="1" t="str">
        <f>IF(tblDados[[#This Row],[Mandante]]="","",TEXT(tblDados[[#This Row],[Data]],"aaaa-mm-dd")&amp;"|"&amp;TRIM(tblDados[[#This Row],[Mandante]])&amp;"|"&amp;TRIM(tblDados[[#This Row],[Visitante]]))</f>
        <v>2026-05-09|Técnico Universitario|Delfín SC</v>
      </c>
      <c r="T1577" s="1">
        <f>IF($G1577="",0,IF(COUNTIF($S$2:$S3065,$S1577)=1,1,0))</f>
        <v>1</v>
      </c>
      <c r="U1577" s="19" t="str">
        <f>IF(tblDados[[#This Row],[Mandante]]="","",IF(COUNTIF(CadastroEquipes,TRIM(tblDados[[#This Row],[Mandante]]))&gt;0,"","⚠ Nome não cadastrado"))</f>
        <v/>
      </c>
      <c r="V1577" s="19" t="str">
        <f>IF(tblDados[[#This Row],[Visitante]]="","",IF(COUNTIF(CadastroEquipes,TRIM(tblDados[[#This Row],[Visitante]]))&gt;0,"","⚠ Nome não cadastrado"))</f>
        <v/>
      </c>
    </row>
    <row r="1578" spans="1:22" x14ac:dyDescent="0.3">
      <c r="A1578" s="1" t="s">
        <v>4300</v>
      </c>
      <c r="B1578" s="102">
        <v>46228</v>
      </c>
      <c r="C1578" s="6">
        <v>0.875</v>
      </c>
      <c r="D1578" s="1" t="s">
        <v>17</v>
      </c>
      <c r="E1578" s="1" t="s">
        <v>4102</v>
      </c>
      <c r="F1578" s="1" t="s">
        <v>4301</v>
      </c>
      <c r="G1578" s="39" t="s">
        <v>4114</v>
      </c>
      <c r="H1578" s="1">
        <v>1</v>
      </c>
      <c r="I1578" s="1">
        <v>0</v>
      </c>
      <c r="J1578" s="39" t="s">
        <v>147</v>
      </c>
      <c r="K1578" s="1">
        <v>0</v>
      </c>
      <c r="L1578" s="1">
        <v>1</v>
      </c>
      <c r="S1578" s="1" t="str">
        <f>IF(tblDados[[#This Row],[Mandante]]="","",TEXT(tblDados[[#This Row],[Data]],"aaaa-mm-dd")&amp;"|"&amp;TRIM(tblDados[[#This Row],[Mandante]])&amp;"|"&amp;TRIM(tblDados[[#This Row],[Visitante]]))</f>
        <v>2026-07-25|Técnico Universitario|Manta FC</v>
      </c>
      <c r="T1578" s="1">
        <f>IF($G1578="",0,IF(COUNTIF($S$2:$S3066,$S1578)=1,1,0))</f>
        <v>1</v>
      </c>
      <c r="U1578" s="19" t="str">
        <f>IF(tblDados[[#This Row],[Mandante]]="","",IF(COUNTIF(CadastroEquipes,TRIM(tblDados[[#This Row],[Mandante]]))&gt;0,"","⚠ Nome não cadastrado"))</f>
        <v/>
      </c>
      <c r="V1578" s="19" t="str">
        <f>IF(tblDados[[#This Row],[Visitante]]="","",IF(COUNTIF(CadastroEquipes,TRIM(tblDados[[#This Row],[Visitante]]))&gt;0,"","⚠ Nome não cadastrado"))</f>
        <v/>
      </c>
    </row>
    <row r="1579" spans="1:22" x14ac:dyDescent="0.3">
      <c r="A1579" s="1" t="s">
        <v>4302</v>
      </c>
      <c r="B1579" s="102">
        <v>46209</v>
      </c>
      <c r="C1579" s="6">
        <v>0.875</v>
      </c>
      <c r="D1579" s="1" t="s">
        <v>17</v>
      </c>
      <c r="E1579" s="1" t="s">
        <v>4102</v>
      </c>
      <c r="F1579" s="1" t="s">
        <v>4303</v>
      </c>
      <c r="G1579" s="39" t="s">
        <v>4111</v>
      </c>
      <c r="H1579" s="1">
        <v>1</v>
      </c>
      <c r="I1579" s="1">
        <v>2</v>
      </c>
      <c r="J1579" s="39" t="s">
        <v>4114</v>
      </c>
      <c r="K1579" s="1">
        <v>2</v>
      </c>
      <c r="L1579" s="1">
        <v>1</v>
      </c>
      <c r="S1579" s="1" t="str">
        <f>IF(tblDados[[#This Row],[Mandante]]="","",TEXT(tblDados[[#This Row],[Data]],"aaaa-mm-dd")&amp;"|"&amp;TRIM(tblDados[[#This Row],[Mandante]])&amp;"|"&amp;TRIM(tblDados[[#This Row],[Visitante]]))</f>
        <v>2026-07-06|Orense|Técnico Universitario</v>
      </c>
      <c r="T1579" s="1">
        <f>IF($G1579="",0,IF(COUNTIF($S$2:$S3067,$S1579)=1,1,0))</f>
        <v>1</v>
      </c>
      <c r="U1579" s="19" t="str">
        <f>IF(tblDados[[#This Row],[Mandante]]="","",IF(COUNTIF(CadastroEquipes,TRIM(tblDados[[#This Row],[Mandante]]))&gt;0,"","⚠ Nome não cadastrado"))</f>
        <v/>
      </c>
      <c r="V1579" s="19" t="str">
        <f>IF(tblDados[[#This Row],[Visitante]]="","",IF(COUNTIF(CadastroEquipes,TRIM(tblDados[[#This Row],[Visitante]]))&gt;0,"","⚠ Nome não cadastrado"))</f>
        <v/>
      </c>
    </row>
    <row r="1580" spans="1:22" x14ac:dyDescent="0.3">
      <c r="A1580" s="1" t="s">
        <v>4304</v>
      </c>
      <c r="B1580" s="102">
        <v>46243</v>
      </c>
      <c r="C1580" s="6">
        <v>0.75</v>
      </c>
      <c r="D1580" s="1" t="s">
        <v>17</v>
      </c>
      <c r="E1580" s="1" t="s">
        <v>4102</v>
      </c>
      <c r="F1580" s="1" t="s">
        <v>4305</v>
      </c>
      <c r="G1580" s="39" t="s">
        <v>931</v>
      </c>
      <c r="H1580" s="1">
        <v>1</v>
      </c>
      <c r="I1580" s="1">
        <v>1</v>
      </c>
      <c r="J1580" s="39" t="s">
        <v>4111</v>
      </c>
      <c r="K1580" s="1">
        <v>1</v>
      </c>
      <c r="L1580" s="1">
        <v>1</v>
      </c>
      <c r="S1580" s="1" t="str">
        <f>IF(tblDados[[#This Row],[Mandante]]="","",TEXT(tblDados[[#This Row],[Data]],"aaaa-mm-dd")&amp;"|"&amp;TRIM(tblDados[[#This Row],[Mandante]])&amp;"|"&amp;TRIM(tblDados[[#This Row],[Visitante]]))</f>
        <v>2026-08-09|Delfín SC|Orense</v>
      </c>
      <c r="T1580" s="1">
        <f>IF($G1580="",0,IF(COUNTIF($S$2:$S3068,$S1580)=1,1,0))</f>
        <v>1</v>
      </c>
      <c r="U1580" s="19" t="str">
        <f>IF(tblDados[[#This Row],[Mandante]]="","",IF(COUNTIF(CadastroEquipes,TRIM(tblDados[[#This Row],[Mandante]]))&gt;0,"","⚠ Nome não cadastrado"))</f>
        <v/>
      </c>
      <c r="V1580" s="19" t="str">
        <f>IF(tblDados[[#This Row],[Visitante]]="","",IF(COUNTIF(CadastroEquipes,TRIM(tblDados[[#This Row],[Visitante]]))&gt;0,"","⚠ Nome não cadastrado"))</f>
        <v/>
      </c>
    </row>
    <row r="1581" spans="1:22" x14ac:dyDescent="0.3">
      <c r="A1581" s="1" t="s">
        <v>4306</v>
      </c>
      <c r="B1581" s="102">
        <v>46214</v>
      </c>
      <c r="C1581" s="6">
        <v>0.58333333333333337</v>
      </c>
      <c r="D1581" s="1" t="s">
        <v>17</v>
      </c>
      <c r="E1581" s="1" t="s">
        <v>4102</v>
      </c>
      <c r="F1581" s="1" t="s">
        <v>4307</v>
      </c>
      <c r="G1581" s="39" t="s">
        <v>147</v>
      </c>
      <c r="H1581" s="1">
        <v>0</v>
      </c>
      <c r="I1581" s="1">
        <v>0</v>
      </c>
      <c r="J1581" s="39" t="s">
        <v>4111</v>
      </c>
      <c r="K1581" s="1">
        <v>0</v>
      </c>
      <c r="L1581" s="1">
        <v>0</v>
      </c>
      <c r="S1581" s="1" t="str">
        <f>IF(tblDados[[#This Row],[Mandante]]="","",TEXT(tblDados[[#This Row],[Data]],"aaaa-mm-dd")&amp;"|"&amp;TRIM(tblDados[[#This Row],[Mandante]])&amp;"|"&amp;TRIM(tblDados[[#This Row],[Visitante]]))</f>
        <v>2026-07-11|Manta FC|Orense</v>
      </c>
      <c r="T1581" s="1">
        <f>IF($G1581="",0,IF(COUNTIF($S$2:$S3069,$S1581)=1,1,0))</f>
        <v>1</v>
      </c>
      <c r="U1581" s="19" t="str">
        <f>IF(tblDados[[#This Row],[Mandante]]="","",IF(COUNTIF(CadastroEquipes,TRIM(tblDados[[#This Row],[Mandante]]))&gt;0,"","⚠ Nome não cadastrado"))</f>
        <v/>
      </c>
      <c r="V1581" s="19" t="str">
        <f>IF(tblDados[[#This Row],[Visitante]]="","",IF(COUNTIF(CadastroEquipes,TRIM(tblDados[[#This Row],[Visitante]]))&gt;0,"","⚠ Nome não cadastrado"))</f>
        <v/>
      </c>
    </row>
    <row r="1582" spans="1:22" x14ac:dyDescent="0.3">
      <c r="A1582" s="1" t="s">
        <v>4308</v>
      </c>
      <c r="B1582" s="102">
        <v>46144</v>
      </c>
      <c r="C1582" s="6">
        <v>0.875</v>
      </c>
      <c r="D1582" s="1" t="s">
        <v>17</v>
      </c>
      <c r="E1582" s="1" t="s">
        <v>4102</v>
      </c>
      <c r="F1582" s="1" t="s">
        <v>4309</v>
      </c>
      <c r="G1582" s="39" t="s">
        <v>4133</v>
      </c>
      <c r="H1582" s="1">
        <v>1</v>
      </c>
      <c r="I1582" s="1">
        <v>1</v>
      </c>
      <c r="J1582" s="39" t="s">
        <v>147</v>
      </c>
      <c r="K1582" s="1">
        <v>1</v>
      </c>
      <c r="L1582" s="1">
        <v>1</v>
      </c>
      <c r="S1582" s="1" t="str">
        <f>IF(tblDados[[#This Row],[Mandante]]="","",TEXT(tblDados[[#This Row],[Data]],"aaaa-mm-dd")&amp;"|"&amp;TRIM(tblDados[[#This Row],[Mandante]])&amp;"|"&amp;TRIM(tblDados[[#This Row],[Visitante]]))</f>
        <v>2026-05-02|Barcelona SC|Manta FC</v>
      </c>
      <c r="T1582" s="1">
        <f>IF($G1582="",0,IF(COUNTIF($S$2:$S3070,$S1582)=1,1,0))</f>
        <v>1</v>
      </c>
      <c r="U1582" s="19" t="str">
        <f>IF(tblDados[[#This Row],[Mandante]]="","",IF(COUNTIF(CadastroEquipes,TRIM(tblDados[[#This Row],[Mandante]]))&gt;0,"","⚠ Nome não cadastrado"))</f>
        <v/>
      </c>
      <c r="V1582" s="19" t="str">
        <f>IF(tblDados[[#This Row],[Visitante]]="","",IF(COUNTIF(CadastroEquipes,TRIM(tblDados[[#This Row],[Visitante]]))&gt;0,"","⚠ Nome não cadastrado"))</f>
        <v/>
      </c>
    </row>
    <row r="1583" spans="1:22" x14ac:dyDescent="0.3">
      <c r="A1583" s="1" t="s">
        <v>4343</v>
      </c>
      <c r="B1583" s="102">
        <v>46242</v>
      </c>
      <c r="C1583" s="6">
        <v>0.45833333333333331</v>
      </c>
      <c r="D1583" s="1" t="s">
        <v>24</v>
      </c>
      <c r="E1583" s="1" t="s">
        <v>4335</v>
      </c>
      <c r="F1583" s="1" t="s">
        <v>4344</v>
      </c>
      <c r="G1583" s="39" t="s">
        <v>737</v>
      </c>
      <c r="H1583" s="1">
        <v>1</v>
      </c>
      <c r="I1583" s="1">
        <v>1</v>
      </c>
      <c r="J1583" s="39" t="s">
        <v>4339</v>
      </c>
      <c r="K1583" s="1">
        <v>1</v>
      </c>
      <c r="L1583" s="1">
        <v>1</v>
      </c>
      <c r="S1583" s="1" t="str">
        <f>IF(tblDados[[#This Row],[Mandante]]="","",TEXT(tblDados[[#This Row],[Data]],"aaaa-mm-dd")&amp;"|"&amp;TRIM(tblDados[[#This Row],[Mandante]])&amp;"|"&amp;TRIM(tblDados[[#This Row],[Visitante]]))</f>
        <v>2026-08-08|Grotta|Throttur (Þróttur)</v>
      </c>
      <c r="T1583" s="1">
        <f>IF($G1583="",0,IF(COUNTIF($S$2:$S3071,$S1583)=1,1,0))</f>
        <v>1</v>
      </c>
      <c r="U1583" s="19" t="str">
        <f>IF(tblDados[[#This Row],[Mandante]]="","",IF(COUNTIF(CadastroEquipes,TRIM(tblDados[[#This Row],[Mandante]]))&gt;0,"","⚠ Nome não cadastrado"))</f>
        <v/>
      </c>
      <c r="V1583" s="19" t="str">
        <f>IF(tblDados[[#This Row],[Visitante]]="","",IF(COUNTIF(CadastroEquipes,TRIM(tblDados[[#This Row],[Visitante]]))&gt;0,"","⚠ Nome não cadastrado"))</f>
        <v/>
      </c>
    </row>
    <row r="1584" spans="1:22" x14ac:dyDescent="0.3">
      <c r="A1584" s="1" t="s">
        <v>4345</v>
      </c>
      <c r="B1584" s="102">
        <v>46226</v>
      </c>
      <c r="C1584" s="6">
        <v>0.67708333333333337</v>
      </c>
      <c r="D1584" s="1" t="s">
        <v>24</v>
      </c>
      <c r="E1584" s="1" t="s">
        <v>4335</v>
      </c>
      <c r="F1584" s="1" t="s">
        <v>4346</v>
      </c>
      <c r="G1584" s="39" t="s">
        <v>705</v>
      </c>
      <c r="H1584" s="1">
        <v>1</v>
      </c>
      <c r="I1584" s="1">
        <v>5</v>
      </c>
      <c r="J1584" s="39" t="s">
        <v>4339</v>
      </c>
      <c r="K1584" s="1">
        <v>5</v>
      </c>
      <c r="L1584" s="1">
        <v>1</v>
      </c>
      <c r="S1584" s="1" t="str">
        <f>IF(tblDados[[#This Row],[Mandante]]="","",TEXT(tblDados[[#This Row],[Data]],"aaaa-mm-dd")&amp;"|"&amp;TRIM(tblDados[[#This Row],[Mandante]])&amp;"|"&amp;TRIM(tblDados[[#This Row],[Visitante]]))</f>
        <v>2026-07-23|Leiknir|Throttur (Þróttur)</v>
      </c>
      <c r="T1584" s="1">
        <f>IF($G1584="",0,IF(COUNTIF($S$2:$S3072,$S1584)=1,1,0))</f>
        <v>1</v>
      </c>
      <c r="U1584" s="19" t="str">
        <f>IF(tblDados[[#This Row],[Mandante]]="","",IF(COUNTIF(CadastroEquipes,TRIM(tblDados[[#This Row],[Mandante]]))&gt;0,"","⚠ Nome não cadastrado"))</f>
        <v/>
      </c>
      <c r="V1584" s="19" t="str">
        <f>IF(tblDados[[#This Row],[Visitante]]="","",IF(COUNTIF(CadastroEquipes,TRIM(tblDados[[#This Row],[Visitante]]))&gt;0,"","⚠ Nome não cadastrado"))</f>
        <v/>
      </c>
    </row>
    <row r="1585" spans="1:22" x14ac:dyDescent="0.3">
      <c r="A1585" s="1" t="s">
        <v>4347</v>
      </c>
      <c r="B1585" s="102">
        <v>46221</v>
      </c>
      <c r="C1585" s="6">
        <v>0.54166666666666663</v>
      </c>
      <c r="D1585" s="1" t="s">
        <v>24</v>
      </c>
      <c r="E1585" s="1" t="s">
        <v>4335</v>
      </c>
      <c r="F1585" s="1" t="s">
        <v>4348</v>
      </c>
      <c r="G1585" s="39" t="s">
        <v>4339</v>
      </c>
      <c r="H1585" s="1">
        <v>1</v>
      </c>
      <c r="I1585" s="1">
        <v>0</v>
      </c>
      <c r="J1585" s="39" t="s">
        <v>721</v>
      </c>
      <c r="K1585" s="1">
        <v>0</v>
      </c>
      <c r="L1585" s="1">
        <v>1</v>
      </c>
      <c r="S1585" s="1" t="str">
        <f>IF(tblDados[[#This Row],[Mandante]]="","",TEXT(tblDados[[#This Row],[Data]],"aaaa-mm-dd")&amp;"|"&amp;TRIM(tblDados[[#This Row],[Mandante]])&amp;"|"&amp;TRIM(tblDados[[#This Row],[Visitante]]))</f>
        <v>2026-07-18|Throttur (Þróttur)|Volsungur</v>
      </c>
      <c r="T1585" s="1">
        <f>IF($G1585="",0,IF(COUNTIF($S$2:$S3073,$S1585)=1,1,0))</f>
        <v>1</v>
      </c>
      <c r="U1585" s="19" t="str">
        <f>IF(tblDados[[#This Row],[Mandante]]="","",IF(COUNTIF(CadastroEquipes,TRIM(tblDados[[#This Row],[Mandante]]))&gt;0,"","⚠ Nome não cadastrado"))</f>
        <v/>
      </c>
      <c r="V1585" s="19" t="str">
        <f>IF(tblDados[[#This Row],[Visitante]]="","",IF(COUNTIF(CadastroEquipes,TRIM(tblDados[[#This Row],[Visitante]]))&gt;0,"","⚠ Nome não cadastrado"))</f>
        <v/>
      </c>
    </row>
    <row r="1586" spans="1:22" x14ac:dyDescent="0.3">
      <c r="A1586" s="1" t="s">
        <v>4349</v>
      </c>
      <c r="B1586" s="102">
        <v>46206</v>
      </c>
      <c r="C1586" s="6">
        <v>0.67708333333333337</v>
      </c>
      <c r="D1586" s="1" t="s">
        <v>24</v>
      </c>
      <c r="E1586" s="1" t="s">
        <v>4335</v>
      </c>
      <c r="F1586" s="1" t="s">
        <v>4350</v>
      </c>
      <c r="G1586" s="39" t="s">
        <v>97</v>
      </c>
      <c r="H1586" s="1">
        <v>1</v>
      </c>
      <c r="I1586" s="1">
        <v>0</v>
      </c>
      <c r="J1586" s="39" t="s">
        <v>4339</v>
      </c>
      <c r="K1586" s="1">
        <v>0</v>
      </c>
      <c r="L1586" s="1">
        <v>1</v>
      </c>
      <c r="S1586" s="1" t="str">
        <f>IF(tblDados[[#This Row],[Mandante]]="","",TEXT(tblDados[[#This Row],[Data]],"aaaa-mm-dd")&amp;"|"&amp;TRIM(tblDados[[#This Row],[Mandante]])&amp;"|"&amp;TRIM(tblDados[[#This Row],[Visitante]]))</f>
        <v>2026-07-03|Njardvik|Throttur (Þróttur)</v>
      </c>
      <c r="T1586" s="1">
        <f>IF($G1586="",0,IF(COUNTIF($S$2:$S3074,$S1586)=1,1,0))</f>
        <v>1</v>
      </c>
      <c r="U1586" s="19" t="str">
        <f>IF(tblDados[[#This Row],[Mandante]]="","",IF(COUNTIF(CadastroEquipes,TRIM(tblDados[[#This Row],[Mandante]]))&gt;0,"","⚠ Nome não cadastrado"))</f>
        <v/>
      </c>
      <c r="V1586" s="19" t="str">
        <f>IF(tblDados[[#This Row],[Visitante]]="","",IF(COUNTIF(CadastroEquipes,TRIM(tblDados[[#This Row],[Visitante]]))&gt;0,"","⚠ Nome não cadastrado"))</f>
        <v/>
      </c>
    </row>
    <row r="1587" spans="1:22" x14ac:dyDescent="0.3">
      <c r="A1587" s="1" t="s">
        <v>4351</v>
      </c>
      <c r="B1587" s="102">
        <v>46200</v>
      </c>
      <c r="C1587" s="6">
        <v>0.45833333333333331</v>
      </c>
      <c r="D1587" s="1" t="s">
        <v>24</v>
      </c>
      <c r="E1587" s="1" t="s">
        <v>4335</v>
      </c>
      <c r="F1587" s="1" t="s">
        <v>4352</v>
      </c>
      <c r="G1587" s="39" t="s">
        <v>4339</v>
      </c>
      <c r="H1587" s="1">
        <v>1</v>
      </c>
      <c r="I1587" s="1">
        <v>1</v>
      </c>
      <c r="J1587" s="39" t="s">
        <v>699</v>
      </c>
      <c r="K1587" s="1">
        <v>1</v>
      </c>
      <c r="L1587" s="1">
        <v>1</v>
      </c>
      <c r="S1587" s="1" t="str">
        <f>IF(tblDados[[#This Row],[Mandante]]="","",TEXT(tblDados[[#This Row],[Data]],"aaaa-mm-dd")&amp;"|"&amp;TRIM(tblDados[[#This Row],[Mandante]])&amp;"|"&amp;TRIM(tblDados[[#This Row],[Visitante]]))</f>
        <v>2026-06-27|Throttur (Þróttur)|Vestri</v>
      </c>
      <c r="T1587" s="1">
        <f>IF($G1587="",0,IF(COUNTIF($S$2:$S3075,$S1587)=1,1,0))</f>
        <v>1</v>
      </c>
      <c r="U1587" s="19" t="str">
        <f>IF(tblDados[[#This Row],[Mandante]]="","",IF(COUNTIF(CadastroEquipes,TRIM(tblDados[[#This Row],[Mandante]]))&gt;0,"","⚠ Nome não cadastrado"))</f>
        <v/>
      </c>
      <c r="V1587" s="19" t="str">
        <f>IF(tblDados[[#This Row],[Visitante]]="","",IF(COUNTIF(CadastroEquipes,TRIM(tblDados[[#This Row],[Visitante]]))&gt;0,"","⚠ Nome não cadastrado"))</f>
        <v/>
      </c>
    </row>
    <row r="1588" spans="1:22" x14ac:dyDescent="0.3">
      <c r="A1588" s="1" t="s">
        <v>4353</v>
      </c>
      <c r="B1588" s="102">
        <v>46185</v>
      </c>
      <c r="C1588" s="6">
        <v>0.67708333333333337</v>
      </c>
      <c r="D1588" s="1" t="s">
        <v>24</v>
      </c>
      <c r="E1588" s="1" t="s">
        <v>4335</v>
      </c>
      <c r="F1588" s="1" t="s">
        <v>4354</v>
      </c>
      <c r="G1588" s="39" t="s">
        <v>4339</v>
      </c>
      <c r="H1588" s="1">
        <v>2</v>
      </c>
      <c r="I1588" s="1">
        <v>0</v>
      </c>
      <c r="J1588" s="39" t="s">
        <v>695</v>
      </c>
      <c r="K1588" s="1">
        <v>0</v>
      </c>
      <c r="L1588" s="1">
        <v>2</v>
      </c>
      <c r="S1588" s="1" t="str">
        <f>IF(tblDados[[#This Row],[Mandante]]="","",TEXT(tblDados[[#This Row],[Data]],"aaaa-mm-dd")&amp;"|"&amp;TRIM(tblDados[[#This Row],[Mandante]])&amp;"|"&amp;TRIM(tblDados[[#This Row],[Visitante]]))</f>
        <v>2026-06-12|Throttur (Þróttur)|Kopavogur</v>
      </c>
      <c r="T1588" s="1">
        <f>IF($G1588="",0,IF(COUNTIF($S$2:$S3076,$S1588)=1,1,0))</f>
        <v>1</v>
      </c>
      <c r="U1588" s="19" t="str">
        <f>IF(tblDados[[#This Row],[Mandante]]="","",IF(COUNTIF(CadastroEquipes,TRIM(tblDados[[#This Row],[Mandante]]))&gt;0,"","⚠ Nome não cadastrado"))</f>
        <v/>
      </c>
      <c r="V1588" s="19" t="str">
        <f>IF(tblDados[[#This Row],[Visitante]]="","",IF(COUNTIF(CadastroEquipes,TRIM(tblDados[[#This Row],[Visitante]]))&gt;0,"","⚠ Nome não cadastrado"))</f>
        <v/>
      </c>
    </row>
    <row r="1589" spans="1:22" x14ac:dyDescent="0.3">
      <c r="A1589" s="1" t="s">
        <v>4355</v>
      </c>
      <c r="B1589" s="102">
        <v>46179</v>
      </c>
      <c r="C1589" s="6">
        <v>0.45833333333333331</v>
      </c>
      <c r="D1589" s="1" t="s">
        <v>24</v>
      </c>
      <c r="E1589" s="1" t="s">
        <v>4335</v>
      </c>
      <c r="F1589" s="1" t="s">
        <v>4356</v>
      </c>
      <c r="G1589" s="39" t="s">
        <v>692</v>
      </c>
      <c r="H1589" s="1">
        <v>1</v>
      </c>
      <c r="I1589" s="1">
        <v>3</v>
      </c>
      <c r="J1589" s="39" t="s">
        <v>4339</v>
      </c>
      <c r="K1589" s="1">
        <v>3</v>
      </c>
      <c r="L1589" s="1">
        <v>1</v>
      </c>
      <c r="S1589" s="1" t="str">
        <f>IF(tblDados[[#This Row],[Mandante]]="","",TEXT(tblDados[[#This Row],[Data]],"aaaa-mm-dd")&amp;"|"&amp;TRIM(tblDados[[#This Row],[Mandante]])&amp;"|"&amp;TRIM(tblDados[[#This Row],[Visitante]]))</f>
        <v>2026-06-06|Fylkir|Throttur (Þróttur)</v>
      </c>
      <c r="T1589" s="1">
        <f>IF($G1589="",0,IF(COUNTIF($S$2:$S3077,$S1589)=1,1,0))</f>
        <v>1</v>
      </c>
      <c r="U1589" s="19" t="str">
        <f>IF(tblDados[[#This Row],[Mandante]]="","",IF(COUNTIF(CadastroEquipes,TRIM(tblDados[[#This Row],[Mandante]]))&gt;0,"","⚠ Nome não cadastrado"))</f>
        <v/>
      </c>
      <c r="V1589" s="19" t="str">
        <f>IF(tblDados[[#This Row],[Visitante]]="","",IF(COUNTIF(CadastroEquipes,TRIM(tblDados[[#This Row],[Visitante]]))&gt;0,"","⚠ Nome não cadastrado"))</f>
        <v/>
      </c>
    </row>
    <row r="1590" spans="1:22" x14ac:dyDescent="0.3">
      <c r="A1590" s="1" t="s">
        <v>4357</v>
      </c>
      <c r="B1590" s="102">
        <v>46174</v>
      </c>
      <c r="C1590" s="6">
        <v>0.67708333333333337</v>
      </c>
      <c r="D1590" s="1" t="s">
        <v>24</v>
      </c>
      <c r="E1590" s="1" t="s">
        <v>4335</v>
      </c>
      <c r="F1590" s="1" t="s">
        <v>4358</v>
      </c>
      <c r="G1590" s="39" t="s">
        <v>4339</v>
      </c>
      <c r="H1590" s="1">
        <v>2</v>
      </c>
      <c r="I1590" s="1">
        <v>0</v>
      </c>
      <c r="J1590" s="39" t="s">
        <v>132</v>
      </c>
      <c r="K1590" s="1">
        <v>0</v>
      </c>
      <c r="L1590" s="1">
        <v>2</v>
      </c>
      <c r="S1590" s="1" t="str">
        <f>IF(tblDados[[#This Row],[Mandante]]="","",TEXT(tblDados[[#This Row],[Data]],"aaaa-mm-dd")&amp;"|"&amp;TRIM(tblDados[[#This Row],[Mandante]])&amp;"|"&amp;TRIM(tblDados[[#This Row],[Visitante]]))</f>
        <v>2026-06-01|Throttur (Þróttur)|Grindavik</v>
      </c>
      <c r="T1590" s="1">
        <f>IF($G1590="",0,IF(COUNTIF($S$2:$S3078,$S1590)=1,1,0))</f>
        <v>1</v>
      </c>
      <c r="U1590" s="19" t="str">
        <f>IF(tblDados[[#This Row],[Mandante]]="","",IF(COUNTIF(CadastroEquipes,TRIM(tblDados[[#This Row],[Mandante]]))&gt;0,"","⚠ Nome não cadastrado"))</f>
        <v/>
      </c>
      <c r="V1590" s="19" t="str">
        <f>IF(tblDados[[#This Row],[Visitante]]="","",IF(COUNTIF(CadastroEquipes,TRIM(tblDados[[#This Row],[Visitante]]))&gt;0,"","⚠ Nome não cadastrado"))</f>
        <v/>
      </c>
    </row>
    <row r="1591" spans="1:22" x14ac:dyDescent="0.3">
      <c r="A1591" s="1" t="s">
        <v>4359</v>
      </c>
      <c r="B1591" s="102">
        <v>46169</v>
      </c>
      <c r="C1591" s="6">
        <v>0.67708333333333337</v>
      </c>
      <c r="D1591" s="1" t="s">
        <v>24</v>
      </c>
      <c r="E1591" s="1" t="s">
        <v>4335</v>
      </c>
      <c r="F1591" s="1" t="s">
        <v>4360</v>
      </c>
      <c r="G1591" s="39" t="s">
        <v>4339</v>
      </c>
      <c r="H1591" s="1">
        <v>2</v>
      </c>
      <c r="I1591" s="1">
        <v>3</v>
      </c>
      <c r="J1591" s="39" t="s">
        <v>737</v>
      </c>
      <c r="K1591" s="1">
        <v>3</v>
      </c>
      <c r="L1591" s="1">
        <v>2</v>
      </c>
      <c r="S1591" s="1" t="str">
        <f>IF(tblDados[[#This Row],[Mandante]]="","",TEXT(tblDados[[#This Row],[Data]],"aaaa-mm-dd")&amp;"|"&amp;TRIM(tblDados[[#This Row],[Mandante]])&amp;"|"&amp;TRIM(tblDados[[#This Row],[Visitante]]))</f>
        <v>2026-05-27|Throttur (Þróttur)|Grotta</v>
      </c>
      <c r="T1591" s="1">
        <f>IF($G1591="",0,IF(COUNTIF($S$2:$S3079,$S1591)=1,1,0))</f>
        <v>1</v>
      </c>
      <c r="U1591" s="19" t="str">
        <f>IF(tblDados[[#This Row],[Mandante]]="","",IF(COUNTIF(CadastroEquipes,TRIM(tblDados[[#This Row],[Mandante]]))&gt;0,"","⚠ Nome não cadastrado"))</f>
        <v/>
      </c>
      <c r="V1591" s="19" t="str">
        <f>IF(tblDados[[#This Row],[Visitante]]="","",IF(COUNTIF(CadastroEquipes,TRIM(tblDados[[#This Row],[Visitante]]))&gt;0,"","⚠ Nome não cadastrado"))</f>
        <v/>
      </c>
    </row>
    <row r="1592" spans="1:22" x14ac:dyDescent="0.3">
      <c r="A1592" s="1" t="s">
        <v>4361</v>
      </c>
      <c r="B1592" s="102">
        <v>46241</v>
      </c>
      <c r="C1592" s="6">
        <v>0.67708333333333337</v>
      </c>
      <c r="D1592" s="1" t="s">
        <v>24</v>
      </c>
      <c r="E1592" s="1" t="s">
        <v>4335</v>
      </c>
      <c r="F1592" s="1" t="s">
        <v>4362</v>
      </c>
      <c r="G1592" s="39" t="s">
        <v>705</v>
      </c>
      <c r="H1592" s="1">
        <v>3</v>
      </c>
      <c r="I1592" s="1">
        <v>0</v>
      </c>
      <c r="J1592" s="39" t="s">
        <v>692</v>
      </c>
      <c r="K1592" s="1">
        <v>0</v>
      </c>
      <c r="L1592" s="1">
        <v>3</v>
      </c>
      <c r="S1592" s="1" t="str">
        <f>IF(tblDados[[#This Row],[Mandante]]="","",TEXT(tblDados[[#This Row],[Data]],"aaaa-mm-dd")&amp;"|"&amp;TRIM(tblDados[[#This Row],[Mandante]])&amp;"|"&amp;TRIM(tblDados[[#This Row],[Visitante]]))</f>
        <v>2026-08-07|Leiknir|Fylkir</v>
      </c>
      <c r="T1592" s="1">
        <f>IF($G1592="",0,IF(COUNTIF($S$2:$S3080,$S1592)=1,1,0))</f>
        <v>1</v>
      </c>
      <c r="U1592" s="19" t="str">
        <f>IF(tblDados[[#This Row],[Mandante]]="","",IF(COUNTIF(CadastroEquipes,TRIM(tblDados[[#This Row],[Mandante]]))&gt;0,"","⚠ Nome não cadastrado"))</f>
        <v/>
      </c>
      <c r="V1592" s="19" t="str">
        <f>IF(tblDados[[#This Row],[Visitante]]="","",IF(COUNTIF(CadastroEquipes,TRIM(tblDados[[#This Row],[Visitante]]))&gt;0,"","⚠ Nome não cadastrado"))</f>
        <v/>
      </c>
    </row>
    <row r="1593" spans="1:22" x14ac:dyDescent="0.3">
      <c r="A1593" s="1" t="s">
        <v>4363</v>
      </c>
      <c r="B1593" s="102">
        <v>46232</v>
      </c>
      <c r="C1593" s="6">
        <v>0.625</v>
      </c>
      <c r="D1593" s="1" t="s">
        <v>24</v>
      </c>
      <c r="E1593" s="1" t="s">
        <v>4335</v>
      </c>
      <c r="F1593" s="1" t="s">
        <v>4364</v>
      </c>
      <c r="G1593" s="39" t="s">
        <v>692</v>
      </c>
      <c r="H1593" s="1">
        <v>3</v>
      </c>
      <c r="I1593" s="1">
        <v>1</v>
      </c>
      <c r="J1593" s="39" t="s">
        <v>721</v>
      </c>
      <c r="K1593" s="1">
        <v>1</v>
      </c>
      <c r="L1593" s="1">
        <v>3</v>
      </c>
      <c r="S1593" s="1" t="str">
        <f>IF(tblDados[[#This Row],[Mandante]]="","",TEXT(tblDados[[#This Row],[Data]],"aaaa-mm-dd")&amp;"|"&amp;TRIM(tblDados[[#This Row],[Mandante]])&amp;"|"&amp;TRIM(tblDados[[#This Row],[Visitante]]))</f>
        <v>2026-07-29|Fylkir|Volsungur</v>
      </c>
      <c r="T1593" s="1">
        <f>IF($G1593="",0,IF(COUNTIF($S$2:$S3081,$S1593)=1,1,0))</f>
        <v>1</v>
      </c>
      <c r="U1593" s="19" t="str">
        <f>IF(tblDados[[#This Row],[Mandante]]="","",IF(COUNTIF(CadastroEquipes,TRIM(tblDados[[#This Row],[Mandante]]))&gt;0,"","⚠ Nome não cadastrado"))</f>
        <v/>
      </c>
      <c r="V1593" s="19" t="str">
        <f>IF(tblDados[[#This Row],[Visitante]]="","",IF(COUNTIF(CadastroEquipes,TRIM(tblDados[[#This Row],[Visitante]]))&gt;0,"","⚠ Nome não cadastrado"))</f>
        <v/>
      </c>
    </row>
    <row r="1594" spans="1:22" x14ac:dyDescent="0.3">
      <c r="A1594" s="1" t="s">
        <v>4365</v>
      </c>
      <c r="B1594" s="102">
        <v>46220</v>
      </c>
      <c r="C1594" s="6">
        <v>0.67708333333333337</v>
      </c>
      <c r="D1594" s="1" t="s">
        <v>24</v>
      </c>
      <c r="E1594" s="1" t="s">
        <v>4335</v>
      </c>
      <c r="F1594" s="1" t="s">
        <v>4366</v>
      </c>
      <c r="G1594" s="39" t="s">
        <v>692</v>
      </c>
      <c r="H1594" s="1">
        <v>4</v>
      </c>
      <c r="I1594" s="1">
        <v>1</v>
      </c>
      <c r="J1594" s="39" t="s">
        <v>97</v>
      </c>
      <c r="K1594" s="1">
        <v>1</v>
      </c>
      <c r="L1594" s="1">
        <v>4</v>
      </c>
      <c r="S1594" s="1" t="str">
        <f>IF(tblDados[[#This Row],[Mandante]]="","",TEXT(tblDados[[#This Row],[Data]],"aaaa-mm-dd")&amp;"|"&amp;TRIM(tblDados[[#This Row],[Mandante]])&amp;"|"&amp;TRIM(tblDados[[#This Row],[Visitante]]))</f>
        <v>2026-07-17|Fylkir|Njardvik</v>
      </c>
      <c r="T1594" s="1">
        <f>IF($G1594="",0,IF(COUNTIF($S$2:$S3082,$S1594)=1,1,0))</f>
        <v>1</v>
      </c>
      <c r="U1594" s="19" t="str">
        <f>IF(tblDados[[#This Row],[Mandante]]="","",IF(COUNTIF(CadastroEquipes,TRIM(tblDados[[#This Row],[Mandante]]))&gt;0,"","⚠ Nome não cadastrado"))</f>
        <v/>
      </c>
      <c r="V1594" s="19" t="str">
        <f>IF(tblDados[[#This Row],[Visitante]]="","",IF(COUNTIF(CadastroEquipes,TRIM(tblDados[[#This Row],[Visitante]]))&gt;0,"","⚠ Nome não cadastrado"))</f>
        <v/>
      </c>
    </row>
    <row r="1595" spans="1:22" x14ac:dyDescent="0.3">
      <c r="A1595" s="1" t="s">
        <v>4367</v>
      </c>
      <c r="B1595" s="102">
        <v>46216</v>
      </c>
      <c r="C1595" s="6">
        <v>0.71875</v>
      </c>
      <c r="D1595" s="1" t="s">
        <v>24</v>
      </c>
      <c r="E1595" s="1" t="s">
        <v>4335</v>
      </c>
      <c r="F1595" s="1" t="s">
        <v>4368</v>
      </c>
      <c r="G1595" s="39" t="s">
        <v>699</v>
      </c>
      <c r="H1595" s="1">
        <v>2</v>
      </c>
      <c r="I1595" s="1">
        <v>5</v>
      </c>
      <c r="J1595" s="39" t="s">
        <v>692</v>
      </c>
      <c r="K1595" s="1">
        <v>5</v>
      </c>
      <c r="L1595" s="1">
        <v>2</v>
      </c>
      <c r="S1595" s="1" t="str">
        <f>IF(tblDados[[#This Row],[Mandante]]="","",TEXT(tblDados[[#This Row],[Data]],"aaaa-mm-dd")&amp;"|"&amp;TRIM(tblDados[[#This Row],[Mandante]])&amp;"|"&amp;TRIM(tblDados[[#This Row],[Visitante]]))</f>
        <v>2026-07-13|Vestri|Fylkir</v>
      </c>
      <c r="T1595" s="1">
        <f>IF($G1595="",0,IF(COUNTIF($S$2:$S3083,$S1595)=1,1,0))</f>
        <v>1</v>
      </c>
      <c r="U1595" s="19" t="str">
        <f>IF(tblDados[[#This Row],[Mandante]]="","",IF(COUNTIF(CadastroEquipes,TRIM(tblDados[[#This Row],[Mandante]]))&gt;0,"","⚠ Nome não cadastrado"))</f>
        <v/>
      </c>
      <c r="V1595" s="19" t="str">
        <f>IF(tblDados[[#This Row],[Visitante]]="","",IF(COUNTIF(CadastroEquipes,TRIM(tblDados[[#This Row],[Visitante]]))&gt;0,"","⚠ Nome não cadastrado"))</f>
        <v/>
      </c>
    </row>
    <row r="1596" spans="1:22" x14ac:dyDescent="0.3">
      <c r="A1596" s="1" t="s">
        <v>4369</v>
      </c>
      <c r="B1596" s="102">
        <v>46199</v>
      </c>
      <c r="C1596" s="6">
        <v>0.67708333333333337</v>
      </c>
      <c r="D1596" s="1" t="s">
        <v>24</v>
      </c>
      <c r="E1596" s="1" t="s">
        <v>4335</v>
      </c>
      <c r="F1596" s="1" t="s">
        <v>4370</v>
      </c>
      <c r="G1596" s="39" t="s">
        <v>692</v>
      </c>
      <c r="H1596" s="1">
        <v>0</v>
      </c>
      <c r="I1596" s="1">
        <v>2</v>
      </c>
      <c r="J1596" s="39" t="s">
        <v>695</v>
      </c>
      <c r="K1596" s="1">
        <v>2</v>
      </c>
      <c r="L1596" s="1">
        <v>0</v>
      </c>
      <c r="S1596" s="1" t="str">
        <f>IF(tblDados[[#This Row],[Mandante]]="","",TEXT(tblDados[[#This Row],[Data]],"aaaa-mm-dd")&amp;"|"&amp;TRIM(tblDados[[#This Row],[Mandante]])&amp;"|"&amp;TRIM(tblDados[[#This Row],[Visitante]]))</f>
        <v>2026-06-26|Fylkir|Kopavogur</v>
      </c>
      <c r="T1596" s="1">
        <f>IF($G1596="",0,IF(COUNTIF($S$2:$S3084,$S1596)=1,1,0))</f>
        <v>1</v>
      </c>
      <c r="U1596" s="19" t="str">
        <f>IF(tblDados[[#This Row],[Mandante]]="","",IF(COUNTIF(CadastroEquipes,TRIM(tblDados[[#This Row],[Mandante]]))&gt;0,"","⚠ Nome não cadastrado"))</f>
        <v/>
      </c>
      <c r="V1596" s="19" t="str">
        <f>IF(tblDados[[#This Row],[Visitante]]="","",IF(COUNTIF(CadastroEquipes,TRIM(tblDados[[#This Row],[Visitante]]))&gt;0,"","⚠ Nome não cadastrado"))</f>
        <v/>
      </c>
    </row>
    <row r="1597" spans="1:22" x14ac:dyDescent="0.3">
      <c r="A1597" s="1" t="s">
        <v>4371</v>
      </c>
      <c r="B1597" s="102">
        <v>46194</v>
      </c>
      <c r="C1597" s="6">
        <v>0.67708333333333337</v>
      </c>
      <c r="D1597" s="1" t="s">
        <v>24</v>
      </c>
      <c r="E1597" s="1" t="s">
        <v>4335</v>
      </c>
      <c r="F1597" s="1" t="s">
        <v>4372</v>
      </c>
      <c r="G1597" s="39" t="s">
        <v>737</v>
      </c>
      <c r="H1597" s="1">
        <v>2</v>
      </c>
      <c r="I1597" s="1">
        <v>5</v>
      </c>
      <c r="J1597" s="39" t="s">
        <v>692</v>
      </c>
      <c r="K1597" s="1">
        <v>5</v>
      </c>
      <c r="L1597" s="1">
        <v>2</v>
      </c>
      <c r="S1597" s="1" t="str">
        <f>IF(tblDados[[#This Row],[Mandante]]="","",TEXT(tblDados[[#This Row],[Data]],"aaaa-mm-dd")&amp;"|"&amp;TRIM(tblDados[[#This Row],[Mandante]])&amp;"|"&amp;TRIM(tblDados[[#This Row],[Visitante]]))</f>
        <v>2026-06-21|Grotta|Fylkir</v>
      </c>
      <c r="T1597" s="1">
        <f>IF($G1597="",0,IF(COUNTIF($S$2:$S3085,$S1597)=1,1,0))</f>
        <v>1</v>
      </c>
      <c r="U1597" s="19" t="str">
        <f>IF(tblDados[[#This Row],[Mandante]]="","",IF(COUNTIF(CadastroEquipes,TRIM(tblDados[[#This Row],[Mandante]]))&gt;0,"","⚠ Nome não cadastrado"))</f>
        <v/>
      </c>
      <c r="V1597" s="19" t="str">
        <f>IF(tblDados[[#This Row],[Visitante]]="","",IF(COUNTIF(CadastroEquipes,TRIM(tblDados[[#This Row],[Visitante]]))&gt;0,"","⚠ Nome não cadastrado"))</f>
        <v/>
      </c>
    </row>
    <row r="1598" spans="1:22" x14ac:dyDescent="0.3">
      <c r="A1598" s="1" t="s">
        <v>4373</v>
      </c>
      <c r="B1598" s="102">
        <v>46190</v>
      </c>
      <c r="C1598" s="6">
        <v>0.45833333333333331</v>
      </c>
      <c r="D1598" s="1" t="s">
        <v>24</v>
      </c>
      <c r="E1598" s="1" t="s">
        <v>4335</v>
      </c>
      <c r="F1598" s="1" t="s">
        <v>4374</v>
      </c>
      <c r="G1598" s="39" t="s">
        <v>132</v>
      </c>
      <c r="H1598" s="1">
        <v>0</v>
      </c>
      <c r="I1598" s="1">
        <v>1</v>
      </c>
      <c r="J1598" s="39" t="s">
        <v>692</v>
      </c>
      <c r="K1598" s="1">
        <v>1</v>
      </c>
      <c r="L1598" s="1">
        <v>0</v>
      </c>
      <c r="S1598" s="1" t="str">
        <f>IF(tblDados[[#This Row],[Mandante]]="","",TEXT(tblDados[[#This Row],[Data]],"aaaa-mm-dd")&amp;"|"&amp;TRIM(tblDados[[#This Row],[Mandante]])&amp;"|"&amp;TRIM(tblDados[[#This Row],[Visitante]]))</f>
        <v>2026-06-17|Grindavik|Fylkir</v>
      </c>
      <c r="T1598" s="1">
        <f>IF($G1598="",0,IF(COUNTIF($S$2:$S3086,$S1598)=1,1,0))</f>
        <v>1</v>
      </c>
      <c r="U1598" s="19" t="str">
        <f>IF(tblDados[[#This Row],[Mandante]]="","",IF(COUNTIF(CadastroEquipes,TRIM(tblDados[[#This Row],[Mandante]]))&gt;0,"","⚠ Nome não cadastrado"))</f>
        <v/>
      </c>
      <c r="V1598" s="19" t="str">
        <f>IF(tblDados[[#This Row],[Visitante]]="","",IF(COUNTIF(CadastroEquipes,TRIM(tblDados[[#This Row],[Visitante]]))&gt;0,"","⚠ Nome não cadastrado"))</f>
        <v/>
      </c>
    </row>
    <row r="1599" spans="1:22" x14ac:dyDescent="0.3">
      <c r="A1599" s="1" t="s">
        <v>4375</v>
      </c>
      <c r="B1599" s="102">
        <v>46173</v>
      </c>
      <c r="C1599" s="6">
        <v>0.67708333333333337</v>
      </c>
      <c r="D1599" s="1" t="s">
        <v>24</v>
      </c>
      <c r="E1599" s="1" t="s">
        <v>4335</v>
      </c>
      <c r="F1599" s="1" t="s">
        <v>4376</v>
      </c>
      <c r="G1599" s="39" t="s">
        <v>126</v>
      </c>
      <c r="H1599" s="1">
        <v>5</v>
      </c>
      <c r="I1599" s="1">
        <v>1</v>
      </c>
      <c r="J1599" s="39" t="s">
        <v>692</v>
      </c>
      <c r="K1599" s="1">
        <v>1</v>
      </c>
      <c r="L1599" s="1">
        <v>5</v>
      </c>
      <c r="S1599" s="1" t="str">
        <f>IF(tblDados[[#This Row],[Mandante]]="","",TEXT(tblDados[[#This Row],[Data]],"aaaa-mm-dd")&amp;"|"&amp;TRIM(tblDados[[#This Row],[Mandante]])&amp;"|"&amp;TRIM(tblDados[[#This Row],[Visitante]]))</f>
        <v>2026-05-31|Afturelding|Fylkir</v>
      </c>
      <c r="T1599" s="1">
        <f>IF($G1599="",0,IF(COUNTIF($S$2:$S3087,$S1599)=1,1,0))</f>
        <v>1</v>
      </c>
      <c r="U1599" s="19" t="str">
        <f>IF(tblDados[[#This Row],[Mandante]]="","",IF(COUNTIF(CadastroEquipes,TRIM(tblDados[[#This Row],[Mandante]]))&gt;0,"","⚠ Nome não cadastrado"))</f>
        <v/>
      </c>
      <c r="V1599" s="19" t="str">
        <f>IF(tblDados[[#This Row],[Visitante]]="","",IF(COUNTIF(CadastroEquipes,TRIM(tblDados[[#This Row],[Visitante]]))&gt;0,"","⚠ Nome não cadastrado"))</f>
        <v/>
      </c>
    </row>
    <row r="1600" spans="1:22" x14ac:dyDescent="0.3">
      <c r="A1600" s="1" t="s">
        <v>4377</v>
      </c>
      <c r="B1600" s="102">
        <v>46169</v>
      </c>
      <c r="C1600" s="6">
        <v>0.67708333333333337</v>
      </c>
      <c r="D1600" s="1" t="s">
        <v>24</v>
      </c>
      <c r="E1600" s="1" t="s">
        <v>4335</v>
      </c>
      <c r="F1600" s="1" t="s">
        <v>4378</v>
      </c>
      <c r="G1600" s="39" t="s">
        <v>692</v>
      </c>
      <c r="H1600" s="1">
        <v>3</v>
      </c>
      <c r="I1600" s="1">
        <v>0</v>
      </c>
      <c r="J1600" s="39" t="s">
        <v>705</v>
      </c>
      <c r="K1600" s="1">
        <v>0</v>
      </c>
      <c r="L1600" s="1">
        <v>3</v>
      </c>
      <c r="S1600" s="1" t="str">
        <f>IF(tblDados[[#This Row],[Mandante]]="","",TEXT(tblDados[[#This Row],[Data]],"aaaa-mm-dd")&amp;"|"&amp;TRIM(tblDados[[#This Row],[Mandante]])&amp;"|"&amp;TRIM(tblDados[[#This Row],[Visitante]]))</f>
        <v>2026-05-27|Fylkir|Leiknir</v>
      </c>
      <c r="T1600" s="1">
        <f>IF($G1600="",0,IF(COUNTIF($S$2:$S3088,$S1600)=1,1,0))</f>
        <v>1</v>
      </c>
      <c r="U1600" s="19" t="str">
        <f>IF(tblDados[[#This Row],[Mandante]]="","",IF(COUNTIF(CadastroEquipes,TRIM(tblDados[[#This Row],[Mandante]]))&gt;0,"","⚠ Nome não cadastrado"))</f>
        <v/>
      </c>
      <c r="V1600" s="19" t="str">
        <f>IF(tblDados[[#This Row],[Visitante]]="","",IF(COUNTIF(CadastroEquipes,TRIM(tblDados[[#This Row],[Visitante]]))&gt;0,"","⚠ Nome não cadastrado"))</f>
        <v/>
      </c>
    </row>
    <row r="1601" spans="1:22" x14ac:dyDescent="0.3">
      <c r="A1601" s="1" t="s">
        <v>4379</v>
      </c>
      <c r="B1601" s="102">
        <v>46219</v>
      </c>
      <c r="C1601" s="6">
        <v>0.67708333333333337</v>
      </c>
      <c r="D1601" s="1" t="s">
        <v>24</v>
      </c>
      <c r="E1601" s="1" t="s">
        <v>4335</v>
      </c>
      <c r="F1601" s="1" t="s">
        <v>4380</v>
      </c>
      <c r="G1601" s="39" t="s">
        <v>126</v>
      </c>
      <c r="H1601" s="1">
        <v>3</v>
      </c>
      <c r="I1601" s="1">
        <v>2</v>
      </c>
      <c r="J1601" s="39" t="s">
        <v>705</v>
      </c>
      <c r="K1601" s="1">
        <v>2</v>
      </c>
      <c r="L1601" s="1">
        <v>3</v>
      </c>
      <c r="S1601" s="1" t="str">
        <f>IF(tblDados[[#This Row],[Mandante]]="","",TEXT(tblDados[[#This Row],[Data]],"aaaa-mm-dd")&amp;"|"&amp;TRIM(tblDados[[#This Row],[Mandante]])&amp;"|"&amp;TRIM(tblDados[[#This Row],[Visitante]]))</f>
        <v>2026-07-16|Afturelding|Leiknir</v>
      </c>
      <c r="T1601" s="1">
        <f>IF($G1601="",0,IF(COUNTIF($S$2:$S3089,$S1601)=1,1,0))</f>
        <v>1</v>
      </c>
      <c r="U1601" s="19" t="str">
        <f>IF(tblDados[[#This Row],[Mandante]]="","",IF(COUNTIF(CadastroEquipes,TRIM(tblDados[[#This Row],[Mandante]]))&gt;0,"","⚠ Nome não cadastrado"))</f>
        <v/>
      </c>
      <c r="V1601" s="19" t="str">
        <f>IF(tblDados[[#This Row],[Visitante]]="","",IF(COUNTIF(CadastroEquipes,TRIM(tblDados[[#This Row],[Visitante]]))&gt;0,"","⚠ Nome não cadastrado"))</f>
        <v/>
      </c>
    </row>
    <row r="1602" spans="1:22" x14ac:dyDescent="0.3">
      <c r="A1602" s="1" t="s">
        <v>4381</v>
      </c>
      <c r="B1602" s="102">
        <v>46214</v>
      </c>
      <c r="C1602" s="6">
        <v>0.45833333333333331</v>
      </c>
      <c r="D1602" s="1" t="s">
        <v>24</v>
      </c>
      <c r="E1602" s="1" t="s">
        <v>4335</v>
      </c>
      <c r="F1602" s="1" t="s">
        <v>4382</v>
      </c>
      <c r="G1602" s="39" t="s">
        <v>721</v>
      </c>
      <c r="H1602" s="1">
        <v>1</v>
      </c>
      <c r="I1602" s="1">
        <v>6</v>
      </c>
      <c r="J1602" s="39" t="s">
        <v>126</v>
      </c>
      <c r="K1602" s="1">
        <v>6</v>
      </c>
      <c r="L1602" s="1">
        <v>1</v>
      </c>
      <c r="S1602" s="1" t="str">
        <f>IF(tblDados[[#This Row],[Mandante]]="","",TEXT(tblDados[[#This Row],[Data]],"aaaa-mm-dd")&amp;"|"&amp;TRIM(tblDados[[#This Row],[Mandante]])&amp;"|"&amp;TRIM(tblDados[[#This Row],[Visitante]]))</f>
        <v>2026-07-11|Volsungur|Afturelding</v>
      </c>
      <c r="T1602" s="1">
        <f>IF($G1602="",0,IF(COUNTIF($S$2:$S3090,$S1602)=1,1,0))</f>
        <v>1</v>
      </c>
      <c r="U1602" s="19" t="str">
        <f>IF(tblDados[[#This Row],[Mandante]]="","",IF(COUNTIF(CadastroEquipes,TRIM(tblDados[[#This Row],[Mandante]]))&gt;0,"","⚠ Nome não cadastrado"))</f>
        <v/>
      </c>
      <c r="V1602" s="19" t="str">
        <f>IF(tblDados[[#This Row],[Visitante]]="","",IF(COUNTIF(CadastroEquipes,TRIM(tblDados[[#This Row],[Visitante]]))&gt;0,"","⚠ Nome não cadastrado"))</f>
        <v/>
      </c>
    </row>
    <row r="1603" spans="1:22" x14ac:dyDescent="0.3">
      <c r="A1603" s="1" t="s">
        <v>4383</v>
      </c>
      <c r="B1603" s="102">
        <v>46199</v>
      </c>
      <c r="C1603" s="6">
        <v>0.67708333333333337</v>
      </c>
      <c r="D1603" s="1" t="s">
        <v>24</v>
      </c>
      <c r="E1603" s="1" t="s">
        <v>4335</v>
      </c>
      <c r="F1603" s="1" t="s">
        <v>4384</v>
      </c>
      <c r="G1603" s="39" t="s">
        <v>126</v>
      </c>
      <c r="H1603" s="1">
        <v>2</v>
      </c>
      <c r="I1603" s="1">
        <v>0</v>
      </c>
      <c r="J1603" s="39" t="s">
        <v>97</v>
      </c>
      <c r="K1603" s="1">
        <v>0</v>
      </c>
      <c r="L1603" s="1">
        <v>2</v>
      </c>
      <c r="S1603" s="1" t="str">
        <f>IF(tblDados[[#This Row],[Mandante]]="","",TEXT(tblDados[[#This Row],[Data]],"aaaa-mm-dd")&amp;"|"&amp;TRIM(tblDados[[#This Row],[Mandante]])&amp;"|"&amp;TRIM(tblDados[[#This Row],[Visitante]]))</f>
        <v>2026-06-26|Afturelding|Njardvik</v>
      </c>
      <c r="T1603" s="1">
        <f>IF($G1603="",0,IF(COUNTIF($S$2:$S3091,$S1603)=1,1,0))</f>
        <v>1</v>
      </c>
      <c r="U1603" s="19" t="str">
        <f>IF(tblDados[[#This Row],[Mandante]]="","",IF(COUNTIF(CadastroEquipes,TRIM(tblDados[[#This Row],[Mandante]]))&gt;0,"","⚠ Nome não cadastrado"))</f>
        <v/>
      </c>
      <c r="V1603" s="19" t="str">
        <f>IF(tblDados[[#This Row],[Visitante]]="","",IF(COUNTIF(CadastroEquipes,TRIM(tblDados[[#This Row],[Visitante]]))&gt;0,"","⚠ Nome não cadastrado"))</f>
        <v/>
      </c>
    </row>
    <row r="1604" spans="1:22" x14ac:dyDescent="0.3">
      <c r="A1604" s="1" t="s">
        <v>4385</v>
      </c>
      <c r="B1604" s="102">
        <v>46194</v>
      </c>
      <c r="C1604" s="6">
        <v>0.45833333333333331</v>
      </c>
      <c r="D1604" s="1" t="s">
        <v>24</v>
      </c>
      <c r="E1604" s="1" t="s">
        <v>4335</v>
      </c>
      <c r="F1604" s="1" t="s">
        <v>4386</v>
      </c>
      <c r="G1604" s="39" t="s">
        <v>699</v>
      </c>
      <c r="H1604" s="1">
        <v>2</v>
      </c>
      <c r="I1604" s="1">
        <v>0</v>
      </c>
      <c r="J1604" s="39" t="s">
        <v>126</v>
      </c>
      <c r="K1604" s="1">
        <v>0</v>
      </c>
      <c r="L1604" s="1">
        <v>2</v>
      </c>
      <c r="S1604" s="1" t="str">
        <f>IF(tblDados[[#This Row],[Mandante]]="","",TEXT(tblDados[[#This Row],[Data]],"aaaa-mm-dd")&amp;"|"&amp;TRIM(tblDados[[#This Row],[Mandante]])&amp;"|"&amp;TRIM(tblDados[[#This Row],[Visitante]]))</f>
        <v>2026-06-21|Vestri|Afturelding</v>
      </c>
      <c r="T1604" s="1">
        <f>IF($G1604="",0,IF(COUNTIF($S$2:$S3092,$S1604)=1,1,0))</f>
        <v>1</v>
      </c>
      <c r="U1604" s="19" t="str">
        <f>IF(tblDados[[#This Row],[Mandante]]="","",IF(COUNTIF(CadastroEquipes,TRIM(tblDados[[#This Row],[Mandante]]))&gt;0,"","⚠ Nome não cadastrado"))</f>
        <v/>
      </c>
      <c r="V1604" s="19" t="str">
        <f>IF(tblDados[[#This Row],[Visitante]]="","",IF(COUNTIF(CadastroEquipes,TRIM(tblDados[[#This Row],[Visitante]]))&gt;0,"","⚠ Nome não cadastrado"))</f>
        <v/>
      </c>
    </row>
    <row r="1605" spans="1:22" x14ac:dyDescent="0.3">
      <c r="A1605" s="1" t="s">
        <v>4387</v>
      </c>
      <c r="B1605" s="102">
        <v>46178</v>
      </c>
      <c r="C1605" s="6">
        <v>0.67708333333333337</v>
      </c>
      <c r="D1605" s="1" t="s">
        <v>24</v>
      </c>
      <c r="E1605" s="1" t="s">
        <v>4335</v>
      </c>
      <c r="F1605" s="1" t="s">
        <v>4388</v>
      </c>
      <c r="G1605" s="39" t="s">
        <v>695</v>
      </c>
      <c r="H1605" s="1">
        <v>2</v>
      </c>
      <c r="I1605" s="1">
        <v>1</v>
      </c>
      <c r="J1605" s="39" t="s">
        <v>126</v>
      </c>
      <c r="K1605" s="1">
        <v>1</v>
      </c>
      <c r="L1605" s="1">
        <v>2</v>
      </c>
      <c r="S1605" s="1" t="str">
        <f>IF(tblDados[[#This Row],[Mandante]]="","",TEXT(tblDados[[#This Row],[Data]],"aaaa-mm-dd")&amp;"|"&amp;TRIM(tblDados[[#This Row],[Mandante]])&amp;"|"&amp;TRIM(tblDados[[#This Row],[Visitante]]))</f>
        <v>2026-06-05|Kopavogur|Afturelding</v>
      </c>
      <c r="T1605" s="1">
        <f>IF($G1605="",0,IF(COUNTIF($S$2:$S3093,$S1605)=1,1,0))</f>
        <v>1</v>
      </c>
      <c r="U1605" s="19" t="str">
        <f>IF(tblDados[[#This Row],[Mandante]]="","",IF(COUNTIF(CadastroEquipes,TRIM(tblDados[[#This Row],[Mandante]]))&gt;0,"","⚠ Nome não cadastrado"))</f>
        <v/>
      </c>
      <c r="V1605" s="19" t="str">
        <f>IF(tblDados[[#This Row],[Visitante]]="","",IF(COUNTIF(CadastroEquipes,TRIM(tblDados[[#This Row],[Visitante]]))&gt;0,"","⚠ Nome não cadastrado"))</f>
        <v/>
      </c>
    </row>
    <row r="1606" spans="1:22" x14ac:dyDescent="0.3">
      <c r="A1606" s="1" t="s">
        <v>4389</v>
      </c>
      <c r="B1606" s="102">
        <v>46169</v>
      </c>
      <c r="C1606" s="6">
        <v>0.67708333333333337</v>
      </c>
      <c r="D1606" s="1" t="s">
        <v>24</v>
      </c>
      <c r="E1606" s="1" t="s">
        <v>4335</v>
      </c>
      <c r="F1606" s="1" t="s">
        <v>4390</v>
      </c>
      <c r="G1606" s="39" t="s">
        <v>132</v>
      </c>
      <c r="H1606" s="1">
        <v>1</v>
      </c>
      <c r="I1606" s="1">
        <v>3</v>
      </c>
      <c r="J1606" s="39" t="s">
        <v>126</v>
      </c>
      <c r="K1606" s="1">
        <v>3</v>
      </c>
      <c r="L1606" s="1">
        <v>1</v>
      </c>
      <c r="S1606" s="1" t="str">
        <f>IF(tblDados[[#This Row],[Mandante]]="","",TEXT(tblDados[[#This Row],[Data]],"aaaa-mm-dd")&amp;"|"&amp;TRIM(tblDados[[#This Row],[Mandante]])&amp;"|"&amp;TRIM(tblDados[[#This Row],[Visitante]]))</f>
        <v>2026-05-27|Grindavik|Afturelding</v>
      </c>
      <c r="T1606" s="1">
        <f>IF($G1606="",0,IF(COUNTIF($S$2:$S3094,$S1606)=1,1,0))</f>
        <v>1</v>
      </c>
      <c r="U1606" s="19" t="str">
        <f>IF(tblDados[[#This Row],[Mandante]]="","",IF(COUNTIF(CadastroEquipes,TRIM(tblDados[[#This Row],[Mandante]]))&gt;0,"","⚠ Nome não cadastrado"))</f>
        <v/>
      </c>
      <c r="V1606" s="19" t="str">
        <f>IF(tblDados[[#This Row],[Visitante]]="","",IF(COUNTIF(CadastroEquipes,TRIM(tblDados[[#This Row],[Visitante]]))&gt;0,"","⚠ Nome não cadastrado"))</f>
        <v/>
      </c>
    </row>
    <row r="1607" spans="1:22" x14ac:dyDescent="0.3">
      <c r="A1607" s="1" t="s">
        <v>4391</v>
      </c>
      <c r="B1607" s="102">
        <v>46164</v>
      </c>
      <c r="C1607" s="6">
        <v>0.67708333333333337</v>
      </c>
      <c r="D1607" s="1" t="s">
        <v>24</v>
      </c>
      <c r="E1607" s="1" t="s">
        <v>4335</v>
      </c>
      <c r="F1607" s="1" t="s">
        <v>4392</v>
      </c>
      <c r="G1607" s="39" t="s">
        <v>126</v>
      </c>
      <c r="H1607" s="1">
        <v>4</v>
      </c>
      <c r="I1607" s="1">
        <v>3</v>
      </c>
      <c r="J1607" s="39" t="s">
        <v>4339</v>
      </c>
      <c r="K1607" s="1">
        <v>3</v>
      </c>
      <c r="L1607" s="1">
        <v>4</v>
      </c>
      <c r="S1607" s="1" t="str">
        <f>IF(tblDados[[#This Row],[Mandante]]="","",TEXT(tblDados[[#This Row],[Data]],"aaaa-mm-dd")&amp;"|"&amp;TRIM(tblDados[[#This Row],[Mandante]])&amp;"|"&amp;TRIM(tblDados[[#This Row],[Visitante]]))</f>
        <v>2026-05-22|Afturelding|Throttur (Þróttur)</v>
      </c>
      <c r="T1607" s="1">
        <f>IF($G1607="",0,IF(COUNTIF($S$2:$S3095,$S1607)=1,1,0))</f>
        <v>1</v>
      </c>
      <c r="U1607" s="19" t="str">
        <f>IF(tblDados[[#This Row],[Mandante]]="","",IF(COUNTIF(CadastroEquipes,TRIM(tblDados[[#This Row],[Mandante]]))&gt;0,"","⚠ Nome não cadastrado"))</f>
        <v/>
      </c>
      <c r="V1607" s="19" t="str">
        <f>IF(tblDados[[#This Row],[Visitante]]="","",IF(COUNTIF(CadastroEquipes,TRIM(tblDados[[#This Row],[Visitante]]))&gt;0,"","⚠ Nome não cadastrado"))</f>
        <v/>
      </c>
    </row>
    <row r="1608" spans="1:22" x14ac:dyDescent="0.3">
      <c r="A1608" s="1" t="s">
        <v>4393</v>
      </c>
      <c r="B1608" s="102">
        <v>46243</v>
      </c>
      <c r="C1608" s="6">
        <v>0.54166666666666663</v>
      </c>
      <c r="D1608" s="1" t="s">
        <v>24</v>
      </c>
      <c r="E1608" s="1" t="s">
        <v>4335</v>
      </c>
      <c r="F1608" s="1" t="s">
        <v>4394</v>
      </c>
      <c r="G1608" s="39" t="s">
        <v>721</v>
      </c>
      <c r="H1608" s="1">
        <v>3</v>
      </c>
      <c r="I1608" s="1">
        <v>2</v>
      </c>
      <c r="J1608" s="39" t="s">
        <v>695</v>
      </c>
      <c r="K1608" s="1">
        <v>2</v>
      </c>
      <c r="L1608" s="1">
        <v>3</v>
      </c>
      <c r="S1608" s="1" t="str">
        <f>IF(tblDados[[#This Row],[Mandante]]="","",TEXT(tblDados[[#This Row],[Data]],"aaaa-mm-dd")&amp;"|"&amp;TRIM(tblDados[[#This Row],[Mandante]])&amp;"|"&amp;TRIM(tblDados[[#This Row],[Visitante]]))</f>
        <v>2026-08-09|Volsungur|Kopavogur</v>
      </c>
      <c r="T1608" s="1">
        <f>IF($G1608="",0,IF(COUNTIF($S$2:$S3096,$S1608)=1,1,0))</f>
        <v>1</v>
      </c>
      <c r="U1608" s="19" t="str">
        <f>IF(tblDados[[#This Row],[Mandante]]="","",IF(COUNTIF(CadastroEquipes,TRIM(tblDados[[#This Row],[Mandante]]))&gt;0,"","⚠ Nome não cadastrado"))</f>
        <v/>
      </c>
      <c r="V1608" s="19" t="str">
        <f>IF(tblDados[[#This Row],[Visitante]]="","",IF(COUNTIF(CadastroEquipes,TRIM(tblDados[[#This Row],[Visitante]]))&gt;0,"","⚠ Nome não cadastrado"))</f>
        <v/>
      </c>
    </row>
    <row r="1609" spans="1:22" x14ac:dyDescent="0.3">
      <c r="A1609" s="1" t="s">
        <v>4395</v>
      </c>
      <c r="B1609" s="102">
        <v>46227</v>
      </c>
      <c r="C1609" s="6">
        <v>0.67708333333333337</v>
      </c>
      <c r="D1609" s="1" t="s">
        <v>24</v>
      </c>
      <c r="E1609" s="1" t="s">
        <v>4335</v>
      </c>
      <c r="F1609" s="1" t="s">
        <v>4396</v>
      </c>
      <c r="G1609" s="39" t="s">
        <v>97</v>
      </c>
      <c r="H1609" s="1">
        <v>3</v>
      </c>
      <c r="I1609" s="1">
        <v>2</v>
      </c>
      <c r="J1609" s="39" t="s">
        <v>695</v>
      </c>
      <c r="K1609" s="1">
        <v>2</v>
      </c>
      <c r="L1609" s="1">
        <v>3</v>
      </c>
      <c r="S1609" s="1" t="str">
        <f>IF(tblDados[[#This Row],[Mandante]]="","",TEXT(tblDados[[#This Row],[Data]],"aaaa-mm-dd")&amp;"|"&amp;TRIM(tblDados[[#This Row],[Mandante]])&amp;"|"&amp;TRIM(tblDados[[#This Row],[Visitante]]))</f>
        <v>2026-07-24|Njardvik|Kopavogur</v>
      </c>
      <c r="T1609" s="1">
        <f>IF($G1609="",0,IF(COUNTIF($S$2:$S3097,$S1609)=1,1,0))</f>
        <v>1</v>
      </c>
      <c r="U1609" s="19" t="str">
        <f>IF(tblDados[[#This Row],[Mandante]]="","",IF(COUNTIF(CadastroEquipes,TRIM(tblDados[[#This Row],[Mandante]]))&gt;0,"","⚠ Nome não cadastrado"))</f>
        <v/>
      </c>
      <c r="V1609" s="19" t="str">
        <f>IF(tblDados[[#This Row],[Visitante]]="","",IF(COUNTIF(CadastroEquipes,TRIM(tblDados[[#This Row],[Visitante]]))&gt;0,"","⚠ Nome não cadastrado"))</f>
        <v/>
      </c>
    </row>
    <row r="1610" spans="1:22" x14ac:dyDescent="0.3">
      <c r="A1610" s="1" t="s">
        <v>4397</v>
      </c>
      <c r="B1610" s="102">
        <v>46223</v>
      </c>
      <c r="C1610" s="6">
        <v>0.67708333333333337</v>
      </c>
      <c r="D1610" s="1" t="s">
        <v>24</v>
      </c>
      <c r="E1610" s="1" t="s">
        <v>4335</v>
      </c>
      <c r="F1610" s="1" t="s">
        <v>4398</v>
      </c>
      <c r="G1610" s="39" t="s">
        <v>695</v>
      </c>
      <c r="H1610" s="1">
        <v>6</v>
      </c>
      <c r="I1610" s="1">
        <v>2</v>
      </c>
      <c r="J1610" s="39" t="s">
        <v>699</v>
      </c>
      <c r="K1610" s="1">
        <v>2</v>
      </c>
      <c r="L1610" s="1">
        <v>6</v>
      </c>
      <c r="S1610" s="1" t="str">
        <f>IF(tblDados[[#This Row],[Mandante]]="","",TEXT(tblDados[[#This Row],[Data]],"aaaa-mm-dd")&amp;"|"&amp;TRIM(tblDados[[#This Row],[Mandante]])&amp;"|"&amp;TRIM(tblDados[[#This Row],[Visitante]]))</f>
        <v>2026-07-20|Kopavogur|Vestri</v>
      </c>
      <c r="T1610" s="1">
        <f>IF($G1610="",0,IF(COUNTIF($S$2:$S3098,$S1610)=1,1,0))</f>
        <v>1</v>
      </c>
      <c r="U1610" s="19" t="str">
        <f>IF(tblDados[[#This Row],[Mandante]]="","",IF(COUNTIF(CadastroEquipes,TRIM(tblDados[[#This Row],[Mandante]]))&gt;0,"","⚠ Nome não cadastrado"))</f>
        <v/>
      </c>
      <c r="V1610" s="19" t="str">
        <f>IF(tblDados[[#This Row],[Visitante]]="","",IF(COUNTIF(CadastroEquipes,TRIM(tblDados[[#This Row],[Visitante]]))&gt;0,"","⚠ Nome não cadastrado"))</f>
        <v/>
      </c>
    </row>
    <row r="1611" spans="1:22" x14ac:dyDescent="0.3">
      <c r="A1611" s="1" t="s">
        <v>4399</v>
      </c>
      <c r="B1611" s="102">
        <v>46206</v>
      </c>
      <c r="C1611" s="6">
        <v>0.67708333333333337</v>
      </c>
      <c r="D1611" s="1" t="s">
        <v>24</v>
      </c>
      <c r="E1611" s="1" t="s">
        <v>4335</v>
      </c>
      <c r="F1611" s="1" t="s">
        <v>4400</v>
      </c>
      <c r="G1611" s="39" t="s">
        <v>737</v>
      </c>
      <c r="H1611" s="1">
        <v>2</v>
      </c>
      <c r="I1611" s="1">
        <v>1</v>
      </c>
      <c r="J1611" s="39" t="s">
        <v>695</v>
      </c>
      <c r="K1611" s="1">
        <v>1</v>
      </c>
      <c r="L1611" s="1">
        <v>2</v>
      </c>
      <c r="S1611" s="1" t="str">
        <f>IF(tblDados[[#This Row],[Mandante]]="","",TEXT(tblDados[[#This Row],[Data]],"aaaa-mm-dd")&amp;"|"&amp;TRIM(tblDados[[#This Row],[Mandante]])&amp;"|"&amp;TRIM(tblDados[[#This Row],[Visitante]]))</f>
        <v>2026-07-03|Grotta|Kopavogur</v>
      </c>
      <c r="T1611" s="1">
        <f>IF($G1611="",0,IF(COUNTIF($S$2:$S3099,$S1611)=1,1,0))</f>
        <v>1</v>
      </c>
      <c r="U1611" s="19" t="str">
        <f>IF(tblDados[[#This Row],[Mandante]]="","",IF(COUNTIF(CadastroEquipes,TRIM(tblDados[[#This Row],[Mandante]]))&gt;0,"","⚠ Nome não cadastrado"))</f>
        <v/>
      </c>
      <c r="V1611" s="19" t="str">
        <f>IF(tblDados[[#This Row],[Visitante]]="","",IF(COUNTIF(CadastroEquipes,TRIM(tblDados[[#This Row],[Visitante]]))&gt;0,"","⚠ Nome não cadastrado"))</f>
        <v/>
      </c>
    </row>
    <row r="1612" spans="1:22" x14ac:dyDescent="0.3">
      <c r="A1612" s="1" t="s">
        <v>4401</v>
      </c>
      <c r="B1612" s="102">
        <v>46194</v>
      </c>
      <c r="C1612" s="6">
        <v>0.67708333333333337</v>
      </c>
      <c r="D1612" s="1" t="s">
        <v>24</v>
      </c>
      <c r="E1612" s="1" t="s">
        <v>4335</v>
      </c>
      <c r="F1612" s="1" t="s">
        <v>4402</v>
      </c>
      <c r="G1612" s="39" t="s">
        <v>695</v>
      </c>
      <c r="H1612" s="1">
        <v>2</v>
      </c>
      <c r="I1612" s="1">
        <v>2</v>
      </c>
      <c r="J1612" s="39" t="s">
        <v>132</v>
      </c>
      <c r="K1612" s="1">
        <v>2</v>
      </c>
      <c r="L1612" s="1">
        <v>2</v>
      </c>
      <c r="S1612" s="1" t="str">
        <f>IF(tblDados[[#This Row],[Mandante]]="","",TEXT(tblDados[[#This Row],[Data]],"aaaa-mm-dd")&amp;"|"&amp;TRIM(tblDados[[#This Row],[Mandante]])&amp;"|"&amp;TRIM(tblDados[[#This Row],[Visitante]]))</f>
        <v>2026-06-21|Kopavogur|Grindavik</v>
      </c>
      <c r="T1612" s="1">
        <f>IF($G1612="",0,IF(COUNTIF($S$2:$S3100,$S1612)=1,1,0))</f>
        <v>1</v>
      </c>
      <c r="U1612" s="19" t="str">
        <f>IF(tblDados[[#This Row],[Mandante]]="","",IF(COUNTIF(CadastroEquipes,TRIM(tblDados[[#This Row],[Mandante]]))&gt;0,"","⚠ Nome não cadastrado"))</f>
        <v/>
      </c>
      <c r="V1612" s="19" t="str">
        <f>IF(tblDados[[#This Row],[Visitante]]="","",IF(COUNTIF(CadastroEquipes,TRIM(tblDados[[#This Row],[Visitante]]))&gt;0,"","⚠ Nome não cadastrado"))</f>
        <v/>
      </c>
    </row>
    <row r="1613" spans="1:22" x14ac:dyDescent="0.3">
      <c r="A1613" s="1" t="s">
        <v>4403</v>
      </c>
      <c r="B1613" s="102">
        <v>46173</v>
      </c>
      <c r="C1613" s="6">
        <v>0.58333333333333337</v>
      </c>
      <c r="D1613" s="1" t="s">
        <v>24</v>
      </c>
      <c r="E1613" s="1" t="s">
        <v>4335</v>
      </c>
      <c r="F1613" s="1" t="s">
        <v>4404</v>
      </c>
      <c r="G1613" s="39" t="s">
        <v>705</v>
      </c>
      <c r="H1613" s="1">
        <v>4</v>
      </c>
      <c r="I1613" s="1">
        <v>1</v>
      </c>
      <c r="J1613" s="39" t="s">
        <v>695</v>
      </c>
      <c r="K1613" s="1">
        <v>1</v>
      </c>
      <c r="L1613" s="1">
        <v>4</v>
      </c>
      <c r="S1613" s="1" t="str">
        <f>IF(tblDados[[#This Row],[Mandante]]="","",TEXT(tblDados[[#This Row],[Data]],"aaaa-mm-dd")&amp;"|"&amp;TRIM(tblDados[[#This Row],[Mandante]])&amp;"|"&amp;TRIM(tblDados[[#This Row],[Visitante]]))</f>
        <v>2026-05-31|Leiknir|Kopavogur</v>
      </c>
      <c r="T1613" s="1">
        <f>IF($G1613="",0,IF(COUNTIF($S$2:$S3101,$S1613)=1,1,0))</f>
        <v>1</v>
      </c>
      <c r="U1613" s="19" t="str">
        <f>IF(tblDados[[#This Row],[Mandante]]="","",IF(COUNTIF(CadastroEquipes,TRIM(tblDados[[#This Row],[Mandante]]))&gt;0,"","⚠ Nome não cadastrado"))</f>
        <v/>
      </c>
      <c r="V1613" s="19" t="str">
        <f>IF(tblDados[[#This Row],[Visitante]]="","",IF(COUNTIF(CadastroEquipes,TRIM(tblDados[[#This Row],[Visitante]]))&gt;0,"","⚠ Nome não cadastrado"))</f>
        <v/>
      </c>
    </row>
    <row r="1614" spans="1:22" x14ac:dyDescent="0.3">
      <c r="A1614" s="1" t="s">
        <v>4405</v>
      </c>
      <c r="B1614" s="102">
        <v>46169</v>
      </c>
      <c r="C1614" s="6">
        <v>0.625</v>
      </c>
      <c r="D1614" s="1" t="s">
        <v>24</v>
      </c>
      <c r="E1614" s="1" t="s">
        <v>4335</v>
      </c>
      <c r="F1614" s="1" t="s">
        <v>4406</v>
      </c>
      <c r="G1614" s="39" t="s">
        <v>695</v>
      </c>
      <c r="H1614" s="1">
        <v>1</v>
      </c>
      <c r="I1614" s="1">
        <v>0</v>
      </c>
      <c r="J1614" s="39" t="s">
        <v>721</v>
      </c>
      <c r="K1614" s="1">
        <v>0</v>
      </c>
      <c r="L1614" s="1">
        <v>1</v>
      </c>
      <c r="S1614" s="1" t="str">
        <f>IF(tblDados[[#This Row],[Mandante]]="","",TEXT(tblDados[[#This Row],[Data]],"aaaa-mm-dd")&amp;"|"&amp;TRIM(tblDados[[#This Row],[Mandante]])&amp;"|"&amp;TRIM(tblDados[[#This Row],[Visitante]]))</f>
        <v>2026-05-27|Kopavogur|Volsungur</v>
      </c>
      <c r="T1614" s="1">
        <f>IF($G1614="",0,IF(COUNTIF($S$2:$S3102,$S1614)=1,1,0))</f>
        <v>1</v>
      </c>
      <c r="U1614" s="19" t="str">
        <f>IF(tblDados[[#This Row],[Mandante]]="","",IF(COUNTIF(CadastroEquipes,TRIM(tblDados[[#This Row],[Mandante]]))&gt;0,"","⚠ Nome não cadastrado"))</f>
        <v/>
      </c>
      <c r="V1614" s="19" t="str">
        <f>IF(tblDados[[#This Row],[Visitante]]="","",IF(COUNTIF(CadastroEquipes,TRIM(tblDados[[#This Row],[Visitante]]))&gt;0,"","⚠ Nome não cadastrado"))</f>
        <v/>
      </c>
    </row>
    <row r="1615" spans="1:22" x14ac:dyDescent="0.3">
      <c r="A1615" s="1" t="s">
        <v>4407</v>
      </c>
      <c r="B1615" s="102">
        <v>46242</v>
      </c>
      <c r="C1615" s="6">
        <v>0.45833333333333331</v>
      </c>
      <c r="D1615" s="1" t="s">
        <v>24</v>
      </c>
      <c r="E1615" s="1" t="s">
        <v>4335</v>
      </c>
      <c r="F1615" s="1" t="s">
        <v>4408</v>
      </c>
      <c r="G1615" s="39" t="s">
        <v>97</v>
      </c>
      <c r="H1615" s="1">
        <v>3</v>
      </c>
      <c r="I1615" s="1">
        <v>1</v>
      </c>
      <c r="J1615" s="39" t="s">
        <v>699</v>
      </c>
      <c r="K1615" s="1">
        <v>1</v>
      </c>
      <c r="L1615" s="1">
        <v>3</v>
      </c>
      <c r="S1615" s="1" t="str">
        <f>IF(tblDados[[#This Row],[Mandante]]="","",TEXT(tblDados[[#This Row],[Data]],"aaaa-mm-dd")&amp;"|"&amp;TRIM(tblDados[[#This Row],[Mandante]])&amp;"|"&amp;TRIM(tblDados[[#This Row],[Visitante]]))</f>
        <v>2026-08-08|Njardvik|Vestri</v>
      </c>
      <c r="T1615" s="1">
        <f>IF($G1615="",0,IF(COUNTIF($S$2:$S3103,$S1615)=1,1,0))</f>
        <v>1</v>
      </c>
      <c r="U1615" s="19" t="str">
        <f>IF(tblDados[[#This Row],[Mandante]]="","",IF(COUNTIF(CadastroEquipes,TRIM(tblDados[[#This Row],[Mandante]]))&gt;0,"","⚠ Nome não cadastrado"))</f>
        <v/>
      </c>
      <c r="V1615" s="19" t="str">
        <f>IF(tblDados[[#This Row],[Visitante]]="","",IF(COUNTIF(CadastroEquipes,TRIM(tblDados[[#This Row],[Visitante]]))&gt;0,"","⚠ Nome não cadastrado"))</f>
        <v/>
      </c>
    </row>
    <row r="1616" spans="1:22" x14ac:dyDescent="0.3">
      <c r="A1616" s="1" t="s">
        <v>4409</v>
      </c>
      <c r="B1616" s="102">
        <v>46213</v>
      </c>
      <c r="C1616" s="6">
        <v>0.67708333333333337</v>
      </c>
      <c r="D1616" s="1" t="s">
        <v>24</v>
      </c>
      <c r="E1616" s="1" t="s">
        <v>4335</v>
      </c>
      <c r="F1616" s="1" t="s">
        <v>4410</v>
      </c>
      <c r="G1616" s="39" t="s">
        <v>97</v>
      </c>
      <c r="H1616" s="1">
        <v>5</v>
      </c>
      <c r="I1616" s="1">
        <v>4</v>
      </c>
      <c r="J1616" s="39" t="s">
        <v>132</v>
      </c>
      <c r="K1616" s="1">
        <v>4</v>
      </c>
      <c r="L1616" s="1">
        <v>5</v>
      </c>
      <c r="S1616" s="1" t="str">
        <f>IF(tblDados[[#This Row],[Mandante]]="","",TEXT(tblDados[[#This Row],[Data]],"aaaa-mm-dd")&amp;"|"&amp;TRIM(tblDados[[#This Row],[Mandante]])&amp;"|"&amp;TRIM(tblDados[[#This Row],[Visitante]]))</f>
        <v>2026-07-10|Njardvik|Grindavik</v>
      </c>
      <c r="T1616" s="1">
        <f>IF($G1616="",0,IF(COUNTIF($S$2:$S3104,$S1616)=1,1,0))</f>
        <v>1</v>
      </c>
      <c r="U1616" s="19" t="str">
        <f>IF(tblDados[[#This Row],[Mandante]]="","",IF(COUNTIF(CadastroEquipes,TRIM(tblDados[[#This Row],[Mandante]]))&gt;0,"","⚠ Nome não cadastrado"))</f>
        <v/>
      </c>
      <c r="V1616" s="19" t="str">
        <f>IF(tblDados[[#This Row],[Visitante]]="","",IF(COUNTIF(CadastroEquipes,TRIM(tblDados[[#This Row],[Visitante]]))&gt;0,"","⚠ Nome não cadastrado"))</f>
        <v/>
      </c>
    </row>
    <row r="1617" spans="1:22" x14ac:dyDescent="0.3">
      <c r="A1617" s="1" t="s">
        <v>4411</v>
      </c>
      <c r="B1617" s="102">
        <v>46192</v>
      </c>
      <c r="C1617" s="6">
        <v>0.67708333333333337</v>
      </c>
      <c r="D1617" s="1" t="s">
        <v>24</v>
      </c>
      <c r="E1617" s="1" t="s">
        <v>4335</v>
      </c>
      <c r="F1617" s="1" t="s">
        <v>4412</v>
      </c>
      <c r="G1617" s="39" t="s">
        <v>97</v>
      </c>
      <c r="H1617" s="1">
        <v>1</v>
      </c>
      <c r="I1617" s="1">
        <v>0</v>
      </c>
      <c r="J1617" s="39" t="s">
        <v>705</v>
      </c>
      <c r="K1617" s="1">
        <v>0</v>
      </c>
      <c r="L1617" s="1">
        <v>1</v>
      </c>
      <c r="S1617" s="1" t="str">
        <f>IF(tblDados[[#This Row],[Mandante]]="","",TEXT(tblDados[[#This Row],[Data]],"aaaa-mm-dd")&amp;"|"&amp;TRIM(tblDados[[#This Row],[Mandante]])&amp;"|"&amp;TRIM(tblDados[[#This Row],[Visitante]]))</f>
        <v>2026-06-19|Njardvik|Leiknir</v>
      </c>
      <c r="T1617" s="1">
        <f>IF($G1617="",0,IF(COUNTIF($S$2:$S3105,$S1617)=1,1,0))</f>
        <v>1</v>
      </c>
      <c r="U1617" s="19" t="str">
        <f>IF(tblDados[[#This Row],[Mandante]]="","",IF(COUNTIF(CadastroEquipes,TRIM(tblDados[[#This Row],[Mandante]]))&gt;0,"","⚠ Nome não cadastrado"))</f>
        <v/>
      </c>
      <c r="V1617" s="19" t="str">
        <f>IF(tblDados[[#This Row],[Visitante]]="","",IF(COUNTIF(CadastroEquipes,TRIM(tblDados[[#This Row],[Visitante]]))&gt;0,"","⚠ Nome não cadastrado"))</f>
        <v/>
      </c>
    </row>
    <row r="1618" spans="1:22" x14ac:dyDescent="0.3">
      <c r="A1618" s="1" t="s">
        <v>4413</v>
      </c>
      <c r="B1618" s="102">
        <v>46186</v>
      </c>
      <c r="C1618" s="6">
        <v>0.45833333333333331</v>
      </c>
      <c r="D1618" s="1" t="s">
        <v>24</v>
      </c>
      <c r="E1618" s="1" t="s">
        <v>4335</v>
      </c>
      <c r="F1618" s="1" t="s">
        <v>4414</v>
      </c>
      <c r="G1618" s="39" t="s">
        <v>721</v>
      </c>
      <c r="H1618" s="1">
        <v>2</v>
      </c>
      <c r="I1618" s="1">
        <v>1</v>
      </c>
      <c r="J1618" s="39" t="s">
        <v>97</v>
      </c>
      <c r="K1618" s="1">
        <v>1</v>
      </c>
      <c r="L1618" s="1">
        <v>2</v>
      </c>
      <c r="S1618" s="1" t="str">
        <f>IF(tblDados[[#This Row],[Mandante]]="","",TEXT(tblDados[[#This Row],[Data]],"aaaa-mm-dd")&amp;"|"&amp;TRIM(tblDados[[#This Row],[Mandante]])&amp;"|"&amp;TRIM(tblDados[[#This Row],[Visitante]]))</f>
        <v>2026-06-13|Volsungur|Njardvik</v>
      </c>
      <c r="T1618" s="1">
        <f>IF($G1618="",0,IF(COUNTIF($S$2:$S3106,$S1618)=1,1,0))</f>
        <v>1</v>
      </c>
      <c r="U1618" s="19" t="str">
        <f>IF(tblDados[[#This Row],[Mandante]]="","",IF(COUNTIF(CadastroEquipes,TRIM(tblDados[[#This Row],[Mandante]]))&gt;0,"","⚠ Nome não cadastrado"))</f>
        <v/>
      </c>
      <c r="V1618" s="19" t="str">
        <f>IF(tblDados[[#This Row],[Visitante]]="","",IF(COUNTIF(CadastroEquipes,TRIM(tblDados[[#This Row],[Visitante]]))&gt;0,"","⚠ Nome não cadastrado"))</f>
        <v/>
      </c>
    </row>
    <row r="1619" spans="1:22" x14ac:dyDescent="0.3">
      <c r="A1619" s="1" t="s">
        <v>4415</v>
      </c>
      <c r="B1619" s="102">
        <v>46169</v>
      </c>
      <c r="C1619" s="6">
        <v>0.625</v>
      </c>
      <c r="D1619" s="1" t="s">
        <v>24</v>
      </c>
      <c r="E1619" s="1" t="s">
        <v>4335</v>
      </c>
      <c r="F1619" s="1" t="s">
        <v>4416</v>
      </c>
      <c r="G1619" s="39" t="s">
        <v>699</v>
      </c>
      <c r="H1619" s="1">
        <v>0</v>
      </c>
      <c r="I1619" s="1">
        <v>3</v>
      </c>
      <c r="J1619" s="39" t="s">
        <v>97</v>
      </c>
      <c r="K1619" s="1">
        <v>3</v>
      </c>
      <c r="L1619" s="1">
        <v>0</v>
      </c>
      <c r="S1619" s="1" t="str">
        <f>IF(tblDados[[#This Row],[Mandante]]="","",TEXT(tblDados[[#This Row],[Data]],"aaaa-mm-dd")&amp;"|"&amp;TRIM(tblDados[[#This Row],[Mandante]])&amp;"|"&amp;TRIM(tblDados[[#This Row],[Visitante]]))</f>
        <v>2026-05-27|Vestri|Njardvik</v>
      </c>
      <c r="T1619" s="1">
        <f>IF($G1619="",0,IF(COUNTIF($S$2:$S3107,$S1619)=1,1,0))</f>
        <v>1</v>
      </c>
      <c r="U1619" s="19" t="str">
        <f>IF(tblDados[[#This Row],[Mandante]]="","",IF(COUNTIF(CadastroEquipes,TRIM(tblDados[[#This Row],[Mandante]]))&gt;0,"","⚠ Nome não cadastrado"))</f>
        <v/>
      </c>
      <c r="V1619" s="19" t="str">
        <f>IF(tblDados[[#This Row],[Visitante]]="","",IF(COUNTIF(CadastroEquipes,TRIM(tblDados[[#This Row],[Visitante]]))&gt;0,"","⚠ Nome não cadastrado"))</f>
        <v/>
      </c>
    </row>
    <row r="1620" spans="1:22" x14ac:dyDescent="0.3">
      <c r="A1620" s="1" t="s">
        <v>4417</v>
      </c>
      <c r="B1620" s="102">
        <v>46237</v>
      </c>
      <c r="C1620" s="6">
        <v>0.45833333333333331</v>
      </c>
      <c r="D1620" s="1" t="s">
        <v>24</v>
      </c>
      <c r="E1620" s="1" t="s">
        <v>4335</v>
      </c>
      <c r="F1620" s="1" t="s">
        <v>4418</v>
      </c>
      <c r="G1620" s="39" t="s">
        <v>699</v>
      </c>
      <c r="H1620" s="1">
        <v>0</v>
      </c>
      <c r="I1620" s="1">
        <v>3</v>
      </c>
      <c r="J1620" s="39" t="s">
        <v>737</v>
      </c>
      <c r="K1620" s="1">
        <v>3</v>
      </c>
      <c r="L1620" s="1">
        <v>0</v>
      </c>
      <c r="S1620" s="1" t="str">
        <f>IF(tblDados[[#This Row],[Mandante]]="","",TEXT(tblDados[[#This Row],[Data]],"aaaa-mm-dd")&amp;"|"&amp;TRIM(tblDados[[#This Row],[Mandante]])&amp;"|"&amp;TRIM(tblDados[[#This Row],[Visitante]]))</f>
        <v>2026-08-03|Vestri|Grotta</v>
      </c>
      <c r="T1620" s="1">
        <f>IF($G1620="",0,IF(COUNTIF($S$2:$S3108,$S1620)=1,1,0))</f>
        <v>1</v>
      </c>
      <c r="U1620" s="19" t="str">
        <f>IF(tblDados[[#This Row],[Mandante]]="","",IF(COUNTIF(CadastroEquipes,TRIM(tblDados[[#This Row],[Mandante]]))&gt;0,"","⚠ Nome não cadastrado"))</f>
        <v/>
      </c>
      <c r="V1620" s="19" t="str">
        <f>IF(tblDados[[#This Row],[Visitante]]="","",IF(COUNTIF(CadastroEquipes,TRIM(tblDados[[#This Row],[Visitante]]))&gt;0,"","⚠ Nome não cadastrado"))</f>
        <v/>
      </c>
    </row>
    <row r="1621" spans="1:22" x14ac:dyDescent="0.3">
      <c r="A1621" s="1" t="s">
        <v>4419</v>
      </c>
      <c r="B1621" s="102">
        <v>46217</v>
      </c>
      <c r="C1621" s="6">
        <v>0.625</v>
      </c>
      <c r="D1621" s="1" t="s">
        <v>24</v>
      </c>
      <c r="E1621" s="1" t="s">
        <v>4335</v>
      </c>
      <c r="F1621" s="1" t="s">
        <v>4420</v>
      </c>
      <c r="G1621" s="39" t="s">
        <v>737</v>
      </c>
      <c r="H1621" s="1">
        <v>1</v>
      </c>
      <c r="I1621" s="1">
        <v>2</v>
      </c>
      <c r="J1621" s="39" t="s">
        <v>132</v>
      </c>
      <c r="K1621" s="1">
        <v>2</v>
      </c>
      <c r="L1621" s="1">
        <v>1</v>
      </c>
      <c r="S1621" s="1" t="str">
        <f>IF(tblDados[[#This Row],[Mandante]]="","",TEXT(tblDados[[#This Row],[Data]],"aaaa-mm-dd")&amp;"|"&amp;TRIM(tblDados[[#This Row],[Mandante]])&amp;"|"&amp;TRIM(tblDados[[#This Row],[Visitante]]))</f>
        <v>2026-07-14|Grotta|Grindavik</v>
      </c>
      <c r="T1621" s="1">
        <f>IF($G1621="",0,IF(COUNTIF($S$2:$S3109,$S1621)=1,1,0))</f>
        <v>1</v>
      </c>
      <c r="U1621" s="19" t="str">
        <f>IF(tblDados[[#This Row],[Mandante]]="","",IF(COUNTIF(CadastroEquipes,TRIM(tblDados[[#This Row],[Mandante]]))&gt;0,"","⚠ Nome não cadastrado"))</f>
        <v/>
      </c>
      <c r="V1621" s="19" t="str">
        <f>IF(tblDados[[#This Row],[Visitante]]="","",IF(COUNTIF(CadastroEquipes,TRIM(tblDados[[#This Row],[Visitante]]))&gt;0,"","⚠ Nome não cadastrado"))</f>
        <v/>
      </c>
    </row>
    <row r="1622" spans="1:22" x14ac:dyDescent="0.3">
      <c r="A1622" s="1" t="s">
        <v>4421</v>
      </c>
      <c r="B1622" s="102">
        <v>46213</v>
      </c>
      <c r="C1622" s="6">
        <v>0.67708333333333337</v>
      </c>
      <c r="D1622" s="1" t="s">
        <v>24</v>
      </c>
      <c r="E1622" s="1" t="s">
        <v>4335</v>
      </c>
      <c r="F1622" s="1" t="s">
        <v>4422</v>
      </c>
      <c r="G1622" s="39" t="s">
        <v>705</v>
      </c>
      <c r="H1622" s="1">
        <v>0</v>
      </c>
      <c r="I1622" s="1">
        <v>1</v>
      </c>
      <c r="J1622" s="39" t="s">
        <v>737</v>
      </c>
      <c r="K1622" s="1">
        <v>1</v>
      </c>
      <c r="L1622" s="1">
        <v>0</v>
      </c>
      <c r="S1622" s="1" t="str">
        <f>IF(tblDados[[#This Row],[Mandante]]="","",TEXT(tblDados[[#This Row],[Data]],"aaaa-mm-dd")&amp;"|"&amp;TRIM(tblDados[[#This Row],[Mandante]])&amp;"|"&amp;TRIM(tblDados[[#This Row],[Visitante]]))</f>
        <v>2026-07-10|Leiknir|Grotta</v>
      </c>
      <c r="T1622" s="1">
        <f>IF($G1622="",0,IF(COUNTIF($S$2:$S3110,$S1622)=1,1,0))</f>
        <v>1</v>
      </c>
      <c r="U1622" s="19" t="str">
        <f>IF(tblDados[[#This Row],[Mandante]]="","",IF(COUNTIF(CadastroEquipes,TRIM(tblDados[[#This Row],[Mandante]]))&gt;0,"","⚠ Nome não cadastrado"))</f>
        <v/>
      </c>
      <c r="V1622" s="19" t="str">
        <f>IF(tblDados[[#This Row],[Visitante]]="","",IF(COUNTIF(CadastroEquipes,TRIM(tblDados[[#This Row],[Visitante]]))&gt;0,"","⚠ Nome não cadastrado"))</f>
        <v/>
      </c>
    </row>
    <row r="1623" spans="1:22" x14ac:dyDescent="0.3">
      <c r="A1623" s="1" t="s">
        <v>4423</v>
      </c>
      <c r="B1623" s="102">
        <v>46200</v>
      </c>
      <c r="C1623" s="6">
        <v>0.5</v>
      </c>
      <c r="D1623" s="1" t="s">
        <v>24</v>
      </c>
      <c r="E1623" s="1" t="s">
        <v>4335</v>
      </c>
      <c r="F1623" s="1" t="s">
        <v>4424</v>
      </c>
      <c r="G1623" s="39" t="s">
        <v>721</v>
      </c>
      <c r="H1623" s="1">
        <v>2</v>
      </c>
      <c r="I1623" s="1">
        <v>2</v>
      </c>
      <c r="J1623" s="39" t="s">
        <v>737</v>
      </c>
      <c r="K1623" s="1">
        <v>2</v>
      </c>
      <c r="L1623" s="1">
        <v>2</v>
      </c>
      <c r="S1623" s="1" t="str">
        <f>IF(tblDados[[#This Row],[Mandante]]="","",TEXT(tblDados[[#This Row],[Data]],"aaaa-mm-dd")&amp;"|"&amp;TRIM(tblDados[[#This Row],[Mandante]])&amp;"|"&amp;TRIM(tblDados[[#This Row],[Visitante]]))</f>
        <v>2026-06-27|Volsungur|Grotta</v>
      </c>
      <c r="T1623" s="1">
        <f>IF($G1623="",0,IF(COUNTIF($S$2:$S3111,$S1623)=1,1,0))</f>
        <v>1</v>
      </c>
      <c r="U1623" s="19" t="str">
        <f>IF(tblDados[[#This Row],[Mandante]]="","",IF(COUNTIF(CadastroEquipes,TRIM(tblDados[[#This Row],[Mandante]]))&gt;0,"","⚠ Nome não cadastrado"))</f>
        <v/>
      </c>
      <c r="V1623" s="19" t="str">
        <f>IF(tblDados[[#This Row],[Visitante]]="","",IF(COUNTIF(CadastroEquipes,TRIM(tblDados[[#This Row],[Visitante]]))&gt;0,"","⚠ Nome não cadastrado"))</f>
        <v/>
      </c>
    </row>
    <row r="1624" spans="1:22" x14ac:dyDescent="0.3">
      <c r="A1624" s="1" t="s">
        <v>4425</v>
      </c>
      <c r="B1624" s="102">
        <v>46173</v>
      </c>
      <c r="C1624" s="6">
        <v>0.45833333333333331</v>
      </c>
      <c r="D1624" s="1" t="s">
        <v>24</v>
      </c>
      <c r="E1624" s="1" t="s">
        <v>4335</v>
      </c>
      <c r="F1624" s="1" t="s">
        <v>4426</v>
      </c>
      <c r="G1624" s="39" t="s">
        <v>97</v>
      </c>
      <c r="H1624" s="1">
        <v>1</v>
      </c>
      <c r="I1624" s="1">
        <v>2</v>
      </c>
      <c r="J1624" s="39" t="s">
        <v>737</v>
      </c>
      <c r="K1624" s="1">
        <v>2</v>
      </c>
      <c r="L1624" s="1">
        <v>1</v>
      </c>
      <c r="S1624" s="1" t="str">
        <f>IF(tblDados[[#This Row],[Mandante]]="","",TEXT(tblDados[[#This Row],[Data]],"aaaa-mm-dd")&amp;"|"&amp;TRIM(tblDados[[#This Row],[Mandante]])&amp;"|"&amp;TRIM(tblDados[[#This Row],[Visitante]]))</f>
        <v>2026-05-31|Njardvik|Grotta</v>
      </c>
      <c r="T1624" s="1">
        <f>IF($G1624="",0,IF(COUNTIF($S$2:$S3112,$S1624)=1,1,0))</f>
        <v>1</v>
      </c>
      <c r="U1624" s="19" t="str">
        <f>IF(tblDados[[#This Row],[Mandante]]="","",IF(COUNTIF(CadastroEquipes,TRIM(tblDados[[#This Row],[Mandante]]))&gt;0,"","⚠ Nome não cadastrado"))</f>
        <v/>
      </c>
      <c r="V1624" s="19" t="str">
        <f>IF(tblDados[[#This Row],[Visitante]]="","",IF(COUNTIF(CadastroEquipes,TRIM(tblDados[[#This Row],[Visitante]]))&gt;0,"","⚠ Nome não cadastrado"))</f>
        <v/>
      </c>
    </row>
    <row r="1625" spans="1:22" x14ac:dyDescent="0.3">
      <c r="A1625" s="1" t="s">
        <v>4427</v>
      </c>
      <c r="B1625" s="102">
        <v>46165</v>
      </c>
      <c r="C1625" s="6">
        <v>0.45833333333333331</v>
      </c>
      <c r="D1625" s="1" t="s">
        <v>24</v>
      </c>
      <c r="E1625" s="1" t="s">
        <v>4335</v>
      </c>
      <c r="F1625" s="1" t="s">
        <v>4428</v>
      </c>
      <c r="G1625" s="39" t="s">
        <v>737</v>
      </c>
      <c r="H1625" s="1">
        <v>5</v>
      </c>
      <c r="I1625" s="1">
        <v>3</v>
      </c>
      <c r="J1625" s="39" t="s">
        <v>699</v>
      </c>
      <c r="K1625" s="1">
        <v>3</v>
      </c>
      <c r="L1625" s="1">
        <v>5</v>
      </c>
      <c r="S1625" s="1" t="str">
        <f>IF(tblDados[[#This Row],[Mandante]]="","",TEXT(tblDados[[#This Row],[Data]],"aaaa-mm-dd")&amp;"|"&amp;TRIM(tblDados[[#This Row],[Mandante]])&amp;"|"&amp;TRIM(tblDados[[#This Row],[Visitante]]))</f>
        <v>2026-05-23|Grotta|Vestri</v>
      </c>
      <c r="T1625" s="1">
        <f>IF($G1625="",0,IF(COUNTIF($S$2:$S3113,$S1625)=1,1,0))</f>
        <v>1</v>
      </c>
      <c r="U1625" s="19" t="str">
        <f>IF(tblDados[[#This Row],[Mandante]]="","",IF(COUNTIF(CadastroEquipes,TRIM(tblDados[[#This Row],[Mandante]]))&gt;0,"","⚠ Nome não cadastrado"))</f>
        <v/>
      </c>
      <c r="V1625" s="19" t="str">
        <f>IF(tblDados[[#This Row],[Visitante]]="","",IF(COUNTIF(CadastroEquipes,TRIM(tblDados[[#This Row],[Visitante]]))&gt;0,"","⚠ Nome não cadastrado"))</f>
        <v/>
      </c>
    </row>
    <row r="1626" spans="1:22" x14ac:dyDescent="0.3">
      <c r="A1626" s="1" t="s">
        <v>4429</v>
      </c>
      <c r="B1626" s="102">
        <v>46151</v>
      </c>
      <c r="C1626" s="6">
        <v>0.45833333333333331</v>
      </c>
      <c r="D1626" s="1" t="s">
        <v>24</v>
      </c>
      <c r="E1626" s="1" t="s">
        <v>4335</v>
      </c>
      <c r="F1626" s="1" t="s">
        <v>4430</v>
      </c>
      <c r="G1626" s="39" t="s">
        <v>699</v>
      </c>
      <c r="H1626" s="1">
        <v>4</v>
      </c>
      <c r="I1626" s="1">
        <v>3</v>
      </c>
      <c r="J1626" s="39" t="s">
        <v>695</v>
      </c>
      <c r="K1626" s="1">
        <v>3</v>
      </c>
      <c r="L1626" s="1">
        <v>4</v>
      </c>
      <c r="S1626" s="1" t="str">
        <f>IF(tblDados[[#This Row],[Mandante]]="","",TEXT(tblDados[[#This Row],[Data]],"aaaa-mm-dd")&amp;"|"&amp;TRIM(tblDados[[#This Row],[Mandante]])&amp;"|"&amp;TRIM(tblDados[[#This Row],[Visitante]]))</f>
        <v>2026-05-09|Vestri|Kopavogur</v>
      </c>
      <c r="T1626" s="1">
        <f>IF($G1626="",0,IF(COUNTIF($S$2:$S3114,$S1626)=1,1,0))</f>
        <v>1</v>
      </c>
      <c r="U1626" s="19" t="str">
        <f>IF(tblDados[[#This Row],[Mandante]]="","",IF(COUNTIF(CadastroEquipes,TRIM(tblDados[[#This Row],[Mandante]]))&gt;0,"","⚠ Nome não cadastrado"))</f>
        <v/>
      </c>
      <c r="V1626" s="19" t="str">
        <f>IF(tblDados[[#This Row],[Visitante]]="","",IF(COUNTIF(CadastroEquipes,TRIM(tblDados[[#This Row],[Visitante]]))&gt;0,"","⚠ Nome não cadastrado"))</f>
        <v/>
      </c>
    </row>
    <row r="1627" spans="1:22" x14ac:dyDescent="0.3">
      <c r="A1627" s="1" t="s">
        <v>4431</v>
      </c>
      <c r="B1627" s="102">
        <v>46207</v>
      </c>
      <c r="C1627" s="6">
        <v>0.54166666666666663</v>
      </c>
      <c r="D1627" s="1" t="s">
        <v>24</v>
      </c>
      <c r="E1627" s="1" t="s">
        <v>4335</v>
      </c>
      <c r="F1627" s="1" t="s">
        <v>4432</v>
      </c>
      <c r="G1627" s="39" t="s">
        <v>705</v>
      </c>
      <c r="H1627" s="1">
        <v>3</v>
      </c>
      <c r="I1627" s="1">
        <v>3</v>
      </c>
      <c r="J1627" s="39" t="s">
        <v>721</v>
      </c>
      <c r="K1627" s="1">
        <v>3</v>
      </c>
      <c r="L1627" s="1">
        <v>3</v>
      </c>
      <c r="S1627" s="1" t="str">
        <f>IF(tblDados[[#This Row],[Mandante]]="","",TEXT(tblDados[[#This Row],[Data]],"aaaa-mm-dd")&amp;"|"&amp;TRIM(tblDados[[#This Row],[Mandante]])&amp;"|"&amp;TRIM(tblDados[[#This Row],[Visitante]]))</f>
        <v>2026-07-04|Leiknir|Volsungur</v>
      </c>
      <c r="T1627" s="1">
        <f>IF($G1627="",0,IF(COUNTIF($S$2:$S3115,$S1627)=1,1,0))</f>
        <v>1</v>
      </c>
      <c r="U1627" s="19" t="str">
        <f>IF(tblDados[[#This Row],[Mandante]]="","",IF(COUNTIF(CadastroEquipes,TRIM(tblDados[[#This Row],[Mandante]]))&gt;0,"","⚠ Nome não cadastrado"))</f>
        <v/>
      </c>
      <c r="V1627" s="19" t="str">
        <f>IF(tblDados[[#This Row],[Visitante]]="","",IF(COUNTIF(CadastroEquipes,TRIM(tblDados[[#This Row],[Visitante]]))&gt;0,"","⚠ Nome não cadastrado"))</f>
        <v/>
      </c>
    </row>
    <row r="1628" spans="1:22" x14ac:dyDescent="0.3">
      <c r="A1628" s="1" t="s">
        <v>4433</v>
      </c>
      <c r="B1628" s="102">
        <v>46186</v>
      </c>
      <c r="C1628" s="6">
        <v>0.45833333333333331</v>
      </c>
      <c r="D1628" s="1" t="s">
        <v>24</v>
      </c>
      <c r="E1628" s="1" t="s">
        <v>4335</v>
      </c>
      <c r="F1628" s="1" t="s">
        <v>4434</v>
      </c>
      <c r="G1628" s="39" t="s">
        <v>705</v>
      </c>
      <c r="H1628" s="1">
        <v>1</v>
      </c>
      <c r="I1628" s="1">
        <v>0</v>
      </c>
      <c r="J1628" s="39" t="s">
        <v>699</v>
      </c>
      <c r="K1628" s="1">
        <v>0</v>
      </c>
      <c r="L1628" s="1">
        <v>1</v>
      </c>
      <c r="S1628" s="1" t="str">
        <f>IF(tblDados[[#This Row],[Mandante]]="","",TEXT(tblDados[[#This Row],[Data]],"aaaa-mm-dd")&amp;"|"&amp;TRIM(tblDados[[#This Row],[Mandante]])&amp;"|"&amp;TRIM(tblDados[[#This Row],[Visitante]]))</f>
        <v>2026-06-13|Leiknir|Vestri</v>
      </c>
      <c r="T1628" s="1">
        <f>IF($G1628="",0,IF(COUNTIF($S$2:$S3116,$S1628)=1,1,0))</f>
        <v>1</v>
      </c>
      <c r="U1628" s="19" t="str">
        <f>IF(tblDados[[#This Row],[Mandante]]="","",IF(COUNTIF(CadastroEquipes,TRIM(tblDados[[#This Row],[Mandante]]))&gt;0,"","⚠ Nome não cadastrado"))</f>
        <v/>
      </c>
      <c r="V1628" s="19" t="str">
        <f>IF(tblDados[[#This Row],[Visitante]]="","",IF(COUNTIF(CadastroEquipes,TRIM(tblDados[[#This Row],[Visitante]]))&gt;0,"","⚠ Nome não cadastrado"))</f>
        <v/>
      </c>
    </row>
    <row r="1629" spans="1:22" x14ac:dyDescent="0.3">
      <c r="A1629" s="1" t="s">
        <v>4435</v>
      </c>
      <c r="B1629" s="102">
        <v>46164</v>
      </c>
      <c r="C1629" s="6">
        <v>0.67708333333333337</v>
      </c>
      <c r="D1629" s="1" t="s">
        <v>24</v>
      </c>
      <c r="E1629" s="1" t="s">
        <v>4335</v>
      </c>
      <c r="F1629" s="1" t="s">
        <v>4436</v>
      </c>
      <c r="G1629" s="39" t="s">
        <v>705</v>
      </c>
      <c r="H1629" s="1">
        <v>0</v>
      </c>
      <c r="I1629" s="1">
        <v>0</v>
      </c>
      <c r="J1629" s="39" t="s">
        <v>132</v>
      </c>
      <c r="K1629" s="1">
        <v>0</v>
      </c>
      <c r="L1629" s="1">
        <v>0</v>
      </c>
      <c r="S1629" s="1" t="str">
        <f>IF(tblDados[[#This Row],[Mandante]]="","",TEXT(tblDados[[#This Row],[Data]],"aaaa-mm-dd")&amp;"|"&amp;TRIM(tblDados[[#This Row],[Mandante]])&amp;"|"&amp;TRIM(tblDados[[#This Row],[Visitante]]))</f>
        <v>2026-05-22|Leiknir|Grindavik</v>
      </c>
      <c r="T1629" s="1">
        <f>IF($G1629="",0,IF(COUNTIF($S$2:$S3117,$S1629)=1,1,0))</f>
        <v>1</v>
      </c>
      <c r="U1629" s="19" t="str">
        <f>IF(tblDados[[#This Row],[Mandante]]="","",IF(COUNTIF(CadastroEquipes,TRIM(tblDados[[#This Row],[Mandante]]))&gt;0,"","⚠ Nome não cadastrado"))</f>
        <v/>
      </c>
      <c r="V1629" s="19" t="str">
        <f>IF(tblDados[[#This Row],[Visitante]]="","",IF(COUNTIF(CadastroEquipes,TRIM(tblDados[[#This Row],[Visitante]]))&gt;0,"","⚠ Nome não cadastrado"))</f>
        <v/>
      </c>
    </row>
    <row r="1630" spans="1:22" x14ac:dyDescent="0.3">
      <c r="A1630" s="1" t="s">
        <v>4437</v>
      </c>
      <c r="B1630" s="102">
        <v>46240</v>
      </c>
      <c r="C1630" s="6">
        <v>0.67708333333333337</v>
      </c>
      <c r="D1630" s="1" t="s">
        <v>24</v>
      </c>
      <c r="E1630" s="1" t="s">
        <v>4335</v>
      </c>
      <c r="F1630" s="1" t="s">
        <v>4438</v>
      </c>
      <c r="G1630" s="39" t="s">
        <v>688</v>
      </c>
      <c r="H1630" s="1">
        <v>3</v>
      </c>
      <c r="I1630" s="1">
        <v>2</v>
      </c>
      <c r="J1630" s="39" t="s">
        <v>96</v>
      </c>
      <c r="K1630" s="1">
        <v>2</v>
      </c>
      <c r="L1630" s="1">
        <v>3</v>
      </c>
      <c r="S1630" s="1" t="str">
        <f>IF(tblDados[[#This Row],[Mandante]]="","",TEXT(tblDados[[#This Row],[Data]],"aaaa-mm-dd")&amp;"|"&amp;TRIM(tblDados[[#This Row],[Mandante]])&amp;"|"&amp;TRIM(tblDados[[#This Row],[Visitante]]))</f>
        <v>2026-08-06|IR Reykjavik|Aegir</v>
      </c>
      <c r="T1630" s="1">
        <f>IF($G1630="",0,IF(COUNTIF($S$2:$S3118,$S1630)=1,1,0))</f>
        <v>1</v>
      </c>
      <c r="U1630" s="19" t="str">
        <f>IF(tblDados[[#This Row],[Mandante]]="","",IF(COUNTIF(CadastroEquipes,TRIM(tblDados[[#This Row],[Mandante]]))&gt;0,"","⚠ Nome não cadastrado"))</f>
        <v/>
      </c>
      <c r="V1630" s="19" t="str">
        <f>IF(tblDados[[#This Row],[Visitante]]="","",IF(COUNTIF(CadastroEquipes,TRIM(tblDados[[#This Row],[Visitante]]))&gt;0,"","⚠ Nome não cadastrado"))</f>
        <v/>
      </c>
    </row>
    <row r="1631" spans="1:22" x14ac:dyDescent="0.3">
      <c r="A1631" s="1" t="s">
        <v>4439</v>
      </c>
      <c r="B1631" s="102">
        <v>46227</v>
      </c>
      <c r="C1631" s="6">
        <v>0.58333333333333337</v>
      </c>
      <c r="D1631" s="1" t="s">
        <v>24</v>
      </c>
      <c r="E1631" s="1" t="s">
        <v>4335</v>
      </c>
      <c r="F1631" s="1" t="s">
        <v>4440</v>
      </c>
      <c r="G1631" s="39" t="s">
        <v>721</v>
      </c>
      <c r="H1631" s="1">
        <v>2</v>
      </c>
      <c r="I1631" s="1">
        <v>0</v>
      </c>
      <c r="J1631" s="39" t="s">
        <v>132</v>
      </c>
      <c r="K1631" s="1">
        <v>0</v>
      </c>
      <c r="L1631" s="1">
        <v>2</v>
      </c>
      <c r="S1631" s="1" t="str">
        <f>IF(tblDados[[#This Row],[Mandante]]="","",TEXT(tblDados[[#This Row],[Data]],"aaaa-mm-dd")&amp;"|"&amp;TRIM(tblDados[[#This Row],[Mandante]])&amp;"|"&amp;TRIM(tblDados[[#This Row],[Visitante]]))</f>
        <v>2026-07-24|Volsungur|Grindavik</v>
      </c>
      <c r="T1631" s="1">
        <f>IF($G1631="",0,IF(COUNTIF($S$2:$S3119,$S1631)=1,1,0))</f>
        <v>1</v>
      </c>
      <c r="U1631" s="19" t="str">
        <f>IF(tblDados[[#This Row],[Mandante]]="","",IF(COUNTIF(CadastroEquipes,TRIM(tblDados[[#This Row],[Mandante]]))&gt;0,"","⚠ Nome não cadastrado"))</f>
        <v/>
      </c>
      <c r="V1631" s="19" t="str">
        <f>IF(tblDados[[#This Row],[Visitante]]="","",IF(COUNTIF(CadastroEquipes,TRIM(tblDados[[#This Row],[Visitante]]))&gt;0,"","⚠ Nome não cadastrado"))</f>
        <v/>
      </c>
    </row>
    <row r="1632" spans="1:22" x14ac:dyDescent="0.3">
      <c r="A1632" s="1" t="s">
        <v>4441</v>
      </c>
      <c r="B1632" s="102">
        <v>46179</v>
      </c>
      <c r="C1632" s="6">
        <v>0.5</v>
      </c>
      <c r="D1632" s="1" t="s">
        <v>24</v>
      </c>
      <c r="E1632" s="1" t="s">
        <v>4335</v>
      </c>
      <c r="F1632" s="1" t="s">
        <v>4442</v>
      </c>
      <c r="G1632" s="39" t="s">
        <v>699</v>
      </c>
      <c r="H1632" s="1">
        <v>5</v>
      </c>
      <c r="I1632" s="1">
        <v>1</v>
      </c>
      <c r="J1632" s="39" t="s">
        <v>721</v>
      </c>
      <c r="K1632" s="1">
        <v>1</v>
      </c>
      <c r="L1632" s="1">
        <v>5</v>
      </c>
      <c r="S1632" s="1" t="str">
        <f>IF(tblDados[[#This Row],[Mandante]]="","",TEXT(tblDados[[#This Row],[Data]],"aaaa-mm-dd")&amp;"|"&amp;TRIM(tblDados[[#This Row],[Mandante]])&amp;"|"&amp;TRIM(tblDados[[#This Row],[Visitante]]))</f>
        <v>2026-06-06|Vestri|Volsungur</v>
      </c>
      <c r="T1632" s="1">
        <f>IF($G1632="",0,IF(COUNTIF($S$2:$S3120,$S1632)=1,1,0))</f>
        <v>1</v>
      </c>
      <c r="U1632" s="19" t="str">
        <f>IF(tblDados[[#This Row],[Mandante]]="","",IF(COUNTIF(CadastroEquipes,TRIM(tblDados[[#This Row],[Mandante]]))&gt;0,"","⚠ Nome não cadastrado"))</f>
        <v/>
      </c>
      <c r="V1632" s="19" t="str">
        <f>IF(tblDados[[#This Row],[Visitante]]="","",IF(COUNTIF(CadastroEquipes,TRIM(tblDados[[#This Row],[Visitante]]))&gt;0,"","⚠ Nome não cadastrado"))</f>
        <v/>
      </c>
    </row>
    <row r="1633" spans="1:22" x14ac:dyDescent="0.3">
      <c r="A1633" s="1" t="s">
        <v>4448</v>
      </c>
      <c r="B1633" s="102">
        <v>46243</v>
      </c>
      <c r="C1633" s="6">
        <v>0.625</v>
      </c>
      <c r="D1633" s="1" t="s">
        <v>24</v>
      </c>
      <c r="E1633" s="1" t="s">
        <v>4334</v>
      </c>
      <c r="F1633" s="1" t="s">
        <v>4449</v>
      </c>
      <c r="G1633" s="39" t="s">
        <v>4443</v>
      </c>
      <c r="H1633" s="1">
        <v>2</v>
      </c>
      <c r="I1633" s="1">
        <v>2</v>
      </c>
      <c r="J1633" s="39" t="s">
        <v>78</v>
      </c>
      <c r="K1633" s="1">
        <v>2</v>
      </c>
      <c r="L1633" s="1">
        <v>2</v>
      </c>
      <c r="S1633" s="1" t="str">
        <f>IF(tblDados[[#This Row],[Mandante]]="","",TEXT(tblDados[[#This Row],[Data]],"aaaa-mm-dd")&amp;"|"&amp;TRIM(tblDados[[#This Row],[Mandante]])&amp;"|"&amp;TRIM(tblDados[[#This Row],[Visitante]]))</f>
        <v>2026-08-09|Vikingur Reykjavik (Víkingur Reykjavík)|IBV Vestmannaeyjar</v>
      </c>
      <c r="T1633" s="1">
        <f>IF($G1633="",0,IF(COUNTIF($S$2:$S3121,$S1633)=1,1,0))</f>
        <v>1</v>
      </c>
      <c r="U1633" s="19" t="str">
        <f>IF(tblDados[[#This Row],[Mandante]]="","",IF(COUNTIF(CadastroEquipes,TRIM(tblDados[[#This Row],[Mandante]]))&gt;0,"","⚠ Nome não cadastrado"))</f>
        <v/>
      </c>
      <c r="V1633" s="19" t="str">
        <f>IF(tblDados[[#This Row],[Visitante]]="","",IF(COUNTIF(CadastroEquipes,TRIM(tblDados[[#This Row],[Visitante]]))&gt;0,"","⚠ Nome não cadastrado"))</f>
        <v/>
      </c>
    </row>
    <row r="1634" spans="1:22" x14ac:dyDescent="0.3">
      <c r="A1634" s="1" t="s">
        <v>4450</v>
      </c>
      <c r="B1634" s="102">
        <v>46236</v>
      </c>
      <c r="C1634" s="6">
        <v>0.45833333333333331</v>
      </c>
      <c r="D1634" s="1" t="s">
        <v>24</v>
      </c>
      <c r="E1634" s="1" t="s">
        <v>4334</v>
      </c>
      <c r="F1634" s="1" t="s">
        <v>4451</v>
      </c>
      <c r="G1634" s="39" t="s">
        <v>4446</v>
      </c>
      <c r="H1634" s="1">
        <v>2</v>
      </c>
      <c r="I1634" s="1">
        <v>2</v>
      </c>
      <c r="J1634" s="39" t="s">
        <v>4443</v>
      </c>
      <c r="K1634" s="1">
        <v>2</v>
      </c>
      <c r="L1634" s="1">
        <v>2</v>
      </c>
      <c r="S1634" s="1" t="str">
        <f>IF(tblDados[[#This Row],[Mandante]]="","",TEXT(tblDados[[#This Row],[Data]],"aaaa-mm-dd")&amp;"|"&amp;TRIM(tblDados[[#This Row],[Mandante]])&amp;"|"&amp;TRIM(tblDados[[#This Row],[Visitante]]))</f>
        <v>2026-08-02|Akranes (ÍA Akranes)|Vikingur Reykjavik (Víkingur Reykjavík)</v>
      </c>
      <c r="T1634" s="1">
        <f>IF($G1634="",0,IF(COUNTIF($S$2:$S3122,$S1634)=1,1,0))</f>
        <v>1</v>
      </c>
      <c r="U1634" s="19" t="str">
        <f>IF(tblDados[[#This Row],[Mandante]]="","",IF(COUNTIF(CadastroEquipes,TRIM(tblDados[[#This Row],[Mandante]]))&gt;0,"","⚠ Nome não cadastrado"))</f>
        <v/>
      </c>
      <c r="V1634" s="19" t="str">
        <f>IF(tblDados[[#This Row],[Visitante]]="","",IF(COUNTIF(CadastroEquipes,TRIM(tblDados[[#This Row],[Visitante]]))&gt;0,"","⚠ Nome não cadastrado"))</f>
        <v/>
      </c>
    </row>
    <row r="1635" spans="1:22" x14ac:dyDescent="0.3">
      <c r="A1635" s="1" t="s">
        <v>4452</v>
      </c>
      <c r="B1635" s="102">
        <v>46227</v>
      </c>
      <c r="C1635" s="6">
        <v>0.70833333333333337</v>
      </c>
      <c r="D1635" s="1" t="s">
        <v>24</v>
      </c>
      <c r="E1635" s="1" t="s">
        <v>4334</v>
      </c>
      <c r="F1635" s="1" t="s">
        <v>4453</v>
      </c>
      <c r="G1635" s="39" t="s">
        <v>4443</v>
      </c>
      <c r="H1635" s="1">
        <v>5</v>
      </c>
      <c r="I1635" s="1">
        <v>1</v>
      </c>
      <c r="J1635" s="39" t="s">
        <v>904</v>
      </c>
      <c r="K1635" s="1">
        <v>1</v>
      </c>
      <c r="L1635" s="1">
        <v>5</v>
      </c>
      <c r="S1635" s="1" t="str">
        <f>IF(tblDados[[#This Row],[Mandante]]="","",TEXT(tblDados[[#This Row],[Data]],"aaaa-mm-dd")&amp;"|"&amp;TRIM(tblDados[[#This Row],[Mandante]])&amp;"|"&amp;TRIM(tblDados[[#This Row],[Visitante]]))</f>
        <v>2026-07-24|Vikingur Reykjavik (Víkingur Reykjavík)|Keflavík</v>
      </c>
      <c r="T1635" s="1">
        <f>IF($G1635="",0,IF(COUNTIF($S$2:$S3123,$S1635)=1,1,0))</f>
        <v>1</v>
      </c>
      <c r="U1635" s="19" t="str">
        <f>IF(tblDados[[#This Row],[Mandante]]="","",IF(COUNTIF(CadastroEquipes,TRIM(tblDados[[#This Row],[Mandante]]))&gt;0,"","⚠ Nome não cadastrado"))</f>
        <v/>
      </c>
      <c r="V1635" s="19" t="str">
        <f>IF(tblDados[[#This Row],[Visitante]]="","",IF(COUNTIF(CadastroEquipes,TRIM(tblDados[[#This Row],[Visitante]]))&gt;0,"","⚠ Nome não cadastrado"))</f>
        <v/>
      </c>
    </row>
    <row r="1636" spans="1:22" x14ac:dyDescent="0.3">
      <c r="A1636" s="1" t="s">
        <v>4454</v>
      </c>
      <c r="B1636" s="102">
        <v>46221</v>
      </c>
      <c r="C1636" s="6">
        <v>0.54166666666666663</v>
      </c>
      <c r="D1636" s="1" t="s">
        <v>24</v>
      </c>
      <c r="E1636" s="1" t="s">
        <v>4334</v>
      </c>
      <c r="F1636" s="1" t="s">
        <v>4577</v>
      </c>
      <c r="G1636" s="39" t="s">
        <v>4575</v>
      </c>
      <c r="H1636" s="1">
        <v>2</v>
      </c>
      <c r="I1636" s="1">
        <v>1</v>
      </c>
      <c r="J1636" s="39" t="s">
        <v>4443</v>
      </c>
      <c r="K1636" s="1">
        <v>1</v>
      </c>
      <c r="L1636" s="1">
        <v>2</v>
      </c>
      <c r="S1636" s="1" t="str">
        <f>IF(tblDados[[#This Row],[Mandante]]="","",TEXT(tblDados[[#This Row],[Data]],"aaaa-mm-dd")&amp;"|"&amp;TRIM(tblDados[[#This Row],[Mandante]])&amp;"|"&amp;TRIM(tblDados[[#This Row],[Visitante]]))</f>
        <v>2026-07-18|Thor Akureyri (Þór Akureyri)|Vikingur Reykjavik (Víkingur Reykjavík)</v>
      </c>
      <c r="T1636" s="1">
        <f>IF($G1636="",0,IF(COUNTIF($S$2:$S3124,$S1636)=1,1,0))</f>
        <v>1</v>
      </c>
      <c r="U1636" s="19" t="str">
        <f>IF(tblDados[[#This Row],[Mandante]]="","",IF(COUNTIF(CadastroEquipes,TRIM(tblDados[[#This Row],[Mandante]]))&gt;0,"","⚠ Nome não cadastrado"))</f>
        <v/>
      </c>
      <c r="V1636" s="19" t="str">
        <f>IF(tblDados[[#This Row],[Visitante]]="","",IF(COUNTIF(CadastroEquipes,TRIM(tblDados[[#This Row],[Visitante]]))&gt;0,"","⚠ Nome não cadastrado"))</f>
        <v/>
      </c>
    </row>
    <row r="1637" spans="1:22" x14ac:dyDescent="0.3">
      <c r="A1637" s="1" t="s">
        <v>4455</v>
      </c>
      <c r="B1637" s="102">
        <v>46205</v>
      </c>
      <c r="C1637" s="6">
        <v>0.67708333333333337</v>
      </c>
      <c r="D1637" s="1" t="s">
        <v>24</v>
      </c>
      <c r="E1637" s="1" t="s">
        <v>4334</v>
      </c>
      <c r="F1637" s="1" t="s">
        <v>4456</v>
      </c>
      <c r="G1637" s="39" t="s">
        <v>4443</v>
      </c>
      <c r="H1637" s="1">
        <v>3</v>
      </c>
      <c r="I1637" s="1">
        <v>2</v>
      </c>
      <c r="J1637" s="39" t="s">
        <v>80</v>
      </c>
      <c r="K1637" s="1">
        <v>2</v>
      </c>
      <c r="L1637" s="1">
        <v>3</v>
      </c>
      <c r="S1637" s="1" t="str">
        <f>IF(tblDados[[#This Row],[Mandante]]="","",TEXT(tblDados[[#This Row],[Data]],"aaaa-mm-dd")&amp;"|"&amp;TRIM(tblDados[[#This Row],[Mandante]])&amp;"|"&amp;TRIM(tblDados[[#This Row],[Visitante]]))</f>
        <v>2026-07-02|Vikingur Reykjavik (Víkingur Reykjavík)|KA Akureyri</v>
      </c>
      <c r="T1637" s="1">
        <f>IF($G1637="",0,IF(COUNTIF($S$2:$S3125,$S1637)=1,1,0))</f>
        <v>1</v>
      </c>
      <c r="U1637" s="19" t="str">
        <f>IF(tblDados[[#This Row],[Mandante]]="","",IF(COUNTIF(CadastroEquipes,TRIM(tblDados[[#This Row],[Mandante]]))&gt;0,"","⚠ Nome não cadastrado"))</f>
        <v/>
      </c>
      <c r="V1637" s="19" t="str">
        <f>IF(tblDados[[#This Row],[Visitante]]="","",IF(COUNTIF(CadastroEquipes,TRIM(tblDados[[#This Row],[Visitante]]))&gt;0,"","⚠ Nome não cadastrado"))</f>
        <v/>
      </c>
    </row>
    <row r="1638" spans="1:22" x14ac:dyDescent="0.3">
      <c r="A1638" s="1" t="s">
        <v>4457</v>
      </c>
      <c r="B1638" s="102">
        <v>46198</v>
      </c>
      <c r="C1638" s="6">
        <v>0.67708333333333337</v>
      </c>
      <c r="D1638" s="1" t="s">
        <v>24</v>
      </c>
      <c r="E1638" s="1" t="s">
        <v>4334</v>
      </c>
      <c r="F1638" s="1" t="s">
        <v>4458</v>
      </c>
      <c r="G1638" s="39" t="s">
        <v>77</v>
      </c>
      <c r="H1638" s="1">
        <v>1</v>
      </c>
      <c r="I1638" s="1">
        <v>4</v>
      </c>
      <c r="J1638" s="39" t="s">
        <v>4443</v>
      </c>
      <c r="K1638" s="1">
        <v>4</v>
      </c>
      <c r="L1638" s="1">
        <v>1</v>
      </c>
      <c r="S1638" s="1" t="str">
        <f>IF(tblDados[[#This Row],[Mandante]]="","",TEXT(tblDados[[#This Row],[Data]],"aaaa-mm-dd")&amp;"|"&amp;TRIM(tblDados[[#This Row],[Mandante]])&amp;"|"&amp;TRIM(tblDados[[#This Row],[Visitante]]))</f>
        <v>2026-06-25|Breidablik|Vikingur Reykjavik (Víkingur Reykjavík)</v>
      </c>
      <c r="T1638" s="1">
        <f>IF($G1638="",0,IF(COUNTIF($S$2:$S3126,$S1638)=1,1,0))</f>
        <v>1</v>
      </c>
      <c r="U1638" s="19" t="str">
        <f>IF(tblDados[[#This Row],[Mandante]]="","",IF(COUNTIF(CadastroEquipes,TRIM(tblDados[[#This Row],[Mandante]]))&gt;0,"","⚠ Nome não cadastrado"))</f>
        <v/>
      </c>
      <c r="V1638" s="19" t="str">
        <f>IF(tblDados[[#This Row],[Visitante]]="","",IF(COUNTIF(CadastroEquipes,TRIM(tblDados[[#This Row],[Visitante]]))&gt;0,"","⚠ Nome não cadastrado"))</f>
        <v/>
      </c>
    </row>
    <row r="1639" spans="1:22" x14ac:dyDescent="0.3">
      <c r="A1639" s="1" t="s">
        <v>4459</v>
      </c>
      <c r="B1639" s="102">
        <v>46194</v>
      </c>
      <c r="C1639" s="6">
        <v>0.71875</v>
      </c>
      <c r="D1639" s="1" t="s">
        <v>24</v>
      </c>
      <c r="E1639" s="1" t="s">
        <v>4334</v>
      </c>
      <c r="F1639" s="1" t="s">
        <v>4460</v>
      </c>
      <c r="G1639" s="39" t="s">
        <v>4444</v>
      </c>
      <c r="H1639" s="1">
        <v>0</v>
      </c>
      <c r="I1639" s="1">
        <v>5</v>
      </c>
      <c r="J1639" s="39" t="s">
        <v>4443</v>
      </c>
      <c r="K1639" s="1">
        <v>5</v>
      </c>
      <c r="L1639" s="1">
        <v>0</v>
      </c>
      <c r="S1639" s="1" t="str">
        <f>IF(tblDados[[#This Row],[Mandante]]="","",TEXT(tblDados[[#This Row],[Data]],"aaaa-mm-dd")&amp;"|"&amp;TRIM(tblDados[[#This Row],[Mandante]])&amp;"|"&amp;TRIM(tblDados[[#This Row],[Visitante]]))</f>
        <v>2026-06-21|Fram Reykjavik (Fram Reykjavík)|Vikingur Reykjavik (Víkingur Reykjavík)</v>
      </c>
      <c r="T1639" s="1">
        <f>IF($G1639="",0,IF(COUNTIF($S$2:$S3127,$S1639)=1,1,0))</f>
        <v>1</v>
      </c>
      <c r="U1639" s="19" t="str">
        <f>IF(tblDados[[#This Row],[Mandante]]="","",IF(COUNTIF(CadastroEquipes,TRIM(tblDados[[#This Row],[Mandante]]))&gt;0,"","⚠ Nome não cadastrado"))</f>
        <v/>
      </c>
      <c r="V1639" s="19" t="str">
        <f>IF(tblDados[[#This Row],[Visitante]]="","",IF(COUNTIF(CadastroEquipes,TRIM(tblDados[[#This Row],[Visitante]]))&gt;0,"","⚠ Nome não cadastrado"))</f>
        <v/>
      </c>
    </row>
    <row r="1640" spans="1:22" x14ac:dyDescent="0.3">
      <c r="A1640" s="1" t="s">
        <v>4461</v>
      </c>
      <c r="B1640" s="102">
        <v>46189</v>
      </c>
      <c r="C1640" s="6">
        <v>0.67708333333333337</v>
      </c>
      <c r="D1640" s="1" t="s">
        <v>24</v>
      </c>
      <c r="E1640" s="1" t="s">
        <v>4334</v>
      </c>
      <c r="F1640" s="1" t="s">
        <v>4462</v>
      </c>
      <c r="G1640" s="39" t="s">
        <v>4443</v>
      </c>
      <c r="H1640" s="1">
        <v>2</v>
      </c>
      <c r="I1640" s="1">
        <v>0</v>
      </c>
      <c r="J1640" s="39" t="s">
        <v>4445</v>
      </c>
      <c r="K1640" s="1">
        <v>0</v>
      </c>
      <c r="L1640" s="1">
        <v>2</v>
      </c>
      <c r="S1640" s="1" t="str">
        <f>IF(tblDados[[#This Row],[Mandante]]="","",TEXT(tblDados[[#This Row],[Data]],"aaaa-mm-dd")&amp;"|"&amp;TRIM(tblDados[[#This Row],[Mandante]])&amp;"|"&amp;TRIM(tblDados[[#This Row],[Visitante]]))</f>
        <v>2026-06-16|Vikingur Reykjavik (Víkingur Reykjavík)|KR Reykjavik (KR Reykjavík)</v>
      </c>
      <c r="T1640" s="1">
        <f>IF($G1640="",0,IF(COUNTIF($S$2:$S3128,$S1640)=1,1,0))</f>
        <v>1</v>
      </c>
      <c r="U1640" s="19" t="str">
        <f>IF(tblDados[[#This Row],[Mandante]]="","",IF(COUNTIF(CadastroEquipes,TRIM(tblDados[[#This Row],[Mandante]]))&gt;0,"","⚠ Nome não cadastrado"))</f>
        <v/>
      </c>
      <c r="V1640" s="19" t="str">
        <f>IF(tblDados[[#This Row],[Visitante]]="","",IF(COUNTIF(CadastroEquipes,TRIM(tblDados[[#This Row],[Visitante]]))&gt;0,"","⚠ Nome não cadastrado"))</f>
        <v/>
      </c>
    </row>
    <row r="1641" spans="1:22" x14ac:dyDescent="0.3">
      <c r="A1641" s="1" t="s">
        <v>4463</v>
      </c>
      <c r="B1641" s="102">
        <v>46173</v>
      </c>
      <c r="C1641" s="6">
        <v>0.67708333333333337</v>
      </c>
      <c r="D1641" s="1" t="s">
        <v>24</v>
      </c>
      <c r="E1641" s="1" t="s">
        <v>4334</v>
      </c>
      <c r="F1641" s="1" t="s">
        <v>4464</v>
      </c>
      <c r="G1641" s="39" t="s">
        <v>942</v>
      </c>
      <c r="H1641" s="1">
        <v>1</v>
      </c>
      <c r="I1641" s="1">
        <v>5</v>
      </c>
      <c r="J1641" s="39" t="s">
        <v>4443</v>
      </c>
      <c r="K1641" s="1">
        <v>5</v>
      </c>
      <c r="L1641" s="1">
        <v>1</v>
      </c>
      <c r="S1641" s="1" t="str">
        <f>IF(tblDados[[#This Row],[Mandante]]="","",TEXT(tblDados[[#This Row],[Data]],"aaaa-mm-dd")&amp;"|"&amp;TRIM(tblDados[[#This Row],[Mandante]])&amp;"|"&amp;TRIM(tblDados[[#This Row],[Visitante]]))</f>
        <v>2026-05-31|Valur Reykjavik|Vikingur Reykjavik (Víkingur Reykjavík)</v>
      </c>
      <c r="T1641" s="1">
        <f>IF($G1641="",0,IF(COUNTIF($S$2:$S3129,$S1641)=1,1,0))</f>
        <v>1</v>
      </c>
      <c r="U1641" s="19" t="str">
        <f>IF(tblDados[[#This Row],[Mandante]]="","",IF(COUNTIF(CadastroEquipes,TRIM(tblDados[[#This Row],[Mandante]]))&gt;0,"","⚠ Nome não cadastrado"))</f>
        <v/>
      </c>
      <c r="V1641" s="19" t="str">
        <f>IF(tblDados[[#This Row],[Visitante]]="","",IF(COUNTIF(CadastroEquipes,TRIM(tblDados[[#This Row],[Visitante]]))&gt;0,"","⚠ Nome não cadastrado"))</f>
        <v/>
      </c>
    </row>
    <row r="1642" spans="1:22" x14ac:dyDescent="0.3">
      <c r="A1642" s="1" t="s">
        <v>4465</v>
      </c>
      <c r="B1642" s="102">
        <v>46168</v>
      </c>
      <c r="C1642" s="6">
        <v>0.67708333333333337</v>
      </c>
      <c r="D1642" s="1" t="s">
        <v>24</v>
      </c>
      <c r="E1642" s="1" t="s">
        <v>4334</v>
      </c>
      <c r="F1642" s="1" t="s">
        <v>4466</v>
      </c>
      <c r="G1642" s="39" t="s">
        <v>941</v>
      </c>
      <c r="H1642" s="1">
        <v>1</v>
      </c>
      <c r="I1642" s="1">
        <v>3</v>
      </c>
      <c r="J1642" s="39" t="s">
        <v>4443</v>
      </c>
      <c r="K1642" s="1">
        <v>3</v>
      </c>
      <c r="L1642" s="1">
        <v>1</v>
      </c>
      <c r="S1642" s="1" t="str">
        <f>IF(tblDados[[#This Row],[Mandante]]="","",TEXT(tblDados[[#This Row],[Data]],"aaaa-mm-dd")&amp;"|"&amp;TRIM(tblDados[[#This Row],[Mandante]])&amp;"|"&amp;TRIM(tblDados[[#This Row],[Visitante]]))</f>
        <v>2026-05-26|Stjarnan|Vikingur Reykjavik (Víkingur Reykjavík)</v>
      </c>
      <c r="T1642" s="1">
        <f>IF($G1642="",0,IF(COUNTIF($S$2:$S3130,$S1642)=1,1,0))</f>
        <v>1</v>
      </c>
      <c r="U1642" s="19" t="str">
        <f>IF(tblDados[[#This Row],[Mandante]]="","",IF(COUNTIF(CadastroEquipes,TRIM(tblDados[[#This Row],[Mandante]]))&gt;0,"","⚠ Nome não cadastrado"))</f>
        <v/>
      </c>
      <c r="V1642" s="19" t="str">
        <f>IF(tblDados[[#This Row],[Visitante]]="","",IF(COUNTIF(CadastroEquipes,TRIM(tblDados[[#This Row],[Visitante]]))&gt;0,"","⚠ Nome não cadastrado"))</f>
        <v/>
      </c>
    </row>
    <row r="1643" spans="1:22" x14ac:dyDescent="0.3">
      <c r="A1643" s="1" t="s">
        <v>4467</v>
      </c>
      <c r="B1643" s="102">
        <v>46164</v>
      </c>
      <c r="C1643" s="6">
        <v>0.67708333333333337</v>
      </c>
      <c r="D1643" s="1" t="s">
        <v>24</v>
      </c>
      <c r="E1643" s="1" t="s">
        <v>4334</v>
      </c>
      <c r="F1643" s="1" t="s">
        <v>4468</v>
      </c>
      <c r="G1643" s="39" t="s">
        <v>4443</v>
      </c>
      <c r="H1643" s="1">
        <v>5</v>
      </c>
      <c r="I1643" s="1">
        <v>0</v>
      </c>
      <c r="J1643" s="39" t="s">
        <v>4447</v>
      </c>
      <c r="K1643" s="1">
        <v>0</v>
      </c>
      <c r="L1643" s="1">
        <v>5</v>
      </c>
      <c r="S1643" s="1" t="str">
        <f>IF(tblDados[[#This Row],[Mandante]]="","",TEXT(tblDados[[#This Row],[Data]],"aaaa-mm-dd")&amp;"|"&amp;TRIM(tblDados[[#This Row],[Mandante]])&amp;"|"&amp;TRIM(tblDados[[#This Row],[Visitante]]))</f>
        <v>2026-05-22|Vikingur Reykjavik (Víkingur Reykjavík)|Hafnarfjordur (FH Hafnarfjörður)</v>
      </c>
      <c r="T1643" s="1">
        <f>IF($G1643="",0,IF(COUNTIF($S$2:$S3131,$S1643)=1,1,0))</f>
        <v>1</v>
      </c>
      <c r="U1643" s="19" t="str">
        <f>IF(tblDados[[#This Row],[Mandante]]="","",IF(COUNTIF(CadastroEquipes,TRIM(tblDados[[#This Row],[Mandante]]))&gt;0,"","⚠ Nome não cadastrado"))</f>
        <v/>
      </c>
      <c r="V1643" s="19" t="str">
        <f>IF(tblDados[[#This Row],[Visitante]]="","",IF(COUNTIF(CadastroEquipes,TRIM(tblDados[[#This Row],[Visitante]]))&gt;0,"","⚠ Nome não cadastrado"))</f>
        <v/>
      </c>
    </row>
    <row r="1644" spans="1:22" x14ac:dyDescent="0.3">
      <c r="A1644" s="1" t="s">
        <v>4469</v>
      </c>
      <c r="B1644" s="102">
        <v>46159</v>
      </c>
      <c r="C1644" s="6">
        <v>0.41666666666666669</v>
      </c>
      <c r="D1644" s="1" t="s">
        <v>24</v>
      </c>
      <c r="E1644" s="1" t="s">
        <v>4334</v>
      </c>
      <c r="F1644" s="1" t="s">
        <v>4470</v>
      </c>
      <c r="G1644" s="39" t="s">
        <v>78</v>
      </c>
      <c r="H1644" s="1">
        <v>0</v>
      </c>
      <c r="I1644" s="1">
        <v>2</v>
      </c>
      <c r="J1644" s="39" t="s">
        <v>4443</v>
      </c>
      <c r="K1644" s="1">
        <v>2</v>
      </c>
      <c r="L1644" s="1">
        <v>0</v>
      </c>
      <c r="S1644" s="1" t="str">
        <f>IF(tblDados[[#This Row],[Mandante]]="","",TEXT(tblDados[[#This Row],[Data]],"aaaa-mm-dd")&amp;"|"&amp;TRIM(tblDados[[#This Row],[Mandante]])&amp;"|"&amp;TRIM(tblDados[[#This Row],[Visitante]]))</f>
        <v>2026-05-17|IBV Vestmannaeyjar|Vikingur Reykjavik (Víkingur Reykjavík)</v>
      </c>
      <c r="T1644" s="1">
        <f>IF($G1644="",0,IF(COUNTIF($S$2:$S3132,$S1644)=1,1,0))</f>
        <v>1</v>
      </c>
      <c r="U1644" s="19" t="str">
        <f>IF(tblDados[[#This Row],[Mandante]]="","",IF(COUNTIF(CadastroEquipes,TRIM(tblDados[[#This Row],[Mandante]]))&gt;0,"","⚠ Nome não cadastrado"))</f>
        <v/>
      </c>
      <c r="V1644" s="19" t="str">
        <f>IF(tblDados[[#This Row],[Visitante]]="","",IF(COUNTIF(CadastroEquipes,TRIM(tblDados[[#This Row],[Visitante]]))&gt;0,"","⚠ Nome não cadastrado"))</f>
        <v/>
      </c>
    </row>
    <row r="1645" spans="1:22" x14ac:dyDescent="0.3">
      <c r="A1645" s="1" t="s">
        <v>4471</v>
      </c>
      <c r="B1645" s="102">
        <v>46235</v>
      </c>
      <c r="C1645" s="6">
        <v>0.45833333333333331</v>
      </c>
      <c r="D1645" s="1" t="s">
        <v>24</v>
      </c>
      <c r="E1645" s="1" t="s">
        <v>4334</v>
      </c>
      <c r="F1645" s="1" t="s">
        <v>4472</v>
      </c>
      <c r="G1645" s="39" t="s">
        <v>78</v>
      </c>
      <c r="H1645" s="1">
        <v>1</v>
      </c>
      <c r="I1645" s="1">
        <v>2</v>
      </c>
      <c r="J1645" s="39" t="s">
        <v>4444</v>
      </c>
      <c r="K1645" s="1">
        <v>2</v>
      </c>
      <c r="L1645" s="1">
        <v>1</v>
      </c>
      <c r="S1645" s="1" t="str">
        <f>IF(tblDados[[#This Row],[Mandante]]="","",TEXT(tblDados[[#This Row],[Data]],"aaaa-mm-dd")&amp;"|"&amp;TRIM(tblDados[[#This Row],[Mandante]])&amp;"|"&amp;TRIM(tblDados[[#This Row],[Visitante]]))</f>
        <v>2026-08-01|IBV Vestmannaeyjar|Fram Reykjavik (Fram Reykjavík)</v>
      </c>
      <c r="T1645" s="1">
        <f>IF($G1645="",0,IF(COUNTIF($S$2:$S3133,$S1645)=1,1,0))</f>
        <v>1</v>
      </c>
      <c r="U1645" s="19" t="str">
        <f>IF(tblDados[[#This Row],[Mandante]]="","",IF(COUNTIF(CadastroEquipes,TRIM(tblDados[[#This Row],[Mandante]]))&gt;0,"","⚠ Nome não cadastrado"))</f>
        <v/>
      </c>
      <c r="V1645" s="19" t="str">
        <f>IF(tblDados[[#This Row],[Visitante]]="","",IF(COUNTIF(CadastroEquipes,TRIM(tblDados[[#This Row],[Visitante]]))&gt;0,"","⚠ Nome não cadastrado"))</f>
        <v/>
      </c>
    </row>
    <row r="1646" spans="1:22" x14ac:dyDescent="0.3">
      <c r="A1646" s="1" t="s">
        <v>4473</v>
      </c>
      <c r="B1646" s="102">
        <v>46229</v>
      </c>
      <c r="C1646" s="6">
        <v>0.67708333333333337</v>
      </c>
      <c r="D1646" s="1" t="s">
        <v>24</v>
      </c>
      <c r="E1646" s="1" t="s">
        <v>4334</v>
      </c>
      <c r="F1646" s="1" t="s">
        <v>4474</v>
      </c>
      <c r="G1646" s="39" t="s">
        <v>4444</v>
      </c>
      <c r="H1646" s="1">
        <v>0</v>
      </c>
      <c r="I1646" s="1">
        <v>0</v>
      </c>
      <c r="J1646" s="39" t="s">
        <v>4447</v>
      </c>
      <c r="K1646" s="1">
        <v>0</v>
      </c>
      <c r="L1646" s="1">
        <v>0</v>
      </c>
      <c r="S1646" s="1" t="str">
        <f>IF(tblDados[[#This Row],[Mandante]]="","",TEXT(tblDados[[#This Row],[Data]],"aaaa-mm-dd")&amp;"|"&amp;TRIM(tblDados[[#This Row],[Mandante]])&amp;"|"&amp;TRIM(tblDados[[#This Row],[Visitante]]))</f>
        <v>2026-07-26|Fram Reykjavik (Fram Reykjavík)|Hafnarfjordur (FH Hafnarfjörður)</v>
      </c>
      <c r="T1646" s="1">
        <f>IF($G1646="",0,IF(COUNTIF($S$2:$S3134,$S1646)=1,1,0))</f>
        <v>1</v>
      </c>
      <c r="U1646" s="19" t="str">
        <f>IF(tblDados[[#This Row],[Mandante]]="","",IF(COUNTIF(CadastroEquipes,TRIM(tblDados[[#This Row],[Mandante]]))&gt;0,"","⚠ Nome não cadastrado"))</f>
        <v/>
      </c>
      <c r="V1646" s="19" t="str">
        <f>IF(tblDados[[#This Row],[Visitante]]="","",IF(COUNTIF(CadastroEquipes,TRIM(tblDados[[#This Row],[Visitante]]))&gt;0,"","⚠ Nome não cadastrado"))</f>
        <v/>
      </c>
    </row>
    <row r="1647" spans="1:22" x14ac:dyDescent="0.3">
      <c r="A1647" s="1" t="s">
        <v>4475</v>
      </c>
      <c r="B1647" s="102">
        <v>46221</v>
      </c>
      <c r="C1647" s="6">
        <v>0.67708333333333337</v>
      </c>
      <c r="D1647" s="1" t="s">
        <v>24</v>
      </c>
      <c r="E1647" s="1" t="s">
        <v>4334</v>
      </c>
      <c r="F1647" s="1" t="s">
        <v>4476</v>
      </c>
      <c r="G1647" s="39" t="s">
        <v>942</v>
      </c>
      <c r="H1647" s="1">
        <v>2</v>
      </c>
      <c r="I1647" s="1">
        <v>3</v>
      </c>
      <c r="J1647" s="39" t="s">
        <v>4444</v>
      </c>
      <c r="K1647" s="1">
        <v>3</v>
      </c>
      <c r="L1647" s="1">
        <v>2</v>
      </c>
      <c r="S1647" s="1" t="str">
        <f>IF(tblDados[[#This Row],[Mandante]]="","",TEXT(tblDados[[#This Row],[Data]],"aaaa-mm-dd")&amp;"|"&amp;TRIM(tblDados[[#This Row],[Mandante]])&amp;"|"&amp;TRIM(tblDados[[#This Row],[Visitante]]))</f>
        <v>2026-07-18|Valur Reykjavik|Fram Reykjavik (Fram Reykjavík)</v>
      </c>
      <c r="T1647" s="1">
        <f>IF($G1647="",0,IF(COUNTIF($S$2:$S3135,$S1647)=1,1,0))</f>
        <v>1</v>
      </c>
      <c r="U1647" s="19" t="str">
        <f>IF(tblDados[[#This Row],[Mandante]]="","",IF(COUNTIF(CadastroEquipes,TRIM(tblDados[[#This Row],[Mandante]]))&gt;0,"","⚠ Nome não cadastrado"))</f>
        <v/>
      </c>
      <c r="V1647" s="19" t="str">
        <f>IF(tblDados[[#This Row],[Visitante]]="","",IF(COUNTIF(CadastroEquipes,TRIM(tblDados[[#This Row],[Visitante]]))&gt;0,"","⚠ Nome não cadastrado"))</f>
        <v/>
      </c>
    </row>
    <row r="1648" spans="1:22" x14ac:dyDescent="0.3">
      <c r="A1648" s="1" t="s">
        <v>4477</v>
      </c>
      <c r="B1648" s="102">
        <v>46215</v>
      </c>
      <c r="C1648" s="6">
        <v>0.625</v>
      </c>
      <c r="D1648" s="1" t="s">
        <v>24</v>
      </c>
      <c r="E1648" s="1" t="s">
        <v>4334</v>
      </c>
      <c r="F1648" s="1" t="s">
        <v>4578</v>
      </c>
      <c r="G1648" s="39" t="s">
        <v>4444</v>
      </c>
      <c r="H1648" s="1">
        <v>6</v>
      </c>
      <c r="I1648" s="1">
        <v>1</v>
      </c>
      <c r="J1648" s="39" t="s">
        <v>4575</v>
      </c>
      <c r="K1648" s="1">
        <v>1</v>
      </c>
      <c r="L1648" s="1">
        <v>6</v>
      </c>
      <c r="S1648" s="1" t="str">
        <f>IF(tblDados[[#This Row],[Mandante]]="","",TEXT(tblDados[[#This Row],[Data]],"aaaa-mm-dd")&amp;"|"&amp;TRIM(tblDados[[#This Row],[Mandante]])&amp;"|"&amp;TRIM(tblDados[[#This Row],[Visitante]]))</f>
        <v>2026-07-12|Fram Reykjavik (Fram Reykjavík)|Thor Akureyri (Þór Akureyri)</v>
      </c>
      <c r="T1648" s="1">
        <f>IF($G1648="",0,IF(COUNTIF($S$2:$S3136,$S1648)=1,1,0))</f>
        <v>1</v>
      </c>
      <c r="U1648" s="19" t="str">
        <f>IF(tblDados[[#This Row],[Mandante]]="","",IF(COUNTIF(CadastroEquipes,TRIM(tblDados[[#This Row],[Mandante]]))&gt;0,"","⚠ Nome não cadastrado"))</f>
        <v/>
      </c>
      <c r="V1648" s="19" t="str">
        <f>IF(tblDados[[#This Row],[Visitante]]="","",IF(COUNTIF(CadastroEquipes,TRIM(tblDados[[#This Row],[Visitante]]))&gt;0,"","⚠ Nome não cadastrado"))</f>
        <v/>
      </c>
    </row>
    <row r="1649" spans="1:22" x14ac:dyDescent="0.3">
      <c r="A1649" s="1" t="s">
        <v>4478</v>
      </c>
      <c r="B1649" s="102">
        <v>46209</v>
      </c>
      <c r="C1649" s="6">
        <v>0.67708333333333337</v>
      </c>
      <c r="D1649" s="1" t="s">
        <v>24</v>
      </c>
      <c r="E1649" s="1" t="s">
        <v>4334</v>
      </c>
      <c r="F1649" s="1" t="s">
        <v>4479</v>
      </c>
      <c r="G1649" s="39" t="s">
        <v>904</v>
      </c>
      <c r="H1649" s="1">
        <v>1</v>
      </c>
      <c r="I1649" s="1">
        <v>1</v>
      </c>
      <c r="J1649" s="39" t="s">
        <v>4444</v>
      </c>
      <c r="K1649" s="1">
        <v>1</v>
      </c>
      <c r="L1649" s="1">
        <v>1</v>
      </c>
      <c r="S1649" s="1" t="str">
        <f>IF(tblDados[[#This Row],[Mandante]]="","",TEXT(tblDados[[#This Row],[Data]],"aaaa-mm-dd")&amp;"|"&amp;TRIM(tblDados[[#This Row],[Mandante]])&amp;"|"&amp;TRIM(tblDados[[#This Row],[Visitante]]))</f>
        <v>2026-07-06|Keflavík|Fram Reykjavik (Fram Reykjavík)</v>
      </c>
      <c r="T1649" s="1">
        <f>IF($G1649="",0,IF(COUNTIF($S$2:$S3137,$S1649)=1,1,0))</f>
        <v>1</v>
      </c>
      <c r="U1649" s="19" t="str">
        <f>IF(tblDados[[#This Row],[Mandante]]="","",IF(COUNTIF(CadastroEquipes,TRIM(tblDados[[#This Row],[Mandante]]))&gt;0,"","⚠ Nome não cadastrado"))</f>
        <v/>
      </c>
      <c r="V1649" s="19" t="str">
        <f>IF(tblDados[[#This Row],[Visitante]]="","",IF(COUNTIF(CadastroEquipes,TRIM(tblDados[[#This Row],[Visitante]]))&gt;0,"","⚠ Nome não cadastrado"))</f>
        <v/>
      </c>
    </row>
    <row r="1650" spans="1:22" x14ac:dyDescent="0.3">
      <c r="A1650" s="1" t="s">
        <v>4480</v>
      </c>
      <c r="B1650" s="102">
        <v>46202</v>
      </c>
      <c r="C1650" s="6">
        <v>0.67708333333333337</v>
      </c>
      <c r="D1650" s="1" t="s">
        <v>24</v>
      </c>
      <c r="E1650" s="1" t="s">
        <v>4334</v>
      </c>
      <c r="F1650" s="1" t="s">
        <v>4481</v>
      </c>
      <c r="G1650" s="39" t="s">
        <v>4446</v>
      </c>
      <c r="H1650" s="1">
        <v>0</v>
      </c>
      <c r="I1650" s="1">
        <v>2</v>
      </c>
      <c r="J1650" s="39" t="s">
        <v>4444</v>
      </c>
      <c r="K1650" s="1">
        <v>2</v>
      </c>
      <c r="L1650" s="1">
        <v>0</v>
      </c>
      <c r="S1650" s="1" t="str">
        <f>IF(tblDados[[#This Row],[Mandante]]="","",TEXT(tblDados[[#This Row],[Data]],"aaaa-mm-dd")&amp;"|"&amp;TRIM(tblDados[[#This Row],[Mandante]])&amp;"|"&amp;TRIM(tblDados[[#This Row],[Visitante]]))</f>
        <v>2026-06-29|Akranes (ÍA Akranes)|Fram Reykjavik (Fram Reykjavík)</v>
      </c>
      <c r="T1650" s="1">
        <f>IF($G1650="",0,IF(COUNTIF($S$2:$S3138,$S1650)=1,1,0))</f>
        <v>1</v>
      </c>
      <c r="U1650" s="19" t="str">
        <f>IF(tblDados[[#This Row],[Mandante]]="","",IF(COUNTIF(CadastroEquipes,TRIM(tblDados[[#This Row],[Mandante]]))&gt;0,"","⚠ Nome não cadastrado"))</f>
        <v/>
      </c>
      <c r="V1650" s="19" t="str">
        <f>IF(tblDados[[#This Row],[Visitante]]="","",IF(COUNTIF(CadastroEquipes,TRIM(tblDados[[#This Row],[Visitante]]))&gt;0,"","⚠ Nome não cadastrado"))</f>
        <v/>
      </c>
    </row>
    <row r="1651" spans="1:22" x14ac:dyDescent="0.3">
      <c r="A1651" s="1" t="s">
        <v>4482</v>
      </c>
      <c r="B1651" s="102">
        <v>46188</v>
      </c>
      <c r="C1651" s="6">
        <v>0.625</v>
      </c>
      <c r="D1651" s="1" t="s">
        <v>24</v>
      </c>
      <c r="E1651" s="1" t="s">
        <v>4334</v>
      </c>
      <c r="F1651" s="1" t="s">
        <v>4483</v>
      </c>
      <c r="G1651" s="39" t="s">
        <v>80</v>
      </c>
      <c r="H1651" s="1">
        <v>3</v>
      </c>
      <c r="I1651" s="1">
        <v>4</v>
      </c>
      <c r="J1651" s="39" t="s">
        <v>4444</v>
      </c>
      <c r="K1651" s="1">
        <v>4</v>
      </c>
      <c r="L1651" s="1">
        <v>3</v>
      </c>
      <c r="S1651" s="1" t="str">
        <f>IF(tblDados[[#This Row],[Mandante]]="","",TEXT(tblDados[[#This Row],[Data]],"aaaa-mm-dd")&amp;"|"&amp;TRIM(tblDados[[#This Row],[Mandante]])&amp;"|"&amp;TRIM(tblDados[[#This Row],[Visitante]]))</f>
        <v>2026-06-15|KA Akureyri|Fram Reykjavik (Fram Reykjavík)</v>
      </c>
      <c r="T1651" s="1">
        <f>IF($G1651="",0,IF(COUNTIF($S$2:$S3139,$S1651)=1,1,0))</f>
        <v>1</v>
      </c>
      <c r="U1651" s="19" t="str">
        <f>IF(tblDados[[#This Row],[Mandante]]="","",IF(COUNTIF(CadastroEquipes,TRIM(tblDados[[#This Row],[Mandante]]))&gt;0,"","⚠ Nome não cadastrado"))</f>
        <v/>
      </c>
      <c r="V1651" s="19" t="str">
        <f>IF(tblDados[[#This Row],[Visitante]]="","",IF(COUNTIF(CadastroEquipes,TRIM(tblDados[[#This Row],[Visitante]]))&gt;0,"","⚠ Nome não cadastrado"))</f>
        <v/>
      </c>
    </row>
    <row r="1652" spans="1:22" x14ac:dyDescent="0.3">
      <c r="A1652" s="1" t="s">
        <v>4484</v>
      </c>
      <c r="B1652" s="102">
        <v>46171</v>
      </c>
      <c r="C1652" s="6">
        <v>0.67708333333333337</v>
      </c>
      <c r="D1652" s="1" t="s">
        <v>24</v>
      </c>
      <c r="E1652" s="1" t="s">
        <v>4334</v>
      </c>
      <c r="F1652" s="1" t="s">
        <v>4485</v>
      </c>
      <c r="G1652" s="39" t="s">
        <v>4444</v>
      </c>
      <c r="H1652" s="1">
        <v>4</v>
      </c>
      <c r="I1652" s="1">
        <v>3</v>
      </c>
      <c r="J1652" s="39" t="s">
        <v>77</v>
      </c>
      <c r="K1652" s="1">
        <v>3</v>
      </c>
      <c r="L1652" s="1">
        <v>4</v>
      </c>
      <c r="S1652" s="1" t="str">
        <f>IF(tblDados[[#This Row],[Mandante]]="","",TEXT(tblDados[[#This Row],[Data]],"aaaa-mm-dd")&amp;"|"&amp;TRIM(tblDados[[#This Row],[Mandante]])&amp;"|"&amp;TRIM(tblDados[[#This Row],[Visitante]]))</f>
        <v>2026-05-29|Fram Reykjavik (Fram Reykjavík)|Breidablik</v>
      </c>
      <c r="T1652" s="1">
        <f>IF($G1652="",0,IF(COUNTIF($S$2:$S3140,$S1652)=1,1,0))</f>
        <v>1</v>
      </c>
      <c r="U1652" s="19" t="str">
        <f>IF(tblDados[[#This Row],[Mandante]]="","",IF(COUNTIF(CadastroEquipes,TRIM(tblDados[[#This Row],[Mandante]]))&gt;0,"","⚠ Nome não cadastrado"))</f>
        <v/>
      </c>
      <c r="V1652" s="19" t="str">
        <f>IF(tblDados[[#This Row],[Visitante]]="","",IF(COUNTIF(CadastroEquipes,TRIM(tblDados[[#This Row],[Visitante]]))&gt;0,"","⚠ Nome não cadastrado"))</f>
        <v/>
      </c>
    </row>
    <row r="1653" spans="1:22" x14ac:dyDescent="0.3">
      <c r="A1653" s="1" t="s">
        <v>4486</v>
      </c>
      <c r="B1653" s="102">
        <v>46164</v>
      </c>
      <c r="C1653" s="6">
        <v>0.67708333333333337</v>
      </c>
      <c r="D1653" s="1" t="s">
        <v>24</v>
      </c>
      <c r="E1653" s="1" t="s">
        <v>4334</v>
      </c>
      <c r="F1653" s="1" t="s">
        <v>4487</v>
      </c>
      <c r="G1653" s="39" t="s">
        <v>941</v>
      </c>
      <c r="H1653" s="1">
        <v>0</v>
      </c>
      <c r="I1653" s="1">
        <v>1</v>
      </c>
      <c r="J1653" s="39" t="s">
        <v>4444</v>
      </c>
      <c r="K1653" s="1">
        <v>1</v>
      </c>
      <c r="L1653" s="1">
        <v>0</v>
      </c>
      <c r="S1653" s="1" t="str">
        <f>IF(tblDados[[#This Row],[Mandante]]="","",TEXT(tblDados[[#This Row],[Data]],"aaaa-mm-dd")&amp;"|"&amp;TRIM(tblDados[[#This Row],[Mandante]])&amp;"|"&amp;TRIM(tblDados[[#This Row],[Visitante]]))</f>
        <v>2026-05-22|Stjarnan|Fram Reykjavik (Fram Reykjavík)</v>
      </c>
      <c r="T1653" s="1">
        <f>IF($G1653="",0,IF(COUNTIF($S$2:$S3141,$S1653)=1,1,0))</f>
        <v>1</v>
      </c>
      <c r="U1653" s="19" t="str">
        <f>IF(tblDados[[#This Row],[Mandante]]="","",IF(COUNTIF(CadastroEquipes,TRIM(tblDados[[#This Row],[Mandante]]))&gt;0,"","⚠ Nome não cadastrado"))</f>
        <v/>
      </c>
      <c r="V1653" s="19" t="str">
        <f>IF(tblDados[[#This Row],[Visitante]]="","",IF(COUNTIF(CadastroEquipes,TRIM(tblDados[[#This Row],[Visitante]]))&gt;0,"","⚠ Nome não cadastrado"))</f>
        <v/>
      </c>
    </row>
    <row r="1654" spans="1:22" x14ac:dyDescent="0.3">
      <c r="A1654" s="1" t="s">
        <v>4488</v>
      </c>
      <c r="B1654" s="102">
        <v>46159</v>
      </c>
      <c r="C1654" s="6">
        <v>0.63541666666666663</v>
      </c>
      <c r="D1654" s="1" t="s">
        <v>24</v>
      </c>
      <c r="E1654" s="1" t="s">
        <v>4334</v>
      </c>
      <c r="F1654" s="1" t="s">
        <v>4489</v>
      </c>
      <c r="G1654" s="39" t="s">
        <v>4445</v>
      </c>
      <c r="H1654" s="1">
        <v>2</v>
      </c>
      <c r="I1654" s="1">
        <v>2</v>
      </c>
      <c r="J1654" s="39" t="s">
        <v>4444</v>
      </c>
      <c r="K1654" s="1">
        <v>2</v>
      </c>
      <c r="L1654" s="1">
        <v>2</v>
      </c>
      <c r="S1654" s="1" t="str">
        <f>IF(tblDados[[#This Row],[Mandante]]="","",TEXT(tblDados[[#This Row],[Data]],"aaaa-mm-dd")&amp;"|"&amp;TRIM(tblDados[[#This Row],[Mandante]])&amp;"|"&amp;TRIM(tblDados[[#This Row],[Visitante]]))</f>
        <v>2026-05-17|KR Reykjavik (KR Reykjavík)|Fram Reykjavik (Fram Reykjavík)</v>
      </c>
      <c r="T1654" s="1">
        <f>IF($G1654="",0,IF(COUNTIF($S$2:$S3142,$S1654)=1,1,0))</f>
        <v>1</v>
      </c>
      <c r="U1654" s="19" t="str">
        <f>IF(tblDados[[#This Row],[Mandante]]="","",IF(COUNTIF(CadastroEquipes,TRIM(tblDados[[#This Row],[Mandante]]))&gt;0,"","⚠ Nome não cadastrado"))</f>
        <v/>
      </c>
      <c r="V1654" s="19" t="str">
        <f>IF(tblDados[[#This Row],[Visitante]]="","",IF(COUNTIF(CadastroEquipes,TRIM(tblDados[[#This Row],[Visitante]]))&gt;0,"","⚠ Nome não cadastrado"))</f>
        <v/>
      </c>
    </row>
    <row r="1655" spans="1:22" x14ac:dyDescent="0.3">
      <c r="A1655" s="1" t="s">
        <v>4490</v>
      </c>
      <c r="B1655" s="102">
        <v>46150</v>
      </c>
      <c r="C1655" s="6">
        <v>0.67708333333333337</v>
      </c>
      <c r="D1655" s="1" t="s">
        <v>24</v>
      </c>
      <c r="E1655" s="1" t="s">
        <v>4334</v>
      </c>
      <c r="F1655" s="1" t="s">
        <v>4491</v>
      </c>
      <c r="G1655" s="39" t="s">
        <v>4444</v>
      </c>
      <c r="H1655" s="1">
        <v>3</v>
      </c>
      <c r="I1655" s="1">
        <v>2</v>
      </c>
      <c r="J1655" s="39" t="s">
        <v>942</v>
      </c>
      <c r="K1655" s="1">
        <v>2</v>
      </c>
      <c r="L1655" s="1">
        <v>3</v>
      </c>
      <c r="S1655" s="1" t="str">
        <f>IF(tblDados[[#This Row],[Mandante]]="","",TEXT(tblDados[[#This Row],[Data]],"aaaa-mm-dd")&amp;"|"&amp;TRIM(tblDados[[#This Row],[Mandante]])&amp;"|"&amp;TRIM(tblDados[[#This Row],[Visitante]]))</f>
        <v>2026-05-08|Fram Reykjavik (Fram Reykjavík)|Valur Reykjavik</v>
      </c>
      <c r="T1655" s="1">
        <f>IF($G1655="",0,IF(COUNTIF($S$2:$S3143,$S1655)=1,1,0))</f>
        <v>1</v>
      </c>
      <c r="U1655" s="19" t="str">
        <f>IF(tblDados[[#This Row],[Mandante]]="","",IF(COUNTIF(CadastroEquipes,TRIM(tblDados[[#This Row],[Mandante]]))&gt;0,"","⚠ Nome não cadastrado"))</f>
        <v/>
      </c>
      <c r="V1655" s="19" t="str">
        <f>IF(tblDados[[#This Row],[Visitante]]="","",IF(COUNTIF(CadastroEquipes,TRIM(tblDados[[#This Row],[Visitante]]))&gt;0,"","⚠ Nome não cadastrado"))</f>
        <v/>
      </c>
    </row>
    <row r="1656" spans="1:22" x14ac:dyDescent="0.3">
      <c r="A1656" s="1" t="s">
        <v>4492</v>
      </c>
      <c r="B1656" s="102">
        <v>46239</v>
      </c>
      <c r="C1656" s="6">
        <v>0.67708333333333337</v>
      </c>
      <c r="D1656" s="1" t="s">
        <v>24</v>
      </c>
      <c r="E1656" s="1" t="s">
        <v>4334</v>
      </c>
      <c r="F1656" s="1" t="s">
        <v>4493</v>
      </c>
      <c r="G1656" s="39" t="s">
        <v>4447</v>
      </c>
      <c r="H1656" s="1">
        <v>1</v>
      </c>
      <c r="I1656" s="1">
        <v>1</v>
      </c>
      <c r="J1656" s="39" t="s">
        <v>4445</v>
      </c>
      <c r="K1656" s="1">
        <v>1</v>
      </c>
      <c r="L1656" s="1">
        <v>1</v>
      </c>
      <c r="S1656" s="1" t="str">
        <f>IF(tblDados[[#This Row],[Mandante]]="","",TEXT(tblDados[[#This Row],[Data]],"aaaa-mm-dd")&amp;"|"&amp;TRIM(tblDados[[#This Row],[Mandante]])&amp;"|"&amp;TRIM(tblDados[[#This Row],[Visitante]]))</f>
        <v>2026-08-05|Hafnarfjordur (FH Hafnarfjörður)|KR Reykjavik (KR Reykjavík)</v>
      </c>
      <c r="T1656" s="1">
        <f>IF($G1656="",0,IF(COUNTIF($S$2:$S3144,$S1656)=1,1,0))</f>
        <v>1</v>
      </c>
      <c r="U1656" s="19" t="str">
        <f>IF(tblDados[[#This Row],[Mandante]]="","",IF(COUNTIF(CadastroEquipes,TRIM(tblDados[[#This Row],[Mandante]]))&gt;0,"","⚠ Nome não cadastrado"))</f>
        <v/>
      </c>
      <c r="V1656" s="19" t="str">
        <f>IF(tblDados[[#This Row],[Visitante]]="","",IF(COUNTIF(CadastroEquipes,TRIM(tblDados[[#This Row],[Visitante]]))&gt;0,"","⚠ Nome não cadastrado"))</f>
        <v/>
      </c>
    </row>
    <row r="1657" spans="1:22" x14ac:dyDescent="0.3">
      <c r="A1657" s="1" t="s">
        <v>4494</v>
      </c>
      <c r="B1657" s="102">
        <v>46222</v>
      </c>
      <c r="C1657" s="6">
        <v>0.54166666666666663</v>
      </c>
      <c r="D1657" s="1" t="s">
        <v>24</v>
      </c>
      <c r="E1657" s="1" t="s">
        <v>4334</v>
      </c>
      <c r="F1657" s="1" t="s">
        <v>4495</v>
      </c>
      <c r="G1657" s="39" t="s">
        <v>4445</v>
      </c>
      <c r="H1657" s="1">
        <v>5</v>
      </c>
      <c r="I1657" s="1">
        <v>0</v>
      </c>
      <c r="J1657" s="39" t="s">
        <v>941</v>
      </c>
      <c r="K1657" s="1">
        <v>0</v>
      </c>
      <c r="L1657" s="1">
        <v>5</v>
      </c>
      <c r="S1657" s="1" t="str">
        <f>IF(tblDados[[#This Row],[Mandante]]="","",TEXT(tblDados[[#This Row],[Data]],"aaaa-mm-dd")&amp;"|"&amp;TRIM(tblDados[[#This Row],[Mandante]])&amp;"|"&amp;TRIM(tblDados[[#This Row],[Visitante]]))</f>
        <v>2026-07-19|KR Reykjavik (KR Reykjavík)|Stjarnan</v>
      </c>
      <c r="T1657" s="1">
        <f>IF($G1657="",0,IF(COUNTIF($S$2:$S3145,$S1657)=1,1,0))</f>
        <v>1</v>
      </c>
      <c r="U1657" s="19" t="str">
        <f>IF(tblDados[[#This Row],[Mandante]]="","",IF(COUNTIF(CadastroEquipes,TRIM(tblDados[[#This Row],[Mandante]]))&gt;0,"","⚠ Nome não cadastrado"))</f>
        <v/>
      </c>
      <c r="V1657" s="19" t="str">
        <f>IF(tblDados[[#This Row],[Visitante]]="","",IF(COUNTIF(CadastroEquipes,TRIM(tblDados[[#This Row],[Visitante]]))&gt;0,"","⚠ Nome não cadastrado"))</f>
        <v/>
      </c>
    </row>
    <row r="1658" spans="1:22" x14ac:dyDescent="0.3">
      <c r="A1658" s="1" t="s">
        <v>4496</v>
      </c>
      <c r="B1658" s="102">
        <v>46215</v>
      </c>
      <c r="C1658" s="6">
        <v>0.625</v>
      </c>
      <c r="D1658" s="1" t="s">
        <v>24</v>
      </c>
      <c r="E1658" s="1" t="s">
        <v>4334</v>
      </c>
      <c r="F1658" s="1" t="s">
        <v>4497</v>
      </c>
      <c r="G1658" s="39" t="s">
        <v>4445</v>
      </c>
      <c r="H1658" s="1">
        <v>5</v>
      </c>
      <c r="I1658" s="1">
        <v>2</v>
      </c>
      <c r="J1658" s="39" t="s">
        <v>78</v>
      </c>
      <c r="K1658" s="1">
        <v>2</v>
      </c>
      <c r="L1658" s="1">
        <v>5</v>
      </c>
      <c r="S1658" s="1" t="str">
        <f>IF(tblDados[[#This Row],[Mandante]]="","",TEXT(tblDados[[#This Row],[Data]],"aaaa-mm-dd")&amp;"|"&amp;TRIM(tblDados[[#This Row],[Mandante]])&amp;"|"&amp;TRIM(tblDados[[#This Row],[Visitante]]))</f>
        <v>2026-07-12|KR Reykjavik (KR Reykjavík)|IBV Vestmannaeyjar</v>
      </c>
      <c r="T1658" s="1">
        <f>IF($G1658="",0,IF(COUNTIF($S$2:$S3146,$S1658)=1,1,0))</f>
        <v>1</v>
      </c>
      <c r="U1658" s="19" t="str">
        <f>IF(tblDados[[#This Row],[Mandante]]="","",IF(COUNTIF(CadastroEquipes,TRIM(tblDados[[#This Row],[Mandante]]))&gt;0,"","⚠ Nome não cadastrado"))</f>
        <v/>
      </c>
      <c r="V1658" s="19" t="str">
        <f>IF(tblDados[[#This Row],[Visitante]]="","",IF(COUNTIF(CadastroEquipes,TRIM(tblDados[[#This Row],[Visitante]]))&gt;0,"","⚠ Nome não cadastrado"))</f>
        <v/>
      </c>
    </row>
    <row r="1659" spans="1:22" x14ac:dyDescent="0.3">
      <c r="A1659" s="1" t="s">
        <v>4498</v>
      </c>
      <c r="B1659" s="102">
        <v>46205</v>
      </c>
      <c r="C1659" s="6">
        <v>0.67708333333333337</v>
      </c>
      <c r="D1659" s="1" t="s">
        <v>24</v>
      </c>
      <c r="E1659" s="1" t="s">
        <v>4334</v>
      </c>
      <c r="F1659" s="1" t="s">
        <v>4579</v>
      </c>
      <c r="G1659" s="39" t="s">
        <v>4575</v>
      </c>
      <c r="H1659" s="1">
        <v>3</v>
      </c>
      <c r="I1659" s="1">
        <v>3</v>
      </c>
      <c r="J1659" s="39" t="s">
        <v>4445</v>
      </c>
      <c r="K1659" s="1">
        <v>3</v>
      </c>
      <c r="L1659" s="1">
        <v>3</v>
      </c>
      <c r="S1659" s="1" t="str">
        <f>IF(tblDados[[#This Row],[Mandante]]="","",TEXT(tblDados[[#This Row],[Data]],"aaaa-mm-dd")&amp;"|"&amp;TRIM(tblDados[[#This Row],[Mandante]])&amp;"|"&amp;TRIM(tblDados[[#This Row],[Visitante]]))</f>
        <v>2026-07-02|Thor Akureyri (Þór Akureyri)|KR Reykjavik (KR Reykjavík)</v>
      </c>
      <c r="T1659" s="1">
        <f>IF($G1659="",0,IF(COUNTIF($S$2:$S3147,$S1659)=1,1,0))</f>
        <v>1</v>
      </c>
      <c r="U1659" s="19" t="str">
        <f>IF(tblDados[[#This Row],[Mandante]]="","",IF(COUNTIF(CadastroEquipes,TRIM(tblDados[[#This Row],[Mandante]]))&gt;0,"","⚠ Nome não cadastrado"))</f>
        <v/>
      </c>
      <c r="V1659" s="19" t="str">
        <f>IF(tblDados[[#This Row],[Visitante]]="","",IF(COUNTIF(CadastroEquipes,TRIM(tblDados[[#This Row],[Visitante]]))&gt;0,"","⚠ Nome não cadastrado"))</f>
        <v/>
      </c>
    </row>
    <row r="1660" spans="1:22" x14ac:dyDescent="0.3">
      <c r="A1660" s="1" t="s">
        <v>4499</v>
      </c>
      <c r="B1660" s="102">
        <v>46201</v>
      </c>
      <c r="C1660" s="6">
        <v>0.66666666666666663</v>
      </c>
      <c r="D1660" s="1" t="s">
        <v>24</v>
      </c>
      <c r="E1660" s="1" t="s">
        <v>4334</v>
      </c>
      <c r="F1660" s="1" t="s">
        <v>4500</v>
      </c>
      <c r="G1660" s="39" t="s">
        <v>904</v>
      </c>
      <c r="H1660" s="1">
        <v>3</v>
      </c>
      <c r="I1660" s="1">
        <v>2</v>
      </c>
      <c r="J1660" s="39" t="s">
        <v>4445</v>
      </c>
      <c r="K1660" s="1">
        <v>2</v>
      </c>
      <c r="L1660" s="1">
        <v>3</v>
      </c>
      <c r="S1660" s="1" t="str">
        <f>IF(tblDados[[#This Row],[Mandante]]="","",TEXT(tblDados[[#This Row],[Data]],"aaaa-mm-dd")&amp;"|"&amp;TRIM(tblDados[[#This Row],[Mandante]])&amp;"|"&amp;TRIM(tblDados[[#This Row],[Visitante]]))</f>
        <v>2026-06-28|Keflavík|KR Reykjavik (KR Reykjavík)</v>
      </c>
      <c r="T1660" s="1">
        <f>IF($G1660="",0,IF(COUNTIF($S$2:$S3148,$S1660)=1,1,0))</f>
        <v>1</v>
      </c>
      <c r="U1660" s="19" t="str">
        <f>IF(tblDados[[#This Row],[Mandante]]="","",IF(COUNTIF(CadastroEquipes,TRIM(tblDados[[#This Row],[Mandante]]))&gt;0,"","⚠ Nome não cadastrado"))</f>
        <v/>
      </c>
      <c r="V1660" s="19" t="str">
        <f>IF(tblDados[[#This Row],[Visitante]]="","",IF(COUNTIF(CadastroEquipes,TRIM(tblDados[[#This Row],[Visitante]]))&gt;0,"","⚠ Nome não cadastrado"))</f>
        <v/>
      </c>
    </row>
    <row r="1661" spans="1:22" x14ac:dyDescent="0.3">
      <c r="A1661" s="1" t="s">
        <v>4501</v>
      </c>
      <c r="B1661" s="102">
        <v>46195</v>
      </c>
      <c r="C1661" s="6">
        <v>0.67708333333333337</v>
      </c>
      <c r="D1661" s="1" t="s">
        <v>24</v>
      </c>
      <c r="E1661" s="1" t="s">
        <v>4334</v>
      </c>
      <c r="F1661" s="1" t="s">
        <v>4502</v>
      </c>
      <c r="G1661" s="39" t="s">
        <v>4445</v>
      </c>
      <c r="H1661" s="1">
        <v>5</v>
      </c>
      <c r="I1661" s="1">
        <v>3</v>
      </c>
      <c r="J1661" s="39" t="s">
        <v>4446</v>
      </c>
      <c r="K1661" s="1">
        <v>3</v>
      </c>
      <c r="L1661" s="1">
        <v>5</v>
      </c>
      <c r="S1661" s="1" t="str">
        <f>IF(tblDados[[#This Row],[Mandante]]="","",TEXT(tblDados[[#This Row],[Data]],"aaaa-mm-dd")&amp;"|"&amp;TRIM(tblDados[[#This Row],[Mandante]])&amp;"|"&amp;TRIM(tblDados[[#This Row],[Visitante]]))</f>
        <v>2026-06-22|KR Reykjavik (KR Reykjavík)|Akranes (ÍA Akranes)</v>
      </c>
      <c r="T1661" s="1">
        <f>IF($G1661="",0,IF(COUNTIF($S$2:$S3149,$S1661)=1,1,0))</f>
        <v>1</v>
      </c>
      <c r="U1661" s="19" t="str">
        <f>IF(tblDados[[#This Row],[Mandante]]="","",IF(COUNTIF(CadastroEquipes,TRIM(tblDados[[#This Row],[Mandante]]))&gt;0,"","⚠ Nome não cadastrado"))</f>
        <v/>
      </c>
      <c r="V1661" s="19" t="str">
        <f>IF(tblDados[[#This Row],[Visitante]]="","",IF(COUNTIF(CadastroEquipes,TRIM(tblDados[[#This Row],[Visitante]]))&gt;0,"","⚠ Nome não cadastrado"))</f>
        <v/>
      </c>
    </row>
    <row r="1662" spans="1:22" x14ac:dyDescent="0.3">
      <c r="A1662" s="1" t="s">
        <v>4503</v>
      </c>
      <c r="B1662" s="102">
        <v>46173</v>
      </c>
      <c r="C1662" s="6">
        <v>0.58333333333333337</v>
      </c>
      <c r="D1662" s="1" t="s">
        <v>24</v>
      </c>
      <c r="E1662" s="1" t="s">
        <v>4334</v>
      </c>
      <c r="F1662" s="1" t="s">
        <v>4504</v>
      </c>
      <c r="G1662" s="39" t="s">
        <v>4445</v>
      </c>
      <c r="H1662" s="1">
        <v>5</v>
      </c>
      <c r="I1662" s="1">
        <v>3</v>
      </c>
      <c r="J1662" s="39" t="s">
        <v>80</v>
      </c>
      <c r="K1662" s="1">
        <v>3</v>
      </c>
      <c r="L1662" s="1">
        <v>5</v>
      </c>
      <c r="S1662" s="1" t="str">
        <f>IF(tblDados[[#This Row],[Mandante]]="","",TEXT(tblDados[[#This Row],[Data]],"aaaa-mm-dd")&amp;"|"&amp;TRIM(tblDados[[#This Row],[Mandante]])&amp;"|"&amp;TRIM(tblDados[[#This Row],[Visitante]]))</f>
        <v>2026-05-31|KR Reykjavik (KR Reykjavík)|KA Akureyri</v>
      </c>
      <c r="T1662" s="1">
        <f>IF($G1662="",0,IF(COUNTIF($S$2:$S3150,$S1662)=1,1,0))</f>
        <v>1</v>
      </c>
      <c r="U1662" s="19" t="str">
        <f>IF(tblDados[[#This Row],[Mandante]]="","",IF(COUNTIF(CadastroEquipes,TRIM(tblDados[[#This Row],[Mandante]]))&gt;0,"","⚠ Nome não cadastrado"))</f>
        <v/>
      </c>
      <c r="V1662" s="19" t="str">
        <f>IF(tblDados[[#This Row],[Visitante]]="","",IF(COUNTIF(CadastroEquipes,TRIM(tblDados[[#This Row],[Visitante]]))&gt;0,"","⚠ Nome não cadastrado"))</f>
        <v/>
      </c>
    </row>
    <row r="1663" spans="1:22" x14ac:dyDescent="0.3">
      <c r="A1663" s="1" t="s">
        <v>4505</v>
      </c>
      <c r="B1663" s="102">
        <v>46168</v>
      </c>
      <c r="C1663" s="6">
        <v>0.67708333333333337</v>
      </c>
      <c r="D1663" s="1" t="s">
        <v>24</v>
      </c>
      <c r="E1663" s="1" t="s">
        <v>4334</v>
      </c>
      <c r="F1663" s="1" t="s">
        <v>4506</v>
      </c>
      <c r="G1663" s="39" t="s">
        <v>4445</v>
      </c>
      <c r="H1663" s="1">
        <v>3</v>
      </c>
      <c r="I1663" s="1">
        <v>1</v>
      </c>
      <c r="J1663" s="39" t="s">
        <v>942</v>
      </c>
      <c r="K1663" s="1">
        <v>1</v>
      </c>
      <c r="L1663" s="1">
        <v>3</v>
      </c>
      <c r="S1663" s="1" t="str">
        <f>IF(tblDados[[#This Row],[Mandante]]="","",TEXT(tblDados[[#This Row],[Data]],"aaaa-mm-dd")&amp;"|"&amp;TRIM(tblDados[[#This Row],[Mandante]])&amp;"|"&amp;TRIM(tblDados[[#This Row],[Visitante]]))</f>
        <v>2026-05-26|KR Reykjavik (KR Reykjavík)|Valur Reykjavik</v>
      </c>
      <c r="T1663" s="1">
        <f>IF($G1663="",0,IF(COUNTIF($S$2:$S3151,$S1663)=1,1,0))</f>
        <v>1</v>
      </c>
      <c r="U1663" s="19" t="str">
        <f>IF(tblDados[[#This Row],[Mandante]]="","",IF(COUNTIF(CadastroEquipes,TRIM(tblDados[[#This Row],[Mandante]]))&gt;0,"","⚠ Nome não cadastrado"))</f>
        <v/>
      </c>
      <c r="V1663" s="19" t="str">
        <f>IF(tblDados[[#This Row],[Visitante]]="","",IF(COUNTIF(CadastroEquipes,TRIM(tblDados[[#This Row],[Visitante]]))&gt;0,"","⚠ Nome não cadastrado"))</f>
        <v/>
      </c>
    </row>
    <row r="1664" spans="1:22" x14ac:dyDescent="0.3">
      <c r="A1664" s="1" t="s">
        <v>4507</v>
      </c>
      <c r="B1664" s="102">
        <v>46164</v>
      </c>
      <c r="C1664" s="6">
        <v>0.67708333333333337</v>
      </c>
      <c r="D1664" s="1" t="s">
        <v>24</v>
      </c>
      <c r="E1664" s="1" t="s">
        <v>4334</v>
      </c>
      <c r="F1664" s="1" t="s">
        <v>4508</v>
      </c>
      <c r="G1664" s="39" t="s">
        <v>77</v>
      </c>
      <c r="H1664" s="1">
        <v>6</v>
      </c>
      <c r="I1664" s="1">
        <v>3</v>
      </c>
      <c r="J1664" s="39" t="s">
        <v>4445</v>
      </c>
      <c r="K1664" s="1">
        <v>3</v>
      </c>
      <c r="L1664" s="1">
        <v>6</v>
      </c>
      <c r="S1664" s="1" t="str">
        <f>IF(tblDados[[#This Row],[Mandante]]="","",TEXT(tblDados[[#This Row],[Data]],"aaaa-mm-dd")&amp;"|"&amp;TRIM(tblDados[[#This Row],[Mandante]])&amp;"|"&amp;TRIM(tblDados[[#This Row],[Visitante]]))</f>
        <v>2026-05-22|Breidablik|KR Reykjavik (KR Reykjavík)</v>
      </c>
      <c r="T1664" s="1">
        <f>IF($G1664="",0,IF(COUNTIF($S$2:$S3152,$S1664)=1,1,0))</f>
        <v>1</v>
      </c>
      <c r="U1664" s="19" t="str">
        <f>IF(tblDados[[#This Row],[Mandante]]="","",IF(COUNTIF(CadastroEquipes,TRIM(tblDados[[#This Row],[Mandante]]))&gt;0,"","⚠ Nome não cadastrado"))</f>
        <v/>
      </c>
      <c r="V1664" s="19" t="str">
        <f>IF(tblDados[[#This Row],[Visitante]]="","",IF(COUNTIF(CadastroEquipes,TRIM(tblDados[[#This Row],[Visitante]]))&gt;0,"","⚠ Nome não cadastrado"))</f>
        <v/>
      </c>
    </row>
    <row r="1665" spans="1:22" x14ac:dyDescent="0.3">
      <c r="A1665" s="1" t="s">
        <v>4509</v>
      </c>
      <c r="B1665" s="102">
        <v>46150</v>
      </c>
      <c r="C1665" s="6">
        <v>0.67708333333333337</v>
      </c>
      <c r="D1665" s="1" t="s">
        <v>24</v>
      </c>
      <c r="E1665" s="1" t="s">
        <v>4334</v>
      </c>
      <c r="F1665" s="1" t="s">
        <v>4510</v>
      </c>
      <c r="G1665" s="39" t="s">
        <v>941</v>
      </c>
      <c r="H1665" s="1">
        <v>2</v>
      </c>
      <c r="I1665" s="1">
        <v>3</v>
      </c>
      <c r="J1665" s="39" t="s">
        <v>4445</v>
      </c>
      <c r="K1665" s="1">
        <v>3</v>
      </c>
      <c r="L1665" s="1">
        <v>2</v>
      </c>
      <c r="S1665" s="1" t="str">
        <f>IF(tblDados[[#This Row],[Mandante]]="","",TEXT(tblDados[[#This Row],[Data]],"aaaa-mm-dd")&amp;"|"&amp;TRIM(tblDados[[#This Row],[Mandante]])&amp;"|"&amp;TRIM(tblDados[[#This Row],[Visitante]]))</f>
        <v>2026-05-08|Stjarnan|KR Reykjavik (KR Reykjavík)</v>
      </c>
      <c r="T1665" s="1">
        <f>IF($G1665="",0,IF(COUNTIF($S$2:$S3153,$S1665)=1,1,0))</f>
        <v>1</v>
      </c>
      <c r="U1665" s="19" t="str">
        <f>IF(tblDados[[#This Row],[Mandante]]="","",IF(COUNTIF(CadastroEquipes,TRIM(tblDados[[#This Row],[Mandante]]))&gt;0,"","⚠ Nome não cadastrado"))</f>
        <v/>
      </c>
      <c r="V1665" s="19" t="str">
        <f>IF(tblDados[[#This Row],[Visitante]]="","",IF(COUNTIF(CadastroEquipes,TRIM(tblDados[[#This Row],[Visitante]]))&gt;0,"","⚠ Nome não cadastrado"))</f>
        <v/>
      </c>
    </row>
    <row r="1666" spans="1:22" x14ac:dyDescent="0.3">
      <c r="A1666" s="1" t="s">
        <v>4511</v>
      </c>
      <c r="B1666" s="102">
        <v>46243</v>
      </c>
      <c r="C1666" s="6">
        <v>0.71875</v>
      </c>
      <c r="D1666" s="1" t="s">
        <v>24</v>
      </c>
      <c r="E1666" s="1" t="s">
        <v>4334</v>
      </c>
      <c r="F1666" s="1" t="s">
        <v>4512</v>
      </c>
      <c r="G1666" s="39" t="s">
        <v>77</v>
      </c>
      <c r="H1666" s="1">
        <v>1</v>
      </c>
      <c r="I1666" s="1">
        <v>3</v>
      </c>
      <c r="J1666" s="39" t="s">
        <v>942</v>
      </c>
      <c r="K1666" s="1">
        <v>3</v>
      </c>
      <c r="L1666" s="1">
        <v>1</v>
      </c>
      <c r="S1666" s="1" t="str">
        <f>IF(tblDados[[#This Row],[Mandante]]="","",TEXT(tblDados[[#This Row],[Data]],"aaaa-mm-dd")&amp;"|"&amp;TRIM(tblDados[[#This Row],[Mandante]])&amp;"|"&amp;TRIM(tblDados[[#This Row],[Visitante]]))</f>
        <v>2026-08-09|Breidablik|Valur Reykjavik</v>
      </c>
      <c r="T1666" s="1">
        <f>IF($G1666="",0,IF(COUNTIF($S$2:$S3154,$S1666)=1,1,0))</f>
        <v>1</v>
      </c>
      <c r="U1666" s="19" t="str">
        <f>IF(tblDados[[#This Row],[Mandante]]="","",IF(COUNTIF(CadastroEquipes,TRIM(tblDados[[#This Row],[Mandante]]))&gt;0,"","⚠ Nome não cadastrado"))</f>
        <v/>
      </c>
      <c r="V1666" s="19" t="str">
        <f>IF(tblDados[[#This Row],[Visitante]]="","",IF(COUNTIF(CadastroEquipes,TRIM(tblDados[[#This Row],[Visitante]]))&gt;0,"","⚠ Nome não cadastrado"))</f>
        <v/>
      </c>
    </row>
    <row r="1667" spans="1:22" x14ac:dyDescent="0.3">
      <c r="A1667" s="1" t="s">
        <v>4513</v>
      </c>
      <c r="B1667" s="102">
        <v>46223</v>
      </c>
      <c r="C1667" s="6">
        <v>0.67708333333333337</v>
      </c>
      <c r="D1667" s="1" t="s">
        <v>24</v>
      </c>
      <c r="E1667" s="1" t="s">
        <v>4334</v>
      </c>
      <c r="F1667" s="1" t="s">
        <v>4514</v>
      </c>
      <c r="G1667" s="39" t="s">
        <v>4447</v>
      </c>
      <c r="H1667" s="1">
        <v>0</v>
      </c>
      <c r="I1667" s="1">
        <v>0</v>
      </c>
      <c r="J1667" s="39" t="s">
        <v>77</v>
      </c>
      <c r="K1667" s="1">
        <v>0</v>
      </c>
      <c r="L1667" s="1">
        <v>0</v>
      </c>
      <c r="S1667" s="1" t="str">
        <f>IF(tblDados[[#This Row],[Mandante]]="","",TEXT(tblDados[[#This Row],[Data]],"aaaa-mm-dd")&amp;"|"&amp;TRIM(tblDados[[#This Row],[Mandante]])&amp;"|"&amp;TRIM(tblDados[[#This Row],[Visitante]]))</f>
        <v>2026-07-20|Hafnarfjordur (FH Hafnarfjörður)|Breidablik</v>
      </c>
      <c r="T1667" s="1">
        <f>IF($G1667="",0,IF(COUNTIF($S$2:$S3155,$S1667)=1,1,0))</f>
        <v>1</v>
      </c>
      <c r="U1667" s="19" t="str">
        <f>IF(tblDados[[#This Row],[Mandante]]="","",IF(COUNTIF(CadastroEquipes,TRIM(tblDados[[#This Row],[Mandante]]))&gt;0,"","⚠ Nome não cadastrado"))</f>
        <v/>
      </c>
      <c r="V1667" s="19" t="str">
        <f>IF(tblDados[[#This Row],[Visitante]]="","",IF(COUNTIF(CadastroEquipes,TRIM(tblDados[[#This Row],[Visitante]]))&gt;0,"","⚠ Nome não cadastrado"))</f>
        <v/>
      </c>
    </row>
    <row r="1668" spans="1:22" x14ac:dyDescent="0.3">
      <c r="A1668" s="1" t="s">
        <v>4515</v>
      </c>
      <c r="B1668" s="102">
        <v>46216</v>
      </c>
      <c r="C1668" s="6">
        <v>0.67708333333333337</v>
      </c>
      <c r="D1668" s="1" t="s">
        <v>24</v>
      </c>
      <c r="E1668" s="1" t="s">
        <v>4334</v>
      </c>
      <c r="F1668" s="1" t="s">
        <v>4516</v>
      </c>
      <c r="G1668" s="39" t="s">
        <v>77</v>
      </c>
      <c r="H1668" s="1">
        <v>2</v>
      </c>
      <c r="I1668" s="1">
        <v>1</v>
      </c>
      <c r="J1668" s="39" t="s">
        <v>904</v>
      </c>
      <c r="K1668" s="1">
        <v>1</v>
      </c>
      <c r="L1668" s="1">
        <v>2</v>
      </c>
      <c r="S1668" s="1" t="str">
        <f>IF(tblDados[[#This Row],[Mandante]]="","",TEXT(tblDados[[#This Row],[Data]],"aaaa-mm-dd")&amp;"|"&amp;TRIM(tblDados[[#This Row],[Mandante]])&amp;"|"&amp;TRIM(tblDados[[#This Row],[Visitante]]))</f>
        <v>2026-07-13|Breidablik|Keflavík</v>
      </c>
      <c r="T1668" s="1">
        <f>IF($G1668="",0,IF(COUNTIF($S$2:$S3156,$S1668)=1,1,0))</f>
        <v>1</v>
      </c>
      <c r="U1668" s="19" t="str">
        <f>IF(tblDados[[#This Row],[Mandante]]="","",IF(COUNTIF(CadastroEquipes,TRIM(tblDados[[#This Row],[Mandante]]))&gt;0,"","⚠ Nome não cadastrado"))</f>
        <v/>
      </c>
      <c r="V1668" s="19" t="str">
        <f>IF(tblDados[[#This Row],[Visitante]]="","",IF(COUNTIF(CadastroEquipes,TRIM(tblDados[[#This Row],[Visitante]]))&gt;0,"","⚠ Nome não cadastrado"))</f>
        <v/>
      </c>
    </row>
    <row r="1669" spans="1:22" x14ac:dyDescent="0.3">
      <c r="A1669" s="1" t="s">
        <v>4517</v>
      </c>
      <c r="B1669" s="102">
        <v>46207</v>
      </c>
      <c r="C1669" s="6">
        <v>0.45833333333333331</v>
      </c>
      <c r="D1669" s="1" t="s">
        <v>24</v>
      </c>
      <c r="E1669" s="1" t="s">
        <v>4334</v>
      </c>
      <c r="F1669" s="1" t="s">
        <v>4518</v>
      </c>
      <c r="G1669" s="39" t="s">
        <v>4446</v>
      </c>
      <c r="H1669" s="1">
        <v>1</v>
      </c>
      <c r="I1669" s="1">
        <v>2</v>
      </c>
      <c r="J1669" s="39" t="s">
        <v>77</v>
      </c>
      <c r="K1669" s="1">
        <v>2</v>
      </c>
      <c r="L1669" s="1">
        <v>1</v>
      </c>
      <c r="S1669" s="1" t="str">
        <f>IF(tblDados[[#This Row],[Mandante]]="","",TEXT(tblDados[[#This Row],[Data]],"aaaa-mm-dd")&amp;"|"&amp;TRIM(tblDados[[#This Row],[Mandante]])&amp;"|"&amp;TRIM(tblDados[[#This Row],[Visitante]]))</f>
        <v>2026-07-04|Akranes (ÍA Akranes)|Breidablik</v>
      </c>
      <c r="T1669" s="1">
        <f>IF($G1669="",0,IF(COUNTIF($S$2:$S3157,$S1669)=1,1,0))</f>
        <v>1</v>
      </c>
      <c r="U1669" s="19" t="str">
        <f>IF(tblDados[[#This Row],[Mandante]]="","",IF(COUNTIF(CadastroEquipes,TRIM(tblDados[[#This Row],[Mandante]]))&gt;0,"","⚠ Nome não cadastrado"))</f>
        <v/>
      </c>
      <c r="V1669" s="19" t="str">
        <f>IF(tblDados[[#This Row],[Visitante]]="","",IF(COUNTIF(CadastroEquipes,TRIM(tblDados[[#This Row],[Visitante]]))&gt;0,"","⚠ Nome não cadastrado"))</f>
        <v/>
      </c>
    </row>
    <row r="1670" spans="1:22" x14ac:dyDescent="0.3">
      <c r="A1670" s="1" t="s">
        <v>4519</v>
      </c>
      <c r="B1670" s="102">
        <v>46194</v>
      </c>
      <c r="C1670" s="6">
        <v>0.625</v>
      </c>
      <c r="D1670" s="1" t="s">
        <v>24</v>
      </c>
      <c r="E1670" s="1" t="s">
        <v>4334</v>
      </c>
      <c r="F1670" s="1" t="s">
        <v>4520</v>
      </c>
      <c r="G1670" s="39" t="s">
        <v>77</v>
      </c>
      <c r="H1670" s="1">
        <v>3</v>
      </c>
      <c r="I1670" s="1">
        <v>1</v>
      </c>
      <c r="J1670" s="39" t="s">
        <v>80</v>
      </c>
      <c r="K1670" s="1">
        <v>1</v>
      </c>
      <c r="L1670" s="1">
        <v>3</v>
      </c>
      <c r="S1670" s="1" t="str">
        <f>IF(tblDados[[#This Row],[Mandante]]="","",TEXT(tblDados[[#This Row],[Data]],"aaaa-mm-dd")&amp;"|"&amp;TRIM(tblDados[[#This Row],[Mandante]])&amp;"|"&amp;TRIM(tblDados[[#This Row],[Visitante]]))</f>
        <v>2026-06-21|Breidablik|KA Akureyri</v>
      </c>
      <c r="T1670" s="1">
        <f>IF($G1670="",0,IF(COUNTIF($S$2:$S3158,$S1670)=1,1,0))</f>
        <v>1</v>
      </c>
      <c r="U1670" s="19" t="str">
        <f>IF(tblDados[[#This Row],[Mandante]]="","",IF(COUNTIF(CadastroEquipes,TRIM(tblDados[[#This Row],[Mandante]]))&gt;0,"","⚠ Nome não cadastrado"))</f>
        <v/>
      </c>
      <c r="V1670" s="19" t="str">
        <f>IF(tblDados[[#This Row],[Visitante]]="","",IF(COUNTIF(CadastroEquipes,TRIM(tblDados[[#This Row],[Visitante]]))&gt;0,"","⚠ Nome não cadastrado"))</f>
        <v/>
      </c>
    </row>
    <row r="1671" spans="1:22" x14ac:dyDescent="0.3">
      <c r="A1671" s="1" t="s">
        <v>4521</v>
      </c>
      <c r="B1671" s="102">
        <v>46189</v>
      </c>
      <c r="C1671" s="6">
        <v>0.67708333333333337</v>
      </c>
      <c r="D1671" s="1" t="s">
        <v>24</v>
      </c>
      <c r="E1671" s="1" t="s">
        <v>4334</v>
      </c>
      <c r="F1671" s="1" t="s">
        <v>4522</v>
      </c>
      <c r="G1671" s="39" t="s">
        <v>941</v>
      </c>
      <c r="H1671" s="1">
        <v>4</v>
      </c>
      <c r="I1671" s="1">
        <v>4</v>
      </c>
      <c r="J1671" s="39" t="s">
        <v>77</v>
      </c>
      <c r="K1671" s="1">
        <v>4</v>
      </c>
      <c r="L1671" s="1">
        <v>4</v>
      </c>
      <c r="S1671" s="1" t="str">
        <f>IF(tblDados[[#This Row],[Mandante]]="","",TEXT(tblDados[[#This Row],[Data]],"aaaa-mm-dd")&amp;"|"&amp;TRIM(tblDados[[#This Row],[Mandante]])&amp;"|"&amp;TRIM(tblDados[[#This Row],[Visitante]]))</f>
        <v>2026-06-16|Stjarnan|Breidablik</v>
      </c>
      <c r="T1671" s="1">
        <f>IF($G1671="",0,IF(COUNTIF($S$2:$S3159,$S1671)=1,1,0))</f>
        <v>1</v>
      </c>
      <c r="U1671" s="19" t="str">
        <f>IF(tblDados[[#This Row],[Mandante]]="","",IF(COUNTIF(CadastroEquipes,TRIM(tblDados[[#This Row],[Mandante]]))&gt;0,"","⚠ Nome não cadastrado"))</f>
        <v/>
      </c>
      <c r="V1671" s="19" t="str">
        <f>IF(tblDados[[#This Row],[Visitante]]="","",IF(COUNTIF(CadastroEquipes,TRIM(tblDados[[#This Row],[Visitante]]))&gt;0,"","⚠ Nome não cadastrado"))</f>
        <v/>
      </c>
    </row>
    <row r="1672" spans="1:22" x14ac:dyDescent="0.3">
      <c r="A1672" s="1" t="s">
        <v>4523</v>
      </c>
      <c r="B1672" s="102">
        <v>46159</v>
      </c>
      <c r="C1672" s="6">
        <v>0.63541666666666663</v>
      </c>
      <c r="D1672" s="1" t="s">
        <v>24</v>
      </c>
      <c r="E1672" s="1" t="s">
        <v>4334</v>
      </c>
      <c r="F1672" s="1" t="s">
        <v>4524</v>
      </c>
      <c r="G1672" s="39" t="s">
        <v>942</v>
      </c>
      <c r="H1672" s="1">
        <v>3</v>
      </c>
      <c r="I1672" s="1">
        <v>2</v>
      </c>
      <c r="J1672" s="39" t="s">
        <v>77</v>
      </c>
      <c r="K1672" s="1">
        <v>2</v>
      </c>
      <c r="L1672" s="1">
        <v>3</v>
      </c>
      <c r="S1672" s="1" t="str">
        <f>IF(tblDados[[#This Row],[Mandante]]="","",TEXT(tblDados[[#This Row],[Data]],"aaaa-mm-dd")&amp;"|"&amp;TRIM(tblDados[[#This Row],[Mandante]])&amp;"|"&amp;TRIM(tblDados[[#This Row],[Visitante]]))</f>
        <v>2026-05-17|Valur Reykjavik|Breidablik</v>
      </c>
      <c r="T1672" s="1">
        <f>IF($G1672="",0,IF(COUNTIF($S$2:$S3160,$S1672)=1,1,0))</f>
        <v>1</v>
      </c>
      <c r="U1672" s="19" t="str">
        <f>IF(tblDados[[#This Row],[Mandante]]="","",IF(COUNTIF(CadastroEquipes,TRIM(tblDados[[#This Row],[Mandante]]))&gt;0,"","⚠ Nome não cadastrado"))</f>
        <v/>
      </c>
      <c r="V1672" s="19" t="str">
        <f>IF(tblDados[[#This Row],[Visitante]]="","",IF(COUNTIF(CadastroEquipes,TRIM(tblDados[[#This Row],[Visitante]]))&gt;0,"","⚠ Nome não cadastrado"))</f>
        <v/>
      </c>
    </row>
    <row r="1673" spans="1:22" x14ac:dyDescent="0.3">
      <c r="A1673" s="1" t="s">
        <v>4525</v>
      </c>
      <c r="B1673" s="102">
        <v>46215</v>
      </c>
      <c r="C1673" s="6">
        <v>0.67013888888888884</v>
      </c>
      <c r="D1673" s="1" t="s">
        <v>24</v>
      </c>
      <c r="E1673" s="1" t="s">
        <v>4334</v>
      </c>
      <c r="F1673" s="1" t="s">
        <v>4526</v>
      </c>
      <c r="G1673" s="39" t="s">
        <v>4447</v>
      </c>
      <c r="H1673" s="1">
        <v>2</v>
      </c>
      <c r="I1673" s="1">
        <v>0</v>
      </c>
      <c r="J1673" s="39" t="s">
        <v>942</v>
      </c>
      <c r="K1673" s="1">
        <v>0</v>
      </c>
      <c r="L1673" s="1">
        <v>2</v>
      </c>
      <c r="S1673" s="1" t="str">
        <f>IF(tblDados[[#This Row],[Mandante]]="","",TEXT(tblDados[[#This Row],[Data]],"aaaa-mm-dd")&amp;"|"&amp;TRIM(tblDados[[#This Row],[Mandante]])&amp;"|"&amp;TRIM(tblDados[[#This Row],[Visitante]]))</f>
        <v>2026-07-12|Hafnarfjordur (FH Hafnarfjörður)|Valur Reykjavik</v>
      </c>
      <c r="T1673" s="1">
        <f>IF($G1673="",0,IF(COUNTIF($S$2:$S3161,$S1673)=1,1,0))</f>
        <v>1</v>
      </c>
      <c r="U1673" s="19" t="str">
        <f>IF(tblDados[[#This Row],[Mandante]]="","",IF(COUNTIF(CadastroEquipes,TRIM(tblDados[[#This Row],[Mandante]]))&gt;0,"","⚠ Nome não cadastrado"))</f>
        <v/>
      </c>
      <c r="V1673" s="19" t="str">
        <f>IF(tblDados[[#This Row],[Visitante]]="","",IF(COUNTIF(CadastroEquipes,TRIM(tblDados[[#This Row],[Visitante]]))&gt;0,"","⚠ Nome não cadastrado"))</f>
        <v/>
      </c>
    </row>
    <row r="1674" spans="1:22" x14ac:dyDescent="0.3">
      <c r="A1674" s="1" t="s">
        <v>4527</v>
      </c>
      <c r="B1674" s="102">
        <v>46207</v>
      </c>
      <c r="C1674" s="6">
        <v>0.54166666666666663</v>
      </c>
      <c r="D1674" s="1" t="s">
        <v>24</v>
      </c>
      <c r="E1674" s="1" t="s">
        <v>4334</v>
      </c>
      <c r="F1674" s="1" t="s">
        <v>4528</v>
      </c>
      <c r="G1674" s="39" t="s">
        <v>78</v>
      </c>
      <c r="H1674" s="1">
        <v>1</v>
      </c>
      <c r="I1674" s="1">
        <v>0</v>
      </c>
      <c r="J1674" s="39" t="s">
        <v>942</v>
      </c>
      <c r="K1674" s="1">
        <v>0</v>
      </c>
      <c r="L1674" s="1">
        <v>1</v>
      </c>
      <c r="S1674" s="1" t="str">
        <f>IF(tblDados[[#This Row],[Mandante]]="","",TEXT(tblDados[[#This Row],[Data]],"aaaa-mm-dd")&amp;"|"&amp;TRIM(tblDados[[#This Row],[Mandante]])&amp;"|"&amp;TRIM(tblDados[[#This Row],[Visitante]]))</f>
        <v>2026-07-04|IBV Vestmannaeyjar|Valur Reykjavik</v>
      </c>
      <c r="T1674" s="1">
        <f>IF($G1674="",0,IF(COUNTIF($S$2:$S3162,$S1674)=1,1,0))</f>
        <v>1</v>
      </c>
      <c r="U1674" s="19" t="str">
        <f>IF(tblDados[[#This Row],[Mandante]]="","",IF(COUNTIF(CadastroEquipes,TRIM(tblDados[[#This Row],[Mandante]]))&gt;0,"","⚠ Nome não cadastrado"))</f>
        <v/>
      </c>
      <c r="V1674" s="19" t="str">
        <f>IF(tblDados[[#This Row],[Visitante]]="","",IF(COUNTIF(CadastroEquipes,TRIM(tblDados[[#This Row],[Visitante]]))&gt;0,"","⚠ Nome não cadastrado"))</f>
        <v/>
      </c>
    </row>
    <row r="1675" spans="1:22" x14ac:dyDescent="0.3">
      <c r="A1675" s="1" t="s">
        <v>4529</v>
      </c>
      <c r="B1675" s="102">
        <v>46201</v>
      </c>
      <c r="C1675" s="6">
        <v>0.66666666666666663</v>
      </c>
      <c r="D1675" s="1" t="s">
        <v>24</v>
      </c>
      <c r="E1675" s="1" t="s">
        <v>4334</v>
      </c>
      <c r="F1675" s="1" t="s">
        <v>4580</v>
      </c>
      <c r="G1675" s="39" t="s">
        <v>4575</v>
      </c>
      <c r="H1675" s="1">
        <v>2</v>
      </c>
      <c r="I1675" s="1">
        <v>4</v>
      </c>
      <c r="J1675" s="39" t="s">
        <v>942</v>
      </c>
      <c r="K1675" s="1">
        <v>4</v>
      </c>
      <c r="L1675" s="1">
        <v>2</v>
      </c>
      <c r="S1675" s="1" t="str">
        <f>IF(tblDados[[#This Row],[Mandante]]="","",TEXT(tblDados[[#This Row],[Data]],"aaaa-mm-dd")&amp;"|"&amp;TRIM(tblDados[[#This Row],[Mandante]])&amp;"|"&amp;TRIM(tblDados[[#This Row],[Visitante]]))</f>
        <v>2026-06-28|Thor Akureyri (Þór Akureyri)|Valur Reykjavik</v>
      </c>
      <c r="T1675" s="1">
        <f>IF($G1675="",0,IF(COUNTIF($S$2:$S3163,$S1675)=1,1,0))</f>
        <v>1</v>
      </c>
      <c r="U1675" s="19" t="str">
        <f>IF(tblDados[[#This Row],[Mandante]]="","",IF(COUNTIF(CadastroEquipes,TRIM(tblDados[[#This Row],[Mandante]]))&gt;0,"","⚠ Nome não cadastrado"))</f>
        <v/>
      </c>
      <c r="V1675" s="19" t="str">
        <f>IF(tblDados[[#This Row],[Visitante]]="","",IF(COUNTIF(CadastroEquipes,TRIM(tblDados[[#This Row],[Visitante]]))&gt;0,"","⚠ Nome não cadastrado"))</f>
        <v/>
      </c>
    </row>
    <row r="1676" spans="1:22" x14ac:dyDescent="0.3">
      <c r="A1676" s="1" t="s">
        <v>4530</v>
      </c>
      <c r="B1676" s="102">
        <v>46194</v>
      </c>
      <c r="C1676" s="6">
        <v>0.625</v>
      </c>
      <c r="D1676" s="1" t="s">
        <v>24</v>
      </c>
      <c r="E1676" s="1" t="s">
        <v>4334</v>
      </c>
      <c r="F1676" s="1" t="s">
        <v>4531</v>
      </c>
      <c r="G1676" s="39" t="s">
        <v>942</v>
      </c>
      <c r="H1676" s="1">
        <v>1</v>
      </c>
      <c r="I1676" s="1">
        <v>1</v>
      </c>
      <c r="J1676" s="39" t="s">
        <v>904</v>
      </c>
      <c r="K1676" s="1">
        <v>1</v>
      </c>
      <c r="L1676" s="1">
        <v>1</v>
      </c>
      <c r="S1676" s="1" t="str">
        <f>IF(tblDados[[#This Row],[Mandante]]="","",TEXT(tblDados[[#This Row],[Data]],"aaaa-mm-dd")&amp;"|"&amp;TRIM(tblDados[[#This Row],[Mandante]])&amp;"|"&amp;TRIM(tblDados[[#This Row],[Visitante]]))</f>
        <v>2026-06-21|Valur Reykjavik|Keflavík</v>
      </c>
      <c r="T1676" s="1">
        <f>IF($G1676="",0,IF(COUNTIF($S$2:$S3164,$S1676)=1,1,0))</f>
        <v>1</v>
      </c>
      <c r="U1676" s="19" t="str">
        <f>IF(tblDados[[#This Row],[Mandante]]="","",IF(COUNTIF(CadastroEquipes,TRIM(tblDados[[#This Row],[Mandante]]))&gt;0,"","⚠ Nome não cadastrado"))</f>
        <v/>
      </c>
      <c r="V1676" s="19" t="str">
        <f>IF(tblDados[[#This Row],[Visitante]]="","",IF(COUNTIF(CadastroEquipes,TRIM(tblDados[[#This Row],[Visitante]]))&gt;0,"","⚠ Nome não cadastrado"))</f>
        <v/>
      </c>
    </row>
    <row r="1677" spans="1:22" x14ac:dyDescent="0.3">
      <c r="A1677" s="1" t="s">
        <v>4532</v>
      </c>
      <c r="B1677" s="102">
        <v>46189</v>
      </c>
      <c r="C1677" s="6">
        <v>0.67708333333333337</v>
      </c>
      <c r="D1677" s="1" t="s">
        <v>24</v>
      </c>
      <c r="E1677" s="1" t="s">
        <v>4334</v>
      </c>
      <c r="F1677" s="1" t="s">
        <v>4533</v>
      </c>
      <c r="G1677" s="39" t="s">
        <v>4446</v>
      </c>
      <c r="H1677" s="1">
        <v>1</v>
      </c>
      <c r="I1677" s="1">
        <v>0</v>
      </c>
      <c r="J1677" s="39" t="s">
        <v>942</v>
      </c>
      <c r="K1677" s="1">
        <v>0</v>
      </c>
      <c r="L1677" s="1">
        <v>1</v>
      </c>
      <c r="S1677" s="1" t="str">
        <f>IF(tblDados[[#This Row],[Mandante]]="","",TEXT(tblDados[[#This Row],[Data]],"aaaa-mm-dd")&amp;"|"&amp;TRIM(tblDados[[#This Row],[Mandante]])&amp;"|"&amp;TRIM(tblDados[[#This Row],[Visitante]]))</f>
        <v>2026-06-16|Akranes (ÍA Akranes)|Valur Reykjavik</v>
      </c>
      <c r="T1677" s="1">
        <f>IF($G1677="",0,IF(COUNTIF($S$2:$S3165,$S1677)=1,1,0))</f>
        <v>1</v>
      </c>
      <c r="U1677" s="19" t="str">
        <f>IF(tblDados[[#This Row],[Mandante]]="","",IF(COUNTIF(CadastroEquipes,TRIM(tblDados[[#This Row],[Mandante]]))&gt;0,"","⚠ Nome não cadastrado"))</f>
        <v/>
      </c>
      <c r="V1677" s="19" t="str">
        <f>IF(tblDados[[#This Row],[Visitante]]="","",IF(COUNTIF(CadastroEquipes,TRIM(tblDados[[#This Row],[Visitante]]))&gt;0,"","⚠ Nome não cadastrado"))</f>
        <v/>
      </c>
    </row>
    <row r="1678" spans="1:22" x14ac:dyDescent="0.3">
      <c r="A1678" s="1" t="s">
        <v>4534</v>
      </c>
      <c r="B1678" s="102">
        <v>46164</v>
      </c>
      <c r="C1678" s="6">
        <v>0.45833333333333331</v>
      </c>
      <c r="D1678" s="1" t="s">
        <v>24</v>
      </c>
      <c r="E1678" s="1" t="s">
        <v>4334</v>
      </c>
      <c r="F1678" s="1" t="s">
        <v>4535</v>
      </c>
      <c r="G1678" s="39" t="s">
        <v>80</v>
      </c>
      <c r="H1678" s="1">
        <v>0</v>
      </c>
      <c r="I1678" s="1">
        <v>1</v>
      </c>
      <c r="J1678" s="39" t="s">
        <v>942</v>
      </c>
      <c r="K1678" s="1">
        <v>1</v>
      </c>
      <c r="L1678" s="1">
        <v>0</v>
      </c>
      <c r="S1678" s="1" t="str">
        <f>IF(tblDados[[#This Row],[Mandante]]="","",TEXT(tblDados[[#This Row],[Data]],"aaaa-mm-dd")&amp;"|"&amp;TRIM(tblDados[[#This Row],[Mandante]])&amp;"|"&amp;TRIM(tblDados[[#This Row],[Visitante]]))</f>
        <v>2026-05-22|KA Akureyri|Valur Reykjavik</v>
      </c>
      <c r="T1678" s="1">
        <f>IF($G1678="",0,IF(COUNTIF($S$2:$S3166,$S1678)=1,1,0))</f>
        <v>1</v>
      </c>
      <c r="U1678" s="19" t="str">
        <f>IF(tblDados[[#This Row],[Mandante]]="","",IF(COUNTIF(CadastroEquipes,TRIM(tblDados[[#This Row],[Mandante]]))&gt;0,"","⚠ Nome não cadastrado"))</f>
        <v/>
      </c>
      <c r="V1678" s="19" t="str">
        <f>IF(tblDados[[#This Row],[Visitante]]="","",IF(COUNTIF(CadastroEquipes,TRIM(tblDados[[#This Row],[Visitante]]))&gt;0,"","⚠ Nome não cadastrado"))</f>
        <v/>
      </c>
    </row>
    <row r="1679" spans="1:22" x14ac:dyDescent="0.3">
      <c r="A1679" s="1" t="s">
        <v>4536</v>
      </c>
      <c r="B1679" s="102">
        <v>46243</v>
      </c>
      <c r="C1679" s="6">
        <v>0.625</v>
      </c>
      <c r="D1679" s="1" t="s">
        <v>24</v>
      </c>
      <c r="E1679" s="1" t="s">
        <v>4334</v>
      </c>
      <c r="F1679" s="1" t="s">
        <v>4537</v>
      </c>
      <c r="G1679" s="39" t="s">
        <v>941</v>
      </c>
      <c r="H1679" s="1">
        <v>1</v>
      </c>
      <c r="I1679" s="1">
        <v>0</v>
      </c>
      <c r="J1679" s="39" t="s">
        <v>904</v>
      </c>
      <c r="K1679" s="1">
        <v>0</v>
      </c>
      <c r="L1679" s="1">
        <v>1</v>
      </c>
      <c r="S1679" s="1" t="str">
        <f>IF(tblDados[[#This Row],[Mandante]]="","",TEXT(tblDados[[#This Row],[Data]],"aaaa-mm-dd")&amp;"|"&amp;TRIM(tblDados[[#This Row],[Mandante]])&amp;"|"&amp;TRIM(tblDados[[#This Row],[Visitante]]))</f>
        <v>2026-08-09|Stjarnan|Keflavík</v>
      </c>
      <c r="T1679" s="1">
        <f>IF($G1679="",0,IF(COUNTIF($S$2:$S3167,$S1679)=1,1,0))</f>
        <v>1</v>
      </c>
      <c r="U1679" s="19" t="str">
        <f>IF(tblDados[[#This Row],[Mandante]]="","",IF(COUNTIF(CadastroEquipes,TRIM(tblDados[[#This Row],[Mandante]]))&gt;0,"","⚠ Nome não cadastrado"))</f>
        <v/>
      </c>
      <c r="V1679" s="19" t="str">
        <f>IF(tblDados[[#This Row],[Visitante]]="","",IF(COUNTIF(CadastroEquipes,TRIM(tblDados[[#This Row],[Visitante]]))&gt;0,"","⚠ Nome não cadastrado"))</f>
        <v/>
      </c>
    </row>
    <row r="1680" spans="1:22" x14ac:dyDescent="0.3">
      <c r="A1680" s="1" t="s">
        <v>4538</v>
      </c>
      <c r="B1680" s="102">
        <v>46229</v>
      </c>
      <c r="C1680" s="6">
        <v>0.67708333333333337</v>
      </c>
      <c r="D1680" s="1" t="s">
        <v>24</v>
      </c>
      <c r="E1680" s="1" t="s">
        <v>4334</v>
      </c>
      <c r="F1680" s="1" t="s">
        <v>4539</v>
      </c>
      <c r="G1680" s="39" t="s">
        <v>4446</v>
      </c>
      <c r="H1680" s="1">
        <v>5</v>
      </c>
      <c r="I1680" s="1">
        <v>1</v>
      </c>
      <c r="J1680" s="39" t="s">
        <v>941</v>
      </c>
      <c r="K1680" s="1">
        <v>1</v>
      </c>
      <c r="L1680" s="1">
        <v>5</v>
      </c>
      <c r="S1680" s="1" t="str">
        <f>IF(tblDados[[#This Row],[Mandante]]="","",TEXT(tblDados[[#This Row],[Data]],"aaaa-mm-dd")&amp;"|"&amp;TRIM(tblDados[[#This Row],[Mandante]])&amp;"|"&amp;TRIM(tblDados[[#This Row],[Visitante]]))</f>
        <v>2026-07-26|Akranes (ÍA Akranes)|Stjarnan</v>
      </c>
      <c r="T1680" s="1">
        <f>IF($G1680="",0,IF(COUNTIF($S$2:$S3168,$S1680)=1,1,0))</f>
        <v>1</v>
      </c>
      <c r="U1680" s="19" t="str">
        <f>IF(tblDados[[#This Row],[Mandante]]="","",IF(COUNTIF(CadastroEquipes,TRIM(tblDados[[#This Row],[Mandante]]))&gt;0,"","⚠ Nome não cadastrado"))</f>
        <v/>
      </c>
      <c r="V1680" s="19" t="str">
        <f>IF(tblDados[[#This Row],[Visitante]]="","",IF(COUNTIF(CadastroEquipes,TRIM(tblDados[[#This Row],[Visitante]]))&gt;0,"","⚠ Nome não cadastrado"))</f>
        <v/>
      </c>
    </row>
    <row r="1681" spans="1:22" x14ac:dyDescent="0.3">
      <c r="A1681" s="1" t="s">
        <v>4540</v>
      </c>
      <c r="B1681" s="102">
        <v>46206</v>
      </c>
      <c r="C1681" s="6">
        <v>0.67708333333333337</v>
      </c>
      <c r="D1681" s="1" t="s">
        <v>24</v>
      </c>
      <c r="E1681" s="1" t="s">
        <v>4334</v>
      </c>
      <c r="F1681" s="1" t="s">
        <v>4541</v>
      </c>
      <c r="G1681" s="39" t="s">
        <v>4447</v>
      </c>
      <c r="H1681" s="1">
        <v>2</v>
      </c>
      <c r="I1681" s="1">
        <v>2</v>
      </c>
      <c r="J1681" s="39" t="s">
        <v>941</v>
      </c>
      <c r="K1681" s="1">
        <v>2</v>
      </c>
      <c r="L1681" s="1">
        <v>2</v>
      </c>
      <c r="S1681" s="1" t="str">
        <f>IF(tblDados[[#This Row],[Mandante]]="","",TEXT(tblDados[[#This Row],[Data]],"aaaa-mm-dd")&amp;"|"&amp;TRIM(tblDados[[#This Row],[Mandante]])&amp;"|"&amp;TRIM(tblDados[[#This Row],[Visitante]]))</f>
        <v>2026-07-03|Hafnarfjordur (FH Hafnarfjörður)|Stjarnan</v>
      </c>
      <c r="T1681" s="1">
        <f>IF($G1681="",0,IF(COUNTIF($S$2:$S3169,$S1681)=1,1,0))</f>
        <v>1</v>
      </c>
      <c r="U1681" s="19" t="str">
        <f>IF(tblDados[[#This Row],[Mandante]]="","",IF(COUNTIF(CadastroEquipes,TRIM(tblDados[[#This Row],[Mandante]]))&gt;0,"","⚠ Nome não cadastrado"))</f>
        <v/>
      </c>
      <c r="V1681" s="19" t="str">
        <f>IF(tblDados[[#This Row],[Visitante]]="","",IF(COUNTIF(CadastroEquipes,TRIM(tblDados[[#This Row],[Visitante]]))&gt;0,"","⚠ Nome não cadastrado"))</f>
        <v/>
      </c>
    </row>
    <row r="1682" spans="1:22" x14ac:dyDescent="0.3">
      <c r="A1682" s="1" t="s">
        <v>4542</v>
      </c>
      <c r="B1682" s="102">
        <v>46201</v>
      </c>
      <c r="C1682" s="6">
        <v>0.58333333333333337</v>
      </c>
      <c r="D1682" s="1" t="s">
        <v>24</v>
      </c>
      <c r="E1682" s="1" t="s">
        <v>4334</v>
      </c>
      <c r="F1682" s="1" t="s">
        <v>4543</v>
      </c>
      <c r="G1682" s="39" t="s">
        <v>941</v>
      </c>
      <c r="H1682" s="1">
        <v>3</v>
      </c>
      <c r="I1682" s="1">
        <v>1</v>
      </c>
      <c r="J1682" s="39" t="s">
        <v>80</v>
      </c>
      <c r="K1682" s="1">
        <v>1</v>
      </c>
      <c r="L1682" s="1">
        <v>3</v>
      </c>
      <c r="S1682" s="1" t="str">
        <f>IF(tblDados[[#This Row],[Mandante]]="","",TEXT(tblDados[[#This Row],[Data]],"aaaa-mm-dd")&amp;"|"&amp;TRIM(tblDados[[#This Row],[Mandante]])&amp;"|"&amp;TRIM(tblDados[[#This Row],[Visitante]]))</f>
        <v>2026-06-28|Stjarnan|KA Akureyri</v>
      </c>
      <c r="T1682" s="1">
        <f>IF($G1682="",0,IF(COUNTIF($S$2:$S3170,$S1682)=1,1,0))</f>
        <v>1</v>
      </c>
      <c r="U1682" s="19" t="str">
        <f>IF(tblDados[[#This Row],[Mandante]]="","",IF(COUNTIF(CadastroEquipes,TRIM(tblDados[[#This Row],[Mandante]]))&gt;0,"","⚠ Nome não cadastrado"))</f>
        <v/>
      </c>
      <c r="V1682" s="19" t="str">
        <f>IF(tblDados[[#This Row],[Visitante]]="","",IF(COUNTIF(CadastroEquipes,TRIM(tblDados[[#This Row],[Visitante]]))&gt;0,"","⚠ Nome não cadastrado"))</f>
        <v/>
      </c>
    </row>
    <row r="1683" spans="1:22" x14ac:dyDescent="0.3">
      <c r="A1683" s="1" t="s">
        <v>4544</v>
      </c>
      <c r="B1683" s="102">
        <v>46194</v>
      </c>
      <c r="C1683" s="6">
        <v>0.625</v>
      </c>
      <c r="D1683" s="1" t="s">
        <v>24</v>
      </c>
      <c r="E1683" s="1" t="s">
        <v>4334</v>
      </c>
      <c r="F1683" s="1" t="s">
        <v>4545</v>
      </c>
      <c r="G1683" s="39" t="s">
        <v>78</v>
      </c>
      <c r="H1683" s="1">
        <v>2</v>
      </c>
      <c r="I1683" s="1">
        <v>1</v>
      </c>
      <c r="J1683" s="39" t="s">
        <v>941</v>
      </c>
      <c r="K1683" s="1">
        <v>1</v>
      </c>
      <c r="L1683" s="1">
        <v>2</v>
      </c>
      <c r="S1683" s="1" t="str">
        <f>IF(tblDados[[#This Row],[Mandante]]="","",TEXT(tblDados[[#This Row],[Data]],"aaaa-mm-dd")&amp;"|"&amp;TRIM(tblDados[[#This Row],[Mandante]])&amp;"|"&amp;TRIM(tblDados[[#This Row],[Visitante]]))</f>
        <v>2026-06-21|IBV Vestmannaeyjar|Stjarnan</v>
      </c>
      <c r="T1683" s="1">
        <f>IF($G1683="",0,IF(COUNTIF($S$2:$S3171,$S1683)=1,1,0))</f>
        <v>1</v>
      </c>
      <c r="U1683" s="19" t="str">
        <f>IF(tblDados[[#This Row],[Mandante]]="","",IF(COUNTIF(CadastroEquipes,TRIM(tblDados[[#This Row],[Mandante]]))&gt;0,"","⚠ Nome não cadastrado"))</f>
        <v/>
      </c>
      <c r="V1683" s="19" t="str">
        <f>IF(tblDados[[#This Row],[Visitante]]="","",IF(COUNTIF(CadastroEquipes,TRIM(tblDados[[#This Row],[Visitante]]))&gt;0,"","⚠ Nome não cadastrado"))</f>
        <v/>
      </c>
    </row>
    <row r="1684" spans="1:22" x14ac:dyDescent="0.3">
      <c r="A1684" s="1" t="s">
        <v>4546</v>
      </c>
      <c r="B1684" s="102">
        <v>46173</v>
      </c>
      <c r="C1684" s="6">
        <v>0.58333333333333337</v>
      </c>
      <c r="D1684" s="1" t="s">
        <v>24</v>
      </c>
      <c r="E1684" s="1" t="s">
        <v>4334</v>
      </c>
      <c r="F1684" s="1" t="s">
        <v>4581</v>
      </c>
      <c r="G1684" s="39" t="s">
        <v>4575</v>
      </c>
      <c r="H1684" s="1">
        <v>1</v>
      </c>
      <c r="I1684" s="1">
        <v>3</v>
      </c>
      <c r="J1684" s="39" t="s">
        <v>941</v>
      </c>
      <c r="K1684" s="1">
        <v>3</v>
      </c>
      <c r="L1684" s="1">
        <v>1</v>
      </c>
      <c r="S1684" s="1" t="str">
        <f>IF(tblDados[[#This Row],[Mandante]]="","",TEXT(tblDados[[#This Row],[Data]],"aaaa-mm-dd")&amp;"|"&amp;TRIM(tblDados[[#This Row],[Mandante]])&amp;"|"&amp;TRIM(tblDados[[#This Row],[Visitante]]))</f>
        <v>2026-05-31|Thor Akureyri (Þór Akureyri)|Stjarnan</v>
      </c>
      <c r="T1684" s="1">
        <f>IF($G1684="",0,IF(COUNTIF($S$2:$S3172,$S1684)=1,1,0))</f>
        <v>1</v>
      </c>
      <c r="U1684" s="19" t="str">
        <f>IF(tblDados[[#This Row],[Mandante]]="","",IF(COUNTIF(CadastroEquipes,TRIM(tblDados[[#This Row],[Mandante]]))&gt;0,"","⚠ Nome não cadastrado"))</f>
        <v/>
      </c>
      <c r="V1684" s="19" t="str">
        <f>IF(tblDados[[#This Row],[Visitante]]="","",IF(COUNTIF(CadastroEquipes,TRIM(tblDados[[#This Row],[Visitante]]))&gt;0,"","⚠ Nome não cadastrado"))</f>
        <v/>
      </c>
    </row>
    <row r="1685" spans="1:22" x14ac:dyDescent="0.3">
      <c r="A1685" s="1" t="s">
        <v>4547</v>
      </c>
      <c r="B1685" s="102">
        <v>46159</v>
      </c>
      <c r="C1685" s="6">
        <v>0.60416666666666663</v>
      </c>
      <c r="D1685" s="1" t="s">
        <v>24</v>
      </c>
      <c r="E1685" s="1" t="s">
        <v>4334</v>
      </c>
      <c r="F1685" s="1" t="s">
        <v>4548</v>
      </c>
      <c r="G1685" s="39" t="s">
        <v>904</v>
      </c>
      <c r="H1685" s="1">
        <v>1</v>
      </c>
      <c r="I1685" s="1">
        <v>1</v>
      </c>
      <c r="J1685" s="39" t="s">
        <v>941</v>
      </c>
      <c r="K1685" s="1">
        <v>1</v>
      </c>
      <c r="L1685" s="1">
        <v>1</v>
      </c>
      <c r="S1685" s="1" t="str">
        <f>IF(tblDados[[#This Row],[Mandante]]="","",TEXT(tblDados[[#This Row],[Data]],"aaaa-mm-dd")&amp;"|"&amp;TRIM(tblDados[[#This Row],[Mandante]])&amp;"|"&amp;TRIM(tblDados[[#This Row],[Visitante]]))</f>
        <v>2026-05-17|Keflavík|Stjarnan</v>
      </c>
      <c r="T1685" s="1">
        <f>IF($G1685="",0,IF(COUNTIF($S$2:$S3173,$S1685)=1,1,0))</f>
        <v>1</v>
      </c>
      <c r="U1685" s="19" t="str">
        <f>IF(tblDados[[#This Row],[Mandante]]="","",IF(COUNTIF(CadastroEquipes,TRIM(tblDados[[#This Row],[Mandante]]))&gt;0,"","⚠ Nome não cadastrado"))</f>
        <v/>
      </c>
      <c r="V1685" s="19" t="str">
        <f>IF(tblDados[[#This Row],[Visitante]]="","",IF(COUNTIF(CadastroEquipes,TRIM(tblDados[[#This Row],[Visitante]]))&gt;0,"","⚠ Nome não cadastrado"))</f>
        <v/>
      </c>
    </row>
    <row r="1686" spans="1:22" x14ac:dyDescent="0.3">
      <c r="A1686" s="1" t="s">
        <v>4549</v>
      </c>
      <c r="B1686" s="102">
        <v>46243</v>
      </c>
      <c r="C1686" s="6">
        <v>0.63541666666666663</v>
      </c>
      <c r="D1686" s="1" t="s">
        <v>24</v>
      </c>
      <c r="E1686" s="1" t="s">
        <v>4334</v>
      </c>
      <c r="F1686" s="1" t="s">
        <v>4550</v>
      </c>
      <c r="G1686" s="39" t="s">
        <v>80</v>
      </c>
      <c r="H1686" s="1">
        <v>0</v>
      </c>
      <c r="I1686" s="1">
        <v>1</v>
      </c>
      <c r="J1686" s="39" t="s">
        <v>4447</v>
      </c>
      <c r="K1686" s="1">
        <v>1</v>
      </c>
      <c r="L1686" s="1">
        <v>0</v>
      </c>
      <c r="S1686" s="1" t="str">
        <f>IF(tblDados[[#This Row],[Mandante]]="","",TEXT(tblDados[[#This Row],[Data]],"aaaa-mm-dd")&amp;"|"&amp;TRIM(tblDados[[#This Row],[Mandante]])&amp;"|"&amp;TRIM(tblDados[[#This Row],[Visitante]]))</f>
        <v>2026-08-09|KA Akureyri|Hafnarfjordur (FH Hafnarfjörður)</v>
      </c>
      <c r="T1686" s="1">
        <f>IF($G1686="",0,IF(COUNTIF($S$2:$S3174,$S1686)=1,1,0))</f>
        <v>1</v>
      </c>
      <c r="U1686" s="19" t="str">
        <f>IF(tblDados[[#This Row],[Mandante]]="","",IF(COUNTIF(CadastroEquipes,TRIM(tblDados[[#This Row],[Mandante]]))&gt;0,"","⚠ Nome não cadastrado"))</f>
        <v/>
      </c>
      <c r="V1686" s="19" t="str">
        <f>IF(tblDados[[#This Row],[Visitante]]="","",IF(COUNTIF(CadastroEquipes,TRIM(tblDados[[#This Row],[Visitante]]))&gt;0,"","⚠ Nome não cadastrado"))</f>
        <v/>
      </c>
    </row>
    <row r="1687" spans="1:22" x14ac:dyDescent="0.3">
      <c r="A1687" s="1" t="s">
        <v>4551</v>
      </c>
      <c r="B1687" s="102">
        <v>46222</v>
      </c>
      <c r="C1687" s="6">
        <v>0.45833333333333331</v>
      </c>
      <c r="D1687" s="1" t="s">
        <v>24</v>
      </c>
      <c r="E1687" s="1" t="s">
        <v>4334</v>
      </c>
      <c r="F1687" s="1" t="s">
        <v>4552</v>
      </c>
      <c r="G1687" s="39" t="s">
        <v>78</v>
      </c>
      <c r="H1687" s="1">
        <v>2</v>
      </c>
      <c r="I1687" s="1">
        <v>2</v>
      </c>
      <c r="J1687" s="39" t="s">
        <v>80</v>
      </c>
      <c r="K1687" s="1">
        <v>2</v>
      </c>
      <c r="L1687" s="1">
        <v>2</v>
      </c>
      <c r="S1687" s="1" t="str">
        <f>IF(tblDados[[#This Row],[Mandante]]="","",TEXT(tblDados[[#This Row],[Data]],"aaaa-mm-dd")&amp;"|"&amp;TRIM(tblDados[[#This Row],[Mandante]])&amp;"|"&amp;TRIM(tblDados[[#This Row],[Visitante]]))</f>
        <v>2026-07-19|IBV Vestmannaeyjar|KA Akureyri</v>
      </c>
      <c r="T1687" s="1">
        <f>IF($G1687="",0,IF(COUNTIF($S$2:$S3175,$S1687)=1,1,0))</f>
        <v>1</v>
      </c>
      <c r="U1687" s="19" t="str">
        <f>IF(tblDados[[#This Row],[Mandante]]="","",IF(COUNTIF(CadastroEquipes,TRIM(tblDados[[#This Row],[Mandante]]))&gt;0,"","⚠ Nome não cadastrado"))</f>
        <v/>
      </c>
      <c r="V1687" s="19" t="str">
        <f>IF(tblDados[[#This Row],[Visitante]]="","",IF(COUNTIF(CadastroEquipes,TRIM(tblDados[[#This Row],[Visitante]]))&gt;0,"","⚠ Nome não cadastrado"))</f>
        <v/>
      </c>
    </row>
    <row r="1688" spans="1:22" x14ac:dyDescent="0.3">
      <c r="A1688" s="1" t="s">
        <v>4553</v>
      </c>
      <c r="B1688" s="102">
        <v>46215</v>
      </c>
      <c r="C1688" s="6">
        <v>0.625</v>
      </c>
      <c r="D1688" s="1" t="s">
        <v>24</v>
      </c>
      <c r="E1688" s="1" t="s">
        <v>4334</v>
      </c>
      <c r="F1688" s="1" t="s">
        <v>4554</v>
      </c>
      <c r="G1688" s="39" t="s">
        <v>80</v>
      </c>
      <c r="H1688" s="1">
        <v>3</v>
      </c>
      <c r="I1688" s="1">
        <v>2</v>
      </c>
      <c r="J1688" s="39" t="s">
        <v>4446</v>
      </c>
      <c r="K1688" s="1">
        <v>2</v>
      </c>
      <c r="L1688" s="1">
        <v>3</v>
      </c>
      <c r="S1688" s="1" t="str">
        <f>IF(tblDados[[#This Row],[Mandante]]="","",TEXT(tblDados[[#This Row],[Data]],"aaaa-mm-dd")&amp;"|"&amp;TRIM(tblDados[[#This Row],[Mandante]])&amp;"|"&amp;TRIM(tblDados[[#This Row],[Visitante]]))</f>
        <v>2026-07-12|KA Akureyri|Akranes (ÍA Akranes)</v>
      </c>
      <c r="T1688" s="1">
        <f>IF($G1688="",0,IF(COUNTIF($S$2:$S3176,$S1688)=1,1,0))</f>
        <v>1</v>
      </c>
      <c r="U1688" s="19" t="str">
        <f>IF(tblDados[[#This Row],[Mandante]]="","",IF(COUNTIF(CadastroEquipes,TRIM(tblDados[[#This Row],[Mandante]]))&gt;0,"","⚠ Nome não cadastrado"))</f>
        <v/>
      </c>
      <c r="V1688" s="19" t="str">
        <f>IF(tblDados[[#This Row],[Visitante]]="","",IF(COUNTIF(CadastroEquipes,TRIM(tblDados[[#This Row],[Visitante]]))&gt;0,"","⚠ Nome não cadastrado"))</f>
        <v/>
      </c>
    </row>
    <row r="1689" spans="1:22" x14ac:dyDescent="0.3">
      <c r="A1689" s="1" t="s">
        <v>4555</v>
      </c>
      <c r="B1689" s="102">
        <v>46159</v>
      </c>
      <c r="C1689" s="6">
        <v>0.58333333333333337</v>
      </c>
      <c r="D1689" s="1" t="s">
        <v>24</v>
      </c>
      <c r="E1689" s="1" t="s">
        <v>4334</v>
      </c>
      <c r="F1689" s="1" t="s">
        <v>4556</v>
      </c>
      <c r="G1689" s="39" t="s">
        <v>4447</v>
      </c>
      <c r="H1689" s="1">
        <v>1</v>
      </c>
      <c r="I1689" s="1">
        <v>2</v>
      </c>
      <c r="J1689" s="39" t="s">
        <v>80</v>
      </c>
      <c r="K1689" s="1">
        <v>2</v>
      </c>
      <c r="L1689" s="1">
        <v>1</v>
      </c>
      <c r="S1689" s="1" t="str">
        <f>IF(tblDados[[#This Row],[Mandante]]="","",TEXT(tblDados[[#This Row],[Data]],"aaaa-mm-dd")&amp;"|"&amp;TRIM(tblDados[[#This Row],[Mandante]])&amp;"|"&amp;TRIM(tblDados[[#This Row],[Visitante]]))</f>
        <v>2026-05-17|Hafnarfjordur (FH Hafnarfjörður)|KA Akureyri</v>
      </c>
      <c r="T1689" s="1">
        <f>IF($G1689="",0,IF(COUNTIF($S$2:$S3177,$S1689)=1,1,0))</f>
        <v>1</v>
      </c>
      <c r="U1689" s="19" t="str">
        <f>IF(tblDados[[#This Row],[Mandante]]="","",IF(COUNTIF(CadastroEquipes,TRIM(tblDados[[#This Row],[Mandante]]))&gt;0,"","⚠ Nome não cadastrado"))</f>
        <v/>
      </c>
      <c r="V1689" s="19" t="str">
        <f>IF(tblDados[[#This Row],[Visitante]]="","",IF(COUNTIF(CadastroEquipes,TRIM(tblDados[[#This Row],[Visitante]]))&gt;0,"","⚠ Nome não cadastrado"))</f>
        <v/>
      </c>
    </row>
    <row r="1690" spans="1:22" x14ac:dyDescent="0.3">
      <c r="A1690" s="1" t="s">
        <v>4557</v>
      </c>
      <c r="B1690" s="102">
        <v>46223</v>
      </c>
      <c r="C1690" s="6">
        <v>0.67708333333333337</v>
      </c>
      <c r="D1690" s="1" t="s">
        <v>24</v>
      </c>
      <c r="E1690" s="1" t="s">
        <v>4334</v>
      </c>
      <c r="F1690" s="1" t="s">
        <v>4558</v>
      </c>
      <c r="G1690" s="39" t="s">
        <v>904</v>
      </c>
      <c r="H1690" s="1">
        <v>5</v>
      </c>
      <c r="I1690" s="1">
        <v>2</v>
      </c>
      <c r="J1690" s="39" t="s">
        <v>4446</v>
      </c>
      <c r="K1690" s="1">
        <v>2</v>
      </c>
      <c r="L1690" s="1">
        <v>5</v>
      </c>
      <c r="S1690" s="1" t="str">
        <f>IF(tblDados[[#This Row],[Mandante]]="","",TEXT(tblDados[[#This Row],[Data]],"aaaa-mm-dd")&amp;"|"&amp;TRIM(tblDados[[#This Row],[Mandante]])&amp;"|"&amp;TRIM(tblDados[[#This Row],[Visitante]]))</f>
        <v>2026-07-20|Keflavík|Akranes (ÍA Akranes)</v>
      </c>
      <c r="T1690" s="1">
        <f>IF($G1690="",0,IF(COUNTIF($S$2:$S3178,$S1690)=1,1,0))</f>
        <v>1</v>
      </c>
      <c r="U1690" s="19" t="str">
        <f>IF(tblDados[[#This Row],[Mandante]]="","",IF(COUNTIF(CadastroEquipes,TRIM(tblDados[[#This Row],[Mandante]]))&gt;0,"","⚠ Nome não cadastrado"))</f>
        <v/>
      </c>
      <c r="V1690" s="19" t="str">
        <f>IF(tblDados[[#This Row],[Visitante]]="","",IF(COUNTIF(CadastroEquipes,TRIM(tblDados[[#This Row],[Visitante]]))&gt;0,"","⚠ Nome não cadastrado"))</f>
        <v/>
      </c>
    </row>
    <row r="1691" spans="1:22" x14ac:dyDescent="0.3">
      <c r="A1691" s="1" t="s">
        <v>4559</v>
      </c>
      <c r="B1691" s="102">
        <v>46187</v>
      </c>
      <c r="C1691" s="6">
        <v>0.58333333333333337</v>
      </c>
      <c r="D1691" s="1" t="s">
        <v>24</v>
      </c>
      <c r="E1691" s="1" t="s">
        <v>4334</v>
      </c>
      <c r="F1691" s="1" t="s">
        <v>4560</v>
      </c>
      <c r="G1691" s="39" t="s">
        <v>904</v>
      </c>
      <c r="H1691" s="1">
        <v>1</v>
      </c>
      <c r="I1691" s="1">
        <v>2</v>
      </c>
      <c r="J1691" s="39" t="s">
        <v>4447</v>
      </c>
      <c r="K1691" s="1">
        <v>2</v>
      </c>
      <c r="L1691" s="1">
        <v>1</v>
      </c>
      <c r="S1691" s="1" t="str">
        <f>IF(tblDados[[#This Row],[Mandante]]="","",TEXT(tblDados[[#This Row],[Data]],"aaaa-mm-dd")&amp;"|"&amp;TRIM(tblDados[[#This Row],[Mandante]])&amp;"|"&amp;TRIM(tblDados[[#This Row],[Visitante]]))</f>
        <v>2026-06-14|Keflavík|Hafnarfjordur (FH Hafnarfjörður)</v>
      </c>
      <c r="T1691" s="1">
        <f>IF($G1691="",0,IF(COUNTIF($S$2:$S3179,$S1691)=1,1,0))</f>
        <v>1</v>
      </c>
      <c r="U1691" s="19" t="str">
        <f>IF(tblDados[[#This Row],[Mandante]]="","",IF(COUNTIF(CadastroEquipes,TRIM(tblDados[[#This Row],[Mandante]]))&gt;0,"","⚠ Nome não cadastrado"))</f>
        <v/>
      </c>
      <c r="V1691" s="19" t="str">
        <f>IF(tblDados[[#This Row],[Visitante]]="","",IF(COUNTIF(CadastroEquipes,TRIM(tblDados[[#This Row],[Visitante]]))&gt;0,"","⚠ Nome não cadastrado"))</f>
        <v/>
      </c>
    </row>
    <row r="1692" spans="1:22" x14ac:dyDescent="0.3">
      <c r="A1692" s="1" t="s">
        <v>4561</v>
      </c>
      <c r="B1692" s="102">
        <v>46173</v>
      </c>
      <c r="C1692" s="6">
        <v>0.58333333333333337</v>
      </c>
      <c r="D1692" s="1" t="s">
        <v>24</v>
      </c>
      <c r="E1692" s="1" t="s">
        <v>4334</v>
      </c>
      <c r="F1692" s="1" t="s">
        <v>4562</v>
      </c>
      <c r="G1692" s="39" t="s">
        <v>78</v>
      </c>
      <c r="H1692" s="1">
        <v>6</v>
      </c>
      <c r="I1692" s="1">
        <v>1</v>
      </c>
      <c r="J1692" s="39" t="s">
        <v>904</v>
      </c>
      <c r="K1692" s="1">
        <v>1</v>
      </c>
      <c r="L1692" s="1">
        <v>6</v>
      </c>
      <c r="S1692" s="1" t="str">
        <f>IF(tblDados[[#This Row],[Mandante]]="","",TEXT(tblDados[[#This Row],[Data]],"aaaa-mm-dd")&amp;"|"&amp;TRIM(tblDados[[#This Row],[Mandante]])&amp;"|"&amp;TRIM(tblDados[[#This Row],[Visitante]]))</f>
        <v>2026-05-31|IBV Vestmannaeyjar|Keflavík</v>
      </c>
      <c r="T1692" s="1">
        <f>IF($G1692="",0,IF(COUNTIF($S$2:$S3180,$S1692)=1,1,0))</f>
        <v>1</v>
      </c>
      <c r="U1692" s="19" t="str">
        <f>IF(tblDados[[#This Row],[Mandante]]="","",IF(COUNTIF(CadastroEquipes,TRIM(tblDados[[#This Row],[Mandante]]))&gt;0,"","⚠ Nome não cadastrado"))</f>
        <v/>
      </c>
      <c r="V1692" s="19" t="str">
        <f>IF(tblDados[[#This Row],[Visitante]]="","",IF(COUNTIF(CadastroEquipes,TRIM(tblDados[[#This Row],[Visitante]]))&gt;0,"","⚠ Nome não cadastrado"))</f>
        <v/>
      </c>
    </row>
    <row r="1693" spans="1:22" x14ac:dyDescent="0.3">
      <c r="A1693" s="1" t="s">
        <v>4563</v>
      </c>
      <c r="B1693" s="102">
        <v>46164</v>
      </c>
      <c r="C1693" s="6">
        <v>0.625</v>
      </c>
      <c r="D1693" s="1" t="s">
        <v>24</v>
      </c>
      <c r="E1693" s="1" t="s">
        <v>4334</v>
      </c>
      <c r="F1693" s="1" t="s">
        <v>4582</v>
      </c>
      <c r="G1693" s="39" t="s">
        <v>904</v>
      </c>
      <c r="H1693" s="1">
        <v>1</v>
      </c>
      <c r="I1693" s="1">
        <v>0</v>
      </c>
      <c r="J1693" s="39" t="s">
        <v>4575</v>
      </c>
      <c r="K1693" s="1">
        <v>0</v>
      </c>
      <c r="L1693" s="1">
        <v>1</v>
      </c>
      <c r="S1693" s="1" t="str">
        <f>IF(tblDados[[#This Row],[Mandante]]="","",TEXT(tblDados[[#This Row],[Data]],"aaaa-mm-dd")&amp;"|"&amp;TRIM(tblDados[[#This Row],[Mandante]])&amp;"|"&amp;TRIM(tblDados[[#This Row],[Visitante]]))</f>
        <v>2026-05-22|Keflavík|Thor Akureyri (Þór Akureyri)</v>
      </c>
      <c r="T1693" s="1">
        <f>IF($G1693="",0,IF(COUNTIF($S$2:$S3181,$S1693)=1,1,0))</f>
        <v>1</v>
      </c>
      <c r="U1693" s="19" t="str">
        <f>IF(tblDados[[#This Row],[Mandante]]="","",IF(COUNTIF(CadastroEquipes,TRIM(tblDados[[#This Row],[Mandante]]))&gt;0,"","⚠ Nome não cadastrado"))</f>
        <v/>
      </c>
      <c r="V1693" s="19" t="str">
        <f>IF(tblDados[[#This Row],[Visitante]]="","",IF(COUNTIF(CadastroEquipes,TRIM(tblDados[[#This Row],[Visitante]]))&gt;0,"","⚠ Nome não cadastrado"))</f>
        <v/>
      </c>
    </row>
    <row r="1694" spans="1:22" x14ac:dyDescent="0.3">
      <c r="A1694" s="1" t="s">
        <v>4564</v>
      </c>
      <c r="B1694" s="102">
        <v>46201</v>
      </c>
      <c r="C1694" s="6">
        <v>0.58333333333333337</v>
      </c>
      <c r="D1694" s="1" t="s">
        <v>24</v>
      </c>
      <c r="E1694" s="1" t="s">
        <v>4334</v>
      </c>
      <c r="F1694" s="1" t="s">
        <v>4565</v>
      </c>
      <c r="G1694" s="39" t="s">
        <v>4447</v>
      </c>
      <c r="H1694" s="1">
        <v>1</v>
      </c>
      <c r="I1694" s="1">
        <v>1</v>
      </c>
      <c r="J1694" s="39" t="s">
        <v>78</v>
      </c>
      <c r="K1694" s="1">
        <v>1</v>
      </c>
      <c r="L1694" s="1">
        <v>1</v>
      </c>
      <c r="S1694" s="1" t="str">
        <f>IF(tblDados[[#This Row],[Mandante]]="","",TEXT(tblDados[[#This Row],[Data]],"aaaa-mm-dd")&amp;"|"&amp;TRIM(tblDados[[#This Row],[Mandante]])&amp;"|"&amp;TRIM(tblDados[[#This Row],[Visitante]]))</f>
        <v>2026-06-28|Hafnarfjordur (FH Hafnarfjörður)|IBV Vestmannaeyjar</v>
      </c>
      <c r="T1694" s="1">
        <f>IF($G1694="",0,IF(COUNTIF($S$2:$S3182,$S1694)=1,1,0))</f>
        <v>1</v>
      </c>
      <c r="U1694" s="19" t="str">
        <f>IF(tblDados[[#This Row],[Mandante]]="","",IF(COUNTIF(CadastroEquipes,TRIM(tblDados[[#This Row],[Mandante]]))&gt;0,"","⚠ Nome não cadastrado"))</f>
        <v/>
      </c>
      <c r="V1694" s="19" t="str">
        <f>IF(tblDados[[#This Row],[Visitante]]="","",IF(COUNTIF(CadastroEquipes,TRIM(tblDados[[#This Row],[Visitante]]))&gt;0,"","⚠ Nome não cadastrado"))</f>
        <v/>
      </c>
    </row>
    <row r="1695" spans="1:22" x14ac:dyDescent="0.3">
      <c r="A1695" s="1" t="s">
        <v>4566</v>
      </c>
      <c r="B1695" s="102">
        <v>46187</v>
      </c>
      <c r="C1695" s="6">
        <v>0.5625</v>
      </c>
      <c r="D1695" s="1" t="s">
        <v>24</v>
      </c>
      <c r="E1695" s="1" t="s">
        <v>4334</v>
      </c>
      <c r="F1695" s="1" t="s">
        <v>4583</v>
      </c>
      <c r="G1695" s="39" t="s">
        <v>4575</v>
      </c>
      <c r="H1695" s="1">
        <v>1</v>
      </c>
      <c r="I1695" s="1">
        <v>4</v>
      </c>
      <c r="J1695" s="39" t="s">
        <v>78</v>
      </c>
      <c r="K1695" s="1">
        <v>4</v>
      </c>
      <c r="L1695" s="1">
        <v>1</v>
      </c>
      <c r="S1695" s="1" t="str">
        <f>IF(tblDados[[#This Row],[Mandante]]="","",TEXT(tblDados[[#This Row],[Data]],"aaaa-mm-dd")&amp;"|"&amp;TRIM(tblDados[[#This Row],[Mandante]])&amp;"|"&amp;TRIM(tblDados[[#This Row],[Visitante]]))</f>
        <v>2026-06-14|Thor Akureyri (Þór Akureyri)|IBV Vestmannaeyjar</v>
      </c>
      <c r="T1695" s="1">
        <f>IF($G1695="",0,IF(COUNTIF($S$2:$S3183,$S1695)=1,1,0))</f>
        <v>1</v>
      </c>
      <c r="U1695" s="19" t="str">
        <f>IF(tblDados[[#This Row],[Mandante]]="","",IF(COUNTIF(CadastroEquipes,TRIM(tblDados[[#This Row],[Mandante]]))&gt;0,"","⚠ Nome não cadastrado"))</f>
        <v/>
      </c>
      <c r="V1695" s="19" t="str">
        <f>IF(tblDados[[#This Row],[Visitante]]="","",IF(COUNTIF(CadastroEquipes,TRIM(tblDados[[#This Row],[Visitante]]))&gt;0,"","⚠ Nome não cadastrado"))</f>
        <v/>
      </c>
    </row>
    <row r="1696" spans="1:22" x14ac:dyDescent="0.3">
      <c r="A1696" s="1" t="s">
        <v>4567</v>
      </c>
      <c r="B1696" s="102">
        <v>46163</v>
      </c>
      <c r="C1696" s="6">
        <v>0.625</v>
      </c>
      <c r="D1696" s="1" t="s">
        <v>24</v>
      </c>
      <c r="E1696" s="1" t="s">
        <v>4334</v>
      </c>
      <c r="F1696" s="1" t="s">
        <v>4568</v>
      </c>
      <c r="G1696" s="39" t="s">
        <v>4446</v>
      </c>
      <c r="H1696" s="1">
        <v>2</v>
      </c>
      <c r="I1696" s="1">
        <v>2</v>
      </c>
      <c r="J1696" s="39" t="s">
        <v>78</v>
      </c>
      <c r="K1696" s="1">
        <v>2</v>
      </c>
      <c r="L1696" s="1">
        <v>2</v>
      </c>
      <c r="S1696" s="1" t="str">
        <f>IF(tblDados[[#This Row],[Mandante]]="","",TEXT(tblDados[[#This Row],[Data]],"aaaa-mm-dd")&amp;"|"&amp;TRIM(tblDados[[#This Row],[Mandante]])&amp;"|"&amp;TRIM(tblDados[[#This Row],[Visitante]]))</f>
        <v>2026-05-21|Akranes (ÍA Akranes)|IBV Vestmannaeyjar</v>
      </c>
      <c r="T1696" s="1">
        <f>IF($G1696="",0,IF(COUNTIF($S$2:$S3184,$S1696)=1,1,0))</f>
        <v>1</v>
      </c>
      <c r="U1696" s="19" t="str">
        <f>IF(tblDados[[#This Row],[Mandante]]="","",IF(COUNTIF(CadastroEquipes,TRIM(tblDados[[#This Row],[Mandante]]))&gt;0,"","⚠ Nome não cadastrado"))</f>
        <v/>
      </c>
      <c r="V1696" s="19" t="str">
        <f>IF(tblDados[[#This Row],[Visitante]]="","",IF(COUNTIF(CadastroEquipes,TRIM(tblDados[[#This Row],[Visitante]]))&gt;0,"","⚠ Nome não cadastrado"))</f>
        <v/>
      </c>
    </row>
    <row r="1697" spans="1:22" x14ac:dyDescent="0.3">
      <c r="A1697" s="1" t="s">
        <v>4569</v>
      </c>
      <c r="B1697" s="102">
        <v>46243</v>
      </c>
      <c r="C1697" s="6">
        <v>0.625</v>
      </c>
      <c r="D1697" s="1" t="s">
        <v>24</v>
      </c>
      <c r="E1697" s="1" t="s">
        <v>4334</v>
      </c>
      <c r="F1697" s="1" t="s">
        <v>4584</v>
      </c>
      <c r="G1697" s="39" t="s">
        <v>4446</v>
      </c>
      <c r="H1697" s="1">
        <v>2</v>
      </c>
      <c r="I1697" s="1">
        <v>0</v>
      </c>
      <c r="J1697" s="39" t="s">
        <v>4575</v>
      </c>
      <c r="K1697" s="1">
        <v>0</v>
      </c>
      <c r="L1697" s="1">
        <v>2</v>
      </c>
      <c r="S1697" s="1" t="str">
        <f>IF(tblDados[[#This Row],[Mandante]]="","",TEXT(tblDados[[#This Row],[Data]],"aaaa-mm-dd")&amp;"|"&amp;TRIM(tblDados[[#This Row],[Mandante]])&amp;"|"&amp;TRIM(tblDados[[#This Row],[Visitante]]))</f>
        <v>2026-08-09|Akranes (ÍA Akranes)|Thor Akureyri (Þór Akureyri)</v>
      </c>
      <c r="T1697" s="1">
        <f>IF($G1697="",0,IF(COUNTIF($S$2:$S3185,$S1697)=1,1,0))</f>
        <v>1</v>
      </c>
      <c r="U1697" s="19" t="str">
        <f>IF(tblDados[[#This Row],[Mandante]]="","",IF(COUNTIF(CadastroEquipes,TRIM(tblDados[[#This Row],[Mandante]]))&gt;0,"","⚠ Nome não cadastrado"))</f>
        <v/>
      </c>
      <c r="V1697" s="19" t="str">
        <f>IF(tblDados[[#This Row],[Visitante]]="","",IF(COUNTIF(CadastroEquipes,TRIM(tblDados[[#This Row],[Visitante]]))&gt;0,"","⚠ Nome não cadastrado"))</f>
        <v/>
      </c>
    </row>
    <row r="1698" spans="1:22" x14ac:dyDescent="0.3">
      <c r="A1698" s="1" t="s">
        <v>4570</v>
      </c>
      <c r="B1698" s="102">
        <v>46194</v>
      </c>
      <c r="C1698" s="6">
        <v>0.625</v>
      </c>
      <c r="D1698" s="1" t="s">
        <v>24</v>
      </c>
      <c r="E1698" s="1" t="s">
        <v>4334</v>
      </c>
      <c r="F1698" s="1" t="s">
        <v>4585</v>
      </c>
      <c r="G1698" s="39" t="s">
        <v>4447</v>
      </c>
      <c r="H1698" s="1">
        <v>1</v>
      </c>
      <c r="I1698" s="1">
        <v>1</v>
      </c>
      <c r="J1698" s="39" t="s">
        <v>4575</v>
      </c>
      <c r="K1698" s="1">
        <v>1</v>
      </c>
      <c r="L1698" s="1">
        <v>1</v>
      </c>
      <c r="S1698" s="1" t="str">
        <f>IF(tblDados[[#This Row],[Mandante]]="","",TEXT(tblDados[[#This Row],[Data]],"aaaa-mm-dd")&amp;"|"&amp;TRIM(tblDados[[#This Row],[Mandante]])&amp;"|"&amp;TRIM(tblDados[[#This Row],[Visitante]]))</f>
        <v>2026-06-21|Hafnarfjordur (FH Hafnarfjörður)|Thor Akureyri (Þór Akureyri)</v>
      </c>
      <c r="T1698" s="1">
        <f>IF($G1698="",0,IF(COUNTIF($S$2:$S3186,$S1698)=1,1,0))</f>
        <v>1</v>
      </c>
      <c r="U1698" s="19" t="str">
        <f>IF(tblDados[[#This Row],[Mandante]]="","",IF(COUNTIF(CadastroEquipes,TRIM(tblDados[[#This Row],[Mandante]]))&gt;0,"","⚠ Nome não cadastrado"))</f>
        <v/>
      </c>
      <c r="V1698" s="19" t="str">
        <f>IF(tblDados[[#This Row],[Visitante]]="","",IF(COUNTIF(CadastroEquipes,TRIM(tblDados[[#This Row],[Visitante]]))&gt;0,"","⚠ Nome não cadastrado"))</f>
        <v/>
      </c>
    </row>
    <row r="1699" spans="1:22" x14ac:dyDescent="0.3">
      <c r="A1699" s="1" t="s">
        <v>4571</v>
      </c>
      <c r="B1699" s="102">
        <v>46159</v>
      </c>
      <c r="C1699" s="6">
        <v>0.54166666666666663</v>
      </c>
      <c r="D1699" s="1" t="s">
        <v>24</v>
      </c>
      <c r="E1699" s="1" t="s">
        <v>4334</v>
      </c>
      <c r="F1699" s="1" t="s">
        <v>4586</v>
      </c>
      <c r="G1699" s="39" t="s">
        <v>4575</v>
      </c>
      <c r="H1699" s="1">
        <v>1</v>
      </c>
      <c r="I1699" s="1">
        <v>2</v>
      </c>
      <c r="J1699" s="39" t="s">
        <v>4446</v>
      </c>
      <c r="K1699" s="1">
        <v>2</v>
      </c>
      <c r="L1699" s="1">
        <v>1</v>
      </c>
      <c r="S1699" s="1" t="str">
        <f>IF(tblDados[[#This Row],[Mandante]]="","",TEXT(tblDados[[#This Row],[Data]],"aaaa-mm-dd")&amp;"|"&amp;TRIM(tblDados[[#This Row],[Mandante]])&amp;"|"&amp;TRIM(tblDados[[#This Row],[Visitante]]))</f>
        <v>2026-05-17|Thor Akureyri (Þór Akureyri)|Akranes (ÍA Akranes)</v>
      </c>
      <c r="T1699" s="1">
        <f>IF($G1699="",0,IF(COUNTIF($S$2:$S3187,$S1699)=1,1,0))</f>
        <v>1</v>
      </c>
      <c r="U1699" s="19" t="str">
        <f>IF(tblDados[[#This Row],[Mandante]]="","",IF(COUNTIF(CadastroEquipes,TRIM(tblDados[[#This Row],[Mandante]]))&gt;0,"","⚠ Nome não cadastrado"))</f>
        <v/>
      </c>
      <c r="V1699" s="19" t="str">
        <f>IF(tblDados[[#This Row],[Visitante]]="","",IF(COUNTIF(CadastroEquipes,TRIM(tblDados[[#This Row],[Visitante]]))&gt;0,"","⚠ Nome não cadastrado"))</f>
        <v/>
      </c>
    </row>
    <row r="1700" spans="1:22" x14ac:dyDescent="0.3">
      <c r="A1700" s="1" t="s">
        <v>4572</v>
      </c>
      <c r="B1700" s="102">
        <v>46171</v>
      </c>
      <c r="C1700" s="6">
        <v>0.67708333333333337</v>
      </c>
      <c r="D1700" s="1" t="s">
        <v>24</v>
      </c>
      <c r="E1700" s="1" t="s">
        <v>4334</v>
      </c>
      <c r="F1700" s="1" t="s">
        <v>4573</v>
      </c>
      <c r="G1700" s="39" t="s">
        <v>4447</v>
      </c>
      <c r="H1700" s="1">
        <v>0</v>
      </c>
      <c r="I1700" s="1">
        <v>1</v>
      </c>
      <c r="J1700" s="39" t="s">
        <v>4446</v>
      </c>
      <c r="K1700" s="1">
        <v>1</v>
      </c>
      <c r="L1700" s="1">
        <v>0</v>
      </c>
      <c r="S1700" s="1" t="str">
        <f>IF(tblDados[[#This Row],[Mandante]]="","",TEXT(tblDados[[#This Row],[Data]],"aaaa-mm-dd")&amp;"|"&amp;TRIM(tblDados[[#This Row],[Mandante]])&amp;"|"&amp;TRIM(tblDados[[#This Row],[Visitante]]))</f>
        <v>2026-05-29|Hafnarfjordur (FH Hafnarfjörður)|Akranes (ÍA Akranes)</v>
      </c>
      <c r="T1700" s="1">
        <f>IF($G1700="",0,IF(COUNTIF($S$2:$S3188,$S1700)=1,1,0))</f>
        <v>1</v>
      </c>
      <c r="U1700" s="19" t="str">
        <f>IF(tblDados[[#This Row],[Mandante]]="","",IF(COUNTIF(CadastroEquipes,TRIM(tblDados[[#This Row],[Mandante]]))&gt;0,"","⚠ Nome não cadastrado"))</f>
        <v/>
      </c>
      <c r="V1700" s="19" t="str">
        <f>IF(tblDados[[#This Row],[Visitante]]="","",IF(COUNTIF(CadastroEquipes,TRIM(tblDados[[#This Row],[Visitante]]))&gt;0,"","⚠ Nome não cadastrado"))</f>
        <v/>
      </c>
    </row>
    <row r="1701" spans="1:22" x14ac:dyDescent="0.3">
      <c r="A1701" s="1" t="s">
        <v>4787</v>
      </c>
      <c r="B1701" s="102">
        <v>46242</v>
      </c>
      <c r="C1701" s="6">
        <v>0.41666666666666669</v>
      </c>
      <c r="D1701" s="1" t="s">
        <v>30</v>
      </c>
      <c r="E1701" s="1" t="s">
        <v>31</v>
      </c>
      <c r="F1701" s="1" t="s">
        <v>4788</v>
      </c>
      <c r="G1701" s="39" t="s">
        <v>4789</v>
      </c>
      <c r="H1701" s="1">
        <v>3</v>
      </c>
      <c r="I1701" s="1">
        <v>4</v>
      </c>
      <c r="J1701" s="39" t="s">
        <v>72</v>
      </c>
      <c r="K1701" s="1">
        <v>4</v>
      </c>
      <c r="L1701" s="1">
        <v>3</v>
      </c>
      <c r="S1701" s="1" t="str">
        <f>IF(tblDados[[#This Row],[Mandante]]="","",TEXT(tblDados[[#This Row],[Data]],"aaaa-mm-dd")&amp;"|"&amp;TRIM(tblDados[[#This Row],[Mandante]])&amp;"|"&amp;TRIM(tblDados[[#This Row],[Visitante]]))</f>
        <v>2026-08-08|Örgryte IS|AIK</v>
      </c>
      <c r="T1701" s="1">
        <f>IF($G1701="",0,IF(COUNTIF($S$2:$S3193,$S1701)=1,1,0))</f>
        <v>1</v>
      </c>
      <c r="U1701" s="19" t="str">
        <f>IF(tblDados[[#This Row],[Mandante]]="","",IF(COUNTIF(CadastroEquipes,TRIM(tblDados[[#This Row],[Mandante]]))&gt;0,"","⚠ Nome não cadastrado"))</f>
        <v/>
      </c>
      <c r="V1701" s="19" t="str">
        <f>IF(tblDados[[#This Row],[Visitante]]="","",IF(COUNTIF(CadastroEquipes,TRIM(tblDados[[#This Row],[Visitante]]))&gt;0,"","⚠ Nome não cadastrado"))</f>
        <v/>
      </c>
    </row>
    <row r="1702" spans="1:22" x14ac:dyDescent="0.3">
      <c r="A1702" s="1" t="s">
        <v>4790</v>
      </c>
      <c r="B1702" s="102">
        <v>46236</v>
      </c>
      <c r="C1702" s="6">
        <v>0.47916666666666669</v>
      </c>
      <c r="D1702" s="1" t="s">
        <v>30</v>
      </c>
      <c r="E1702" s="1" t="s">
        <v>31</v>
      </c>
      <c r="F1702" s="1" t="s">
        <v>4791</v>
      </c>
      <c r="G1702" s="39" t="s">
        <v>72</v>
      </c>
      <c r="H1702" s="1">
        <v>0</v>
      </c>
      <c r="I1702" s="1">
        <v>3</v>
      </c>
      <c r="J1702" s="39" t="s">
        <v>4789</v>
      </c>
      <c r="K1702" s="1">
        <v>3</v>
      </c>
      <c r="L1702" s="1">
        <v>0</v>
      </c>
      <c r="S1702" s="1" t="str">
        <f>IF(tblDados[[#This Row],[Mandante]]="","",TEXT(tblDados[[#This Row],[Data]],"aaaa-mm-dd")&amp;"|"&amp;TRIM(tblDados[[#This Row],[Mandante]])&amp;"|"&amp;TRIM(tblDados[[#This Row],[Visitante]]))</f>
        <v>2026-08-02|AIK|Örgryte IS</v>
      </c>
      <c r="T1702" s="1">
        <f>IF($G1702="",0,IF(COUNTIF($S$2:$S3194,$S1702)=1,1,0))</f>
        <v>1</v>
      </c>
      <c r="U1702" s="19" t="str">
        <f>IF(tblDados[[#This Row],[Mandante]]="","",IF(COUNTIF(CadastroEquipes,TRIM(tblDados[[#This Row],[Mandante]]))&gt;0,"","⚠ Nome não cadastrado"))</f>
        <v/>
      </c>
      <c r="V1702" s="19" t="str">
        <f>IF(tblDados[[#This Row],[Visitante]]="","",IF(COUNTIF(CadastroEquipes,TRIM(tblDados[[#This Row],[Visitante]]))&gt;0,"","⚠ Nome não cadastrado"))</f>
        <v/>
      </c>
    </row>
    <row r="1703" spans="1:22" x14ac:dyDescent="0.3">
      <c r="A1703" s="1" t="s">
        <v>4792</v>
      </c>
      <c r="B1703" s="102">
        <v>46221</v>
      </c>
      <c r="C1703" s="6">
        <v>0.41666666666666669</v>
      </c>
      <c r="D1703" s="1" t="s">
        <v>30</v>
      </c>
      <c r="E1703" s="1" t="s">
        <v>31</v>
      </c>
      <c r="F1703" s="1" t="s">
        <v>4793</v>
      </c>
      <c r="G1703" s="39" t="s">
        <v>72</v>
      </c>
      <c r="H1703" s="1">
        <v>2</v>
      </c>
      <c r="I1703" s="1">
        <v>0</v>
      </c>
      <c r="J1703" s="39" t="s">
        <v>4794</v>
      </c>
      <c r="K1703" s="1">
        <v>0</v>
      </c>
      <c r="L1703" s="1">
        <v>2</v>
      </c>
      <c r="S1703" s="1" t="str">
        <f>IF(tblDados[[#This Row],[Mandante]]="","",TEXT(tblDados[[#This Row],[Data]],"aaaa-mm-dd")&amp;"|"&amp;TRIM(tblDados[[#This Row],[Mandante]])&amp;"|"&amp;TRIM(tblDados[[#This Row],[Visitante]]))</f>
        <v>2026-07-18|AIK|GAIS</v>
      </c>
      <c r="T1703" s="1">
        <f>IF($G1703="",0,IF(COUNTIF($S$2:$S3195,$S1703)=1,1,0))</f>
        <v>1</v>
      </c>
      <c r="U1703" s="19" t="str">
        <f>IF(tblDados[[#This Row],[Mandante]]="","",IF(COUNTIF(CadastroEquipes,TRIM(tblDados[[#This Row],[Mandante]]))&gt;0,"","⚠ Nome não cadastrado"))</f>
        <v/>
      </c>
      <c r="V1703" s="19" t="str">
        <f>IF(tblDados[[#This Row],[Visitante]]="","",IF(COUNTIF(CadastroEquipes,TRIM(tblDados[[#This Row],[Visitante]]))&gt;0,"","⚠ Nome não cadastrado"))</f>
        <v/>
      </c>
    </row>
    <row r="1704" spans="1:22" x14ac:dyDescent="0.3">
      <c r="A1704" s="1" t="s">
        <v>4795</v>
      </c>
      <c r="B1704" s="102">
        <v>46214</v>
      </c>
      <c r="C1704" s="6">
        <v>0.41666666666666669</v>
      </c>
      <c r="D1704" s="1" t="s">
        <v>30</v>
      </c>
      <c r="E1704" s="1" t="s">
        <v>31</v>
      </c>
      <c r="F1704" s="1" t="s">
        <v>4796</v>
      </c>
      <c r="G1704" s="39" t="s">
        <v>4797</v>
      </c>
      <c r="H1704" s="1">
        <v>1</v>
      </c>
      <c r="I1704" s="1">
        <v>2</v>
      </c>
      <c r="J1704" s="39" t="s">
        <v>72</v>
      </c>
      <c r="K1704" s="1">
        <v>2</v>
      </c>
      <c r="L1704" s="1">
        <v>1</v>
      </c>
      <c r="S1704" s="1" t="str">
        <f>IF(tblDados[[#This Row],[Mandante]]="","",TEXT(tblDados[[#This Row],[Data]],"aaaa-mm-dd")&amp;"|"&amp;TRIM(tblDados[[#This Row],[Mandante]])&amp;"|"&amp;TRIM(tblDados[[#This Row],[Visitante]]))</f>
        <v>2026-07-11|Mjällby AIF|AIK</v>
      </c>
      <c r="T1704" s="1">
        <f>IF($G1704="",0,IF(COUNTIF($S$2:$S3196,$S1704)=1,1,0))</f>
        <v>1</v>
      </c>
      <c r="U1704" s="19" t="str">
        <f>IF(tblDados[[#This Row],[Mandante]]="","",IF(COUNTIF(CadastroEquipes,TRIM(tblDados[[#This Row],[Mandante]]))&gt;0,"","⚠ Nome não cadastrado"))</f>
        <v/>
      </c>
      <c r="V1704" s="19" t="str">
        <f>IF(tblDados[[#This Row],[Visitante]]="","",IF(COUNTIF(CadastroEquipes,TRIM(tblDados[[#This Row],[Visitante]]))&gt;0,"","⚠ Nome não cadastrado"))</f>
        <v/>
      </c>
    </row>
    <row r="1705" spans="1:22" x14ac:dyDescent="0.3">
      <c r="A1705" s="1" t="s">
        <v>4798</v>
      </c>
      <c r="B1705" s="102">
        <v>46208</v>
      </c>
      <c r="C1705" s="6">
        <v>0.375</v>
      </c>
      <c r="D1705" s="1" t="s">
        <v>30</v>
      </c>
      <c r="E1705" s="1" t="s">
        <v>31</v>
      </c>
      <c r="F1705" s="1" t="s">
        <v>4799</v>
      </c>
      <c r="G1705" s="39" t="s">
        <v>4800</v>
      </c>
      <c r="H1705" s="1">
        <v>1</v>
      </c>
      <c r="I1705" s="1">
        <v>2</v>
      </c>
      <c r="J1705" s="39" t="s">
        <v>72</v>
      </c>
      <c r="K1705" s="1">
        <v>2</v>
      </c>
      <c r="L1705" s="1">
        <v>1</v>
      </c>
      <c r="S1705" s="1" t="str">
        <f>IF(tblDados[[#This Row],[Mandante]]="","",TEXT(tblDados[[#This Row],[Data]],"aaaa-mm-dd")&amp;"|"&amp;TRIM(tblDados[[#This Row],[Mandante]])&amp;"|"&amp;TRIM(tblDados[[#This Row],[Visitante]]))</f>
        <v>2026-07-05|IFK Göteborg|AIK</v>
      </c>
      <c r="T1705" s="1">
        <f>IF($G1705="",0,IF(COUNTIF($S$2:$S3197,$S1705)=1,1,0))</f>
        <v>1</v>
      </c>
      <c r="U1705" s="19" t="str">
        <f>IF(tblDados[[#This Row],[Mandante]]="","",IF(COUNTIF(CadastroEquipes,TRIM(tblDados[[#This Row],[Mandante]]))&gt;0,"","⚠ Nome não cadastrado"))</f>
        <v/>
      </c>
      <c r="V1705" s="19" t="str">
        <f>IF(tblDados[[#This Row],[Visitante]]="","",IF(COUNTIF(CadastroEquipes,TRIM(tblDados[[#This Row],[Visitante]]))&gt;0,"","⚠ Nome não cadastrado"))</f>
        <v/>
      </c>
    </row>
    <row r="1706" spans="1:22" x14ac:dyDescent="0.3">
      <c r="A1706" s="1" t="s">
        <v>4801</v>
      </c>
      <c r="B1706" s="102">
        <v>46172</v>
      </c>
      <c r="C1706" s="6">
        <v>0.41666666666666669</v>
      </c>
      <c r="D1706" s="1" t="s">
        <v>30</v>
      </c>
      <c r="E1706" s="1" t="s">
        <v>31</v>
      </c>
      <c r="F1706" s="1" t="s">
        <v>4802</v>
      </c>
      <c r="G1706" s="39" t="s">
        <v>72</v>
      </c>
      <c r="H1706" s="1">
        <v>0</v>
      </c>
      <c r="I1706" s="1">
        <v>3</v>
      </c>
      <c r="J1706" s="39" t="s">
        <v>999</v>
      </c>
      <c r="K1706" s="1">
        <v>3</v>
      </c>
      <c r="L1706" s="1">
        <v>0</v>
      </c>
      <c r="S1706" s="1" t="str">
        <f>IF(tblDados[[#This Row],[Mandante]]="","",TEXT(tblDados[[#This Row],[Data]],"aaaa-mm-dd")&amp;"|"&amp;TRIM(tblDados[[#This Row],[Mandante]])&amp;"|"&amp;TRIM(tblDados[[#This Row],[Visitante]]))</f>
        <v>2026-05-30|AIK|IK Sirius</v>
      </c>
      <c r="T1706" s="1">
        <f>IF($G1706="",0,IF(COUNTIF($S$2:$S3198,$S1706)=1,1,0))</f>
        <v>1</v>
      </c>
      <c r="U1706" s="19" t="str">
        <f>IF(tblDados[[#This Row],[Mandante]]="","",IF(COUNTIF(CadastroEquipes,TRIM(tblDados[[#This Row],[Mandante]]))&gt;0,"","⚠ Nome não cadastrado"))</f>
        <v/>
      </c>
      <c r="V1706" s="19" t="str">
        <f>IF(tblDados[[#This Row],[Visitante]]="","",IF(COUNTIF(CadastroEquipes,TRIM(tblDados[[#This Row],[Visitante]]))&gt;0,"","⚠ Nome não cadastrado"))</f>
        <v/>
      </c>
    </row>
    <row r="1707" spans="1:22" x14ac:dyDescent="0.3">
      <c r="A1707" s="1" t="s">
        <v>4803</v>
      </c>
      <c r="B1707" s="102">
        <v>46166</v>
      </c>
      <c r="C1707" s="6">
        <v>0.375</v>
      </c>
      <c r="D1707" s="1" t="s">
        <v>30</v>
      </c>
      <c r="E1707" s="1" t="s">
        <v>31</v>
      </c>
      <c r="F1707" s="1" t="s">
        <v>4804</v>
      </c>
      <c r="G1707" s="39" t="s">
        <v>4805</v>
      </c>
      <c r="H1707" s="1">
        <v>1</v>
      </c>
      <c r="I1707" s="1">
        <v>2</v>
      </c>
      <c r="J1707" s="39" t="s">
        <v>72</v>
      </c>
      <c r="K1707" s="1">
        <v>2</v>
      </c>
      <c r="L1707" s="1">
        <v>1</v>
      </c>
      <c r="S1707" s="1" t="str">
        <f>IF(tblDados[[#This Row],[Mandante]]="","",TEXT(tblDados[[#This Row],[Data]],"aaaa-mm-dd")&amp;"|"&amp;TRIM(tblDados[[#This Row],[Mandante]])&amp;"|"&amp;TRIM(tblDados[[#This Row],[Visitante]]))</f>
        <v>2026-05-24|Hammarby IF|AIK</v>
      </c>
      <c r="T1707" s="1">
        <f>IF($G1707="",0,IF(COUNTIF($S$2:$S3199,$S1707)=1,1,0))</f>
        <v>1</v>
      </c>
      <c r="U1707" s="19" t="str">
        <f>IF(tblDados[[#This Row],[Mandante]]="","",IF(COUNTIF(CadastroEquipes,TRIM(tblDados[[#This Row],[Mandante]]))&gt;0,"","⚠ Nome não cadastrado"))</f>
        <v/>
      </c>
      <c r="V1707" s="19" t="str">
        <f>IF(tblDados[[#This Row],[Visitante]]="","",IF(COUNTIF(CadastroEquipes,TRIM(tblDados[[#This Row],[Visitante]]))&gt;0,"","⚠ Nome não cadastrado"))</f>
        <v/>
      </c>
    </row>
    <row r="1708" spans="1:22" x14ac:dyDescent="0.3">
      <c r="A1708" s="1" t="s">
        <v>4806</v>
      </c>
      <c r="B1708" s="102">
        <v>46159</v>
      </c>
      <c r="C1708" s="6">
        <v>0.47916666666666669</v>
      </c>
      <c r="D1708" s="1" t="s">
        <v>30</v>
      </c>
      <c r="E1708" s="1" t="s">
        <v>31</v>
      </c>
      <c r="F1708" s="1" t="s">
        <v>4807</v>
      </c>
      <c r="G1708" s="39" t="s">
        <v>4808</v>
      </c>
      <c r="H1708" s="1">
        <v>1</v>
      </c>
      <c r="I1708" s="1">
        <v>1</v>
      </c>
      <c r="J1708" s="39" t="s">
        <v>72</v>
      </c>
      <c r="K1708" s="1">
        <v>1</v>
      </c>
      <c r="L1708" s="1">
        <v>1</v>
      </c>
      <c r="S1708" s="1" t="str">
        <f>IF(tblDados[[#This Row],[Mandante]]="","",TEXT(tblDados[[#This Row],[Data]],"aaaa-mm-dd")&amp;"|"&amp;TRIM(tblDados[[#This Row],[Mandante]])&amp;"|"&amp;TRIM(tblDados[[#This Row],[Visitante]]))</f>
        <v>2026-05-17|Västerås SK|AIK</v>
      </c>
      <c r="T1708" s="1">
        <f>IF($G1708="",0,IF(COUNTIF($S$2:$S3200,$S1708)=1,1,0))</f>
        <v>1</v>
      </c>
      <c r="U1708" s="19" t="str">
        <f>IF(tblDados[[#This Row],[Mandante]]="","",IF(COUNTIF(CadastroEquipes,TRIM(tblDados[[#This Row],[Mandante]]))&gt;0,"","⚠ Nome não cadastrado"))</f>
        <v/>
      </c>
      <c r="V1708" s="19" t="str">
        <f>IF(tblDados[[#This Row],[Visitante]]="","",IF(COUNTIF(CadastroEquipes,TRIM(tblDados[[#This Row],[Visitante]]))&gt;0,"","⚠ Nome não cadastrado"))</f>
        <v/>
      </c>
    </row>
    <row r="1709" spans="1:22" x14ac:dyDescent="0.3">
      <c r="A1709" s="1" t="s">
        <v>4809</v>
      </c>
      <c r="B1709" s="102">
        <v>46152</v>
      </c>
      <c r="C1709" s="6">
        <v>0.375</v>
      </c>
      <c r="D1709" s="1" t="s">
        <v>30</v>
      </c>
      <c r="E1709" s="1" t="s">
        <v>31</v>
      </c>
      <c r="F1709" s="1" t="s">
        <v>4810</v>
      </c>
      <c r="G1709" s="39" t="s">
        <v>72</v>
      </c>
      <c r="H1709" s="1">
        <v>2</v>
      </c>
      <c r="I1709" s="1">
        <v>4</v>
      </c>
      <c r="J1709" s="39" t="s">
        <v>4811</v>
      </c>
      <c r="K1709" s="1">
        <v>4</v>
      </c>
      <c r="L1709" s="1">
        <v>2</v>
      </c>
      <c r="S1709" s="1" t="str">
        <f>IF(tblDados[[#This Row],[Mandante]]="","",TEXT(tblDados[[#This Row],[Data]],"aaaa-mm-dd")&amp;"|"&amp;TRIM(tblDados[[#This Row],[Mandante]])&amp;"|"&amp;TRIM(tblDados[[#This Row],[Visitante]]))</f>
        <v>2026-05-10|AIK|Djurgårdens IF</v>
      </c>
      <c r="T1709" s="1">
        <f>IF($G1709="",0,IF(COUNTIF($S$2:$S3201,$S1709)=1,1,0))</f>
        <v>1</v>
      </c>
      <c r="U1709" s="19" t="str">
        <f>IF(tblDados[[#This Row],[Mandante]]="","",IF(COUNTIF(CadastroEquipes,TRIM(tblDados[[#This Row],[Mandante]]))&gt;0,"","⚠ Nome não cadastrado"))</f>
        <v/>
      </c>
      <c r="V1709" s="19" t="str">
        <f>IF(tblDados[[#This Row],[Visitante]]="","",IF(COUNTIF(CadastroEquipes,TRIM(tblDados[[#This Row],[Visitante]]))&gt;0,"","⚠ Nome não cadastrado"))</f>
        <v/>
      </c>
    </row>
    <row r="1710" spans="1:22" x14ac:dyDescent="0.3">
      <c r="A1710" s="1" t="s">
        <v>4812</v>
      </c>
      <c r="B1710" s="102">
        <v>46145</v>
      </c>
      <c r="C1710" s="6">
        <v>0.47916666666666669</v>
      </c>
      <c r="D1710" s="1" t="s">
        <v>30</v>
      </c>
      <c r="E1710" s="1" t="s">
        <v>31</v>
      </c>
      <c r="F1710" s="1" t="s">
        <v>4813</v>
      </c>
      <c r="G1710" s="39" t="s">
        <v>4814</v>
      </c>
      <c r="H1710" s="1">
        <v>1</v>
      </c>
      <c r="I1710" s="1">
        <v>1</v>
      </c>
      <c r="J1710" s="39" t="s">
        <v>72</v>
      </c>
      <c r="K1710" s="1">
        <v>1</v>
      </c>
      <c r="L1710" s="1">
        <v>1</v>
      </c>
      <c r="S1710" s="1" t="str">
        <f>IF(tblDados[[#This Row],[Mandante]]="","",TEXT(tblDados[[#This Row],[Data]],"aaaa-mm-dd")&amp;"|"&amp;TRIM(tblDados[[#This Row],[Mandante]])&amp;"|"&amp;TRIM(tblDados[[#This Row],[Visitante]]))</f>
        <v>2026-05-03|IF Elfsborg|AIK</v>
      </c>
      <c r="T1710" s="1">
        <f>IF($G1710="",0,IF(COUNTIF($S$2:$S3202,$S1710)=1,1,0))</f>
        <v>1</v>
      </c>
      <c r="U1710" s="19" t="str">
        <f>IF(tblDados[[#This Row],[Mandante]]="","",IF(COUNTIF(CadastroEquipes,TRIM(tblDados[[#This Row],[Mandante]]))&gt;0,"","⚠ Nome não cadastrado"))</f>
        <v/>
      </c>
      <c r="V1710" s="19" t="str">
        <f>IF(tblDados[[#This Row],[Visitante]]="","",IF(COUNTIF(CadastroEquipes,TRIM(tblDados[[#This Row],[Visitante]]))&gt;0,"","⚠ Nome não cadastrado"))</f>
        <v/>
      </c>
    </row>
    <row r="1711" spans="1:22" x14ac:dyDescent="0.3">
      <c r="A1711" s="1" t="s">
        <v>4815</v>
      </c>
      <c r="B1711" s="102">
        <v>46139</v>
      </c>
      <c r="C1711" s="6">
        <v>0.58333333333333337</v>
      </c>
      <c r="D1711" s="1" t="s">
        <v>30</v>
      </c>
      <c r="E1711" s="1" t="s">
        <v>31</v>
      </c>
      <c r="F1711" s="1" t="s">
        <v>4816</v>
      </c>
      <c r="G1711" s="39" t="s">
        <v>72</v>
      </c>
      <c r="H1711" s="1">
        <v>0</v>
      </c>
      <c r="I1711" s="1">
        <v>1</v>
      </c>
      <c r="J1711" s="39" t="s">
        <v>4817</v>
      </c>
      <c r="K1711" s="1">
        <v>1</v>
      </c>
      <c r="L1711" s="1">
        <v>0</v>
      </c>
      <c r="S1711" s="1" t="str">
        <f>IF(tblDados[[#This Row],[Mandante]]="","",TEXT(tblDados[[#This Row],[Data]],"aaaa-mm-dd")&amp;"|"&amp;TRIM(tblDados[[#This Row],[Mandante]])&amp;"|"&amp;TRIM(tblDados[[#This Row],[Visitante]]))</f>
        <v>2026-04-27|AIK|Malmö FF</v>
      </c>
      <c r="T1711" s="1">
        <f>IF($G1711="",0,IF(COUNTIF($S$2:$S3203,$S1711)=1,1,0))</f>
        <v>1</v>
      </c>
      <c r="U1711" s="19" t="str">
        <f>IF(tblDados[[#This Row],[Mandante]]="","",IF(COUNTIF(CadastroEquipes,TRIM(tblDados[[#This Row],[Mandante]]))&gt;0,"","⚠ Nome não cadastrado"))</f>
        <v/>
      </c>
      <c r="V1711" s="19" t="str">
        <f>IF(tblDados[[#This Row],[Visitante]]="","",IF(COUNTIF(CadastroEquipes,TRIM(tblDados[[#This Row],[Visitante]]))&gt;0,"","⚠ Nome não cadastrado"))</f>
        <v/>
      </c>
    </row>
    <row r="1712" spans="1:22" x14ac:dyDescent="0.3">
      <c r="A1712" s="1" t="s">
        <v>4818</v>
      </c>
      <c r="B1712" s="102">
        <v>46243</v>
      </c>
      <c r="C1712" s="6">
        <v>0.375</v>
      </c>
      <c r="D1712" s="1" t="s">
        <v>30</v>
      </c>
      <c r="E1712" s="1" t="s">
        <v>31</v>
      </c>
      <c r="F1712" s="1" t="s">
        <v>4819</v>
      </c>
      <c r="G1712" s="39" t="s">
        <v>4805</v>
      </c>
      <c r="H1712" s="1">
        <v>3</v>
      </c>
      <c r="I1712" s="1">
        <v>0</v>
      </c>
      <c r="J1712" s="39" t="s">
        <v>71</v>
      </c>
      <c r="K1712" s="1">
        <v>0</v>
      </c>
      <c r="L1712" s="1">
        <v>3</v>
      </c>
      <c r="S1712" s="1" t="str">
        <f>IF(tblDados[[#This Row],[Mandante]]="","",TEXT(tblDados[[#This Row],[Data]],"aaaa-mm-dd")&amp;"|"&amp;TRIM(tblDados[[#This Row],[Mandante]])&amp;"|"&amp;TRIM(tblDados[[#This Row],[Visitante]]))</f>
        <v>2026-08-09|Hammarby IF|BK Häcken</v>
      </c>
      <c r="T1712" s="1">
        <f>IF($G1712="",0,IF(COUNTIF($S$2:$S3204,$S1712)=1,1,0))</f>
        <v>1</v>
      </c>
      <c r="U1712" s="19" t="str">
        <f>IF(tblDados[[#This Row],[Mandante]]="","",IF(COUNTIF(CadastroEquipes,TRIM(tblDados[[#This Row],[Mandante]]))&gt;0,"","⚠ Nome não cadastrado"))</f>
        <v/>
      </c>
      <c r="V1712" s="19" t="str">
        <f>IF(tblDados[[#This Row],[Visitante]]="","",IF(COUNTIF(CadastroEquipes,TRIM(tblDados[[#This Row],[Visitante]]))&gt;0,"","⚠ Nome não cadastrado"))</f>
        <v/>
      </c>
    </row>
    <row r="1713" spans="1:22" x14ac:dyDescent="0.3">
      <c r="A1713" s="1" t="s">
        <v>4820</v>
      </c>
      <c r="B1713" s="102">
        <v>46235</v>
      </c>
      <c r="C1713" s="6">
        <v>0.41666666666666669</v>
      </c>
      <c r="D1713" s="1" t="s">
        <v>30</v>
      </c>
      <c r="E1713" s="1" t="s">
        <v>31</v>
      </c>
      <c r="F1713" s="1" t="s">
        <v>4821</v>
      </c>
      <c r="G1713" s="39" t="s">
        <v>71</v>
      </c>
      <c r="H1713" s="1">
        <v>1</v>
      </c>
      <c r="I1713" s="1">
        <v>1</v>
      </c>
      <c r="J1713" s="39" t="s">
        <v>4822</v>
      </c>
      <c r="K1713" s="1">
        <v>1</v>
      </c>
      <c r="L1713" s="1">
        <v>1</v>
      </c>
      <c r="S1713" s="1" t="str">
        <f>IF(tblDados[[#This Row],[Mandante]]="","",TEXT(tblDados[[#This Row],[Data]],"aaaa-mm-dd")&amp;"|"&amp;TRIM(tblDados[[#This Row],[Mandante]])&amp;"|"&amp;TRIM(tblDados[[#This Row],[Visitante]]))</f>
        <v>2026-08-01|BK Häcken|Kalmar FF</v>
      </c>
      <c r="T1713" s="1">
        <f>IF($G1713="",0,IF(COUNTIF($S$2:$S3205,$S1713)=1,1,0))</f>
        <v>1</v>
      </c>
      <c r="U1713" s="19" t="str">
        <f>IF(tblDados[[#This Row],[Mandante]]="","",IF(COUNTIF(CadastroEquipes,TRIM(tblDados[[#This Row],[Mandante]]))&gt;0,"","⚠ Nome não cadastrado"))</f>
        <v/>
      </c>
      <c r="V1713" s="19" t="str">
        <f>IF(tblDados[[#This Row],[Visitante]]="","",IF(COUNTIF(CadastroEquipes,TRIM(tblDados[[#This Row],[Visitante]]))&gt;0,"","⚠ Nome não cadastrado"))</f>
        <v/>
      </c>
    </row>
    <row r="1714" spans="1:22" x14ac:dyDescent="0.3">
      <c r="A1714" s="1" t="s">
        <v>4823</v>
      </c>
      <c r="B1714" s="102">
        <v>46222</v>
      </c>
      <c r="C1714" s="6">
        <v>0.47916666666666669</v>
      </c>
      <c r="D1714" s="1" t="s">
        <v>30</v>
      </c>
      <c r="E1714" s="1" t="s">
        <v>31</v>
      </c>
      <c r="F1714" s="1" t="s">
        <v>4824</v>
      </c>
      <c r="G1714" s="39" t="s">
        <v>998</v>
      </c>
      <c r="H1714" s="1">
        <v>0</v>
      </c>
      <c r="I1714" s="1">
        <v>2</v>
      </c>
      <c r="J1714" s="39" t="s">
        <v>71</v>
      </c>
      <c r="K1714" s="1">
        <v>2</v>
      </c>
      <c r="L1714" s="1">
        <v>0</v>
      </c>
      <c r="S1714" s="1" t="str">
        <f>IF(tblDados[[#This Row],[Mandante]]="","",TEXT(tblDados[[#This Row],[Data]],"aaaa-mm-dd")&amp;"|"&amp;TRIM(tblDados[[#This Row],[Mandante]])&amp;"|"&amp;TRIM(tblDados[[#This Row],[Visitante]]))</f>
        <v>2026-07-19|Halmstads BK|BK Häcken</v>
      </c>
      <c r="T1714" s="1">
        <f>IF($G1714="",0,IF(COUNTIF($S$2:$S3206,$S1714)=1,1,0))</f>
        <v>1</v>
      </c>
      <c r="U1714" s="19" t="str">
        <f>IF(tblDados[[#This Row],[Mandante]]="","",IF(COUNTIF(CadastroEquipes,TRIM(tblDados[[#This Row],[Mandante]]))&gt;0,"","⚠ Nome não cadastrado"))</f>
        <v/>
      </c>
      <c r="V1714" s="19" t="str">
        <f>IF(tblDados[[#This Row],[Visitante]]="","",IF(COUNTIF(CadastroEquipes,TRIM(tblDados[[#This Row],[Visitante]]))&gt;0,"","⚠ Nome não cadastrado"))</f>
        <v/>
      </c>
    </row>
    <row r="1715" spans="1:22" x14ac:dyDescent="0.3">
      <c r="A1715" s="1" t="s">
        <v>4825</v>
      </c>
      <c r="B1715" s="102">
        <v>46214</v>
      </c>
      <c r="C1715" s="6">
        <v>0.52083333333333337</v>
      </c>
      <c r="D1715" s="1" t="s">
        <v>30</v>
      </c>
      <c r="E1715" s="1" t="s">
        <v>31</v>
      </c>
      <c r="F1715" s="1" t="s">
        <v>4826</v>
      </c>
      <c r="G1715" s="39" t="s">
        <v>4789</v>
      </c>
      <c r="H1715" s="1">
        <v>4</v>
      </c>
      <c r="I1715" s="1">
        <v>3</v>
      </c>
      <c r="J1715" s="39" t="s">
        <v>71</v>
      </c>
      <c r="K1715" s="1">
        <v>3</v>
      </c>
      <c r="L1715" s="1">
        <v>4</v>
      </c>
      <c r="S1715" s="1" t="str">
        <f>IF(tblDados[[#This Row],[Mandante]]="","",TEXT(tblDados[[#This Row],[Data]],"aaaa-mm-dd")&amp;"|"&amp;TRIM(tblDados[[#This Row],[Mandante]])&amp;"|"&amp;TRIM(tblDados[[#This Row],[Visitante]]))</f>
        <v>2026-07-11|Örgryte IS|BK Häcken</v>
      </c>
      <c r="T1715" s="1">
        <f>IF($G1715="",0,IF(COUNTIF($S$2:$S3207,$S1715)=1,1,0))</f>
        <v>1</v>
      </c>
      <c r="U1715" s="19" t="str">
        <f>IF(tblDados[[#This Row],[Mandante]]="","",IF(COUNTIF(CadastroEquipes,TRIM(tblDados[[#This Row],[Mandante]]))&gt;0,"","⚠ Nome não cadastrado"))</f>
        <v/>
      </c>
      <c r="V1715" s="19" t="str">
        <f>IF(tblDados[[#This Row],[Visitante]]="","",IF(COUNTIF(CadastroEquipes,TRIM(tblDados[[#This Row],[Visitante]]))&gt;0,"","⚠ Nome não cadastrado"))</f>
        <v/>
      </c>
    </row>
    <row r="1716" spans="1:22" x14ac:dyDescent="0.3">
      <c r="A1716" s="1" t="s">
        <v>4827</v>
      </c>
      <c r="B1716" s="102">
        <v>46209</v>
      </c>
      <c r="C1716" s="6">
        <v>0.58333333333333337</v>
      </c>
      <c r="D1716" s="1" t="s">
        <v>30</v>
      </c>
      <c r="E1716" s="1" t="s">
        <v>31</v>
      </c>
      <c r="F1716" s="1" t="s">
        <v>4828</v>
      </c>
      <c r="G1716" s="39" t="s">
        <v>71</v>
      </c>
      <c r="H1716" s="1">
        <v>2</v>
      </c>
      <c r="I1716" s="1">
        <v>4</v>
      </c>
      <c r="J1716" s="39" t="s">
        <v>4811</v>
      </c>
      <c r="K1716" s="1">
        <v>4</v>
      </c>
      <c r="L1716" s="1">
        <v>2</v>
      </c>
      <c r="S1716" s="1" t="str">
        <f>IF(tblDados[[#This Row],[Mandante]]="","",TEXT(tblDados[[#This Row],[Data]],"aaaa-mm-dd")&amp;"|"&amp;TRIM(tblDados[[#This Row],[Mandante]])&amp;"|"&amp;TRIM(tblDados[[#This Row],[Visitante]]))</f>
        <v>2026-07-06|BK Häcken|Djurgårdens IF</v>
      </c>
      <c r="T1716" s="1">
        <f>IF($G1716="",0,IF(COUNTIF($S$2:$S3208,$S1716)=1,1,0))</f>
        <v>1</v>
      </c>
      <c r="U1716" s="19" t="str">
        <f>IF(tblDados[[#This Row],[Mandante]]="","",IF(COUNTIF(CadastroEquipes,TRIM(tblDados[[#This Row],[Mandante]]))&gt;0,"","⚠ Nome não cadastrado"))</f>
        <v/>
      </c>
      <c r="V1716" s="19" t="str">
        <f>IF(tblDados[[#This Row],[Visitante]]="","",IF(COUNTIF(CadastroEquipes,TRIM(tblDados[[#This Row],[Visitante]]))&gt;0,"","⚠ Nome não cadastrado"))</f>
        <v/>
      </c>
    </row>
    <row r="1717" spans="1:22" x14ac:dyDescent="0.3">
      <c r="A1717" s="1" t="s">
        <v>4829</v>
      </c>
      <c r="B1717" s="102">
        <v>46173</v>
      </c>
      <c r="C1717" s="6">
        <v>0.375</v>
      </c>
      <c r="D1717" s="1" t="s">
        <v>30</v>
      </c>
      <c r="E1717" s="1" t="s">
        <v>31</v>
      </c>
      <c r="F1717" s="1" t="s">
        <v>4830</v>
      </c>
      <c r="G1717" s="39" t="s">
        <v>71</v>
      </c>
      <c r="H1717" s="1">
        <v>3</v>
      </c>
      <c r="I1717" s="1">
        <v>2</v>
      </c>
      <c r="J1717" s="39" t="s">
        <v>4805</v>
      </c>
      <c r="K1717" s="1">
        <v>2</v>
      </c>
      <c r="L1717" s="1">
        <v>3</v>
      </c>
      <c r="S1717" s="1" t="str">
        <f>IF(tblDados[[#This Row],[Mandante]]="","",TEXT(tblDados[[#This Row],[Data]],"aaaa-mm-dd")&amp;"|"&amp;TRIM(tblDados[[#This Row],[Mandante]])&amp;"|"&amp;TRIM(tblDados[[#This Row],[Visitante]]))</f>
        <v>2026-05-31|BK Häcken|Hammarby IF</v>
      </c>
      <c r="T1717" s="1">
        <f>IF($G1717="",0,IF(COUNTIF($S$2:$S3209,$S1717)=1,1,0))</f>
        <v>1</v>
      </c>
      <c r="U1717" s="19" t="str">
        <f>IF(tblDados[[#This Row],[Mandante]]="","",IF(COUNTIF(CadastroEquipes,TRIM(tblDados[[#This Row],[Mandante]]))&gt;0,"","⚠ Nome não cadastrado"))</f>
        <v/>
      </c>
      <c r="V1717" s="19" t="str">
        <f>IF(tblDados[[#This Row],[Visitante]]="","",IF(COUNTIF(CadastroEquipes,TRIM(tblDados[[#This Row],[Visitante]]))&gt;0,"","⚠ Nome não cadastrado"))</f>
        <v/>
      </c>
    </row>
    <row r="1718" spans="1:22" x14ac:dyDescent="0.3">
      <c r="A1718" s="1" t="s">
        <v>4831</v>
      </c>
      <c r="B1718" s="102">
        <v>46167</v>
      </c>
      <c r="C1718" s="6">
        <v>0.58333333333333337</v>
      </c>
      <c r="D1718" s="1" t="s">
        <v>30</v>
      </c>
      <c r="E1718" s="1" t="s">
        <v>31</v>
      </c>
      <c r="F1718" s="1" t="s">
        <v>4832</v>
      </c>
      <c r="G1718" s="39" t="s">
        <v>4814</v>
      </c>
      <c r="H1718" s="1">
        <v>1</v>
      </c>
      <c r="I1718" s="1">
        <v>1</v>
      </c>
      <c r="J1718" s="39" t="s">
        <v>71</v>
      </c>
      <c r="K1718" s="1">
        <v>1</v>
      </c>
      <c r="L1718" s="1">
        <v>1</v>
      </c>
      <c r="S1718" s="1" t="str">
        <f>IF(tblDados[[#This Row],[Mandante]]="","",TEXT(tblDados[[#This Row],[Data]],"aaaa-mm-dd")&amp;"|"&amp;TRIM(tblDados[[#This Row],[Mandante]])&amp;"|"&amp;TRIM(tblDados[[#This Row],[Visitante]]))</f>
        <v>2026-05-25|IF Elfsborg|BK Häcken</v>
      </c>
      <c r="T1718" s="1">
        <f>IF($G1718="",0,IF(COUNTIF($S$2:$S3210,$S1718)=1,1,0))</f>
        <v>1</v>
      </c>
      <c r="U1718" s="19" t="str">
        <f>IF(tblDados[[#This Row],[Mandante]]="","",IF(COUNTIF(CadastroEquipes,TRIM(tblDados[[#This Row],[Mandante]]))&gt;0,"","⚠ Nome não cadastrado"))</f>
        <v/>
      </c>
      <c r="V1718" s="19" t="str">
        <f>IF(tblDados[[#This Row],[Visitante]]="","",IF(COUNTIF(CadastroEquipes,TRIM(tblDados[[#This Row],[Visitante]]))&gt;0,"","⚠ Nome não cadastrado"))</f>
        <v/>
      </c>
    </row>
    <row r="1719" spans="1:22" x14ac:dyDescent="0.3">
      <c r="A1719" s="1" t="s">
        <v>4833</v>
      </c>
      <c r="B1719" s="102">
        <v>46159</v>
      </c>
      <c r="C1719" s="6">
        <v>0.375</v>
      </c>
      <c r="D1719" s="1" t="s">
        <v>30</v>
      </c>
      <c r="E1719" s="1" t="s">
        <v>31</v>
      </c>
      <c r="F1719" s="1" t="s">
        <v>4834</v>
      </c>
      <c r="G1719" s="39" t="s">
        <v>4797</v>
      </c>
      <c r="H1719" s="1">
        <v>0</v>
      </c>
      <c r="I1719" s="1">
        <v>1</v>
      </c>
      <c r="J1719" s="39" t="s">
        <v>71</v>
      </c>
      <c r="K1719" s="1">
        <v>1</v>
      </c>
      <c r="L1719" s="1">
        <v>0</v>
      </c>
      <c r="S1719" s="1" t="str">
        <f>IF(tblDados[[#This Row],[Mandante]]="","",TEXT(tblDados[[#This Row],[Data]],"aaaa-mm-dd")&amp;"|"&amp;TRIM(tblDados[[#This Row],[Mandante]])&amp;"|"&amp;TRIM(tblDados[[#This Row],[Visitante]]))</f>
        <v>2026-05-17|Mjällby AIF|BK Häcken</v>
      </c>
      <c r="T1719" s="1">
        <f>IF($G1719="",0,IF(COUNTIF($S$2:$S3211,$S1719)=1,1,0))</f>
        <v>1</v>
      </c>
      <c r="U1719" s="19" t="str">
        <f>IF(tblDados[[#This Row],[Mandante]]="","",IF(COUNTIF(CadastroEquipes,TRIM(tblDados[[#This Row],[Mandante]]))&gt;0,"","⚠ Nome não cadastrado"))</f>
        <v/>
      </c>
      <c r="V1719" s="19" t="str">
        <f>IF(tblDados[[#This Row],[Visitante]]="","",IF(COUNTIF(CadastroEquipes,TRIM(tblDados[[#This Row],[Visitante]]))&gt;0,"","⚠ Nome não cadastrado"))</f>
        <v/>
      </c>
    </row>
    <row r="1720" spans="1:22" x14ac:dyDescent="0.3">
      <c r="A1720" s="1" t="s">
        <v>4835</v>
      </c>
      <c r="B1720" s="102">
        <v>46152</v>
      </c>
      <c r="C1720" s="6">
        <v>0.375</v>
      </c>
      <c r="D1720" s="1" t="s">
        <v>30</v>
      </c>
      <c r="E1720" s="1" t="s">
        <v>31</v>
      </c>
      <c r="F1720" s="1" t="s">
        <v>4836</v>
      </c>
      <c r="G1720" s="39" t="s">
        <v>71</v>
      </c>
      <c r="H1720" s="1">
        <v>3</v>
      </c>
      <c r="I1720" s="1">
        <v>2</v>
      </c>
      <c r="J1720" s="39" t="s">
        <v>4817</v>
      </c>
      <c r="K1720" s="1">
        <v>2</v>
      </c>
      <c r="L1720" s="1">
        <v>3</v>
      </c>
      <c r="S1720" s="1" t="str">
        <f>IF(tblDados[[#This Row],[Mandante]]="","",TEXT(tblDados[[#This Row],[Data]],"aaaa-mm-dd")&amp;"|"&amp;TRIM(tblDados[[#This Row],[Mandante]])&amp;"|"&amp;TRIM(tblDados[[#This Row],[Visitante]]))</f>
        <v>2026-05-10|BK Häcken|Malmö FF</v>
      </c>
      <c r="T1720" s="1">
        <f>IF($G1720="",0,IF(COUNTIF($S$2:$S3212,$S1720)=1,1,0))</f>
        <v>1</v>
      </c>
      <c r="U1720" s="19" t="str">
        <f>IF(tblDados[[#This Row],[Mandante]]="","",IF(COUNTIF(CadastroEquipes,TRIM(tblDados[[#This Row],[Mandante]]))&gt;0,"","⚠ Nome não cadastrado"))</f>
        <v/>
      </c>
      <c r="V1720" s="19" t="str">
        <f>IF(tblDados[[#This Row],[Visitante]]="","",IF(COUNTIF(CadastroEquipes,TRIM(tblDados[[#This Row],[Visitante]]))&gt;0,"","⚠ Nome não cadastrado"))</f>
        <v/>
      </c>
    </row>
    <row r="1721" spans="1:22" x14ac:dyDescent="0.3">
      <c r="A1721" s="1" t="s">
        <v>4837</v>
      </c>
      <c r="B1721" s="102">
        <v>46144</v>
      </c>
      <c r="C1721" s="6">
        <v>0.41666666666666669</v>
      </c>
      <c r="D1721" s="1" t="s">
        <v>30</v>
      </c>
      <c r="E1721" s="1" t="s">
        <v>31</v>
      </c>
      <c r="F1721" s="1" t="s">
        <v>4838</v>
      </c>
      <c r="G1721" s="39" t="s">
        <v>4839</v>
      </c>
      <c r="H1721" s="1">
        <v>1</v>
      </c>
      <c r="I1721" s="1">
        <v>1</v>
      </c>
      <c r="J1721" s="39" t="s">
        <v>71</v>
      </c>
      <c r="K1721" s="1">
        <v>1</v>
      </c>
      <c r="L1721" s="1">
        <v>1</v>
      </c>
      <c r="S1721" s="1" t="str">
        <f>IF(tblDados[[#This Row],[Mandante]]="","",TEXT(tblDados[[#This Row],[Data]],"aaaa-mm-dd")&amp;"|"&amp;TRIM(tblDados[[#This Row],[Mandante]])&amp;"|"&amp;TRIM(tblDados[[#This Row],[Visitante]]))</f>
        <v>2026-05-02|Degerfors IF|BK Häcken</v>
      </c>
      <c r="T1721" s="1">
        <f>IF($G1721="",0,IF(COUNTIF($S$2:$S3213,$S1721)=1,1,0))</f>
        <v>1</v>
      </c>
      <c r="U1721" s="19" t="str">
        <f>IF(tblDados[[#This Row],[Mandante]]="","",IF(COUNTIF(CadastroEquipes,TRIM(tblDados[[#This Row],[Mandante]]))&gt;0,"","⚠ Nome não cadastrado"))</f>
        <v/>
      </c>
      <c r="V1721" s="19" t="str">
        <f>IF(tblDados[[#This Row],[Visitante]]="","",IF(COUNTIF(CadastroEquipes,TRIM(tblDados[[#This Row],[Visitante]]))&gt;0,"","⚠ Nome não cadastrado"))</f>
        <v/>
      </c>
    </row>
    <row r="1722" spans="1:22" x14ac:dyDescent="0.3">
      <c r="A1722" s="1" t="s">
        <v>4840</v>
      </c>
      <c r="B1722" s="102">
        <v>46139</v>
      </c>
      <c r="C1722" s="6">
        <v>0.58333333333333337</v>
      </c>
      <c r="D1722" s="1" t="s">
        <v>30</v>
      </c>
      <c r="E1722" s="1" t="s">
        <v>31</v>
      </c>
      <c r="F1722" s="1" t="s">
        <v>4841</v>
      </c>
      <c r="G1722" s="39" t="s">
        <v>71</v>
      </c>
      <c r="H1722" s="1">
        <v>2</v>
      </c>
      <c r="I1722" s="1">
        <v>2</v>
      </c>
      <c r="J1722" s="39" t="s">
        <v>999</v>
      </c>
      <c r="K1722" s="1">
        <v>2</v>
      </c>
      <c r="L1722" s="1">
        <v>2</v>
      </c>
      <c r="S1722" s="1" t="str">
        <f>IF(tblDados[[#This Row],[Mandante]]="","",TEXT(tblDados[[#This Row],[Data]],"aaaa-mm-dd")&amp;"|"&amp;TRIM(tblDados[[#This Row],[Mandante]])&amp;"|"&amp;TRIM(tblDados[[#This Row],[Visitante]]))</f>
        <v>2026-04-27|BK Häcken|IK Sirius</v>
      </c>
      <c r="T1722" s="1">
        <f>IF($G1722="",0,IF(COUNTIF($S$2:$S3214,$S1722)=1,1,0))</f>
        <v>1</v>
      </c>
      <c r="U1722" s="19" t="str">
        <f>IF(tblDados[[#This Row],[Mandante]]="","",IF(COUNTIF(CadastroEquipes,TRIM(tblDados[[#This Row],[Mandante]]))&gt;0,"","⚠ Nome não cadastrado"))</f>
        <v/>
      </c>
      <c r="V1722" s="19" t="str">
        <f>IF(tblDados[[#This Row],[Visitante]]="","",IF(COUNTIF(CadastroEquipes,TRIM(tblDados[[#This Row],[Visitante]]))&gt;0,"","⚠ Nome não cadastrado"))</f>
        <v/>
      </c>
    </row>
    <row r="1723" spans="1:22" x14ac:dyDescent="0.3">
      <c r="A1723" s="1" t="s">
        <v>4842</v>
      </c>
      <c r="B1723" s="102">
        <v>46243</v>
      </c>
      <c r="C1723" s="6">
        <v>0.375</v>
      </c>
      <c r="D1723" s="1" t="s">
        <v>30</v>
      </c>
      <c r="E1723" s="1" t="s">
        <v>31</v>
      </c>
      <c r="F1723" s="1" t="s">
        <v>4843</v>
      </c>
      <c r="G1723" s="39" t="s">
        <v>4817</v>
      </c>
      <c r="H1723" s="1">
        <v>1</v>
      </c>
      <c r="I1723" s="1">
        <v>2</v>
      </c>
      <c r="J1723" s="39" t="s">
        <v>4839</v>
      </c>
      <c r="K1723" s="1">
        <v>2</v>
      </c>
      <c r="L1723" s="1">
        <v>1</v>
      </c>
      <c r="S1723" s="1" t="str">
        <f>IF(tblDados[[#This Row],[Mandante]]="","",TEXT(tblDados[[#This Row],[Data]],"aaaa-mm-dd")&amp;"|"&amp;TRIM(tblDados[[#This Row],[Mandante]])&amp;"|"&amp;TRIM(tblDados[[#This Row],[Visitante]]))</f>
        <v>2026-08-09|Malmö FF|Degerfors IF</v>
      </c>
      <c r="T1723" s="1">
        <f>IF($G1723="",0,IF(COUNTIF($S$2:$S3215,$S1723)=1,1,0))</f>
        <v>1</v>
      </c>
      <c r="U1723" s="19" t="str">
        <f>IF(tblDados[[#This Row],[Mandante]]="","",IF(COUNTIF(CadastroEquipes,TRIM(tblDados[[#This Row],[Mandante]]))&gt;0,"","⚠ Nome não cadastrado"))</f>
        <v/>
      </c>
      <c r="V1723" s="19" t="str">
        <f>IF(tblDados[[#This Row],[Visitante]]="","",IF(COUNTIF(CadastroEquipes,TRIM(tblDados[[#This Row],[Visitante]]))&gt;0,"","⚠ Nome não cadastrado"))</f>
        <v/>
      </c>
    </row>
    <row r="1724" spans="1:22" x14ac:dyDescent="0.3">
      <c r="A1724" s="1" t="s">
        <v>4844</v>
      </c>
      <c r="B1724" s="102">
        <v>46236</v>
      </c>
      <c r="C1724" s="6">
        <v>0.375</v>
      </c>
      <c r="D1724" s="1" t="s">
        <v>30</v>
      </c>
      <c r="E1724" s="1" t="s">
        <v>31</v>
      </c>
      <c r="F1724" s="1" t="s">
        <v>4845</v>
      </c>
      <c r="G1724" s="39" t="s">
        <v>4800</v>
      </c>
      <c r="H1724" s="1">
        <v>2</v>
      </c>
      <c r="I1724" s="1">
        <v>0</v>
      </c>
      <c r="J1724" s="39" t="s">
        <v>4839</v>
      </c>
      <c r="K1724" s="1">
        <v>0</v>
      </c>
      <c r="L1724" s="1">
        <v>2</v>
      </c>
      <c r="S1724" s="1" t="str">
        <f>IF(tblDados[[#This Row],[Mandante]]="","",TEXT(tblDados[[#This Row],[Data]],"aaaa-mm-dd")&amp;"|"&amp;TRIM(tblDados[[#This Row],[Mandante]])&amp;"|"&amp;TRIM(tblDados[[#This Row],[Visitante]]))</f>
        <v>2026-08-02|IFK Göteborg|Degerfors IF</v>
      </c>
      <c r="T1724" s="1">
        <f>IF($G1724="",0,IF(COUNTIF($S$2:$S3216,$S1724)=1,1,0))</f>
        <v>1</v>
      </c>
      <c r="U1724" s="19" t="str">
        <f>IF(tblDados[[#This Row],[Mandante]]="","",IF(COUNTIF(CadastroEquipes,TRIM(tblDados[[#This Row],[Mandante]]))&gt;0,"","⚠ Nome não cadastrado"))</f>
        <v/>
      </c>
      <c r="V1724" s="19" t="str">
        <f>IF(tblDados[[#This Row],[Visitante]]="","",IF(COUNTIF(CadastroEquipes,TRIM(tblDados[[#This Row],[Visitante]]))&gt;0,"","⚠ Nome não cadastrado"))</f>
        <v/>
      </c>
    </row>
    <row r="1725" spans="1:22" x14ac:dyDescent="0.3">
      <c r="A1725" s="1" t="s">
        <v>4846</v>
      </c>
      <c r="B1725" s="102">
        <v>46228</v>
      </c>
      <c r="C1725" s="6">
        <v>0.41666666666666669</v>
      </c>
      <c r="D1725" s="1" t="s">
        <v>30</v>
      </c>
      <c r="E1725" s="1" t="s">
        <v>31</v>
      </c>
      <c r="F1725" s="1" t="s">
        <v>4847</v>
      </c>
      <c r="G1725" s="39" t="s">
        <v>4839</v>
      </c>
      <c r="H1725" s="1">
        <v>0</v>
      </c>
      <c r="I1725" s="1">
        <v>1</v>
      </c>
      <c r="J1725" s="39" t="s">
        <v>4811</v>
      </c>
      <c r="K1725" s="1">
        <v>1</v>
      </c>
      <c r="L1725" s="1">
        <v>0</v>
      </c>
      <c r="S1725" s="1" t="str">
        <f>IF(tblDados[[#This Row],[Mandante]]="","",TEXT(tblDados[[#This Row],[Data]],"aaaa-mm-dd")&amp;"|"&amp;TRIM(tblDados[[#This Row],[Mandante]])&amp;"|"&amp;TRIM(tblDados[[#This Row],[Visitante]]))</f>
        <v>2026-07-25|Degerfors IF|Djurgårdens IF</v>
      </c>
      <c r="T1725" s="1">
        <f>IF($G1725="",0,IF(COUNTIF($S$2:$S3217,$S1725)=1,1,0))</f>
        <v>1</v>
      </c>
      <c r="U1725" s="19" t="str">
        <f>IF(tblDados[[#This Row],[Mandante]]="","",IF(COUNTIF(CadastroEquipes,TRIM(tblDados[[#This Row],[Mandante]]))&gt;0,"","⚠ Nome não cadastrado"))</f>
        <v/>
      </c>
      <c r="V1725" s="19" t="str">
        <f>IF(tblDados[[#This Row],[Visitante]]="","",IF(COUNTIF(CadastroEquipes,TRIM(tblDados[[#This Row],[Visitante]]))&gt;0,"","⚠ Nome não cadastrado"))</f>
        <v/>
      </c>
    </row>
    <row r="1726" spans="1:22" x14ac:dyDescent="0.3">
      <c r="A1726" s="1" t="s">
        <v>4848</v>
      </c>
      <c r="B1726" s="102">
        <v>46222</v>
      </c>
      <c r="C1726" s="6">
        <v>0.47916666666666669</v>
      </c>
      <c r="D1726" s="1" t="s">
        <v>30</v>
      </c>
      <c r="E1726" s="1" t="s">
        <v>31</v>
      </c>
      <c r="F1726" s="1" t="s">
        <v>4849</v>
      </c>
      <c r="G1726" s="39" t="s">
        <v>4805</v>
      </c>
      <c r="H1726" s="1">
        <v>4</v>
      </c>
      <c r="I1726" s="1">
        <v>0</v>
      </c>
      <c r="J1726" s="39" t="s">
        <v>4839</v>
      </c>
      <c r="K1726" s="1">
        <v>0</v>
      </c>
      <c r="L1726" s="1">
        <v>4</v>
      </c>
      <c r="S1726" s="1" t="str">
        <f>IF(tblDados[[#This Row],[Mandante]]="","",TEXT(tblDados[[#This Row],[Data]],"aaaa-mm-dd")&amp;"|"&amp;TRIM(tblDados[[#This Row],[Mandante]])&amp;"|"&amp;TRIM(tblDados[[#This Row],[Visitante]]))</f>
        <v>2026-07-19|Hammarby IF|Degerfors IF</v>
      </c>
      <c r="T1726" s="1">
        <f>IF($G1726="",0,IF(COUNTIF($S$2:$S3218,$S1726)=1,1,0))</f>
        <v>1</v>
      </c>
      <c r="U1726" s="19" t="str">
        <f>IF(tblDados[[#This Row],[Mandante]]="","",IF(COUNTIF(CadastroEquipes,TRIM(tblDados[[#This Row],[Mandante]]))&gt;0,"","⚠ Nome não cadastrado"))</f>
        <v/>
      </c>
      <c r="V1726" s="19" t="str">
        <f>IF(tblDados[[#This Row],[Visitante]]="","",IF(COUNTIF(CadastroEquipes,TRIM(tblDados[[#This Row],[Visitante]]))&gt;0,"","⚠ Nome não cadastrado"))</f>
        <v/>
      </c>
    </row>
    <row r="1727" spans="1:22" x14ac:dyDescent="0.3">
      <c r="A1727" s="1" t="s">
        <v>4850</v>
      </c>
      <c r="B1727" s="102">
        <v>46215</v>
      </c>
      <c r="C1727" s="6">
        <v>0.375</v>
      </c>
      <c r="D1727" s="1" t="s">
        <v>30</v>
      </c>
      <c r="E1727" s="1" t="s">
        <v>31</v>
      </c>
      <c r="F1727" s="1" t="s">
        <v>4851</v>
      </c>
      <c r="G1727" s="39" t="s">
        <v>4808</v>
      </c>
      <c r="H1727" s="1">
        <v>2</v>
      </c>
      <c r="I1727" s="1">
        <v>0</v>
      </c>
      <c r="J1727" s="39" t="s">
        <v>4839</v>
      </c>
      <c r="K1727" s="1">
        <v>0</v>
      </c>
      <c r="L1727" s="1">
        <v>2</v>
      </c>
      <c r="S1727" s="1" t="str">
        <f>IF(tblDados[[#This Row],[Mandante]]="","",TEXT(tblDados[[#This Row],[Data]],"aaaa-mm-dd")&amp;"|"&amp;TRIM(tblDados[[#This Row],[Mandante]])&amp;"|"&amp;TRIM(tblDados[[#This Row],[Visitante]]))</f>
        <v>2026-07-12|Västerås SK|Degerfors IF</v>
      </c>
      <c r="T1727" s="1">
        <f>IF($G1727="",0,IF(COUNTIF($S$2:$S3219,$S1727)=1,1,0))</f>
        <v>1</v>
      </c>
      <c r="U1727" s="19" t="str">
        <f>IF(tblDados[[#This Row],[Mandante]]="","",IF(COUNTIF(CadastroEquipes,TRIM(tblDados[[#This Row],[Mandante]]))&gt;0,"","⚠ Nome não cadastrado"))</f>
        <v/>
      </c>
      <c r="V1727" s="19" t="str">
        <f>IF(tblDados[[#This Row],[Visitante]]="","",IF(COUNTIF(CadastroEquipes,TRIM(tblDados[[#This Row],[Visitante]]))&gt;0,"","⚠ Nome não cadastrado"))</f>
        <v/>
      </c>
    </row>
    <row r="1728" spans="1:22" x14ac:dyDescent="0.3">
      <c r="A1728" s="1" t="s">
        <v>4852</v>
      </c>
      <c r="B1728" s="102">
        <v>46207</v>
      </c>
      <c r="C1728" s="6">
        <v>0.41666666666666669</v>
      </c>
      <c r="D1728" s="1" t="s">
        <v>30</v>
      </c>
      <c r="E1728" s="1" t="s">
        <v>31</v>
      </c>
      <c r="F1728" s="1" t="s">
        <v>4853</v>
      </c>
      <c r="G1728" s="39" t="s">
        <v>4839</v>
      </c>
      <c r="H1728" s="1">
        <v>0</v>
      </c>
      <c r="I1728" s="1">
        <v>1</v>
      </c>
      <c r="J1728" s="39" t="s">
        <v>4817</v>
      </c>
      <c r="K1728" s="1">
        <v>1</v>
      </c>
      <c r="L1728" s="1">
        <v>0</v>
      </c>
      <c r="S1728" s="1" t="str">
        <f>IF(tblDados[[#This Row],[Mandante]]="","",TEXT(tblDados[[#This Row],[Data]],"aaaa-mm-dd")&amp;"|"&amp;TRIM(tblDados[[#This Row],[Mandante]])&amp;"|"&amp;TRIM(tblDados[[#This Row],[Visitante]]))</f>
        <v>2026-07-04|Degerfors IF|Malmö FF</v>
      </c>
      <c r="T1728" s="1">
        <f>IF($G1728="",0,IF(COUNTIF($S$2:$S3220,$S1728)=1,1,0))</f>
        <v>1</v>
      </c>
      <c r="U1728" s="19" t="str">
        <f>IF(tblDados[[#This Row],[Mandante]]="","",IF(COUNTIF(CadastroEquipes,TRIM(tblDados[[#This Row],[Mandante]]))&gt;0,"","⚠ Nome não cadastrado"))</f>
        <v/>
      </c>
      <c r="V1728" s="19" t="str">
        <f>IF(tblDados[[#This Row],[Visitante]]="","",IF(COUNTIF(CadastroEquipes,TRIM(tblDados[[#This Row],[Visitante]]))&gt;0,"","⚠ Nome não cadastrado"))</f>
        <v/>
      </c>
    </row>
    <row r="1729" spans="1:22" x14ac:dyDescent="0.3">
      <c r="A1729" s="1" t="s">
        <v>4854</v>
      </c>
      <c r="B1729" s="102">
        <v>46173</v>
      </c>
      <c r="C1729" s="6">
        <v>0.375</v>
      </c>
      <c r="D1729" s="1" t="s">
        <v>30</v>
      </c>
      <c r="E1729" s="1" t="s">
        <v>31</v>
      </c>
      <c r="F1729" s="1" t="s">
        <v>4855</v>
      </c>
      <c r="G1729" s="39" t="s">
        <v>4839</v>
      </c>
      <c r="H1729" s="1">
        <v>2</v>
      </c>
      <c r="I1729" s="1">
        <v>2</v>
      </c>
      <c r="J1729" s="39" t="s">
        <v>4856</v>
      </c>
      <c r="K1729" s="1">
        <v>2</v>
      </c>
      <c r="L1729" s="1">
        <v>2</v>
      </c>
      <c r="S1729" s="1" t="str">
        <f>IF(tblDados[[#This Row],[Mandante]]="","",TEXT(tblDados[[#This Row],[Data]],"aaaa-mm-dd")&amp;"|"&amp;TRIM(tblDados[[#This Row],[Mandante]])&amp;"|"&amp;TRIM(tblDados[[#This Row],[Visitante]]))</f>
        <v>2026-05-31|Degerfors IF|IF Brommapojkarna</v>
      </c>
      <c r="T1729" s="1">
        <f>IF($G1729="",0,IF(COUNTIF($S$2:$S3221,$S1729)=1,1,0))</f>
        <v>1</v>
      </c>
      <c r="U1729" s="19" t="str">
        <f>IF(tblDados[[#This Row],[Mandante]]="","",IF(COUNTIF(CadastroEquipes,TRIM(tblDados[[#This Row],[Mandante]]))&gt;0,"","⚠ Nome não cadastrado"))</f>
        <v/>
      </c>
      <c r="V1729" s="19" t="str">
        <f>IF(tblDados[[#This Row],[Visitante]]="","",IF(COUNTIF(CadastroEquipes,TRIM(tblDados[[#This Row],[Visitante]]))&gt;0,"","⚠ Nome não cadastrado"))</f>
        <v/>
      </c>
    </row>
    <row r="1730" spans="1:22" x14ac:dyDescent="0.3">
      <c r="A1730" s="1" t="s">
        <v>4857</v>
      </c>
      <c r="B1730" s="102">
        <v>46165</v>
      </c>
      <c r="C1730" s="6">
        <v>0.41666666666666669</v>
      </c>
      <c r="D1730" s="1" t="s">
        <v>30</v>
      </c>
      <c r="E1730" s="1" t="s">
        <v>31</v>
      </c>
      <c r="F1730" s="1" t="s">
        <v>4858</v>
      </c>
      <c r="G1730" s="39" t="s">
        <v>4822</v>
      </c>
      <c r="H1730" s="1">
        <v>2</v>
      </c>
      <c r="I1730" s="1">
        <v>1</v>
      </c>
      <c r="J1730" s="39" t="s">
        <v>4839</v>
      </c>
      <c r="K1730" s="1">
        <v>1</v>
      </c>
      <c r="L1730" s="1">
        <v>2</v>
      </c>
      <c r="S1730" s="1" t="str">
        <f>IF(tblDados[[#This Row],[Mandante]]="","",TEXT(tblDados[[#This Row],[Data]],"aaaa-mm-dd")&amp;"|"&amp;TRIM(tblDados[[#This Row],[Mandante]])&amp;"|"&amp;TRIM(tblDados[[#This Row],[Visitante]]))</f>
        <v>2026-05-23|Kalmar FF|Degerfors IF</v>
      </c>
      <c r="T1730" s="1">
        <f>IF($G1730="",0,IF(COUNTIF($S$2:$S3222,$S1730)=1,1,0))</f>
        <v>1</v>
      </c>
      <c r="U1730" s="19" t="str">
        <f>IF(tblDados[[#This Row],[Mandante]]="","",IF(COUNTIF(CadastroEquipes,TRIM(tblDados[[#This Row],[Mandante]]))&gt;0,"","⚠ Nome não cadastrado"))</f>
        <v/>
      </c>
      <c r="V1730" s="19" t="str">
        <f>IF(tblDados[[#This Row],[Visitante]]="","",IF(COUNTIF(CadastroEquipes,TRIM(tblDados[[#This Row],[Visitante]]))&gt;0,"","⚠ Nome não cadastrado"))</f>
        <v/>
      </c>
    </row>
    <row r="1731" spans="1:22" x14ac:dyDescent="0.3">
      <c r="A1731" s="1" t="s">
        <v>4859</v>
      </c>
      <c r="B1731" s="102">
        <v>46158</v>
      </c>
      <c r="C1731" s="6">
        <v>0.41666666666666669</v>
      </c>
      <c r="D1731" s="1" t="s">
        <v>30</v>
      </c>
      <c r="E1731" s="1" t="s">
        <v>31</v>
      </c>
      <c r="F1731" s="1" t="s">
        <v>4860</v>
      </c>
      <c r="G1731" s="39" t="s">
        <v>4794</v>
      </c>
      <c r="H1731" s="1">
        <v>1</v>
      </c>
      <c r="I1731" s="1">
        <v>1</v>
      </c>
      <c r="J1731" s="39" t="s">
        <v>4839</v>
      </c>
      <c r="K1731" s="1">
        <v>1</v>
      </c>
      <c r="L1731" s="1">
        <v>1</v>
      </c>
      <c r="S1731" s="1" t="str">
        <f>IF(tblDados[[#This Row],[Mandante]]="","",TEXT(tblDados[[#This Row],[Data]],"aaaa-mm-dd")&amp;"|"&amp;TRIM(tblDados[[#This Row],[Mandante]])&amp;"|"&amp;TRIM(tblDados[[#This Row],[Visitante]]))</f>
        <v>2026-05-16|GAIS|Degerfors IF</v>
      </c>
      <c r="T1731" s="1">
        <f>IF($G1731="",0,IF(COUNTIF($S$2:$S3223,$S1731)=1,1,0))</f>
        <v>1</v>
      </c>
      <c r="U1731" s="19" t="str">
        <f>IF(tblDados[[#This Row],[Mandante]]="","",IF(COUNTIF(CadastroEquipes,TRIM(tblDados[[#This Row],[Mandante]]))&gt;0,"","⚠ Nome não cadastrado"))</f>
        <v/>
      </c>
      <c r="V1731" s="19" t="str">
        <f>IF(tblDados[[#This Row],[Visitante]]="","",IF(COUNTIF(CadastroEquipes,TRIM(tblDados[[#This Row],[Visitante]]))&gt;0,"","⚠ Nome não cadastrado"))</f>
        <v/>
      </c>
    </row>
    <row r="1732" spans="1:22" x14ac:dyDescent="0.3">
      <c r="A1732" s="1" t="s">
        <v>4861</v>
      </c>
      <c r="B1732" s="102">
        <v>46151</v>
      </c>
      <c r="C1732" s="6">
        <v>0.41666666666666669</v>
      </c>
      <c r="D1732" s="1" t="s">
        <v>30</v>
      </c>
      <c r="E1732" s="1" t="s">
        <v>31</v>
      </c>
      <c r="F1732" s="1" t="s">
        <v>4862</v>
      </c>
      <c r="G1732" s="39" t="s">
        <v>4839</v>
      </c>
      <c r="H1732" s="1">
        <v>1</v>
      </c>
      <c r="I1732" s="1">
        <v>4</v>
      </c>
      <c r="J1732" s="39" t="s">
        <v>4797</v>
      </c>
      <c r="K1732" s="1">
        <v>4</v>
      </c>
      <c r="L1732" s="1">
        <v>1</v>
      </c>
      <c r="S1732" s="1" t="str">
        <f>IF(tblDados[[#This Row],[Mandante]]="","",TEXT(tblDados[[#This Row],[Data]],"aaaa-mm-dd")&amp;"|"&amp;TRIM(tblDados[[#This Row],[Mandante]])&amp;"|"&amp;TRIM(tblDados[[#This Row],[Visitante]]))</f>
        <v>2026-05-09|Degerfors IF|Mjällby AIF</v>
      </c>
      <c r="T1732" s="1">
        <f>IF($G1732="",0,IF(COUNTIF($S$2:$S3224,$S1732)=1,1,0))</f>
        <v>1</v>
      </c>
      <c r="U1732" s="19" t="str">
        <f>IF(tblDados[[#This Row],[Mandante]]="","",IF(COUNTIF(CadastroEquipes,TRIM(tblDados[[#This Row],[Mandante]]))&gt;0,"","⚠ Nome não cadastrado"))</f>
        <v/>
      </c>
      <c r="V1732" s="19" t="str">
        <f>IF(tblDados[[#This Row],[Visitante]]="","",IF(COUNTIF(CadastroEquipes,TRIM(tblDados[[#This Row],[Visitante]]))&gt;0,"","⚠ Nome não cadastrado"))</f>
        <v/>
      </c>
    </row>
    <row r="1733" spans="1:22" x14ac:dyDescent="0.3">
      <c r="A1733" s="1" t="s">
        <v>4863</v>
      </c>
      <c r="B1733" s="102">
        <v>46139</v>
      </c>
      <c r="C1733" s="6">
        <v>0.58333333333333337</v>
      </c>
      <c r="D1733" s="1" t="s">
        <v>30</v>
      </c>
      <c r="E1733" s="1" t="s">
        <v>31</v>
      </c>
      <c r="F1733" s="1" t="s">
        <v>4864</v>
      </c>
      <c r="G1733" s="39" t="s">
        <v>4789</v>
      </c>
      <c r="H1733" s="1">
        <v>1</v>
      </c>
      <c r="I1733" s="1">
        <v>1</v>
      </c>
      <c r="J1733" s="39" t="s">
        <v>4839</v>
      </c>
      <c r="K1733" s="1">
        <v>1</v>
      </c>
      <c r="L1733" s="1">
        <v>1</v>
      </c>
      <c r="S1733" s="1" t="str">
        <f>IF(tblDados[[#This Row],[Mandante]]="","",TEXT(tblDados[[#This Row],[Data]],"aaaa-mm-dd")&amp;"|"&amp;TRIM(tblDados[[#This Row],[Mandante]])&amp;"|"&amp;TRIM(tblDados[[#This Row],[Visitante]]))</f>
        <v>2026-04-27|Örgryte IS|Degerfors IF</v>
      </c>
      <c r="T1733" s="1">
        <f>IF($G1733="",0,IF(COUNTIF($S$2:$S3225,$S1733)=1,1,0))</f>
        <v>1</v>
      </c>
      <c r="U1733" s="19" t="str">
        <f>IF(tblDados[[#This Row],[Mandante]]="","",IF(COUNTIF(CadastroEquipes,TRIM(tblDados[[#This Row],[Mandante]]))&gt;0,"","⚠ Nome não cadastrado"))</f>
        <v/>
      </c>
      <c r="V1733" s="19" t="str">
        <f>IF(tblDados[[#This Row],[Visitante]]="","",IF(COUNTIF(CadastroEquipes,TRIM(tblDados[[#This Row],[Visitante]]))&gt;0,"","⚠ Nome não cadastrado"))</f>
        <v/>
      </c>
    </row>
    <row r="1734" spans="1:22" x14ac:dyDescent="0.3">
      <c r="A1734" s="1" t="s">
        <v>4865</v>
      </c>
      <c r="B1734" s="102">
        <v>46237</v>
      </c>
      <c r="C1734" s="6">
        <v>0.58333333333333337</v>
      </c>
      <c r="D1734" s="1" t="s">
        <v>30</v>
      </c>
      <c r="E1734" s="1" t="s">
        <v>31</v>
      </c>
      <c r="F1734" s="1" t="s">
        <v>4866</v>
      </c>
      <c r="G1734" s="39" t="s">
        <v>4811</v>
      </c>
      <c r="H1734" s="1">
        <v>6</v>
      </c>
      <c r="I1734" s="1">
        <v>0</v>
      </c>
      <c r="J1734" s="39" t="s">
        <v>4808</v>
      </c>
      <c r="K1734" s="1">
        <v>0</v>
      </c>
      <c r="L1734" s="1">
        <v>6</v>
      </c>
      <c r="S1734" s="1" t="str">
        <f>IF(tblDados[[#This Row],[Mandante]]="","",TEXT(tblDados[[#This Row],[Data]],"aaaa-mm-dd")&amp;"|"&amp;TRIM(tblDados[[#This Row],[Mandante]])&amp;"|"&amp;TRIM(tblDados[[#This Row],[Visitante]]))</f>
        <v>2026-08-03|Djurgårdens IF|Västerås SK</v>
      </c>
      <c r="T1734" s="1">
        <f>IF($G1734="",0,IF(COUNTIF($S$2:$S3226,$S1734)=1,1,0))</f>
        <v>1</v>
      </c>
      <c r="U1734" s="19" t="str">
        <f>IF(tblDados[[#This Row],[Mandante]]="","",IF(COUNTIF(CadastroEquipes,TRIM(tblDados[[#This Row],[Mandante]]))&gt;0,"","⚠ Nome não cadastrado"))</f>
        <v/>
      </c>
      <c r="V1734" s="19" t="str">
        <f>IF(tblDados[[#This Row],[Visitante]]="","",IF(COUNTIF(CadastroEquipes,TRIM(tblDados[[#This Row],[Visitante]]))&gt;0,"","⚠ Nome não cadastrado"))</f>
        <v/>
      </c>
    </row>
    <row r="1735" spans="1:22" x14ac:dyDescent="0.3">
      <c r="A1735" s="1" t="s">
        <v>4867</v>
      </c>
      <c r="B1735" s="102">
        <v>46223</v>
      </c>
      <c r="C1735" s="6">
        <v>0.58333333333333337</v>
      </c>
      <c r="D1735" s="1" t="s">
        <v>30</v>
      </c>
      <c r="E1735" s="1" t="s">
        <v>31</v>
      </c>
      <c r="F1735" s="1" t="s">
        <v>4868</v>
      </c>
      <c r="G1735" s="39" t="s">
        <v>4789</v>
      </c>
      <c r="H1735" s="1">
        <v>0</v>
      </c>
      <c r="I1735" s="1">
        <v>0</v>
      </c>
      <c r="J1735" s="39" t="s">
        <v>4811</v>
      </c>
      <c r="K1735" s="1">
        <v>0</v>
      </c>
      <c r="L1735" s="1">
        <v>0</v>
      </c>
      <c r="S1735" s="1" t="str">
        <f>IF(tblDados[[#This Row],[Mandante]]="","",TEXT(tblDados[[#This Row],[Data]],"aaaa-mm-dd")&amp;"|"&amp;TRIM(tblDados[[#This Row],[Mandante]])&amp;"|"&amp;TRIM(tblDados[[#This Row],[Visitante]]))</f>
        <v>2026-07-20|Örgryte IS|Djurgårdens IF</v>
      </c>
      <c r="T1735" s="1">
        <f>IF($G1735="",0,IF(COUNTIF($S$2:$S3227,$S1735)=1,1,0))</f>
        <v>1</v>
      </c>
      <c r="U1735" s="19" t="str">
        <f>IF(tblDados[[#This Row],[Mandante]]="","",IF(COUNTIF(CadastroEquipes,TRIM(tblDados[[#This Row],[Mandante]]))&gt;0,"","⚠ Nome não cadastrado"))</f>
        <v/>
      </c>
      <c r="V1735" s="19" t="str">
        <f>IF(tblDados[[#This Row],[Visitante]]="","",IF(COUNTIF(CadastroEquipes,TRIM(tblDados[[#This Row],[Visitante]]))&gt;0,"","⚠ Nome não cadastrado"))</f>
        <v/>
      </c>
    </row>
    <row r="1736" spans="1:22" x14ac:dyDescent="0.3">
      <c r="A1736" s="1" t="s">
        <v>4869</v>
      </c>
      <c r="B1736" s="102">
        <v>46216</v>
      </c>
      <c r="C1736" s="6">
        <v>0.58333333333333337</v>
      </c>
      <c r="D1736" s="1" t="s">
        <v>30</v>
      </c>
      <c r="E1736" s="1" t="s">
        <v>31</v>
      </c>
      <c r="F1736" s="1" t="s">
        <v>4870</v>
      </c>
      <c r="G1736" s="39" t="s">
        <v>4811</v>
      </c>
      <c r="H1736" s="1">
        <v>3</v>
      </c>
      <c r="I1736" s="1">
        <v>0</v>
      </c>
      <c r="J1736" s="39" t="s">
        <v>998</v>
      </c>
      <c r="K1736" s="1">
        <v>0</v>
      </c>
      <c r="L1736" s="1">
        <v>3</v>
      </c>
      <c r="S1736" s="1" t="str">
        <f>IF(tblDados[[#This Row],[Mandante]]="","",TEXT(tblDados[[#This Row],[Data]],"aaaa-mm-dd")&amp;"|"&amp;TRIM(tblDados[[#This Row],[Mandante]])&amp;"|"&amp;TRIM(tblDados[[#This Row],[Visitante]]))</f>
        <v>2026-07-13|Djurgårdens IF|Halmstads BK</v>
      </c>
      <c r="T1736" s="1">
        <f>IF($G1736="",0,IF(COUNTIF($S$2:$S3228,$S1736)=1,1,0))</f>
        <v>1</v>
      </c>
      <c r="U1736" s="19" t="str">
        <f>IF(tblDados[[#This Row],[Mandante]]="","",IF(COUNTIF(CadastroEquipes,TRIM(tblDados[[#This Row],[Mandante]]))&gt;0,"","⚠ Nome não cadastrado"))</f>
        <v/>
      </c>
      <c r="V1736" s="19" t="str">
        <f>IF(tblDados[[#This Row],[Visitante]]="","",IF(COUNTIF(CadastroEquipes,TRIM(tblDados[[#This Row],[Visitante]]))&gt;0,"","⚠ Nome não cadastrado"))</f>
        <v/>
      </c>
    </row>
    <row r="1737" spans="1:22" x14ac:dyDescent="0.3">
      <c r="A1737" s="1" t="s">
        <v>4871</v>
      </c>
      <c r="B1737" s="102">
        <v>46164</v>
      </c>
      <c r="C1737" s="6">
        <v>0.58333333333333337</v>
      </c>
      <c r="D1737" s="1" t="s">
        <v>30</v>
      </c>
      <c r="E1737" s="1" t="s">
        <v>31</v>
      </c>
      <c r="F1737" s="1" t="s">
        <v>4872</v>
      </c>
      <c r="G1737" s="39" t="s">
        <v>4811</v>
      </c>
      <c r="H1737" s="1">
        <v>1</v>
      </c>
      <c r="I1737" s="1">
        <v>2</v>
      </c>
      <c r="J1737" s="39" t="s">
        <v>4856</v>
      </c>
      <c r="K1737" s="1">
        <v>2</v>
      </c>
      <c r="L1737" s="1">
        <v>1</v>
      </c>
      <c r="S1737" s="1" t="str">
        <f>IF(tblDados[[#This Row],[Mandante]]="","",TEXT(tblDados[[#This Row],[Data]],"aaaa-mm-dd")&amp;"|"&amp;TRIM(tblDados[[#This Row],[Mandante]])&amp;"|"&amp;TRIM(tblDados[[#This Row],[Visitante]]))</f>
        <v>2026-05-22|Djurgårdens IF|IF Brommapojkarna</v>
      </c>
      <c r="T1737" s="1">
        <f>IF($G1737="",0,IF(COUNTIF($S$2:$S3229,$S1737)=1,1,0))</f>
        <v>1</v>
      </c>
      <c r="U1737" s="19" t="str">
        <f>IF(tblDados[[#This Row],[Mandante]]="","",IF(COUNTIF(CadastroEquipes,TRIM(tblDados[[#This Row],[Mandante]]))&gt;0,"","⚠ Nome não cadastrado"))</f>
        <v/>
      </c>
      <c r="V1737" s="19" t="str">
        <f>IF(tblDados[[#This Row],[Visitante]]="","",IF(COUNTIF(CadastroEquipes,TRIM(tblDados[[#This Row],[Visitante]]))&gt;0,"","⚠ Nome não cadastrado"))</f>
        <v/>
      </c>
    </row>
    <row r="1738" spans="1:22" x14ac:dyDescent="0.3">
      <c r="A1738" s="1" t="s">
        <v>4873</v>
      </c>
      <c r="B1738" s="102">
        <v>46160</v>
      </c>
      <c r="C1738" s="6">
        <v>0.58333333333333337</v>
      </c>
      <c r="D1738" s="1" t="s">
        <v>30</v>
      </c>
      <c r="E1738" s="1" t="s">
        <v>31</v>
      </c>
      <c r="F1738" s="1" t="s">
        <v>4874</v>
      </c>
      <c r="G1738" s="39" t="s">
        <v>4811</v>
      </c>
      <c r="H1738" s="1">
        <v>2</v>
      </c>
      <c r="I1738" s="1">
        <v>3</v>
      </c>
      <c r="J1738" s="39" t="s">
        <v>999</v>
      </c>
      <c r="K1738" s="1">
        <v>3</v>
      </c>
      <c r="L1738" s="1">
        <v>2</v>
      </c>
      <c r="S1738" s="1" t="str">
        <f>IF(tblDados[[#This Row],[Mandante]]="","",TEXT(tblDados[[#This Row],[Data]],"aaaa-mm-dd")&amp;"|"&amp;TRIM(tblDados[[#This Row],[Mandante]])&amp;"|"&amp;TRIM(tblDados[[#This Row],[Visitante]]))</f>
        <v>2026-05-18|Djurgårdens IF|IK Sirius</v>
      </c>
      <c r="T1738" s="1">
        <f>IF($G1738="",0,IF(COUNTIF($S$2:$S3230,$S1738)=1,1,0))</f>
        <v>1</v>
      </c>
      <c r="U1738" s="19" t="str">
        <f>IF(tblDados[[#This Row],[Mandante]]="","",IF(COUNTIF(CadastroEquipes,TRIM(tblDados[[#This Row],[Mandante]]))&gt;0,"","⚠ Nome não cadastrado"))</f>
        <v/>
      </c>
      <c r="V1738" s="19" t="str">
        <f>IF(tblDados[[#This Row],[Visitante]]="","",IF(COUNTIF(CadastroEquipes,TRIM(tblDados[[#This Row],[Visitante]]))&gt;0,"","⚠ Nome não cadastrado"))</f>
        <v/>
      </c>
    </row>
    <row r="1739" spans="1:22" x14ac:dyDescent="0.3">
      <c r="A1739" s="1" t="s">
        <v>4875</v>
      </c>
      <c r="B1739" s="102">
        <v>46146</v>
      </c>
      <c r="C1739" s="6">
        <v>0.58333333333333337</v>
      </c>
      <c r="D1739" s="1" t="s">
        <v>30</v>
      </c>
      <c r="E1739" s="1" t="s">
        <v>31</v>
      </c>
      <c r="F1739" s="1" t="s">
        <v>4876</v>
      </c>
      <c r="G1739" s="39" t="s">
        <v>4811</v>
      </c>
      <c r="H1739" s="1">
        <v>6</v>
      </c>
      <c r="I1739" s="1">
        <v>0</v>
      </c>
      <c r="J1739" s="39" t="s">
        <v>4800</v>
      </c>
      <c r="K1739" s="1">
        <v>0</v>
      </c>
      <c r="L1739" s="1">
        <v>6</v>
      </c>
      <c r="S1739" s="1" t="str">
        <f>IF(tblDados[[#This Row],[Mandante]]="","",TEXT(tblDados[[#This Row],[Data]],"aaaa-mm-dd")&amp;"|"&amp;TRIM(tblDados[[#This Row],[Mandante]])&amp;"|"&amp;TRIM(tblDados[[#This Row],[Visitante]]))</f>
        <v>2026-05-04|Djurgårdens IF|IFK Göteborg</v>
      </c>
      <c r="T1739" s="1">
        <f>IF($G1739="",0,IF(COUNTIF($S$2:$S3231,$S1739)=1,1,0))</f>
        <v>1</v>
      </c>
      <c r="U1739" s="19" t="str">
        <f>IF(tblDados[[#This Row],[Mandante]]="","",IF(COUNTIF(CadastroEquipes,TRIM(tblDados[[#This Row],[Mandante]]))&gt;0,"","⚠ Nome não cadastrado"))</f>
        <v/>
      </c>
      <c r="V1739" s="19" t="str">
        <f>IF(tblDados[[#This Row],[Visitante]]="","",IF(COUNTIF(CadastroEquipes,TRIM(tblDados[[#This Row],[Visitante]]))&gt;0,"","⚠ Nome não cadastrado"))</f>
        <v/>
      </c>
    </row>
    <row r="1740" spans="1:22" x14ac:dyDescent="0.3">
      <c r="A1740" s="1" t="s">
        <v>4877</v>
      </c>
      <c r="B1740" s="102">
        <v>46138</v>
      </c>
      <c r="C1740" s="6">
        <v>0.375</v>
      </c>
      <c r="D1740" s="1" t="s">
        <v>30</v>
      </c>
      <c r="E1740" s="1" t="s">
        <v>31</v>
      </c>
      <c r="F1740" s="1" t="s">
        <v>4878</v>
      </c>
      <c r="G1740" s="39" t="s">
        <v>4811</v>
      </c>
      <c r="H1740" s="1">
        <v>1</v>
      </c>
      <c r="I1740" s="1">
        <v>1</v>
      </c>
      <c r="J1740" s="39" t="s">
        <v>4805</v>
      </c>
      <c r="K1740" s="1">
        <v>1</v>
      </c>
      <c r="L1740" s="1">
        <v>1</v>
      </c>
      <c r="S1740" s="1" t="str">
        <f>IF(tblDados[[#This Row],[Mandante]]="","",TEXT(tblDados[[#This Row],[Data]],"aaaa-mm-dd")&amp;"|"&amp;TRIM(tblDados[[#This Row],[Mandante]])&amp;"|"&amp;TRIM(tblDados[[#This Row],[Visitante]]))</f>
        <v>2026-04-26|Djurgårdens IF|Hammarby IF</v>
      </c>
      <c r="T1740" s="1">
        <f>IF($G1740="",0,IF(COUNTIF($S$2:$S3232,$S1740)=1,1,0))</f>
        <v>1</v>
      </c>
      <c r="U1740" s="19" t="str">
        <f>IF(tblDados[[#This Row],[Mandante]]="","",IF(COUNTIF(CadastroEquipes,TRIM(tblDados[[#This Row],[Mandante]]))&gt;0,"","⚠ Nome não cadastrado"))</f>
        <v/>
      </c>
      <c r="V1740" s="19" t="str">
        <f>IF(tblDados[[#This Row],[Visitante]]="","",IF(COUNTIF(CadastroEquipes,TRIM(tblDados[[#This Row],[Visitante]]))&gt;0,"","⚠ Nome não cadastrado"))</f>
        <v/>
      </c>
    </row>
    <row r="1741" spans="1:22" x14ac:dyDescent="0.3">
      <c r="A1741" s="1" t="s">
        <v>4879</v>
      </c>
      <c r="B1741" s="102">
        <v>46134</v>
      </c>
      <c r="C1741" s="6">
        <v>0.58333333333333337</v>
      </c>
      <c r="D1741" s="1" t="s">
        <v>30</v>
      </c>
      <c r="E1741" s="1" t="s">
        <v>31</v>
      </c>
      <c r="F1741" s="1" t="s">
        <v>4880</v>
      </c>
      <c r="G1741" s="39" t="s">
        <v>4814</v>
      </c>
      <c r="H1741" s="1">
        <v>2</v>
      </c>
      <c r="I1741" s="1">
        <v>1</v>
      </c>
      <c r="J1741" s="39" t="s">
        <v>4811</v>
      </c>
      <c r="K1741" s="1">
        <v>1</v>
      </c>
      <c r="L1741" s="1">
        <v>2</v>
      </c>
      <c r="S1741" s="1" t="str">
        <f>IF(tblDados[[#This Row],[Mandante]]="","",TEXT(tblDados[[#This Row],[Data]],"aaaa-mm-dd")&amp;"|"&amp;TRIM(tblDados[[#This Row],[Mandante]])&amp;"|"&amp;TRIM(tblDados[[#This Row],[Visitante]]))</f>
        <v>2026-04-22|IF Elfsborg|Djurgårdens IF</v>
      </c>
      <c r="T1741" s="1">
        <f>IF($G1741="",0,IF(COUNTIF($S$2:$S3233,$S1741)=1,1,0))</f>
        <v>1</v>
      </c>
      <c r="U1741" s="19" t="str">
        <f>IF(tblDados[[#This Row],[Mandante]]="","",IF(COUNTIF(CadastroEquipes,TRIM(tblDados[[#This Row],[Mandante]]))&gt;0,"","⚠ Nome não cadastrado"))</f>
        <v/>
      </c>
      <c r="V1741" s="19" t="str">
        <f>IF(tblDados[[#This Row],[Visitante]]="","",IF(COUNTIF(CadastroEquipes,TRIM(tblDados[[#This Row],[Visitante]]))&gt;0,"","⚠ Nome não cadastrado"))</f>
        <v/>
      </c>
    </row>
    <row r="1742" spans="1:22" x14ac:dyDescent="0.3">
      <c r="A1742" s="1" t="s">
        <v>4881</v>
      </c>
      <c r="B1742" s="102">
        <v>46129</v>
      </c>
      <c r="C1742" s="6">
        <v>0.58333333333333337</v>
      </c>
      <c r="D1742" s="1" t="s">
        <v>30</v>
      </c>
      <c r="E1742" s="1" t="s">
        <v>31</v>
      </c>
      <c r="F1742" s="1" t="s">
        <v>4882</v>
      </c>
      <c r="G1742" s="39" t="s">
        <v>4811</v>
      </c>
      <c r="H1742" s="1">
        <v>0</v>
      </c>
      <c r="I1742" s="1">
        <v>1</v>
      </c>
      <c r="J1742" s="39" t="s">
        <v>4817</v>
      </c>
      <c r="K1742" s="1">
        <v>1</v>
      </c>
      <c r="L1742" s="1">
        <v>0</v>
      </c>
      <c r="S1742" s="1" t="str">
        <f>IF(tblDados[[#This Row],[Mandante]]="","",TEXT(tblDados[[#This Row],[Data]],"aaaa-mm-dd")&amp;"|"&amp;TRIM(tblDados[[#This Row],[Mandante]])&amp;"|"&amp;TRIM(tblDados[[#This Row],[Visitante]]))</f>
        <v>2026-04-17|Djurgårdens IF|Malmö FF</v>
      </c>
      <c r="T1742" s="1">
        <f>IF($G1742="",0,IF(COUNTIF($S$2:$S3234,$S1742)=1,1,0))</f>
        <v>1</v>
      </c>
      <c r="U1742" s="19" t="str">
        <f>IF(tblDados[[#This Row],[Mandante]]="","",IF(COUNTIF(CadastroEquipes,TRIM(tblDados[[#This Row],[Mandante]]))&gt;0,"","⚠ Nome não cadastrado"))</f>
        <v/>
      </c>
      <c r="V1742" s="19" t="str">
        <f>IF(tblDados[[#This Row],[Visitante]]="","",IF(COUNTIF(CadastroEquipes,TRIM(tblDados[[#This Row],[Visitante]]))&gt;0,"","⚠ Nome não cadastrado"))</f>
        <v/>
      </c>
    </row>
    <row r="1743" spans="1:22" x14ac:dyDescent="0.3">
      <c r="A1743" s="1" t="s">
        <v>4883</v>
      </c>
      <c r="B1743" s="102">
        <v>46243</v>
      </c>
      <c r="C1743" s="6">
        <v>0.47916666666666669</v>
      </c>
      <c r="D1743" s="1" t="s">
        <v>30</v>
      </c>
      <c r="E1743" s="1" t="s">
        <v>31</v>
      </c>
      <c r="F1743" s="1" t="s">
        <v>4884</v>
      </c>
      <c r="G1743" s="39" t="s">
        <v>998</v>
      </c>
      <c r="H1743" s="1">
        <v>0</v>
      </c>
      <c r="I1743" s="1">
        <v>2</v>
      </c>
      <c r="J1743" s="39" t="s">
        <v>4794</v>
      </c>
      <c r="K1743" s="1">
        <v>2</v>
      </c>
      <c r="L1743" s="1">
        <v>0</v>
      </c>
      <c r="S1743" s="1" t="str">
        <f>IF(tblDados[[#This Row],[Mandante]]="","",TEXT(tblDados[[#This Row],[Data]],"aaaa-mm-dd")&amp;"|"&amp;TRIM(tblDados[[#This Row],[Mandante]])&amp;"|"&amp;TRIM(tblDados[[#This Row],[Visitante]]))</f>
        <v>2026-08-09|Halmstads BK|GAIS</v>
      </c>
      <c r="T1743" s="1">
        <f>IF($G1743="",0,IF(COUNTIF($S$2:$S3235,$S1743)=1,1,0))</f>
        <v>1</v>
      </c>
      <c r="U1743" s="19" t="str">
        <f>IF(tblDados[[#This Row],[Mandante]]="","",IF(COUNTIF(CadastroEquipes,TRIM(tblDados[[#This Row],[Mandante]]))&gt;0,"","⚠ Nome não cadastrado"))</f>
        <v/>
      </c>
      <c r="V1743" s="19" t="str">
        <f>IF(tblDados[[#This Row],[Visitante]]="","",IF(COUNTIF(CadastroEquipes,TRIM(tblDados[[#This Row],[Visitante]]))&gt;0,"","⚠ Nome não cadastrado"))</f>
        <v/>
      </c>
    </row>
    <row r="1744" spans="1:22" x14ac:dyDescent="0.3">
      <c r="A1744" s="1" t="s">
        <v>4885</v>
      </c>
      <c r="B1744" s="102">
        <v>46229</v>
      </c>
      <c r="C1744" s="6">
        <v>0.47916666666666669</v>
      </c>
      <c r="D1744" s="1" t="s">
        <v>30</v>
      </c>
      <c r="E1744" s="1" t="s">
        <v>31</v>
      </c>
      <c r="F1744" s="1" t="s">
        <v>4886</v>
      </c>
      <c r="G1744" s="39" t="s">
        <v>4794</v>
      </c>
      <c r="H1744" s="1">
        <v>1</v>
      </c>
      <c r="I1744" s="1">
        <v>1</v>
      </c>
      <c r="J1744" s="39" t="s">
        <v>998</v>
      </c>
      <c r="K1744" s="1">
        <v>1</v>
      </c>
      <c r="L1744" s="1">
        <v>1</v>
      </c>
      <c r="S1744" s="1" t="str">
        <f>IF(tblDados[[#This Row],[Mandante]]="","",TEXT(tblDados[[#This Row],[Data]],"aaaa-mm-dd")&amp;"|"&amp;TRIM(tblDados[[#This Row],[Mandante]])&amp;"|"&amp;TRIM(tblDados[[#This Row],[Visitante]]))</f>
        <v>2026-07-26|GAIS|Halmstads BK</v>
      </c>
      <c r="T1744" s="1">
        <f>IF($G1744="",0,IF(COUNTIF($S$2:$S3236,$S1744)=1,1,0))</f>
        <v>1</v>
      </c>
      <c r="U1744" s="19" t="str">
        <f>IF(tblDados[[#This Row],[Mandante]]="","",IF(COUNTIF(CadastroEquipes,TRIM(tblDados[[#This Row],[Mandante]]))&gt;0,"","⚠ Nome não cadastrado"))</f>
        <v/>
      </c>
      <c r="V1744" s="19" t="str">
        <f>IF(tblDados[[#This Row],[Visitante]]="","",IF(COUNTIF(CadastroEquipes,TRIM(tblDados[[#This Row],[Visitante]]))&gt;0,"","⚠ Nome não cadastrado"))</f>
        <v/>
      </c>
    </row>
    <row r="1745" spans="1:22" x14ac:dyDescent="0.3">
      <c r="A1745" s="1" t="s">
        <v>4887</v>
      </c>
      <c r="B1745" s="102">
        <v>46215</v>
      </c>
      <c r="C1745" s="6">
        <v>0.47916666666666669</v>
      </c>
      <c r="D1745" s="1" t="s">
        <v>30</v>
      </c>
      <c r="E1745" s="1" t="s">
        <v>31</v>
      </c>
      <c r="F1745" s="1" t="s">
        <v>4888</v>
      </c>
      <c r="G1745" s="39" t="s">
        <v>4794</v>
      </c>
      <c r="H1745" s="1">
        <v>1</v>
      </c>
      <c r="I1745" s="1">
        <v>0</v>
      </c>
      <c r="J1745" s="39" t="s">
        <v>4814</v>
      </c>
      <c r="K1745" s="1">
        <v>0</v>
      </c>
      <c r="L1745" s="1">
        <v>1</v>
      </c>
      <c r="S1745" s="1" t="str">
        <f>IF(tblDados[[#This Row],[Mandante]]="","",TEXT(tblDados[[#This Row],[Data]],"aaaa-mm-dd")&amp;"|"&amp;TRIM(tblDados[[#This Row],[Mandante]])&amp;"|"&amp;TRIM(tblDados[[#This Row],[Visitante]]))</f>
        <v>2026-07-12|GAIS|IF Elfsborg</v>
      </c>
      <c r="T1745" s="1">
        <f>IF($G1745="",0,IF(COUNTIF($S$2:$S3237,$S1745)=1,1,0))</f>
        <v>1</v>
      </c>
      <c r="U1745" s="19" t="str">
        <f>IF(tblDados[[#This Row],[Mandante]]="","",IF(COUNTIF(CadastroEquipes,TRIM(tblDados[[#This Row],[Mandante]]))&gt;0,"","⚠ Nome não cadastrado"))</f>
        <v/>
      </c>
      <c r="V1745" s="19" t="str">
        <f>IF(tblDados[[#This Row],[Visitante]]="","",IF(COUNTIF(CadastroEquipes,TRIM(tblDados[[#This Row],[Visitante]]))&gt;0,"","⚠ Nome não cadastrado"))</f>
        <v/>
      </c>
    </row>
    <row r="1746" spans="1:22" x14ac:dyDescent="0.3">
      <c r="A1746" s="1" t="s">
        <v>4889</v>
      </c>
      <c r="B1746" s="102">
        <v>46209</v>
      </c>
      <c r="C1746" s="6">
        <v>0.58333333333333337</v>
      </c>
      <c r="D1746" s="1" t="s">
        <v>30</v>
      </c>
      <c r="E1746" s="1" t="s">
        <v>31</v>
      </c>
      <c r="F1746" s="1" t="s">
        <v>4890</v>
      </c>
      <c r="G1746" s="39" t="s">
        <v>4856</v>
      </c>
      <c r="H1746" s="1">
        <v>1</v>
      </c>
      <c r="I1746" s="1">
        <v>1</v>
      </c>
      <c r="J1746" s="39" t="s">
        <v>4794</v>
      </c>
      <c r="K1746" s="1">
        <v>1</v>
      </c>
      <c r="L1746" s="1">
        <v>1</v>
      </c>
      <c r="S1746" s="1" t="str">
        <f>IF(tblDados[[#This Row],[Mandante]]="","",TEXT(tblDados[[#This Row],[Data]],"aaaa-mm-dd")&amp;"|"&amp;TRIM(tblDados[[#This Row],[Mandante]])&amp;"|"&amp;TRIM(tblDados[[#This Row],[Visitante]]))</f>
        <v>2026-07-06|IF Brommapojkarna|GAIS</v>
      </c>
      <c r="T1746" s="1">
        <f>IF($G1746="",0,IF(COUNTIF($S$2:$S3238,$S1746)=1,1,0))</f>
        <v>1</v>
      </c>
      <c r="U1746" s="19" t="str">
        <f>IF(tblDados[[#This Row],[Mandante]]="","",IF(COUNTIF(CadastroEquipes,TRIM(tblDados[[#This Row],[Mandante]]))&gt;0,"","⚠ Nome não cadastrado"))</f>
        <v/>
      </c>
      <c r="V1746" s="19" t="str">
        <f>IF(tblDados[[#This Row],[Visitante]]="","",IF(COUNTIF(CadastroEquipes,TRIM(tblDados[[#This Row],[Visitante]]))&gt;0,"","⚠ Nome não cadastrado"))</f>
        <v/>
      </c>
    </row>
    <row r="1747" spans="1:22" x14ac:dyDescent="0.3">
      <c r="A1747" s="1" t="s">
        <v>4891</v>
      </c>
      <c r="B1747" s="102">
        <v>46172</v>
      </c>
      <c r="C1747" s="6">
        <v>0.41666666666666669</v>
      </c>
      <c r="D1747" s="1" t="s">
        <v>30</v>
      </c>
      <c r="E1747" s="1" t="s">
        <v>31</v>
      </c>
      <c r="F1747" s="1" t="s">
        <v>4892</v>
      </c>
      <c r="G1747" s="39" t="s">
        <v>4794</v>
      </c>
      <c r="H1747" s="1">
        <v>3</v>
      </c>
      <c r="I1747" s="1">
        <v>0</v>
      </c>
      <c r="J1747" s="39" t="s">
        <v>4822</v>
      </c>
      <c r="K1747" s="1">
        <v>0</v>
      </c>
      <c r="L1747" s="1">
        <v>3</v>
      </c>
      <c r="S1747" s="1" t="str">
        <f>IF(tblDados[[#This Row],[Mandante]]="","",TEXT(tblDados[[#This Row],[Data]],"aaaa-mm-dd")&amp;"|"&amp;TRIM(tblDados[[#This Row],[Mandante]])&amp;"|"&amp;TRIM(tblDados[[#This Row],[Visitante]]))</f>
        <v>2026-05-30|GAIS|Kalmar FF</v>
      </c>
      <c r="T1747" s="1">
        <f>IF($G1747="",0,IF(COUNTIF($S$2:$S3239,$S1747)=1,1,0))</f>
        <v>1</v>
      </c>
      <c r="U1747" s="19" t="str">
        <f>IF(tblDados[[#This Row],[Mandante]]="","",IF(COUNTIF(CadastroEquipes,TRIM(tblDados[[#This Row],[Mandante]]))&gt;0,"","⚠ Nome não cadastrado"))</f>
        <v/>
      </c>
      <c r="V1747" s="19" t="str">
        <f>IF(tblDados[[#This Row],[Visitante]]="","",IF(COUNTIF(CadastroEquipes,TRIM(tblDados[[#This Row],[Visitante]]))&gt;0,"","⚠ Nome não cadastrado"))</f>
        <v/>
      </c>
    </row>
    <row r="1748" spans="1:22" x14ac:dyDescent="0.3">
      <c r="A1748" s="1" t="s">
        <v>4893</v>
      </c>
      <c r="B1748" s="102">
        <v>46166</v>
      </c>
      <c r="C1748" s="6">
        <v>0.375</v>
      </c>
      <c r="D1748" s="1" t="s">
        <v>30</v>
      </c>
      <c r="E1748" s="1" t="s">
        <v>31</v>
      </c>
      <c r="F1748" s="1" t="s">
        <v>4894</v>
      </c>
      <c r="G1748" s="39" t="s">
        <v>999</v>
      </c>
      <c r="H1748" s="1">
        <v>2</v>
      </c>
      <c r="I1748" s="1">
        <v>1</v>
      </c>
      <c r="J1748" s="39" t="s">
        <v>4794</v>
      </c>
      <c r="K1748" s="1">
        <v>1</v>
      </c>
      <c r="L1748" s="1">
        <v>2</v>
      </c>
      <c r="S1748" s="1" t="str">
        <f>IF(tblDados[[#This Row],[Mandante]]="","",TEXT(tblDados[[#This Row],[Data]],"aaaa-mm-dd")&amp;"|"&amp;TRIM(tblDados[[#This Row],[Mandante]])&amp;"|"&amp;TRIM(tblDados[[#This Row],[Visitante]]))</f>
        <v>2026-05-24|IK Sirius|GAIS</v>
      </c>
      <c r="T1748" s="1">
        <f>IF($G1748="",0,IF(COUNTIF($S$2:$S3240,$S1748)=1,1,0))</f>
        <v>1</v>
      </c>
      <c r="U1748" s="19" t="str">
        <f>IF(tblDados[[#This Row],[Mandante]]="","",IF(COUNTIF(CadastroEquipes,TRIM(tblDados[[#This Row],[Mandante]]))&gt;0,"","⚠ Nome não cadastrado"))</f>
        <v/>
      </c>
      <c r="V1748" s="19" t="str">
        <f>IF(tblDados[[#This Row],[Visitante]]="","",IF(COUNTIF(CadastroEquipes,TRIM(tblDados[[#This Row],[Visitante]]))&gt;0,"","⚠ Nome não cadastrado"))</f>
        <v/>
      </c>
    </row>
    <row r="1749" spans="1:22" x14ac:dyDescent="0.3">
      <c r="A1749" s="1" t="s">
        <v>4895</v>
      </c>
      <c r="B1749" s="102">
        <v>46162</v>
      </c>
      <c r="C1749" s="6">
        <v>0.58333333333333337</v>
      </c>
      <c r="D1749" s="1" t="s">
        <v>30</v>
      </c>
      <c r="E1749" s="1" t="s">
        <v>31</v>
      </c>
      <c r="F1749" s="1" t="s">
        <v>4896</v>
      </c>
      <c r="G1749" s="39" t="s">
        <v>4794</v>
      </c>
      <c r="H1749" s="1">
        <v>2</v>
      </c>
      <c r="I1749" s="1">
        <v>0</v>
      </c>
      <c r="J1749" s="39" t="s">
        <v>4805</v>
      </c>
      <c r="K1749" s="1">
        <v>0</v>
      </c>
      <c r="L1749" s="1">
        <v>2</v>
      </c>
      <c r="S1749" s="1" t="str">
        <f>IF(tblDados[[#This Row],[Mandante]]="","",TEXT(tblDados[[#This Row],[Data]],"aaaa-mm-dd")&amp;"|"&amp;TRIM(tblDados[[#This Row],[Mandante]])&amp;"|"&amp;TRIM(tblDados[[#This Row],[Visitante]]))</f>
        <v>2026-05-20|GAIS|Hammarby IF</v>
      </c>
      <c r="T1749" s="1">
        <f>IF($G1749="",0,IF(COUNTIF($S$2:$S3241,$S1749)=1,1,0))</f>
        <v>1</v>
      </c>
      <c r="U1749" s="19" t="str">
        <f>IF(tblDados[[#This Row],[Mandante]]="","",IF(COUNTIF(CadastroEquipes,TRIM(tblDados[[#This Row],[Mandante]]))&gt;0,"","⚠ Nome não cadastrado"))</f>
        <v/>
      </c>
      <c r="V1749" s="19" t="str">
        <f>IF(tblDados[[#This Row],[Visitante]]="","",IF(COUNTIF(CadastroEquipes,TRIM(tblDados[[#This Row],[Visitante]]))&gt;0,"","⚠ Nome não cadastrado"))</f>
        <v/>
      </c>
    </row>
    <row r="1750" spans="1:22" x14ac:dyDescent="0.3">
      <c r="A1750" s="1" t="s">
        <v>4897</v>
      </c>
      <c r="B1750" s="102">
        <v>46151</v>
      </c>
      <c r="C1750" s="6">
        <v>0.41666666666666669</v>
      </c>
      <c r="D1750" s="1" t="s">
        <v>30</v>
      </c>
      <c r="E1750" s="1" t="s">
        <v>31</v>
      </c>
      <c r="F1750" s="1" t="s">
        <v>4898</v>
      </c>
      <c r="G1750" s="39" t="s">
        <v>4808</v>
      </c>
      <c r="H1750" s="1">
        <v>0</v>
      </c>
      <c r="I1750" s="1">
        <v>1</v>
      </c>
      <c r="J1750" s="39" t="s">
        <v>4794</v>
      </c>
      <c r="K1750" s="1">
        <v>1</v>
      </c>
      <c r="L1750" s="1">
        <v>0</v>
      </c>
      <c r="S1750" s="1" t="str">
        <f>IF(tblDados[[#This Row],[Mandante]]="","",TEXT(tblDados[[#This Row],[Data]],"aaaa-mm-dd")&amp;"|"&amp;TRIM(tblDados[[#This Row],[Mandante]])&amp;"|"&amp;TRIM(tblDados[[#This Row],[Visitante]]))</f>
        <v>2026-05-09|Västerås SK|GAIS</v>
      </c>
      <c r="T1750" s="1">
        <f>IF($G1750="",0,IF(COUNTIF($S$2:$S3242,$S1750)=1,1,0))</f>
        <v>1</v>
      </c>
      <c r="U1750" s="19" t="str">
        <f>IF(tblDados[[#This Row],[Mandante]]="","",IF(COUNTIF(CadastroEquipes,TRIM(tblDados[[#This Row],[Mandante]]))&gt;0,"","⚠ Nome não cadastrado"))</f>
        <v/>
      </c>
      <c r="V1750" s="19" t="str">
        <f>IF(tblDados[[#This Row],[Visitante]]="","",IF(COUNTIF(CadastroEquipes,TRIM(tblDados[[#This Row],[Visitante]]))&gt;0,"","⚠ Nome não cadastrado"))</f>
        <v/>
      </c>
    </row>
    <row r="1751" spans="1:22" x14ac:dyDescent="0.3">
      <c r="A1751" s="1" t="s">
        <v>4899</v>
      </c>
      <c r="B1751" s="102">
        <v>46145</v>
      </c>
      <c r="C1751" s="6">
        <v>0.47916666666666669</v>
      </c>
      <c r="D1751" s="1" t="s">
        <v>30</v>
      </c>
      <c r="E1751" s="1" t="s">
        <v>31</v>
      </c>
      <c r="F1751" s="1" t="s">
        <v>4900</v>
      </c>
      <c r="G1751" s="39" t="s">
        <v>4794</v>
      </c>
      <c r="H1751" s="1">
        <v>4</v>
      </c>
      <c r="I1751" s="1">
        <v>0</v>
      </c>
      <c r="J1751" s="39" t="s">
        <v>4789</v>
      </c>
      <c r="K1751" s="1">
        <v>0</v>
      </c>
      <c r="L1751" s="1">
        <v>4</v>
      </c>
      <c r="S1751" s="1" t="str">
        <f>IF(tblDados[[#This Row],[Mandante]]="","",TEXT(tblDados[[#This Row],[Data]],"aaaa-mm-dd")&amp;"|"&amp;TRIM(tblDados[[#This Row],[Mandante]])&amp;"|"&amp;TRIM(tblDados[[#This Row],[Visitante]]))</f>
        <v>2026-05-03|GAIS|Örgryte IS</v>
      </c>
      <c r="T1751" s="1">
        <f>IF($G1751="",0,IF(COUNTIF($S$2:$S3243,$S1751)=1,1,0))</f>
        <v>1</v>
      </c>
      <c r="U1751" s="19" t="str">
        <f>IF(tblDados[[#This Row],[Mandante]]="","",IF(COUNTIF(CadastroEquipes,TRIM(tblDados[[#This Row],[Mandante]]))&gt;0,"","⚠ Nome não cadastrado"))</f>
        <v/>
      </c>
      <c r="V1751" s="19" t="str">
        <f>IF(tblDados[[#This Row],[Visitante]]="","",IF(COUNTIF(CadastroEquipes,TRIM(tblDados[[#This Row],[Visitante]]))&gt;0,"","⚠ Nome não cadastrado"))</f>
        <v/>
      </c>
    </row>
    <row r="1752" spans="1:22" x14ac:dyDescent="0.3">
      <c r="A1752" s="1" t="s">
        <v>4901</v>
      </c>
      <c r="B1752" s="102">
        <v>46138</v>
      </c>
      <c r="C1752" s="6">
        <v>0.47916666666666669</v>
      </c>
      <c r="D1752" s="1" t="s">
        <v>30</v>
      </c>
      <c r="E1752" s="1" t="s">
        <v>31</v>
      </c>
      <c r="F1752" s="1" t="s">
        <v>4902</v>
      </c>
      <c r="G1752" s="39" t="s">
        <v>4800</v>
      </c>
      <c r="H1752" s="1">
        <v>2</v>
      </c>
      <c r="I1752" s="1">
        <v>2</v>
      </c>
      <c r="J1752" s="39" t="s">
        <v>4794</v>
      </c>
      <c r="K1752" s="1">
        <v>2</v>
      </c>
      <c r="L1752" s="1">
        <v>2</v>
      </c>
      <c r="S1752" s="1" t="str">
        <f>IF(tblDados[[#This Row],[Mandante]]="","",TEXT(tblDados[[#This Row],[Data]],"aaaa-mm-dd")&amp;"|"&amp;TRIM(tblDados[[#This Row],[Mandante]])&amp;"|"&amp;TRIM(tblDados[[#This Row],[Visitante]]))</f>
        <v>2026-04-26|IFK Göteborg|GAIS</v>
      </c>
      <c r="T1752" s="1">
        <f>IF($G1752="",0,IF(COUNTIF($S$2:$S3244,$S1752)=1,1,0))</f>
        <v>1</v>
      </c>
      <c r="U1752" s="19" t="str">
        <f>IF(tblDados[[#This Row],[Mandante]]="","",IF(COUNTIF(CadastroEquipes,TRIM(tblDados[[#This Row],[Mandante]]))&gt;0,"","⚠ Nome não cadastrado"))</f>
        <v/>
      </c>
      <c r="V1752" s="19" t="str">
        <f>IF(tblDados[[#This Row],[Visitante]]="","",IF(COUNTIF(CadastroEquipes,TRIM(tblDados[[#This Row],[Visitante]]))&gt;0,"","⚠ Nome não cadastrado"))</f>
        <v/>
      </c>
    </row>
    <row r="1753" spans="1:22" x14ac:dyDescent="0.3">
      <c r="A1753" s="1" t="s">
        <v>4903</v>
      </c>
      <c r="B1753" s="5">
        <v>46207</v>
      </c>
      <c r="C1753" s="6">
        <v>0.41666666666666663</v>
      </c>
      <c r="D1753" s="1" t="s">
        <v>30</v>
      </c>
      <c r="E1753" s="1" t="s">
        <v>31</v>
      </c>
      <c r="F1753" s="1" t="s">
        <v>4904</v>
      </c>
      <c r="G1753" s="39" t="s">
        <v>998</v>
      </c>
      <c r="H1753" s="1">
        <v>1</v>
      </c>
      <c r="I1753" s="1">
        <v>3</v>
      </c>
      <c r="J1753" s="39" t="s">
        <v>4808</v>
      </c>
      <c r="K1753" s="1">
        <v>3</v>
      </c>
      <c r="L1753" s="1">
        <v>1</v>
      </c>
      <c r="S1753" s="1" t="s">
        <v>4905</v>
      </c>
      <c r="T1753" s="1">
        <v>1</v>
      </c>
      <c r="U1753" s="19"/>
      <c r="V1753" s="19"/>
    </row>
    <row r="1754" spans="1:22" x14ac:dyDescent="0.3">
      <c r="A1754" s="1" t="s">
        <v>4906</v>
      </c>
      <c r="B1754" s="5">
        <v>46172</v>
      </c>
      <c r="C1754" s="6">
        <v>0.41666666666666663</v>
      </c>
      <c r="D1754" s="1" t="s">
        <v>30</v>
      </c>
      <c r="E1754" s="1" t="s">
        <v>31</v>
      </c>
      <c r="F1754" s="1" t="s">
        <v>4907</v>
      </c>
      <c r="G1754" s="39" t="s">
        <v>4817</v>
      </c>
      <c r="H1754" s="1">
        <v>5</v>
      </c>
      <c r="I1754" s="1">
        <v>2</v>
      </c>
      <c r="J1754" s="39" t="s">
        <v>998</v>
      </c>
      <c r="K1754" s="1">
        <v>2</v>
      </c>
      <c r="L1754" s="1">
        <v>5</v>
      </c>
      <c r="S1754" s="1" t="s">
        <v>4908</v>
      </c>
      <c r="T1754" s="1">
        <v>1</v>
      </c>
      <c r="U1754" s="19"/>
      <c r="V1754" s="19"/>
    </row>
    <row r="1755" spans="1:22" x14ac:dyDescent="0.3">
      <c r="A1755" s="1" t="s">
        <v>4909</v>
      </c>
      <c r="B1755" s="5">
        <v>46165</v>
      </c>
      <c r="C1755" s="6">
        <v>0.41666666666666663</v>
      </c>
      <c r="D1755" s="1" t="s">
        <v>30</v>
      </c>
      <c r="E1755" s="1" t="s">
        <v>31</v>
      </c>
      <c r="F1755" s="1" t="s">
        <v>4910</v>
      </c>
      <c r="G1755" s="39" t="s">
        <v>998</v>
      </c>
      <c r="H1755" s="1">
        <v>2</v>
      </c>
      <c r="I1755" s="1">
        <v>0</v>
      </c>
      <c r="J1755" s="39" t="s">
        <v>4789</v>
      </c>
      <c r="K1755" s="1">
        <v>0</v>
      </c>
      <c r="L1755" s="1">
        <v>2</v>
      </c>
      <c r="S1755" s="1" t="s">
        <v>4911</v>
      </c>
      <c r="T1755" s="1">
        <v>1</v>
      </c>
      <c r="U1755" s="19"/>
      <c r="V1755" s="19"/>
    </row>
    <row r="1756" spans="1:22" x14ac:dyDescent="0.3">
      <c r="A1756" s="1" t="s">
        <v>4912</v>
      </c>
      <c r="B1756" s="5">
        <v>46158</v>
      </c>
      <c r="C1756" s="6">
        <v>0.41666666666666663</v>
      </c>
      <c r="D1756" s="1" t="s">
        <v>30</v>
      </c>
      <c r="E1756" s="1" t="s">
        <v>31</v>
      </c>
      <c r="F1756" s="1" t="s">
        <v>4913</v>
      </c>
      <c r="G1756" s="39" t="s">
        <v>998</v>
      </c>
      <c r="H1756" s="1">
        <v>1</v>
      </c>
      <c r="I1756" s="1">
        <v>1</v>
      </c>
      <c r="J1756" s="39" t="s">
        <v>4814</v>
      </c>
      <c r="K1756" s="1">
        <v>1</v>
      </c>
      <c r="L1756" s="1">
        <v>1</v>
      </c>
      <c r="S1756" s="1" t="s">
        <v>4914</v>
      </c>
      <c r="T1756" s="1">
        <v>1</v>
      </c>
      <c r="U1756" s="19"/>
      <c r="V1756" s="19"/>
    </row>
    <row r="1757" spans="1:22" x14ac:dyDescent="0.3">
      <c r="A1757" s="1" t="s">
        <v>4915</v>
      </c>
      <c r="B1757" s="5">
        <v>46152</v>
      </c>
      <c r="C1757" s="6">
        <v>0.37499999999999967</v>
      </c>
      <c r="D1757" s="1" t="s">
        <v>30</v>
      </c>
      <c r="E1757" s="1" t="s">
        <v>31</v>
      </c>
      <c r="F1757" s="1" t="s">
        <v>4916</v>
      </c>
      <c r="G1757" s="39" t="s">
        <v>4822</v>
      </c>
      <c r="H1757" s="1">
        <v>2</v>
      </c>
      <c r="I1757" s="1">
        <v>0</v>
      </c>
      <c r="J1757" s="39" t="s">
        <v>998</v>
      </c>
      <c r="K1757" s="1">
        <v>0</v>
      </c>
      <c r="L1757" s="1">
        <v>2</v>
      </c>
      <c r="S1757" s="1" t="s">
        <v>4917</v>
      </c>
      <c r="T1757" s="1">
        <v>1</v>
      </c>
      <c r="U1757" s="19"/>
      <c r="V1757" s="19"/>
    </row>
    <row r="1758" spans="1:22" x14ac:dyDescent="0.3">
      <c r="A1758" s="1" t="s">
        <v>4918</v>
      </c>
      <c r="B1758" s="5">
        <v>46146</v>
      </c>
      <c r="C1758" s="6">
        <v>0.58333333333333359</v>
      </c>
      <c r="D1758" s="1" t="s">
        <v>30</v>
      </c>
      <c r="E1758" s="1" t="s">
        <v>31</v>
      </c>
      <c r="F1758" s="1" t="s">
        <v>4919</v>
      </c>
      <c r="G1758" s="39" t="s">
        <v>998</v>
      </c>
      <c r="H1758" s="1">
        <v>1</v>
      </c>
      <c r="I1758" s="1">
        <v>3</v>
      </c>
      <c r="J1758" s="39" t="s">
        <v>4856</v>
      </c>
      <c r="K1758" s="1">
        <v>3</v>
      </c>
      <c r="L1758" s="1">
        <v>1</v>
      </c>
      <c r="S1758" s="1" t="s">
        <v>4920</v>
      </c>
      <c r="T1758" s="1">
        <v>1</v>
      </c>
      <c r="U1758" s="19"/>
      <c r="V1758" s="19"/>
    </row>
    <row r="1759" spans="1:22" x14ac:dyDescent="0.3">
      <c r="A1759" s="1" t="s">
        <v>4921</v>
      </c>
      <c r="B1759" s="5">
        <v>46139</v>
      </c>
      <c r="C1759" s="6">
        <v>0.58333333333333359</v>
      </c>
      <c r="D1759" s="1" t="s">
        <v>30</v>
      </c>
      <c r="E1759" s="1" t="s">
        <v>31</v>
      </c>
      <c r="F1759" s="1" t="s">
        <v>4922</v>
      </c>
      <c r="G1759" s="39" t="s">
        <v>4797</v>
      </c>
      <c r="H1759" s="1">
        <v>2</v>
      </c>
      <c r="I1759" s="1">
        <v>0</v>
      </c>
      <c r="J1759" s="39" t="s">
        <v>998</v>
      </c>
      <c r="K1759" s="1">
        <v>0</v>
      </c>
      <c r="L1759" s="1">
        <v>2</v>
      </c>
      <c r="S1759" s="1" t="s">
        <v>4923</v>
      </c>
      <c r="T1759" s="1">
        <v>1</v>
      </c>
      <c r="U1759" s="19"/>
      <c r="V1759" s="19"/>
    </row>
    <row r="1760" spans="1:22" x14ac:dyDescent="0.3">
      <c r="A1760" s="1" t="s">
        <v>4924</v>
      </c>
      <c r="B1760" s="5">
        <v>46229</v>
      </c>
      <c r="C1760" s="6">
        <v>0.37499999999999967</v>
      </c>
      <c r="D1760" s="1" t="s">
        <v>30</v>
      </c>
      <c r="E1760" s="1" t="s">
        <v>31</v>
      </c>
      <c r="F1760" s="1" t="s">
        <v>4925</v>
      </c>
      <c r="G1760" s="39" t="s">
        <v>4856</v>
      </c>
      <c r="H1760" s="1">
        <v>1</v>
      </c>
      <c r="I1760" s="1">
        <v>1</v>
      </c>
      <c r="J1760" s="39" t="s">
        <v>4805</v>
      </c>
      <c r="K1760" s="1">
        <v>1</v>
      </c>
      <c r="L1760" s="1">
        <v>1</v>
      </c>
      <c r="S1760" s="1" t="s">
        <v>4926</v>
      </c>
      <c r="T1760" s="1">
        <v>1</v>
      </c>
      <c r="U1760" s="19"/>
      <c r="V1760" s="19"/>
    </row>
    <row r="1761" spans="1:22" x14ac:dyDescent="0.3">
      <c r="A1761" s="1" t="s">
        <v>4927</v>
      </c>
      <c r="B1761" s="5">
        <v>46215</v>
      </c>
      <c r="C1761" s="6">
        <v>0.37499999999999967</v>
      </c>
      <c r="D1761" s="1" t="s">
        <v>30</v>
      </c>
      <c r="E1761" s="1" t="s">
        <v>31</v>
      </c>
      <c r="F1761" s="1" t="s">
        <v>4928</v>
      </c>
      <c r="G1761" s="39" t="s">
        <v>4805</v>
      </c>
      <c r="H1761" s="1">
        <v>2</v>
      </c>
      <c r="I1761" s="1">
        <v>0</v>
      </c>
      <c r="J1761" s="39" t="s">
        <v>4822</v>
      </c>
      <c r="K1761" s="1">
        <v>0</v>
      </c>
      <c r="L1761" s="1">
        <v>2</v>
      </c>
      <c r="S1761" s="1" t="s">
        <v>4929</v>
      </c>
      <c r="T1761" s="1">
        <v>1</v>
      </c>
      <c r="U1761" s="19"/>
      <c r="V1761" s="19"/>
    </row>
    <row r="1762" spans="1:22" x14ac:dyDescent="0.3">
      <c r="A1762" s="1" t="s">
        <v>4930</v>
      </c>
      <c r="B1762" s="5">
        <v>46208</v>
      </c>
      <c r="C1762" s="6">
        <v>0.47916666666666663</v>
      </c>
      <c r="D1762" s="1" t="s">
        <v>30</v>
      </c>
      <c r="E1762" s="1" t="s">
        <v>31</v>
      </c>
      <c r="F1762" s="1" t="s">
        <v>4931</v>
      </c>
      <c r="G1762" s="39" t="s">
        <v>4814</v>
      </c>
      <c r="H1762" s="1">
        <v>1</v>
      </c>
      <c r="I1762" s="1">
        <v>2</v>
      </c>
      <c r="J1762" s="39" t="s">
        <v>4805</v>
      </c>
      <c r="K1762" s="1">
        <v>2</v>
      </c>
      <c r="L1762" s="1">
        <v>1</v>
      </c>
      <c r="S1762" s="1" t="s">
        <v>4932</v>
      </c>
      <c r="T1762" s="1">
        <v>1</v>
      </c>
      <c r="U1762" s="19"/>
      <c r="V1762" s="19"/>
    </row>
    <row r="1763" spans="1:22" x14ac:dyDescent="0.3">
      <c r="A1763" s="1" t="s">
        <v>4933</v>
      </c>
      <c r="B1763" s="5">
        <v>46159</v>
      </c>
      <c r="C1763" s="6">
        <v>0.37499999999999967</v>
      </c>
      <c r="D1763" s="1" t="s">
        <v>30</v>
      </c>
      <c r="E1763" s="1" t="s">
        <v>31</v>
      </c>
      <c r="F1763" s="1" t="s">
        <v>4934</v>
      </c>
      <c r="G1763" s="39" t="s">
        <v>4805</v>
      </c>
      <c r="H1763" s="1">
        <v>4</v>
      </c>
      <c r="I1763" s="1">
        <v>1</v>
      </c>
      <c r="J1763" s="39" t="s">
        <v>4817</v>
      </c>
      <c r="K1763" s="1">
        <v>1</v>
      </c>
      <c r="L1763" s="1">
        <v>4</v>
      </c>
      <c r="S1763" s="1" t="s">
        <v>4935</v>
      </c>
      <c r="T1763" s="1">
        <v>1</v>
      </c>
      <c r="U1763" s="19"/>
      <c r="V1763" s="19"/>
    </row>
    <row r="1764" spans="1:22" x14ac:dyDescent="0.3">
      <c r="A1764" s="1" t="s">
        <v>4936</v>
      </c>
      <c r="B1764" s="5">
        <v>46151</v>
      </c>
      <c r="C1764" s="6">
        <v>0.41666666666666663</v>
      </c>
      <c r="D1764" s="1" t="s">
        <v>30</v>
      </c>
      <c r="E1764" s="1" t="s">
        <v>31</v>
      </c>
      <c r="F1764" s="1" t="s">
        <v>4937</v>
      </c>
      <c r="G1764" s="39" t="s">
        <v>4800</v>
      </c>
      <c r="H1764" s="1">
        <v>0</v>
      </c>
      <c r="I1764" s="1">
        <v>1</v>
      </c>
      <c r="J1764" s="39" t="s">
        <v>4805</v>
      </c>
      <c r="K1764" s="1">
        <v>1</v>
      </c>
      <c r="L1764" s="1">
        <v>0</v>
      </c>
      <c r="S1764" s="1" t="s">
        <v>4938</v>
      </c>
      <c r="T1764" s="1">
        <v>1</v>
      </c>
      <c r="U1764" s="19"/>
      <c r="V1764" s="19"/>
    </row>
    <row r="1765" spans="1:22" x14ac:dyDescent="0.3">
      <c r="A1765" s="1" t="s">
        <v>4939</v>
      </c>
      <c r="B1765" s="5">
        <v>46145</v>
      </c>
      <c r="C1765" s="6">
        <v>0.37499999999999967</v>
      </c>
      <c r="D1765" s="1" t="s">
        <v>30</v>
      </c>
      <c r="E1765" s="1" t="s">
        <v>31</v>
      </c>
      <c r="F1765" s="1" t="s">
        <v>4940</v>
      </c>
      <c r="G1765" s="39" t="s">
        <v>4805</v>
      </c>
      <c r="H1765" s="1">
        <v>3</v>
      </c>
      <c r="I1765" s="1">
        <v>0</v>
      </c>
      <c r="J1765" s="39" t="s">
        <v>4808</v>
      </c>
      <c r="K1765" s="1">
        <v>0</v>
      </c>
      <c r="L1765" s="1">
        <v>3</v>
      </c>
      <c r="S1765" s="1" t="s">
        <v>4941</v>
      </c>
      <c r="T1765" s="1">
        <v>1</v>
      </c>
      <c r="U1765" s="19"/>
      <c r="V1765" s="19"/>
    </row>
    <row r="1766" spans="1:22" x14ac:dyDescent="0.3">
      <c r="A1766" s="1" t="s">
        <v>4942</v>
      </c>
      <c r="B1766" s="5">
        <v>46244</v>
      </c>
      <c r="C1766" s="6">
        <v>0.58333333333333359</v>
      </c>
      <c r="D1766" s="1" t="s">
        <v>30</v>
      </c>
      <c r="E1766" s="1" t="s">
        <v>31</v>
      </c>
      <c r="F1766" s="1" t="s">
        <v>4943</v>
      </c>
      <c r="G1766" s="39" t="s">
        <v>999</v>
      </c>
      <c r="H1766" s="1">
        <v>2</v>
      </c>
      <c r="I1766" s="1">
        <v>2</v>
      </c>
      <c r="J1766" s="39" t="s">
        <v>4856</v>
      </c>
      <c r="K1766" s="1">
        <v>2</v>
      </c>
      <c r="L1766" s="1">
        <v>2</v>
      </c>
      <c r="S1766" s="1" t="s">
        <v>4944</v>
      </c>
      <c r="T1766" s="1">
        <v>1</v>
      </c>
      <c r="U1766" s="19"/>
      <c r="V1766" s="19"/>
    </row>
    <row r="1767" spans="1:22" x14ac:dyDescent="0.3">
      <c r="A1767" s="1" t="s">
        <v>4945</v>
      </c>
      <c r="B1767" s="5">
        <v>46236</v>
      </c>
      <c r="C1767" s="6">
        <v>0.37499999999999967</v>
      </c>
      <c r="D1767" s="1" t="s">
        <v>30</v>
      </c>
      <c r="E1767" s="1" t="s">
        <v>31</v>
      </c>
      <c r="F1767" s="1" t="s">
        <v>4946</v>
      </c>
      <c r="G1767" s="39" t="s">
        <v>4856</v>
      </c>
      <c r="H1767" s="1">
        <v>1</v>
      </c>
      <c r="I1767" s="1">
        <v>2</v>
      </c>
      <c r="J1767" s="39" t="s">
        <v>4817</v>
      </c>
      <c r="K1767" s="1">
        <v>2</v>
      </c>
      <c r="L1767" s="1">
        <v>1</v>
      </c>
      <c r="S1767" s="1" t="s">
        <v>4947</v>
      </c>
      <c r="T1767" s="1">
        <v>1</v>
      </c>
      <c r="U1767" s="19"/>
      <c r="V1767" s="19"/>
    </row>
    <row r="1768" spans="1:22" x14ac:dyDescent="0.3">
      <c r="A1768" s="1" t="s">
        <v>4948</v>
      </c>
      <c r="B1768" s="5">
        <v>46220</v>
      </c>
      <c r="C1768" s="6">
        <v>0.58333333333333359</v>
      </c>
      <c r="D1768" s="1" t="s">
        <v>30</v>
      </c>
      <c r="E1768" s="1" t="s">
        <v>31</v>
      </c>
      <c r="F1768" s="1" t="s">
        <v>4949</v>
      </c>
      <c r="G1768" s="39" t="s">
        <v>4800</v>
      </c>
      <c r="H1768" s="1">
        <v>2</v>
      </c>
      <c r="I1768" s="1">
        <v>1</v>
      </c>
      <c r="J1768" s="39" t="s">
        <v>4856</v>
      </c>
      <c r="K1768" s="1">
        <v>1</v>
      </c>
      <c r="L1768" s="1">
        <v>2</v>
      </c>
      <c r="S1768" s="1" t="s">
        <v>4950</v>
      </c>
      <c r="T1768" s="1">
        <v>1</v>
      </c>
      <c r="U1768" s="19"/>
      <c r="V1768" s="19"/>
    </row>
    <row r="1769" spans="1:22" x14ac:dyDescent="0.3">
      <c r="A1769" s="1" t="s">
        <v>4951</v>
      </c>
      <c r="B1769" s="5">
        <v>46215</v>
      </c>
      <c r="C1769" s="6">
        <v>0.47916666666666663</v>
      </c>
      <c r="D1769" s="1" t="s">
        <v>30</v>
      </c>
      <c r="E1769" s="1" t="s">
        <v>31</v>
      </c>
      <c r="F1769" s="1" t="s">
        <v>4952</v>
      </c>
      <c r="G1769" s="39" t="s">
        <v>4856</v>
      </c>
      <c r="H1769" s="1">
        <v>1</v>
      </c>
      <c r="I1769" s="1">
        <v>2</v>
      </c>
      <c r="J1769" s="39" t="s">
        <v>999</v>
      </c>
      <c r="K1769" s="1">
        <v>2</v>
      </c>
      <c r="L1769" s="1">
        <v>1</v>
      </c>
      <c r="S1769" s="1" t="s">
        <v>4953</v>
      </c>
      <c r="T1769" s="1">
        <v>1</v>
      </c>
      <c r="U1769" s="19"/>
      <c r="V1769" s="19"/>
    </row>
    <row r="1770" spans="1:22" x14ac:dyDescent="0.3">
      <c r="A1770" s="1" t="s">
        <v>4954</v>
      </c>
      <c r="B1770" s="5">
        <v>46159</v>
      </c>
      <c r="C1770" s="6">
        <v>0.37499999999999967</v>
      </c>
      <c r="D1770" s="1" t="s">
        <v>30</v>
      </c>
      <c r="E1770" s="1" t="s">
        <v>31</v>
      </c>
      <c r="F1770" s="1" t="s">
        <v>4955</v>
      </c>
      <c r="G1770" s="39" t="s">
        <v>4856</v>
      </c>
      <c r="H1770" s="1">
        <v>1</v>
      </c>
      <c r="I1770" s="1">
        <v>0</v>
      </c>
      <c r="J1770" s="39" t="s">
        <v>4822</v>
      </c>
      <c r="K1770" s="1">
        <v>0</v>
      </c>
      <c r="L1770" s="1">
        <v>1</v>
      </c>
      <c r="S1770" s="1" t="s">
        <v>4956</v>
      </c>
      <c r="T1770" s="1">
        <v>1</v>
      </c>
      <c r="U1770" s="19"/>
      <c r="V1770" s="19"/>
    </row>
    <row r="1771" spans="1:22" x14ac:dyDescent="0.3">
      <c r="A1771" s="1" t="s">
        <v>4957</v>
      </c>
      <c r="B1771" s="5">
        <v>46150</v>
      </c>
      <c r="C1771" s="6">
        <v>0.58333333333333359</v>
      </c>
      <c r="D1771" s="1" t="s">
        <v>30</v>
      </c>
      <c r="E1771" s="1" t="s">
        <v>31</v>
      </c>
      <c r="F1771" s="1" t="s">
        <v>4958</v>
      </c>
      <c r="G1771" s="39" t="s">
        <v>4814</v>
      </c>
      <c r="H1771" s="1">
        <v>2</v>
      </c>
      <c r="I1771" s="1">
        <v>0</v>
      </c>
      <c r="J1771" s="39" t="s">
        <v>4856</v>
      </c>
      <c r="K1771" s="1">
        <v>0</v>
      </c>
      <c r="L1771" s="1">
        <v>2</v>
      </c>
      <c r="S1771" s="1" t="s">
        <v>4959</v>
      </c>
      <c r="T1771" s="1">
        <v>1</v>
      </c>
      <c r="U1771" s="19"/>
      <c r="V1771" s="19"/>
    </row>
    <row r="1772" spans="1:22" x14ac:dyDescent="0.3">
      <c r="A1772" s="1" t="s">
        <v>4960</v>
      </c>
      <c r="B1772" s="5">
        <v>46138</v>
      </c>
      <c r="C1772" s="6">
        <v>0.47916666666666663</v>
      </c>
      <c r="D1772" s="1" t="s">
        <v>30</v>
      </c>
      <c r="E1772" s="1" t="s">
        <v>31</v>
      </c>
      <c r="F1772" s="1" t="s">
        <v>4961</v>
      </c>
      <c r="G1772" s="39" t="s">
        <v>4856</v>
      </c>
      <c r="H1772" s="1">
        <v>1</v>
      </c>
      <c r="I1772" s="1">
        <v>2</v>
      </c>
      <c r="J1772" s="39" t="s">
        <v>4808</v>
      </c>
      <c r="K1772" s="1">
        <v>2</v>
      </c>
      <c r="L1772" s="1">
        <v>1</v>
      </c>
      <c r="S1772" s="1" t="s">
        <v>4962</v>
      </c>
      <c r="T1772" s="1">
        <v>1</v>
      </c>
      <c r="U1772" s="19"/>
      <c r="V1772" s="19"/>
    </row>
    <row r="1773" spans="1:22" x14ac:dyDescent="0.3">
      <c r="A1773" s="1" t="s">
        <v>4963</v>
      </c>
      <c r="B1773" s="5">
        <v>46242</v>
      </c>
      <c r="C1773" s="6">
        <v>0.52083333333333359</v>
      </c>
      <c r="D1773" s="1" t="s">
        <v>30</v>
      </c>
      <c r="E1773" s="1" t="s">
        <v>31</v>
      </c>
      <c r="F1773" s="1" t="s">
        <v>4964</v>
      </c>
      <c r="G1773" s="39" t="s">
        <v>4797</v>
      </c>
      <c r="H1773" s="1">
        <v>0</v>
      </c>
      <c r="I1773" s="1">
        <v>1</v>
      </c>
      <c r="J1773" s="39" t="s">
        <v>4814</v>
      </c>
      <c r="K1773" s="1">
        <v>1</v>
      </c>
      <c r="L1773" s="1">
        <v>0</v>
      </c>
      <c r="S1773" s="1" t="s">
        <v>4965</v>
      </c>
      <c r="T1773" s="1">
        <v>1</v>
      </c>
      <c r="U1773" s="19"/>
      <c r="V1773" s="19"/>
    </row>
    <row r="1774" spans="1:22" x14ac:dyDescent="0.3">
      <c r="A1774" s="1" t="s">
        <v>4966</v>
      </c>
      <c r="B1774" s="5">
        <v>46229</v>
      </c>
      <c r="C1774" s="6">
        <v>0.47916666666666663</v>
      </c>
      <c r="D1774" s="1" t="s">
        <v>30</v>
      </c>
      <c r="E1774" s="1" t="s">
        <v>31</v>
      </c>
      <c r="F1774" s="1" t="s">
        <v>4967</v>
      </c>
      <c r="G1774" s="39" t="s">
        <v>4817</v>
      </c>
      <c r="H1774" s="1">
        <v>1</v>
      </c>
      <c r="I1774" s="1">
        <v>2</v>
      </c>
      <c r="J1774" s="39" t="s">
        <v>4814</v>
      </c>
      <c r="K1774" s="1">
        <v>2</v>
      </c>
      <c r="L1774" s="1">
        <v>1</v>
      </c>
      <c r="S1774" s="1" t="s">
        <v>4968</v>
      </c>
      <c r="T1774" s="1">
        <v>1</v>
      </c>
      <c r="U1774" s="19"/>
      <c r="V1774" s="19"/>
    </row>
    <row r="1775" spans="1:22" x14ac:dyDescent="0.3">
      <c r="A1775" s="1" t="s">
        <v>4969</v>
      </c>
      <c r="B1775" s="5">
        <v>46222</v>
      </c>
      <c r="C1775" s="6">
        <v>0.47916666666666663</v>
      </c>
      <c r="D1775" s="1" t="s">
        <v>30</v>
      </c>
      <c r="E1775" s="1" t="s">
        <v>31</v>
      </c>
      <c r="F1775" s="1" t="s">
        <v>4970</v>
      </c>
      <c r="G1775" s="39" t="s">
        <v>4814</v>
      </c>
      <c r="H1775" s="1">
        <v>1</v>
      </c>
      <c r="I1775" s="1">
        <v>3</v>
      </c>
      <c r="J1775" s="39" t="s">
        <v>999</v>
      </c>
      <c r="K1775" s="1">
        <v>3</v>
      </c>
      <c r="L1775" s="1">
        <v>1</v>
      </c>
      <c r="S1775" s="1" t="s">
        <v>4971</v>
      </c>
      <c r="T1775" s="1">
        <v>1</v>
      </c>
      <c r="U1775" s="19"/>
      <c r="V1775" s="19"/>
    </row>
    <row r="1776" spans="1:22" x14ac:dyDescent="0.3">
      <c r="A1776" s="1" t="s">
        <v>4972</v>
      </c>
      <c r="B1776" s="5">
        <v>46171</v>
      </c>
      <c r="C1776" s="6">
        <v>0.58333333333333359</v>
      </c>
      <c r="D1776" s="1" t="s">
        <v>30</v>
      </c>
      <c r="E1776" s="1" t="s">
        <v>31</v>
      </c>
      <c r="F1776" s="1" t="s">
        <v>4973</v>
      </c>
      <c r="G1776" s="39" t="s">
        <v>4789</v>
      </c>
      <c r="H1776" s="1">
        <v>2</v>
      </c>
      <c r="I1776" s="1">
        <v>2</v>
      </c>
      <c r="J1776" s="39" t="s">
        <v>4814</v>
      </c>
      <c r="K1776" s="1">
        <v>2</v>
      </c>
      <c r="L1776" s="1">
        <v>2</v>
      </c>
      <c r="S1776" s="1" t="s">
        <v>4974</v>
      </c>
      <c r="T1776" s="1">
        <v>1</v>
      </c>
      <c r="U1776" s="19"/>
      <c r="V1776" s="19"/>
    </row>
    <row r="1777" spans="1:22" x14ac:dyDescent="0.3">
      <c r="A1777" s="1" t="s">
        <v>4975</v>
      </c>
      <c r="B1777" s="5">
        <v>46163</v>
      </c>
      <c r="C1777" s="6">
        <v>0.58333333333333359</v>
      </c>
      <c r="D1777" s="1" t="s">
        <v>30</v>
      </c>
      <c r="E1777" s="1" t="s">
        <v>31</v>
      </c>
      <c r="F1777" s="1" t="s">
        <v>4976</v>
      </c>
      <c r="G1777" s="39" t="s">
        <v>4814</v>
      </c>
      <c r="H1777" s="1">
        <v>1</v>
      </c>
      <c r="I1777" s="1">
        <v>1</v>
      </c>
      <c r="J1777" s="39" t="s">
        <v>4797</v>
      </c>
      <c r="K1777" s="1">
        <v>1</v>
      </c>
      <c r="L1777" s="1">
        <v>1</v>
      </c>
      <c r="S1777" s="1" t="s">
        <v>4977</v>
      </c>
      <c r="T1777" s="1">
        <v>1</v>
      </c>
      <c r="U1777" s="19"/>
      <c r="V1777" s="19"/>
    </row>
    <row r="1778" spans="1:22" x14ac:dyDescent="0.3">
      <c r="A1778" s="1" t="s">
        <v>4978</v>
      </c>
      <c r="B1778" s="5">
        <v>46243</v>
      </c>
      <c r="C1778" s="6">
        <v>0.47916666666666663</v>
      </c>
      <c r="D1778" s="1" t="s">
        <v>30</v>
      </c>
      <c r="E1778" s="1" t="s">
        <v>31</v>
      </c>
      <c r="F1778" s="1" t="s">
        <v>4979</v>
      </c>
      <c r="G1778" s="39" t="s">
        <v>4800</v>
      </c>
      <c r="H1778" s="1">
        <v>3</v>
      </c>
      <c r="I1778" s="1">
        <v>2</v>
      </c>
      <c r="J1778" s="39" t="s">
        <v>4822</v>
      </c>
      <c r="K1778" s="1">
        <v>2</v>
      </c>
      <c r="L1778" s="1">
        <v>3</v>
      </c>
      <c r="S1778" s="1" t="s">
        <v>4980</v>
      </c>
      <c r="T1778" s="1">
        <v>1</v>
      </c>
      <c r="U1778" s="19"/>
      <c r="V1778" s="19"/>
    </row>
    <row r="1779" spans="1:22" x14ac:dyDescent="0.3">
      <c r="A1779" s="1" t="s">
        <v>4981</v>
      </c>
      <c r="B1779" s="5">
        <v>46229</v>
      </c>
      <c r="C1779" s="6">
        <v>0.37499999999999967</v>
      </c>
      <c r="D1779" s="1" t="s">
        <v>30</v>
      </c>
      <c r="E1779" s="1" t="s">
        <v>31</v>
      </c>
      <c r="F1779" s="1" t="s">
        <v>4982</v>
      </c>
      <c r="G1779" s="39" t="s">
        <v>999</v>
      </c>
      <c r="H1779" s="1">
        <v>4</v>
      </c>
      <c r="I1779" s="1">
        <v>1</v>
      </c>
      <c r="J1779" s="39" t="s">
        <v>4800</v>
      </c>
      <c r="K1779" s="1">
        <v>1</v>
      </c>
      <c r="L1779" s="1">
        <v>4</v>
      </c>
      <c r="S1779" s="1" t="s">
        <v>4983</v>
      </c>
      <c r="T1779" s="1">
        <v>1</v>
      </c>
      <c r="U1779" s="19"/>
      <c r="V1779" s="19"/>
    </row>
    <row r="1780" spans="1:22" x14ac:dyDescent="0.3">
      <c r="A1780" s="1" t="s">
        <v>4984</v>
      </c>
      <c r="B1780" s="5">
        <v>46215</v>
      </c>
      <c r="C1780" s="6">
        <v>0.37499999999999967</v>
      </c>
      <c r="D1780" s="1" t="s">
        <v>30</v>
      </c>
      <c r="E1780" s="1" t="s">
        <v>31</v>
      </c>
      <c r="F1780" s="1" t="s">
        <v>4985</v>
      </c>
      <c r="G1780" s="39" t="s">
        <v>4817</v>
      </c>
      <c r="H1780" s="1">
        <v>4</v>
      </c>
      <c r="I1780" s="1">
        <v>0</v>
      </c>
      <c r="J1780" s="39" t="s">
        <v>4800</v>
      </c>
      <c r="K1780" s="1">
        <v>0</v>
      </c>
      <c r="L1780" s="1">
        <v>4</v>
      </c>
      <c r="S1780" s="1" t="s">
        <v>4986</v>
      </c>
      <c r="T1780" s="1">
        <v>1</v>
      </c>
      <c r="U1780" s="19"/>
      <c r="V1780" s="19"/>
    </row>
    <row r="1781" spans="1:22" x14ac:dyDescent="0.3">
      <c r="A1781" s="1" t="s">
        <v>4987</v>
      </c>
      <c r="B1781" s="5">
        <v>46173</v>
      </c>
      <c r="C1781" s="6">
        <v>0.37499999999999967</v>
      </c>
      <c r="D1781" s="1" t="s">
        <v>30</v>
      </c>
      <c r="E1781" s="1" t="s">
        <v>31</v>
      </c>
      <c r="F1781" s="1" t="s">
        <v>4988</v>
      </c>
      <c r="G1781" s="39" t="s">
        <v>4808</v>
      </c>
      <c r="H1781" s="1">
        <v>4</v>
      </c>
      <c r="I1781" s="1">
        <v>5</v>
      </c>
      <c r="J1781" s="39" t="s">
        <v>4800</v>
      </c>
      <c r="K1781" s="1">
        <v>5</v>
      </c>
      <c r="L1781" s="1">
        <v>4</v>
      </c>
      <c r="S1781" s="1" t="s">
        <v>4989</v>
      </c>
      <c r="T1781" s="1">
        <v>1</v>
      </c>
      <c r="U1781" s="19"/>
      <c r="V1781" s="19"/>
    </row>
    <row r="1782" spans="1:22" x14ac:dyDescent="0.3">
      <c r="A1782" s="1" t="s">
        <v>4990</v>
      </c>
      <c r="B1782" s="5">
        <v>46167</v>
      </c>
      <c r="C1782" s="6">
        <v>0.58333333333333359</v>
      </c>
      <c r="D1782" s="1" t="s">
        <v>30</v>
      </c>
      <c r="E1782" s="1" t="s">
        <v>31</v>
      </c>
      <c r="F1782" s="1" t="s">
        <v>4991</v>
      </c>
      <c r="G1782" s="39" t="s">
        <v>4800</v>
      </c>
      <c r="H1782" s="1">
        <v>1</v>
      </c>
      <c r="I1782" s="1">
        <v>1</v>
      </c>
      <c r="J1782" s="39" t="s">
        <v>4797</v>
      </c>
      <c r="K1782" s="1">
        <v>1</v>
      </c>
      <c r="L1782" s="1">
        <v>1</v>
      </c>
      <c r="S1782" s="1" t="s">
        <v>4992</v>
      </c>
      <c r="T1782" s="1">
        <v>1</v>
      </c>
      <c r="U1782" s="19"/>
      <c r="V1782" s="19"/>
    </row>
    <row r="1783" spans="1:22" x14ac:dyDescent="0.3">
      <c r="A1783" s="1" t="s">
        <v>4993</v>
      </c>
      <c r="B1783" s="5">
        <v>46161</v>
      </c>
      <c r="C1783" s="6">
        <v>0.41666666666666663</v>
      </c>
      <c r="D1783" s="1" t="s">
        <v>30</v>
      </c>
      <c r="E1783" s="1" t="s">
        <v>31</v>
      </c>
      <c r="F1783" s="1" t="s">
        <v>4994</v>
      </c>
      <c r="G1783" s="39" t="s">
        <v>4789</v>
      </c>
      <c r="H1783" s="1">
        <v>2</v>
      </c>
      <c r="I1783" s="1">
        <v>3</v>
      </c>
      <c r="J1783" s="39" t="s">
        <v>4800</v>
      </c>
      <c r="K1783" s="1">
        <v>3</v>
      </c>
      <c r="L1783" s="1">
        <v>2</v>
      </c>
      <c r="S1783" s="1" t="s">
        <v>4995</v>
      </c>
      <c r="T1783" s="1">
        <v>1</v>
      </c>
      <c r="U1783" s="19"/>
      <c r="V1783" s="19"/>
    </row>
    <row r="1784" spans="1:22" x14ac:dyDescent="0.3">
      <c r="A1784" s="1" t="s">
        <v>4996</v>
      </c>
      <c r="B1784" s="5">
        <v>46206</v>
      </c>
      <c r="C1784" s="6">
        <v>0.58333333333333359</v>
      </c>
      <c r="D1784" s="1" t="s">
        <v>30</v>
      </c>
      <c r="E1784" s="1" t="s">
        <v>31</v>
      </c>
      <c r="F1784" s="1" t="s">
        <v>4997</v>
      </c>
      <c r="G1784" s="39" t="s">
        <v>999</v>
      </c>
      <c r="H1784" s="1">
        <v>4</v>
      </c>
      <c r="I1784" s="1">
        <v>4</v>
      </c>
      <c r="J1784" s="39" t="s">
        <v>4797</v>
      </c>
      <c r="K1784" s="1">
        <v>4</v>
      </c>
      <c r="L1784" s="1">
        <v>4</v>
      </c>
      <c r="S1784" s="1" t="s">
        <v>4998</v>
      </c>
      <c r="T1784" s="1">
        <v>1</v>
      </c>
      <c r="U1784" s="19"/>
      <c r="V1784" s="19"/>
    </row>
    <row r="1785" spans="1:22" x14ac:dyDescent="0.3">
      <c r="A1785" s="1" t="s">
        <v>4999</v>
      </c>
      <c r="B1785" s="5">
        <v>46153</v>
      </c>
      <c r="C1785" s="6">
        <v>0.58333333333333359</v>
      </c>
      <c r="D1785" s="1" t="s">
        <v>30</v>
      </c>
      <c r="E1785" s="1" t="s">
        <v>31</v>
      </c>
      <c r="F1785" s="1" t="s">
        <v>5000</v>
      </c>
      <c r="G1785" s="39" t="s">
        <v>999</v>
      </c>
      <c r="H1785" s="1">
        <v>2</v>
      </c>
      <c r="I1785" s="1">
        <v>0</v>
      </c>
      <c r="J1785" s="39" t="s">
        <v>4789</v>
      </c>
      <c r="K1785" s="1">
        <v>0</v>
      </c>
      <c r="L1785" s="1">
        <v>2</v>
      </c>
      <c r="S1785" s="1" t="s">
        <v>5001</v>
      </c>
      <c r="T1785" s="1">
        <v>1</v>
      </c>
      <c r="U1785" s="19"/>
      <c r="V1785" s="19"/>
    </row>
    <row r="1786" spans="1:22" x14ac:dyDescent="0.3">
      <c r="A1786" s="1" t="s">
        <v>5002</v>
      </c>
      <c r="B1786" s="5">
        <v>46144</v>
      </c>
      <c r="C1786" s="6">
        <v>0.41666666666666663</v>
      </c>
      <c r="D1786" s="1" t="s">
        <v>30</v>
      </c>
      <c r="E1786" s="1" t="s">
        <v>31</v>
      </c>
      <c r="F1786" s="1" t="s">
        <v>5003</v>
      </c>
      <c r="G1786" s="39" t="s">
        <v>999</v>
      </c>
      <c r="H1786" s="1">
        <v>3</v>
      </c>
      <c r="I1786" s="1">
        <v>2</v>
      </c>
      <c r="J1786" s="39" t="s">
        <v>4822</v>
      </c>
      <c r="K1786" s="1">
        <v>2</v>
      </c>
      <c r="L1786" s="1">
        <v>3</v>
      </c>
      <c r="S1786" s="1" t="s">
        <v>5004</v>
      </c>
      <c r="T1786" s="1">
        <v>1</v>
      </c>
      <c r="U1786" s="19"/>
      <c r="V1786" s="19"/>
    </row>
    <row r="1787" spans="1:22" x14ac:dyDescent="0.3">
      <c r="A1787" s="1" t="s">
        <v>5005</v>
      </c>
      <c r="B1787" s="5">
        <v>46228</v>
      </c>
      <c r="C1787" s="6">
        <v>0.52083333333333359</v>
      </c>
      <c r="D1787" s="1" t="s">
        <v>30</v>
      </c>
      <c r="E1787" s="1" t="s">
        <v>31</v>
      </c>
      <c r="F1787" s="1" t="s">
        <v>5006</v>
      </c>
      <c r="G1787" s="39" t="s">
        <v>4822</v>
      </c>
      <c r="H1787" s="1">
        <v>2</v>
      </c>
      <c r="I1787" s="1">
        <v>1</v>
      </c>
      <c r="J1787" s="39" t="s">
        <v>4797</v>
      </c>
      <c r="K1787" s="1">
        <v>1</v>
      </c>
      <c r="L1787" s="1">
        <v>2</v>
      </c>
      <c r="S1787" s="1" t="s">
        <v>5007</v>
      </c>
      <c r="T1787" s="1">
        <v>1</v>
      </c>
      <c r="U1787" s="19"/>
      <c r="V1787" s="19"/>
    </row>
    <row r="1788" spans="1:22" x14ac:dyDescent="0.3">
      <c r="A1788" s="1" t="s">
        <v>5008</v>
      </c>
      <c r="B1788" s="5">
        <v>46223</v>
      </c>
      <c r="C1788" s="6">
        <v>0.58333333333333359</v>
      </c>
      <c r="D1788" s="1" t="s">
        <v>30</v>
      </c>
      <c r="E1788" s="1" t="s">
        <v>31</v>
      </c>
      <c r="F1788" s="1" t="s">
        <v>5009</v>
      </c>
      <c r="G1788" s="39" t="s">
        <v>4822</v>
      </c>
      <c r="H1788" s="1">
        <v>2</v>
      </c>
      <c r="I1788" s="1">
        <v>2</v>
      </c>
      <c r="J1788" s="39" t="s">
        <v>4817</v>
      </c>
      <c r="K1788" s="1">
        <v>2</v>
      </c>
      <c r="L1788" s="1">
        <v>2</v>
      </c>
      <c r="S1788" s="1" t="s">
        <v>5010</v>
      </c>
      <c r="T1788" s="1">
        <v>1</v>
      </c>
      <c r="U1788" s="19"/>
      <c r="V1788" s="19"/>
    </row>
    <row r="1789" spans="1:22" x14ac:dyDescent="0.3">
      <c r="A1789" s="1" t="s">
        <v>5011</v>
      </c>
      <c r="B1789" s="5">
        <v>46208</v>
      </c>
      <c r="C1789" s="6">
        <v>0.37499999999999967</v>
      </c>
      <c r="D1789" s="1" t="s">
        <v>30</v>
      </c>
      <c r="E1789" s="1" t="s">
        <v>31</v>
      </c>
      <c r="F1789" s="1" t="s">
        <v>5012</v>
      </c>
      <c r="G1789" s="39" t="s">
        <v>4822</v>
      </c>
      <c r="H1789" s="1">
        <v>3</v>
      </c>
      <c r="I1789" s="1">
        <v>0</v>
      </c>
      <c r="J1789" s="39" t="s">
        <v>4789</v>
      </c>
      <c r="K1789" s="1">
        <v>0</v>
      </c>
      <c r="L1789" s="1">
        <v>3</v>
      </c>
      <c r="S1789" s="1" t="s">
        <v>5013</v>
      </c>
      <c r="T1789" s="1">
        <v>1</v>
      </c>
      <c r="U1789" s="19"/>
      <c r="V1789" s="19"/>
    </row>
    <row r="1790" spans="1:22" x14ac:dyDescent="0.3">
      <c r="A1790" s="1" t="s">
        <v>5014</v>
      </c>
      <c r="B1790" s="5">
        <v>46139</v>
      </c>
      <c r="C1790" s="6">
        <v>0.58333333333333359</v>
      </c>
      <c r="D1790" s="1" t="s">
        <v>30</v>
      </c>
      <c r="E1790" s="1" t="s">
        <v>31</v>
      </c>
      <c r="F1790" s="1" t="s">
        <v>5015</v>
      </c>
      <c r="G1790" s="39" t="s">
        <v>4822</v>
      </c>
      <c r="H1790" s="1">
        <v>2</v>
      </c>
      <c r="I1790" s="1">
        <v>1</v>
      </c>
      <c r="J1790" s="39" t="s">
        <v>4814</v>
      </c>
      <c r="K1790" s="1">
        <v>1</v>
      </c>
      <c r="L1790" s="1">
        <v>2</v>
      </c>
      <c r="S1790" s="1" t="s">
        <v>5016</v>
      </c>
      <c r="T1790" s="1">
        <v>1</v>
      </c>
      <c r="U1790" s="19"/>
      <c r="V1790" s="19"/>
    </row>
    <row r="1791" spans="1:22" x14ac:dyDescent="0.3">
      <c r="A1791" s="1" t="s">
        <v>5017</v>
      </c>
      <c r="B1791" s="5">
        <v>46166</v>
      </c>
      <c r="C1791" s="6">
        <v>0.47916666666666663</v>
      </c>
      <c r="D1791" s="1" t="s">
        <v>30</v>
      </c>
      <c r="E1791" s="1" t="s">
        <v>31</v>
      </c>
      <c r="F1791" s="1" t="s">
        <v>5018</v>
      </c>
      <c r="G1791" s="39" t="s">
        <v>4817</v>
      </c>
      <c r="H1791" s="1">
        <v>2</v>
      </c>
      <c r="I1791" s="1">
        <v>3</v>
      </c>
      <c r="J1791" s="39" t="s">
        <v>4808</v>
      </c>
      <c r="K1791" s="1">
        <v>3</v>
      </c>
      <c r="L1791" s="1">
        <v>2</v>
      </c>
      <c r="S1791" s="1" t="s">
        <v>5019</v>
      </c>
      <c r="T1791" s="1">
        <v>1</v>
      </c>
      <c r="U1791" s="19"/>
      <c r="V1791" s="19"/>
    </row>
    <row r="1792" spans="1:22" x14ac:dyDescent="0.3">
      <c r="A1792" s="1" t="s">
        <v>5020</v>
      </c>
      <c r="B1792" s="5">
        <v>46220</v>
      </c>
      <c r="C1792" s="6">
        <v>0.58333333333333359</v>
      </c>
      <c r="D1792" s="1" t="s">
        <v>30</v>
      </c>
      <c r="E1792" s="1" t="s">
        <v>31</v>
      </c>
      <c r="F1792" s="1" t="s">
        <v>5021</v>
      </c>
      <c r="G1792" s="39" t="s">
        <v>4797</v>
      </c>
      <c r="H1792" s="1">
        <v>0</v>
      </c>
      <c r="I1792" s="1">
        <v>0</v>
      </c>
      <c r="J1792" s="39" t="s">
        <v>4808</v>
      </c>
      <c r="K1792" s="1">
        <v>0</v>
      </c>
      <c r="L1792" s="1">
        <v>0</v>
      </c>
      <c r="S1792" s="1" t="s">
        <v>5022</v>
      </c>
      <c r="T1792" s="1">
        <v>1</v>
      </c>
      <c r="U1792" s="19"/>
      <c r="V1792" s="19"/>
    </row>
    <row r="1793" spans="1:22" x14ac:dyDescent="0.3">
      <c r="A1793" s="1" t="s">
        <v>5023</v>
      </c>
      <c r="B1793" s="5">
        <v>46145</v>
      </c>
      <c r="C1793" s="6">
        <v>0.37499999999999967</v>
      </c>
      <c r="D1793" s="1" t="s">
        <v>30</v>
      </c>
      <c r="E1793" s="1" t="s">
        <v>31</v>
      </c>
      <c r="F1793" s="1" t="s">
        <v>5024</v>
      </c>
      <c r="G1793" s="39" t="s">
        <v>4817</v>
      </c>
      <c r="H1793" s="1">
        <v>2</v>
      </c>
      <c r="I1793" s="1">
        <v>3</v>
      </c>
      <c r="J1793" s="39" t="s">
        <v>4797</v>
      </c>
      <c r="K1793" s="1">
        <v>3</v>
      </c>
      <c r="L1793" s="1">
        <v>2</v>
      </c>
      <c r="S1793" s="1" t="s">
        <v>5025</v>
      </c>
      <c r="T1793" s="1">
        <v>1</v>
      </c>
      <c r="U1793" s="19"/>
      <c r="V1793" s="19"/>
    </row>
    <row r="1794" spans="1:22" x14ac:dyDescent="0.3">
      <c r="A1794" s="1" t="s">
        <v>5026</v>
      </c>
      <c r="B1794" s="5">
        <v>46135</v>
      </c>
      <c r="C1794" s="6">
        <v>0.58333333333333359</v>
      </c>
      <c r="D1794" s="1" t="s">
        <v>30</v>
      </c>
      <c r="E1794" s="1" t="s">
        <v>31</v>
      </c>
      <c r="F1794" s="1" t="s">
        <v>5027</v>
      </c>
      <c r="G1794" s="39" t="s">
        <v>4794</v>
      </c>
      <c r="H1794" s="1">
        <v>0</v>
      </c>
      <c r="I1794" s="1">
        <v>0</v>
      </c>
      <c r="J1794" s="39" t="s">
        <v>4797</v>
      </c>
      <c r="K1794" s="1">
        <v>0</v>
      </c>
      <c r="L1794" s="1">
        <v>0</v>
      </c>
      <c r="S1794" s="1" t="s">
        <v>5028</v>
      </c>
      <c r="T1794" s="1">
        <v>1</v>
      </c>
      <c r="U1794" s="19"/>
      <c r="V1794" s="19"/>
    </row>
    <row r="1795" spans="1:22" x14ac:dyDescent="0.3">
      <c r="A1795" s="1" t="s">
        <v>5029</v>
      </c>
      <c r="B1795" s="5">
        <v>46227</v>
      </c>
      <c r="C1795" s="6">
        <v>0.58333333333333359</v>
      </c>
      <c r="D1795" s="1" t="s">
        <v>30</v>
      </c>
      <c r="E1795" s="1" t="s">
        <v>31</v>
      </c>
      <c r="F1795" s="1" t="s">
        <v>5030</v>
      </c>
      <c r="G1795" s="39" t="s">
        <v>4808</v>
      </c>
      <c r="H1795" s="1">
        <v>2</v>
      </c>
      <c r="I1795" s="1">
        <v>0</v>
      </c>
      <c r="J1795" s="39" t="s">
        <v>4789</v>
      </c>
      <c r="K1795" s="1">
        <v>0</v>
      </c>
      <c r="L1795" s="1">
        <v>2</v>
      </c>
      <c r="S1795" s="1" t="s">
        <v>5031</v>
      </c>
      <c r="T1795" s="1">
        <v>1</v>
      </c>
      <c r="U1795" s="19"/>
      <c r="V1795" s="19"/>
    </row>
    <row r="1796" spans="1:22" x14ac:dyDescent="0.3">
      <c r="A1796" s="1" t="s">
        <v>5032</v>
      </c>
      <c r="B1796" s="5">
        <v>46244</v>
      </c>
      <c r="C1796" s="6">
        <v>0.58333333333333359</v>
      </c>
      <c r="D1796" s="1" t="s">
        <v>30</v>
      </c>
      <c r="E1796" s="1" t="s">
        <v>31</v>
      </c>
      <c r="F1796" s="1" t="s">
        <v>5033</v>
      </c>
      <c r="G1796" s="39" t="s">
        <v>4808</v>
      </c>
      <c r="H1796" s="1">
        <v>1</v>
      </c>
      <c r="I1796" s="1">
        <v>0</v>
      </c>
      <c r="J1796" s="39" t="s">
        <v>4811</v>
      </c>
      <c r="K1796" s="1">
        <v>0</v>
      </c>
      <c r="L1796" s="1">
        <v>1</v>
      </c>
      <c r="S1796" s="1" t="s">
        <v>5034</v>
      </c>
      <c r="T1796" s="1">
        <v>1</v>
      </c>
      <c r="U1796" s="19"/>
      <c r="V1796" s="19"/>
    </row>
    <row r="1797" spans="1:22" x14ac:dyDescent="0.3">
      <c r="A1797" s="1" t="s">
        <v>5035</v>
      </c>
      <c r="B1797" s="5">
        <v>46242</v>
      </c>
      <c r="C1797" s="6">
        <v>0.33333333333333359</v>
      </c>
      <c r="D1797" s="1" t="s">
        <v>30</v>
      </c>
      <c r="E1797" s="1" t="s">
        <v>32</v>
      </c>
      <c r="F1797" s="1" t="s">
        <v>5036</v>
      </c>
      <c r="G1797" s="39" t="s">
        <v>5037</v>
      </c>
      <c r="H1797" s="1">
        <v>1</v>
      </c>
      <c r="I1797" s="1">
        <v>1</v>
      </c>
      <c r="J1797" s="39" t="s">
        <v>5038</v>
      </c>
      <c r="K1797" s="1">
        <v>1</v>
      </c>
      <c r="L1797" s="1">
        <v>1</v>
      </c>
      <c r="S1797" s="1" t="s">
        <v>5039</v>
      </c>
      <c r="T1797" s="1">
        <v>1</v>
      </c>
      <c r="U1797" s="19"/>
      <c r="V1797" s="19"/>
    </row>
    <row r="1798" spans="1:22" x14ac:dyDescent="0.3">
      <c r="A1798" s="1" t="s">
        <v>5040</v>
      </c>
      <c r="B1798" s="5">
        <v>46235</v>
      </c>
      <c r="C1798" s="6">
        <v>0.33333333333333359</v>
      </c>
      <c r="D1798" s="1" t="s">
        <v>30</v>
      </c>
      <c r="E1798" s="1" t="s">
        <v>32</v>
      </c>
      <c r="F1798" s="1" t="s">
        <v>5041</v>
      </c>
      <c r="G1798" s="39" t="s">
        <v>67</v>
      </c>
      <c r="H1798" s="1">
        <v>2</v>
      </c>
      <c r="I1798" s="1">
        <v>1</v>
      </c>
      <c r="J1798" s="39" t="s">
        <v>5037</v>
      </c>
      <c r="K1798" s="1">
        <v>1</v>
      </c>
      <c r="L1798" s="1">
        <v>2</v>
      </c>
      <c r="S1798" s="1" t="s">
        <v>5042</v>
      </c>
      <c r="T1798" s="1">
        <v>1</v>
      </c>
      <c r="U1798" s="19"/>
      <c r="V1798" s="19"/>
    </row>
    <row r="1799" spans="1:22" x14ac:dyDescent="0.3">
      <c r="A1799" s="1" t="s">
        <v>5043</v>
      </c>
      <c r="B1799" s="5">
        <v>46229</v>
      </c>
      <c r="C1799" s="6">
        <v>0.33333333333333359</v>
      </c>
      <c r="D1799" s="1" t="s">
        <v>30</v>
      </c>
      <c r="E1799" s="1" t="s">
        <v>32</v>
      </c>
      <c r="F1799" s="1" t="s">
        <v>5044</v>
      </c>
      <c r="G1799" s="39" t="s">
        <v>952</v>
      </c>
      <c r="H1799" s="1">
        <v>1</v>
      </c>
      <c r="I1799" s="1">
        <v>2</v>
      </c>
      <c r="J1799" s="39" t="s">
        <v>5037</v>
      </c>
      <c r="K1799" s="1">
        <v>2</v>
      </c>
      <c r="L1799" s="1">
        <v>1</v>
      </c>
      <c r="S1799" s="1" t="s">
        <v>5045</v>
      </c>
      <c r="T1799" s="1">
        <v>1</v>
      </c>
      <c r="U1799" s="19"/>
      <c r="V1799" s="19"/>
    </row>
    <row r="1800" spans="1:22" x14ac:dyDescent="0.3">
      <c r="A1800" s="1" t="s">
        <v>5046</v>
      </c>
      <c r="B1800" s="5">
        <v>46224</v>
      </c>
      <c r="C1800" s="6">
        <v>0.58333333333333359</v>
      </c>
      <c r="D1800" s="1" t="s">
        <v>30</v>
      </c>
      <c r="E1800" s="1" t="s">
        <v>32</v>
      </c>
      <c r="F1800" s="1" t="s">
        <v>5047</v>
      </c>
      <c r="G1800" s="39" t="s">
        <v>5037</v>
      </c>
      <c r="H1800" s="1">
        <v>2</v>
      </c>
      <c r="I1800" s="1">
        <v>3</v>
      </c>
      <c r="J1800" s="39" t="s">
        <v>5048</v>
      </c>
      <c r="K1800" s="1">
        <v>3</v>
      </c>
      <c r="L1800" s="1">
        <v>2</v>
      </c>
      <c r="S1800" s="1" t="s">
        <v>5049</v>
      </c>
      <c r="T1800" s="1">
        <v>1</v>
      </c>
      <c r="U1800" s="19"/>
      <c r="V1800" s="19"/>
    </row>
    <row r="1801" spans="1:22" x14ac:dyDescent="0.3">
      <c r="A1801" s="1" t="s">
        <v>5050</v>
      </c>
      <c r="B1801" s="5">
        <v>46199</v>
      </c>
      <c r="C1801" s="6">
        <v>0.58333333333333359</v>
      </c>
      <c r="D1801" s="1" t="s">
        <v>30</v>
      </c>
      <c r="E1801" s="1" t="s">
        <v>32</v>
      </c>
      <c r="F1801" s="1" t="s">
        <v>5051</v>
      </c>
      <c r="G1801" s="39" t="s">
        <v>5052</v>
      </c>
      <c r="H1801" s="1">
        <v>2</v>
      </c>
      <c r="I1801" s="1">
        <v>4</v>
      </c>
      <c r="J1801" s="39" t="s">
        <v>5037</v>
      </c>
      <c r="K1801" s="1">
        <v>4</v>
      </c>
      <c r="L1801" s="1">
        <v>2</v>
      </c>
      <c r="S1801" s="1" t="s">
        <v>5053</v>
      </c>
      <c r="T1801" s="1">
        <v>1</v>
      </c>
      <c r="U1801" s="19"/>
      <c r="V1801" s="19"/>
    </row>
    <row r="1802" spans="1:22" x14ac:dyDescent="0.3">
      <c r="A1802" s="1" t="s">
        <v>5054</v>
      </c>
      <c r="B1802" s="5">
        <v>46194</v>
      </c>
      <c r="C1802" s="6">
        <v>0.41666666666666663</v>
      </c>
      <c r="D1802" s="1" t="s">
        <v>30</v>
      </c>
      <c r="E1802" s="1" t="s">
        <v>32</v>
      </c>
      <c r="F1802" s="1" t="s">
        <v>5055</v>
      </c>
      <c r="G1802" s="39" t="s">
        <v>5056</v>
      </c>
      <c r="H1802" s="1">
        <v>1</v>
      </c>
      <c r="I1802" s="1">
        <v>3</v>
      </c>
      <c r="J1802" s="39" t="s">
        <v>5037</v>
      </c>
      <c r="K1802" s="1">
        <v>3</v>
      </c>
      <c r="L1802" s="1">
        <v>1</v>
      </c>
      <c r="S1802" s="1" t="s">
        <v>5057</v>
      </c>
      <c r="T1802" s="1">
        <v>1</v>
      </c>
      <c r="U1802" s="19"/>
      <c r="V1802" s="19"/>
    </row>
    <row r="1803" spans="1:22" x14ac:dyDescent="0.3">
      <c r="A1803" s="1" t="s">
        <v>5058</v>
      </c>
      <c r="B1803" s="5">
        <v>46187</v>
      </c>
      <c r="C1803" s="6">
        <v>0.41666666666666663</v>
      </c>
      <c r="D1803" s="1" t="s">
        <v>30</v>
      </c>
      <c r="E1803" s="1" t="s">
        <v>32</v>
      </c>
      <c r="F1803" s="1" t="s">
        <v>5059</v>
      </c>
      <c r="G1803" s="39" t="s">
        <v>5037</v>
      </c>
      <c r="H1803" s="1">
        <v>1</v>
      </c>
      <c r="I1803" s="1">
        <v>1</v>
      </c>
      <c r="J1803" s="39" t="s">
        <v>5060</v>
      </c>
      <c r="K1803" s="1">
        <v>1</v>
      </c>
      <c r="L1803" s="1">
        <v>1</v>
      </c>
      <c r="S1803" s="1" t="s">
        <v>5061</v>
      </c>
      <c r="T1803" s="1">
        <v>1</v>
      </c>
      <c r="U1803" s="19"/>
      <c r="V1803" s="19"/>
    </row>
    <row r="1804" spans="1:22" x14ac:dyDescent="0.3">
      <c r="A1804" s="1" t="s">
        <v>5062</v>
      </c>
      <c r="B1804" s="5">
        <v>46182</v>
      </c>
      <c r="C1804" s="6">
        <v>0.58333333333333359</v>
      </c>
      <c r="D1804" s="1" t="s">
        <v>30</v>
      </c>
      <c r="E1804" s="1" t="s">
        <v>32</v>
      </c>
      <c r="F1804" s="1" t="s">
        <v>5063</v>
      </c>
      <c r="G1804" s="39" t="s">
        <v>5064</v>
      </c>
      <c r="H1804" s="1">
        <v>4</v>
      </c>
      <c r="I1804" s="1">
        <v>2</v>
      </c>
      <c r="J1804" s="39" t="s">
        <v>5037</v>
      </c>
      <c r="K1804" s="1">
        <v>2</v>
      </c>
      <c r="L1804" s="1">
        <v>4</v>
      </c>
      <c r="S1804" s="1" t="s">
        <v>5065</v>
      </c>
      <c r="T1804" s="1">
        <v>1</v>
      </c>
      <c r="U1804" s="19"/>
      <c r="V1804" s="19"/>
    </row>
    <row r="1805" spans="1:22" x14ac:dyDescent="0.3">
      <c r="A1805" s="1" t="s">
        <v>5066</v>
      </c>
      <c r="B1805" s="5">
        <v>46172</v>
      </c>
      <c r="C1805" s="6">
        <v>0.41666666666666663</v>
      </c>
      <c r="D1805" s="1" t="s">
        <v>30</v>
      </c>
      <c r="E1805" s="1" t="s">
        <v>32</v>
      </c>
      <c r="F1805" s="1" t="s">
        <v>5067</v>
      </c>
      <c r="G1805" s="39" t="s">
        <v>5037</v>
      </c>
      <c r="H1805" s="1">
        <v>2</v>
      </c>
      <c r="I1805" s="1">
        <v>1</v>
      </c>
      <c r="J1805" s="39" t="s">
        <v>5068</v>
      </c>
      <c r="K1805" s="1">
        <v>1</v>
      </c>
      <c r="L1805" s="1">
        <v>2</v>
      </c>
      <c r="S1805" s="1" t="s">
        <v>5069</v>
      </c>
      <c r="T1805" s="1">
        <v>1</v>
      </c>
      <c r="U1805" s="19"/>
      <c r="V1805" s="19"/>
    </row>
    <row r="1806" spans="1:22" x14ac:dyDescent="0.3">
      <c r="A1806" s="1" t="s">
        <v>5070</v>
      </c>
      <c r="B1806" s="5">
        <v>46165</v>
      </c>
      <c r="C1806" s="6">
        <v>0.41666666666666663</v>
      </c>
      <c r="D1806" s="1" t="s">
        <v>30</v>
      </c>
      <c r="E1806" s="1" t="s">
        <v>32</v>
      </c>
      <c r="F1806" s="1" t="s">
        <v>5071</v>
      </c>
      <c r="G1806" s="39" t="s">
        <v>5037</v>
      </c>
      <c r="H1806" s="1">
        <v>3</v>
      </c>
      <c r="I1806" s="1">
        <v>1</v>
      </c>
      <c r="J1806" s="39" t="s">
        <v>5072</v>
      </c>
      <c r="K1806" s="1">
        <v>1</v>
      </c>
      <c r="L1806" s="1">
        <v>3</v>
      </c>
      <c r="S1806" s="1" t="s">
        <v>5073</v>
      </c>
      <c r="T1806" s="1">
        <v>1</v>
      </c>
      <c r="U1806" s="19"/>
      <c r="V1806" s="19"/>
    </row>
    <row r="1807" spans="1:22" x14ac:dyDescent="0.3">
      <c r="A1807" s="1" t="s">
        <v>5074</v>
      </c>
      <c r="B1807" s="5">
        <v>46159</v>
      </c>
      <c r="C1807" s="6">
        <v>0.41666666666666663</v>
      </c>
      <c r="D1807" s="1" t="s">
        <v>30</v>
      </c>
      <c r="E1807" s="1" t="s">
        <v>32</v>
      </c>
      <c r="F1807" s="1" t="s">
        <v>5075</v>
      </c>
      <c r="G1807" s="39" t="s">
        <v>5038</v>
      </c>
      <c r="H1807" s="1">
        <v>1</v>
      </c>
      <c r="I1807" s="1">
        <v>4</v>
      </c>
      <c r="J1807" s="39" t="s">
        <v>5037</v>
      </c>
      <c r="K1807" s="1">
        <v>4</v>
      </c>
      <c r="L1807" s="1">
        <v>1</v>
      </c>
      <c r="S1807" s="1" t="s">
        <v>5076</v>
      </c>
      <c r="T1807" s="1">
        <v>1</v>
      </c>
      <c r="U1807" s="19"/>
      <c r="V1807" s="19"/>
    </row>
    <row r="1808" spans="1:22" x14ac:dyDescent="0.3">
      <c r="A1808" s="1" t="s">
        <v>5077</v>
      </c>
      <c r="B1808" s="5">
        <v>46155</v>
      </c>
      <c r="C1808" s="6">
        <v>0.58333333333333359</v>
      </c>
      <c r="D1808" s="1" t="s">
        <v>30</v>
      </c>
      <c r="E1808" s="1" t="s">
        <v>32</v>
      </c>
      <c r="F1808" s="1" t="s">
        <v>5078</v>
      </c>
      <c r="G1808" s="39" t="s">
        <v>5037</v>
      </c>
      <c r="H1808" s="1">
        <v>0</v>
      </c>
      <c r="I1808" s="1">
        <v>3</v>
      </c>
      <c r="J1808" s="39" t="s">
        <v>67</v>
      </c>
      <c r="K1808" s="1">
        <v>3</v>
      </c>
      <c r="L1808" s="1">
        <v>0</v>
      </c>
      <c r="S1808" s="1" t="s">
        <v>5079</v>
      </c>
      <c r="T1808" s="1">
        <v>1</v>
      </c>
      <c r="U1808" s="19"/>
      <c r="V1808" s="19"/>
    </row>
    <row r="1809" spans="1:22" x14ac:dyDescent="0.3">
      <c r="A1809" s="1" t="s">
        <v>5080</v>
      </c>
      <c r="B1809" s="5">
        <v>46235</v>
      </c>
      <c r="C1809" s="6">
        <v>0.41666666666666663</v>
      </c>
      <c r="D1809" s="1" t="s">
        <v>30</v>
      </c>
      <c r="E1809" s="1" t="s">
        <v>32</v>
      </c>
      <c r="F1809" s="1" t="s">
        <v>5081</v>
      </c>
      <c r="G1809" s="39" t="s">
        <v>5064</v>
      </c>
      <c r="H1809" s="1">
        <v>5</v>
      </c>
      <c r="I1809" s="1">
        <v>0</v>
      </c>
      <c r="J1809" s="39" t="s">
        <v>952</v>
      </c>
      <c r="K1809" s="1">
        <v>0</v>
      </c>
      <c r="L1809" s="1">
        <v>5</v>
      </c>
      <c r="S1809" s="1" t="s">
        <v>5082</v>
      </c>
      <c r="T1809" s="1">
        <v>1</v>
      </c>
      <c r="U1809" s="19"/>
      <c r="V1809" s="19"/>
    </row>
    <row r="1810" spans="1:22" x14ac:dyDescent="0.3">
      <c r="A1810" s="1" t="s">
        <v>5083</v>
      </c>
      <c r="B1810" s="5">
        <v>46223</v>
      </c>
      <c r="C1810" s="6">
        <v>0.58333333333333359</v>
      </c>
      <c r="D1810" s="1" t="s">
        <v>30</v>
      </c>
      <c r="E1810" s="1" t="s">
        <v>32</v>
      </c>
      <c r="F1810" s="1" t="s">
        <v>5084</v>
      </c>
      <c r="G1810" s="39" t="s">
        <v>5085</v>
      </c>
      <c r="H1810" s="1">
        <v>3</v>
      </c>
      <c r="I1810" s="1">
        <v>1</v>
      </c>
      <c r="J1810" s="39" t="s">
        <v>952</v>
      </c>
      <c r="K1810" s="1">
        <v>1</v>
      </c>
      <c r="L1810" s="1">
        <v>3</v>
      </c>
      <c r="S1810" s="1" t="s">
        <v>5086</v>
      </c>
      <c r="T1810" s="1">
        <v>1</v>
      </c>
      <c r="U1810" s="19"/>
      <c r="V1810" s="19"/>
    </row>
    <row r="1811" spans="1:22" x14ac:dyDescent="0.3">
      <c r="A1811" s="1" t="s">
        <v>5087</v>
      </c>
      <c r="B1811" s="5">
        <v>46200</v>
      </c>
      <c r="C1811" s="6">
        <v>0.49999999999999967</v>
      </c>
      <c r="D1811" s="1" t="s">
        <v>30</v>
      </c>
      <c r="E1811" s="1" t="s">
        <v>32</v>
      </c>
      <c r="F1811" s="1" t="s">
        <v>5088</v>
      </c>
      <c r="G1811" s="39" t="s">
        <v>952</v>
      </c>
      <c r="H1811" s="1">
        <v>0</v>
      </c>
      <c r="I1811" s="1">
        <v>2</v>
      </c>
      <c r="J1811" s="39" t="s">
        <v>953</v>
      </c>
      <c r="K1811" s="1">
        <v>2</v>
      </c>
      <c r="L1811" s="1">
        <v>0</v>
      </c>
      <c r="S1811" s="1" t="s">
        <v>5089</v>
      </c>
      <c r="T1811" s="1">
        <v>1</v>
      </c>
      <c r="U1811" s="19"/>
      <c r="V1811" s="19"/>
    </row>
    <row r="1812" spans="1:22" x14ac:dyDescent="0.3">
      <c r="A1812" s="1" t="s">
        <v>5090</v>
      </c>
      <c r="B1812" s="5">
        <v>46194</v>
      </c>
      <c r="C1812" s="6">
        <v>0.41666666666666663</v>
      </c>
      <c r="D1812" s="1" t="s">
        <v>30</v>
      </c>
      <c r="E1812" s="1" t="s">
        <v>32</v>
      </c>
      <c r="F1812" s="1" t="s">
        <v>5091</v>
      </c>
      <c r="G1812" s="39" t="s">
        <v>5048</v>
      </c>
      <c r="H1812" s="1">
        <v>5</v>
      </c>
      <c r="I1812" s="1">
        <v>2</v>
      </c>
      <c r="J1812" s="39" t="s">
        <v>952</v>
      </c>
      <c r="K1812" s="1">
        <v>2</v>
      </c>
      <c r="L1812" s="1">
        <v>5</v>
      </c>
      <c r="S1812" s="1" t="s">
        <v>5092</v>
      </c>
      <c r="T1812" s="1">
        <v>1</v>
      </c>
      <c r="U1812" s="19"/>
      <c r="V1812" s="19"/>
    </row>
    <row r="1813" spans="1:22" x14ac:dyDescent="0.3">
      <c r="A1813" s="1" t="s">
        <v>5093</v>
      </c>
      <c r="B1813" s="5">
        <v>46188</v>
      </c>
      <c r="C1813" s="6">
        <v>0.58333333333333359</v>
      </c>
      <c r="D1813" s="1" t="s">
        <v>30</v>
      </c>
      <c r="E1813" s="1" t="s">
        <v>32</v>
      </c>
      <c r="F1813" s="1" t="s">
        <v>5094</v>
      </c>
      <c r="G1813" s="39" t="s">
        <v>952</v>
      </c>
      <c r="H1813" s="1">
        <v>0</v>
      </c>
      <c r="I1813" s="1">
        <v>4</v>
      </c>
      <c r="J1813" s="39" t="s">
        <v>5056</v>
      </c>
      <c r="K1813" s="1">
        <v>4</v>
      </c>
      <c r="L1813" s="1">
        <v>0</v>
      </c>
      <c r="S1813" s="1" t="s">
        <v>5095</v>
      </c>
      <c r="T1813" s="1">
        <v>1</v>
      </c>
      <c r="U1813" s="19"/>
      <c r="V1813" s="19"/>
    </row>
    <row r="1814" spans="1:22" x14ac:dyDescent="0.3">
      <c r="A1814" s="1" t="s">
        <v>5096</v>
      </c>
      <c r="B1814" s="5">
        <v>46183</v>
      </c>
      <c r="C1814" s="6">
        <v>0.58333333333333359</v>
      </c>
      <c r="D1814" s="1" t="s">
        <v>30</v>
      </c>
      <c r="E1814" s="1" t="s">
        <v>32</v>
      </c>
      <c r="F1814" s="1" t="s">
        <v>5097</v>
      </c>
      <c r="G1814" s="39" t="s">
        <v>5060</v>
      </c>
      <c r="H1814" s="1">
        <v>0</v>
      </c>
      <c r="I1814" s="1">
        <v>1</v>
      </c>
      <c r="J1814" s="39" t="s">
        <v>952</v>
      </c>
      <c r="K1814" s="1">
        <v>1</v>
      </c>
      <c r="L1814" s="1">
        <v>0</v>
      </c>
      <c r="S1814" s="1" t="s">
        <v>5098</v>
      </c>
      <c r="T1814" s="1">
        <v>1</v>
      </c>
      <c r="U1814" s="19"/>
      <c r="V1814" s="19"/>
    </row>
    <row r="1815" spans="1:22" x14ac:dyDescent="0.3">
      <c r="A1815" s="1" t="s">
        <v>5099</v>
      </c>
      <c r="B1815" s="5">
        <v>46172</v>
      </c>
      <c r="C1815" s="6">
        <v>0.41666666666666663</v>
      </c>
      <c r="D1815" s="1" t="s">
        <v>30</v>
      </c>
      <c r="E1815" s="1" t="s">
        <v>32</v>
      </c>
      <c r="F1815" s="1" t="s">
        <v>5100</v>
      </c>
      <c r="G1815" s="39" t="s">
        <v>952</v>
      </c>
      <c r="H1815" s="1">
        <v>0</v>
      </c>
      <c r="I1815" s="1">
        <v>3</v>
      </c>
      <c r="J1815" s="39" t="s">
        <v>5064</v>
      </c>
      <c r="K1815" s="1">
        <v>3</v>
      </c>
      <c r="L1815" s="1">
        <v>0</v>
      </c>
      <c r="S1815" s="1" t="s">
        <v>5101</v>
      </c>
      <c r="T1815" s="1">
        <v>1</v>
      </c>
      <c r="U1815" s="19"/>
      <c r="V1815" s="19"/>
    </row>
    <row r="1816" spans="1:22" x14ac:dyDescent="0.3">
      <c r="A1816" s="1" t="s">
        <v>5102</v>
      </c>
      <c r="B1816" s="5">
        <v>46166</v>
      </c>
      <c r="C1816" s="6">
        <v>0.41666666666666663</v>
      </c>
      <c r="D1816" s="1" t="s">
        <v>30</v>
      </c>
      <c r="E1816" s="1" t="s">
        <v>32</v>
      </c>
      <c r="F1816" s="1" t="s">
        <v>5103</v>
      </c>
      <c r="G1816" s="39" t="s">
        <v>67</v>
      </c>
      <c r="H1816" s="1">
        <v>1</v>
      </c>
      <c r="I1816" s="1">
        <v>0</v>
      </c>
      <c r="J1816" s="39" t="s">
        <v>952</v>
      </c>
      <c r="K1816" s="1">
        <v>0</v>
      </c>
      <c r="L1816" s="1">
        <v>1</v>
      </c>
      <c r="S1816" s="1" t="s">
        <v>5104</v>
      </c>
      <c r="T1816" s="1">
        <v>1</v>
      </c>
      <c r="U1816" s="19"/>
      <c r="V1816" s="19"/>
    </row>
    <row r="1817" spans="1:22" x14ac:dyDescent="0.3">
      <c r="A1817" s="1" t="s">
        <v>5105</v>
      </c>
      <c r="B1817" s="5">
        <v>46160</v>
      </c>
      <c r="C1817" s="6">
        <v>0.58333333333333359</v>
      </c>
      <c r="D1817" s="1" t="s">
        <v>30</v>
      </c>
      <c r="E1817" s="1" t="s">
        <v>32</v>
      </c>
      <c r="F1817" s="1" t="s">
        <v>5106</v>
      </c>
      <c r="G1817" s="39" t="s">
        <v>952</v>
      </c>
      <c r="H1817" s="1">
        <v>2</v>
      </c>
      <c r="I1817" s="1">
        <v>1</v>
      </c>
      <c r="J1817" s="39" t="s">
        <v>5107</v>
      </c>
      <c r="K1817" s="1">
        <v>1</v>
      </c>
      <c r="L1817" s="1">
        <v>2</v>
      </c>
      <c r="S1817" s="1" t="s">
        <v>5108</v>
      </c>
      <c r="T1817" s="1">
        <v>1</v>
      </c>
      <c r="U1817" s="19"/>
      <c r="V1817" s="19"/>
    </row>
    <row r="1818" spans="1:22" x14ac:dyDescent="0.3">
      <c r="A1818" s="1" t="s">
        <v>5109</v>
      </c>
      <c r="B1818" s="5">
        <v>46156</v>
      </c>
      <c r="C1818" s="6">
        <v>0.54166666666666663</v>
      </c>
      <c r="D1818" s="1" t="s">
        <v>30</v>
      </c>
      <c r="E1818" s="1" t="s">
        <v>32</v>
      </c>
      <c r="F1818" s="1" t="s">
        <v>5110</v>
      </c>
      <c r="G1818" s="39" t="s">
        <v>5111</v>
      </c>
      <c r="H1818" s="1">
        <v>1</v>
      </c>
      <c r="I1818" s="1">
        <v>0</v>
      </c>
      <c r="J1818" s="39" t="s">
        <v>952</v>
      </c>
      <c r="K1818" s="1">
        <v>0</v>
      </c>
      <c r="L1818" s="1">
        <v>1</v>
      </c>
      <c r="S1818" s="1" t="s">
        <v>5112</v>
      </c>
      <c r="T1818" s="1">
        <v>1</v>
      </c>
      <c r="U1818" s="19"/>
      <c r="V1818" s="19"/>
    </row>
    <row r="1819" spans="1:22" x14ac:dyDescent="0.3">
      <c r="A1819" s="1" t="s">
        <v>5113</v>
      </c>
      <c r="B1819" s="5">
        <v>46235</v>
      </c>
      <c r="C1819" s="6">
        <v>0.49999999999999967</v>
      </c>
      <c r="D1819" s="1" t="s">
        <v>30</v>
      </c>
      <c r="E1819" s="1" t="s">
        <v>32</v>
      </c>
      <c r="F1819" s="1" t="s">
        <v>5114</v>
      </c>
      <c r="G1819" s="39" t="s">
        <v>5115</v>
      </c>
      <c r="H1819" s="1">
        <v>2</v>
      </c>
      <c r="I1819" s="1">
        <v>0</v>
      </c>
      <c r="J1819" s="39" t="s">
        <v>5048</v>
      </c>
      <c r="K1819" s="1">
        <v>0</v>
      </c>
      <c r="L1819" s="1">
        <v>2</v>
      </c>
      <c r="S1819" s="1" t="s">
        <v>5116</v>
      </c>
      <c r="T1819" s="1">
        <v>1</v>
      </c>
      <c r="U1819" s="19"/>
      <c r="V1819" s="19"/>
    </row>
    <row r="1820" spans="1:22" x14ac:dyDescent="0.3">
      <c r="A1820" s="1" t="s">
        <v>5117</v>
      </c>
      <c r="B1820" s="5">
        <v>46231</v>
      </c>
      <c r="C1820" s="6">
        <v>0.58333333333333359</v>
      </c>
      <c r="D1820" s="1" t="s">
        <v>30</v>
      </c>
      <c r="E1820" s="1" t="s">
        <v>32</v>
      </c>
      <c r="F1820" s="1" t="s">
        <v>5118</v>
      </c>
      <c r="G1820" s="39" t="s">
        <v>5048</v>
      </c>
      <c r="H1820" s="1">
        <v>1</v>
      </c>
      <c r="I1820" s="1">
        <v>1</v>
      </c>
      <c r="J1820" s="39" t="s">
        <v>5038</v>
      </c>
      <c r="K1820" s="1">
        <v>1</v>
      </c>
      <c r="L1820" s="1">
        <v>1</v>
      </c>
      <c r="S1820" s="1" t="s">
        <v>5119</v>
      </c>
      <c r="T1820" s="1">
        <v>1</v>
      </c>
      <c r="U1820" s="19"/>
      <c r="V1820" s="19"/>
    </row>
    <row r="1821" spans="1:22" x14ac:dyDescent="0.3">
      <c r="A1821" s="1" t="s">
        <v>5120</v>
      </c>
      <c r="B1821" s="5">
        <v>46201</v>
      </c>
      <c r="C1821" s="6">
        <v>0.41666666666666663</v>
      </c>
      <c r="D1821" s="1" t="s">
        <v>30</v>
      </c>
      <c r="E1821" s="1" t="s">
        <v>32</v>
      </c>
      <c r="F1821" s="1" t="s">
        <v>5121</v>
      </c>
      <c r="G1821" s="39" t="s">
        <v>5064</v>
      </c>
      <c r="H1821" s="1">
        <v>4</v>
      </c>
      <c r="I1821" s="1">
        <v>2</v>
      </c>
      <c r="J1821" s="39" t="s">
        <v>5048</v>
      </c>
      <c r="K1821" s="1">
        <v>2</v>
      </c>
      <c r="L1821" s="1">
        <v>4</v>
      </c>
      <c r="S1821" s="1" t="s">
        <v>5122</v>
      </c>
      <c r="T1821" s="1">
        <v>1</v>
      </c>
      <c r="U1821" s="19"/>
      <c r="V1821" s="19"/>
    </row>
    <row r="1822" spans="1:22" x14ac:dyDescent="0.3">
      <c r="A1822" s="1" t="s">
        <v>5123</v>
      </c>
      <c r="B1822" s="5">
        <v>46189</v>
      </c>
      <c r="C1822" s="6">
        <v>0.58333333333333359</v>
      </c>
      <c r="D1822" s="1" t="s">
        <v>30</v>
      </c>
      <c r="E1822" s="1" t="s">
        <v>32</v>
      </c>
      <c r="F1822" s="1" t="s">
        <v>5124</v>
      </c>
      <c r="G1822" s="39" t="s">
        <v>5072</v>
      </c>
      <c r="H1822" s="1">
        <v>0</v>
      </c>
      <c r="I1822" s="1">
        <v>1</v>
      </c>
      <c r="J1822" s="39" t="s">
        <v>5048</v>
      </c>
      <c r="K1822" s="1">
        <v>1</v>
      </c>
      <c r="L1822" s="1">
        <v>0</v>
      </c>
      <c r="S1822" s="1" t="s">
        <v>5125</v>
      </c>
      <c r="T1822" s="1">
        <v>1</v>
      </c>
      <c r="U1822" s="19"/>
      <c r="V1822" s="19"/>
    </row>
    <row r="1823" spans="1:22" x14ac:dyDescent="0.3">
      <c r="A1823" s="1" t="s">
        <v>5126</v>
      </c>
      <c r="B1823" s="5">
        <v>46184</v>
      </c>
      <c r="C1823" s="6">
        <v>0.58333333333333359</v>
      </c>
      <c r="D1823" s="1" t="s">
        <v>30</v>
      </c>
      <c r="E1823" s="1" t="s">
        <v>32</v>
      </c>
      <c r="F1823" s="1" t="s">
        <v>5127</v>
      </c>
      <c r="G1823" s="39" t="s">
        <v>5048</v>
      </c>
      <c r="H1823" s="1">
        <v>0</v>
      </c>
      <c r="I1823" s="1">
        <v>3</v>
      </c>
      <c r="J1823" s="39" t="s">
        <v>5107</v>
      </c>
      <c r="K1823" s="1">
        <v>3</v>
      </c>
      <c r="L1823" s="1">
        <v>0</v>
      </c>
      <c r="S1823" s="1" t="s">
        <v>5128</v>
      </c>
      <c r="T1823" s="1">
        <v>1</v>
      </c>
      <c r="U1823" s="19"/>
      <c r="V1823" s="19"/>
    </row>
    <row r="1824" spans="1:22" x14ac:dyDescent="0.3">
      <c r="A1824" s="1" t="s">
        <v>5129</v>
      </c>
      <c r="B1824" s="5">
        <v>46173</v>
      </c>
      <c r="C1824" s="6">
        <v>0.58333333333333359</v>
      </c>
      <c r="D1824" s="1" t="s">
        <v>30</v>
      </c>
      <c r="E1824" s="1" t="s">
        <v>32</v>
      </c>
      <c r="F1824" s="1" t="s">
        <v>5130</v>
      </c>
      <c r="G1824" s="39" t="s">
        <v>5048</v>
      </c>
      <c r="H1824" s="1">
        <v>0</v>
      </c>
      <c r="I1824" s="1">
        <v>2</v>
      </c>
      <c r="J1824" s="39" t="s">
        <v>5115</v>
      </c>
      <c r="K1824" s="1">
        <v>2</v>
      </c>
      <c r="L1824" s="1">
        <v>0</v>
      </c>
      <c r="S1824" s="1" t="s">
        <v>5131</v>
      </c>
      <c r="T1824" s="1">
        <v>1</v>
      </c>
      <c r="U1824" s="19"/>
      <c r="V1824" s="19"/>
    </row>
    <row r="1825" spans="1:22" x14ac:dyDescent="0.3">
      <c r="A1825" s="1" t="s">
        <v>5132</v>
      </c>
      <c r="B1825" s="5">
        <v>46168</v>
      </c>
      <c r="C1825" s="6">
        <v>0.58333333333333359</v>
      </c>
      <c r="D1825" s="1" t="s">
        <v>30</v>
      </c>
      <c r="E1825" s="1" t="s">
        <v>32</v>
      </c>
      <c r="F1825" s="1" t="s">
        <v>5133</v>
      </c>
      <c r="G1825" s="39" t="s">
        <v>5060</v>
      </c>
      <c r="H1825" s="1">
        <v>1</v>
      </c>
      <c r="I1825" s="1">
        <v>2</v>
      </c>
      <c r="J1825" s="39" t="s">
        <v>5048</v>
      </c>
      <c r="K1825" s="1">
        <v>2</v>
      </c>
      <c r="L1825" s="1">
        <v>1</v>
      </c>
      <c r="S1825" s="1" t="s">
        <v>5134</v>
      </c>
      <c r="T1825" s="1">
        <v>1</v>
      </c>
      <c r="U1825" s="19"/>
      <c r="V1825" s="19"/>
    </row>
    <row r="1826" spans="1:22" x14ac:dyDescent="0.3">
      <c r="A1826" s="1" t="s">
        <v>5135</v>
      </c>
      <c r="B1826" s="5">
        <v>46161</v>
      </c>
      <c r="C1826" s="6">
        <v>0.58333333333333359</v>
      </c>
      <c r="D1826" s="1" t="s">
        <v>30</v>
      </c>
      <c r="E1826" s="1" t="s">
        <v>32</v>
      </c>
      <c r="F1826" s="1" t="s">
        <v>5136</v>
      </c>
      <c r="G1826" s="39" t="s">
        <v>5048</v>
      </c>
      <c r="H1826" s="1">
        <v>1</v>
      </c>
      <c r="I1826" s="1">
        <v>3</v>
      </c>
      <c r="J1826" s="39" t="s">
        <v>67</v>
      </c>
      <c r="K1826" s="1">
        <v>3</v>
      </c>
      <c r="L1826" s="1">
        <v>1</v>
      </c>
      <c r="S1826" s="1" t="s">
        <v>5137</v>
      </c>
      <c r="T1826" s="1">
        <v>1</v>
      </c>
      <c r="U1826" s="19"/>
      <c r="V1826" s="19"/>
    </row>
    <row r="1827" spans="1:22" x14ac:dyDescent="0.3">
      <c r="A1827" s="1" t="s">
        <v>5138</v>
      </c>
      <c r="B1827" s="5">
        <v>46155</v>
      </c>
      <c r="C1827" s="6">
        <v>0.58333333333333359</v>
      </c>
      <c r="D1827" s="1" t="s">
        <v>30</v>
      </c>
      <c r="E1827" s="1" t="s">
        <v>32</v>
      </c>
      <c r="F1827" s="1" t="s">
        <v>5139</v>
      </c>
      <c r="G1827" s="39" t="s">
        <v>5048</v>
      </c>
      <c r="H1827" s="1">
        <v>2</v>
      </c>
      <c r="I1827" s="1">
        <v>2</v>
      </c>
      <c r="J1827" s="39" t="s">
        <v>5068</v>
      </c>
      <c r="K1827" s="1">
        <v>2</v>
      </c>
      <c r="L1827" s="1">
        <v>2</v>
      </c>
      <c r="S1827" s="1" t="s">
        <v>5140</v>
      </c>
      <c r="T1827" s="1">
        <v>1</v>
      </c>
      <c r="U1827" s="19"/>
      <c r="V1827" s="19"/>
    </row>
    <row r="1828" spans="1:22" x14ac:dyDescent="0.3">
      <c r="A1828" s="1" t="s">
        <v>5141</v>
      </c>
      <c r="B1828" s="5">
        <v>46151</v>
      </c>
      <c r="C1828" s="6">
        <v>0.41666666666666663</v>
      </c>
      <c r="D1828" s="1" t="s">
        <v>30</v>
      </c>
      <c r="E1828" s="1" t="s">
        <v>32</v>
      </c>
      <c r="F1828" s="1" t="s">
        <v>5142</v>
      </c>
      <c r="G1828" s="39" t="s">
        <v>5085</v>
      </c>
      <c r="H1828" s="1">
        <v>3</v>
      </c>
      <c r="I1828" s="1">
        <v>3</v>
      </c>
      <c r="J1828" s="39" t="s">
        <v>5048</v>
      </c>
      <c r="K1828" s="1">
        <v>3</v>
      </c>
      <c r="L1828" s="1">
        <v>3</v>
      </c>
      <c r="S1828" s="1" t="s">
        <v>5143</v>
      </c>
      <c r="T1828" s="1">
        <v>1</v>
      </c>
      <c r="U1828" s="19"/>
      <c r="V1828" s="19"/>
    </row>
    <row r="1829" spans="1:22" x14ac:dyDescent="0.3">
      <c r="A1829" s="1" t="s">
        <v>5144</v>
      </c>
      <c r="B1829" s="5">
        <v>46242</v>
      </c>
      <c r="C1829" s="6">
        <v>0.33333333333333359</v>
      </c>
      <c r="D1829" s="1" t="s">
        <v>30</v>
      </c>
      <c r="E1829" s="1" t="s">
        <v>32</v>
      </c>
      <c r="F1829" s="1" t="s">
        <v>5145</v>
      </c>
      <c r="G1829" s="39" t="s">
        <v>5115</v>
      </c>
      <c r="H1829" s="1">
        <v>3</v>
      </c>
      <c r="I1829" s="1">
        <v>0</v>
      </c>
      <c r="J1829" s="39" t="s">
        <v>5052</v>
      </c>
      <c r="K1829" s="1">
        <v>0</v>
      </c>
      <c r="L1829" s="1">
        <v>3</v>
      </c>
      <c r="S1829" s="1" t="s">
        <v>5146</v>
      </c>
      <c r="T1829" s="1">
        <v>1</v>
      </c>
      <c r="U1829" s="19"/>
      <c r="V1829" s="19"/>
    </row>
    <row r="1830" spans="1:22" x14ac:dyDescent="0.3">
      <c r="A1830" s="1" t="s">
        <v>5147</v>
      </c>
      <c r="B1830" s="5">
        <v>46231</v>
      </c>
      <c r="C1830" s="6">
        <v>0.58333333333333359</v>
      </c>
      <c r="D1830" s="1" t="s">
        <v>30</v>
      </c>
      <c r="E1830" s="1" t="s">
        <v>32</v>
      </c>
      <c r="F1830" s="1" t="s">
        <v>5148</v>
      </c>
      <c r="G1830" s="39" t="s">
        <v>5107</v>
      </c>
      <c r="H1830" s="1">
        <v>0</v>
      </c>
      <c r="I1830" s="1">
        <v>1</v>
      </c>
      <c r="J1830" s="39" t="s">
        <v>5115</v>
      </c>
      <c r="K1830" s="1">
        <v>1</v>
      </c>
      <c r="L1830" s="1">
        <v>0</v>
      </c>
      <c r="S1830" s="1" t="s">
        <v>5149</v>
      </c>
      <c r="T1830" s="1">
        <v>1</v>
      </c>
      <c r="U1830" s="19"/>
      <c r="V1830" s="19"/>
    </row>
    <row r="1831" spans="1:22" x14ac:dyDescent="0.3">
      <c r="A1831" s="1" t="s">
        <v>5150</v>
      </c>
      <c r="B1831" s="5">
        <v>46222</v>
      </c>
      <c r="C1831" s="6">
        <v>0.41666666666666663</v>
      </c>
      <c r="D1831" s="1" t="s">
        <v>30</v>
      </c>
      <c r="E1831" s="1" t="s">
        <v>32</v>
      </c>
      <c r="F1831" s="1" t="s">
        <v>5151</v>
      </c>
      <c r="G1831" s="39" t="s">
        <v>5115</v>
      </c>
      <c r="H1831" s="1">
        <v>3</v>
      </c>
      <c r="I1831" s="1">
        <v>0</v>
      </c>
      <c r="J1831" s="39" t="s">
        <v>5064</v>
      </c>
      <c r="K1831" s="1">
        <v>0</v>
      </c>
      <c r="L1831" s="1">
        <v>3</v>
      </c>
      <c r="S1831" s="1" t="s">
        <v>5152</v>
      </c>
      <c r="T1831" s="1">
        <v>1</v>
      </c>
      <c r="U1831" s="19"/>
      <c r="V1831" s="19"/>
    </row>
    <row r="1832" spans="1:22" x14ac:dyDescent="0.3">
      <c r="A1832" s="1" t="s">
        <v>5153</v>
      </c>
      <c r="B1832" s="5">
        <v>46201</v>
      </c>
      <c r="C1832" s="6">
        <v>0.41666666666666663</v>
      </c>
      <c r="D1832" s="1" t="s">
        <v>30</v>
      </c>
      <c r="E1832" s="1" t="s">
        <v>32</v>
      </c>
      <c r="F1832" s="1" t="s">
        <v>5154</v>
      </c>
      <c r="G1832" s="39" t="s">
        <v>5115</v>
      </c>
      <c r="H1832" s="1">
        <v>0</v>
      </c>
      <c r="I1832" s="1">
        <v>1</v>
      </c>
      <c r="J1832" s="39" t="s">
        <v>5085</v>
      </c>
      <c r="K1832" s="1">
        <v>1</v>
      </c>
      <c r="L1832" s="1">
        <v>0</v>
      </c>
      <c r="S1832" s="1" t="s">
        <v>5155</v>
      </c>
      <c r="T1832" s="1">
        <v>1</v>
      </c>
      <c r="U1832" s="19"/>
      <c r="V1832" s="19"/>
    </row>
    <row r="1833" spans="1:22" x14ac:dyDescent="0.3">
      <c r="A1833" s="1" t="s">
        <v>5156</v>
      </c>
      <c r="B1833" s="5">
        <v>46194</v>
      </c>
      <c r="C1833" s="6">
        <v>0.41666666666666663</v>
      </c>
      <c r="D1833" s="1" t="s">
        <v>30</v>
      </c>
      <c r="E1833" s="1" t="s">
        <v>32</v>
      </c>
      <c r="F1833" s="1" t="s">
        <v>5157</v>
      </c>
      <c r="G1833" s="39" t="s">
        <v>953</v>
      </c>
      <c r="H1833" s="1">
        <v>0</v>
      </c>
      <c r="I1833" s="1">
        <v>2</v>
      </c>
      <c r="J1833" s="39" t="s">
        <v>5115</v>
      </c>
      <c r="K1833" s="1">
        <v>2</v>
      </c>
      <c r="L1833" s="1">
        <v>0</v>
      </c>
      <c r="S1833" s="1" t="s">
        <v>5158</v>
      </c>
      <c r="T1833" s="1">
        <v>1</v>
      </c>
      <c r="U1833" s="19"/>
      <c r="V1833" s="19"/>
    </row>
    <row r="1834" spans="1:22" x14ac:dyDescent="0.3">
      <c r="A1834" s="1" t="s">
        <v>5159</v>
      </c>
      <c r="B1834" s="5">
        <v>46188</v>
      </c>
      <c r="C1834" s="6">
        <v>0.58333333333333359</v>
      </c>
      <c r="D1834" s="1" t="s">
        <v>30</v>
      </c>
      <c r="E1834" s="1" t="s">
        <v>32</v>
      </c>
      <c r="F1834" s="1" t="s">
        <v>5160</v>
      </c>
      <c r="G1834" s="39" t="s">
        <v>5115</v>
      </c>
      <c r="H1834" s="1">
        <v>2</v>
      </c>
      <c r="I1834" s="1">
        <v>0</v>
      </c>
      <c r="J1834" s="39" t="s">
        <v>67</v>
      </c>
      <c r="K1834" s="1">
        <v>0</v>
      </c>
      <c r="L1834" s="1">
        <v>2</v>
      </c>
      <c r="S1834" s="1" t="s">
        <v>5161</v>
      </c>
      <c r="T1834" s="1">
        <v>1</v>
      </c>
      <c r="U1834" s="19"/>
      <c r="V1834" s="19"/>
    </row>
    <row r="1835" spans="1:22" x14ac:dyDescent="0.3">
      <c r="A1835" s="1" t="s">
        <v>5162</v>
      </c>
      <c r="B1835" s="5">
        <v>46182</v>
      </c>
      <c r="C1835" s="6">
        <v>0.58333333333333359</v>
      </c>
      <c r="D1835" s="1" t="s">
        <v>30</v>
      </c>
      <c r="E1835" s="1" t="s">
        <v>32</v>
      </c>
      <c r="F1835" s="1" t="s">
        <v>5163</v>
      </c>
      <c r="G1835" s="39" t="s">
        <v>5068</v>
      </c>
      <c r="H1835" s="1">
        <v>1</v>
      </c>
      <c r="I1835" s="1">
        <v>2</v>
      </c>
      <c r="J1835" s="39" t="s">
        <v>5115</v>
      </c>
      <c r="K1835" s="1">
        <v>2</v>
      </c>
      <c r="L1835" s="1">
        <v>1</v>
      </c>
      <c r="S1835" s="1" t="s">
        <v>5164</v>
      </c>
      <c r="T1835" s="1">
        <v>1</v>
      </c>
      <c r="U1835" s="19"/>
      <c r="V1835" s="19"/>
    </row>
    <row r="1836" spans="1:22" x14ac:dyDescent="0.3">
      <c r="A1836" s="1" t="s">
        <v>5165</v>
      </c>
      <c r="B1836" s="5">
        <v>46167</v>
      </c>
      <c r="C1836" s="6">
        <v>0.58333333333333359</v>
      </c>
      <c r="D1836" s="1" t="s">
        <v>30</v>
      </c>
      <c r="E1836" s="1" t="s">
        <v>32</v>
      </c>
      <c r="F1836" s="1" t="s">
        <v>5166</v>
      </c>
      <c r="G1836" s="39" t="s">
        <v>5115</v>
      </c>
      <c r="H1836" s="1">
        <v>2</v>
      </c>
      <c r="I1836" s="1">
        <v>0</v>
      </c>
      <c r="J1836" s="39" t="s">
        <v>5056</v>
      </c>
      <c r="K1836" s="1">
        <v>0</v>
      </c>
      <c r="L1836" s="1">
        <v>2</v>
      </c>
      <c r="S1836" s="1" t="s">
        <v>5167</v>
      </c>
      <c r="T1836" s="1">
        <v>1</v>
      </c>
      <c r="U1836" s="19"/>
      <c r="V1836" s="19"/>
    </row>
    <row r="1837" spans="1:22" x14ac:dyDescent="0.3">
      <c r="A1837" s="1" t="s">
        <v>5168</v>
      </c>
      <c r="B1837" s="5">
        <v>46158</v>
      </c>
      <c r="C1837" s="6">
        <v>0.41666666666666663</v>
      </c>
      <c r="D1837" s="1" t="s">
        <v>30</v>
      </c>
      <c r="E1837" s="1" t="s">
        <v>32</v>
      </c>
      <c r="F1837" s="1" t="s">
        <v>5169</v>
      </c>
      <c r="G1837" s="39" t="s">
        <v>5052</v>
      </c>
      <c r="H1837" s="1">
        <v>0</v>
      </c>
      <c r="I1837" s="1">
        <v>0</v>
      </c>
      <c r="J1837" s="39" t="s">
        <v>5115</v>
      </c>
      <c r="K1837" s="1">
        <v>0</v>
      </c>
      <c r="L1837" s="1">
        <v>0</v>
      </c>
      <c r="S1837" s="1" t="s">
        <v>5170</v>
      </c>
      <c r="T1837" s="1">
        <v>1</v>
      </c>
      <c r="U1837" s="19"/>
      <c r="V1837" s="19"/>
    </row>
    <row r="1838" spans="1:22" x14ac:dyDescent="0.3">
      <c r="A1838" s="1" t="s">
        <v>5171</v>
      </c>
      <c r="B1838" s="5">
        <v>46155</v>
      </c>
      <c r="C1838" s="6">
        <v>0.58333333333333359</v>
      </c>
      <c r="D1838" s="1" t="s">
        <v>30</v>
      </c>
      <c r="E1838" s="1" t="s">
        <v>32</v>
      </c>
      <c r="F1838" s="1" t="s">
        <v>5172</v>
      </c>
      <c r="G1838" s="39" t="s">
        <v>5115</v>
      </c>
      <c r="H1838" s="1">
        <v>1</v>
      </c>
      <c r="I1838" s="1">
        <v>1</v>
      </c>
      <c r="J1838" s="39" t="s">
        <v>5038</v>
      </c>
      <c r="K1838" s="1">
        <v>1</v>
      </c>
      <c r="L1838" s="1">
        <v>1</v>
      </c>
      <c r="S1838" s="1" t="s">
        <v>5173</v>
      </c>
      <c r="T1838" s="1">
        <v>1</v>
      </c>
      <c r="U1838" s="19"/>
      <c r="V1838" s="19"/>
    </row>
    <row r="1839" spans="1:22" x14ac:dyDescent="0.3">
      <c r="A1839" s="1" t="s">
        <v>5174</v>
      </c>
      <c r="B1839" s="5">
        <v>46237</v>
      </c>
      <c r="C1839" s="6">
        <v>0.58680555555416658</v>
      </c>
      <c r="D1839" s="1" t="s">
        <v>30</v>
      </c>
      <c r="E1839" s="1" t="s">
        <v>32</v>
      </c>
      <c r="F1839" s="1" t="s">
        <v>5175</v>
      </c>
      <c r="G1839" s="39" t="s">
        <v>5060</v>
      </c>
      <c r="H1839" s="1">
        <v>1</v>
      </c>
      <c r="I1839" s="1">
        <v>3</v>
      </c>
      <c r="J1839" s="39" t="s">
        <v>5072</v>
      </c>
      <c r="K1839" s="1">
        <v>3</v>
      </c>
      <c r="L1839" s="1">
        <v>1</v>
      </c>
      <c r="S1839" s="1" t="s">
        <v>5176</v>
      </c>
      <c r="T1839" s="1">
        <v>1</v>
      </c>
      <c r="U1839" s="19"/>
      <c r="V1839" s="19"/>
    </row>
    <row r="1840" spans="1:22" x14ac:dyDescent="0.3">
      <c r="A1840" s="1" t="s">
        <v>5177</v>
      </c>
      <c r="B1840" s="5">
        <v>46228</v>
      </c>
      <c r="C1840" s="6">
        <v>0.49999999999999967</v>
      </c>
      <c r="D1840" s="1" t="s">
        <v>30</v>
      </c>
      <c r="E1840" s="1" t="s">
        <v>32</v>
      </c>
      <c r="F1840" s="1" t="s">
        <v>5178</v>
      </c>
      <c r="G1840" s="39" t="s">
        <v>5072</v>
      </c>
      <c r="H1840" s="1">
        <v>0</v>
      </c>
      <c r="I1840" s="1">
        <v>0</v>
      </c>
      <c r="J1840" s="39" t="s">
        <v>5052</v>
      </c>
      <c r="K1840" s="1">
        <v>0</v>
      </c>
      <c r="L1840" s="1">
        <v>0</v>
      </c>
      <c r="S1840" s="1" t="s">
        <v>5179</v>
      </c>
      <c r="T1840" s="1">
        <v>1</v>
      </c>
      <c r="U1840" s="19"/>
      <c r="V1840" s="19"/>
    </row>
    <row r="1841" spans="1:22" x14ac:dyDescent="0.3">
      <c r="A1841" s="1" t="s">
        <v>5180</v>
      </c>
      <c r="B1841" s="5">
        <v>46222</v>
      </c>
      <c r="C1841" s="6">
        <v>0.41666666666666663</v>
      </c>
      <c r="D1841" s="1" t="s">
        <v>30</v>
      </c>
      <c r="E1841" s="1" t="s">
        <v>32</v>
      </c>
      <c r="F1841" s="1" t="s">
        <v>5181</v>
      </c>
      <c r="G1841" s="39" t="s">
        <v>5072</v>
      </c>
      <c r="H1841" s="1">
        <v>2</v>
      </c>
      <c r="I1841" s="1">
        <v>3</v>
      </c>
      <c r="J1841" s="39" t="s">
        <v>5111</v>
      </c>
      <c r="K1841" s="1">
        <v>3</v>
      </c>
      <c r="L1841" s="1">
        <v>2</v>
      </c>
      <c r="S1841" s="1" t="s">
        <v>5182</v>
      </c>
      <c r="T1841" s="1">
        <v>1</v>
      </c>
      <c r="U1841" s="19"/>
      <c r="V1841" s="19"/>
    </row>
    <row r="1842" spans="1:22" x14ac:dyDescent="0.3">
      <c r="A1842" s="1" t="s">
        <v>5183</v>
      </c>
      <c r="B1842" s="5">
        <v>46201</v>
      </c>
      <c r="C1842" s="6">
        <v>0.41666666666666663</v>
      </c>
      <c r="D1842" s="1" t="s">
        <v>30</v>
      </c>
      <c r="E1842" s="1" t="s">
        <v>32</v>
      </c>
      <c r="F1842" s="1" t="s">
        <v>5184</v>
      </c>
      <c r="G1842" s="39" t="s">
        <v>5107</v>
      </c>
      <c r="H1842" s="1">
        <v>1</v>
      </c>
      <c r="I1842" s="1">
        <v>0</v>
      </c>
      <c r="J1842" s="39" t="s">
        <v>5072</v>
      </c>
      <c r="K1842" s="1">
        <v>0</v>
      </c>
      <c r="L1842" s="1">
        <v>1</v>
      </c>
      <c r="S1842" s="1" t="s">
        <v>5185</v>
      </c>
      <c r="T1842" s="1">
        <v>1</v>
      </c>
      <c r="U1842" s="19"/>
      <c r="V1842" s="19"/>
    </row>
    <row r="1843" spans="1:22" x14ac:dyDescent="0.3">
      <c r="A1843" s="1" t="s">
        <v>5186</v>
      </c>
      <c r="B1843" s="5">
        <v>46194</v>
      </c>
      <c r="C1843" s="6">
        <v>0.41666666666666663</v>
      </c>
      <c r="D1843" s="1" t="s">
        <v>30</v>
      </c>
      <c r="E1843" s="1" t="s">
        <v>32</v>
      </c>
      <c r="F1843" s="1" t="s">
        <v>5187</v>
      </c>
      <c r="G1843" s="39" t="s">
        <v>5052</v>
      </c>
      <c r="H1843" s="1">
        <v>5</v>
      </c>
      <c r="I1843" s="1">
        <v>1</v>
      </c>
      <c r="J1843" s="39" t="s">
        <v>5072</v>
      </c>
      <c r="K1843" s="1">
        <v>1</v>
      </c>
      <c r="L1843" s="1">
        <v>5</v>
      </c>
      <c r="S1843" s="1" t="s">
        <v>5188</v>
      </c>
      <c r="T1843" s="1">
        <v>1</v>
      </c>
      <c r="U1843" s="19"/>
      <c r="V1843" s="19"/>
    </row>
    <row r="1844" spans="1:22" x14ac:dyDescent="0.3">
      <c r="A1844" s="1" t="s">
        <v>5189</v>
      </c>
      <c r="B1844" s="5">
        <v>46182</v>
      </c>
      <c r="C1844" s="6">
        <v>0.58333333333333359</v>
      </c>
      <c r="D1844" s="1" t="s">
        <v>30</v>
      </c>
      <c r="E1844" s="1" t="s">
        <v>32</v>
      </c>
      <c r="F1844" s="1" t="s">
        <v>5190</v>
      </c>
      <c r="G1844" s="39" t="s">
        <v>5056</v>
      </c>
      <c r="H1844" s="1">
        <v>3</v>
      </c>
      <c r="I1844" s="1">
        <v>0</v>
      </c>
      <c r="J1844" s="39" t="s">
        <v>5072</v>
      </c>
      <c r="K1844" s="1">
        <v>0</v>
      </c>
      <c r="L1844" s="1">
        <v>3</v>
      </c>
      <c r="S1844" s="1" t="s">
        <v>5191</v>
      </c>
      <c r="T1844" s="1">
        <v>1</v>
      </c>
      <c r="U1844" s="19"/>
      <c r="V1844" s="19"/>
    </row>
    <row r="1845" spans="1:22" x14ac:dyDescent="0.3">
      <c r="A1845" s="1" t="s">
        <v>5192</v>
      </c>
      <c r="B1845" s="5">
        <v>46173</v>
      </c>
      <c r="C1845" s="6">
        <v>0.41666666666666663</v>
      </c>
      <c r="D1845" s="1" t="s">
        <v>30</v>
      </c>
      <c r="E1845" s="1" t="s">
        <v>32</v>
      </c>
      <c r="F1845" s="1" t="s">
        <v>5193</v>
      </c>
      <c r="G1845" s="39" t="s">
        <v>5072</v>
      </c>
      <c r="H1845" s="1">
        <v>0</v>
      </c>
      <c r="I1845" s="1">
        <v>2</v>
      </c>
      <c r="J1845" s="39" t="s">
        <v>5038</v>
      </c>
      <c r="K1845" s="1">
        <v>2</v>
      </c>
      <c r="L1845" s="1">
        <v>0</v>
      </c>
      <c r="S1845" s="1" t="s">
        <v>5194</v>
      </c>
      <c r="T1845" s="1">
        <v>1</v>
      </c>
      <c r="U1845" s="19"/>
      <c r="V1845" s="19"/>
    </row>
    <row r="1846" spans="1:22" x14ac:dyDescent="0.3">
      <c r="A1846" s="1" t="s">
        <v>5195</v>
      </c>
      <c r="B1846" s="5">
        <v>46159</v>
      </c>
      <c r="C1846" s="6">
        <v>0.41666666666666663</v>
      </c>
      <c r="D1846" s="1" t="s">
        <v>30</v>
      </c>
      <c r="E1846" s="1" t="s">
        <v>32</v>
      </c>
      <c r="F1846" s="1" t="s">
        <v>5196</v>
      </c>
      <c r="G1846" s="39" t="s">
        <v>5072</v>
      </c>
      <c r="H1846" s="1">
        <v>2</v>
      </c>
      <c r="I1846" s="1">
        <v>2</v>
      </c>
      <c r="J1846" s="39" t="s">
        <v>5085</v>
      </c>
      <c r="K1846" s="1">
        <v>2</v>
      </c>
      <c r="L1846" s="1">
        <v>2</v>
      </c>
      <c r="S1846" s="1" t="s">
        <v>5197</v>
      </c>
      <c r="T1846" s="1">
        <v>1</v>
      </c>
      <c r="U1846" s="19"/>
      <c r="V1846" s="19"/>
    </row>
    <row r="1847" spans="1:22" x14ac:dyDescent="0.3">
      <c r="A1847" s="1" t="s">
        <v>5198</v>
      </c>
      <c r="B1847" s="5">
        <v>46154</v>
      </c>
      <c r="C1847" s="6">
        <v>0.58333333333333359</v>
      </c>
      <c r="D1847" s="1" t="s">
        <v>30</v>
      </c>
      <c r="E1847" s="1" t="s">
        <v>32</v>
      </c>
      <c r="F1847" s="1" t="s">
        <v>5199</v>
      </c>
      <c r="G1847" s="39" t="s">
        <v>5072</v>
      </c>
      <c r="H1847" s="1">
        <v>0</v>
      </c>
      <c r="I1847" s="1">
        <v>1</v>
      </c>
      <c r="J1847" s="39" t="s">
        <v>5060</v>
      </c>
      <c r="K1847" s="1">
        <v>1</v>
      </c>
      <c r="L1847" s="1">
        <v>0</v>
      </c>
      <c r="S1847" s="1" t="s">
        <v>5200</v>
      </c>
      <c r="T1847" s="1">
        <v>1</v>
      </c>
      <c r="U1847" s="19"/>
      <c r="V1847" s="19"/>
    </row>
    <row r="1848" spans="1:22" x14ac:dyDescent="0.3">
      <c r="A1848" s="1" t="s">
        <v>5201</v>
      </c>
      <c r="B1848" s="5">
        <v>46150</v>
      </c>
      <c r="C1848" s="6">
        <v>0.58333333333333359</v>
      </c>
      <c r="D1848" s="1" t="s">
        <v>30</v>
      </c>
      <c r="E1848" s="1" t="s">
        <v>32</v>
      </c>
      <c r="F1848" s="1" t="s">
        <v>5202</v>
      </c>
      <c r="G1848" s="39" t="s">
        <v>67</v>
      </c>
      <c r="H1848" s="1">
        <v>3</v>
      </c>
      <c r="I1848" s="1">
        <v>2</v>
      </c>
      <c r="J1848" s="39" t="s">
        <v>5072</v>
      </c>
      <c r="K1848" s="1">
        <v>2</v>
      </c>
      <c r="L1848" s="1">
        <v>3</v>
      </c>
      <c r="S1848" s="1" t="s">
        <v>5203</v>
      </c>
      <c r="T1848" s="1">
        <v>1</v>
      </c>
      <c r="U1848" s="19"/>
      <c r="V1848" s="19"/>
    </row>
    <row r="1849" spans="1:22" x14ac:dyDescent="0.3">
      <c r="A1849" s="1" t="s">
        <v>5204</v>
      </c>
      <c r="B1849" s="5">
        <v>46235</v>
      </c>
      <c r="C1849" s="6">
        <v>0.41666666666666663</v>
      </c>
      <c r="D1849" s="1" t="s">
        <v>30</v>
      </c>
      <c r="E1849" s="1" t="s">
        <v>32</v>
      </c>
      <c r="F1849" s="1" t="s">
        <v>5205</v>
      </c>
      <c r="G1849" s="39" t="s">
        <v>5052</v>
      </c>
      <c r="H1849" s="1">
        <v>2</v>
      </c>
      <c r="I1849" s="1">
        <v>1</v>
      </c>
      <c r="J1849" s="39" t="s">
        <v>5107</v>
      </c>
      <c r="K1849" s="1">
        <v>1</v>
      </c>
      <c r="L1849" s="1">
        <v>2</v>
      </c>
      <c r="S1849" s="1" t="s">
        <v>5206</v>
      </c>
      <c r="T1849" s="1">
        <v>1</v>
      </c>
      <c r="U1849" s="19"/>
      <c r="V1849" s="19"/>
    </row>
    <row r="1850" spans="1:22" x14ac:dyDescent="0.3">
      <c r="A1850" s="1" t="s">
        <v>5207</v>
      </c>
      <c r="B1850" s="5">
        <v>46221</v>
      </c>
      <c r="C1850" s="6">
        <v>0.41666666666666663</v>
      </c>
      <c r="D1850" s="1" t="s">
        <v>30</v>
      </c>
      <c r="E1850" s="1" t="s">
        <v>32</v>
      </c>
      <c r="F1850" s="1" t="s">
        <v>5208</v>
      </c>
      <c r="G1850" s="39" t="s">
        <v>5056</v>
      </c>
      <c r="H1850" s="1">
        <v>3</v>
      </c>
      <c r="I1850" s="1">
        <v>2</v>
      </c>
      <c r="J1850" s="39" t="s">
        <v>5052</v>
      </c>
      <c r="K1850" s="1">
        <v>2</v>
      </c>
      <c r="L1850" s="1">
        <v>3</v>
      </c>
      <c r="S1850" s="1" t="s">
        <v>5209</v>
      </c>
      <c r="T1850" s="1">
        <v>1</v>
      </c>
      <c r="U1850" s="19"/>
      <c r="V1850" s="19"/>
    </row>
    <row r="1851" spans="1:22" x14ac:dyDescent="0.3">
      <c r="A1851" s="1" t="s">
        <v>5210</v>
      </c>
      <c r="B1851" s="5">
        <v>46187</v>
      </c>
      <c r="C1851" s="6">
        <v>0.41666666666666663</v>
      </c>
      <c r="D1851" s="1" t="s">
        <v>30</v>
      </c>
      <c r="E1851" s="1" t="s">
        <v>32</v>
      </c>
      <c r="F1851" s="1" t="s">
        <v>5211</v>
      </c>
      <c r="G1851" s="39" t="s">
        <v>5064</v>
      </c>
      <c r="H1851" s="1">
        <v>3</v>
      </c>
      <c r="I1851" s="1">
        <v>2</v>
      </c>
      <c r="J1851" s="39" t="s">
        <v>5052</v>
      </c>
      <c r="K1851" s="1">
        <v>2</v>
      </c>
      <c r="L1851" s="1">
        <v>3</v>
      </c>
      <c r="S1851" s="1" t="s">
        <v>5212</v>
      </c>
      <c r="T1851" s="1">
        <v>1</v>
      </c>
      <c r="U1851" s="19"/>
      <c r="V1851" s="19"/>
    </row>
    <row r="1852" spans="1:22" x14ac:dyDescent="0.3">
      <c r="A1852" s="1" t="s">
        <v>5213</v>
      </c>
      <c r="B1852" s="5">
        <v>46182</v>
      </c>
      <c r="C1852" s="6">
        <v>0.58333333333333359</v>
      </c>
      <c r="D1852" s="1" t="s">
        <v>30</v>
      </c>
      <c r="E1852" s="1" t="s">
        <v>32</v>
      </c>
      <c r="F1852" s="1" t="s">
        <v>5214</v>
      </c>
      <c r="G1852" s="39" t="s">
        <v>5052</v>
      </c>
      <c r="H1852" s="1">
        <v>2</v>
      </c>
      <c r="I1852" s="1">
        <v>2</v>
      </c>
      <c r="J1852" s="39" t="s">
        <v>5111</v>
      </c>
      <c r="K1852" s="1">
        <v>2</v>
      </c>
      <c r="L1852" s="1">
        <v>2</v>
      </c>
      <c r="S1852" s="1" t="s">
        <v>5215</v>
      </c>
      <c r="T1852" s="1">
        <v>1</v>
      </c>
      <c r="U1852" s="19"/>
      <c r="V1852" s="19"/>
    </row>
    <row r="1853" spans="1:22" x14ac:dyDescent="0.3">
      <c r="A1853" s="1" t="s">
        <v>5216</v>
      </c>
      <c r="B1853" s="5">
        <v>46172</v>
      </c>
      <c r="C1853" s="6">
        <v>0.41666666666666663</v>
      </c>
      <c r="D1853" s="1" t="s">
        <v>30</v>
      </c>
      <c r="E1853" s="1" t="s">
        <v>32</v>
      </c>
      <c r="F1853" s="1" t="s">
        <v>5217</v>
      </c>
      <c r="G1853" s="39" t="s">
        <v>5107</v>
      </c>
      <c r="H1853" s="1">
        <v>2</v>
      </c>
      <c r="I1853" s="1">
        <v>2</v>
      </c>
      <c r="J1853" s="39" t="s">
        <v>5052</v>
      </c>
      <c r="K1853" s="1">
        <v>2</v>
      </c>
      <c r="L1853" s="1">
        <v>2</v>
      </c>
      <c r="S1853" s="1" t="s">
        <v>5218</v>
      </c>
      <c r="T1853" s="1">
        <v>1</v>
      </c>
      <c r="U1853" s="19"/>
      <c r="V1853" s="19"/>
    </row>
    <row r="1854" spans="1:22" x14ac:dyDescent="0.3">
      <c r="A1854" s="1" t="s">
        <v>5219</v>
      </c>
      <c r="B1854" s="5">
        <v>46165</v>
      </c>
      <c r="C1854" s="6">
        <v>0.41666666666666663</v>
      </c>
      <c r="D1854" s="1" t="s">
        <v>30</v>
      </c>
      <c r="E1854" s="1" t="s">
        <v>32</v>
      </c>
      <c r="F1854" s="1" t="s">
        <v>5220</v>
      </c>
      <c r="G1854" s="39" t="s">
        <v>5038</v>
      </c>
      <c r="H1854" s="1">
        <v>1</v>
      </c>
      <c r="I1854" s="1">
        <v>0</v>
      </c>
      <c r="J1854" s="39" t="s">
        <v>5052</v>
      </c>
      <c r="K1854" s="1">
        <v>0</v>
      </c>
      <c r="L1854" s="1">
        <v>1</v>
      </c>
      <c r="S1854" s="1" t="s">
        <v>5221</v>
      </c>
      <c r="T1854" s="1">
        <v>1</v>
      </c>
      <c r="U1854" s="19"/>
      <c r="V1854" s="19"/>
    </row>
    <row r="1855" spans="1:22" x14ac:dyDescent="0.3">
      <c r="A1855" s="1" t="s">
        <v>5222</v>
      </c>
      <c r="B1855" s="5">
        <v>46155</v>
      </c>
      <c r="C1855" s="6">
        <v>0.58333333333333359</v>
      </c>
      <c r="D1855" s="1" t="s">
        <v>30</v>
      </c>
      <c r="E1855" s="1" t="s">
        <v>32</v>
      </c>
      <c r="F1855" s="1" t="s">
        <v>5223</v>
      </c>
      <c r="G1855" s="39" t="s">
        <v>5052</v>
      </c>
      <c r="H1855" s="1">
        <v>2</v>
      </c>
      <c r="I1855" s="1">
        <v>4</v>
      </c>
      <c r="J1855" s="39" t="s">
        <v>953</v>
      </c>
      <c r="K1855" s="1">
        <v>4</v>
      </c>
      <c r="L1855" s="1">
        <v>2</v>
      </c>
      <c r="S1855" s="1" t="s">
        <v>5224</v>
      </c>
      <c r="T1855" s="1">
        <v>1</v>
      </c>
      <c r="U1855" s="19"/>
      <c r="V1855" s="19"/>
    </row>
    <row r="1856" spans="1:22" x14ac:dyDescent="0.3">
      <c r="A1856" s="1" t="s">
        <v>5225</v>
      </c>
      <c r="B1856" s="5">
        <v>46242</v>
      </c>
      <c r="C1856" s="6">
        <v>0.33333333333333359</v>
      </c>
      <c r="D1856" s="1" t="s">
        <v>30</v>
      </c>
      <c r="E1856" s="1" t="s">
        <v>32</v>
      </c>
      <c r="F1856" s="1" t="s">
        <v>5226</v>
      </c>
      <c r="G1856" s="39" t="s">
        <v>5111</v>
      </c>
      <c r="H1856" s="1">
        <v>0</v>
      </c>
      <c r="I1856" s="1">
        <v>1</v>
      </c>
      <c r="J1856" s="39" t="s">
        <v>5068</v>
      </c>
      <c r="K1856" s="1">
        <v>1</v>
      </c>
      <c r="L1856" s="1">
        <v>0</v>
      </c>
      <c r="S1856" s="1" t="s">
        <v>5227</v>
      </c>
      <c r="T1856" s="1">
        <v>1</v>
      </c>
      <c r="U1856" s="19"/>
      <c r="V1856" s="19"/>
    </row>
    <row r="1857" spans="1:22" x14ac:dyDescent="0.3">
      <c r="A1857" s="1" t="s">
        <v>5228</v>
      </c>
      <c r="B1857" s="5">
        <v>46234</v>
      </c>
      <c r="C1857" s="6">
        <v>0.58333333333333359</v>
      </c>
      <c r="D1857" s="1" t="s">
        <v>30</v>
      </c>
      <c r="E1857" s="1" t="s">
        <v>32</v>
      </c>
      <c r="F1857" s="1" t="s">
        <v>5229</v>
      </c>
      <c r="G1857" s="39" t="s">
        <v>5068</v>
      </c>
      <c r="H1857" s="1">
        <v>0</v>
      </c>
      <c r="I1857" s="1">
        <v>0</v>
      </c>
      <c r="J1857" s="39" t="s">
        <v>5085</v>
      </c>
      <c r="K1857" s="1">
        <v>0</v>
      </c>
      <c r="L1857" s="1">
        <v>0</v>
      </c>
      <c r="S1857" s="1" t="s">
        <v>5230</v>
      </c>
      <c r="T1857" s="1">
        <v>1</v>
      </c>
      <c r="U1857" s="19"/>
      <c r="V1857" s="19"/>
    </row>
    <row r="1858" spans="1:22" x14ac:dyDescent="0.3">
      <c r="A1858" s="1" t="s">
        <v>5231</v>
      </c>
      <c r="B1858" s="5">
        <v>46230</v>
      </c>
      <c r="C1858" s="6">
        <v>0.58333333333333359</v>
      </c>
      <c r="D1858" s="1" t="s">
        <v>30</v>
      </c>
      <c r="E1858" s="1" t="s">
        <v>32</v>
      </c>
      <c r="F1858" s="1" t="s">
        <v>5232</v>
      </c>
      <c r="G1858" s="39" t="s">
        <v>5060</v>
      </c>
      <c r="H1858" s="1">
        <v>0</v>
      </c>
      <c r="I1858" s="1">
        <v>0</v>
      </c>
      <c r="J1858" s="39" t="s">
        <v>5068</v>
      </c>
      <c r="K1858" s="1">
        <v>0</v>
      </c>
      <c r="L1858" s="1">
        <v>0</v>
      </c>
      <c r="S1858" s="1" t="s">
        <v>5233</v>
      </c>
      <c r="T1858" s="1">
        <v>1</v>
      </c>
      <c r="U1858" s="19"/>
      <c r="V1858" s="19"/>
    </row>
    <row r="1859" spans="1:22" x14ac:dyDescent="0.3">
      <c r="A1859" s="1" t="s">
        <v>5234</v>
      </c>
      <c r="B1859" s="5">
        <v>46221</v>
      </c>
      <c r="C1859" s="6">
        <v>0.41666666666666663</v>
      </c>
      <c r="D1859" s="1" t="s">
        <v>30</v>
      </c>
      <c r="E1859" s="1" t="s">
        <v>32</v>
      </c>
      <c r="F1859" s="1" t="s">
        <v>5235</v>
      </c>
      <c r="G1859" s="39" t="s">
        <v>5068</v>
      </c>
      <c r="H1859" s="1">
        <v>2</v>
      </c>
      <c r="I1859" s="1">
        <v>4</v>
      </c>
      <c r="J1859" s="39" t="s">
        <v>67</v>
      </c>
      <c r="K1859" s="1">
        <v>4</v>
      </c>
      <c r="L1859" s="1">
        <v>2</v>
      </c>
      <c r="S1859" s="1" t="s">
        <v>5236</v>
      </c>
      <c r="T1859" s="1">
        <v>1</v>
      </c>
      <c r="U1859" s="19"/>
      <c r="V1859" s="19"/>
    </row>
    <row r="1860" spans="1:22" x14ac:dyDescent="0.3">
      <c r="A1860" s="1" t="s">
        <v>5237</v>
      </c>
      <c r="B1860" s="5">
        <v>46200</v>
      </c>
      <c r="C1860" s="6">
        <v>0.41666666666666663</v>
      </c>
      <c r="D1860" s="1" t="s">
        <v>30</v>
      </c>
      <c r="E1860" s="1" t="s">
        <v>32</v>
      </c>
      <c r="F1860" s="1" t="s">
        <v>5238</v>
      </c>
      <c r="G1860" s="39" t="s">
        <v>5038</v>
      </c>
      <c r="H1860" s="1">
        <v>3</v>
      </c>
      <c r="I1860" s="1">
        <v>3</v>
      </c>
      <c r="J1860" s="39" t="s">
        <v>5068</v>
      </c>
      <c r="K1860" s="1">
        <v>3</v>
      </c>
      <c r="L1860" s="1">
        <v>3</v>
      </c>
      <c r="S1860" s="1" t="s">
        <v>5239</v>
      </c>
      <c r="T1860" s="1">
        <v>1</v>
      </c>
      <c r="U1860" s="19"/>
      <c r="V1860" s="19"/>
    </row>
    <row r="1861" spans="1:22" x14ac:dyDescent="0.3">
      <c r="A1861" s="1" t="s">
        <v>5240</v>
      </c>
      <c r="B1861" s="5">
        <v>46195</v>
      </c>
      <c r="C1861" s="6">
        <v>0.58333333333333359</v>
      </c>
      <c r="D1861" s="1" t="s">
        <v>30</v>
      </c>
      <c r="E1861" s="1" t="s">
        <v>32</v>
      </c>
      <c r="F1861" s="1" t="s">
        <v>5241</v>
      </c>
      <c r="G1861" s="39" t="s">
        <v>5068</v>
      </c>
      <c r="H1861" s="1">
        <v>0</v>
      </c>
      <c r="I1861" s="1">
        <v>0</v>
      </c>
      <c r="J1861" s="39" t="s">
        <v>5111</v>
      </c>
      <c r="K1861" s="1">
        <v>0</v>
      </c>
      <c r="L1861" s="1">
        <v>0</v>
      </c>
      <c r="S1861" s="1" t="s">
        <v>5242</v>
      </c>
      <c r="T1861" s="1">
        <v>1</v>
      </c>
      <c r="U1861" s="19"/>
      <c r="V1861" s="19"/>
    </row>
    <row r="1862" spans="1:22" x14ac:dyDescent="0.3">
      <c r="A1862" s="1" t="s">
        <v>5243</v>
      </c>
      <c r="B1862" s="5">
        <v>46187</v>
      </c>
      <c r="C1862" s="6">
        <v>0.41666666666666663</v>
      </c>
      <c r="D1862" s="1" t="s">
        <v>30</v>
      </c>
      <c r="E1862" s="1" t="s">
        <v>32</v>
      </c>
      <c r="F1862" s="1" t="s">
        <v>5244</v>
      </c>
      <c r="G1862" s="39" t="s">
        <v>5085</v>
      </c>
      <c r="H1862" s="1">
        <v>0</v>
      </c>
      <c r="I1862" s="1">
        <v>2</v>
      </c>
      <c r="J1862" s="39" t="s">
        <v>5068</v>
      </c>
      <c r="K1862" s="1">
        <v>2</v>
      </c>
      <c r="L1862" s="1">
        <v>0</v>
      </c>
      <c r="S1862" s="1" t="s">
        <v>5245</v>
      </c>
      <c r="T1862" s="1">
        <v>1</v>
      </c>
      <c r="U1862" s="19"/>
      <c r="V1862" s="19"/>
    </row>
    <row r="1863" spans="1:22" x14ac:dyDescent="0.3">
      <c r="A1863" s="1" t="s">
        <v>5246</v>
      </c>
      <c r="B1863" s="5">
        <v>46165</v>
      </c>
      <c r="C1863" s="6">
        <v>0.41666666666666663</v>
      </c>
      <c r="D1863" s="1" t="s">
        <v>30</v>
      </c>
      <c r="E1863" s="1" t="s">
        <v>32</v>
      </c>
      <c r="F1863" s="1" t="s">
        <v>5247</v>
      </c>
      <c r="G1863" s="39" t="s">
        <v>5068</v>
      </c>
      <c r="H1863" s="1">
        <v>1</v>
      </c>
      <c r="I1863" s="1">
        <v>0</v>
      </c>
      <c r="J1863" s="39" t="s">
        <v>953</v>
      </c>
      <c r="K1863" s="1">
        <v>0</v>
      </c>
      <c r="L1863" s="1">
        <v>1</v>
      </c>
      <c r="S1863" s="1" t="s">
        <v>5248</v>
      </c>
      <c r="T1863" s="1">
        <v>1</v>
      </c>
      <c r="U1863" s="19"/>
      <c r="V1863" s="19"/>
    </row>
    <row r="1864" spans="1:22" x14ac:dyDescent="0.3">
      <c r="A1864" s="1" t="s">
        <v>5249</v>
      </c>
      <c r="B1864" s="5">
        <v>46160</v>
      </c>
      <c r="C1864" s="6">
        <v>0.58333333333333359</v>
      </c>
      <c r="D1864" s="1" t="s">
        <v>30</v>
      </c>
      <c r="E1864" s="1" t="s">
        <v>32</v>
      </c>
      <c r="F1864" s="1" t="s">
        <v>5250</v>
      </c>
      <c r="G1864" s="39" t="s">
        <v>5068</v>
      </c>
      <c r="H1864" s="1">
        <v>4</v>
      </c>
      <c r="I1864" s="1">
        <v>1</v>
      </c>
      <c r="J1864" s="39" t="s">
        <v>5060</v>
      </c>
      <c r="K1864" s="1">
        <v>1</v>
      </c>
      <c r="L1864" s="1">
        <v>4</v>
      </c>
      <c r="S1864" s="1" t="s">
        <v>5251</v>
      </c>
      <c r="T1864" s="1">
        <v>1</v>
      </c>
      <c r="U1864" s="19"/>
      <c r="V1864" s="19"/>
    </row>
    <row r="1865" spans="1:22" x14ac:dyDescent="0.3">
      <c r="A1865" s="1" t="s">
        <v>5252</v>
      </c>
      <c r="B1865" s="5">
        <v>46242</v>
      </c>
      <c r="C1865" s="6">
        <v>0.41666666666666663</v>
      </c>
      <c r="D1865" s="1" t="s">
        <v>30</v>
      </c>
      <c r="E1865" s="1" t="s">
        <v>32</v>
      </c>
      <c r="F1865" s="1" t="s">
        <v>5253</v>
      </c>
      <c r="G1865" s="39" t="s">
        <v>5056</v>
      </c>
      <c r="H1865" s="1">
        <v>0</v>
      </c>
      <c r="I1865" s="1">
        <v>1</v>
      </c>
      <c r="J1865" s="39" t="s">
        <v>5107</v>
      </c>
      <c r="K1865" s="1">
        <v>1</v>
      </c>
      <c r="L1865" s="1">
        <v>0</v>
      </c>
      <c r="S1865" s="1" t="s">
        <v>5254</v>
      </c>
      <c r="T1865" s="1">
        <v>1</v>
      </c>
      <c r="U1865" s="19"/>
      <c r="V1865" s="19"/>
    </row>
    <row r="1866" spans="1:22" x14ac:dyDescent="0.3">
      <c r="A1866" s="1" t="s">
        <v>5255</v>
      </c>
      <c r="B1866" s="5">
        <v>46221</v>
      </c>
      <c r="C1866" s="6">
        <v>0.41666666666666663</v>
      </c>
      <c r="D1866" s="1" t="s">
        <v>30</v>
      </c>
      <c r="E1866" s="1" t="s">
        <v>32</v>
      </c>
      <c r="F1866" s="1" t="s">
        <v>5256</v>
      </c>
      <c r="G1866" s="39" t="s">
        <v>953</v>
      </c>
      <c r="H1866" s="1">
        <v>2</v>
      </c>
      <c r="I1866" s="1">
        <v>0</v>
      </c>
      <c r="J1866" s="39" t="s">
        <v>5107</v>
      </c>
      <c r="K1866" s="1">
        <v>0</v>
      </c>
      <c r="L1866" s="1">
        <v>2</v>
      </c>
      <c r="S1866" s="1" t="s">
        <v>5257</v>
      </c>
      <c r="T1866" s="1">
        <v>1</v>
      </c>
      <c r="U1866" s="19"/>
      <c r="V1866" s="19"/>
    </row>
    <row r="1867" spans="1:22" x14ac:dyDescent="0.3">
      <c r="A1867" s="1" t="s">
        <v>5258</v>
      </c>
      <c r="B1867" s="5">
        <v>46195</v>
      </c>
      <c r="C1867" s="6">
        <v>0.58333333333333359</v>
      </c>
      <c r="D1867" s="1" t="s">
        <v>30</v>
      </c>
      <c r="E1867" s="1" t="s">
        <v>32</v>
      </c>
      <c r="F1867" s="1" t="s">
        <v>5259</v>
      </c>
      <c r="G1867" s="39" t="s">
        <v>67</v>
      </c>
      <c r="H1867" s="1">
        <v>2</v>
      </c>
      <c r="I1867" s="1">
        <v>3</v>
      </c>
      <c r="J1867" s="39" t="s">
        <v>5107</v>
      </c>
      <c r="K1867" s="1">
        <v>3</v>
      </c>
      <c r="L1867" s="1">
        <v>2</v>
      </c>
      <c r="S1867" s="1" t="s">
        <v>5260</v>
      </c>
      <c r="T1867" s="1">
        <v>1</v>
      </c>
      <c r="U1867" s="19"/>
      <c r="V1867" s="19"/>
    </row>
    <row r="1868" spans="1:22" x14ac:dyDescent="0.3">
      <c r="A1868" s="1" t="s">
        <v>5261</v>
      </c>
      <c r="B1868" s="5">
        <v>46189</v>
      </c>
      <c r="C1868" s="6">
        <v>0.58333333333333359</v>
      </c>
      <c r="D1868" s="1" t="s">
        <v>30</v>
      </c>
      <c r="E1868" s="1" t="s">
        <v>32</v>
      </c>
      <c r="F1868" s="1" t="s">
        <v>5262</v>
      </c>
      <c r="G1868" s="39" t="s">
        <v>5107</v>
      </c>
      <c r="H1868" s="1">
        <v>2</v>
      </c>
      <c r="I1868" s="1">
        <v>0</v>
      </c>
      <c r="J1868" s="39" t="s">
        <v>5038</v>
      </c>
      <c r="K1868" s="1">
        <v>0</v>
      </c>
      <c r="L1868" s="1">
        <v>2</v>
      </c>
      <c r="S1868" s="1" t="s">
        <v>5263</v>
      </c>
      <c r="T1868" s="1">
        <v>1</v>
      </c>
      <c r="U1868" s="19"/>
      <c r="V1868" s="19"/>
    </row>
    <row r="1869" spans="1:22" x14ac:dyDescent="0.3">
      <c r="A1869" s="1" t="s">
        <v>5264</v>
      </c>
      <c r="B1869" s="5">
        <v>46166</v>
      </c>
      <c r="C1869" s="6">
        <v>0.41666666666666663</v>
      </c>
      <c r="D1869" s="1" t="s">
        <v>30</v>
      </c>
      <c r="E1869" s="1" t="s">
        <v>32</v>
      </c>
      <c r="F1869" s="1" t="s">
        <v>5265</v>
      </c>
      <c r="G1869" s="39" t="s">
        <v>5064</v>
      </c>
      <c r="H1869" s="1">
        <v>0</v>
      </c>
      <c r="I1869" s="1">
        <v>1</v>
      </c>
      <c r="J1869" s="39" t="s">
        <v>5107</v>
      </c>
      <c r="K1869" s="1">
        <v>1</v>
      </c>
      <c r="L1869" s="1">
        <v>0</v>
      </c>
      <c r="S1869" s="1" t="s">
        <v>5266</v>
      </c>
      <c r="T1869" s="1">
        <v>1</v>
      </c>
      <c r="U1869" s="19"/>
      <c r="V1869" s="19"/>
    </row>
    <row r="1870" spans="1:22" x14ac:dyDescent="0.3">
      <c r="A1870" s="1" t="s">
        <v>5267</v>
      </c>
      <c r="B1870" s="5">
        <v>46151</v>
      </c>
      <c r="C1870" s="6">
        <v>0.41666666666666663</v>
      </c>
      <c r="D1870" s="1" t="s">
        <v>30</v>
      </c>
      <c r="E1870" s="1" t="s">
        <v>32</v>
      </c>
      <c r="F1870" s="1" t="s">
        <v>5268</v>
      </c>
      <c r="G1870" s="39" t="s">
        <v>5068</v>
      </c>
      <c r="H1870" s="1">
        <v>1</v>
      </c>
      <c r="I1870" s="1">
        <v>1</v>
      </c>
      <c r="J1870" s="39" t="s">
        <v>5107</v>
      </c>
      <c r="K1870" s="1">
        <v>1</v>
      </c>
      <c r="L1870" s="1">
        <v>1</v>
      </c>
      <c r="S1870" s="1" t="s">
        <v>5269</v>
      </c>
      <c r="T1870" s="1">
        <v>1</v>
      </c>
      <c r="U1870" s="19"/>
      <c r="V1870" s="19"/>
    </row>
    <row r="1871" spans="1:22" x14ac:dyDescent="0.3">
      <c r="A1871" s="1" t="s">
        <v>5270</v>
      </c>
      <c r="B1871" s="5">
        <v>46236</v>
      </c>
      <c r="C1871" s="6">
        <v>0.41666666666666663</v>
      </c>
      <c r="D1871" s="1" t="s">
        <v>30</v>
      </c>
      <c r="E1871" s="1" t="s">
        <v>32</v>
      </c>
      <c r="F1871" s="1" t="s">
        <v>5271</v>
      </c>
      <c r="G1871" s="39" t="s">
        <v>5038</v>
      </c>
      <c r="H1871" s="1">
        <v>2</v>
      </c>
      <c r="I1871" s="1">
        <v>2</v>
      </c>
      <c r="J1871" s="39" t="s">
        <v>5111</v>
      </c>
      <c r="K1871" s="1">
        <v>2</v>
      </c>
      <c r="L1871" s="1">
        <v>2</v>
      </c>
      <c r="S1871" s="1" t="s">
        <v>5272</v>
      </c>
      <c r="T1871" s="1">
        <v>1</v>
      </c>
      <c r="U1871" s="19"/>
      <c r="V1871" s="19"/>
    </row>
    <row r="1872" spans="1:22" x14ac:dyDescent="0.3">
      <c r="A1872" s="1" t="s">
        <v>5273</v>
      </c>
      <c r="B1872" s="5">
        <v>46229</v>
      </c>
      <c r="C1872" s="6">
        <v>0.41666666666666663</v>
      </c>
      <c r="D1872" s="1" t="s">
        <v>30</v>
      </c>
      <c r="E1872" s="1" t="s">
        <v>32</v>
      </c>
      <c r="F1872" s="1" t="s">
        <v>5274</v>
      </c>
      <c r="G1872" s="39" t="s">
        <v>5111</v>
      </c>
      <c r="H1872" s="1">
        <v>2</v>
      </c>
      <c r="I1872" s="1">
        <v>1</v>
      </c>
      <c r="J1872" s="39" t="s">
        <v>5064</v>
      </c>
      <c r="K1872" s="1">
        <v>1</v>
      </c>
      <c r="L1872" s="1">
        <v>2</v>
      </c>
      <c r="S1872" s="1" t="s">
        <v>5275</v>
      </c>
      <c r="T1872" s="1">
        <v>1</v>
      </c>
      <c r="U1872" s="19"/>
      <c r="V1872" s="19"/>
    </row>
    <row r="1873" spans="1:22" x14ac:dyDescent="0.3">
      <c r="A1873" s="1" t="s">
        <v>5276</v>
      </c>
      <c r="B1873" s="5">
        <v>46200</v>
      </c>
      <c r="C1873" s="6">
        <v>0.41666666666666663</v>
      </c>
      <c r="D1873" s="1" t="s">
        <v>30</v>
      </c>
      <c r="E1873" s="1" t="s">
        <v>32</v>
      </c>
      <c r="F1873" s="1" t="s">
        <v>5277</v>
      </c>
      <c r="G1873" s="39" t="s">
        <v>5111</v>
      </c>
      <c r="H1873" s="1">
        <v>3</v>
      </c>
      <c r="I1873" s="1">
        <v>2</v>
      </c>
      <c r="J1873" s="39" t="s">
        <v>5060</v>
      </c>
      <c r="K1873" s="1">
        <v>2</v>
      </c>
      <c r="L1873" s="1">
        <v>3</v>
      </c>
      <c r="S1873" s="1" t="s">
        <v>5278</v>
      </c>
      <c r="T1873" s="1">
        <v>1</v>
      </c>
      <c r="U1873" s="19"/>
      <c r="V1873" s="19"/>
    </row>
    <row r="1874" spans="1:22" x14ac:dyDescent="0.3">
      <c r="A1874" s="1" t="s">
        <v>5279</v>
      </c>
      <c r="B1874" s="5">
        <v>46187</v>
      </c>
      <c r="C1874" s="6">
        <v>0.41666666666666663</v>
      </c>
      <c r="D1874" s="1" t="s">
        <v>30</v>
      </c>
      <c r="E1874" s="1" t="s">
        <v>32</v>
      </c>
      <c r="F1874" s="1" t="s">
        <v>5280</v>
      </c>
      <c r="G1874" s="39" t="s">
        <v>5111</v>
      </c>
      <c r="H1874" s="1">
        <v>1</v>
      </c>
      <c r="I1874" s="1">
        <v>1</v>
      </c>
      <c r="J1874" s="39" t="s">
        <v>953</v>
      </c>
      <c r="K1874" s="1">
        <v>1</v>
      </c>
      <c r="L1874" s="1">
        <v>1</v>
      </c>
      <c r="S1874" s="1" t="s">
        <v>5281</v>
      </c>
      <c r="T1874" s="1">
        <v>1</v>
      </c>
      <c r="U1874" s="19"/>
      <c r="V1874" s="19"/>
    </row>
    <row r="1875" spans="1:22" x14ac:dyDescent="0.3">
      <c r="A1875" s="1" t="s">
        <v>5282</v>
      </c>
      <c r="B1875" s="5">
        <v>46172</v>
      </c>
      <c r="C1875" s="6">
        <v>0.41666666666666663</v>
      </c>
      <c r="D1875" s="1" t="s">
        <v>30</v>
      </c>
      <c r="E1875" s="1" t="s">
        <v>32</v>
      </c>
      <c r="F1875" s="1" t="s">
        <v>5283</v>
      </c>
      <c r="G1875" s="39" t="s">
        <v>5111</v>
      </c>
      <c r="H1875" s="1">
        <v>1</v>
      </c>
      <c r="I1875" s="1">
        <v>3</v>
      </c>
      <c r="J1875" s="39" t="s">
        <v>67</v>
      </c>
      <c r="K1875" s="1">
        <v>3</v>
      </c>
      <c r="L1875" s="1">
        <v>1</v>
      </c>
      <c r="S1875" s="1" t="s">
        <v>5284</v>
      </c>
      <c r="T1875" s="1">
        <v>1</v>
      </c>
      <c r="U1875" s="19"/>
      <c r="V1875" s="19"/>
    </row>
    <row r="1876" spans="1:22" x14ac:dyDescent="0.3">
      <c r="A1876" s="1" t="s">
        <v>5285</v>
      </c>
      <c r="B1876" s="5">
        <v>46165</v>
      </c>
      <c r="C1876" s="6">
        <v>0.41666666666666663</v>
      </c>
      <c r="D1876" s="1" t="s">
        <v>30</v>
      </c>
      <c r="E1876" s="1" t="s">
        <v>32</v>
      </c>
      <c r="F1876" s="1" t="s">
        <v>5286</v>
      </c>
      <c r="G1876" s="39" t="s">
        <v>5085</v>
      </c>
      <c r="H1876" s="1">
        <v>2</v>
      </c>
      <c r="I1876" s="1">
        <v>1</v>
      </c>
      <c r="J1876" s="39" t="s">
        <v>5111</v>
      </c>
      <c r="K1876" s="1">
        <v>1</v>
      </c>
      <c r="L1876" s="1">
        <v>2</v>
      </c>
      <c r="S1876" s="1" t="s">
        <v>5287</v>
      </c>
      <c r="T1876" s="1">
        <v>1</v>
      </c>
      <c r="U1876" s="19"/>
      <c r="V1876" s="19"/>
    </row>
    <row r="1877" spans="1:22" x14ac:dyDescent="0.3">
      <c r="A1877" s="1" t="s">
        <v>5288</v>
      </c>
      <c r="B1877" s="5">
        <v>46159</v>
      </c>
      <c r="C1877" s="6">
        <v>0.41666666666666663</v>
      </c>
      <c r="D1877" s="1" t="s">
        <v>30</v>
      </c>
      <c r="E1877" s="1" t="s">
        <v>32</v>
      </c>
      <c r="F1877" s="1" t="s">
        <v>5289</v>
      </c>
      <c r="G1877" s="39" t="s">
        <v>5056</v>
      </c>
      <c r="H1877" s="1">
        <v>1</v>
      </c>
      <c r="I1877" s="1">
        <v>4</v>
      </c>
      <c r="J1877" s="39" t="s">
        <v>5111</v>
      </c>
      <c r="K1877" s="1">
        <v>4</v>
      </c>
      <c r="L1877" s="1">
        <v>1</v>
      </c>
      <c r="S1877" s="1" t="s">
        <v>5290</v>
      </c>
      <c r="T1877" s="1">
        <v>1</v>
      </c>
      <c r="U1877" s="19"/>
      <c r="V1877" s="19"/>
    </row>
    <row r="1878" spans="1:22" x14ac:dyDescent="0.3">
      <c r="A1878" s="1" t="s">
        <v>5291</v>
      </c>
      <c r="B1878" s="5">
        <v>46222</v>
      </c>
      <c r="C1878" s="6">
        <v>0.41666666666666663</v>
      </c>
      <c r="D1878" s="1" t="s">
        <v>30</v>
      </c>
      <c r="E1878" s="1" t="s">
        <v>32</v>
      </c>
      <c r="F1878" s="1" t="s">
        <v>5292</v>
      </c>
      <c r="G1878" s="39" t="s">
        <v>5038</v>
      </c>
      <c r="H1878" s="1">
        <v>2</v>
      </c>
      <c r="I1878" s="1">
        <v>0</v>
      </c>
      <c r="J1878" s="39" t="s">
        <v>5060</v>
      </c>
      <c r="K1878" s="1">
        <v>0</v>
      </c>
      <c r="L1878" s="1">
        <v>2</v>
      </c>
      <c r="S1878" s="1" t="s">
        <v>5293</v>
      </c>
      <c r="T1878" s="1">
        <v>1</v>
      </c>
      <c r="U1878" s="19"/>
      <c r="V1878" s="19"/>
    </row>
    <row r="1879" spans="1:22" x14ac:dyDescent="0.3">
      <c r="A1879" s="1" t="s">
        <v>5294</v>
      </c>
      <c r="B1879" s="5">
        <v>46194</v>
      </c>
      <c r="C1879" s="6">
        <v>0.41666666666666663</v>
      </c>
      <c r="D1879" s="1" t="s">
        <v>30</v>
      </c>
      <c r="E1879" s="1" t="s">
        <v>32</v>
      </c>
      <c r="F1879" s="1" t="s">
        <v>5295</v>
      </c>
      <c r="G1879" s="39" t="s">
        <v>5085</v>
      </c>
      <c r="H1879" s="1">
        <v>0</v>
      </c>
      <c r="I1879" s="1">
        <v>0</v>
      </c>
      <c r="J1879" s="39" t="s">
        <v>5038</v>
      </c>
      <c r="K1879" s="1">
        <v>0</v>
      </c>
      <c r="L1879" s="1">
        <v>0</v>
      </c>
      <c r="S1879" s="1" t="s">
        <v>5296</v>
      </c>
      <c r="T1879" s="1">
        <v>1</v>
      </c>
      <c r="U1879" s="19"/>
      <c r="V1879" s="19"/>
    </row>
    <row r="1880" spans="1:22" x14ac:dyDescent="0.3">
      <c r="A1880" s="1" t="s">
        <v>5297</v>
      </c>
      <c r="B1880" s="5">
        <v>46182</v>
      </c>
      <c r="C1880" s="6">
        <v>0.58333333333333359</v>
      </c>
      <c r="D1880" s="1" t="s">
        <v>30</v>
      </c>
      <c r="E1880" s="1" t="s">
        <v>32</v>
      </c>
      <c r="F1880" s="1" t="s">
        <v>5298</v>
      </c>
      <c r="G1880" s="39" t="s">
        <v>5038</v>
      </c>
      <c r="H1880" s="1">
        <v>1</v>
      </c>
      <c r="I1880" s="1">
        <v>1</v>
      </c>
      <c r="J1880" s="39" t="s">
        <v>953</v>
      </c>
      <c r="K1880" s="1">
        <v>1</v>
      </c>
      <c r="L1880" s="1">
        <v>1</v>
      </c>
      <c r="S1880" s="1" t="s">
        <v>5299</v>
      </c>
      <c r="T1880" s="1">
        <v>1</v>
      </c>
      <c r="U1880" s="19"/>
      <c r="V1880" s="19"/>
    </row>
    <row r="1881" spans="1:22" x14ac:dyDescent="0.3">
      <c r="A1881" s="1" t="s">
        <v>5300</v>
      </c>
      <c r="B1881" s="5">
        <v>46244</v>
      </c>
      <c r="C1881" s="6">
        <v>0.58333333333333359</v>
      </c>
      <c r="D1881" s="1" t="s">
        <v>30</v>
      </c>
      <c r="E1881" s="1" t="s">
        <v>32</v>
      </c>
      <c r="F1881" s="1" t="s">
        <v>5301</v>
      </c>
      <c r="G1881" s="39" t="s">
        <v>5085</v>
      </c>
      <c r="H1881" s="1">
        <v>3</v>
      </c>
      <c r="I1881" s="1">
        <v>1</v>
      </c>
      <c r="J1881" s="39" t="s">
        <v>5060</v>
      </c>
      <c r="K1881" s="1">
        <v>1</v>
      </c>
      <c r="L1881" s="1">
        <v>3</v>
      </c>
      <c r="S1881" s="1" t="s">
        <v>5302</v>
      </c>
      <c r="T1881" s="1">
        <v>1</v>
      </c>
      <c r="U1881" s="19"/>
      <c r="V1881" s="19"/>
    </row>
    <row r="1882" spans="1:22" x14ac:dyDescent="0.3">
      <c r="A1882" s="1" t="s">
        <v>5303</v>
      </c>
      <c r="B1882" s="5">
        <v>46229</v>
      </c>
      <c r="C1882" s="6">
        <v>0.41666666666666663</v>
      </c>
      <c r="D1882" s="1" t="s">
        <v>30</v>
      </c>
      <c r="E1882" s="1" t="s">
        <v>32</v>
      </c>
      <c r="F1882" s="1" t="s">
        <v>5304</v>
      </c>
      <c r="G1882" s="39" t="s">
        <v>5085</v>
      </c>
      <c r="H1882" s="1">
        <v>2</v>
      </c>
      <c r="I1882" s="1">
        <v>2</v>
      </c>
      <c r="J1882" s="39" t="s">
        <v>953</v>
      </c>
      <c r="K1882" s="1">
        <v>2</v>
      </c>
      <c r="L1882" s="1">
        <v>2</v>
      </c>
      <c r="S1882" s="1" t="s">
        <v>5305</v>
      </c>
      <c r="T1882" s="1">
        <v>1</v>
      </c>
      <c r="U1882" s="19"/>
      <c r="V1882" s="19"/>
    </row>
    <row r="1883" spans="1:22" x14ac:dyDescent="0.3">
      <c r="A1883" s="1" t="s">
        <v>5306</v>
      </c>
      <c r="B1883" s="5">
        <v>46183</v>
      </c>
      <c r="C1883" s="6">
        <v>0.58333333333333359</v>
      </c>
      <c r="D1883" s="1" t="s">
        <v>30</v>
      </c>
      <c r="E1883" s="1" t="s">
        <v>32</v>
      </c>
      <c r="F1883" s="1" t="s">
        <v>5307</v>
      </c>
      <c r="G1883" s="39" t="s">
        <v>67</v>
      </c>
      <c r="H1883" s="1">
        <v>2</v>
      </c>
      <c r="I1883" s="1">
        <v>0</v>
      </c>
      <c r="J1883" s="39" t="s">
        <v>5085</v>
      </c>
      <c r="K1883" s="1">
        <v>0</v>
      </c>
      <c r="L1883" s="1">
        <v>2</v>
      </c>
      <c r="S1883" s="1" t="s">
        <v>5308</v>
      </c>
      <c r="T1883" s="1">
        <v>1</v>
      </c>
      <c r="U1883" s="19"/>
      <c r="V1883" s="19"/>
    </row>
    <row r="1884" spans="1:22" x14ac:dyDescent="0.3">
      <c r="A1884" s="1" t="s">
        <v>5309</v>
      </c>
      <c r="B1884" s="5">
        <v>46172</v>
      </c>
      <c r="C1884" s="6">
        <v>0.41666666666666663</v>
      </c>
      <c r="D1884" s="1" t="s">
        <v>30</v>
      </c>
      <c r="E1884" s="1" t="s">
        <v>32</v>
      </c>
      <c r="F1884" s="1" t="s">
        <v>5310</v>
      </c>
      <c r="G1884" s="39" t="s">
        <v>5056</v>
      </c>
      <c r="H1884" s="1">
        <v>2</v>
      </c>
      <c r="I1884" s="1">
        <v>1</v>
      </c>
      <c r="J1884" s="39" t="s">
        <v>5085</v>
      </c>
      <c r="K1884" s="1">
        <v>1</v>
      </c>
      <c r="L1884" s="1">
        <v>2</v>
      </c>
      <c r="S1884" s="1" t="s">
        <v>5311</v>
      </c>
      <c r="T1884" s="1">
        <v>1</v>
      </c>
      <c r="U1884" s="19"/>
      <c r="V1884" s="19"/>
    </row>
    <row r="1885" spans="1:22" x14ac:dyDescent="0.3">
      <c r="A1885" s="1" t="s">
        <v>5312</v>
      </c>
      <c r="B1885" s="5">
        <v>46154</v>
      </c>
      <c r="C1885" s="6">
        <v>0.58333333333333359</v>
      </c>
      <c r="D1885" s="1" t="s">
        <v>30</v>
      </c>
      <c r="E1885" s="1" t="s">
        <v>32</v>
      </c>
      <c r="F1885" s="1" t="s">
        <v>5313</v>
      </c>
      <c r="G1885" s="39" t="s">
        <v>5107</v>
      </c>
      <c r="H1885" s="1">
        <v>1</v>
      </c>
      <c r="I1885" s="1">
        <v>1</v>
      </c>
      <c r="J1885" s="39" t="s">
        <v>5085</v>
      </c>
      <c r="K1885" s="1">
        <v>1</v>
      </c>
      <c r="L1885" s="1">
        <v>1</v>
      </c>
      <c r="S1885" s="1" t="s">
        <v>5314</v>
      </c>
      <c r="T1885" s="1">
        <v>1</v>
      </c>
      <c r="U1885" s="19"/>
      <c r="V1885" s="19"/>
    </row>
    <row r="1886" spans="1:22" x14ac:dyDescent="0.3">
      <c r="A1886" s="1" t="s">
        <v>5315</v>
      </c>
      <c r="B1886" s="5">
        <v>46243</v>
      </c>
      <c r="C1886" s="6">
        <v>0.41666666666666663</v>
      </c>
      <c r="D1886" s="1" t="s">
        <v>30</v>
      </c>
      <c r="E1886" s="1" t="s">
        <v>32</v>
      </c>
      <c r="F1886" s="1" t="s">
        <v>5316</v>
      </c>
      <c r="G1886" s="39" t="s">
        <v>67</v>
      </c>
      <c r="H1886" s="1">
        <v>0</v>
      </c>
      <c r="I1886" s="1">
        <v>1</v>
      </c>
      <c r="J1886" s="39" t="s">
        <v>5064</v>
      </c>
      <c r="K1886" s="1">
        <v>1</v>
      </c>
      <c r="L1886" s="1">
        <v>0</v>
      </c>
      <c r="S1886" s="1" t="s">
        <v>5317</v>
      </c>
      <c r="T1886" s="1">
        <v>1</v>
      </c>
      <c r="U1886" s="19"/>
      <c r="V1886" s="19"/>
    </row>
    <row r="1887" spans="1:22" x14ac:dyDescent="0.3">
      <c r="A1887" s="1" t="s">
        <v>5318</v>
      </c>
      <c r="B1887" s="5">
        <v>46195</v>
      </c>
      <c r="C1887" s="6">
        <v>0.58333333333333359</v>
      </c>
      <c r="D1887" s="1" t="s">
        <v>30</v>
      </c>
      <c r="E1887" s="1" t="s">
        <v>32</v>
      </c>
      <c r="F1887" s="1" t="s">
        <v>5319</v>
      </c>
      <c r="G1887" s="39" t="s">
        <v>5060</v>
      </c>
      <c r="H1887" s="1">
        <v>1</v>
      </c>
      <c r="I1887" s="1">
        <v>1</v>
      </c>
      <c r="J1887" s="39" t="s">
        <v>5064</v>
      </c>
      <c r="K1887" s="1">
        <v>1</v>
      </c>
      <c r="L1887" s="1">
        <v>1</v>
      </c>
      <c r="S1887" s="1" t="s">
        <v>5320</v>
      </c>
      <c r="T1887" s="1">
        <v>1</v>
      </c>
      <c r="U1887" s="19"/>
      <c r="V1887" s="19"/>
    </row>
    <row r="1888" spans="1:22" x14ac:dyDescent="0.3">
      <c r="A1888" s="1" t="s">
        <v>5321</v>
      </c>
      <c r="B1888" s="5">
        <v>46159</v>
      </c>
      <c r="C1888" s="6">
        <v>0.41666666666666663</v>
      </c>
      <c r="D1888" s="1" t="s">
        <v>30</v>
      </c>
      <c r="E1888" s="1" t="s">
        <v>32</v>
      </c>
      <c r="F1888" s="1" t="s">
        <v>5322</v>
      </c>
      <c r="G1888" s="39" t="s">
        <v>953</v>
      </c>
      <c r="H1888" s="1">
        <v>2</v>
      </c>
      <c r="I1888" s="1">
        <v>1</v>
      </c>
      <c r="J1888" s="39" t="s">
        <v>5064</v>
      </c>
      <c r="K1888" s="1">
        <v>1</v>
      </c>
      <c r="L1888" s="1">
        <v>2</v>
      </c>
      <c r="S1888" s="1" t="s">
        <v>5323</v>
      </c>
      <c r="T1888" s="1">
        <v>1</v>
      </c>
      <c r="U1888" s="19"/>
      <c r="V1888" s="19"/>
    </row>
    <row r="1889" spans="1:22" x14ac:dyDescent="0.3">
      <c r="A1889" s="1" t="s">
        <v>5324</v>
      </c>
      <c r="B1889" s="5">
        <v>46155</v>
      </c>
      <c r="C1889" s="6">
        <v>0.58333333333333359</v>
      </c>
      <c r="D1889" s="1" t="s">
        <v>30</v>
      </c>
      <c r="E1889" s="1" t="s">
        <v>32</v>
      </c>
      <c r="F1889" s="1" t="s">
        <v>5325</v>
      </c>
      <c r="G1889" s="39" t="s">
        <v>5056</v>
      </c>
      <c r="H1889" s="1">
        <v>1</v>
      </c>
      <c r="I1889" s="1">
        <v>0</v>
      </c>
      <c r="J1889" s="39" t="s">
        <v>5064</v>
      </c>
      <c r="K1889" s="1">
        <v>0</v>
      </c>
      <c r="L1889" s="1">
        <v>1</v>
      </c>
      <c r="S1889" s="1" t="s">
        <v>5326</v>
      </c>
      <c r="T1889" s="1">
        <v>1</v>
      </c>
      <c r="U1889" s="19"/>
      <c r="V1889" s="19"/>
    </row>
    <row r="1890" spans="1:22" x14ac:dyDescent="0.3">
      <c r="A1890" s="1" t="s">
        <v>5328</v>
      </c>
      <c r="B1890" s="5">
        <v>46235</v>
      </c>
      <c r="C1890" s="6">
        <v>0.33333333333333359</v>
      </c>
      <c r="D1890" s="1" t="s">
        <v>30</v>
      </c>
      <c r="E1890" s="1" t="s">
        <v>32</v>
      </c>
      <c r="F1890" s="1" t="s">
        <v>5329</v>
      </c>
      <c r="G1890" s="39" t="s">
        <v>953</v>
      </c>
      <c r="H1890" s="1">
        <v>1</v>
      </c>
      <c r="I1890" s="1">
        <v>0</v>
      </c>
      <c r="J1890" s="39" t="s">
        <v>5056</v>
      </c>
      <c r="K1890" s="1">
        <v>0</v>
      </c>
      <c r="L1890" s="1">
        <v>1</v>
      </c>
      <c r="S1890" s="1" t="s">
        <v>5330</v>
      </c>
      <c r="T1890" s="1">
        <v>1</v>
      </c>
      <c r="U1890" s="19"/>
      <c r="V1890" s="19"/>
    </row>
    <row r="1891" spans="1:22" x14ac:dyDescent="0.3">
      <c r="A1891" s="1" t="s">
        <v>5331</v>
      </c>
      <c r="B1891" s="5">
        <v>46200</v>
      </c>
      <c r="C1891" s="6">
        <v>0.41666666666666663</v>
      </c>
      <c r="D1891" s="1" t="s">
        <v>30</v>
      </c>
      <c r="E1891" s="1" t="s">
        <v>32</v>
      </c>
      <c r="F1891" s="1" t="s">
        <v>5332</v>
      </c>
      <c r="G1891" s="39" t="s">
        <v>67</v>
      </c>
      <c r="H1891" s="1">
        <v>2</v>
      </c>
      <c r="I1891" s="1">
        <v>1</v>
      </c>
      <c r="J1891" s="39" t="s">
        <v>5056</v>
      </c>
      <c r="K1891" s="1">
        <v>1</v>
      </c>
      <c r="L1891" s="1">
        <v>2</v>
      </c>
      <c r="S1891" s="1" t="s">
        <v>5333</v>
      </c>
      <c r="T1891" s="1">
        <v>1</v>
      </c>
      <c r="U1891" s="19"/>
      <c r="V1891" s="19"/>
    </row>
    <row r="1892" spans="1:22" x14ac:dyDescent="0.3">
      <c r="A1892" s="1" t="s">
        <v>5334</v>
      </c>
      <c r="B1892" s="5">
        <v>46173</v>
      </c>
      <c r="C1892" s="6">
        <v>0.58333333333333359</v>
      </c>
      <c r="D1892" s="1" t="s">
        <v>30</v>
      </c>
      <c r="E1892" s="1" t="s">
        <v>32</v>
      </c>
      <c r="F1892" s="1" t="s">
        <v>5335</v>
      </c>
      <c r="G1892" s="39" t="s">
        <v>953</v>
      </c>
      <c r="H1892" s="1">
        <v>3</v>
      </c>
      <c r="I1892" s="1">
        <v>2</v>
      </c>
      <c r="J1892" s="39" t="s">
        <v>5060</v>
      </c>
      <c r="K1892" s="1">
        <v>2</v>
      </c>
      <c r="L1892" s="1">
        <v>3</v>
      </c>
      <c r="S1892" s="1" t="s">
        <v>5336</v>
      </c>
      <c r="T1892" s="1">
        <v>1</v>
      </c>
      <c r="U1892" s="19"/>
      <c r="V1892" s="19"/>
    </row>
    <row r="1893" spans="1:22" x14ac:dyDescent="0.3">
      <c r="A1893" s="1" t="s">
        <v>5342</v>
      </c>
      <c r="B1893" s="5">
        <v>46242</v>
      </c>
      <c r="C1893" s="6">
        <v>0.33333333333333331</v>
      </c>
      <c r="D1893" s="1" t="s">
        <v>30</v>
      </c>
      <c r="E1893" s="1" t="s">
        <v>34</v>
      </c>
      <c r="F1893" s="1" t="s">
        <v>5343</v>
      </c>
      <c r="G1893" s="39" t="s">
        <v>5344</v>
      </c>
      <c r="H1893" s="1">
        <v>1</v>
      </c>
      <c r="I1893" s="1">
        <v>2</v>
      </c>
      <c r="J1893" s="39" t="s">
        <v>285</v>
      </c>
      <c r="K1893" s="1">
        <v>2</v>
      </c>
      <c r="L1893" s="1">
        <v>1</v>
      </c>
      <c r="S1893" s="1" t="s">
        <v>5345</v>
      </c>
      <c r="T1893" s="1">
        <v>1</v>
      </c>
      <c r="U1893" s="19"/>
      <c r="V1893" s="19"/>
    </row>
    <row r="1894" spans="1:22" x14ac:dyDescent="0.3">
      <c r="A1894" s="1" t="s">
        <v>5346</v>
      </c>
      <c r="B1894" s="5">
        <v>46235</v>
      </c>
      <c r="C1894" s="6">
        <v>0.33333333333333331</v>
      </c>
      <c r="D1894" s="1" t="s">
        <v>30</v>
      </c>
      <c r="E1894" s="1" t="s">
        <v>34</v>
      </c>
      <c r="F1894" s="1" t="s">
        <v>5347</v>
      </c>
      <c r="G1894" s="39" t="s">
        <v>5348</v>
      </c>
      <c r="H1894" s="1">
        <v>2</v>
      </c>
      <c r="I1894" s="1">
        <v>2</v>
      </c>
      <c r="J1894" s="39" t="s">
        <v>5344</v>
      </c>
      <c r="K1894" s="1">
        <v>2</v>
      </c>
      <c r="L1894" s="1">
        <v>2</v>
      </c>
      <c r="S1894" s="1" t="s">
        <v>5349</v>
      </c>
      <c r="T1894" s="1">
        <v>1</v>
      </c>
      <c r="U1894" s="19"/>
      <c r="V1894" s="19"/>
    </row>
    <row r="1895" spans="1:22" x14ac:dyDescent="0.3">
      <c r="A1895" s="1" t="s">
        <v>5350</v>
      </c>
      <c r="B1895" s="5">
        <v>46200</v>
      </c>
      <c r="C1895" s="6">
        <v>0.41666666666666669</v>
      </c>
      <c r="D1895" s="1" t="s">
        <v>30</v>
      </c>
      <c r="E1895" s="1" t="s">
        <v>34</v>
      </c>
      <c r="F1895" s="1" t="s">
        <v>5351</v>
      </c>
      <c r="G1895" s="39" t="s">
        <v>5344</v>
      </c>
      <c r="H1895" s="1">
        <v>1</v>
      </c>
      <c r="I1895" s="1">
        <v>0</v>
      </c>
      <c r="J1895" s="39" t="s">
        <v>5340</v>
      </c>
      <c r="K1895" s="1">
        <v>0</v>
      </c>
      <c r="L1895" s="1">
        <v>1</v>
      </c>
      <c r="S1895" s="1" t="s">
        <v>5352</v>
      </c>
      <c r="T1895" s="1">
        <v>1</v>
      </c>
      <c r="U1895" s="19"/>
      <c r="V1895" s="19"/>
    </row>
    <row r="1896" spans="1:22" x14ac:dyDescent="0.3">
      <c r="A1896" s="1" t="s">
        <v>5353</v>
      </c>
      <c r="B1896" s="5">
        <v>46194</v>
      </c>
      <c r="C1896" s="6">
        <v>0.41666666666666669</v>
      </c>
      <c r="D1896" s="1" t="s">
        <v>30</v>
      </c>
      <c r="E1896" s="1" t="s">
        <v>34</v>
      </c>
      <c r="F1896" s="1" t="s">
        <v>5354</v>
      </c>
      <c r="G1896" s="39" t="s">
        <v>5344</v>
      </c>
      <c r="H1896" s="1">
        <v>1</v>
      </c>
      <c r="I1896" s="1">
        <v>2</v>
      </c>
      <c r="J1896" s="39" t="s">
        <v>5355</v>
      </c>
      <c r="K1896" s="1">
        <v>2</v>
      </c>
      <c r="L1896" s="1">
        <v>1</v>
      </c>
      <c r="S1896" s="1" t="s">
        <v>5356</v>
      </c>
      <c r="T1896" s="1">
        <v>1</v>
      </c>
      <c r="U1896" s="19"/>
      <c r="V1896" s="19"/>
    </row>
    <row r="1897" spans="1:22" x14ac:dyDescent="0.3">
      <c r="A1897" s="1" t="s">
        <v>5357</v>
      </c>
      <c r="B1897" s="5">
        <v>46185</v>
      </c>
      <c r="C1897" s="6">
        <v>0.58333333333333337</v>
      </c>
      <c r="D1897" s="1" t="s">
        <v>30</v>
      </c>
      <c r="E1897" s="1" t="s">
        <v>34</v>
      </c>
      <c r="F1897" s="1" t="s">
        <v>5358</v>
      </c>
      <c r="G1897" s="39" t="s">
        <v>286</v>
      </c>
      <c r="H1897" s="1">
        <v>1</v>
      </c>
      <c r="I1897" s="1">
        <v>4</v>
      </c>
      <c r="J1897" s="39" t="s">
        <v>5344</v>
      </c>
      <c r="K1897" s="1">
        <v>4</v>
      </c>
      <c r="L1897" s="1">
        <v>1</v>
      </c>
      <c r="S1897" s="1" t="s">
        <v>5359</v>
      </c>
      <c r="T1897" s="1">
        <v>1</v>
      </c>
      <c r="U1897" s="19"/>
      <c r="V1897" s="19"/>
    </row>
    <row r="1898" spans="1:22" x14ac:dyDescent="0.3">
      <c r="A1898" s="1" t="s">
        <v>5360</v>
      </c>
      <c r="B1898" s="5">
        <v>46180</v>
      </c>
      <c r="C1898" s="6">
        <v>0.41666666666666669</v>
      </c>
      <c r="D1898" s="1" t="s">
        <v>30</v>
      </c>
      <c r="E1898" s="1" t="s">
        <v>34</v>
      </c>
      <c r="F1898" s="1" t="s">
        <v>5361</v>
      </c>
      <c r="G1898" s="39" t="s">
        <v>5344</v>
      </c>
      <c r="H1898" s="1">
        <v>2</v>
      </c>
      <c r="I1898" s="1">
        <v>1</v>
      </c>
      <c r="J1898" s="39" t="s">
        <v>5362</v>
      </c>
      <c r="K1898" s="1">
        <v>1</v>
      </c>
      <c r="L1898" s="1">
        <v>2</v>
      </c>
      <c r="S1898" s="1" t="s">
        <v>5363</v>
      </c>
      <c r="T1898" s="1">
        <v>1</v>
      </c>
      <c r="U1898" s="19"/>
      <c r="V1898" s="19"/>
    </row>
    <row r="1899" spans="1:22" x14ac:dyDescent="0.3">
      <c r="A1899" s="1" t="s">
        <v>5364</v>
      </c>
      <c r="B1899" s="5">
        <v>46172</v>
      </c>
      <c r="C1899" s="6">
        <v>0.41666666666666669</v>
      </c>
      <c r="D1899" s="1" t="s">
        <v>30</v>
      </c>
      <c r="E1899" s="1" t="s">
        <v>34</v>
      </c>
      <c r="F1899" s="1" t="s">
        <v>5365</v>
      </c>
      <c r="G1899" s="39" t="s">
        <v>5344</v>
      </c>
      <c r="H1899" s="1">
        <v>4</v>
      </c>
      <c r="I1899" s="1">
        <v>2</v>
      </c>
      <c r="J1899" s="39" t="s">
        <v>5366</v>
      </c>
      <c r="K1899" s="1">
        <v>2</v>
      </c>
      <c r="L1899" s="1">
        <v>4</v>
      </c>
      <c r="S1899" s="1" t="s">
        <v>5367</v>
      </c>
      <c r="T1899" s="1">
        <v>1</v>
      </c>
      <c r="U1899" s="19"/>
      <c r="V1899" s="19"/>
    </row>
    <row r="1900" spans="1:22" x14ac:dyDescent="0.3">
      <c r="A1900" s="1" t="s">
        <v>5368</v>
      </c>
      <c r="B1900" s="5">
        <v>46165</v>
      </c>
      <c r="C1900" s="6">
        <v>0.41666666666666669</v>
      </c>
      <c r="D1900" s="1" t="s">
        <v>30</v>
      </c>
      <c r="E1900" s="1" t="s">
        <v>34</v>
      </c>
      <c r="F1900" s="1" t="s">
        <v>5369</v>
      </c>
      <c r="G1900" s="39" t="s">
        <v>5370</v>
      </c>
      <c r="H1900" s="1">
        <v>0</v>
      </c>
      <c r="I1900" s="1">
        <v>4</v>
      </c>
      <c r="J1900" s="39" t="s">
        <v>5344</v>
      </c>
      <c r="K1900" s="1">
        <v>4</v>
      </c>
      <c r="L1900" s="1">
        <v>0</v>
      </c>
      <c r="S1900" s="1" t="s">
        <v>5371</v>
      </c>
      <c r="T1900" s="1">
        <v>1</v>
      </c>
      <c r="U1900" s="19"/>
      <c r="V1900" s="19"/>
    </row>
    <row r="1901" spans="1:22" x14ac:dyDescent="0.3">
      <c r="A1901" s="1" t="s">
        <v>5372</v>
      </c>
      <c r="B1901" s="5">
        <v>46160</v>
      </c>
      <c r="C1901" s="6">
        <v>0.58333333333333337</v>
      </c>
      <c r="D1901" s="1" t="s">
        <v>30</v>
      </c>
      <c r="E1901" s="1" t="s">
        <v>34</v>
      </c>
      <c r="F1901" s="1" t="s">
        <v>5373</v>
      </c>
      <c r="G1901" s="39" t="s">
        <v>5344</v>
      </c>
      <c r="H1901" s="1">
        <v>0</v>
      </c>
      <c r="I1901" s="1">
        <v>1</v>
      </c>
      <c r="J1901" s="39" t="s">
        <v>5374</v>
      </c>
      <c r="K1901" s="1">
        <v>1</v>
      </c>
      <c r="L1901" s="1">
        <v>0</v>
      </c>
      <c r="S1901" s="1" t="s">
        <v>5375</v>
      </c>
      <c r="T1901" s="1">
        <v>1</v>
      </c>
      <c r="U1901" s="19"/>
      <c r="V1901" s="19"/>
    </row>
    <row r="1902" spans="1:22" x14ac:dyDescent="0.3">
      <c r="A1902" s="1" t="s">
        <v>5376</v>
      </c>
      <c r="B1902" s="5">
        <v>46156</v>
      </c>
      <c r="C1902" s="6">
        <v>0.58333333333333337</v>
      </c>
      <c r="D1902" s="1" t="s">
        <v>30</v>
      </c>
      <c r="E1902" s="1" t="s">
        <v>34</v>
      </c>
      <c r="F1902" s="1" t="s">
        <v>5377</v>
      </c>
      <c r="G1902" s="39" t="s">
        <v>5378</v>
      </c>
      <c r="H1902" s="1">
        <v>0</v>
      </c>
      <c r="I1902" s="1">
        <v>2</v>
      </c>
      <c r="J1902" s="39" t="s">
        <v>5344</v>
      </c>
      <c r="K1902" s="1">
        <v>2</v>
      </c>
      <c r="L1902" s="1">
        <v>0</v>
      </c>
      <c r="S1902" s="1" t="s">
        <v>5379</v>
      </c>
      <c r="T1902" s="1">
        <v>1</v>
      </c>
      <c r="U1902" s="19"/>
      <c r="V1902" s="19"/>
    </row>
    <row r="1903" spans="1:22" x14ac:dyDescent="0.3">
      <c r="A1903" s="1" t="s">
        <v>5380</v>
      </c>
      <c r="B1903" s="5">
        <v>46150</v>
      </c>
      <c r="C1903" s="6">
        <v>0.58333333333333337</v>
      </c>
      <c r="D1903" s="1" t="s">
        <v>30</v>
      </c>
      <c r="E1903" s="1" t="s">
        <v>34</v>
      </c>
      <c r="F1903" s="1" t="s">
        <v>5381</v>
      </c>
      <c r="G1903" s="39" t="s">
        <v>5344</v>
      </c>
      <c r="H1903" s="1">
        <v>3</v>
      </c>
      <c r="I1903" s="1">
        <v>2</v>
      </c>
      <c r="J1903" s="39" t="s">
        <v>5382</v>
      </c>
      <c r="K1903" s="1">
        <v>2</v>
      </c>
      <c r="L1903" s="1">
        <v>3</v>
      </c>
      <c r="S1903" s="1" t="s">
        <v>5383</v>
      </c>
      <c r="T1903" s="1">
        <v>1</v>
      </c>
      <c r="U1903" s="19"/>
      <c r="V1903" s="19"/>
    </row>
    <row r="1904" spans="1:22" x14ac:dyDescent="0.3">
      <c r="A1904" s="1" t="s">
        <v>5384</v>
      </c>
      <c r="B1904" s="5">
        <v>46144</v>
      </c>
      <c r="C1904" s="6">
        <v>0.41666666666666669</v>
      </c>
      <c r="D1904" s="1" t="s">
        <v>30</v>
      </c>
      <c r="E1904" s="1" t="s">
        <v>34</v>
      </c>
      <c r="F1904" s="1" t="s">
        <v>5385</v>
      </c>
      <c r="G1904" s="39" t="s">
        <v>5386</v>
      </c>
      <c r="H1904" s="1">
        <v>0</v>
      </c>
      <c r="I1904" s="1">
        <v>3</v>
      </c>
      <c r="J1904" s="39" t="s">
        <v>5344</v>
      </c>
      <c r="K1904" s="1">
        <v>3</v>
      </c>
      <c r="L1904" s="1">
        <v>0</v>
      </c>
      <c r="S1904" s="1" t="s">
        <v>5387</v>
      </c>
      <c r="T1904" s="1">
        <v>1</v>
      </c>
      <c r="U1904" s="19"/>
      <c r="V1904" s="19"/>
    </row>
    <row r="1905" spans="1:22" x14ac:dyDescent="0.3">
      <c r="A1905" s="1" t="s">
        <v>5388</v>
      </c>
      <c r="B1905" s="5">
        <v>46243</v>
      </c>
      <c r="C1905" s="6">
        <v>0.45833333333333331</v>
      </c>
      <c r="D1905" s="1" t="s">
        <v>30</v>
      </c>
      <c r="E1905" s="1" t="s">
        <v>34</v>
      </c>
      <c r="F1905" s="1" t="s">
        <v>5389</v>
      </c>
      <c r="G1905" s="39" t="s">
        <v>5340</v>
      </c>
      <c r="H1905" s="1">
        <v>2</v>
      </c>
      <c r="I1905" s="1">
        <v>0</v>
      </c>
      <c r="J1905" s="39" t="s">
        <v>5355</v>
      </c>
      <c r="K1905" s="1">
        <v>0</v>
      </c>
      <c r="L1905" s="1">
        <v>2</v>
      </c>
      <c r="S1905" s="1" t="s">
        <v>5390</v>
      </c>
      <c r="T1905" s="1">
        <v>1</v>
      </c>
      <c r="U1905" s="19"/>
      <c r="V1905" s="19"/>
    </row>
    <row r="1906" spans="1:22" x14ac:dyDescent="0.3">
      <c r="A1906" s="1" t="s">
        <v>5391</v>
      </c>
      <c r="B1906" s="5">
        <v>46235</v>
      </c>
      <c r="C1906" s="6">
        <v>0.45833333333333331</v>
      </c>
      <c r="D1906" s="1" t="s">
        <v>30</v>
      </c>
      <c r="E1906" s="1" t="s">
        <v>34</v>
      </c>
      <c r="F1906" s="1" t="s">
        <v>5392</v>
      </c>
      <c r="G1906" s="39" t="s">
        <v>5355</v>
      </c>
      <c r="H1906" s="1">
        <v>3</v>
      </c>
      <c r="I1906" s="1">
        <v>1</v>
      </c>
      <c r="J1906" s="39" t="s">
        <v>5370</v>
      </c>
      <c r="K1906" s="1">
        <v>1</v>
      </c>
      <c r="L1906" s="1">
        <v>3</v>
      </c>
      <c r="S1906" s="1" t="s">
        <v>5393</v>
      </c>
      <c r="T1906" s="1">
        <v>1</v>
      </c>
      <c r="U1906" s="19"/>
      <c r="V1906" s="19"/>
    </row>
    <row r="1907" spans="1:22" x14ac:dyDescent="0.3">
      <c r="A1907" s="1" t="s">
        <v>5394</v>
      </c>
      <c r="B1907" s="5">
        <v>46201</v>
      </c>
      <c r="C1907" s="6">
        <v>0.41666666666666669</v>
      </c>
      <c r="D1907" s="1" t="s">
        <v>30</v>
      </c>
      <c r="E1907" s="1" t="s">
        <v>34</v>
      </c>
      <c r="F1907" s="1" t="s">
        <v>5395</v>
      </c>
      <c r="G1907" s="39" t="s">
        <v>5355</v>
      </c>
      <c r="H1907" s="1">
        <v>2</v>
      </c>
      <c r="I1907" s="1">
        <v>1</v>
      </c>
      <c r="J1907" s="39" t="s">
        <v>5362</v>
      </c>
      <c r="K1907" s="1">
        <v>1</v>
      </c>
      <c r="L1907" s="1">
        <v>2</v>
      </c>
      <c r="S1907" s="1" t="s">
        <v>5396</v>
      </c>
      <c r="T1907" s="1">
        <v>1</v>
      </c>
      <c r="U1907" s="19"/>
      <c r="V1907" s="19"/>
    </row>
    <row r="1908" spans="1:22" x14ac:dyDescent="0.3">
      <c r="A1908" s="1" t="s">
        <v>5397</v>
      </c>
      <c r="B1908" s="5">
        <v>46186</v>
      </c>
      <c r="C1908" s="6">
        <v>0.41666666666666669</v>
      </c>
      <c r="D1908" s="1" t="s">
        <v>30</v>
      </c>
      <c r="E1908" s="1" t="s">
        <v>34</v>
      </c>
      <c r="F1908" s="1" t="s">
        <v>5398</v>
      </c>
      <c r="G1908" s="39" t="s">
        <v>5355</v>
      </c>
      <c r="H1908" s="1">
        <v>3</v>
      </c>
      <c r="I1908" s="1">
        <v>2</v>
      </c>
      <c r="J1908" s="39" t="s">
        <v>5366</v>
      </c>
      <c r="K1908" s="1">
        <v>2</v>
      </c>
      <c r="L1908" s="1">
        <v>3</v>
      </c>
      <c r="S1908" s="1" t="s">
        <v>5399</v>
      </c>
      <c r="T1908" s="1">
        <v>1</v>
      </c>
      <c r="U1908" s="19"/>
      <c r="V1908" s="19"/>
    </row>
    <row r="1909" spans="1:22" x14ac:dyDescent="0.3">
      <c r="A1909" s="1" t="s">
        <v>5400</v>
      </c>
      <c r="B1909" s="5">
        <v>46181</v>
      </c>
      <c r="C1909" s="6">
        <v>0.58333333333333337</v>
      </c>
      <c r="D1909" s="1" t="s">
        <v>30</v>
      </c>
      <c r="E1909" s="1" t="s">
        <v>34</v>
      </c>
      <c r="F1909" s="1" t="s">
        <v>5401</v>
      </c>
      <c r="G1909" s="39" t="s">
        <v>5348</v>
      </c>
      <c r="H1909" s="1">
        <v>1</v>
      </c>
      <c r="I1909" s="1">
        <v>1</v>
      </c>
      <c r="J1909" s="39" t="s">
        <v>5355</v>
      </c>
      <c r="K1909" s="1">
        <v>1</v>
      </c>
      <c r="L1909" s="1">
        <v>1</v>
      </c>
      <c r="S1909" s="1" t="s">
        <v>5402</v>
      </c>
      <c r="T1909" s="1">
        <v>1</v>
      </c>
      <c r="U1909" s="19"/>
      <c r="V1909" s="19"/>
    </row>
    <row r="1910" spans="1:22" x14ac:dyDescent="0.3">
      <c r="A1910" s="1" t="s">
        <v>5403</v>
      </c>
      <c r="B1910" s="5">
        <v>46176</v>
      </c>
      <c r="C1910" s="6">
        <v>0.58333333333333337</v>
      </c>
      <c r="D1910" s="1" t="s">
        <v>30</v>
      </c>
      <c r="E1910" s="1" t="s">
        <v>34</v>
      </c>
      <c r="F1910" s="1" t="s">
        <v>5404</v>
      </c>
      <c r="G1910" s="39" t="s">
        <v>5355</v>
      </c>
      <c r="H1910" s="1">
        <v>1</v>
      </c>
      <c r="I1910" s="1">
        <v>3</v>
      </c>
      <c r="J1910" s="39" t="s">
        <v>286</v>
      </c>
      <c r="K1910" s="1">
        <v>3</v>
      </c>
      <c r="L1910" s="1">
        <v>1</v>
      </c>
      <c r="S1910" s="1" t="s">
        <v>5405</v>
      </c>
      <c r="T1910" s="1">
        <v>1</v>
      </c>
      <c r="U1910" s="19"/>
      <c r="V1910" s="19"/>
    </row>
    <row r="1911" spans="1:22" x14ac:dyDescent="0.3">
      <c r="A1911" s="1" t="s">
        <v>5406</v>
      </c>
      <c r="B1911" s="5">
        <v>46165</v>
      </c>
      <c r="C1911" s="6">
        <v>0.41666666666666669</v>
      </c>
      <c r="D1911" s="1" t="s">
        <v>30</v>
      </c>
      <c r="E1911" s="1" t="s">
        <v>34</v>
      </c>
      <c r="F1911" s="1" t="s">
        <v>5407</v>
      </c>
      <c r="G1911" s="39" t="s">
        <v>5339</v>
      </c>
      <c r="H1911" s="1">
        <v>2</v>
      </c>
      <c r="I1911" s="1">
        <v>1</v>
      </c>
      <c r="J1911" s="39" t="s">
        <v>5355</v>
      </c>
      <c r="K1911" s="1">
        <v>1</v>
      </c>
      <c r="L1911" s="1">
        <v>2</v>
      </c>
      <c r="S1911" s="1" t="s">
        <v>5408</v>
      </c>
      <c r="T1911" s="1">
        <v>1</v>
      </c>
      <c r="U1911" s="19"/>
      <c r="V1911" s="19"/>
    </row>
    <row r="1912" spans="1:22" x14ac:dyDescent="0.3">
      <c r="A1912" s="1" t="s">
        <v>5409</v>
      </c>
      <c r="B1912" s="5">
        <v>46159</v>
      </c>
      <c r="C1912" s="6">
        <v>0.41666666666666669</v>
      </c>
      <c r="D1912" s="1" t="s">
        <v>30</v>
      </c>
      <c r="E1912" s="1" t="s">
        <v>34</v>
      </c>
      <c r="F1912" s="1" t="s">
        <v>5410</v>
      </c>
      <c r="G1912" s="39" t="s">
        <v>5355</v>
      </c>
      <c r="H1912" s="1">
        <v>2</v>
      </c>
      <c r="I1912" s="1">
        <v>3</v>
      </c>
      <c r="J1912" s="39" t="s">
        <v>5411</v>
      </c>
      <c r="K1912" s="1">
        <v>3</v>
      </c>
      <c r="L1912" s="1">
        <v>2</v>
      </c>
      <c r="S1912" s="1" t="s">
        <v>5412</v>
      </c>
      <c r="T1912" s="1">
        <v>1</v>
      </c>
      <c r="U1912" s="19"/>
      <c r="V1912" s="19"/>
    </row>
    <row r="1913" spans="1:22" x14ac:dyDescent="0.3">
      <c r="A1913" s="1" t="s">
        <v>5413</v>
      </c>
      <c r="B1913" s="5">
        <v>46156</v>
      </c>
      <c r="C1913" s="6">
        <v>0.58333333333333337</v>
      </c>
      <c r="D1913" s="1" t="s">
        <v>30</v>
      </c>
      <c r="E1913" s="1" t="s">
        <v>34</v>
      </c>
      <c r="F1913" s="1" t="s">
        <v>5414</v>
      </c>
      <c r="G1913" s="39" t="s">
        <v>5374</v>
      </c>
      <c r="H1913" s="1">
        <v>1</v>
      </c>
      <c r="I1913" s="1">
        <v>0</v>
      </c>
      <c r="J1913" s="39" t="s">
        <v>5355</v>
      </c>
      <c r="K1913" s="1">
        <v>0</v>
      </c>
      <c r="L1913" s="1">
        <v>1</v>
      </c>
      <c r="S1913" s="1" t="s">
        <v>5415</v>
      </c>
      <c r="T1913" s="1">
        <v>1</v>
      </c>
      <c r="U1913" s="19"/>
      <c r="V1913" s="19"/>
    </row>
    <row r="1914" spans="1:22" x14ac:dyDescent="0.3">
      <c r="A1914" s="1" t="s">
        <v>5416</v>
      </c>
      <c r="B1914" s="5">
        <v>46151</v>
      </c>
      <c r="C1914" s="6">
        <v>0.41666666666666669</v>
      </c>
      <c r="D1914" s="1" t="s">
        <v>30</v>
      </c>
      <c r="E1914" s="1" t="s">
        <v>34</v>
      </c>
      <c r="F1914" s="1" t="s">
        <v>5417</v>
      </c>
      <c r="G1914" s="39" t="s">
        <v>5355</v>
      </c>
      <c r="H1914" s="1">
        <v>2</v>
      </c>
      <c r="I1914" s="1">
        <v>0</v>
      </c>
      <c r="J1914" s="39" t="s">
        <v>5418</v>
      </c>
      <c r="K1914" s="1">
        <v>0</v>
      </c>
      <c r="L1914" s="1">
        <v>2</v>
      </c>
      <c r="S1914" s="1" t="s">
        <v>5419</v>
      </c>
      <c r="T1914" s="1">
        <v>1</v>
      </c>
      <c r="U1914" s="19"/>
      <c r="V1914" s="19"/>
    </row>
    <row r="1915" spans="1:22" x14ac:dyDescent="0.3">
      <c r="A1915" s="1" t="s">
        <v>5420</v>
      </c>
      <c r="B1915" s="5">
        <v>46144</v>
      </c>
      <c r="C1915" s="6">
        <v>0.41666666666666669</v>
      </c>
      <c r="D1915" s="1" t="s">
        <v>30</v>
      </c>
      <c r="E1915" s="1" t="s">
        <v>34</v>
      </c>
      <c r="F1915" s="1" t="s">
        <v>5421</v>
      </c>
      <c r="G1915" s="39" t="s">
        <v>285</v>
      </c>
      <c r="H1915" s="1">
        <v>2</v>
      </c>
      <c r="I1915" s="1">
        <v>1</v>
      </c>
      <c r="J1915" s="39" t="s">
        <v>5355</v>
      </c>
      <c r="K1915" s="1">
        <v>1</v>
      </c>
      <c r="L1915" s="1">
        <v>2</v>
      </c>
      <c r="S1915" s="1" t="s">
        <v>5422</v>
      </c>
      <c r="T1915" s="1">
        <v>1</v>
      </c>
      <c r="U1915" s="19"/>
      <c r="V1915" s="19"/>
    </row>
    <row r="1916" spans="1:22" x14ac:dyDescent="0.3">
      <c r="A1916" s="1" t="s">
        <v>5423</v>
      </c>
      <c r="B1916" s="5">
        <v>46242</v>
      </c>
      <c r="C1916" s="6">
        <v>0.33333333333333331</v>
      </c>
      <c r="D1916" s="1" t="s">
        <v>30</v>
      </c>
      <c r="E1916" s="1" t="s">
        <v>34</v>
      </c>
      <c r="F1916" s="1" t="s">
        <v>5424</v>
      </c>
      <c r="G1916" s="39" t="s">
        <v>5362</v>
      </c>
      <c r="H1916" s="1">
        <v>0</v>
      </c>
      <c r="I1916" s="1">
        <v>0</v>
      </c>
      <c r="J1916" s="39" t="s">
        <v>5339</v>
      </c>
      <c r="K1916" s="1">
        <v>0</v>
      </c>
      <c r="L1916" s="1">
        <v>0</v>
      </c>
      <c r="S1916" s="1" t="s">
        <v>5425</v>
      </c>
      <c r="T1916" s="1">
        <v>1</v>
      </c>
      <c r="U1916" s="19"/>
      <c r="V1916" s="19"/>
    </row>
    <row r="1917" spans="1:22" x14ac:dyDescent="0.3">
      <c r="A1917" s="1" t="s">
        <v>5426</v>
      </c>
      <c r="B1917" s="5">
        <v>46204</v>
      </c>
      <c r="C1917" s="6">
        <v>0.58333333333333337</v>
      </c>
      <c r="D1917" s="1" t="s">
        <v>30</v>
      </c>
      <c r="E1917" s="1" t="s">
        <v>34</v>
      </c>
      <c r="F1917" s="1" t="s">
        <v>5427</v>
      </c>
      <c r="G1917" s="39" t="s">
        <v>5362</v>
      </c>
      <c r="H1917" s="1">
        <v>3</v>
      </c>
      <c r="I1917" s="1">
        <v>2</v>
      </c>
      <c r="J1917" s="39" t="s">
        <v>5418</v>
      </c>
      <c r="K1917" s="1">
        <v>2</v>
      </c>
      <c r="L1917" s="1">
        <v>3</v>
      </c>
      <c r="S1917" s="1" t="s">
        <v>5428</v>
      </c>
      <c r="T1917" s="1">
        <v>1</v>
      </c>
      <c r="U1917" s="19"/>
      <c r="V1917" s="19"/>
    </row>
    <row r="1918" spans="1:22" x14ac:dyDescent="0.3">
      <c r="A1918" s="1" t="s">
        <v>5429</v>
      </c>
      <c r="B1918" s="5">
        <v>46191</v>
      </c>
      <c r="C1918" s="6">
        <v>0.58333333333333337</v>
      </c>
      <c r="D1918" s="1" t="s">
        <v>30</v>
      </c>
      <c r="E1918" s="1" t="s">
        <v>34</v>
      </c>
      <c r="F1918" s="1" t="s">
        <v>5430</v>
      </c>
      <c r="G1918" s="39" t="s">
        <v>5362</v>
      </c>
      <c r="H1918" s="1">
        <v>2</v>
      </c>
      <c r="I1918" s="1">
        <v>0</v>
      </c>
      <c r="J1918" s="39" t="s">
        <v>5378</v>
      </c>
      <c r="K1918" s="1">
        <v>0</v>
      </c>
      <c r="L1918" s="1">
        <v>2</v>
      </c>
      <c r="S1918" s="1" t="s">
        <v>5431</v>
      </c>
      <c r="T1918" s="1">
        <v>1</v>
      </c>
      <c r="U1918" s="19"/>
      <c r="V1918" s="19"/>
    </row>
    <row r="1919" spans="1:22" x14ac:dyDescent="0.3">
      <c r="A1919" s="1" t="s">
        <v>5432</v>
      </c>
      <c r="B1919" s="5">
        <v>46186</v>
      </c>
      <c r="C1919" s="6">
        <v>0.41666666666666669</v>
      </c>
      <c r="D1919" s="1" t="s">
        <v>30</v>
      </c>
      <c r="E1919" s="1" t="s">
        <v>34</v>
      </c>
      <c r="F1919" s="1" t="s">
        <v>5433</v>
      </c>
      <c r="G1919" s="39" t="s">
        <v>5411</v>
      </c>
      <c r="H1919" s="1">
        <v>4</v>
      </c>
      <c r="I1919" s="1">
        <v>0</v>
      </c>
      <c r="J1919" s="39" t="s">
        <v>5362</v>
      </c>
      <c r="K1919" s="1">
        <v>0</v>
      </c>
      <c r="L1919" s="1">
        <v>4</v>
      </c>
      <c r="S1919" s="1" t="s">
        <v>5434</v>
      </c>
      <c r="T1919" s="1">
        <v>1</v>
      </c>
      <c r="U1919" s="19"/>
      <c r="V1919" s="19"/>
    </row>
    <row r="1920" spans="1:22" x14ac:dyDescent="0.3">
      <c r="A1920" s="1" t="s">
        <v>5435</v>
      </c>
      <c r="B1920" s="5">
        <v>46172</v>
      </c>
      <c r="C1920" s="6">
        <v>0.41666666666666669</v>
      </c>
      <c r="D1920" s="1" t="s">
        <v>30</v>
      </c>
      <c r="E1920" s="1" t="s">
        <v>34</v>
      </c>
      <c r="F1920" s="1" t="s">
        <v>5436</v>
      </c>
      <c r="G1920" s="39" t="s">
        <v>5362</v>
      </c>
      <c r="H1920" s="1">
        <v>2</v>
      </c>
      <c r="I1920" s="1">
        <v>3</v>
      </c>
      <c r="J1920" s="39" t="s">
        <v>285</v>
      </c>
      <c r="K1920" s="1">
        <v>3</v>
      </c>
      <c r="L1920" s="1">
        <v>2</v>
      </c>
      <c r="S1920" s="1" t="s">
        <v>5437</v>
      </c>
      <c r="T1920" s="1">
        <v>1</v>
      </c>
      <c r="U1920" s="19"/>
      <c r="V1920" s="19"/>
    </row>
    <row r="1921" spans="1:22" x14ac:dyDescent="0.3">
      <c r="A1921" s="1" t="s">
        <v>5438</v>
      </c>
      <c r="B1921" s="5">
        <v>46164</v>
      </c>
      <c r="C1921" s="6">
        <v>0.58333333333333337</v>
      </c>
      <c r="D1921" s="1" t="s">
        <v>30</v>
      </c>
      <c r="E1921" s="1" t="s">
        <v>34</v>
      </c>
      <c r="F1921" s="1" t="s">
        <v>5439</v>
      </c>
      <c r="G1921" s="39" t="s">
        <v>286</v>
      </c>
      <c r="H1921" s="1">
        <v>4</v>
      </c>
      <c r="I1921" s="1">
        <v>2</v>
      </c>
      <c r="J1921" s="39" t="s">
        <v>5362</v>
      </c>
      <c r="K1921" s="1">
        <v>2</v>
      </c>
      <c r="L1921" s="1">
        <v>4</v>
      </c>
      <c r="S1921" s="1" t="s">
        <v>5440</v>
      </c>
      <c r="T1921" s="1">
        <v>1</v>
      </c>
      <c r="U1921" s="19"/>
      <c r="V1921" s="19"/>
    </row>
    <row r="1922" spans="1:22" x14ac:dyDescent="0.3">
      <c r="A1922" s="1" t="s">
        <v>5441</v>
      </c>
      <c r="B1922" s="5">
        <v>46159</v>
      </c>
      <c r="C1922" s="6">
        <v>0.41666666666666669</v>
      </c>
      <c r="D1922" s="1" t="s">
        <v>30</v>
      </c>
      <c r="E1922" s="1" t="s">
        <v>34</v>
      </c>
      <c r="F1922" s="1" t="s">
        <v>5442</v>
      </c>
      <c r="G1922" s="39" t="s">
        <v>5362</v>
      </c>
      <c r="H1922" s="1">
        <v>1</v>
      </c>
      <c r="I1922" s="1">
        <v>1</v>
      </c>
      <c r="J1922" s="39" t="s">
        <v>5370</v>
      </c>
      <c r="K1922" s="1">
        <v>1</v>
      </c>
      <c r="L1922" s="1">
        <v>1</v>
      </c>
      <c r="S1922" s="1" t="s">
        <v>5443</v>
      </c>
      <c r="T1922" s="1">
        <v>1</v>
      </c>
      <c r="U1922" s="19"/>
      <c r="V1922" s="19"/>
    </row>
    <row r="1923" spans="1:22" x14ac:dyDescent="0.3">
      <c r="A1923" s="1" t="s">
        <v>5444</v>
      </c>
      <c r="B1923" s="5">
        <v>46155</v>
      </c>
      <c r="C1923" s="6">
        <v>0.58333333333333337</v>
      </c>
      <c r="D1923" s="1" t="s">
        <v>30</v>
      </c>
      <c r="E1923" s="1" t="s">
        <v>34</v>
      </c>
      <c r="F1923" s="1" t="s">
        <v>5445</v>
      </c>
      <c r="G1923" s="39" t="s">
        <v>5382</v>
      </c>
      <c r="H1923" s="1">
        <v>1</v>
      </c>
      <c r="I1923" s="1">
        <v>3</v>
      </c>
      <c r="J1923" s="39" t="s">
        <v>5362</v>
      </c>
      <c r="K1923" s="1">
        <v>3</v>
      </c>
      <c r="L1923" s="1">
        <v>1</v>
      </c>
      <c r="S1923" s="1" t="s">
        <v>5446</v>
      </c>
      <c r="T1923" s="1">
        <v>1</v>
      </c>
      <c r="U1923" s="19"/>
      <c r="V1923" s="19"/>
    </row>
    <row r="1924" spans="1:22" x14ac:dyDescent="0.3">
      <c r="A1924" s="1" t="s">
        <v>5447</v>
      </c>
      <c r="B1924" s="5">
        <v>46151</v>
      </c>
      <c r="C1924" s="6">
        <v>0.41666666666666669</v>
      </c>
      <c r="D1924" s="1" t="s">
        <v>30</v>
      </c>
      <c r="E1924" s="1" t="s">
        <v>34</v>
      </c>
      <c r="F1924" s="1" t="s">
        <v>5448</v>
      </c>
      <c r="G1924" s="39" t="s">
        <v>5362</v>
      </c>
      <c r="H1924" s="1">
        <v>4</v>
      </c>
      <c r="I1924" s="1">
        <v>0</v>
      </c>
      <c r="J1924" s="39" t="s">
        <v>5386</v>
      </c>
      <c r="K1924" s="1">
        <v>0</v>
      </c>
      <c r="L1924" s="1">
        <v>4</v>
      </c>
      <c r="S1924" s="1" t="s">
        <v>5449</v>
      </c>
      <c r="T1924" s="1">
        <v>1</v>
      </c>
      <c r="U1924" s="19"/>
      <c r="V1924" s="19"/>
    </row>
    <row r="1925" spans="1:22" x14ac:dyDescent="0.3">
      <c r="A1925" s="1" t="s">
        <v>5450</v>
      </c>
      <c r="B1925" s="5">
        <v>46143</v>
      </c>
      <c r="C1925" s="6">
        <v>0.58333333333333337</v>
      </c>
      <c r="D1925" s="1" t="s">
        <v>30</v>
      </c>
      <c r="E1925" s="1" t="s">
        <v>34</v>
      </c>
      <c r="F1925" s="1" t="s">
        <v>5451</v>
      </c>
      <c r="G1925" s="39" t="s">
        <v>5362</v>
      </c>
      <c r="H1925" s="1">
        <v>0</v>
      </c>
      <c r="I1925" s="1">
        <v>6</v>
      </c>
      <c r="J1925" s="39" t="s">
        <v>5348</v>
      </c>
      <c r="K1925" s="1">
        <v>6</v>
      </c>
      <c r="L1925" s="1">
        <v>0</v>
      </c>
      <c r="S1925" s="1" t="s">
        <v>5452</v>
      </c>
      <c r="T1925" s="1">
        <v>1</v>
      </c>
      <c r="U1925" s="19"/>
      <c r="V1925" s="19"/>
    </row>
    <row r="1926" spans="1:22" x14ac:dyDescent="0.3">
      <c r="A1926" s="1" t="s">
        <v>5453</v>
      </c>
      <c r="B1926" s="5">
        <v>46200</v>
      </c>
      <c r="C1926" s="6">
        <v>0.41666666666666669</v>
      </c>
      <c r="D1926" s="1" t="s">
        <v>30</v>
      </c>
      <c r="E1926" s="1" t="s">
        <v>34</v>
      </c>
      <c r="F1926" s="1" t="s">
        <v>5454</v>
      </c>
      <c r="G1926" s="39" t="s">
        <v>5411</v>
      </c>
      <c r="H1926" s="1">
        <v>3</v>
      </c>
      <c r="I1926" s="1">
        <v>3</v>
      </c>
      <c r="J1926" s="39" t="s">
        <v>5339</v>
      </c>
      <c r="K1926" s="1">
        <v>3</v>
      </c>
      <c r="L1926" s="1">
        <v>3</v>
      </c>
      <c r="S1926" s="1" t="s">
        <v>5455</v>
      </c>
      <c r="T1926" s="1">
        <v>1</v>
      </c>
      <c r="U1926" s="19"/>
      <c r="V1926" s="19"/>
    </row>
    <row r="1927" spans="1:22" x14ac:dyDescent="0.3">
      <c r="A1927" s="1" t="s">
        <v>5456</v>
      </c>
      <c r="B1927" s="5">
        <v>46191</v>
      </c>
      <c r="C1927" s="6">
        <v>0.58333333333333337</v>
      </c>
      <c r="D1927" s="1" t="s">
        <v>30</v>
      </c>
      <c r="E1927" s="1" t="s">
        <v>34</v>
      </c>
      <c r="F1927" s="1" t="s">
        <v>5457</v>
      </c>
      <c r="G1927" s="39" t="s">
        <v>285</v>
      </c>
      <c r="H1927" s="1">
        <v>3</v>
      </c>
      <c r="I1927" s="1">
        <v>2</v>
      </c>
      <c r="J1927" s="39" t="s">
        <v>5339</v>
      </c>
      <c r="K1927" s="1">
        <v>2</v>
      </c>
      <c r="L1927" s="1">
        <v>3</v>
      </c>
      <c r="S1927" s="1" t="s">
        <v>5458</v>
      </c>
      <c r="T1927" s="1">
        <v>1</v>
      </c>
      <c r="U1927" s="19"/>
      <c r="V1927" s="19"/>
    </row>
    <row r="1928" spans="1:22" x14ac:dyDescent="0.3">
      <c r="A1928" s="1" t="s">
        <v>5459</v>
      </c>
      <c r="B1928" s="5">
        <v>46187</v>
      </c>
      <c r="C1928" s="6">
        <v>0.41666666666666669</v>
      </c>
      <c r="D1928" s="1" t="s">
        <v>30</v>
      </c>
      <c r="E1928" s="1" t="s">
        <v>34</v>
      </c>
      <c r="F1928" s="1" t="s">
        <v>5460</v>
      </c>
      <c r="G1928" s="39" t="s">
        <v>5339</v>
      </c>
      <c r="H1928" s="1">
        <v>3</v>
      </c>
      <c r="I1928" s="1">
        <v>0</v>
      </c>
      <c r="J1928" s="39" t="s">
        <v>5370</v>
      </c>
      <c r="K1928" s="1">
        <v>0</v>
      </c>
      <c r="L1928" s="1">
        <v>3</v>
      </c>
      <c r="S1928" s="1" t="s">
        <v>5461</v>
      </c>
      <c r="T1928" s="1">
        <v>1</v>
      </c>
      <c r="U1928" s="19"/>
      <c r="V1928" s="19"/>
    </row>
    <row r="1929" spans="1:22" x14ac:dyDescent="0.3">
      <c r="A1929" s="1" t="s">
        <v>5462</v>
      </c>
      <c r="B1929" s="5">
        <v>46181</v>
      </c>
      <c r="C1929" s="6">
        <v>0.58333333333333337</v>
      </c>
      <c r="D1929" s="1" t="s">
        <v>30</v>
      </c>
      <c r="E1929" s="1" t="s">
        <v>34</v>
      </c>
      <c r="F1929" s="1" t="s">
        <v>5463</v>
      </c>
      <c r="G1929" s="39" t="s">
        <v>5386</v>
      </c>
      <c r="H1929" s="1">
        <v>0</v>
      </c>
      <c r="I1929" s="1">
        <v>1</v>
      </c>
      <c r="J1929" s="39" t="s">
        <v>5339</v>
      </c>
      <c r="K1929" s="1">
        <v>1</v>
      </c>
      <c r="L1929" s="1">
        <v>0</v>
      </c>
      <c r="S1929" s="1" t="s">
        <v>5464</v>
      </c>
      <c r="T1929" s="1">
        <v>1</v>
      </c>
      <c r="U1929" s="19"/>
      <c r="V1929" s="19"/>
    </row>
    <row r="1930" spans="1:22" x14ac:dyDescent="0.3">
      <c r="A1930" s="1" t="s">
        <v>5465</v>
      </c>
      <c r="B1930" s="5">
        <v>46175</v>
      </c>
      <c r="C1930" s="6">
        <v>0.58333333333333337</v>
      </c>
      <c r="D1930" s="1" t="s">
        <v>30</v>
      </c>
      <c r="E1930" s="1" t="s">
        <v>34</v>
      </c>
      <c r="F1930" s="1" t="s">
        <v>5466</v>
      </c>
      <c r="G1930" s="39" t="s">
        <v>5339</v>
      </c>
      <c r="H1930" s="1">
        <v>1</v>
      </c>
      <c r="I1930" s="1">
        <v>2</v>
      </c>
      <c r="J1930" s="39" t="s">
        <v>5348</v>
      </c>
      <c r="K1930" s="1">
        <v>2</v>
      </c>
      <c r="L1930" s="1">
        <v>1</v>
      </c>
      <c r="S1930" s="1" t="s">
        <v>5467</v>
      </c>
      <c r="T1930" s="1">
        <v>1</v>
      </c>
      <c r="U1930" s="19"/>
      <c r="V1930" s="19"/>
    </row>
    <row r="1931" spans="1:22" x14ac:dyDescent="0.3">
      <c r="A1931" s="1" t="s">
        <v>5468</v>
      </c>
      <c r="B1931" s="5">
        <v>46160</v>
      </c>
      <c r="C1931" s="6">
        <v>0.58333333333333337</v>
      </c>
      <c r="D1931" s="1" t="s">
        <v>30</v>
      </c>
      <c r="E1931" s="1" t="s">
        <v>34</v>
      </c>
      <c r="F1931" s="1" t="s">
        <v>5469</v>
      </c>
      <c r="G1931" s="39" t="s">
        <v>5366</v>
      </c>
      <c r="H1931" s="1">
        <v>1</v>
      </c>
      <c r="I1931" s="1">
        <v>3</v>
      </c>
      <c r="J1931" s="39" t="s">
        <v>5339</v>
      </c>
      <c r="K1931" s="1">
        <v>3</v>
      </c>
      <c r="L1931" s="1">
        <v>1</v>
      </c>
      <c r="S1931" s="1" t="s">
        <v>5470</v>
      </c>
      <c r="T1931" s="1">
        <v>1</v>
      </c>
      <c r="U1931" s="19"/>
      <c r="V1931" s="19"/>
    </row>
    <row r="1932" spans="1:22" x14ac:dyDescent="0.3">
      <c r="A1932" s="1" t="s">
        <v>5471</v>
      </c>
      <c r="B1932" s="5">
        <v>46155</v>
      </c>
      <c r="C1932" s="6">
        <v>0.58333333333333337</v>
      </c>
      <c r="D1932" s="1" t="s">
        <v>30</v>
      </c>
      <c r="E1932" s="1" t="s">
        <v>34</v>
      </c>
      <c r="F1932" s="1" t="s">
        <v>5472</v>
      </c>
      <c r="G1932" s="39" t="s">
        <v>5418</v>
      </c>
      <c r="H1932" s="1">
        <v>1</v>
      </c>
      <c r="I1932" s="1">
        <v>2</v>
      </c>
      <c r="J1932" s="39" t="s">
        <v>5339</v>
      </c>
      <c r="K1932" s="1">
        <v>2</v>
      </c>
      <c r="L1932" s="1">
        <v>1</v>
      </c>
      <c r="S1932" s="1" t="s">
        <v>5473</v>
      </c>
      <c r="T1932" s="1">
        <v>1</v>
      </c>
      <c r="U1932" s="19"/>
      <c r="V1932" s="19"/>
    </row>
    <row r="1933" spans="1:22" x14ac:dyDescent="0.3">
      <c r="A1933" s="1" t="s">
        <v>5474</v>
      </c>
      <c r="B1933" s="5">
        <v>46151</v>
      </c>
      <c r="C1933" s="6">
        <v>0.33333333333333331</v>
      </c>
      <c r="D1933" s="1" t="s">
        <v>30</v>
      </c>
      <c r="E1933" s="1" t="s">
        <v>34</v>
      </c>
      <c r="F1933" s="1" t="s">
        <v>5475</v>
      </c>
      <c r="G1933" s="39" t="s">
        <v>5339</v>
      </c>
      <c r="H1933" s="1">
        <v>0</v>
      </c>
      <c r="I1933" s="1">
        <v>1</v>
      </c>
      <c r="J1933" s="39" t="s">
        <v>5374</v>
      </c>
      <c r="K1933" s="1">
        <v>1</v>
      </c>
      <c r="L1933" s="1">
        <v>0</v>
      </c>
      <c r="S1933" s="1" t="s">
        <v>5476</v>
      </c>
      <c r="T1933" s="1">
        <v>1</v>
      </c>
      <c r="U1933" s="19"/>
      <c r="V1933" s="19"/>
    </row>
    <row r="1934" spans="1:22" x14ac:dyDescent="0.3">
      <c r="A1934" s="1" t="s">
        <v>5477</v>
      </c>
      <c r="B1934" s="5">
        <v>46144</v>
      </c>
      <c r="C1934" s="6">
        <v>0.41666666666666669</v>
      </c>
      <c r="D1934" s="1" t="s">
        <v>30</v>
      </c>
      <c r="E1934" s="1" t="s">
        <v>34</v>
      </c>
      <c r="F1934" s="1" t="s">
        <v>5478</v>
      </c>
      <c r="G1934" s="39" t="s">
        <v>5378</v>
      </c>
      <c r="H1934" s="1">
        <v>0</v>
      </c>
      <c r="I1934" s="1">
        <v>2</v>
      </c>
      <c r="J1934" s="39" t="s">
        <v>5339</v>
      </c>
      <c r="K1934" s="1">
        <v>2</v>
      </c>
      <c r="L1934" s="1">
        <v>0</v>
      </c>
      <c r="S1934" s="1" t="s">
        <v>5479</v>
      </c>
      <c r="T1934" s="1">
        <v>1</v>
      </c>
      <c r="U1934" s="19"/>
      <c r="V1934" s="19"/>
    </row>
    <row r="1935" spans="1:22" x14ac:dyDescent="0.3">
      <c r="A1935" s="1" t="s">
        <v>5480</v>
      </c>
      <c r="B1935" s="5">
        <v>46242</v>
      </c>
      <c r="C1935" s="6">
        <v>0.45833333333333331</v>
      </c>
      <c r="D1935" s="1" t="s">
        <v>30</v>
      </c>
      <c r="E1935" s="1" t="s">
        <v>34</v>
      </c>
      <c r="F1935" s="1" t="s">
        <v>5481</v>
      </c>
      <c r="G1935" s="39" t="s">
        <v>5378</v>
      </c>
      <c r="H1935" s="1">
        <v>0</v>
      </c>
      <c r="I1935" s="1">
        <v>1</v>
      </c>
      <c r="J1935" s="39" t="s">
        <v>5366</v>
      </c>
      <c r="K1935" s="1">
        <v>1</v>
      </c>
      <c r="L1935" s="1">
        <v>0</v>
      </c>
      <c r="S1935" s="1" t="s">
        <v>5482</v>
      </c>
      <c r="T1935" s="1">
        <v>1</v>
      </c>
      <c r="U1935" s="19"/>
      <c r="V1935" s="19"/>
    </row>
    <row r="1936" spans="1:22" x14ac:dyDescent="0.3">
      <c r="A1936" s="1" t="s">
        <v>5483</v>
      </c>
      <c r="B1936" s="5">
        <v>46235</v>
      </c>
      <c r="C1936" s="6">
        <v>0.45833333333333331</v>
      </c>
      <c r="D1936" s="1" t="s">
        <v>30</v>
      </c>
      <c r="E1936" s="1" t="s">
        <v>34</v>
      </c>
      <c r="F1936" s="1" t="s">
        <v>5484</v>
      </c>
      <c r="G1936" s="39" t="s">
        <v>5366</v>
      </c>
      <c r="H1936" s="1">
        <v>0</v>
      </c>
      <c r="I1936" s="1">
        <v>1</v>
      </c>
      <c r="J1936" s="39" t="s">
        <v>5378</v>
      </c>
      <c r="K1936" s="1">
        <v>1</v>
      </c>
      <c r="L1936" s="1">
        <v>0</v>
      </c>
      <c r="S1936" s="1" t="s">
        <v>5485</v>
      </c>
      <c r="T1936" s="1">
        <v>1</v>
      </c>
      <c r="U1936" s="19"/>
      <c r="V1936" s="19"/>
    </row>
    <row r="1937" spans="1:22" x14ac:dyDescent="0.3">
      <c r="A1937" s="1" t="s">
        <v>5486</v>
      </c>
      <c r="B1937" s="5">
        <v>46200</v>
      </c>
      <c r="C1937" s="6">
        <v>0.33333333333333331</v>
      </c>
      <c r="D1937" s="1" t="s">
        <v>30</v>
      </c>
      <c r="E1937" s="1" t="s">
        <v>34</v>
      </c>
      <c r="F1937" s="1" t="s">
        <v>5487</v>
      </c>
      <c r="G1937" s="39" t="s">
        <v>5378</v>
      </c>
      <c r="H1937" s="1">
        <v>1</v>
      </c>
      <c r="I1937" s="1">
        <v>1</v>
      </c>
      <c r="J1937" s="39" t="s">
        <v>5348</v>
      </c>
      <c r="K1937" s="1">
        <v>1</v>
      </c>
      <c r="L1937" s="1">
        <v>1</v>
      </c>
      <c r="S1937" s="1" t="s">
        <v>5488</v>
      </c>
      <c r="T1937" s="1">
        <v>1</v>
      </c>
      <c r="U1937" s="19"/>
      <c r="V1937" s="19"/>
    </row>
    <row r="1938" spans="1:22" x14ac:dyDescent="0.3">
      <c r="A1938" s="1" t="s">
        <v>5489</v>
      </c>
      <c r="B1938" s="5">
        <v>46186</v>
      </c>
      <c r="C1938" s="6">
        <v>0.45833333333333331</v>
      </c>
      <c r="D1938" s="1" t="s">
        <v>30</v>
      </c>
      <c r="E1938" s="1" t="s">
        <v>34</v>
      </c>
      <c r="F1938" s="1" t="s">
        <v>5490</v>
      </c>
      <c r="G1938" s="39" t="s">
        <v>5378</v>
      </c>
      <c r="H1938" s="1">
        <v>1</v>
      </c>
      <c r="I1938" s="1">
        <v>1</v>
      </c>
      <c r="J1938" s="39" t="s">
        <v>5418</v>
      </c>
      <c r="K1938" s="1">
        <v>1</v>
      </c>
      <c r="L1938" s="1">
        <v>1</v>
      </c>
      <c r="S1938" s="1" t="s">
        <v>5491</v>
      </c>
      <c r="T1938" s="1">
        <v>1</v>
      </c>
      <c r="U1938" s="19"/>
      <c r="V1938" s="19"/>
    </row>
    <row r="1939" spans="1:22" x14ac:dyDescent="0.3">
      <c r="A1939" s="1" t="s">
        <v>5492</v>
      </c>
      <c r="B1939" s="5">
        <v>46179</v>
      </c>
      <c r="C1939" s="6">
        <v>0.45833333333333331</v>
      </c>
      <c r="D1939" s="1" t="s">
        <v>30</v>
      </c>
      <c r="E1939" s="1" t="s">
        <v>34</v>
      </c>
      <c r="F1939" s="1" t="s">
        <v>5493</v>
      </c>
      <c r="G1939" s="39" t="s">
        <v>5340</v>
      </c>
      <c r="H1939" s="1">
        <v>4</v>
      </c>
      <c r="I1939" s="1">
        <v>1</v>
      </c>
      <c r="J1939" s="39" t="s">
        <v>5378</v>
      </c>
      <c r="K1939" s="1">
        <v>1</v>
      </c>
      <c r="L1939" s="1">
        <v>4</v>
      </c>
      <c r="S1939" s="1" t="s">
        <v>5494</v>
      </c>
      <c r="T1939" s="1">
        <v>1</v>
      </c>
      <c r="U1939" s="19"/>
      <c r="V1939" s="19"/>
    </row>
    <row r="1940" spans="1:22" x14ac:dyDescent="0.3">
      <c r="A1940" s="1" t="s">
        <v>5495</v>
      </c>
      <c r="B1940" s="5">
        <v>46172</v>
      </c>
      <c r="C1940" s="6">
        <v>0.45833333333333331</v>
      </c>
      <c r="D1940" s="1" t="s">
        <v>30</v>
      </c>
      <c r="E1940" s="1" t="s">
        <v>34</v>
      </c>
      <c r="F1940" s="1" t="s">
        <v>5496</v>
      </c>
      <c r="G1940" s="39" t="s">
        <v>5378</v>
      </c>
      <c r="H1940" s="1">
        <v>3</v>
      </c>
      <c r="I1940" s="1">
        <v>3</v>
      </c>
      <c r="J1940" s="39" t="s">
        <v>5411</v>
      </c>
      <c r="K1940" s="1">
        <v>3</v>
      </c>
      <c r="L1940" s="1">
        <v>3</v>
      </c>
      <c r="S1940" s="1" t="s">
        <v>5497</v>
      </c>
      <c r="T1940" s="1">
        <v>1</v>
      </c>
      <c r="U1940" s="19"/>
      <c r="V1940" s="19"/>
    </row>
    <row r="1941" spans="1:22" x14ac:dyDescent="0.3">
      <c r="A1941" s="1" t="s">
        <v>5498</v>
      </c>
      <c r="B1941" s="5">
        <v>46165</v>
      </c>
      <c r="C1941" s="6">
        <v>0.45833333333333331</v>
      </c>
      <c r="D1941" s="1" t="s">
        <v>30</v>
      </c>
      <c r="E1941" s="1" t="s">
        <v>34</v>
      </c>
      <c r="F1941" s="1" t="s">
        <v>5499</v>
      </c>
      <c r="G1941" s="39" t="s">
        <v>5374</v>
      </c>
      <c r="H1941" s="1">
        <v>1</v>
      </c>
      <c r="I1941" s="1">
        <v>1</v>
      </c>
      <c r="J1941" s="39" t="s">
        <v>5378</v>
      </c>
      <c r="K1941" s="1">
        <v>1</v>
      </c>
      <c r="L1941" s="1">
        <v>1</v>
      </c>
      <c r="S1941" s="1" t="s">
        <v>5500</v>
      </c>
      <c r="T1941" s="1">
        <v>1</v>
      </c>
      <c r="U1941" s="19"/>
      <c r="V1941" s="19"/>
    </row>
    <row r="1942" spans="1:22" x14ac:dyDescent="0.3">
      <c r="A1942" s="1" t="s">
        <v>5501</v>
      </c>
      <c r="B1942" s="5">
        <v>46159</v>
      </c>
      <c r="C1942" s="6">
        <v>0.45833333333333331</v>
      </c>
      <c r="D1942" s="1" t="s">
        <v>30</v>
      </c>
      <c r="E1942" s="1" t="s">
        <v>34</v>
      </c>
      <c r="F1942" s="1" t="s">
        <v>5502</v>
      </c>
      <c r="G1942" s="39" t="s">
        <v>285</v>
      </c>
      <c r="H1942" s="1">
        <v>2</v>
      </c>
      <c r="I1942" s="1">
        <v>2</v>
      </c>
      <c r="J1942" s="39" t="s">
        <v>5378</v>
      </c>
      <c r="K1942" s="1">
        <v>2</v>
      </c>
      <c r="L1942" s="1">
        <v>2</v>
      </c>
      <c r="S1942" s="1" t="s">
        <v>5503</v>
      </c>
      <c r="T1942" s="1">
        <v>1</v>
      </c>
      <c r="U1942" s="19"/>
      <c r="V1942" s="19"/>
    </row>
    <row r="1943" spans="1:22" x14ac:dyDescent="0.3">
      <c r="A1943" s="1" t="s">
        <v>5504</v>
      </c>
      <c r="B1943" s="5">
        <v>46151</v>
      </c>
      <c r="C1943" s="6">
        <v>0.45833333333333331</v>
      </c>
      <c r="D1943" s="1" t="s">
        <v>30</v>
      </c>
      <c r="E1943" s="1" t="s">
        <v>34</v>
      </c>
      <c r="F1943" s="1" t="s">
        <v>5505</v>
      </c>
      <c r="G1943" s="39" t="s">
        <v>5378</v>
      </c>
      <c r="H1943" s="1">
        <v>1</v>
      </c>
      <c r="I1943" s="1">
        <v>1</v>
      </c>
      <c r="J1943" s="39" t="s">
        <v>286</v>
      </c>
      <c r="K1943" s="1">
        <v>1</v>
      </c>
      <c r="L1943" s="1">
        <v>1</v>
      </c>
      <c r="S1943" s="1" t="s">
        <v>5506</v>
      </c>
      <c r="T1943" s="1">
        <v>1</v>
      </c>
      <c r="U1943" s="19"/>
      <c r="V1943" s="19"/>
    </row>
    <row r="1944" spans="1:22" x14ac:dyDescent="0.3">
      <c r="A1944" s="1" t="s">
        <v>5507</v>
      </c>
      <c r="B1944" s="5">
        <v>46242</v>
      </c>
      <c r="C1944" s="6">
        <v>0.5</v>
      </c>
      <c r="D1944" s="1" t="s">
        <v>30</v>
      </c>
      <c r="E1944" s="1" t="s">
        <v>34</v>
      </c>
      <c r="F1944" s="1" t="s">
        <v>5508</v>
      </c>
      <c r="G1944" s="39" t="s">
        <v>5386</v>
      </c>
      <c r="H1944" s="1">
        <v>0</v>
      </c>
      <c r="I1944" s="1">
        <v>2</v>
      </c>
      <c r="J1944" s="39" t="s">
        <v>5382</v>
      </c>
      <c r="K1944" s="1">
        <v>2</v>
      </c>
      <c r="L1944" s="1">
        <v>0</v>
      </c>
      <c r="S1944" s="1" t="s">
        <v>5509</v>
      </c>
      <c r="T1944" s="1">
        <v>1</v>
      </c>
      <c r="U1944" s="19"/>
      <c r="V1944" s="19"/>
    </row>
    <row r="1945" spans="1:22" x14ac:dyDescent="0.3">
      <c r="A1945" s="1" t="s">
        <v>5510</v>
      </c>
      <c r="B1945" s="5">
        <v>46235</v>
      </c>
      <c r="C1945" s="6">
        <v>0.45833333333333331</v>
      </c>
      <c r="D1945" s="1" t="s">
        <v>30</v>
      </c>
      <c r="E1945" s="1" t="s">
        <v>34</v>
      </c>
      <c r="F1945" s="1" t="s">
        <v>5511</v>
      </c>
      <c r="G1945" s="39" t="s">
        <v>5382</v>
      </c>
      <c r="H1945" s="1">
        <v>2</v>
      </c>
      <c r="I1945" s="1">
        <v>0</v>
      </c>
      <c r="J1945" s="39" t="s">
        <v>5411</v>
      </c>
      <c r="K1945" s="1">
        <v>0</v>
      </c>
      <c r="L1945" s="1">
        <v>2</v>
      </c>
      <c r="S1945" s="1" t="s">
        <v>5512</v>
      </c>
      <c r="T1945" s="1">
        <v>1</v>
      </c>
      <c r="U1945" s="19"/>
      <c r="V1945" s="19"/>
    </row>
    <row r="1946" spans="1:22" x14ac:dyDescent="0.3">
      <c r="A1946" s="1" t="s">
        <v>5513</v>
      </c>
      <c r="B1946" s="5">
        <v>46199</v>
      </c>
      <c r="C1946" s="6">
        <v>0.60416666666666663</v>
      </c>
      <c r="D1946" s="1" t="s">
        <v>30</v>
      </c>
      <c r="E1946" s="1" t="s">
        <v>34</v>
      </c>
      <c r="F1946" s="1" t="s">
        <v>5514</v>
      </c>
      <c r="G1946" s="39" t="s">
        <v>5382</v>
      </c>
      <c r="H1946" s="1">
        <v>4</v>
      </c>
      <c r="I1946" s="1">
        <v>2</v>
      </c>
      <c r="J1946" s="39" t="s">
        <v>5374</v>
      </c>
      <c r="K1946" s="1">
        <v>2</v>
      </c>
      <c r="L1946" s="1">
        <v>4</v>
      </c>
      <c r="S1946" s="1" t="s">
        <v>5515</v>
      </c>
      <c r="T1946" s="1">
        <v>1</v>
      </c>
      <c r="U1946" s="19"/>
      <c r="V1946" s="19"/>
    </row>
    <row r="1947" spans="1:22" x14ac:dyDescent="0.3">
      <c r="A1947" s="1" t="s">
        <v>5516</v>
      </c>
      <c r="B1947" s="5">
        <v>46191</v>
      </c>
      <c r="C1947" s="6">
        <v>0.58333333333333337</v>
      </c>
      <c r="D1947" s="1" t="s">
        <v>30</v>
      </c>
      <c r="E1947" s="1" t="s">
        <v>34</v>
      </c>
      <c r="F1947" s="1" t="s">
        <v>5517</v>
      </c>
      <c r="G1947" s="39" t="s">
        <v>5370</v>
      </c>
      <c r="H1947" s="1">
        <v>2</v>
      </c>
      <c r="I1947" s="1">
        <v>2</v>
      </c>
      <c r="J1947" s="39" t="s">
        <v>5382</v>
      </c>
      <c r="K1947" s="1">
        <v>2</v>
      </c>
      <c r="L1947" s="1">
        <v>2</v>
      </c>
      <c r="S1947" s="1" t="s">
        <v>5518</v>
      </c>
      <c r="T1947" s="1">
        <v>1</v>
      </c>
      <c r="U1947" s="19"/>
      <c r="V1947" s="19"/>
    </row>
    <row r="1948" spans="1:22" x14ac:dyDescent="0.3">
      <c r="A1948" s="1" t="s">
        <v>5519</v>
      </c>
      <c r="B1948" s="5">
        <v>46187</v>
      </c>
      <c r="C1948" s="6">
        <v>0.45833333333333331</v>
      </c>
      <c r="D1948" s="1" t="s">
        <v>30</v>
      </c>
      <c r="E1948" s="1" t="s">
        <v>34</v>
      </c>
      <c r="F1948" s="1" t="s">
        <v>5520</v>
      </c>
      <c r="G1948" s="39" t="s">
        <v>5382</v>
      </c>
      <c r="H1948" s="1">
        <v>0</v>
      </c>
      <c r="I1948" s="1">
        <v>2</v>
      </c>
      <c r="J1948" s="39" t="s">
        <v>285</v>
      </c>
      <c r="K1948" s="1">
        <v>2</v>
      </c>
      <c r="L1948" s="1">
        <v>0</v>
      </c>
      <c r="S1948" s="1" t="s">
        <v>5521</v>
      </c>
      <c r="T1948" s="1">
        <v>1</v>
      </c>
      <c r="U1948" s="19"/>
      <c r="V1948" s="19"/>
    </row>
    <row r="1949" spans="1:22" x14ac:dyDescent="0.3">
      <c r="A1949" s="1" t="s">
        <v>5522</v>
      </c>
      <c r="B1949" s="5">
        <v>46177</v>
      </c>
      <c r="C1949" s="6">
        <v>0.58333333333333337</v>
      </c>
      <c r="D1949" s="1" t="s">
        <v>30</v>
      </c>
      <c r="E1949" s="1" t="s">
        <v>34</v>
      </c>
      <c r="F1949" s="1" t="s">
        <v>5523</v>
      </c>
      <c r="G1949" s="39" t="s">
        <v>5366</v>
      </c>
      <c r="H1949" s="1">
        <v>1</v>
      </c>
      <c r="I1949" s="1">
        <v>2</v>
      </c>
      <c r="J1949" s="39" t="s">
        <v>5382</v>
      </c>
      <c r="K1949" s="1">
        <v>2</v>
      </c>
      <c r="L1949" s="1">
        <v>1</v>
      </c>
      <c r="S1949" s="1" t="s">
        <v>5524</v>
      </c>
      <c r="T1949" s="1">
        <v>1</v>
      </c>
      <c r="U1949" s="19"/>
      <c r="V1949" s="19"/>
    </row>
    <row r="1950" spans="1:22" x14ac:dyDescent="0.3">
      <c r="A1950" s="1" t="s">
        <v>5525</v>
      </c>
      <c r="B1950" s="5">
        <v>46172</v>
      </c>
      <c r="C1950" s="6">
        <v>0.45833333333333331</v>
      </c>
      <c r="D1950" s="1" t="s">
        <v>30</v>
      </c>
      <c r="E1950" s="1" t="s">
        <v>34</v>
      </c>
      <c r="F1950" s="1" t="s">
        <v>5526</v>
      </c>
      <c r="G1950" s="39" t="s">
        <v>5382</v>
      </c>
      <c r="H1950" s="1">
        <v>3</v>
      </c>
      <c r="I1950" s="1">
        <v>0</v>
      </c>
      <c r="J1950" s="39" t="s">
        <v>5386</v>
      </c>
      <c r="K1950" s="1">
        <v>0</v>
      </c>
      <c r="L1950" s="1">
        <v>3</v>
      </c>
      <c r="S1950" s="1" t="s">
        <v>5527</v>
      </c>
      <c r="T1950" s="1">
        <v>1</v>
      </c>
      <c r="U1950" s="19"/>
      <c r="V1950" s="19"/>
    </row>
    <row r="1951" spans="1:22" x14ac:dyDescent="0.3">
      <c r="A1951" s="1" t="s">
        <v>5528</v>
      </c>
      <c r="B1951" s="5">
        <v>46164</v>
      </c>
      <c r="C1951" s="6">
        <v>0.58333333333333337</v>
      </c>
      <c r="D1951" s="1" t="s">
        <v>30</v>
      </c>
      <c r="E1951" s="1" t="s">
        <v>34</v>
      </c>
      <c r="F1951" s="1" t="s">
        <v>5529</v>
      </c>
      <c r="G1951" s="39" t="s">
        <v>5418</v>
      </c>
      <c r="H1951" s="1">
        <v>1</v>
      </c>
      <c r="I1951" s="1">
        <v>3</v>
      </c>
      <c r="J1951" s="39" t="s">
        <v>5382</v>
      </c>
      <c r="K1951" s="1">
        <v>3</v>
      </c>
      <c r="L1951" s="1">
        <v>1</v>
      </c>
      <c r="S1951" s="1" t="s">
        <v>5530</v>
      </c>
      <c r="T1951" s="1">
        <v>1</v>
      </c>
      <c r="U1951" s="19"/>
      <c r="V1951" s="19"/>
    </row>
    <row r="1952" spans="1:22" x14ac:dyDescent="0.3">
      <c r="A1952" s="1" t="s">
        <v>5531</v>
      </c>
      <c r="B1952" s="5">
        <v>46159</v>
      </c>
      <c r="C1952" s="6">
        <v>0.33333333333333331</v>
      </c>
      <c r="D1952" s="1" t="s">
        <v>30</v>
      </c>
      <c r="E1952" s="1" t="s">
        <v>34</v>
      </c>
      <c r="F1952" s="1" t="s">
        <v>5532</v>
      </c>
      <c r="G1952" s="39" t="s">
        <v>5340</v>
      </c>
      <c r="H1952" s="1">
        <v>2</v>
      </c>
      <c r="I1952" s="1">
        <v>0</v>
      </c>
      <c r="J1952" s="39" t="s">
        <v>5382</v>
      </c>
      <c r="K1952" s="1">
        <v>0</v>
      </c>
      <c r="L1952" s="1">
        <v>2</v>
      </c>
      <c r="S1952" s="1" t="s">
        <v>5533</v>
      </c>
      <c r="T1952" s="1">
        <v>1</v>
      </c>
      <c r="U1952" s="19"/>
      <c r="V1952" s="19"/>
    </row>
    <row r="1953" spans="1:22" x14ac:dyDescent="0.3">
      <c r="A1953" s="1" t="s">
        <v>5534</v>
      </c>
      <c r="B1953" s="5">
        <v>46143</v>
      </c>
      <c r="C1953" s="6">
        <v>0.58333333333333337</v>
      </c>
      <c r="D1953" s="1" t="s">
        <v>30</v>
      </c>
      <c r="E1953" s="1" t="s">
        <v>34</v>
      </c>
      <c r="F1953" s="1" t="s">
        <v>5535</v>
      </c>
      <c r="G1953" s="39" t="s">
        <v>5382</v>
      </c>
      <c r="H1953" s="1">
        <v>0</v>
      </c>
      <c r="I1953" s="1">
        <v>1</v>
      </c>
      <c r="J1953" s="39" t="s">
        <v>286</v>
      </c>
      <c r="K1953" s="1">
        <v>1</v>
      </c>
      <c r="L1953" s="1">
        <v>0</v>
      </c>
      <c r="S1953" s="1" t="s">
        <v>5536</v>
      </c>
      <c r="T1953" s="1">
        <v>1</v>
      </c>
      <c r="U1953" s="19"/>
      <c r="V1953" s="19"/>
    </row>
    <row r="1954" spans="1:22" x14ac:dyDescent="0.3">
      <c r="A1954" s="1" t="s">
        <v>5537</v>
      </c>
      <c r="B1954" s="5">
        <v>46191</v>
      </c>
      <c r="C1954" s="6">
        <v>0.58333333333333337</v>
      </c>
      <c r="D1954" s="1" t="s">
        <v>30</v>
      </c>
      <c r="E1954" s="1" t="s">
        <v>34</v>
      </c>
      <c r="F1954" s="1" t="s">
        <v>5538</v>
      </c>
      <c r="G1954" s="39" t="s">
        <v>5340</v>
      </c>
      <c r="H1954" s="1">
        <v>0</v>
      </c>
      <c r="I1954" s="1">
        <v>0</v>
      </c>
      <c r="J1954" s="39" t="s">
        <v>286</v>
      </c>
      <c r="K1954" s="1">
        <v>0</v>
      </c>
      <c r="L1954" s="1">
        <v>0</v>
      </c>
      <c r="S1954" s="1" t="s">
        <v>5539</v>
      </c>
      <c r="T1954" s="1">
        <v>1</v>
      </c>
      <c r="U1954" s="19"/>
      <c r="V1954" s="19"/>
    </row>
    <row r="1955" spans="1:22" x14ac:dyDescent="0.3">
      <c r="A1955" s="1" t="s">
        <v>5540</v>
      </c>
      <c r="B1955" s="5">
        <v>46186</v>
      </c>
      <c r="C1955" s="6">
        <v>0.45833333333333331</v>
      </c>
      <c r="D1955" s="1" t="s">
        <v>30</v>
      </c>
      <c r="E1955" s="1" t="s">
        <v>34</v>
      </c>
      <c r="F1955" s="1" t="s">
        <v>5541</v>
      </c>
      <c r="G1955" s="39" t="s">
        <v>5374</v>
      </c>
      <c r="H1955" s="1">
        <v>2</v>
      </c>
      <c r="I1955" s="1">
        <v>1</v>
      </c>
      <c r="J1955" s="39" t="s">
        <v>5340</v>
      </c>
      <c r="K1955" s="1">
        <v>1</v>
      </c>
      <c r="L1955" s="1">
        <v>2</v>
      </c>
      <c r="S1955" s="1" t="s">
        <v>5542</v>
      </c>
      <c r="T1955" s="1">
        <v>1</v>
      </c>
      <c r="U1955" s="19"/>
      <c r="V1955" s="19"/>
    </row>
    <row r="1956" spans="1:22" x14ac:dyDescent="0.3">
      <c r="A1956" s="1" t="s">
        <v>5543</v>
      </c>
      <c r="B1956" s="5">
        <v>46174</v>
      </c>
      <c r="C1956" s="6">
        <v>0.58333333333333337</v>
      </c>
      <c r="D1956" s="1" t="s">
        <v>30</v>
      </c>
      <c r="E1956" s="1" t="s">
        <v>34</v>
      </c>
      <c r="F1956" s="1" t="s">
        <v>5544</v>
      </c>
      <c r="G1956" s="39" t="s">
        <v>5370</v>
      </c>
      <c r="H1956" s="1">
        <v>1</v>
      </c>
      <c r="I1956" s="1">
        <v>0</v>
      </c>
      <c r="J1956" s="39" t="s">
        <v>5340</v>
      </c>
      <c r="K1956" s="1">
        <v>0</v>
      </c>
      <c r="L1956" s="1">
        <v>1</v>
      </c>
      <c r="S1956" s="1" t="s">
        <v>5545</v>
      </c>
      <c r="T1956" s="1">
        <v>1</v>
      </c>
      <c r="U1956" s="19"/>
      <c r="V1956" s="19"/>
    </row>
    <row r="1957" spans="1:22" x14ac:dyDescent="0.3">
      <c r="A1957" s="1" t="s">
        <v>5546</v>
      </c>
      <c r="B1957" s="5">
        <v>46166</v>
      </c>
      <c r="C1957" s="6">
        <v>0.45833333333333331</v>
      </c>
      <c r="D1957" s="1" t="s">
        <v>30</v>
      </c>
      <c r="E1957" s="1" t="s">
        <v>34</v>
      </c>
      <c r="F1957" s="1" t="s">
        <v>5547</v>
      </c>
      <c r="G1957" s="39" t="s">
        <v>5340</v>
      </c>
      <c r="H1957" s="1">
        <v>3</v>
      </c>
      <c r="I1957" s="1">
        <v>0</v>
      </c>
      <c r="J1957" s="39" t="s">
        <v>5348</v>
      </c>
      <c r="K1957" s="1">
        <v>0</v>
      </c>
      <c r="L1957" s="1">
        <v>3</v>
      </c>
      <c r="S1957" s="1" t="s">
        <v>5548</v>
      </c>
      <c r="T1957" s="1">
        <v>1</v>
      </c>
      <c r="U1957" s="19"/>
      <c r="V1957" s="19"/>
    </row>
    <row r="1958" spans="1:22" x14ac:dyDescent="0.3">
      <c r="A1958" s="1" t="s">
        <v>5549</v>
      </c>
      <c r="B1958" s="5">
        <v>46156</v>
      </c>
      <c r="C1958" s="6">
        <v>0.58333333333333337</v>
      </c>
      <c r="D1958" s="1" t="s">
        <v>30</v>
      </c>
      <c r="E1958" s="1" t="s">
        <v>34</v>
      </c>
      <c r="F1958" s="1" t="s">
        <v>5550</v>
      </c>
      <c r="G1958" s="39" t="s">
        <v>285</v>
      </c>
      <c r="H1958" s="1">
        <v>1</v>
      </c>
      <c r="I1958" s="1">
        <v>1</v>
      </c>
      <c r="J1958" s="39" t="s">
        <v>5340</v>
      </c>
      <c r="K1958" s="1">
        <v>1</v>
      </c>
      <c r="L1958" s="1">
        <v>1</v>
      </c>
      <c r="S1958" s="1" t="s">
        <v>5551</v>
      </c>
      <c r="T1958" s="1">
        <v>1</v>
      </c>
      <c r="U1958" s="19"/>
      <c r="V1958" s="19"/>
    </row>
    <row r="1959" spans="1:22" x14ac:dyDescent="0.3">
      <c r="A1959" s="1" t="s">
        <v>5552</v>
      </c>
      <c r="B1959" s="5">
        <v>46152</v>
      </c>
      <c r="C1959" s="6">
        <v>0.45833333333333331</v>
      </c>
      <c r="D1959" s="1" t="s">
        <v>30</v>
      </c>
      <c r="E1959" s="1" t="s">
        <v>34</v>
      </c>
      <c r="F1959" s="1" t="s">
        <v>5553</v>
      </c>
      <c r="G1959" s="39" t="s">
        <v>5340</v>
      </c>
      <c r="H1959" s="1">
        <v>2</v>
      </c>
      <c r="I1959" s="1">
        <v>1</v>
      </c>
      <c r="J1959" s="39" t="s">
        <v>5366</v>
      </c>
      <c r="K1959" s="1">
        <v>1</v>
      </c>
      <c r="L1959" s="1">
        <v>2</v>
      </c>
      <c r="S1959" s="1" t="s">
        <v>5554</v>
      </c>
      <c r="T1959" s="1">
        <v>1</v>
      </c>
      <c r="U1959" s="19"/>
      <c r="V1959" s="19"/>
    </row>
    <row r="1960" spans="1:22" x14ac:dyDescent="0.3">
      <c r="A1960" s="1" t="s">
        <v>5555</v>
      </c>
      <c r="B1960" s="5">
        <v>46144</v>
      </c>
      <c r="C1960" s="6">
        <v>0.45833333333333331</v>
      </c>
      <c r="D1960" s="1" t="s">
        <v>30</v>
      </c>
      <c r="E1960" s="1" t="s">
        <v>34</v>
      </c>
      <c r="F1960" s="1" t="s">
        <v>5556</v>
      </c>
      <c r="G1960" s="39" t="s">
        <v>5340</v>
      </c>
      <c r="H1960" s="1">
        <v>3</v>
      </c>
      <c r="I1960" s="1">
        <v>0</v>
      </c>
      <c r="J1960" s="39" t="s">
        <v>5418</v>
      </c>
      <c r="K1960" s="1">
        <v>0</v>
      </c>
      <c r="L1960" s="1">
        <v>3</v>
      </c>
      <c r="S1960" s="1" t="s">
        <v>5557</v>
      </c>
      <c r="T1960" s="1">
        <v>1</v>
      </c>
      <c r="U1960" s="19"/>
      <c r="V1960" s="19"/>
    </row>
    <row r="1961" spans="1:22" x14ac:dyDescent="0.3">
      <c r="A1961" s="1" t="s">
        <v>5558</v>
      </c>
      <c r="B1961" s="5">
        <v>46241</v>
      </c>
      <c r="C1961" s="6">
        <v>0.58333333333333337</v>
      </c>
      <c r="D1961" s="1" t="s">
        <v>30</v>
      </c>
      <c r="E1961" s="1" t="s">
        <v>34</v>
      </c>
      <c r="F1961" s="1" t="s">
        <v>5559</v>
      </c>
      <c r="G1961" s="39" t="s">
        <v>5418</v>
      </c>
      <c r="H1961" s="1">
        <v>1</v>
      </c>
      <c r="I1961" s="1">
        <v>0</v>
      </c>
      <c r="J1961" s="39" t="s">
        <v>5348</v>
      </c>
      <c r="K1961" s="1">
        <v>0</v>
      </c>
      <c r="L1961" s="1">
        <v>1</v>
      </c>
      <c r="S1961" s="1" t="s">
        <v>5560</v>
      </c>
      <c r="T1961" s="1">
        <v>1</v>
      </c>
      <c r="U1961" s="19"/>
      <c r="V1961" s="19"/>
    </row>
    <row r="1962" spans="1:22" x14ac:dyDescent="0.3">
      <c r="A1962" s="1" t="s">
        <v>5561</v>
      </c>
      <c r="B1962" s="5">
        <v>46199</v>
      </c>
      <c r="C1962" s="6">
        <v>0.58333333333333337</v>
      </c>
      <c r="D1962" s="1" t="s">
        <v>30</v>
      </c>
      <c r="E1962" s="1" t="s">
        <v>34</v>
      </c>
      <c r="F1962" s="1" t="s">
        <v>5562</v>
      </c>
      <c r="G1962" s="39" t="s">
        <v>5418</v>
      </c>
      <c r="H1962" s="1">
        <v>0</v>
      </c>
      <c r="I1962" s="1">
        <v>0</v>
      </c>
      <c r="J1962" s="39" t="s">
        <v>285</v>
      </c>
      <c r="K1962" s="1">
        <v>0</v>
      </c>
      <c r="L1962" s="1">
        <v>0</v>
      </c>
      <c r="S1962" s="1" t="s">
        <v>5563</v>
      </c>
      <c r="T1962" s="1">
        <v>1</v>
      </c>
      <c r="U1962" s="19"/>
      <c r="V1962" s="19"/>
    </row>
    <row r="1963" spans="1:22" x14ac:dyDescent="0.3">
      <c r="A1963" s="1" t="s">
        <v>5564</v>
      </c>
      <c r="B1963" s="5">
        <v>46194</v>
      </c>
      <c r="C1963" s="6">
        <v>0.45833333333333331</v>
      </c>
      <c r="D1963" s="1" t="s">
        <v>30</v>
      </c>
      <c r="E1963" s="1" t="s">
        <v>34</v>
      </c>
      <c r="F1963" s="1" t="s">
        <v>5565</v>
      </c>
      <c r="G1963" s="39" t="s">
        <v>5418</v>
      </c>
      <c r="H1963" s="1">
        <v>0</v>
      </c>
      <c r="I1963" s="1">
        <v>3</v>
      </c>
      <c r="J1963" s="39" t="s">
        <v>5366</v>
      </c>
      <c r="K1963" s="1">
        <v>3</v>
      </c>
      <c r="L1963" s="1">
        <v>0</v>
      </c>
      <c r="S1963" s="1" t="s">
        <v>5566</v>
      </c>
      <c r="T1963" s="1">
        <v>1</v>
      </c>
      <c r="U1963" s="19"/>
      <c r="V1963" s="19"/>
    </row>
    <row r="1964" spans="1:22" x14ac:dyDescent="0.3">
      <c r="A1964" s="1" t="s">
        <v>5567</v>
      </c>
      <c r="B1964" s="5">
        <v>46180</v>
      </c>
      <c r="C1964" s="6">
        <v>0.45833333333333331</v>
      </c>
      <c r="D1964" s="1" t="s">
        <v>30</v>
      </c>
      <c r="E1964" s="1" t="s">
        <v>34</v>
      </c>
      <c r="F1964" s="1" t="s">
        <v>5568</v>
      </c>
      <c r="G1964" s="39" t="s">
        <v>5418</v>
      </c>
      <c r="H1964" s="1">
        <v>1</v>
      </c>
      <c r="I1964" s="1">
        <v>1</v>
      </c>
      <c r="J1964" s="39" t="s">
        <v>286</v>
      </c>
      <c r="K1964" s="1">
        <v>1</v>
      </c>
      <c r="L1964" s="1">
        <v>1</v>
      </c>
      <c r="S1964" s="1" t="s">
        <v>5569</v>
      </c>
      <c r="T1964" s="1">
        <v>1</v>
      </c>
      <c r="U1964" s="19"/>
      <c r="V1964" s="19"/>
    </row>
    <row r="1965" spans="1:22" x14ac:dyDescent="0.3">
      <c r="A1965" s="1" t="s">
        <v>5570</v>
      </c>
      <c r="B1965" s="5">
        <v>46172</v>
      </c>
      <c r="C1965" s="6">
        <v>0.45833333333333331</v>
      </c>
      <c r="D1965" s="1" t="s">
        <v>30</v>
      </c>
      <c r="E1965" s="1" t="s">
        <v>34</v>
      </c>
      <c r="F1965" s="1" t="s">
        <v>5571</v>
      </c>
      <c r="G1965" s="39" t="s">
        <v>5374</v>
      </c>
      <c r="H1965" s="1">
        <v>1</v>
      </c>
      <c r="I1965" s="1">
        <v>2</v>
      </c>
      <c r="J1965" s="39" t="s">
        <v>5418</v>
      </c>
      <c r="K1965" s="1">
        <v>2</v>
      </c>
      <c r="L1965" s="1">
        <v>1</v>
      </c>
      <c r="S1965" s="1" t="s">
        <v>5572</v>
      </c>
      <c r="T1965" s="1">
        <v>1</v>
      </c>
      <c r="U1965" s="19"/>
      <c r="V1965" s="19"/>
    </row>
    <row r="1966" spans="1:22" x14ac:dyDescent="0.3">
      <c r="A1966" s="1" t="s">
        <v>5573</v>
      </c>
      <c r="B1966" s="5">
        <v>46160</v>
      </c>
      <c r="C1966" s="6">
        <v>0.58333333333333337</v>
      </c>
      <c r="D1966" s="1" t="s">
        <v>30</v>
      </c>
      <c r="E1966" s="1" t="s">
        <v>34</v>
      </c>
      <c r="F1966" s="1" t="s">
        <v>5574</v>
      </c>
      <c r="G1966" s="39" t="s">
        <v>5348</v>
      </c>
      <c r="H1966" s="1">
        <v>0</v>
      </c>
      <c r="I1966" s="1">
        <v>1</v>
      </c>
      <c r="J1966" s="39" t="s">
        <v>5418</v>
      </c>
      <c r="K1966" s="1">
        <v>1</v>
      </c>
      <c r="L1966" s="1">
        <v>0</v>
      </c>
      <c r="S1966" s="1" t="s">
        <v>5575</v>
      </c>
      <c r="T1966" s="1">
        <v>1</v>
      </c>
      <c r="U1966" s="19"/>
      <c r="V1966" s="19"/>
    </row>
    <row r="1967" spans="1:22" x14ac:dyDescent="0.3">
      <c r="A1967" s="1" t="s">
        <v>5576</v>
      </c>
      <c r="B1967" s="5">
        <v>46200</v>
      </c>
      <c r="C1967" s="6">
        <v>0.33333333333333331</v>
      </c>
      <c r="D1967" s="1" t="s">
        <v>30</v>
      </c>
      <c r="E1967" s="1" t="s">
        <v>34</v>
      </c>
      <c r="F1967" s="1" t="s">
        <v>5577</v>
      </c>
      <c r="G1967" s="39" t="s">
        <v>5366</v>
      </c>
      <c r="H1967" s="1">
        <v>3</v>
      </c>
      <c r="I1967" s="1">
        <v>1</v>
      </c>
      <c r="J1967" s="39" t="s">
        <v>5386</v>
      </c>
      <c r="K1967" s="1">
        <v>1</v>
      </c>
      <c r="L1967" s="1">
        <v>3</v>
      </c>
      <c r="S1967" s="1" t="s">
        <v>5578</v>
      </c>
      <c r="T1967" s="1">
        <v>1</v>
      </c>
      <c r="U1967" s="19"/>
      <c r="V1967" s="19"/>
    </row>
    <row r="1968" spans="1:22" x14ac:dyDescent="0.3">
      <c r="A1968" s="1" t="s">
        <v>5579</v>
      </c>
      <c r="B1968" s="5">
        <v>46166</v>
      </c>
      <c r="C1968" s="6">
        <v>0.45833333333333331</v>
      </c>
      <c r="D1968" s="1" t="s">
        <v>30</v>
      </c>
      <c r="E1968" s="1" t="s">
        <v>34</v>
      </c>
      <c r="F1968" s="1" t="s">
        <v>5580</v>
      </c>
      <c r="G1968" s="39" t="s">
        <v>5411</v>
      </c>
      <c r="H1968" s="1">
        <v>3</v>
      </c>
      <c r="I1968" s="1">
        <v>1</v>
      </c>
      <c r="J1968" s="39" t="s">
        <v>5366</v>
      </c>
      <c r="K1968" s="1">
        <v>1</v>
      </c>
      <c r="L1968" s="1">
        <v>3</v>
      </c>
      <c r="S1968" s="1" t="s">
        <v>5581</v>
      </c>
      <c r="T1968" s="1">
        <v>1</v>
      </c>
      <c r="U1968" s="19"/>
      <c r="V1968" s="19"/>
    </row>
    <row r="1969" spans="1:22" x14ac:dyDescent="0.3">
      <c r="A1969" s="1" t="s">
        <v>5582</v>
      </c>
      <c r="B1969" s="5">
        <v>46155</v>
      </c>
      <c r="C1969" s="6">
        <v>0.58333333333333337</v>
      </c>
      <c r="D1969" s="1" t="s">
        <v>30</v>
      </c>
      <c r="E1969" s="1" t="s">
        <v>34</v>
      </c>
      <c r="F1969" s="1" t="s">
        <v>5583</v>
      </c>
      <c r="G1969" s="39" t="s">
        <v>5366</v>
      </c>
      <c r="H1969" s="1">
        <v>4</v>
      </c>
      <c r="I1969" s="1">
        <v>3</v>
      </c>
      <c r="J1969" s="39" t="s">
        <v>286</v>
      </c>
      <c r="K1969" s="1">
        <v>3</v>
      </c>
      <c r="L1969" s="1">
        <v>4</v>
      </c>
      <c r="S1969" s="1" t="s">
        <v>5584</v>
      </c>
      <c r="T1969" s="1">
        <v>1</v>
      </c>
      <c r="U1969" s="19"/>
      <c r="V1969" s="19"/>
    </row>
    <row r="1970" spans="1:22" x14ac:dyDescent="0.3">
      <c r="A1970" s="1" t="s">
        <v>5585</v>
      </c>
      <c r="B1970" s="5">
        <v>46144</v>
      </c>
      <c r="C1970" s="6">
        <v>0.45833333333333331</v>
      </c>
      <c r="D1970" s="1" t="s">
        <v>30</v>
      </c>
      <c r="E1970" s="1" t="s">
        <v>34</v>
      </c>
      <c r="F1970" s="1" t="s">
        <v>5586</v>
      </c>
      <c r="G1970" s="39" t="s">
        <v>5374</v>
      </c>
      <c r="H1970" s="1">
        <v>1</v>
      </c>
      <c r="I1970" s="1">
        <v>2</v>
      </c>
      <c r="J1970" s="39" t="s">
        <v>5366</v>
      </c>
      <c r="K1970" s="1">
        <v>2</v>
      </c>
      <c r="L1970" s="1">
        <v>1</v>
      </c>
      <c r="S1970" s="1" t="s">
        <v>5587</v>
      </c>
      <c r="T1970" s="1">
        <v>1</v>
      </c>
      <c r="U1970" s="19"/>
      <c r="V1970" s="19"/>
    </row>
    <row r="1971" spans="1:22" x14ac:dyDescent="0.3">
      <c r="A1971" s="1" t="s">
        <v>5588</v>
      </c>
      <c r="B1971" s="5">
        <v>46242</v>
      </c>
      <c r="C1971" s="6">
        <v>0.45833333333333331</v>
      </c>
      <c r="D1971" s="1" t="s">
        <v>30</v>
      </c>
      <c r="E1971" s="1" t="s">
        <v>34</v>
      </c>
      <c r="F1971" s="1" t="s">
        <v>5589</v>
      </c>
      <c r="G1971" s="39" t="s">
        <v>5370</v>
      </c>
      <c r="H1971" s="1">
        <v>1</v>
      </c>
      <c r="I1971" s="1">
        <v>1</v>
      </c>
      <c r="J1971" s="39" t="s">
        <v>286</v>
      </c>
      <c r="K1971" s="1">
        <v>1</v>
      </c>
      <c r="L1971" s="1">
        <v>1</v>
      </c>
      <c r="S1971" s="1" t="s">
        <v>5590</v>
      </c>
      <c r="T1971" s="1">
        <v>1</v>
      </c>
      <c r="U1971" s="19"/>
      <c r="V1971" s="19"/>
    </row>
    <row r="1972" spans="1:22" x14ac:dyDescent="0.3">
      <c r="A1972" s="1" t="s">
        <v>5591</v>
      </c>
      <c r="B1972" s="5">
        <v>46200</v>
      </c>
      <c r="C1972" s="6">
        <v>0.45833333333333331</v>
      </c>
      <c r="D1972" s="1" t="s">
        <v>30</v>
      </c>
      <c r="E1972" s="1" t="s">
        <v>34</v>
      </c>
      <c r="F1972" s="1" t="s">
        <v>5592</v>
      </c>
      <c r="G1972" s="39" t="s">
        <v>286</v>
      </c>
      <c r="H1972" s="1">
        <v>2</v>
      </c>
      <c r="I1972" s="1">
        <v>1</v>
      </c>
      <c r="J1972" s="39" t="s">
        <v>5370</v>
      </c>
      <c r="K1972" s="1">
        <v>1</v>
      </c>
      <c r="L1972" s="1">
        <v>2</v>
      </c>
      <c r="S1972" s="1" t="s">
        <v>5593</v>
      </c>
      <c r="T1972" s="1">
        <v>1</v>
      </c>
      <c r="U1972" s="19"/>
      <c r="V1972" s="19"/>
    </row>
    <row r="1973" spans="1:22" x14ac:dyDescent="0.3">
      <c r="A1973" s="1" t="s">
        <v>5594</v>
      </c>
      <c r="B1973" s="5">
        <v>46159</v>
      </c>
      <c r="C1973" s="6">
        <v>0.45833333333333331</v>
      </c>
      <c r="D1973" s="1" t="s">
        <v>30</v>
      </c>
      <c r="E1973" s="1" t="s">
        <v>34</v>
      </c>
      <c r="F1973" s="1" t="s">
        <v>5595</v>
      </c>
      <c r="G1973" s="39" t="s">
        <v>286</v>
      </c>
      <c r="H1973" s="1">
        <v>5</v>
      </c>
      <c r="I1973" s="1">
        <v>0</v>
      </c>
      <c r="J1973" s="39" t="s">
        <v>5386</v>
      </c>
      <c r="K1973" s="1">
        <v>0</v>
      </c>
      <c r="L1973" s="1">
        <v>5</v>
      </c>
      <c r="S1973" s="1" t="s">
        <v>5596</v>
      </c>
      <c r="T1973" s="1">
        <v>1</v>
      </c>
      <c r="U1973" s="19"/>
      <c r="V1973" s="19"/>
    </row>
    <row r="1974" spans="1:22" x14ac:dyDescent="0.3">
      <c r="A1974" s="1" t="s">
        <v>5597</v>
      </c>
      <c r="B1974" s="5">
        <v>46180</v>
      </c>
      <c r="C1974" s="6">
        <v>0.45833333333333331</v>
      </c>
      <c r="D1974" s="1" t="s">
        <v>30</v>
      </c>
      <c r="E1974" s="1" t="s">
        <v>34</v>
      </c>
      <c r="F1974" s="1" t="s">
        <v>5598</v>
      </c>
      <c r="G1974" s="39" t="s">
        <v>285</v>
      </c>
      <c r="H1974" s="1">
        <v>4</v>
      </c>
      <c r="I1974" s="1">
        <v>0</v>
      </c>
      <c r="J1974" s="39" t="s">
        <v>5370</v>
      </c>
      <c r="K1974" s="1">
        <v>0</v>
      </c>
      <c r="L1974" s="1">
        <v>4</v>
      </c>
      <c r="S1974" s="1" t="s">
        <v>5599</v>
      </c>
      <c r="T1974" s="1">
        <v>1</v>
      </c>
      <c r="U1974" s="19"/>
      <c r="V1974" s="19"/>
    </row>
    <row r="1975" spans="1:22" x14ac:dyDescent="0.3">
      <c r="A1975" s="1" t="s">
        <v>5600</v>
      </c>
      <c r="B1975" s="5">
        <v>46155</v>
      </c>
      <c r="C1975" s="6">
        <v>0.58333333333333337</v>
      </c>
      <c r="D1975" s="1" t="s">
        <v>30</v>
      </c>
      <c r="E1975" s="1" t="s">
        <v>34</v>
      </c>
      <c r="F1975" s="1" t="s">
        <v>5601</v>
      </c>
      <c r="G1975" s="39" t="s">
        <v>5386</v>
      </c>
      <c r="H1975" s="1">
        <v>2</v>
      </c>
      <c r="I1975" s="1">
        <v>3</v>
      </c>
      <c r="J1975" s="39" t="s">
        <v>5370</v>
      </c>
      <c r="K1975" s="1">
        <v>3</v>
      </c>
      <c r="L1975" s="1">
        <v>2</v>
      </c>
      <c r="S1975" s="1" t="s">
        <v>5602</v>
      </c>
      <c r="T1975" s="1">
        <v>1</v>
      </c>
      <c r="U1975" s="19"/>
      <c r="V1975" s="19"/>
    </row>
    <row r="1976" spans="1:22" x14ac:dyDescent="0.3">
      <c r="A1976" s="1" t="s">
        <v>5603</v>
      </c>
      <c r="B1976" s="5">
        <v>46151</v>
      </c>
      <c r="C1976" s="6">
        <v>0.45833333333333331</v>
      </c>
      <c r="D1976" s="1" t="s">
        <v>30</v>
      </c>
      <c r="E1976" s="1" t="s">
        <v>34</v>
      </c>
      <c r="F1976" s="1" t="s">
        <v>5604</v>
      </c>
      <c r="G1976" s="39" t="s">
        <v>5370</v>
      </c>
      <c r="H1976" s="1">
        <v>1</v>
      </c>
      <c r="I1976" s="1">
        <v>1</v>
      </c>
      <c r="J1976" s="39" t="s">
        <v>5348</v>
      </c>
      <c r="K1976" s="1">
        <v>1</v>
      </c>
      <c r="L1976" s="1">
        <v>1</v>
      </c>
      <c r="S1976" s="1" t="s">
        <v>5605</v>
      </c>
      <c r="T1976" s="1">
        <v>1</v>
      </c>
      <c r="U1976" s="19"/>
      <c r="V1976" s="19"/>
    </row>
    <row r="1977" spans="1:22" x14ac:dyDescent="0.3">
      <c r="A1977" s="1" t="s">
        <v>5606</v>
      </c>
      <c r="B1977" s="5">
        <v>46144</v>
      </c>
      <c r="C1977" s="6">
        <v>0.45833333333333331</v>
      </c>
      <c r="D1977" s="1" t="s">
        <v>30</v>
      </c>
      <c r="E1977" s="1" t="s">
        <v>34</v>
      </c>
      <c r="F1977" s="1" t="s">
        <v>5607</v>
      </c>
      <c r="G1977" s="39" t="s">
        <v>5370</v>
      </c>
      <c r="H1977" s="1">
        <v>0</v>
      </c>
      <c r="I1977" s="1">
        <v>0</v>
      </c>
      <c r="J1977" s="39" t="s">
        <v>5411</v>
      </c>
      <c r="K1977" s="1">
        <v>0</v>
      </c>
      <c r="L1977" s="1">
        <v>0</v>
      </c>
      <c r="S1977" s="1" t="s">
        <v>5608</v>
      </c>
      <c r="T1977" s="1">
        <v>1</v>
      </c>
      <c r="U1977" s="19"/>
      <c r="V1977" s="19"/>
    </row>
    <row r="1978" spans="1:22" x14ac:dyDescent="0.3">
      <c r="A1978" s="1" t="s">
        <v>5609</v>
      </c>
      <c r="B1978" s="5">
        <v>46165</v>
      </c>
      <c r="C1978" s="6">
        <v>0.45833333333333331</v>
      </c>
      <c r="D1978" s="1" t="s">
        <v>30</v>
      </c>
      <c r="E1978" s="1" t="s">
        <v>34</v>
      </c>
      <c r="F1978" s="1" t="s">
        <v>5610</v>
      </c>
      <c r="G1978" s="39" t="s">
        <v>5386</v>
      </c>
      <c r="H1978" s="1">
        <v>0</v>
      </c>
      <c r="I1978" s="1">
        <v>0</v>
      </c>
      <c r="J1978" s="39" t="s">
        <v>285</v>
      </c>
      <c r="K1978" s="1">
        <v>0</v>
      </c>
      <c r="L1978" s="1">
        <v>0</v>
      </c>
      <c r="S1978" s="1" t="s">
        <v>5611</v>
      </c>
      <c r="T1978" s="1">
        <v>1</v>
      </c>
      <c r="U1978" s="19"/>
      <c r="V1978" s="19"/>
    </row>
    <row r="1979" spans="1:22" x14ac:dyDescent="0.3">
      <c r="A1979" s="1" t="s">
        <v>5612</v>
      </c>
      <c r="B1979" s="5">
        <v>46152</v>
      </c>
      <c r="C1979" s="6">
        <v>0.45833333333333331</v>
      </c>
      <c r="D1979" s="1" t="s">
        <v>30</v>
      </c>
      <c r="E1979" s="1" t="s">
        <v>34</v>
      </c>
      <c r="F1979" s="1" t="s">
        <v>5613</v>
      </c>
      <c r="G1979" s="39" t="s">
        <v>5411</v>
      </c>
      <c r="H1979" s="1">
        <v>1</v>
      </c>
      <c r="I1979" s="1">
        <v>2</v>
      </c>
      <c r="J1979" s="39" t="s">
        <v>285</v>
      </c>
      <c r="K1979" s="1">
        <v>2</v>
      </c>
      <c r="L1979" s="1">
        <v>1</v>
      </c>
      <c r="S1979" s="1" t="s">
        <v>5614</v>
      </c>
      <c r="T1979" s="1">
        <v>1</v>
      </c>
      <c r="U1979" s="19"/>
      <c r="V1979" s="19"/>
    </row>
    <row r="1980" spans="1:22" x14ac:dyDescent="0.3">
      <c r="A1980" s="1" t="s">
        <v>5615</v>
      </c>
      <c r="B1980" s="5">
        <v>46242</v>
      </c>
      <c r="C1980" s="6">
        <v>0.45833333333333331</v>
      </c>
      <c r="D1980" s="1" t="s">
        <v>30</v>
      </c>
      <c r="E1980" s="1" t="s">
        <v>34</v>
      </c>
      <c r="F1980" s="1" t="s">
        <v>5616</v>
      </c>
      <c r="G1980" s="39" t="s">
        <v>5374</v>
      </c>
      <c r="H1980" s="1">
        <v>1</v>
      </c>
      <c r="I1980" s="1">
        <v>2</v>
      </c>
      <c r="J1980" s="39" t="s">
        <v>5411</v>
      </c>
      <c r="K1980" s="1">
        <v>2</v>
      </c>
      <c r="L1980" s="1">
        <v>1</v>
      </c>
      <c r="S1980" s="1" t="s">
        <v>5617</v>
      </c>
      <c r="T1980" s="1">
        <v>1</v>
      </c>
      <c r="U1980" s="19"/>
      <c r="V1980" s="19"/>
    </row>
    <row r="1981" spans="1:22" x14ac:dyDescent="0.3">
      <c r="A1981" s="1" t="s">
        <v>5618</v>
      </c>
      <c r="B1981" s="5">
        <v>46235</v>
      </c>
      <c r="C1981" s="6">
        <v>0.33333333333333331</v>
      </c>
      <c r="D1981" s="1" t="s">
        <v>30</v>
      </c>
      <c r="E1981" s="1" t="s">
        <v>34</v>
      </c>
      <c r="F1981" s="1" t="s">
        <v>5619</v>
      </c>
      <c r="G1981" s="39" t="s">
        <v>5374</v>
      </c>
      <c r="H1981" s="1">
        <v>2</v>
      </c>
      <c r="I1981" s="1">
        <v>2</v>
      </c>
      <c r="J1981" s="39" t="s">
        <v>5386</v>
      </c>
      <c r="K1981" s="1">
        <v>2</v>
      </c>
      <c r="L1981" s="1">
        <v>2</v>
      </c>
      <c r="S1981" s="1" t="s">
        <v>5620</v>
      </c>
      <c r="T1981" s="1">
        <v>1</v>
      </c>
      <c r="U1981" s="19"/>
      <c r="V1981" s="19"/>
    </row>
    <row r="1982" spans="1:22" x14ac:dyDescent="0.3">
      <c r="A1982" s="1" t="s">
        <v>5621</v>
      </c>
      <c r="B1982" s="5">
        <v>46191</v>
      </c>
      <c r="C1982" s="6">
        <v>0.58333333333333337</v>
      </c>
      <c r="D1982" s="1" t="s">
        <v>30</v>
      </c>
      <c r="E1982" s="1" t="s">
        <v>34</v>
      </c>
      <c r="F1982" s="1" t="s">
        <v>5622</v>
      </c>
      <c r="G1982" s="39" t="s">
        <v>5374</v>
      </c>
      <c r="H1982" s="1">
        <v>3</v>
      </c>
      <c r="I1982" s="1">
        <v>2</v>
      </c>
      <c r="J1982" s="39" t="s">
        <v>5348</v>
      </c>
      <c r="K1982" s="1">
        <v>2</v>
      </c>
      <c r="L1982" s="1">
        <v>3</v>
      </c>
      <c r="S1982" s="1" t="s">
        <v>5623</v>
      </c>
      <c r="T1982" s="1">
        <v>1</v>
      </c>
      <c r="U1982" s="19"/>
      <c r="V1982" s="19"/>
    </row>
    <row r="1983" spans="1:22" x14ac:dyDescent="0.3">
      <c r="A1983" s="1" t="s">
        <v>5624</v>
      </c>
      <c r="B1983" s="5">
        <v>46190</v>
      </c>
      <c r="C1983" s="6">
        <v>0.58333333333333337</v>
      </c>
      <c r="D1983" s="1" t="s">
        <v>30</v>
      </c>
      <c r="E1983" s="1" t="s">
        <v>34</v>
      </c>
      <c r="F1983" s="1" t="s">
        <v>5625</v>
      </c>
      <c r="G1983" s="39" t="s">
        <v>5386</v>
      </c>
      <c r="H1983" s="1">
        <v>0</v>
      </c>
      <c r="I1983" s="1">
        <v>3</v>
      </c>
      <c r="J1983" s="39" t="s">
        <v>5411</v>
      </c>
      <c r="K1983" s="1">
        <v>3</v>
      </c>
      <c r="L1983" s="1">
        <v>0</v>
      </c>
      <c r="S1983" s="1" t="s">
        <v>5626</v>
      </c>
      <c r="T1983" s="1">
        <v>1</v>
      </c>
      <c r="U1983" s="19"/>
      <c r="V1983" s="19"/>
    </row>
    <row r="1984" spans="1:22" x14ac:dyDescent="0.3">
      <c r="A1984" s="1" t="s">
        <v>5627</v>
      </c>
      <c r="B1984" s="5">
        <v>46186</v>
      </c>
      <c r="C1984" s="6">
        <v>0.45833333333333331</v>
      </c>
      <c r="D1984" s="1" t="s">
        <v>30</v>
      </c>
      <c r="E1984" s="1" t="s">
        <v>34</v>
      </c>
      <c r="F1984" s="1" t="s">
        <v>5628</v>
      </c>
      <c r="G1984" s="39" t="s">
        <v>5348</v>
      </c>
      <c r="H1984" s="1">
        <v>4</v>
      </c>
      <c r="I1984" s="1">
        <v>2</v>
      </c>
      <c r="J1984" s="39" t="s">
        <v>5386</v>
      </c>
      <c r="K1984" s="1">
        <v>2</v>
      </c>
      <c r="L1984" s="1">
        <v>4</v>
      </c>
      <c r="S1984" s="1" t="s">
        <v>5629</v>
      </c>
      <c r="T1984" s="1">
        <v>1</v>
      </c>
      <c r="U1984" s="19"/>
      <c r="V1984" s="19"/>
    </row>
    <row r="1985" spans="1:22" x14ac:dyDescent="0.3">
      <c r="A1985" s="1" t="s">
        <v>5630</v>
      </c>
      <c r="B1985" s="5">
        <v>46180</v>
      </c>
      <c r="C1985" s="6">
        <v>0.45833333333333331</v>
      </c>
      <c r="D1985" s="1" t="s">
        <v>30</v>
      </c>
      <c r="E1985" s="1" t="s">
        <v>34</v>
      </c>
      <c r="F1985" s="1" t="s">
        <v>5631</v>
      </c>
      <c r="G1985" s="39" t="s">
        <v>5411</v>
      </c>
      <c r="H1985" s="1">
        <v>2</v>
      </c>
      <c r="I1985" s="1">
        <v>2</v>
      </c>
      <c r="J1985" s="39" t="s">
        <v>5374</v>
      </c>
      <c r="K1985" s="1">
        <v>2</v>
      </c>
      <c r="L1985" s="1">
        <v>2</v>
      </c>
      <c r="S1985" s="1" t="s">
        <v>5632</v>
      </c>
      <c r="T1985" s="1">
        <v>1</v>
      </c>
      <c r="U1985" s="19"/>
      <c r="V1985" s="19"/>
    </row>
    <row r="1986" spans="1:22" x14ac:dyDescent="0.3">
      <c r="A1986" s="1" t="s">
        <v>5633</v>
      </c>
      <c r="B1986" s="5">
        <v>46156</v>
      </c>
      <c r="C1986" s="6">
        <v>0.58333333333333337</v>
      </c>
      <c r="D1986" s="1" t="s">
        <v>30</v>
      </c>
      <c r="E1986" s="1" t="s">
        <v>34</v>
      </c>
      <c r="F1986" s="1" t="s">
        <v>5634</v>
      </c>
      <c r="G1986" s="39" t="s">
        <v>5348</v>
      </c>
      <c r="H1986" s="1">
        <v>2</v>
      </c>
      <c r="I1986" s="1">
        <v>2</v>
      </c>
      <c r="J1986" s="39" t="s">
        <v>5411</v>
      </c>
      <c r="K1986" s="1">
        <v>2</v>
      </c>
      <c r="L1986" s="1">
        <v>2</v>
      </c>
      <c r="S1986" s="1" t="s">
        <v>5635</v>
      </c>
      <c r="T1986" s="1">
        <v>1</v>
      </c>
      <c r="U1986" s="19"/>
      <c r="V1986" s="19"/>
    </row>
    <row r="1987" spans="1:22" x14ac:dyDescent="0.3">
      <c r="A1987" s="1" t="s">
        <v>5639</v>
      </c>
      <c r="B1987" s="5">
        <v>46243</v>
      </c>
      <c r="C1987" s="6">
        <v>0.33333333333333331</v>
      </c>
      <c r="D1987" s="1" t="s">
        <v>30</v>
      </c>
      <c r="E1987" s="1" t="s">
        <v>33</v>
      </c>
      <c r="F1987" s="1" t="s">
        <v>5640</v>
      </c>
      <c r="G1987" s="39" t="s">
        <v>281</v>
      </c>
      <c r="H1987" s="1">
        <v>1</v>
      </c>
      <c r="I1987" s="1">
        <v>3</v>
      </c>
      <c r="J1987" s="39" t="s">
        <v>280</v>
      </c>
      <c r="K1987" s="1">
        <v>3</v>
      </c>
      <c r="L1987" s="1">
        <v>1</v>
      </c>
      <c r="S1987" s="1" t="s">
        <v>5641</v>
      </c>
      <c r="T1987" s="1">
        <v>1</v>
      </c>
      <c r="U1987" s="19"/>
      <c r="V1987" s="19"/>
    </row>
    <row r="1988" spans="1:22" x14ac:dyDescent="0.3">
      <c r="A1988" s="1" t="s">
        <v>5642</v>
      </c>
      <c r="B1988" s="5">
        <v>46199</v>
      </c>
      <c r="C1988" s="6">
        <v>0.58333333333333337</v>
      </c>
      <c r="D1988" s="1" t="s">
        <v>30</v>
      </c>
      <c r="E1988" s="1" t="s">
        <v>33</v>
      </c>
      <c r="F1988" s="1" t="s">
        <v>5643</v>
      </c>
      <c r="G1988" s="39" t="s">
        <v>983</v>
      </c>
      <c r="H1988" s="1">
        <v>1</v>
      </c>
      <c r="I1988" s="1">
        <v>4</v>
      </c>
      <c r="J1988" s="39" t="s">
        <v>280</v>
      </c>
      <c r="K1988" s="1">
        <v>4</v>
      </c>
      <c r="L1988" s="1">
        <v>1</v>
      </c>
      <c r="S1988" s="1" t="s">
        <v>5644</v>
      </c>
      <c r="T1988" s="1">
        <v>1</v>
      </c>
      <c r="U1988" s="19"/>
      <c r="V1988" s="19"/>
    </row>
    <row r="1989" spans="1:22" x14ac:dyDescent="0.3">
      <c r="A1989" s="1" t="s">
        <v>5645</v>
      </c>
      <c r="B1989" s="5">
        <v>46194</v>
      </c>
      <c r="C1989" s="6">
        <v>0.41666666666666669</v>
      </c>
      <c r="D1989" s="1" t="s">
        <v>30</v>
      </c>
      <c r="E1989" s="1" t="s">
        <v>33</v>
      </c>
      <c r="F1989" s="1" t="s">
        <v>5646</v>
      </c>
      <c r="G1989" s="39" t="s">
        <v>5647</v>
      </c>
      <c r="H1989" s="1">
        <v>2</v>
      </c>
      <c r="I1989" s="1">
        <v>2</v>
      </c>
      <c r="J1989" s="39" t="s">
        <v>280</v>
      </c>
      <c r="K1989" s="1">
        <v>2</v>
      </c>
      <c r="L1989" s="1">
        <v>2</v>
      </c>
      <c r="S1989" s="1" t="s">
        <v>5648</v>
      </c>
      <c r="T1989" s="1">
        <v>1</v>
      </c>
      <c r="U1989" s="19"/>
      <c r="V1989" s="19"/>
    </row>
    <row r="1990" spans="1:22" x14ac:dyDescent="0.3">
      <c r="A1990" s="1" t="s">
        <v>5649</v>
      </c>
      <c r="B1990" s="5">
        <v>46187</v>
      </c>
      <c r="C1990" s="6">
        <v>0.41666666666666669</v>
      </c>
      <c r="D1990" s="1" t="s">
        <v>30</v>
      </c>
      <c r="E1990" s="1" t="s">
        <v>33</v>
      </c>
      <c r="F1990" s="1" t="s">
        <v>5650</v>
      </c>
      <c r="G1990" s="39" t="s">
        <v>280</v>
      </c>
      <c r="H1990" s="1">
        <v>1</v>
      </c>
      <c r="I1990" s="1">
        <v>0</v>
      </c>
      <c r="J1990" s="39" t="s">
        <v>5637</v>
      </c>
      <c r="K1990" s="1">
        <v>0</v>
      </c>
      <c r="L1990" s="1">
        <v>1</v>
      </c>
      <c r="S1990" s="1" t="s">
        <v>5651</v>
      </c>
      <c r="T1990" s="1">
        <v>1</v>
      </c>
      <c r="U1990" s="19"/>
      <c r="V1990" s="19"/>
    </row>
    <row r="1991" spans="1:22" x14ac:dyDescent="0.3">
      <c r="A1991" s="1" t="s">
        <v>5652</v>
      </c>
      <c r="B1991" s="5">
        <v>46177</v>
      </c>
      <c r="C1991" s="6">
        <v>0.58333333333333337</v>
      </c>
      <c r="D1991" s="1" t="s">
        <v>30</v>
      </c>
      <c r="E1991" s="1" t="s">
        <v>33</v>
      </c>
      <c r="F1991" s="1" t="s">
        <v>5653</v>
      </c>
      <c r="G1991" s="39" t="s">
        <v>280</v>
      </c>
      <c r="H1991" s="1">
        <v>3</v>
      </c>
      <c r="I1991" s="1">
        <v>2</v>
      </c>
      <c r="J1991" s="39" t="s">
        <v>965</v>
      </c>
      <c r="K1991" s="1">
        <v>2</v>
      </c>
      <c r="L1991" s="1">
        <v>3</v>
      </c>
      <c r="S1991" s="1" t="s">
        <v>5654</v>
      </c>
      <c r="T1991" s="1">
        <v>1</v>
      </c>
      <c r="U1991" s="19"/>
      <c r="V1991" s="19"/>
    </row>
    <row r="1992" spans="1:22" x14ac:dyDescent="0.3">
      <c r="A1992" s="1" t="s">
        <v>5655</v>
      </c>
      <c r="B1992" s="5">
        <v>46172</v>
      </c>
      <c r="C1992" s="6">
        <v>0.41666666666666669</v>
      </c>
      <c r="D1992" s="1" t="s">
        <v>30</v>
      </c>
      <c r="E1992" s="1" t="s">
        <v>33</v>
      </c>
      <c r="F1992" s="1" t="s">
        <v>5656</v>
      </c>
      <c r="G1992" s="39" t="s">
        <v>5657</v>
      </c>
      <c r="H1992" s="1">
        <v>1</v>
      </c>
      <c r="I1992" s="1">
        <v>2</v>
      </c>
      <c r="J1992" s="39" t="s">
        <v>280</v>
      </c>
      <c r="K1992" s="1">
        <v>2</v>
      </c>
      <c r="L1992" s="1">
        <v>1</v>
      </c>
      <c r="S1992" s="1" t="s">
        <v>5658</v>
      </c>
      <c r="T1992" s="1">
        <v>1</v>
      </c>
      <c r="U1992" s="19"/>
      <c r="V1992" s="19"/>
    </row>
    <row r="1993" spans="1:22" x14ac:dyDescent="0.3">
      <c r="A1993" s="1" t="s">
        <v>5659</v>
      </c>
      <c r="B1993" s="5">
        <v>46166</v>
      </c>
      <c r="C1993" s="6">
        <v>0.41666666666666669</v>
      </c>
      <c r="D1993" s="1" t="s">
        <v>30</v>
      </c>
      <c r="E1993" s="1" t="s">
        <v>33</v>
      </c>
      <c r="F1993" s="1" t="s">
        <v>5660</v>
      </c>
      <c r="G1993" s="39" t="s">
        <v>280</v>
      </c>
      <c r="H1993" s="1">
        <v>0</v>
      </c>
      <c r="I1993" s="1">
        <v>3</v>
      </c>
      <c r="J1993" s="39" t="s">
        <v>984</v>
      </c>
      <c r="K1993" s="1">
        <v>3</v>
      </c>
      <c r="L1993" s="1">
        <v>0</v>
      </c>
      <c r="S1993" s="1" t="s">
        <v>5661</v>
      </c>
      <c r="T1993" s="1">
        <v>1</v>
      </c>
      <c r="U1993" s="19"/>
      <c r="V1993" s="19"/>
    </row>
    <row r="1994" spans="1:22" x14ac:dyDescent="0.3">
      <c r="A1994" s="1" t="s">
        <v>5662</v>
      </c>
      <c r="B1994" s="5">
        <v>46160</v>
      </c>
      <c r="C1994" s="6">
        <v>0.58333333333333337</v>
      </c>
      <c r="D1994" s="1" t="s">
        <v>30</v>
      </c>
      <c r="E1994" s="1" t="s">
        <v>33</v>
      </c>
      <c r="F1994" s="1" t="s">
        <v>5663</v>
      </c>
      <c r="G1994" s="39" t="s">
        <v>280</v>
      </c>
      <c r="H1994" s="1">
        <v>0</v>
      </c>
      <c r="I1994" s="1">
        <v>0</v>
      </c>
      <c r="J1994" s="39" t="s">
        <v>5664</v>
      </c>
      <c r="K1994" s="1">
        <v>0</v>
      </c>
      <c r="L1994" s="1">
        <v>0</v>
      </c>
      <c r="S1994" s="1" t="s">
        <v>5665</v>
      </c>
      <c r="T1994" s="1">
        <v>1</v>
      </c>
      <c r="U1994" s="19"/>
      <c r="V1994" s="19"/>
    </row>
    <row r="1995" spans="1:22" x14ac:dyDescent="0.3">
      <c r="A1995" s="1" t="s">
        <v>5666</v>
      </c>
      <c r="B1995" s="5">
        <v>46155</v>
      </c>
      <c r="C1995" s="6">
        <v>0.58333333333333337</v>
      </c>
      <c r="D1995" s="1" t="s">
        <v>30</v>
      </c>
      <c r="E1995" s="1" t="s">
        <v>33</v>
      </c>
      <c r="F1995" s="1" t="s">
        <v>5667</v>
      </c>
      <c r="G1995" s="39" t="s">
        <v>217</v>
      </c>
      <c r="H1995" s="1">
        <v>0</v>
      </c>
      <c r="I1995" s="1">
        <v>2</v>
      </c>
      <c r="J1995" s="39" t="s">
        <v>280</v>
      </c>
      <c r="K1995" s="1">
        <v>2</v>
      </c>
      <c r="L1995" s="1">
        <v>0</v>
      </c>
      <c r="S1995" s="1" t="s">
        <v>5668</v>
      </c>
      <c r="T1995" s="1">
        <v>1</v>
      </c>
      <c r="U1995" s="19"/>
      <c r="V1995" s="19"/>
    </row>
    <row r="1996" spans="1:22" x14ac:dyDescent="0.3">
      <c r="A1996" s="1" t="s">
        <v>5669</v>
      </c>
      <c r="B1996" s="5">
        <v>46150</v>
      </c>
      <c r="C1996" s="6">
        <v>0.58333333333333337</v>
      </c>
      <c r="D1996" s="1" t="s">
        <v>30</v>
      </c>
      <c r="E1996" s="1" t="s">
        <v>33</v>
      </c>
      <c r="F1996" s="1" t="s">
        <v>5670</v>
      </c>
      <c r="G1996" s="39" t="s">
        <v>964</v>
      </c>
      <c r="H1996" s="1">
        <v>2</v>
      </c>
      <c r="I1996" s="1">
        <v>1</v>
      </c>
      <c r="J1996" s="39" t="s">
        <v>280</v>
      </c>
      <c r="K1996" s="1">
        <v>1</v>
      </c>
      <c r="L1996" s="1">
        <v>2</v>
      </c>
      <c r="S1996" s="1" t="s">
        <v>5671</v>
      </c>
      <c r="T1996" s="1">
        <v>1</v>
      </c>
      <c r="U1996" s="19"/>
      <c r="V1996" s="19"/>
    </row>
    <row r="1997" spans="1:22" x14ac:dyDescent="0.3">
      <c r="A1997" s="1" t="s">
        <v>5672</v>
      </c>
      <c r="B1997" s="5">
        <v>46144</v>
      </c>
      <c r="C1997" s="6">
        <v>0.41666666666666669</v>
      </c>
      <c r="D1997" s="1" t="s">
        <v>30</v>
      </c>
      <c r="E1997" s="1" t="s">
        <v>33</v>
      </c>
      <c r="F1997" s="1" t="s">
        <v>5673</v>
      </c>
      <c r="G1997" s="39" t="s">
        <v>280</v>
      </c>
      <c r="H1997" s="1">
        <v>0</v>
      </c>
      <c r="I1997" s="1">
        <v>2</v>
      </c>
      <c r="J1997" s="39" t="s">
        <v>220</v>
      </c>
      <c r="K1997" s="1">
        <v>2</v>
      </c>
      <c r="L1997" s="1">
        <v>0</v>
      </c>
      <c r="S1997" s="1" t="s">
        <v>5674</v>
      </c>
      <c r="T1997" s="1">
        <v>1</v>
      </c>
      <c r="U1997" s="19"/>
      <c r="V1997" s="19"/>
    </row>
    <row r="1998" spans="1:22" x14ac:dyDescent="0.3">
      <c r="A1998" s="1" t="s">
        <v>5675</v>
      </c>
      <c r="B1998" s="5">
        <v>46243</v>
      </c>
      <c r="C1998" s="6">
        <v>0.54166666666666663</v>
      </c>
      <c r="D1998" s="1" t="s">
        <v>30</v>
      </c>
      <c r="E1998" s="1" t="s">
        <v>33</v>
      </c>
      <c r="F1998" s="1" t="s">
        <v>5676</v>
      </c>
      <c r="G1998" s="39" t="s">
        <v>5637</v>
      </c>
      <c r="H1998" s="1">
        <v>3</v>
      </c>
      <c r="I1998" s="1">
        <v>0</v>
      </c>
      <c r="J1998" s="39" t="s">
        <v>983</v>
      </c>
      <c r="K1998" s="1">
        <v>0</v>
      </c>
      <c r="L1998" s="1">
        <v>3</v>
      </c>
      <c r="S1998" s="1" t="s">
        <v>5677</v>
      </c>
      <c r="T1998" s="1">
        <v>1</v>
      </c>
      <c r="U1998" s="19"/>
      <c r="V1998" s="19"/>
    </row>
    <row r="1999" spans="1:22" x14ac:dyDescent="0.3">
      <c r="A1999" s="1" t="s">
        <v>5678</v>
      </c>
      <c r="B1999" s="5">
        <v>46199</v>
      </c>
      <c r="C1999" s="6">
        <v>0.58333333333333337</v>
      </c>
      <c r="D1999" s="1" t="s">
        <v>30</v>
      </c>
      <c r="E1999" s="1" t="s">
        <v>33</v>
      </c>
      <c r="F1999" s="1" t="s">
        <v>5679</v>
      </c>
      <c r="G1999" s="39" t="s">
        <v>5637</v>
      </c>
      <c r="H1999" s="1">
        <v>3</v>
      </c>
      <c r="I1999" s="1">
        <v>1</v>
      </c>
      <c r="J1999" s="39" t="s">
        <v>984</v>
      </c>
      <c r="K1999" s="1">
        <v>1</v>
      </c>
      <c r="L1999" s="1">
        <v>3</v>
      </c>
      <c r="S1999" s="1" t="s">
        <v>5680</v>
      </c>
      <c r="T1999" s="1">
        <v>1</v>
      </c>
      <c r="U1999" s="19"/>
      <c r="V1999" s="19"/>
    </row>
    <row r="2000" spans="1:22" x14ac:dyDescent="0.3">
      <c r="A2000" s="1" t="s">
        <v>5681</v>
      </c>
      <c r="B2000" s="5">
        <v>46194</v>
      </c>
      <c r="C2000" s="6">
        <v>0.41666666666666669</v>
      </c>
      <c r="D2000" s="1" t="s">
        <v>30</v>
      </c>
      <c r="E2000" s="1" t="s">
        <v>33</v>
      </c>
      <c r="F2000" s="1" t="s">
        <v>5682</v>
      </c>
      <c r="G2000" s="39" t="s">
        <v>5637</v>
      </c>
      <c r="H2000" s="1">
        <v>2</v>
      </c>
      <c r="I2000" s="1">
        <v>2</v>
      </c>
      <c r="J2000" s="39" t="s">
        <v>5683</v>
      </c>
      <c r="K2000" s="1">
        <v>2</v>
      </c>
      <c r="L2000" s="1">
        <v>2</v>
      </c>
      <c r="S2000" s="1" t="s">
        <v>5684</v>
      </c>
      <c r="T2000" s="1">
        <v>1</v>
      </c>
      <c r="U2000" s="19"/>
      <c r="V2000" s="19"/>
    </row>
    <row r="2001" spans="1:22" x14ac:dyDescent="0.3">
      <c r="A2001" s="1" t="s">
        <v>5685</v>
      </c>
      <c r="B2001" s="5">
        <v>46180</v>
      </c>
      <c r="C2001" s="6">
        <v>0.41666666666666669</v>
      </c>
      <c r="D2001" s="1" t="s">
        <v>30</v>
      </c>
      <c r="E2001" s="1" t="s">
        <v>33</v>
      </c>
      <c r="F2001" s="1" t="s">
        <v>5686</v>
      </c>
      <c r="G2001" s="39" t="s">
        <v>5664</v>
      </c>
      <c r="H2001" s="1">
        <v>2</v>
      </c>
      <c r="I2001" s="1">
        <v>0</v>
      </c>
      <c r="J2001" s="39" t="s">
        <v>5637</v>
      </c>
      <c r="K2001" s="1">
        <v>0</v>
      </c>
      <c r="L2001" s="1">
        <v>2</v>
      </c>
      <c r="S2001" s="1" t="s">
        <v>5687</v>
      </c>
      <c r="T2001" s="1">
        <v>1</v>
      </c>
      <c r="U2001" s="19"/>
      <c r="V2001" s="19"/>
    </row>
    <row r="2002" spans="1:22" x14ac:dyDescent="0.3">
      <c r="A2002" s="1" t="s">
        <v>5688</v>
      </c>
      <c r="B2002" s="5">
        <v>46175</v>
      </c>
      <c r="C2002" s="6">
        <v>0.58333333333333337</v>
      </c>
      <c r="D2002" s="1" t="s">
        <v>30</v>
      </c>
      <c r="E2002" s="1" t="s">
        <v>33</v>
      </c>
      <c r="F2002" s="1" t="s">
        <v>5689</v>
      </c>
      <c r="G2002" s="39" t="s">
        <v>5637</v>
      </c>
      <c r="H2002" s="1">
        <v>4</v>
      </c>
      <c r="I2002" s="1">
        <v>2</v>
      </c>
      <c r="J2002" s="39" t="s">
        <v>964</v>
      </c>
      <c r="K2002" s="1">
        <v>2</v>
      </c>
      <c r="L2002" s="1">
        <v>4</v>
      </c>
      <c r="S2002" s="1" t="s">
        <v>5690</v>
      </c>
      <c r="T2002" s="1">
        <v>1</v>
      </c>
      <c r="U2002" s="19"/>
      <c r="V2002" s="19"/>
    </row>
    <row r="2003" spans="1:22" x14ac:dyDescent="0.3">
      <c r="A2003" s="1" t="s">
        <v>5691</v>
      </c>
      <c r="B2003" s="5">
        <v>46165</v>
      </c>
      <c r="C2003" s="6">
        <v>0.58333333333333337</v>
      </c>
      <c r="D2003" s="1" t="s">
        <v>30</v>
      </c>
      <c r="E2003" s="1" t="s">
        <v>33</v>
      </c>
      <c r="F2003" s="1" t="s">
        <v>5692</v>
      </c>
      <c r="G2003" s="39" t="s">
        <v>5693</v>
      </c>
      <c r="H2003" s="1">
        <v>3</v>
      </c>
      <c r="I2003" s="1">
        <v>3</v>
      </c>
      <c r="J2003" s="39" t="s">
        <v>5637</v>
      </c>
      <c r="K2003" s="1">
        <v>3</v>
      </c>
      <c r="L2003" s="1">
        <v>3</v>
      </c>
      <c r="S2003" s="1" t="s">
        <v>5694</v>
      </c>
      <c r="T2003" s="1">
        <v>1</v>
      </c>
      <c r="U2003" s="19"/>
      <c r="V2003" s="19"/>
    </row>
    <row r="2004" spans="1:22" x14ac:dyDescent="0.3">
      <c r="A2004" s="1" t="s">
        <v>5695</v>
      </c>
      <c r="B2004" s="5">
        <v>46159</v>
      </c>
      <c r="C2004" s="6">
        <v>0.41666666666666669</v>
      </c>
      <c r="D2004" s="1" t="s">
        <v>30</v>
      </c>
      <c r="E2004" s="1" t="s">
        <v>33</v>
      </c>
      <c r="F2004" s="1" t="s">
        <v>5696</v>
      </c>
      <c r="G2004" s="39" t="s">
        <v>5697</v>
      </c>
      <c r="H2004" s="1">
        <v>0</v>
      </c>
      <c r="I2004" s="1">
        <v>0</v>
      </c>
      <c r="J2004" s="39" t="s">
        <v>5637</v>
      </c>
      <c r="K2004" s="1">
        <v>0</v>
      </c>
      <c r="L2004" s="1">
        <v>0</v>
      </c>
      <c r="S2004" s="1" t="s">
        <v>5698</v>
      </c>
      <c r="T2004" s="1">
        <v>1</v>
      </c>
      <c r="U2004" s="19"/>
      <c r="V2004" s="19"/>
    </row>
    <row r="2005" spans="1:22" x14ac:dyDescent="0.3">
      <c r="A2005" s="1" t="s">
        <v>5699</v>
      </c>
      <c r="B2005" s="5">
        <v>46156</v>
      </c>
      <c r="C2005" s="6">
        <v>0.58333333333333337</v>
      </c>
      <c r="D2005" s="1" t="s">
        <v>30</v>
      </c>
      <c r="E2005" s="1" t="s">
        <v>33</v>
      </c>
      <c r="F2005" s="1" t="s">
        <v>5700</v>
      </c>
      <c r="G2005" s="39" t="s">
        <v>5637</v>
      </c>
      <c r="H2005" s="1">
        <v>1</v>
      </c>
      <c r="I2005" s="1">
        <v>5</v>
      </c>
      <c r="J2005" s="39" t="s">
        <v>281</v>
      </c>
      <c r="K2005" s="1">
        <v>5</v>
      </c>
      <c r="L2005" s="1">
        <v>1</v>
      </c>
      <c r="S2005" s="1" t="s">
        <v>5701</v>
      </c>
      <c r="T2005" s="1">
        <v>1</v>
      </c>
      <c r="U2005" s="19"/>
      <c r="V2005" s="19"/>
    </row>
    <row r="2006" spans="1:22" x14ac:dyDescent="0.3">
      <c r="A2006" s="1" t="s">
        <v>5702</v>
      </c>
      <c r="B2006" s="5">
        <v>46151</v>
      </c>
      <c r="C2006" s="6">
        <v>0.41666666666666669</v>
      </c>
      <c r="D2006" s="1" t="s">
        <v>30</v>
      </c>
      <c r="E2006" s="1" t="s">
        <v>33</v>
      </c>
      <c r="F2006" s="1" t="s">
        <v>5703</v>
      </c>
      <c r="G2006" s="39" t="s">
        <v>5657</v>
      </c>
      <c r="H2006" s="1">
        <v>4</v>
      </c>
      <c r="I2006" s="1">
        <v>0</v>
      </c>
      <c r="J2006" s="39" t="s">
        <v>5637</v>
      </c>
      <c r="K2006" s="1">
        <v>0</v>
      </c>
      <c r="L2006" s="1">
        <v>4</v>
      </c>
      <c r="S2006" s="1" t="s">
        <v>5704</v>
      </c>
      <c r="T2006" s="1">
        <v>1</v>
      </c>
      <c r="U2006" s="19"/>
      <c r="V2006" s="19"/>
    </row>
    <row r="2007" spans="1:22" x14ac:dyDescent="0.3">
      <c r="A2007" s="1" t="s">
        <v>5705</v>
      </c>
      <c r="B2007" s="5">
        <v>46145</v>
      </c>
      <c r="C2007" s="6">
        <v>0.45833333333333331</v>
      </c>
      <c r="D2007" s="1" t="s">
        <v>30</v>
      </c>
      <c r="E2007" s="1" t="s">
        <v>33</v>
      </c>
      <c r="F2007" s="1" t="s">
        <v>5706</v>
      </c>
      <c r="G2007" s="39" t="s">
        <v>5637</v>
      </c>
      <c r="H2007" s="1">
        <v>3</v>
      </c>
      <c r="I2007" s="1">
        <v>3</v>
      </c>
      <c r="J2007" s="39" t="s">
        <v>216</v>
      </c>
      <c r="K2007" s="1">
        <v>3</v>
      </c>
      <c r="L2007" s="1">
        <v>3</v>
      </c>
      <c r="S2007" s="1" t="s">
        <v>5707</v>
      </c>
      <c r="T2007" s="1">
        <v>1</v>
      </c>
      <c r="U2007" s="19"/>
      <c r="V2007" s="19"/>
    </row>
    <row r="2008" spans="1:22" x14ac:dyDescent="0.3">
      <c r="A2008" s="1" t="s">
        <v>5708</v>
      </c>
      <c r="B2008" s="5">
        <v>46236</v>
      </c>
      <c r="C2008" s="6">
        <v>0.41666666666666669</v>
      </c>
      <c r="D2008" s="1" t="s">
        <v>30</v>
      </c>
      <c r="E2008" s="1" t="s">
        <v>33</v>
      </c>
      <c r="F2008" s="1" t="s">
        <v>5709</v>
      </c>
      <c r="G2008" s="39" t="s">
        <v>5683</v>
      </c>
      <c r="H2008" s="1">
        <v>2</v>
      </c>
      <c r="I2008" s="1">
        <v>1</v>
      </c>
      <c r="J2008" s="39" t="s">
        <v>964</v>
      </c>
      <c r="K2008" s="1">
        <v>1</v>
      </c>
      <c r="L2008" s="1">
        <v>2</v>
      </c>
      <c r="S2008" s="1" t="s">
        <v>5710</v>
      </c>
      <c r="T2008" s="1">
        <v>1</v>
      </c>
      <c r="U2008" s="19"/>
      <c r="V2008" s="19"/>
    </row>
    <row r="2009" spans="1:22" x14ac:dyDescent="0.3">
      <c r="A2009" s="1" t="s">
        <v>5711</v>
      </c>
      <c r="B2009" s="5">
        <v>46200</v>
      </c>
      <c r="C2009" s="6">
        <v>0.41666666666666669</v>
      </c>
      <c r="D2009" s="1" t="s">
        <v>30</v>
      </c>
      <c r="E2009" s="1" t="s">
        <v>33</v>
      </c>
      <c r="F2009" s="1" t="s">
        <v>5712</v>
      </c>
      <c r="G2009" s="39" t="s">
        <v>217</v>
      </c>
      <c r="H2009" s="1">
        <v>2</v>
      </c>
      <c r="I2009" s="1">
        <v>0</v>
      </c>
      <c r="J2009" s="39" t="s">
        <v>964</v>
      </c>
      <c r="K2009" s="1">
        <v>0</v>
      </c>
      <c r="L2009" s="1">
        <v>2</v>
      </c>
      <c r="S2009" s="1" t="s">
        <v>5713</v>
      </c>
      <c r="T2009" s="1">
        <v>1</v>
      </c>
      <c r="U2009" s="19"/>
      <c r="V2009" s="19"/>
    </row>
    <row r="2010" spans="1:22" x14ac:dyDescent="0.3">
      <c r="A2010" s="1" t="s">
        <v>5714</v>
      </c>
      <c r="B2010" s="5">
        <v>46194</v>
      </c>
      <c r="C2010" s="6">
        <v>0.41666666666666669</v>
      </c>
      <c r="D2010" s="1" t="s">
        <v>30</v>
      </c>
      <c r="E2010" s="1" t="s">
        <v>33</v>
      </c>
      <c r="F2010" s="1" t="s">
        <v>5715</v>
      </c>
      <c r="G2010" s="39" t="s">
        <v>964</v>
      </c>
      <c r="H2010" s="1">
        <v>3</v>
      </c>
      <c r="I2010" s="1">
        <v>1</v>
      </c>
      <c r="J2010" s="39" t="s">
        <v>281</v>
      </c>
      <c r="K2010" s="1">
        <v>1</v>
      </c>
      <c r="L2010" s="1">
        <v>3</v>
      </c>
      <c r="S2010" s="1" t="s">
        <v>5716</v>
      </c>
      <c r="T2010" s="1">
        <v>1</v>
      </c>
      <c r="U2010" s="19"/>
      <c r="V2010" s="19"/>
    </row>
    <row r="2011" spans="1:22" x14ac:dyDescent="0.3">
      <c r="A2011" s="1" t="s">
        <v>5717</v>
      </c>
      <c r="B2011" s="5">
        <v>46187</v>
      </c>
      <c r="C2011" s="6">
        <v>0.41666666666666669</v>
      </c>
      <c r="D2011" s="1" t="s">
        <v>30</v>
      </c>
      <c r="E2011" s="1" t="s">
        <v>33</v>
      </c>
      <c r="F2011" s="1" t="s">
        <v>5718</v>
      </c>
      <c r="G2011" s="39" t="s">
        <v>964</v>
      </c>
      <c r="H2011" s="1">
        <v>1</v>
      </c>
      <c r="I2011" s="1">
        <v>1</v>
      </c>
      <c r="J2011" s="39" t="s">
        <v>984</v>
      </c>
      <c r="K2011" s="1">
        <v>1</v>
      </c>
      <c r="L2011" s="1">
        <v>1</v>
      </c>
      <c r="S2011" s="1" t="s">
        <v>5719</v>
      </c>
      <c r="T2011" s="1">
        <v>1</v>
      </c>
      <c r="U2011" s="19"/>
      <c r="V2011" s="19"/>
    </row>
    <row r="2012" spans="1:22" x14ac:dyDescent="0.3">
      <c r="A2012" s="1" t="s">
        <v>5720</v>
      </c>
      <c r="B2012" s="5">
        <v>46180</v>
      </c>
      <c r="C2012" s="6">
        <v>0.41666666666666669</v>
      </c>
      <c r="D2012" s="1" t="s">
        <v>30</v>
      </c>
      <c r="E2012" s="1" t="s">
        <v>33</v>
      </c>
      <c r="F2012" s="1" t="s">
        <v>5721</v>
      </c>
      <c r="G2012" s="39" t="s">
        <v>5647</v>
      </c>
      <c r="H2012" s="1">
        <v>0</v>
      </c>
      <c r="I2012" s="1">
        <v>2</v>
      </c>
      <c r="J2012" s="39" t="s">
        <v>964</v>
      </c>
      <c r="K2012" s="1">
        <v>2</v>
      </c>
      <c r="L2012" s="1">
        <v>0</v>
      </c>
      <c r="S2012" s="1" t="s">
        <v>5722</v>
      </c>
      <c r="T2012" s="1">
        <v>1</v>
      </c>
      <c r="U2012" s="19"/>
      <c r="V2012" s="19"/>
    </row>
    <row r="2013" spans="1:22" x14ac:dyDescent="0.3">
      <c r="A2013" s="1" t="s">
        <v>5723</v>
      </c>
      <c r="B2013" s="5">
        <v>46165</v>
      </c>
      <c r="C2013" s="6">
        <v>0.33333333333333331</v>
      </c>
      <c r="D2013" s="1" t="s">
        <v>30</v>
      </c>
      <c r="E2013" s="1" t="s">
        <v>33</v>
      </c>
      <c r="F2013" s="1" t="s">
        <v>5724</v>
      </c>
      <c r="G2013" s="39" t="s">
        <v>964</v>
      </c>
      <c r="H2013" s="1">
        <v>0</v>
      </c>
      <c r="I2013" s="1">
        <v>1</v>
      </c>
      <c r="J2013" s="39" t="s">
        <v>5657</v>
      </c>
      <c r="K2013" s="1">
        <v>1</v>
      </c>
      <c r="L2013" s="1">
        <v>0</v>
      </c>
      <c r="S2013" s="1" t="s">
        <v>5725</v>
      </c>
      <c r="T2013" s="1">
        <v>1</v>
      </c>
      <c r="U2013" s="19"/>
      <c r="V2013" s="19"/>
    </row>
    <row r="2014" spans="1:22" x14ac:dyDescent="0.3">
      <c r="A2014" s="1" t="s">
        <v>5726</v>
      </c>
      <c r="B2014" s="5">
        <v>46159</v>
      </c>
      <c r="C2014" s="6">
        <v>0.41666666666666669</v>
      </c>
      <c r="D2014" s="1" t="s">
        <v>30</v>
      </c>
      <c r="E2014" s="1" t="s">
        <v>33</v>
      </c>
      <c r="F2014" s="1" t="s">
        <v>5727</v>
      </c>
      <c r="G2014" s="39" t="s">
        <v>964</v>
      </c>
      <c r="H2014" s="1">
        <v>1</v>
      </c>
      <c r="I2014" s="1">
        <v>0</v>
      </c>
      <c r="J2014" s="39" t="s">
        <v>983</v>
      </c>
      <c r="K2014" s="1">
        <v>0</v>
      </c>
      <c r="L2014" s="1">
        <v>1</v>
      </c>
      <c r="S2014" s="1" t="s">
        <v>5728</v>
      </c>
      <c r="T2014" s="1">
        <v>1</v>
      </c>
      <c r="U2014" s="19"/>
      <c r="V2014" s="19"/>
    </row>
    <row r="2015" spans="1:22" x14ac:dyDescent="0.3">
      <c r="A2015" s="1" t="s">
        <v>5729</v>
      </c>
      <c r="B2015" s="5">
        <v>46155</v>
      </c>
      <c r="C2015" s="6">
        <v>0.60416666666666663</v>
      </c>
      <c r="D2015" s="1" t="s">
        <v>30</v>
      </c>
      <c r="E2015" s="1" t="s">
        <v>33</v>
      </c>
      <c r="F2015" s="1" t="s">
        <v>5730</v>
      </c>
      <c r="G2015" s="39" t="s">
        <v>216</v>
      </c>
      <c r="H2015" s="1">
        <v>0</v>
      </c>
      <c r="I2015" s="1">
        <v>3</v>
      </c>
      <c r="J2015" s="39" t="s">
        <v>964</v>
      </c>
      <c r="K2015" s="1">
        <v>3</v>
      </c>
      <c r="L2015" s="1">
        <v>0</v>
      </c>
      <c r="S2015" s="1" t="s">
        <v>5731</v>
      </c>
      <c r="T2015" s="1">
        <v>1</v>
      </c>
      <c r="U2015" s="19"/>
      <c r="V2015" s="19"/>
    </row>
    <row r="2016" spans="1:22" x14ac:dyDescent="0.3">
      <c r="A2016" s="1" t="s">
        <v>5732</v>
      </c>
      <c r="B2016" s="5">
        <v>46144</v>
      </c>
      <c r="C2016" s="6">
        <v>0.41666666666666669</v>
      </c>
      <c r="D2016" s="1" t="s">
        <v>30</v>
      </c>
      <c r="E2016" s="1" t="s">
        <v>33</v>
      </c>
      <c r="F2016" s="1" t="s">
        <v>5733</v>
      </c>
      <c r="G2016" s="39" t="s">
        <v>5697</v>
      </c>
      <c r="H2016" s="1">
        <v>2</v>
      </c>
      <c r="I2016" s="1">
        <v>1</v>
      </c>
      <c r="J2016" s="39" t="s">
        <v>964</v>
      </c>
      <c r="K2016" s="1">
        <v>1</v>
      </c>
      <c r="L2016" s="1">
        <v>2</v>
      </c>
      <c r="S2016" s="1" t="s">
        <v>5734</v>
      </c>
      <c r="T2016" s="1">
        <v>1</v>
      </c>
      <c r="U2016" s="19"/>
      <c r="V2016" s="19"/>
    </row>
    <row r="2017" spans="1:22" x14ac:dyDescent="0.3">
      <c r="A2017" s="1" t="s">
        <v>5735</v>
      </c>
      <c r="B2017" s="5">
        <v>46243</v>
      </c>
      <c r="C2017" s="6">
        <v>0.45833333333333331</v>
      </c>
      <c r="D2017" s="1" t="s">
        <v>30</v>
      </c>
      <c r="E2017" s="1" t="s">
        <v>33</v>
      </c>
      <c r="F2017" s="1" t="s">
        <v>5736</v>
      </c>
      <c r="G2017" s="39" t="s">
        <v>5657</v>
      </c>
      <c r="H2017" s="1">
        <v>1</v>
      </c>
      <c r="I2017" s="1">
        <v>1</v>
      </c>
      <c r="J2017" s="39" t="s">
        <v>220</v>
      </c>
      <c r="K2017" s="1">
        <v>1</v>
      </c>
      <c r="L2017" s="1">
        <v>1</v>
      </c>
      <c r="S2017" s="1" t="s">
        <v>5737</v>
      </c>
      <c r="T2017" s="1">
        <v>1</v>
      </c>
      <c r="U2017" s="19"/>
      <c r="V2017" s="19"/>
    </row>
    <row r="2018" spans="1:22" x14ac:dyDescent="0.3">
      <c r="A2018" s="1" t="s">
        <v>5738</v>
      </c>
      <c r="B2018" s="5">
        <v>46199</v>
      </c>
      <c r="C2018" s="6">
        <v>0.58333333333333337</v>
      </c>
      <c r="D2018" s="1" t="s">
        <v>30</v>
      </c>
      <c r="E2018" s="1" t="s">
        <v>33</v>
      </c>
      <c r="F2018" s="1" t="s">
        <v>5739</v>
      </c>
      <c r="G2018" s="39" t="s">
        <v>220</v>
      </c>
      <c r="H2018" s="1">
        <v>0</v>
      </c>
      <c r="I2018" s="1">
        <v>7</v>
      </c>
      <c r="J2018" s="39" t="s">
        <v>5657</v>
      </c>
      <c r="K2018" s="1">
        <v>7</v>
      </c>
      <c r="L2018" s="1">
        <v>0</v>
      </c>
      <c r="S2018" s="1" t="s">
        <v>5740</v>
      </c>
      <c r="T2018" s="1">
        <v>1</v>
      </c>
      <c r="U2018" s="19"/>
      <c r="V2018" s="19"/>
    </row>
    <row r="2019" spans="1:22" x14ac:dyDescent="0.3">
      <c r="A2019" s="1" t="s">
        <v>5741</v>
      </c>
      <c r="B2019" s="5">
        <v>46191</v>
      </c>
      <c r="C2019" s="6">
        <v>0.60416666666666663</v>
      </c>
      <c r="D2019" s="1" t="s">
        <v>30</v>
      </c>
      <c r="E2019" s="1" t="s">
        <v>33</v>
      </c>
      <c r="F2019" s="1" t="s">
        <v>5742</v>
      </c>
      <c r="G2019" s="39" t="s">
        <v>983</v>
      </c>
      <c r="H2019" s="1">
        <v>0</v>
      </c>
      <c r="I2019" s="1">
        <v>2</v>
      </c>
      <c r="J2019" s="39" t="s">
        <v>220</v>
      </c>
      <c r="K2019" s="1">
        <v>2</v>
      </c>
      <c r="L2019" s="1">
        <v>0</v>
      </c>
      <c r="S2019" s="1" t="s">
        <v>5743</v>
      </c>
      <c r="T2019" s="1">
        <v>1</v>
      </c>
      <c r="U2019" s="19"/>
      <c r="V2019" s="19"/>
    </row>
    <row r="2020" spans="1:22" x14ac:dyDescent="0.3">
      <c r="A2020" s="1" t="s">
        <v>5744</v>
      </c>
      <c r="B2020" s="5">
        <v>46187</v>
      </c>
      <c r="C2020" s="6">
        <v>0.41666666666666669</v>
      </c>
      <c r="D2020" s="1" t="s">
        <v>30</v>
      </c>
      <c r="E2020" s="1" t="s">
        <v>33</v>
      </c>
      <c r="F2020" s="1" t="s">
        <v>5745</v>
      </c>
      <c r="G2020" s="39" t="s">
        <v>217</v>
      </c>
      <c r="H2020" s="1">
        <v>3</v>
      </c>
      <c r="I2020" s="1">
        <v>1</v>
      </c>
      <c r="J2020" s="39" t="s">
        <v>220</v>
      </c>
      <c r="K2020" s="1">
        <v>1</v>
      </c>
      <c r="L2020" s="1">
        <v>3</v>
      </c>
      <c r="S2020" s="1" t="s">
        <v>5746</v>
      </c>
      <c r="T2020" s="1">
        <v>1</v>
      </c>
      <c r="U2020" s="19"/>
      <c r="V2020" s="19"/>
    </row>
    <row r="2021" spans="1:22" x14ac:dyDescent="0.3">
      <c r="A2021" s="1" t="s">
        <v>5747</v>
      </c>
      <c r="B2021" s="5">
        <v>46178</v>
      </c>
      <c r="C2021" s="6">
        <v>0.58333333333333337</v>
      </c>
      <c r="D2021" s="1" t="s">
        <v>30</v>
      </c>
      <c r="E2021" s="1" t="s">
        <v>33</v>
      </c>
      <c r="F2021" s="1" t="s">
        <v>5748</v>
      </c>
      <c r="G2021" s="39" t="s">
        <v>220</v>
      </c>
      <c r="H2021" s="1">
        <v>2</v>
      </c>
      <c r="I2021" s="1">
        <v>3</v>
      </c>
      <c r="J2021" s="39" t="s">
        <v>5683</v>
      </c>
      <c r="K2021" s="1">
        <v>3</v>
      </c>
      <c r="L2021" s="1">
        <v>2</v>
      </c>
      <c r="S2021" s="1" t="s">
        <v>5749</v>
      </c>
      <c r="T2021" s="1">
        <v>1</v>
      </c>
      <c r="U2021" s="19"/>
      <c r="V2021" s="19"/>
    </row>
    <row r="2022" spans="1:22" x14ac:dyDescent="0.3">
      <c r="A2022" s="1" t="s">
        <v>5750</v>
      </c>
      <c r="B2022" s="5">
        <v>46173</v>
      </c>
      <c r="C2022" s="6">
        <v>0.41666666666666669</v>
      </c>
      <c r="D2022" s="1" t="s">
        <v>30</v>
      </c>
      <c r="E2022" s="1" t="s">
        <v>33</v>
      </c>
      <c r="F2022" s="1" t="s">
        <v>5751</v>
      </c>
      <c r="G2022" s="39" t="s">
        <v>965</v>
      </c>
      <c r="H2022" s="1">
        <v>1</v>
      </c>
      <c r="I2022" s="1">
        <v>1</v>
      </c>
      <c r="J2022" s="39" t="s">
        <v>220</v>
      </c>
      <c r="K2022" s="1">
        <v>1</v>
      </c>
      <c r="L2022" s="1">
        <v>1</v>
      </c>
      <c r="S2022" s="1" t="s">
        <v>5752</v>
      </c>
      <c r="T2022" s="1">
        <v>1</v>
      </c>
      <c r="U2022" s="19"/>
      <c r="V2022" s="19"/>
    </row>
    <row r="2023" spans="1:22" x14ac:dyDescent="0.3">
      <c r="A2023" s="1" t="s">
        <v>5753</v>
      </c>
      <c r="B2023" s="5">
        <v>46165</v>
      </c>
      <c r="C2023" s="6">
        <v>0.41666666666666669</v>
      </c>
      <c r="D2023" s="1" t="s">
        <v>30</v>
      </c>
      <c r="E2023" s="1" t="s">
        <v>33</v>
      </c>
      <c r="F2023" s="1" t="s">
        <v>5754</v>
      </c>
      <c r="G2023" s="39" t="s">
        <v>220</v>
      </c>
      <c r="H2023" s="1">
        <v>0</v>
      </c>
      <c r="I2023" s="1">
        <v>0</v>
      </c>
      <c r="J2023" s="39" t="s">
        <v>5664</v>
      </c>
      <c r="K2023" s="1">
        <v>0</v>
      </c>
      <c r="L2023" s="1">
        <v>0</v>
      </c>
      <c r="S2023" s="1" t="s">
        <v>5755</v>
      </c>
      <c r="T2023" s="1">
        <v>1</v>
      </c>
      <c r="U2023" s="19"/>
      <c r="V2023" s="19"/>
    </row>
    <row r="2024" spans="1:22" x14ac:dyDescent="0.3">
      <c r="A2024" s="1" t="s">
        <v>5756</v>
      </c>
      <c r="B2024" s="5">
        <v>46159</v>
      </c>
      <c r="C2024" s="6">
        <v>0.41666666666666669</v>
      </c>
      <c r="D2024" s="1" t="s">
        <v>30</v>
      </c>
      <c r="E2024" s="1" t="s">
        <v>33</v>
      </c>
      <c r="F2024" s="1" t="s">
        <v>5757</v>
      </c>
      <c r="G2024" s="39" t="s">
        <v>220</v>
      </c>
      <c r="H2024" s="1">
        <v>1</v>
      </c>
      <c r="I2024" s="1">
        <v>1</v>
      </c>
      <c r="J2024" s="39" t="s">
        <v>281</v>
      </c>
      <c r="K2024" s="1">
        <v>1</v>
      </c>
      <c r="L2024" s="1">
        <v>1</v>
      </c>
      <c r="S2024" s="1" t="s">
        <v>5758</v>
      </c>
      <c r="T2024" s="1">
        <v>1</v>
      </c>
      <c r="U2024" s="19"/>
      <c r="V2024" s="19"/>
    </row>
    <row r="2025" spans="1:22" x14ac:dyDescent="0.3">
      <c r="A2025" s="1" t="s">
        <v>5759</v>
      </c>
      <c r="B2025" s="5">
        <v>46156</v>
      </c>
      <c r="C2025" s="6">
        <v>0.58333333333333337</v>
      </c>
      <c r="D2025" s="1" t="s">
        <v>30</v>
      </c>
      <c r="E2025" s="1" t="s">
        <v>33</v>
      </c>
      <c r="F2025" s="1" t="s">
        <v>5760</v>
      </c>
      <c r="G2025" s="39" t="s">
        <v>5647</v>
      </c>
      <c r="H2025" s="1">
        <v>1</v>
      </c>
      <c r="I2025" s="1">
        <v>5</v>
      </c>
      <c r="J2025" s="39" t="s">
        <v>220</v>
      </c>
      <c r="K2025" s="1">
        <v>5</v>
      </c>
      <c r="L2025" s="1">
        <v>1</v>
      </c>
      <c r="S2025" s="1" t="s">
        <v>5761</v>
      </c>
      <c r="T2025" s="1">
        <v>1</v>
      </c>
      <c r="U2025" s="19"/>
      <c r="V2025" s="19"/>
    </row>
    <row r="2026" spans="1:22" x14ac:dyDescent="0.3">
      <c r="A2026" s="1" t="s">
        <v>5762</v>
      </c>
      <c r="B2026" s="5">
        <v>46151</v>
      </c>
      <c r="C2026" s="6">
        <v>0.41666666666666669</v>
      </c>
      <c r="D2026" s="1" t="s">
        <v>30</v>
      </c>
      <c r="E2026" s="1" t="s">
        <v>33</v>
      </c>
      <c r="F2026" s="1" t="s">
        <v>5763</v>
      </c>
      <c r="G2026" s="39" t="s">
        <v>220</v>
      </c>
      <c r="H2026" s="1">
        <v>2</v>
      </c>
      <c r="I2026" s="1">
        <v>0</v>
      </c>
      <c r="J2026" s="39" t="s">
        <v>216</v>
      </c>
      <c r="K2026" s="1">
        <v>0</v>
      </c>
      <c r="L2026" s="1">
        <v>2</v>
      </c>
      <c r="S2026" s="1" t="s">
        <v>5764</v>
      </c>
      <c r="T2026" s="1">
        <v>1</v>
      </c>
      <c r="U2026" s="19"/>
      <c r="V2026" s="19"/>
    </row>
    <row r="2027" spans="1:22" x14ac:dyDescent="0.3">
      <c r="A2027" s="1" t="s">
        <v>5765</v>
      </c>
      <c r="B2027" s="5">
        <v>46243</v>
      </c>
      <c r="C2027" s="6">
        <v>0.58333333333333337</v>
      </c>
      <c r="D2027" s="1" t="s">
        <v>30</v>
      </c>
      <c r="E2027" s="1" t="s">
        <v>33</v>
      </c>
      <c r="F2027" s="1" t="s">
        <v>5766</v>
      </c>
      <c r="G2027" s="39" t="s">
        <v>5664</v>
      </c>
      <c r="H2027" s="1">
        <v>0</v>
      </c>
      <c r="I2027" s="1">
        <v>0</v>
      </c>
      <c r="J2027" s="39" t="s">
        <v>5647</v>
      </c>
      <c r="K2027" s="1">
        <v>0</v>
      </c>
      <c r="L2027" s="1">
        <v>0</v>
      </c>
      <c r="S2027" s="1" t="s">
        <v>5767</v>
      </c>
      <c r="T2027" s="1">
        <v>1</v>
      </c>
      <c r="U2027" s="19"/>
      <c r="V2027" s="19"/>
    </row>
    <row r="2028" spans="1:22" x14ac:dyDescent="0.3">
      <c r="A2028" s="1" t="s">
        <v>5768</v>
      </c>
      <c r="B2028" s="5">
        <v>46237</v>
      </c>
      <c r="C2028" s="6">
        <v>0.4375</v>
      </c>
      <c r="D2028" s="1" t="s">
        <v>30</v>
      </c>
      <c r="E2028" s="1" t="s">
        <v>33</v>
      </c>
      <c r="F2028" s="1" t="s">
        <v>5769</v>
      </c>
      <c r="G2028" s="39" t="s">
        <v>5657</v>
      </c>
      <c r="H2028" s="1">
        <v>5</v>
      </c>
      <c r="I2028" s="1">
        <v>1</v>
      </c>
      <c r="J2028" s="39" t="s">
        <v>5664</v>
      </c>
      <c r="K2028" s="1">
        <v>1</v>
      </c>
      <c r="L2028" s="1">
        <v>5</v>
      </c>
      <c r="S2028" s="1" t="s">
        <v>5770</v>
      </c>
      <c r="T2028" s="1">
        <v>1</v>
      </c>
      <c r="U2028" s="19"/>
      <c r="V2028" s="19"/>
    </row>
    <row r="2029" spans="1:22" x14ac:dyDescent="0.3">
      <c r="A2029" s="1" t="s">
        <v>5771</v>
      </c>
      <c r="B2029" s="5">
        <v>46200</v>
      </c>
      <c r="C2029" s="6">
        <v>0.41666666666666669</v>
      </c>
      <c r="D2029" s="1" t="s">
        <v>30</v>
      </c>
      <c r="E2029" s="1" t="s">
        <v>33</v>
      </c>
      <c r="F2029" s="1" t="s">
        <v>5772</v>
      </c>
      <c r="G2029" s="39" t="s">
        <v>5664</v>
      </c>
      <c r="H2029" s="1">
        <v>1</v>
      </c>
      <c r="I2029" s="1">
        <v>0</v>
      </c>
      <c r="J2029" s="39" t="s">
        <v>5683</v>
      </c>
      <c r="K2029" s="1">
        <v>0</v>
      </c>
      <c r="L2029" s="1">
        <v>1</v>
      </c>
      <c r="S2029" s="1" t="s">
        <v>5773</v>
      </c>
      <c r="T2029" s="1">
        <v>1</v>
      </c>
      <c r="U2029" s="19"/>
      <c r="V2029" s="19"/>
    </row>
    <row r="2030" spans="1:22" x14ac:dyDescent="0.3">
      <c r="A2030" s="1" t="s">
        <v>5774</v>
      </c>
      <c r="B2030" s="5">
        <v>46191</v>
      </c>
      <c r="C2030" s="6">
        <v>0.58333333333333337</v>
      </c>
      <c r="D2030" s="1" t="s">
        <v>30</v>
      </c>
      <c r="E2030" s="1" t="s">
        <v>33</v>
      </c>
      <c r="F2030" s="1" t="s">
        <v>5775</v>
      </c>
      <c r="G2030" s="39" t="s">
        <v>5664</v>
      </c>
      <c r="H2030" s="1">
        <v>1</v>
      </c>
      <c r="I2030" s="1">
        <v>0</v>
      </c>
      <c r="J2030" s="39" t="s">
        <v>5693</v>
      </c>
      <c r="K2030" s="1">
        <v>0</v>
      </c>
      <c r="L2030" s="1">
        <v>1</v>
      </c>
      <c r="S2030" s="1" t="s">
        <v>5776</v>
      </c>
      <c r="T2030" s="1">
        <v>1</v>
      </c>
      <c r="U2030" s="19"/>
      <c r="V2030" s="19"/>
    </row>
    <row r="2031" spans="1:22" x14ac:dyDescent="0.3">
      <c r="A2031" s="1" t="s">
        <v>5777</v>
      </c>
      <c r="B2031" s="5">
        <v>46186</v>
      </c>
      <c r="C2031" s="6">
        <v>0.41666666666666669</v>
      </c>
      <c r="D2031" s="1" t="s">
        <v>30</v>
      </c>
      <c r="E2031" s="1" t="s">
        <v>33</v>
      </c>
      <c r="F2031" s="1" t="s">
        <v>5778</v>
      </c>
      <c r="G2031" s="39" t="s">
        <v>216</v>
      </c>
      <c r="H2031" s="1">
        <v>2</v>
      </c>
      <c r="I2031" s="1">
        <v>3</v>
      </c>
      <c r="J2031" s="39" t="s">
        <v>5664</v>
      </c>
      <c r="K2031" s="1">
        <v>3</v>
      </c>
      <c r="L2031" s="1">
        <v>2</v>
      </c>
      <c r="S2031" s="1" t="s">
        <v>5779</v>
      </c>
      <c r="T2031" s="1">
        <v>1</v>
      </c>
      <c r="U2031" s="19"/>
      <c r="V2031" s="19"/>
    </row>
    <row r="2032" spans="1:22" x14ac:dyDescent="0.3">
      <c r="A2032" s="1" t="s">
        <v>5780</v>
      </c>
      <c r="B2032" s="5">
        <v>46174</v>
      </c>
      <c r="C2032" s="6">
        <v>0.58333333333333337</v>
      </c>
      <c r="D2032" s="1" t="s">
        <v>30</v>
      </c>
      <c r="E2032" s="1" t="s">
        <v>33</v>
      </c>
      <c r="F2032" s="1" t="s">
        <v>5781</v>
      </c>
      <c r="G2032" s="39" t="s">
        <v>5664</v>
      </c>
      <c r="H2032" s="1">
        <v>2</v>
      </c>
      <c r="I2032" s="1">
        <v>3</v>
      </c>
      <c r="J2032" s="39" t="s">
        <v>5697</v>
      </c>
      <c r="K2032" s="1">
        <v>3</v>
      </c>
      <c r="L2032" s="1">
        <v>2</v>
      </c>
      <c r="S2032" s="1" t="s">
        <v>5782</v>
      </c>
      <c r="T2032" s="1">
        <v>1</v>
      </c>
      <c r="U2032" s="19"/>
      <c r="V2032" s="19"/>
    </row>
    <row r="2033" spans="1:22" x14ac:dyDescent="0.3">
      <c r="A2033" s="1" t="s">
        <v>5783</v>
      </c>
      <c r="B2033" s="5">
        <v>46155</v>
      </c>
      <c r="C2033" s="6">
        <v>0.58333333333333337</v>
      </c>
      <c r="D2033" s="1" t="s">
        <v>30</v>
      </c>
      <c r="E2033" s="1" t="s">
        <v>33</v>
      </c>
      <c r="F2033" s="1" t="s">
        <v>5784</v>
      </c>
      <c r="G2033" s="39" t="s">
        <v>5664</v>
      </c>
      <c r="H2033" s="1">
        <v>1</v>
      </c>
      <c r="I2033" s="1">
        <v>1</v>
      </c>
      <c r="J2033" s="39" t="s">
        <v>965</v>
      </c>
      <c r="K2033" s="1">
        <v>1</v>
      </c>
      <c r="L2033" s="1">
        <v>1</v>
      </c>
      <c r="S2033" s="1" t="s">
        <v>5785</v>
      </c>
      <c r="T2033" s="1">
        <v>1</v>
      </c>
      <c r="U2033" s="19"/>
      <c r="V2033" s="19"/>
    </row>
    <row r="2034" spans="1:22" x14ac:dyDescent="0.3">
      <c r="A2034" s="1" t="s">
        <v>5786</v>
      </c>
      <c r="B2034" s="5">
        <v>46151</v>
      </c>
      <c r="C2034" s="6">
        <v>0.41666666666666669</v>
      </c>
      <c r="D2034" s="1" t="s">
        <v>30</v>
      </c>
      <c r="E2034" s="1" t="s">
        <v>33</v>
      </c>
      <c r="F2034" s="1" t="s">
        <v>5787</v>
      </c>
      <c r="G2034" s="39" t="s">
        <v>5664</v>
      </c>
      <c r="H2034" s="1">
        <v>1</v>
      </c>
      <c r="I2034" s="1">
        <v>1</v>
      </c>
      <c r="J2034" s="39" t="s">
        <v>983</v>
      </c>
      <c r="K2034" s="1">
        <v>1</v>
      </c>
      <c r="L2034" s="1">
        <v>1</v>
      </c>
      <c r="S2034" s="1" t="s">
        <v>5788</v>
      </c>
      <c r="T2034" s="1">
        <v>1</v>
      </c>
      <c r="U2034" s="19"/>
      <c r="V2034" s="19"/>
    </row>
    <row r="2035" spans="1:22" x14ac:dyDescent="0.3">
      <c r="A2035" s="1" t="s">
        <v>5789</v>
      </c>
      <c r="B2035" s="5">
        <v>46145</v>
      </c>
      <c r="C2035" s="6">
        <v>0.41666666666666669</v>
      </c>
      <c r="D2035" s="1" t="s">
        <v>30</v>
      </c>
      <c r="E2035" s="1" t="s">
        <v>33</v>
      </c>
      <c r="F2035" s="1" t="s">
        <v>5790</v>
      </c>
      <c r="G2035" s="39" t="s">
        <v>5647</v>
      </c>
      <c r="H2035" s="1">
        <v>1</v>
      </c>
      <c r="I2035" s="1">
        <v>2</v>
      </c>
      <c r="J2035" s="39" t="s">
        <v>5664</v>
      </c>
      <c r="K2035" s="1">
        <v>2</v>
      </c>
      <c r="L2035" s="1">
        <v>1</v>
      </c>
      <c r="S2035" s="1" t="s">
        <v>5791</v>
      </c>
      <c r="T2035" s="1">
        <v>1</v>
      </c>
      <c r="U2035" s="19"/>
      <c r="V2035" s="19"/>
    </row>
    <row r="2036" spans="1:22" x14ac:dyDescent="0.3">
      <c r="A2036" s="1" t="s">
        <v>5792</v>
      </c>
      <c r="B2036" s="5">
        <v>46242</v>
      </c>
      <c r="C2036" s="6">
        <v>0.45833333333333331</v>
      </c>
      <c r="D2036" s="1" t="s">
        <v>30</v>
      </c>
      <c r="E2036" s="1" t="s">
        <v>33</v>
      </c>
      <c r="F2036" s="1" t="s">
        <v>5793</v>
      </c>
      <c r="G2036" s="39" t="s">
        <v>216</v>
      </c>
      <c r="H2036" s="1">
        <v>1</v>
      </c>
      <c r="I2036" s="1">
        <v>4</v>
      </c>
      <c r="J2036" s="39" t="s">
        <v>5683</v>
      </c>
      <c r="K2036" s="1">
        <v>4</v>
      </c>
      <c r="L2036" s="1">
        <v>1</v>
      </c>
      <c r="S2036" s="1" t="s">
        <v>5794</v>
      </c>
      <c r="T2036" s="1">
        <v>1</v>
      </c>
      <c r="U2036" s="19"/>
      <c r="V2036" s="19"/>
    </row>
    <row r="2037" spans="1:22" x14ac:dyDescent="0.3">
      <c r="A2037" s="1" t="s">
        <v>5795</v>
      </c>
      <c r="B2037" s="5">
        <v>46201</v>
      </c>
      <c r="C2037" s="6">
        <v>0.41666666666666669</v>
      </c>
      <c r="D2037" s="1" t="s">
        <v>30</v>
      </c>
      <c r="E2037" s="1" t="s">
        <v>33</v>
      </c>
      <c r="F2037" s="1" t="s">
        <v>5796</v>
      </c>
      <c r="G2037" s="39" t="s">
        <v>281</v>
      </c>
      <c r="H2037" s="1">
        <v>1</v>
      </c>
      <c r="I2037" s="1">
        <v>3</v>
      </c>
      <c r="J2037" s="39" t="s">
        <v>216</v>
      </c>
      <c r="K2037" s="1">
        <v>3</v>
      </c>
      <c r="L2037" s="1">
        <v>1</v>
      </c>
      <c r="S2037" s="1" t="s">
        <v>5797</v>
      </c>
      <c r="T2037" s="1">
        <v>1</v>
      </c>
      <c r="U2037" s="19"/>
      <c r="V2037" s="19"/>
    </row>
    <row r="2038" spans="1:22" x14ac:dyDescent="0.3">
      <c r="A2038" s="1" t="s">
        <v>5798</v>
      </c>
      <c r="B2038" s="5">
        <v>46191</v>
      </c>
      <c r="C2038" s="6">
        <v>0.58333333333333337</v>
      </c>
      <c r="D2038" s="1" t="s">
        <v>30</v>
      </c>
      <c r="E2038" s="1" t="s">
        <v>33</v>
      </c>
      <c r="F2038" s="1" t="s">
        <v>5799</v>
      </c>
      <c r="G2038" s="39" t="s">
        <v>5657</v>
      </c>
      <c r="H2038" s="1">
        <v>1</v>
      </c>
      <c r="I2038" s="1">
        <v>1</v>
      </c>
      <c r="J2038" s="39" t="s">
        <v>216</v>
      </c>
      <c r="K2038" s="1">
        <v>1</v>
      </c>
      <c r="L2038" s="1">
        <v>1</v>
      </c>
      <c r="S2038" s="1" t="s">
        <v>5800</v>
      </c>
      <c r="T2038" s="1">
        <v>1</v>
      </c>
      <c r="U2038" s="19"/>
      <c r="V2038" s="19"/>
    </row>
    <row r="2039" spans="1:22" x14ac:dyDescent="0.3">
      <c r="A2039" s="1" t="s">
        <v>5801</v>
      </c>
      <c r="B2039" s="5">
        <v>46181</v>
      </c>
      <c r="C2039" s="6">
        <v>0.58333333333333337</v>
      </c>
      <c r="D2039" s="1" t="s">
        <v>30</v>
      </c>
      <c r="E2039" s="1" t="s">
        <v>33</v>
      </c>
      <c r="F2039" s="1" t="s">
        <v>5802</v>
      </c>
      <c r="G2039" s="39" t="s">
        <v>216</v>
      </c>
      <c r="H2039" s="1">
        <v>1</v>
      </c>
      <c r="I2039" s="1">
        <v>6</v>
      </c>
      <c r="J2039" s="39" t="s">
        <v>5693</v>
      </c>
      <c r="K2039" s="1">
        <v>6</v>
      </c>
      <c r="L2039" s="1">
        <v>1</v>
      </c>
      <c r="S2039" s="1" t="s">
        <v>5803</v>
      </c>
      <c r="T2039" s="1">
        <v>1</v>
      </c>
      <c r="U2039" s="19"/>
      <c r="V2039" s="19"/>
    </row>
    <row r="2040" spans="1:22" x14ac:dyDescent="0.3">
      <c r="A2040" s="1" t="s">
        <v>5804</v>
      </c>
      <c r="B2040" s="5">
        <v>46176</v>
      </c>
      <c r="C2040" s="6">
        <v>0.58333333333333337</v>
      </c>
      <c r="D2040" s="1" t="s">
        <v>30</v>
      </c>
      <c r="E2040" s="1" t="s">
        <v>33</v>
      </c>
      <c r="F2040" s="1" t="s">
        <v>5805</v>
      </c>
      <c r="G2040" s="39" t="s">
        <v>984</v>
      </c>
      <c r="H2040" s="1">
        <v>3</v>
      </c>
      <c r="I2040" s="1">
        <v>1</v>
      </c>
      <c r="J2040" s="39" t="s">
        <v>216</v>
      </c>
      <c r="K2040" s="1">
        <v>1</v>
      </c>
      <c r="L2040" s="1">
        <v>3</v>
      </c>
      <c r="S2040" s="1" t="s">
        <v>5806</v>
      </c>
      <c r="T2040" s="1">
        <v>1</v>
      </c>
      <c r="U2040" s="19"/>
      <c r="V2040" s="19"/>
    </row>
    <row r="2041" spans="1:22" x14ac:dyDescent="0.3">
      <c r="A2041" s="1" t="s">
        <v>5807</v>
      </c>
      <c r="B2041" s="5">
        <v>46165</v>
      </c>
      <c r="C2041" s="6">
        <v>0.41666666666666669</v>
      </c>
      <c r="D2041" s="1" t="s">
        <v>30</v>
      </c>
      <c r="E2041" s="1" t="s">
        <v>33</v>
      </c>
      <c r="F2041" s="1" t="s">
        <v>5808</v>
      </c>
      <c r="G2041" s="39" t="s">
        <v>216</v>
      </c>
      <c r="H2041" s="1">
        <v>4</v>
      </c>
      <c r="I2041" s="1">
        <v>0</v>
      </c>
      <c r="J2041" s="39" t="s">
        <v>5697</v>
      </c>
      <c r="K2041" s="1">
        <v>0</v>
      </c>
      <c r="L2041" s="1">
        <v>4</v>
      </c>
      <c r="S2041" s="1" t="s">
        <v>5809</v>
      </c>
      <c r="T2041" s="1">
        <v>1</v>
      </c>
      <c r="U2041" s="19"/>
      <c r="V2041" s="19"/>
    </row>
    <row r="2042" spans="1:22" x14ac:dyDescent="0.3">
      <c r="A2042" s="1" t="s">
        <v>5810</v>
      </c>
      <c r="B2042" s="5">
        <v>46158</v>
      </c>
      <c r="C2042" s="6">
        <v>0.41666666666666669</v>
      </c>
      <c r="D2042" s="1" t="s">
        <v>30</v>
      </c>
      <c r="E2042" s="1" t="s">
        <v>33</v>
      </c>
      <c r="F2042" s="1" t="s">
        <v>5811</v>
      </c>
      <c r="G2042" s="39" t="s">
        <v>965</v>
      </c>
      <c r="H2042" s="1">
        <v>1</v>
      </c>
      <c r="I2042" s="1">
        <v>3</v>
      </c>
      <c r="J2042" s="39" t="s">
        <v>216</v>
      </c>
      <c r="K2042" s="1">
        <v>3</v>
      </c>
      <c r="L2042" s="1">
        <v>1</v>
      </c>
      <c r="S2042" s="1" t="s">
        <v>5812</v>
      </c>
      <c r="T2042" s="1">
        <v>1</v>
      </c>
      <c r="U2042" s="19"/>
      <c r="V2042" s="19"/>
    </row>
    <row r="2043" spans="1:22" x14ac:dyDescent="0.3">
      <c r="A2043" s="1" t="s">
        <v>5813</v>
      </c>
      <c r="B2043" s="5">
        <v>46243</v>
      </c>
      <c r="C2043" s="6">
        <v>0.33333333333333331</v>
      </c>
      <c r="D2043" s="1" t="s">
        <v>30</v>
      </c>
      <c r="E2043" s="1" t="s">
        <v>33</v>
      </c>
      <c r="F2043" s="1" t="s">
        <v>5814</v>
      </c>
      <c r="G2043" s="39" t="s">
        <v>984</v>
      </c>
      <c r="H2043" s="1">
        <v>2</v>
      </c>
      <c r="I2043" s="1">
        <v>0</v>
      </c>
      <c r="J2043" s="39" t="s">
        <v>217</v>
      </c>
      <c r="K2043" s="1">
        <v>0</v>
      </c>
      <c r="L2043" s="1">
        <v>2</v>
      </c>
      <c r="S2043" s="1" t="s">
        <v>5815</v>
      </c>
      <c r="T2043" s="1">
        <v>1</v>
      </c>
      <c r="U2043" s="19"/>
      <c r="V2043" s="19"/>
    </row>
    <row r="2044" spans="1:22" x14ac:dyDescent="0.3">
      <c r="A2044" s="1" t="s">
        <v>5816</v>
      </c>
      <c r="B2044" s="5">
        <v>46191</v>
      </c>
      <c r="C2044" s="6">
        <v>0.58333333333333337</v>
      </c>
      <c r="D2044" s="1" t="s">
        <v>30</v>
      </c>
      <c r="E2044" s="1" t="s">
        <v>33</v>
      </c>
      <c r="F2044" s="1" t="s">
        <v>5817</v>
      </c>
      <c r="G2044" s="39" t="s">
        <v>5697</v>
      </c>
      <c r="H2044" s="1">
        <v>0</v>
      </c>
      <c r="I2044" s="1">
        <v>2</v>
      </c>
      <c r="J2044" s="39" t="s">
        <v>217</v>
      </c>
      <c r="K2044" s="1">
        <v>2</v>
      </c>
      <c r="L2044" s="1">
        <v>0</v>
      </c>
      <c r="S2044" s="1" t="s">
        <v>5818</v>
      </c>
      <c r="T2044" s="1">
        <v>1</v>
      </c>
      <c r="U2044" s="19"/>
      <c r="V2044" s="19"/>
    </row>
    <row r="2045" spans="1:22" x14ac:dyDescent="0.3">
      <c r="A2045" s="1" t="s">
        <v>5819</v>
      </c>
      <c r="B2045" s="5">
        <v>46181</v>
      </c>
      <c r="C2045" s="6">
        <v>0.58333333333333337</v>
      </c>
      <c r="D2045" s="1" t="s">
        <v>30</v>
      </c>
      <c r="E2045" s="1" t="s">
        <v>33</v>
      </c>
      <c r="F2045" s="1" t="s">
        <v>5820</v>
      </c>
      <c r="G2045" s="39" t="s">
        <v>217</v>
      </c>
      <c r="H2045" s="1">
        <v>4</v>
      </c>
      <c r="I2045" s="1">
        <v>1</v>
      </c>
      <c r="J2045" s="39" t="s">
        <v>984</v>
      </c>
      <c r="K2045" s="1">
        <v>1</v>
      </c>
      <c r="L2045" s="1">
        <v>4</v>
      </c>
      <c r="S2045" s="1" t="s">
        <v>5821</v>
      </c>
      <c r="T2045" s="1">
        <v>1</v>
      </c>
      <c r="U2045" s="19"/>
      <c r="V2045" s="19"/>
    </row>
    <row r="2046" spans="1:22" x14ac:dyDescent="0.3">
      <c r="A2046" s="1" t="s">
        <v>5822</v>
      </c>
      <c r="B2046" s="5">
        <v>46165</v>
      </c>
      <c r="C2046" s="6">
        <v>0.41666666666666669</v>
      </c>
      <c r="D2046" s="1" t="s">
        <v>30</v>
      </c>
      <c r="E2046" s="1" t="s">
        <v>33</v>
      </c>
      <c r="F2046" s="1" t="s">
        <v>5823</v>
      </c>
      <c r="G2046" s="39" t="s">
        <v>217</v>
      </c>
      <c r="H2046" s="1">
        <v>2</v>
      </c>
      <c r="I2046" s="1">
        <v>1</v>
      </c>
      <c r="J2046" s="39" t="s">
        <v>965</v>
      </c>
      <c r="K2046" s="1">
        <v>1</v>
      </c>
      <c r="L2046" s="1">
        <v>2</v>
      </c>
      <c r="S2046" s="1" t="s">
        <v>5824</v>
      </c>
      <c r="T2046" s="1">
        <v>1</v>
      </c>
      <c r="U2046" s="19"/>
      <c r="V2046" s="19"/>
    </row>
    <row r="2047" spans="1:22" x14ac:dyDescent="0.3">
      <c r="A2047" s="1" t="s">
        <v>5825</v>
      </c>
      <c r="B2047" s="5">
        <v>46158</v>
      </c>
      <c r="C2047" s="6">
        <v>0.41666666666666669</v>
      </c>
      <c r="D2047" s="1" t="s">
        <v>30</v>
      </c>
      <c r="E2047" s="1" t="s">
        <v>33</v>
      </c>
      <c r="F2047" s="1" t="s">
        <v>5826</v>
      </c>
      <c r="G2047" s="39" t="s">
        <v>5657</v>
      </c>
      <c r="H2047" s="1">
        <v>3</v>
      </c>
      <c r="I2047" s="1">
        <v>1</v>
      </c>
      <c r="J2047" s="39" t="s">
        <v>217</v>
      </c>
      <c r="K2047" s="1">
        <v>1</v>
      </c>
      <c r="L2047" s="1">
        <v>3</v>
      </c>
      <c r="S2047" s="1" t="s">
        <v>5827</v>
      </c>
      <c r="T2047" s="1">
        <v>1</v>
      </c>
      <c r="U2047" s="19"/>
      <c r="V2047" s="19"/>
    </row>
    <row r="2048" spans="1:22" x14ac:dyDescent="0.3">
      <c r="A2048" s="1" t="s">
        <v>5828</v>
      </c>
      <c r="B2048" s="5">
        <v>46151</v>
      </c>
      <c r="C2048" s="6">
        <v>0.41666666666666669</v>
      </c>
      <c r="D2048" s="1" t="s">
        <v>30</v>
      </c>
      <c r="E2048" s="1" t="s">
        <v>33</v>
      </c>
      <c r="F2048" s="1" t="s">
        <v>5829</v>
      </c>
      <c r="G2048" s="39" t="s">
        <v>5693</v>
      </c>
      <c r="H2048" s="1">
        <v>1</v>
      </c>
      <c r="I2048" s="1">
        <v>6</v>
      </c>
      <c r="J2048" s="39" t="s">
        <v>217</v>
      </c>
      <c r="K2048" s="1">
        <v>6</v>
      </c>
      <c r="L2048" s="1">
        <v>1</v>
      </c>
      <c r="S2048" s="1" t="s">
        <v>5830</v>
      </c>
      <c r="T2048" s="1">
        <v>1</v>
      </c>
      <c r="U2048" s="19"/>
      <c r="V2048" s="19"/>
    </row>
    <row r="2049" spans="1:22" x14ac:dyDescent="0.3">
      <c r="A2049" s="1" t="s">
        <v>5831</v>
      </c>
      <c r="B2049" s="5">
        <v>46145</v>
      </c>
      <c r="C2049" s="6">
        <v>0.41666666666666669</v>
      </c>
      <c r="D2049" s="1" t="s">
        <v>30</v>
      </c>
      <c r="E2049" s="1" t="s">
        <v>33</v>
      </c>
      <c r="F2049" s="1" t="s">
        <v>5832</v>
      </c>
      <c r="G2049" s="39" t="s">
        <v>217</v>
      </c>
      <c r="H2049" s="1">
        <v>1</v>
      </c>
      <c r="I2049" s="1">
        <v>1</v>
      </c>
      <c r="J2049" s="39" t="s">
        <v>983</v>
      </c>
      <c r="K2049" s="1">
        <v>1</v>
      </c>
      <c r="L2049" s="1">
        <v>1</v>
      </c>
      <c r="S2049" s="1" t="s">
        <v>5833</v>
      </c>
      <c r="T2049" s="1">
        <v>1</v>
      </c>
      <c r="U2049" s="19"/>
      <c r="V2049" s="19"/>
    </row>
    <row r="2050" spans="1:22" x14ac:dyDescent="0.3">
      <c r="A2050" s="1" t="s">
        <v>5834</v>
      </c>
      <c r="B2050" s="5">
        <v>46130</v>
      </c>
      <c r="C2050" s="6">
        <v>0.41666666666666669</v>
      </c>
      <c r="D2050" s="1" t="s">
        <v>30</v>
      </c>
      <c r="E2050" s="1" t="s">
        <v>33</v>
      </c>
      <c r="F2050" s="1" t="s">
        <v>5835</v>
      </c>
      <c r="G2050" s="39" t="s">
        <v>5664</v>
      </c>
      <c r="H2050" s="1">
        <v>0</v>
      </c>
      <c r="I2050" s="1">
        <v>0</v>
      </c>
      <c r="J2050" s="39" t="s">
        <v>217</v>
      </c>
      <c r="K2050" s="1">
        <v>0</v>
      </c>
      <c r="L2050" s="1">
        <v>0</v>
      </c>
      <c r="S2050" s="1" t="s">
        <v>5836</v>
      </c>
      <c r="T2050" s="1">
        <v>1</v>
      </c>
      <c r="U2050" s="19"/>
      <c r="V2050" s="19"/>
    </row>
    <row r="2051" spans="1:22" x14ac:dyDescent="0.3">
      <c r="A2051" s="1" t="s">
        <v>5837</v>
      </c>
      <c r="B2051" s="5">
        <v>46242</v>
      </c>
      <c r="C2051" s="6">
        <v>0.45833333333333331</v>
      </c>
      <c r="D2051" s="1" t="s">
        <v>30</v>
      </c>
      <c r="E2051" s="1" t="s">
        <v>33</v>
      </c>
      <c r="F2051" s="1" t="s">
        <v>5838</v>
      </c>
      <c r="G2051" s="39" t="s">
        <v>5693</v>
      </c>
      <c r="H2051" s="1">
        <v>5</v>
      </c>
      <c r="I2051" s="1">
        <v>0</v>
      </c>
      <c r="J2051" s="39" t="s">
        <v>5697</v>
      </c>
      <c r="K2051" s="1">
        <v>0</v>
      </c>
      <c r="L2051" s="1">
        <v>5</v>
      </c>
      <c r="S2051" s="1" t="s">
        <v>5839</v>
      </c>
      <c r="T2051" s="1">
        <v>1</v>
      </c>
      <c r="U2051" s="19"/>
      <c r="V2051" s="19"/>
    </row>
    <row r="2052" spans="1:22" x14ac:dyDescent="0.3">
      <c r="A2052" s="1" t="s">
        <v>5840</v>
      </c>
      <c r="B2052" s="5">
        <v>46235</v>
      </c>
      <c r="C2052" s="6">
        <v>0.41666666666666669</v>
      </c>
      <c r="D2052" s="1" t="s">
        <v>30</v>
      </c>
      <c r="E2052" s="1" t="s">
        <v>33</v>
      </c>
      <c r="F2052" s="1" t="s">
        <v>5841</v>
      </c>
      <c r="G2052" s="39" t="s">
        <v>5647</v>
      </c>
      <c r="H2052" s="1">
        <v>0</v>
      </c>
      <c r="I2052" s="1">
        <v>2</v>
      </c>
      <c r="J2052" s="39" t="s">
        <v>5697</v>
      </c>
      <c r="K2052" s="1">
        <v>2</v>
      </c>
      <c r="L2052" s="1">
        <v>0</v>
      </c>
      <c r="S2052" s="1" t="s">
        <v>5842</v>
      </c>
      <c r="T2052" s="1">
        <v>1</v>
      </c>
      <c r="U2052" s="19"/>
      <c r="V2052" s="19"/>
    </row>
    <row r="2053" spans="1:22" x14ac:dyDescent="0.3">
      <c r="A2053" s="1" t="s">
        <v>5843</v>
      </c>
      <c r="B2053" s="5">
        <v>46200</v>
      </c>
      <c r="C2053" s="6">
        <v>0.41666666666666669</v>
      </c>
      <c r="D2053" s="1" t="s">
        <v>30</v>
      </c>
      <c r="E2053" s="1" t="s">
        <v>33</v>
      </c>
      <c r="F2053" s="1" t="s">
        <v>5844</v>
      </c>
      <c r="G2053" s="39" t="s">
        <v>5697</v>
      </c>
      <c r="H2053" s="1">
        <v>2</v>
      </c>
      <c r="I2053" s="1">
        <v>1</v>
      </c>
      <c r="J2053" s="39" t="s">
        <v>5693</v>
      </c>
      <c r="K2053" s="1">
        <v>1</v>
      </c>
      <c r="L2053" s="1">
        <v>2</v>
      </c>
      <c r="S2053" s="1" t="s">
        <v>5845</v>
      </c>
      <c r="T2053" s="1">
        <v>1</v>
      </c>
      <c r="U2053" s="19"/>
      <c r="V2053" s="19"/>
    </row>
    <row r="2054" spans="1:22" x14ac:dyDescent="0.3">
      <c r="A2054" s="1" t="s">
        <v>5846</v>
      </c>
      <c r="B2054" s="5">
        <v>46186</v>
      </c>
      <c r="C2054" s="6">
        <v>0.41666666666666669</v>
      </c>
      <c r="D2054" s="1" t="s">
        <v>30</v>
      </c>
      <c r="E2054" s="1" t="s">
        <v>33</v>
      </c>
      <c r="F2054" s="1" t="s">
        <v>5847</v>
      </c>
      <c r="G2054" s="39" t="s">
        <v>5683</v>
      </c>
      <c r="H2054" s="1">
        <v>2</v>
      </c>
      <c r="I2054" s="1">
        <v>0</v>
      </c>
      <c r="J2054" s="39" t="s">
        <v>5697</v>
      </c>
      <c r="K2054" s="1">
        <v>0</v>
      </c>
      <c r="L2054" s="1">
        <v>2</v>
      </c>
      <c r="S2054" s="1" t="s">
        <v>5848</v>
      </c>
      <c r="T2054" s="1">
        <v>1</v>
      </c>
      <c r="U2054" s="19"/>
      <c r="V2054" s="19"/>
    </row>
    <row r="2055" spans="1:22" x14ac:dyDescent="0.3">
      <c r="A2055" s="1" t="s">
        <v>5849</v>
      </c>
      <c r="B2055" s="5">
        <v>46179</v>
      </c>
      <c r="C2055" s="6">
        <v>0.41666666666666669</v>
      </c>
      <c r="D2055" s="1" t="s">
        <v>30</v>
      </c>
      <c r="E2055" s="1" t="s">
        <v>33</v>
      </c>
      <c r="F2055" s="1" t="s">
        <v>5850</v>
      </c>
      <c r="G2055" s="39" t="s">
        <v>5697</v>
      </c>
      <c r="H2055" s="1">
        <v>0</v>
      </c>
      <c r="I2055" s="1">
        <v>4</v>
      </c>
      <c r="J2055" s="39" t="s">
        <v>5657</v>
      </c>
      <c r="K2055" s="1">
        <v>4</v>
      </c>
      <c r="L2055" s="1">
        <v>0</v>
      </c>
      <c r="S2055" s="1" t="s">
        <v>5851</v>
      </c>
      <c r="T2055" s="1">
        <v>1</v>
      </c>
      <c r="U2055" s="19"/>
      <c r="V2055" s="19"/>
    </row>
    <row r="2056" spans="1:22" x14ac:dyDescent="0.3">
      <c r="A2056" s="1" t="s">
        <v>5852</v>
      </c>
      <c r="B2056" s="5">
        <v>46156</v>
      </c>
      <c r="C2056" s="6">
        <v>0.58333333333333337</v>
      </c>
      <c r="D2056" s="1" t="s">
        <v>30</v>
      </c>
      <c r="E2056" s="1" t="s">
        <v>33</v>
      </c>
      <c r="F2056" s="1" t="s">
        <v>5853</v>
      </c>
      <c r="G2056" s="39" t="s">
        <v>984</v>
      </c>
      <c r="H2056" s="1">
        <v>1</v>
      </c>
      <c r="I2056" s="1">
        <v>0</v>
      </c>
      <c r="J2056" s="39" t="s">
        <v>5697</v>
      </c>
      <c r="K2056" s="1">
        <v>0</v>
      </c>
      <c r="L2056" s="1">
        <v>1</v>
      </c>
      <c r="S2056" s="1" t="s">
        <v>5854</v>
      </c>
      <c r="T2056" s="1">
        <v>1</v>
      </c>
      <c r="U2056" s="19"/>
      <c r="V2056" s="19"/>
    </row>
    <row r="2057" spans="1:22" x14ac:dyDescent="0.3">
      <c r="A2057" s="1" t="s">
        <v>5855</v>
      </c>
      <c r="B2057" s="5">
        <v>46151</v>
      </c>
      <c r="C2057" s="6">
        <v>0.41666666666666669</v>
      </c>
      <c r="D2057" s="1" t="s">
        <v>30</v>
      </c>
      <c r="E2057" s="1" t="s">
        <v>33</v>
      </c>
      <c r="F2057" s="1" t="s">
        <v>5856</v>
      </c>
      <c r="G2057" s="39" t="s">
        <v>281</v>
      </c>
      <c r="H2057" s="1">
        <v>2</v>
      </c>
      <c r="I2057" s="1">
        <v>2</v>
      </c>
      <c r="J2057" s="39" t="s">
        <v>5697</v>
      </c>
      <c r="K2057" s="1">
        <v>2</v>
      </c>
      <c r="L2057" s="1">
        <v>2</v>
      </c>
      <c r="S2057" s="1" t="s">
        <v>5857</v>
      </c>
      <c r="T2057" s="1">
        <v>1</v>
      </c>
      <c r="U2057" s="19"/>
      <c r="V2057" s="19"/>
    </row>
    <row r="2058" spans="1:22" x14ac:dyDescent="0.3">
      <c r="A2058" s="1" t="s">
        <v>5858</v>
      </c>
      <c r="B2058" s="5">
        <v>46187</v>
      </c>
      <c r="C2058" s="6">
        <v>0.45833333333333331</v>
      </c>
      <c r="D2058" s="1" t="s">
        <v>30</v>
      </c>
      <c r="E2058" s="1" t="s">
        <v>33</v>
      </c>
      <c r="F2058" s="1" t="s">
        <v>5859</v>
      </c>
      <c r="G2058" s="39" t="s">
        <v>965</v>
      </c>
      <c r="H2058" s="1">
        <v>0</v>
      </c>
      <c r="I2058" s="1">
        <v>2</v>
      </c>
      <c r="J2058" s="39" t="s">
        <v>5657</v>
      </c>
      <c r="K2058" s="1">
        <v>2</v>
      </c>
      <c r="L2058" s="1">
        <v>0</v>
      </c>
      <c r="S2058" s="1" t="s">
        <v>5860</v>
      </c>
      <c r="T2058" s="1">
        <v>1</v>
      </c>
      <c r="U2058" s="19"/>
      <c r="V2058" s="19"/>
    </row>
    <row r="2059" spans="1:22" x14ac:dyDescent="0.3">
      <c r="A2059" s="1" t="s">
        <v>5861</v>
      </c>
      <c r="B2059" s="5">
        <v>46155</v>
      </c>
      <c r="C2059" s="6">
        <v>0.58333333333333337</v>
      </c>
      <c r="D2059" s="1" t="s">
        <v>30</v>
      </c>
      <c r="E2059" s="1" t="s">
        <v>33</v>
      </c>
      <c r="F2059" s="1" t="s">
        <v>5862</v>
      </c>
      <c r="G2059" s="39" t="s">
        <v>983</v>
      </c>
      <c r="H2059" s="1">
        <v>0</v>
      </c>
      <c r="I2059" s="1">
        <v>2</v>
      </c>
      <c r="J2059" s="39" t="s">
        <v>5657</v>
      </c>
      <c r="K2059" s="1">
        <v>2</v>
      </c>
      <c r="L2059" s="1">
        <v>0</v>
      </c>
      <c r="S2059" s="1" t="s">
        <v>5863</v>
      </c>
      <c r="T2059" s="1">
        <v>1</v>
      </c>
      <c r="U2059" s="19"/>
      <c r="V2059" s="19"/>
    </row>
    <row r="2060" spans="1:22" x14ac:dyDescent="0.3">
      <c r="A2060" s="1" t="s">
        <v>5864</v>
      </c>
      <c r="B2060" s="5">
        <v>46144</v>
      </c>
      <c r="C2060" s="6">
        <v>0.41666666666666669</v>
      </c>
      <c r="D2060" s="1" t="s">
        <v>30</v>
      </c>
      <c r="E2060" s="1" t="s">
        <v>33</v>
      </c>
      <c r="F2060" s="1" t="s">
        <v>5865</v>
      </c>
      <c r="G2060" s="39" t="s">
        <v>5683</v>
      </c>
      <c r="H2060" s="1">
        <v>0</v>
      </c>
      <c r="I2060" s="1">
        <v>2</v>
      </c>
      <c r="J2060" s="39" t="s">
        <v>5657</v>
      </c>
      <c r="K2060" s="1">
        <v>2</v>
      </c>
      <c r="L2060" s="1">
        <v>0</v>
      </c>
      <c r="S2060" s="1" t="s">
        <v>5866</v>
      </c>
      <c r="T2060" s="1">
        <v>1</v>
      </c>
      <c r="U2060" s="19"/>
      <c r="V2060" s="19"/>
    </row>
    <row r="2061" spans="1:22" x14ac:dyDescent="0.3">
      <c r="A2061" s="1" t="s">
        <v>5867</v>
      </c>
      <c r="B2061" s="5">
        <v>46172</v>
      </c>
      <c r="C2061" s="6">
        <v>0.41666666666666669</v>
      </c>
      <c r="D2061" s="1" t="s">
        <v>30</v>
      </c>
      <c r="E2061" s="1" t="s">
        <v>33</v>
      </c>
      <c r="F2061" s="1" t="s">
        <v>5868</v>
      </c>
      <c r="G2061" s="39" t="s">
        <v>5683</v>
      </c>
      <c r="H2061" s="1">
        <v>0</v>
      </c>
      <c r="I2061" s="1">
        <v>0</v>
      </c>
      <c r="J2061" s="39" t="s">
        <v>983</v>
      </c>
      <c r="K2061" s="1">
        <v>0</v>
      </c>
      <c r="L2061" s="1">
        <v>0</v>
      </c>
      <c r="S2061" s="1" t="s">
        <v>5869</v>
      </c>
      <c r="T2061" s="1">
        <v>1</v>
      </c>
      <c r="U2061" s="19"/>
      <c r="V2061" s="19"/>
    </row>
    <row r="2062" spans="1:22" x14ac:dyDescent="0.3">
      <c r="A2062" s="1" t="s">
        <v>5870</v>
      </c>
      <c r="B2062" s="5">
        <v>46166</v>
      </c>
      <c r="C2062" s="6">
        <v>0.41666666666666669</v>
      </c>
      <c r="D2062" s="1" t="s">
        <v>30</v>
      </c>
      <c r="E2062" s="1" t="s">
        <v>33</v>
      </c>
      <c r="F2062" s="1" t="s">
        <v>5871</v>
      </c>
      <c r="G2062" s="39" t="s">
        <v>281</v>
      </c>
      <c r="H2062" s="1">
        <v>0</v>
      </c>
      <c r="I2062" s="1">
        <v>2</v>
      </c>
      <c r="J2062" s="39" t="s">
        <v>5683</v>
      </c>
      <c r="K2062" s="1">
        <v>2</v>
      </c>
      <c r="L2062" s="1">
        <v>0</v>
      </c>
      <c r="S2062" s="1" t="s">
        <v>5872</v>
      </c>
      <c r="T2062" s="1">
        <v>1</v>
      </c>
      <c r="U2062" s="19"/>
      <c r="V2062" s="19"/>
    </row>
    <row r="2063" spans="1:22" x14ac:dyDescent="0.3">
      <c r="A2063" s="1" t="s">
        <v>5873</v>
      </c>
      <c r="B2063" s="5">
        <v>46159</v>
      </c>
      <c r="C2063" s="6">
        <v>0.41666666666666669</v>
      </c>
      <c r="D2063" s="1" t="s">
        <v>30</v>
      </c>
      <c r="E2063" s="1" t="s">
        <v>33</v>
      </c>
      <c r="F2063" s="1" t="s">
        <v>5874</v>
      </c>
      <c r="G2063" s="39" t="s">
        <v>5683</v>
      </c>
      <c r="H2063" s="1">
        <v>5</v>
      </c>
      <c r="I2063" s="1">
        <v>0</v>
      </c>
      <c r="J2063" s="39" t="s">
        <v>984</v>
      </c>
      <c r="K2063" s="1">
        <v>0</v>
      </c>
      <c r="L2063" s="1">
        <v>5</v>
      </c>
      <c r="S2063" s="1" t="s">
        <v>5875</v>
      </c>
      <c r="T2063" s="1">
        <v>1</v>
      </c>
      <c r="U2063" s="19"/>
      <c r="V2063" s="19"/>
    </row>
    <row r="2064" spans="1:22" x14ac:dyDescent="0.3">
      <c r="A2064" s="1" t="s">
        <v>5876</v>
      </c>
      <c r="B2064" s="5">
        <v>46156</v>
      </c>
      <c r="C2064" s="6">
        <v>0.58333333333333337</v>
      </c>
      <c r="D2064" s="1" t="s">
        <v>30</v>
      </c>
      <c r="E2064" s="1" t="s">
        <v>33</v>
      </c>
      <c r="F2064" s="1" t="s">
        <v>5877</v>
      </c>
      <c r="G2064" s="39" t="s">
        <v>5683</v>
      </c>
      <c r="H2064" s="1">
        <v>1</v>
      </c>
      <c r="I2064" s="1">
        <v>0</v>
      </c>
      <c r="J2064" s="39" t="s">
        <v>5693</v>
      </c>
      <c r="K2064" s="1">
        <v>0</v>
      </c>
      <c r="L2064" s="1">
        <v>1</v>
      </c>
      <c r="S2064" s="1" t="s">
        <v>5878</v>
      </c>
      <c r="T2064" s="1">
        <v>1</v>
      </c>
      <c r="U2064" s="19"/>
      <c r="V2064" s="19"/>
    </row>
    <row r="2065" spans="1:22" x14ac:dyDescent="0.3">
      <c r="A2065" s="1" t="s">
        <v>5879</v>
      </c>
      <c r="B2065" s="5">
        <v>46151</v>
      </c>
      <c r="C2065" s="6">
        <v>0.41666666666666669</v>
      </c>
      <c r="D2065" s="1" t="s">
        <v>30</v>
      </c>
      <c r="E2065" s="1" t="s">
        <v>33</v>
      </c>
      <c r="F2065" s="1" t="s">
        <v>5880</v>
      </c>
      <c r="G2065" s="39" t="s">
        <v>965</v>
      </c>
      <c r="H2065" s="1">
        <v>0</v>
      </c>
      <c r="I2065" s="1">
        <v>0</v>
      </c>
      <c r="J2065" s="39" t="s">
        <v>5683</v>
      </c>
      <c r="K2065" s="1">
        <v>0</v>
      </c>
      <c r="L2065" s="1">
        <v>0</v>
      </c>
      <c r="S2065" s="1" t="s">
        <v>5881</v>
      </c>
      <c r="T2065" s="1">
        <v>1</v>
      </c>
      <c r="U2065" s="19"/>
      <c r="V2065" s="19"/>
    </row>
    <row r="2066" spans="1:22" x14ac:dyDescent="0.3">
      <c r="A2066" s="1" t="s">
        <v>5882</v>
      </c>
      <c r="B2066" s="5">
        <v>46235</v>
      </c>
      <c r="C2066" s="6">
        <v>0.33333333333333331</v>
      </c>
      <c r="D2066" s="1" t="s">
        <v>30</v>
      </c>
      <c r="E2066" s="1" t="s">
        <v>33</v>
      </c>
      <c r="F2066" s="1" t="s">
        <v>5883</v>
      </c>
      <c r="G2066" s="39" t="s">
        <v>5693</v>
      </c>
      <c r="H2066" s="1">
        <v>0</v>
      </c>
      <c r="I2066" s="1">
        <v>2</v>
      </c>
      <c r="J2066" s="39" t="s">
        <v>965</v>
      </c>
      <c r="K2066" s="1">
        <v>2</v>
      </c>
      <c r="L2066" s="1">
        <v>0</v>
      </c>
      <c r="S2066" s="1" t="s">
        <v>5884</v>
      </c>
      <c r="T2066" s="1">
        <v>1</v>
      </c>
      <c r="U2066" s="19"/>
      <c r="V2066" s="19"/>
    </row>
    <row r="2067" spans="1:22" x14ac:dyDescent="0.3">
      <c r="A2067" s="1" t="s">
        <v>5885</v>
      </c>
      <c r="B2067" s="5">
        <v>46186</v>
      </c>
      <c r="C2067" s="6">
        <v>0.45833333333333331</v>
      </c>
      <c r="D2067" s="1" t="s">
        <v>30</v>
      </c>
      <c r="E2067" s="1" t="s">
        <v>33</v>
      </c>
      <c r="F2067" s="1" t="s">
        <v>5886</v>
      </c>
      <c r="G2067" s="39" t="s">
        <v>5693</v>
      </c>
      <c r="H2067" s="1">
        <v>3</v>
      </c>
      <c r="I2067" s="1">
        <v>3</v>
      </c>
      <c r="J2067" s="39" t="s">
        <v>983</v>
      </c>
      <c r="K2067" s="1">
        <v>3</v>
      </c>
      <c r="L2067" s="1">
        <v>3</v>
      </c>
      <c r="S2067" s="1" t="s">
        <v>5887</v>
      </c>
      <c r="T2067" s="1">
        <v>1</v>
      </c>
      <c r="U2067" s="19"/>
      <c r="V2067" s="19"/>
    </row>
    <row r="2068" spans="1:22" x14ac:dyDescent="0.3">
      <c r="A2068" s="1" t="s">
        <v>5888</v>
      </c>
      <c r="B2068" s="5">
        <v>46173</v>
      </c>
      <c r="C2068" s="6">
        <v>0.41666666666666669</v>
      </c>
      <c r="D2068" s="1" t="s">
        <v>30</v>
      </c>
      <c r="E2068" s="1" t="s">
        <v>33</v>
      </c>
      <c r="F2068" s="1" t="s">
        <v>5889</v>
      </c>
      <c r="G2068" s="39" t="s">
        <v>281</v>
      </c>
      <c r="H2068" s="1">
        <v>2</v>
      </c>
      <c r="I2068" s="1">
        <v>2</v>
      </c>
      <c r="J2068" s="39" t="s">
        <v>5693</v>
      </c>
      <c r="K2068" s="1">
        <v>2</v>
      </c>
      <c r="L2068" s="1">
        <v>2</v>
      </c>
      <c r="S2068" s="1" t="s">
        <v>5890</v>
      </c>
      <c r="T2068" s="1">
        <v>1</v>
      </c>
      <c r="U2068" s="19"/>
      <c r="V2068" s="19"/>
    </row>
    <row r="2069" spans="1:22" x14ac:dyDescent="0.3">
      <c r="A2069" s="1" t="s">
        <v>5891</v>
      </c>
      <c r="B2069" s="5">
        <v>46159</v>
      </c>
      <c r="C2069" s="6">
        <v>0.41666666666666669</v>
      </c>
      <c r="D2069" s="1" t="s">
        <v>30</v>
      </c>
      <c r="E2069" s="1" t="s">
        <v>33</v>
      </c>
      <c r="F2069" s="1" t="s">
        <v>5892</v>
      </c>
      <c r="G2069" s="39" t="s">
        <v>5693</v>
      </c>
      <c r="H2069" s="1">
        <v>2</v>
      </c>
      <c r="I2069" s="1">
        <v>3</v>
      </c>
      <c r="J2069" s="39" t="s">
        <v>5647</v>
      </c>
      <c r="K2069" s="1">
        <v>3</v>
      </c>
      <c r="L2069" s="1">
        <v>2</v>
      </c>
      <c r="S2069" s="1" t="s">
        <v>5893</v>
      </c>
      <c r="T2069" s="1">
        <v>1</v>
      </c>
      <c r="U2069" s="19"/>
      <c r="V2069" s="19"/>
    </row>
    <row r="2070" spans="1:22" x14ac:dyDescent="0.3">
      <c r="A2070" s="1" t="s">
        <v>5894</v>
      </c>
      <c r="B2070" s="5">
        <v>46143</v>
      </c>
      <c r="C2070" s="6">
        <v>0.58333333333333337</v>
      </c>
      <c r="D2070" s="1" t="s">
        <v>30</v>
      </c>
      <c r="E2070" s="1" t="s">
        <v>33</v>
      </c>
      <c r="F2070" s="1" t="s">
        <v>5895</v>
      </c>
      <c r="G2070" s="39" t="s">
        <v>5693</v>
      </c>
      <c r="H2070" s="1">
        <v>2</v>
      </c>
      <c r="I2070" s="1">
        <v>2</v>
      </c>
      <c r="J2070" s="39" t="s">
        <v>984</v>
      </c>
      <c r="K2070" s="1">
        <v>2</v>
      </c>
      <c r="L2070" s="1">
        <v>2</v>
      </c>
      <c r="S2070" s="1" t="s">
        <v>5896</v>
      </c>
      <c r="T2070" s="1">
        <v>1</v>
      </c>
      <c r="U2070" s="19"/>
      <c r="V2070" s="19"/>
    </row>
    <row r="2071" spans="1:22" x14ac:dyDescent="0.3">
      <c r="A2071" s="1" t="s">
        <v>5897</v>
      </c>
      <c r="B2071" s="5">
        <v>46197</v>
      </c>
      <c r="C2071" s="6">
        <v>0.58333333333333337</v>
      </c>
      <c r="D2071" s="1" t="s">
        <v>30</v>
      </c>
      <c r="E2071" s="1" t="s">
        <v>33</v>
      </c>
      <c r="F2071" s="1" t="s">
        <v>5898</v>
      </c>
      <c r="G2071" s="39" t="s">
        <v>965</v>
      </c>
      <c r="H2071" s="1">
        <v>3</v>
      </c>
      <c r="I2071" s="1">
        <v>1</v>
      </c>
      <c r="J2071" s="39" t="s">
        <v>5647</v>
      </c>
      <c r="K2071" s="1">
        <v>1</v>
      </c>
      <c r="L2071" s="1">
        <v>3</v>
      </c>
      <c r="S2071" s="1" t="s">
        <v>5899</v>
      </c>
      <c r="T2071" s="1">
        <v>1</v>
      </c>
      <c r="U2071" s="19"/>
      <c r="V2071" s="19"/>
    </row>
    <row r="2072" spans="1:22" x14ac:dyDescent="0.3">
      <c r="A2072" s="1" t="s">
        <v>5900</v>
      </c>
      <c r="B2072" s="5">
        <v>46191</v>
      </c>
      <c r="C2072" s="6">
        <v>0.58333333333333337</v>
      </c>
      <c r="D2072" s="1" t="s">
        <v>30</v>
      </c>
      <c r="E2072" s="1" t="s">
        <v>33</v>
      </c>
      <c r="F2072" s="1" t="s">
        <v>5901</v>
      </c>
      <c r="G2072" s="39" t="s">
        <v>984</v>
      </c>
      <c r="H2072" s="1">
        <v>0</v>
      </c>
      <c r="I2072" s="1">
        <v>4</v>
      </c>
      <c r="J2072" s="39" t="s">
        <v>965</v>
      </c>
      <c r="K2072" s="1">
        <v>4</v>
      </c>
      <c r="L2072" s="1">
        <v>0</v>
      </c>
      <c r="S2072" s="1" t="s">
        <v>5902</v>
      </c>
      <c r="T2072" s="1">
        <v>1</v>
      </c>
      <c r="U2072" s="19"/>
      <c r="V2072" s="19"/>
    </row>
    <row r="2073" spans="1:22" x14ac:dyDescent="0.3">
      <c r="A2073" s="1" t="s">
        <v>5903</v>
      </c>
      <c r="B2073" s="5">
        <v>46145</v>
      </c>
      <c r="C2073" s="6">
        <v>0.41666666666666669</v>
      </c>
      <c r="D2073" s="1" t="s">
        <v>30</v>
      </c>
      <c r="E2073" s="1" t="s">
        <v>33</v>
      </c>
      <c r="F2073" s="1" t="s">
        <v>5904</v>
      </c>
      <c r="G2073" s="39" t="s">
        <v>281</v>
      </c>
      <c r="H2073" s="1">
        <v>2</v>
      </c>
      <c r="I2073" s="1">
        <v>1</v>
      </c>
      <c r="J2073" s="39" t="s">
        <v>965</v>
      </c>
      <c r="K2073" s="1">
        <v>1</v>
      </c>
      <c r="L2073" s="1">
        <v>2</v>
      </c>
      <c r="S2073" s="1" t="s">
        <v>5905</v>
      </c>
      <c r="T2073" s="1">
        <v>1</v>
      </c>
      <c r="U2073" s="19"/>
      <c r="V2073" s="19"/>
    </row>
    <row r="2074" spans="1:22" x14ac:dyDescent="0.3">
      <c r="A2074" s="1" t="s">
        <v>5906</v>
      </c>
      <c r="B2074" s="5">
        <v>46185</v>
      </c>
      <c r="C2074" s="6">
        <v>0.58333333333333337</v>
      </c>
      <c r="D2074" s="1" t="s">
        <v>30</v>
      </c>
      <c r="E2074" s="1" t="s">
        <v>33</v>
      </c>
      <c r="F2074" s="1" t="s">
        <v>5907</v>
      </c>
      <c r="G2074" s="39" t="s">
        <v>281</v>
      </c>
      <c r="H2074" s="1">
        <v>2</v>
      </c>
      <c r="I2074" s="1">
        <v>0</v>
      </c>
      <c r="J2074" s="39" t="s">
        <v>5647</v>
      </c>
      <c r="K2074" s="1">
        <v>0</v>
      </c>
      <c r="L2074" s="1">
        <v>2</v>
      </c>
      <c r="S2074" s="1" t="s">
        <v>5908</v>
      </c>
      <c r="T2074" s="1">
        <v>1</v>
      </c>
      <c r="U2074" s="19"/>
      <c r="V2074" s="19"/>
    </row>
    <row r="2075" spans="1:22" x14ac:dyDescent="0.3">
      <c r="A2075" s="1" t="s">
        <v>5909</v>
      </c>
      <c r="B2075" s="5">
        <v>46180</v>
      </c>
      <c r="C2075" s="6">
        <v>0.41666666666666669</v>
      </c>
      <c r="D2075" s="1" t="s">
        <v>30</v>
      </c>
      <c r="E2075" s="1" t="s">
        <v>33</v>
      </c>
      <c r="F2075" s="1" t="s">
        <v>5910</v>
      </c>
      <c r="G2075" s="39" t="s">
        <v>983</v>
      </c>
      <c r="H2075" s="1">
        <v>1</v>
      </c>
      <c r="I2075" s="1">
        <v>1</v>
      </c>
      <c r="J2075" s="39" t="s">
        <v>281</v>
      </c>
      <c r="K2075" s="1">
        <v>1</v>
      </c>
      <c r="L2075" s="1">
        <v>1</v>
      </c>
      <c r="S2075" s="1" t="s">
        <v>5911</v>
      </c>
      <c r="T2075" s="1">
        <v>1</v>
      </c>
      <c r="U2075" s="19"/>
      <c r="V2075" s="19"/>
    </row>
    <row r="2076" spans="1:22" x14ac:dyDescent="0.3">
      <c r="A2076" s="1" t="s">
        <v>5912</v>
      </c>
      <c r="B2076" s="5">
        <v>46173</v>
      </c>
      <c r="C2076" s="6">
        <v>0.375</v>
      </c>
      <c r="D2076" s="1" t="s">
        <v>30</v>
      </c>
      <c r="E2076" s="1" t="s">
        <v>33</v>
      </c>
      <c r="F2076" s="1" t="s">
        <v>5913</v>
      </c>
      <c r="G2076" s="39" t="s">
        <v>5647</v>
      </c>
      <c r="H2076" s="1">
        <v>2</v>
      </c>
      <c r="I2076" s="1">
        <v>2</v>
      </c>
      <c r="J2076" s="39" t="s">
        <v>217</v>
      </c>
      <c r="K2076" s="1">
        <v>2</v>
      </c>
      <c r="L2076" s="1">
        <v>2</v>
      </c>
      <c r="S2076" s="1" t="s">
        <v>5914</v>
      </c>
      <c r="T2076" s="1">
        <v>1</v>
      </c>
      <c r="U2076" s="19"/>
      <c r="V2076" s="19"/>
    </row>
    <row r="2077" spans="1:22" x14ac:dyDescent="0.3">
      <c r="A2077" s="1" t="s">
        <v>5915</v>
      </c>
      <c r="B2077" s="5">
        <v>46166</v>
      </c>
      <c r="C2077" s="6">
        <v>0.45833333333333331</v>
      </c>
      <c r="D2077" s="1" t="s">
        <v>30</v>
      </c>
      <c r="E2077" s="1" t="s">
        <v>33</v>
      </c>
      <c r="F2077" s="1" t="s">
        <v>5916</v>
      </c>
      <c r="G2077" s="39" t="s">
        <v>983</v>
      </c>
      <c r="H2077" s="1">
        <v>2</v>
      </c>
      <c r="I2077" s="1">
        <v>2</v>
      </c>
      <c r="J2077" s="39" t="s">
        <v>5647</v>
      </c>
      <c r="K2077" s="1">
        <v>2</v>
      </c>
      <c r="L2077" s="1">
        <v>2</v>
      </c>
      <c r="S2077" s="1" t="s">
        <v>5917</v>
      </c>
      <c r="T2077" s="1">
        <v>1</v>
      </c>
      <c r="U2077" s="19"/>
      <c r="V2077" s="19"/>
    </row>
    <row r="2078" spans="1:22" x14ac:dyDescent="0.3">
      <c r="A2078" s="1" t="s">
        <v>5918</v>
      </c>
      <c r="B2078" s="5">
        <v>46152</v>
      </c>
      <c r="C2078" s="6">
        <v>0.45833333333333331</v>
      </c>
      <c r="D2078" s="1" t="s">
        <v>30</v>
      </c>
      <c r="E2078" s="1" t="s">
        <v>33</v>
      </c>
      <c r="F2078" s="1" t="s">
        <v>5919</v>
      </c>
      <c r="G2078" s="39" t="s">
        <v>984</v>
      </c>
      <c r="H2078" s="1">
        <v>1</v>
      </c>
      <c r="I2078" s="1">
        <v>2</v>
      </c>
      <c r="J2078" s="39" t="s">
        <v>5647</v>
      </c>
      <c r="K2078" s="1">
        <v>2</v>
      </c>
      <c r="L2078" s="1">
        <v>1</v>
      </c>
      <c r="S2078" s="1" t="s">
        <v>5920</v>
      </c>
      <c r="T2078" s="1">
        <v>1</v>
      </c>
      <c r="U2078" s="19"/>
      <c r="V2078" s="19"/>
    </row>
    <row r="2079" spans="1:22" x14ac:dyDescent="0.3">
      <c r="A2079" s="1" t="s">
        <v>5921</v>
      </c>
      <c r="B2079" s="5">
        <v>46242</v>
      </c>
      <c r="C2079" s="6">
        <v>0.375</v>
      </c>
      <c r="D2079" s="1" t="s">
        <v>30</v>
      </c>
      <c r="E2079" s="1" t="s">
        <v>35</v>
      </c>
      <c r="F2079" s="1" t="s">
        <v>5922</v>
      </c>
      <c r="G2079" s="39" t="s">
        <v>166</v>
      </c>
      <c r="H2079" s="1">
        <v>5</v>
      </c>
      <c r="I2079" s="1">
        <v>0</v>
      </c>
      <c r="J2079" s="39" t="s">
        <v>5923</v>
      </c>
      <c r="K2079" s="1">
        <v>0</v>
      </c>
      <c r="L2079" s="1">
        <v>5</v>
      </c>
      <c r="S2079" s="1" t="s">
        <v>5924</v>
      </c>
      <c r="T2079" s="1">
        <v>1</v>
      </c>
      <c r="U2079" s="19"/>
      <c r="V2079" s="19"/>
    </row>
    <row r="2080" spans="1:22" x14ac:dyDescent="0.3">
      <c r="A2080" s="1" t="s">
        <v>5925</v>
      </c>
      <c r="B2080" s="5">
        <v>46200</v>
      </c>
      <c r="C2080" s="6">
        <v>0.45833333333333331</v>
      </c>
      <c r="D2080" s="1" t="s">
        <v>30</v>
      </c>
      <c r="E2080" s="1" t="s">
        <v>35</v>
      </c>
      <c r="F2080" s="1" t="s">
        <v>5926</v>
      </c>
      <c r="G2080" s="39" t="s">
        <v>5927</v>
      </c>
      <c r="H2080" s="1">
        <v>0</v>
      </c>
      <c r="I2080" s="1">
        <v>3</v>
      </c>
      <c r="J2080" s="39" t="s">
        <v>166</v>
      </c>
      <c r="K2080" s="1">
        <v>3</v>
      </c>
      <c r="L2080" s="1">
        <v>0</v>
      </c>
      <c r="S2080" s="1" t="s">
        <v>5928</v>
      </c>
      <c r="T2080" s="1">
        <v>1</v>
      </c>
      <c r="U2080" s="19"/>
      <c r="V2080" s="19"/>
    </row>
    <row r="2081" spans="1:22" x14ac:dyDescent="0.3">
      <c r="A2081" s="1" t="s">
        <v>5929</v>
      </c>
      <c r="B2081" s="5">
        <v>46191</v>
      </c>
      <c r="C2081" s="6">
        <v>0.58333333333333337</v>
      </c>
      <c r="D2081" s="1" t="s">
        <v>30</v>
      </c>
      <c r="E2081" s="1" t="s">
        <v>35</v>
      </c>
      <c r="F2081" s="1" t="s">
        <v>5930</v>
      </c>
      <c r="G2081" s="39" t="s">
        <v>166</v>
      </c>
      <c r="H2081" s="1">
        <v>3</v>
      </c>
      <c r="I2081" s="1">
        <v>1</v>
      </c>
      <c r="J2081" s="39" t="s">
        <v>5931</v>
      </c>
      <c r="K2081" s="1">
        <v>1</v>
      </c>
      <c r="L2081" s="1">
        <v>3</v>
      </c>
      <c r="S2081" s="1" t="s">
        <v>5932</v>
      </c>
      <c r="T2081" s="1">
        <v>1</v>
      </c>
      <c r="U2081" s="19"/>
      <c r="V2081" s="19"/>
    </row>
    <row r="2082" spans="1:22" x14ac:dyDescent="0.3">
      <c r="A2082" s="1" t="s">
        <v>5933</v>
      </c>
      <c r="B2082" s="5">
        <v>46187</v>
      </c>
      <c r="C2082" s="6">
        <v>0.375</v>
      </c>
      <c r="D2082" s="1" t="s">
        <v>30</v>
      </c>
      <c r="E2082" s="1" t="s">
        <v>35</v>
      </c>
      <c r="F2082" s="1" t="s">
        <v>5934</v>
      </c>
      <c r="G2082" s="39" t="s">
        <v>5935</v>
      </c>
      <c r="H2082" s="1">
        <v>2</v>
      </c>
      <c r="I2082" s="1">
        <v>4</v>
      </c>
      <c r="J2082" s="39" t="s">
        <v>166</v>
      </c>
      <c r="K2082" s="1">
        <v>4</v>
      </c>
      <c r="L2082" s="1">
        <v>2</v>
      </c>
      <c r="S2082" s="1" t="s">
        <v>5936</v>
      </c>
      <c r="T2082" s="1">
        <v>1</v>
      </c>
      <c r="U2082" s="19"/>
      <c r="V2082" s="19"/>
    </row>
    <row r="2083" spans="1:22" x14ac:dyDescent="0.3">
      <c r="A2083" s="1" t="s">
        <v>5937</v>
      </c>
      <c r="B2083" s="5">
        <v>46179</v>
      </c>
      <c r="C2083" s="6">
        <v>0.45833333333333331</v>
      </c>
      <c r="D2083" s="1" t="s">
        <v>30</v>
      </c>
      <c r="E2083" s="1" t="s">
        <v>35</v>
      </c>
      <c r="F2083" s="1" t="s">
        <v>5938</v>
      </c>
      <c r="G2083" s="39" t="s">
        <v>167</v>
      </c>
      <c r="H2083" s="1">
        <v>3</v>
      </c>
      <c r="I2083" s="1">
        <v>1</v>
      </c>
      <c r="J2083" s="39" t="s">
        <v>166</v>
      </c>
      <c r="K2083" s="1">
        <v>1</v>
      </c>
      <c r="L2083" s="1">
        <v>3</v>
      </c>
      <c r="S2083" s="1" t="s">
        <v>5939</v>
      </c>
      <c r="T2083" s="1">
        <v>1</v>
      </c>
      <c r="U2083" s="19"/>
      <c r="V2083" s="19"/>
    </row>
    <row r="2084" spans="1:22" x14ac:dyDescent="0.3">
      <c r="A2084" s="1" t="s">
        <v>5940</v>
      </c>
      <c r="B2084" s="5">
        <v>46173</v>
      </c>
      <c r="C2084" s="6">
        <v>0.375</v>
      </c>
      <c r="D2084" s="1" t="s">
        <v>30</v>
      </c>
      <c r="E2084" s="1" t="s">
        <v>35</v>
      </c>
      <c r="F2084" s="1" t="s">
        <v>5941</v>
      </c>
      <c r="G2084" s="39" t="s">
        <v>166</v>
      </c>
      <c r="H2084" s="1">
        <v>1</v>
      </c>
      <c r="I2084" s="1">
        <v>1</v>
      </c>
      <c r="J2084" s="39" t="s">
        <v>5942</v>
      </c>
      <c r="K2084" s="1">
        <v>1</v>
      </c>
      <c r="L2084" s="1">
        <v>1</v>
      </c>
      <c r="S2084" s="1" t="s">
        <v>5943</v>
      </c>
      <c r="T2084" s="1">
        <v>1</v>
      </c>
      <c r="U2084" s="19"/>
      <c r="V2084" s="19"/>
    </row>
    <row r="2085" spans="1:22" x14ac:dyDescent="0.3">
      <c r="A2085" s="1" t="s">
        <v>5944</v>
      </c>
      <c r="B2085" s="5">
        <v>46166</v>
      </c>
      <c r="C2085" s="6">
        <v>0.41666666666666669</v>
      </c>
      <c r="D2085" s="1" t="s">
        <v>30</v>
      </c>
      <c r="E2085" s="1" t="s">
        <v>35</v>
      </c>
      <c r="F2085" s="1" t="s">
        <v>5945</v>
      </c>
      <c r="G2085" s="39" t="s">
        <v>5946</v>
      </c>
      <c r="H2085" s="1">
        <v>0</v>
      </c>
      <c r="I2085" s="1">
        <v>3</v>
      </c>
      <c r="J2085" s="39" t="s">
        <v>166</v>
      </c>
      <c r="K2085" s="1">
        <v>3</v>
      </c>
      <c r="L2085" s="1">
        <v>0</v>
      </c>
      <c r="S2085" s="1" t="s">
        <v>5947</v>
      </c>
      <c r="T2085" s="1">
        <v>1</v>
      </c>
      <c r="U2085" s="19"/>
      <c r="V2085" s="19"/>
    </row>
    <row r="2086" spans="1:22" x14ac:dyDescent="0.3">
      <c r="A2086" s="1" t="s">
        <v>5948</v>
      </c>
      <c r="B2086" s="5">
        <v>46158</v>
      </c>
      <c r="C2086" s="6">
        <v>0.375</v>
      </c>
      <c r="D2086" s="1" t="s">
        <v>30</v>
      </c>
      <c r="E2086" s="1" t="s">
        <v>35</v>
      </c>
      <c r="F2086" s="1" t="s">
        <v>5949</v>
      </c>
      <c r="G2086" s="39" t="s">
        <v>166</v>
      </c>
      <c r="H2086" s="1">
        <v>1</v>
      </c>
      <c r="I2086" s="1">
        <v>1</v>
      </c>
      <c r="J2086" s="39" t="s">
        <v>5950</v>
      </c>
      <c r="K2086" s="1">
        <v>1</v>
      </c>
      <c r="L2086" s="1">
        <v>1</v>
      </c>
      <c r="S2086" s="1" t="s">
        <v>5951</v>
      </c>
      <c r="T2086" s="1">
        <v>1</v>
      </c>
      <c r="U2086" s="19"/>
      <c r="V2086" s="19"/>
    </row>
    <row r="2087" spans="1:22" x14ac:dyDescent="0.3">
      <c r="A2087" s="1" t="s">
        <v>5952</v>
      </c>
      <c r="B2087" s="5">
        <v>46150</v>
      </c>
      <c r="C2087" s="6">
        <v>0.58333333333333337</v>
      </c>
      <c r="D2087" s="1" t="s">
        <v>30</v>
      </c>
      <c r="E2087" s="1" t="s">
        <v>35</v>
      </c>
      <c r="F2087" s="1" t="s">
        <v>5953</v>
      </c>
      <c r="G2087" s="39" t="s">
        <v>5954</v>
      </c>
      <c r="H2087" s="1">
        <v>1</v>
      </c>
      <c r="I2087" s="1">
        <v>2</v>
      </c>
      <c r="J2087" s="39" t="s">
        <v>166</v>
      </c>
      <c r="K2087" s="1">
        <v>2</v>
      </c>
      <c r="L2087" s="1">
        <v>1</v>
      </c>
      <c r="S2087" s="1" t="s">
        <v>5955</v>
      </c>
      <c r="T2087" s="1">
        <v>1</v>
      </c>
      <c r="U2087" s="19"/>
      <c r="V2087" s="19"/>
    </row>
    <row r="2088" spans="1:22" x14ac:dyDescent="0.3">
      <c r="A2088" s="1" t="s">
        <v>5956</v>
      </c>
      <c r="B2088" s="5">
        <v>46143</v>
      </c>
      <c r="C2088" s="6">
        <v>0.375</v>
      </c>
      <c r="D2088" s="1" t="s">
        <v>30</v>
      </c>
      <c r="E2088" s="1" t="s">
        <v>35</v>
      </c>
      <c r="F2088" s="1" t="s">
        <v>5957</v>
      </c>
      <c r="G2088" s="39" t="s">
        <v>166</v>
      </c>
      <c r="H2088" s="1">
        <v>1</v>
      </c>
      <c r="I2088" s="1">
        <v>0</v>
      </c>
      <c r="J2088" s="39" t="s">
        <v>5958</v>
      </c>
      <c r="K2088" s="1">
        <v>0</v>
      </c>
      <c r="L2088" s="1">
        <v>1</v>
      </c>
      <c r="S2088" s="1" t="s">
        <v>5959</v>
      </c>
      <c r="T2088" s="1">
        <v>1</v>
      </c>
      <c r="U2088" s="19"/>
      <c r="V2088" s="19"/>
    </row>
    <row r="2089" spans="1:22" x14ac:dyDescent="0.3">
      <c r="A2089" s="1" t="s">
        <v>5960</v>
      </c>
      <c r="B2089" s="5">
        <v>46137</v>
      </c>
      <c r="C2089" s="6">
        <v>0.33333333333333331</v>
      </c>
      <c r="D2089" s="1" t="s">
        <v>30</v>
      </c>
      <c r="E2089" s="1" t="s">
        <v>35</v>
      </c>
      <c r="F2089" s="1" t="s">
        <v>5961</v>
      </c>
      <c r="G2089" s="39" t="s">
        <v>5962</v>
      </c>
      <c r="H2089" s="1">
        <v>4</v>
      </c>
      <c r="I2089" s="1">
        <v>0</v>
      </c>
      <c r="J2089" s="39" t="s">
        <v>166</v>
      </c>
      <c r="K2089" s="1">
        <v>0</v>
      </c>
      <c r="L2089" s="1">
        <v>4</v>
      </c>
      <c r="S2089" s="1" t="s">
        <v>5963</v>
      </c>
      <c r="T2089" s="1">
        <v>1</v>
      </c>
      <c r="U2089" s="19"/>
      <c r="V2089" s="19"/>
    </row>
    <row r="2090" spans="1:22" x14ac:dyDescent="0.3">
      <c r="A2090" s="1" t="s">
        <v>5964</v>
      </c>
      <c r="B2090" s="5">
        <v>46242</v>
      </c>
      <c r="C2090" s="6">
        <v>0.375</v>
      </c>
      <c r="D2090" s="1" t="s">
        <v>30</v>
      </c>
      <c r="E2090" s="1" t="s">
        <v>35</v>
      </c>
      <c r="F2090" s="1" t="s">
        <v>5965</v>
      </c>
      <c r="G2090" s="39" t="s">
        <v>5946</v>
      </c>
      <c r="H2090" s="1">
        <v>5</v>
      </c>
      <c r="I2090" s="1">
        <v>0</v>
      </c>
      <c r="J2090" s="39" t="s">
        <v>5931</v>
      </c>
      <c r="K2090" s="1">
        <v>0</v>
      </c>
      <c r="L2090" s="1">
        <v>5</v>
      </c>
      <c r="S2090" s="1" t="s">
        <v>5966</v>
      </c>
      <c r="T2090" s="1">
        <v>1</v>
      </c>
      <c r="U2090" s="19"/>
      <c r="V2090" s="19"/>
    </row>
    <row r="2091" spans="1:22" x14ac:dyDescent="0.3">
      <c r="A2091" s="1" t="s">
        <v>5967</v>
      </c>
      <c r="B2091" s="5">
        <v>46236</v>
      </c>
      <c r="C2091" s="6">
        <v>0.45833333333333331</v>
      </c>
      <c r="D2091" s="1" t="s">
        <v>30</v>
      </c>
      <c r="E2091" s="1" t="s">
        <v>35</v>
      </c>
      <c r="F2091" s="1" t="s">
        <v>5968</v>
      </c>
      <c r="G2091" s="39" t="s">
        <v>5942</v>
      </c>
      <c r="H2091" s="1">
        <v>2</v>
      </c>
      <c r="I2091" s="1">
        <v>3</v>
      </c>
      <c r="J2091" s="39" t="s">
        <v>5946</v>
      </c>
      <c r="K2091" s="1">
        <v>3</v>
      </c>
      <c r="L2091" s="1">
        <v>2</v>
      </c>
      <c r="S2091" s="1" t="s">
        <v>5969</v>
      </c>
      <c r="T2091" s="1">
        <v>1</v>
      </c>
      <c r="U2091" s="19"/>
      <c r="V2091" s="19"/>
    </row>
    <row r="2092" spans="1:22" x14ac:dyDescent="0.3">
      <c r="A2092" s="1" t="s">
        <v>5970</v>
      </c>
      <c r="B2092" s="5">
        <v>46200</v>
      </c>
      <c r="C2092" s="6">
        <v>0.45833333333333331</v>
      </c>
      <c r="D2092" s="1" t="s">
        <v>30</v>
      </c>
      <c r="E2092" s="1" t="s">
        <v>35</v>
      </c>
      <c r="F2092" s="1" t="s">
        <v>5971</v>
      </c>
      <c r="G2092" s="39" t="s">
        <v>5958</v>
      </c>
      <c r="H2092" s="1">
        <v>1</v>
      </c>
      <c r="I2092" s="1">
        <v>0</v>
      </c>
      <c r="J2092" s="39" t="s">
        <v>5946</v>
      </c>
      <c r="K2092" s="1">
        <v>0</v>
      </c>
      <c r="L2092" s="1">
        <v>1</v>
      </c>
      <c r="S2092" s="1" t="s">
        <v>5972</v>
      </c>
      <c r="T2092" s="1">
        <v>1</v>
      </c>
      <c r="U2092" s="19"/>
      <c r="V2092" s="19"/>
    </row>
    <row r="2093" spans="1:22" x14ac:dyDescent="0.3">
      <c r="A2093" s="1" t="s">
        <v>5973</v>
      </c>
      <c r="B2093" s="5">
        <v>46190</v>
      </c>
      <c r="C2093" s="6">
        <v>0.58333333333333337</v>
      </c>
      <c r="D2093" s="1" t="s">
        <v>30</v>
      </c>
      <c r="E2093" s="1" t="s">
        <v>35</v>
      </c>
      <c r="F2093" s="1" t="s">
        <v>5974</v>
      </c>
      <c r="G2093" s="39" t="s">
        <v>5946</v>
      </c>
      <c r="H2093" s="1">
        <v>2</v>
      </c>
      <c r="I2093" s="1">
        <v>0</v>
      </c>
      <c r="J2093" s="39" t="s">
        <v>5962</v>
      </c>
      <c r="K2093" s="1">
        <v>0</v>
      </c>
      <c r="L2093" s="1">
        <v>2</v>
      </c>
      <c r="S2093" s="1" t="s">
        <v>5975</v>
      </c>
      <c r="T2093" s="1">
        <v>1</v>
      </c>
      <c r="U2093" s="19"/>
      <c r="V2093" s="19"/>
    </row>
    <row r="2094" spans="1:22" x14ac:dyDescent="0.3">
      <c r="A2094" s="1" t="s">
        <v>5976</v>
      </c>
      <c r="B2094" s="5">
        <v>46185</v>
      </c>
      <c r="C2094" s="6">
        <v>0.58333333333333337</v>
      </c>
      <c r="D2094" s="1" t="s">
        <v>30</v>
      </c>
      <c r="E2094" s="1" t="s">
        <v>35</v>
      </c>
      <c r="F2094" s="1" t="s">
        <v>5977</v>
      </c>
      <c r="G2094" s="39" t="s">
        <v>5954</v>
      </c>
      <c r="H2094" s="1">
        <v>1</v>
      </c>
      <c r="I2094" s="1">
        <v>0</v>
      </c>
      <c r="J2094" s="39" t="s">
        <v>5946</v>
      </c>
      <c r="K2094" s="1">
        <v>0</v>
      </c>
      <c r="L2094" s="1">
        <v>1</v>
      </c>
      <c r="S2094" s="1" t="s">
        <v>5978</v>
      </c>
      <c r="T2094" s="1">
        <v>1</v>
      </c>
      <c r="U2094" s="19"/>
      <c r="V2094" s="19"/>
    </row>
    <row r="2095" spans="1:22" x14ac:dyDescent="0.3">
      <c r="A2095" s="1" t="s">
        <v>5979</v>
      </c>
      <c r="B2095" s="5">
        <v>46180</v>
      </c>
      <c r="C2095" s="6">
        <v>0.375</v>
      </c>
      <c r="D2095" s="1" t="s">
        <v>30</v>
      </c>
      <c r="E2095" s="1" t="s">
        <v>35</v>
      </c>
      <c r="F2095" s="1" t="s">
        <v>5980</v>
      </c>
      <c r="G2095" s="39" t="s">
        <v>5946</v>
      </c>
      <c r="H2095" s="1">
        <v>1</v>
      </c>
      <c r="I2095" s="1">
        <v>1</v>
      </c>
      <c r="J2095" s="39" t="s">
        <v>5927</v>
      </c>
      <c r="K2095" s="1">
        <v>1</v>
      </c>
      <c r="L2095" s="1">
        <v>1</v>
      </c>
      <c r="S2095" s="1" t="s">
        <v>5981</v>
      </c>
      <c r="T2095" s="1">
        <v>1</v>
      </c>
      <c r="U2095" s="19"/>
      <c r="V2095" s="19"/>
    </row>
    <row r="2096" spans="1:22" x14ac:dyDescent="0.3">
      <c r="A2096" s="1" t="s">
        <v>5982</v>
      </c>
      <c r="B2096" s="5">
        <v>46172</v>
      </c>
      <c r="C2096" s="6">
        <v>0.45833333333333331</v>
      </c>
      <c r="D2096" s="1" t="s">
        <v>30</v>
      </c>
      <c r="E2096" s="1" t="s">
        <v>35</v>
      </c>
      <c r="F2096" s="1" t="s">
        <v>5983</v>
      </c>
      <c r="G2096" s="39" t="s">
        <v>5984</v>
      </c>
      <c r="H2096" s="1">
        <v>1</v>
      </c>
      <c r="I2096" s="1">
        <v>1</v>
      </c>
      <c r="J2096" s="39" t="s">
        <v>5946</v>
      </c>
      <c r="K2096" s="1">
        <v>1</v>
      </c>
      <c r="L2096" s="1">
        <v>1</v>
      </c>
      <c r="S2096" s="1" t="s">
        <v>5985</v>
      </c>
      <c r="T2096" s="1">
        <v>1</v>
      </c>
      <c r="U2096" s="19"/>
      <c r="V2096" s="19"/>
    </row>
    <row r="2097" spans="1:22" x14ac:dyDescent="0.3">
      <c r="A2097" s="1" t="s">
        <v>5986</v>
      </c>
      <c r="B2097" s="5">
        <v>46156</v>
      </c>
      <c r="C2097" s="6">
        <v>0.375</v>
      </c>
      <c r="D2097" s="1" t="s">
        <v>30</v>
      </c>
      <c r="E2097" s="1" t="s">
        <v>35</v>
      </c>
      <c r="F2097" s="1" t="s">
        <v>5987</v>
      </c>
      <c r="G2097" s="39" t="s">
        <v>5931</v>
      </c>
      <c r="H2097" s="1">
        <v>1</v>
      </c>
      <c r="I2097" s="1">
        <v>5</v>
      </c>
      <c r="J2097" s="39" t="s">
        <v>5946</v>
      </c>
      <c r="K2097" s="1">
        <v>5</v>
      </c>
      <c r="L2097" s="1">
        <v>1</v>
      </c>
      <c r="S2097" s="1" t="s">
        <v>5988</v>
      </c>
      <c r="T2097" s="1">
        <v>1</v>
      </c>
      <c r="U2097" s="19"/>
      <c r="V2097" s="19"/>
    </row>
    <row r="2098" spans="1:22" x14ac:dyDescent="0.3">
      <c r="A2098" s="1" t="s">
        <v>5989</v>
      </c>
      <c r="B2098" s="5">
        <v>46151</v>
      </c>
      <c r="C2098" s="6">
        <v>0.375</v>
      </c>
      <c r="D2098" s="1" t="s">
        <v>30</v>
      </c>
      <c r="E2098" s="1" t="s">
        <v>35</v>
      </c>
      <c r="F2098" s="1" t="s">
        <v>5990</v>
      </c>
      <c r="G2098" s="39" t="s">
        <v>5946</v>
      </c>
      <c r="H2098" s="1">
        <v>6</v>
      </c>
      <c r="I2098" s="1">
        <v>1</v>
      </c>
      <c r="J2098" s="39" t="s">
        <v>5923</v>
      </c>
      <c r="K2098" s="1">
        <v>1</v>
      </c>
      <c r="L2098" s="1">
        <v>6</v>
      </c>
      <c r="S2098" s="1" t="s">
        <v>5991</v>
      </c>
      <c r="T2098" s="1">
        <v>1</v>
      </c>
      <c r="U2098" s="19"/>
      <c r="V2098" s="19"/>
    </row>
    <row r="2099" spans="1:22" x14ac:dyDescent="0.3">
      <c r="A2099" s="1" t="s">
        <v>5992</v>
      </c>
      <c r="B2099" s="5">
        <v>46143</v>
      </c>
      <c r="C2099" s="6">
        <v>0.375</v>
      </c>
      <c r="D2099" s="1" t="s">
        <v>30</v>
      </c>
      <c r="E2099" s="1" t="s">
        <v>35</v>
      </c>
      <c r="F2099" s="1" t="s">
        <v>5993</v>
      </c>
      <c r="G2099" s="39" t="s">
        <v>167</v>
      </c>
      <c r="H2099" s="1">
        <v>4</v>
      </c>
      <c r="I2099" s="1">
        <v>0</v>
      </c>
      <c r="J2099" s="39" t="s">
        <v>5946</v>
      </c>
      <c r="K2099" s="1">
        <v>0</v>
      </c>
      <c r="L2099" s="1">
        <v>4</v>
      </c>
      <c r="S2099" s="1" t="s">
        <v>5994</v>
      </c>
      <c r="T2099" s="1">
        <v>1</v>
      </c>
      <c r="U2099" s="19"/>
      <c r="V2099" s="19"/>
    </row>
    <row r="2100" spans="1:22" x14ac:dyDescent="0.3">
      <c r="A2100" s="1" t="s">
        <v>5995</v>
      </c>
      <c r="B2100" s="5">
        <v>46136</v>
      </c>
      <c r="C2100" s="6">
        <v>0.58333333333333337</v>
      </c>
      <c r="D2100" s="1" t="s">
        <v>30</v>
      </c>
      <c r="E2100" s="1" t="s">
        <v>35</v>
      </c>
      <c r="F2100" s="1" t="s">
        <v>5996</v>
      </c>
      <c r="G2100" s="39" t="s">
        <v>5997</v>
      </c>
      <c r="H2100" s="1">
        <v>1</v>
      </c>
      <c r="I2100" s="1">
        <v>1</v>
      </c>
      <c r="J2100" s="39" t="s">
        <v>5946</v>
      </c>
      <c r="K2100" s="1">
        <v>1</v>
      </c>
      <c r="L2100" s="1">
        <v>1</v>
      </c>
      <c r="S2100" s="1" t="s">
        <v>5998</v>
      </c>
      <c r="T2100" s="1">
        <v>1</v>
      </c>
      <c r="U2100" s="19"/>
      <c r="V2100" s="19"/>
    </row>
    <row r="2101" spans="1:22" x14ac:dyDescent="0.3">
      <c r="A2101" s="1" t="s">
        <v>5999</v>
      </c>
      <c r="B2101" s="5">
        <v>46241</v>
      </c>
      <c r="C2101" s="6">
        <v>0.60416666666666663</v>
      </c>
      <c r="D2101" s="1" t="s">
        <v>30</v>
      </c>
      <c r="E2101" s="1" t="s">
        <v>35</v>
      </c>
      <c r="F2101" s="1" t="s">
        <v>6000</v>
      </c>
      <c r="G2101" s="39" t="s">
        <v>5954</v>
      </c>
      <c r="H2101" s="1">
        <v>0</v>
      </c>
      <c r="I2101" s="1">
        <v>3</v>
      </c>
      <c r="J2101" s="39" t="s">
        <v>5997</v>
      </c>
      <c r="K2101" s="1">
        <v>3</v>
      </c>
      <c r="L2101" s="1">
        <v>0</v>
      </c>
      <c r="S2101" s="1" t="s">
        <v>6001</v>
      </c>
      <c r="T2101" s="1">
        <v>1</v>
      </c>
      <c r="U2101" s="19"/>
      <c r="V2101" s="19"/>
    </row>
    <row r="2102" spans="1:22" x14ac:dyDescent="0.3">
      <c r="A2102" s="1" t="s">
        <v>6002</v>
      </c>
      <c r="B2102" s="5">
        <v>46236</v>
      </c>
      <c r="C2102" s="6">
        <v>0.41666666666666669</v>
      </c>
      <c r="D2102" s="1" t="s">
        <v>30</v>
      </c>
      <c r="E2102" s="1" t="s">
        <v>35</v>
      </c>
      <c r="F2102" s="1" t="s">
        <v>6003</v>
      </c>
      <c r="G2102" s="39" t="s">
        <v>5997</v>
      </c>
      <c r="H2102" s="1">
        <v>3</v>
      </c>
      <c r="I2102" s="1">
        <v>1</v>
      </c>
      <c r="J2102" s="39" t="s">
        <v>5984</v>
      </c>
      <c r="K2102" s="1">
        <v>1</v>
      </c>
      <c r="L2102" s="1">
        <v>3</v>
      </c>
      <c r="S2102" s="1" t="s">
        <v>6004</v>
      </c>
      <c r="T2102" s="1">
        <v>1</v>
      </c>
      <c r="U2102" s="19"/>
      <c r="V2102" s="19"/>
    </row>
    <row r="2103" spans="1:22" x14ac:dyDescent="0.3">
      <c r="A2103" s="1" t="s">
        <v>6005</v>
      </c>
      <c r="B2103" s="5">
        <v>46199</v>
      </c>
      <c r="C2103" s="6">
        <v>0.60416666666666663</v>
      </c>
      <c r="D2103" s="1" t="s">
        <v>30</v>
      </c>
      <c r="E2103" s="1" t="s">
        <v>35</v>
      </c>
      <c r="F2103" s="1" t="s">
        <v>6006</v>
      </c>
      <c r="G2103" s="39" t="s">
        <v>5997</v>
      </c>
      <c r="H2103" s="1">
        <v>3</v>
      </c>
      <c r="I2103" s="1">
        <v>1</v>
      </c>
      <c r="J2103" s="39" t="s">
        <v>5962</v>
      </c>
      <c r="K2103" s="1">
        <v>1</v>
      </c>
      <c r="L2103" s="1">
        <v>3</v>
      </c>
      <c r="S2103" s="1" t="s">
        <v>6007</v>
      </c>
      <c r="T2103" s="1">
        <v>1</v>
      </c>
      <c r="U2103" s="19"/>
      <c r="V2103" s="19"/>
    </row>
    <row r="2104" spans="1:22" x14ac:dyDescent="0.3">
      <c r="A2104" s="1" t="s">
        <v>6008</v>
      </c>
      <c r="B2104" s="5">
        <v>46190</v>
      </c>
      <c r="C2104" s="6">
        <v>0.58333333333333337</v>
      </c>
      <c r="D2104" s="1" t="s">
        <v>30</v>
      </c>
      <c r="E2104" s="1" t="s">
        <v>35</v>
      </c>
      <c r="F2104" s="1" t="s">
        <v>6009</v>
      </c>
      <c r="G2104" s="39" t="s">
        <v>5984</v>
      </c>
      <c r="H2104" s="1">
        <v>2</v>
      </c>
      <c r="I2104" s="1">
        <v>1</v>
      </c>
      <c r="J2104" s="39" t="s">
        <v>5997</v>
      </c>
      <c r="K2104" s="1">
        <v>1</v>
      </c>
      <c r="L2104" s="1">
        <v>2</v>
      </c>
      <c r="S2104" s="1" t="s">
        <v>6010</v>
      </c>
      <c r="T2104" s="1">
        <v>1</v>
      </c>
      <c r="U2104" s="19"/>
      <c r="V2104" s="19"/>
    </row>
    <row r="2105" spans="1:22" x14ac:dyDescent="0.3">
      <c r="A2105" s="1" t="s">
        <v>6011</v>
      </c>
      <c r="B2105" s="5">
        <v>46186</v>
      </c>
      <c r="C2105" s="6">
        <v>0.375</v>
      </c>
      <c r="D2105" s="1" t="s">
        <v>30</v>
      </c>
      <c r="E2105" s="1" t="s">
        <v>35</v>
      </c>
      <c r="F2105" s="1" t="s">
        <v>6012</v>
      </c>
      <c r="G2105" s="39" t="s">
        <v>5997</v>
      </c>
      <c r="H2105" s="1">
        <v>4</v>
      </c>
      <c r="I2105" s="1">
        <v>1</v>
      </c>
      <c r="J2105" s="39" t="s">
        <v>5923</v>
      </c>
      <c r="K2105" s="1">
        <v>1</v>
      </c>
      <c r="L2105" s="1">
        <v>4</v>
      </c>
      <c r="S2105" s="1" t="s">
        <v>6013</v>
      </c>
      <c r="T2105" s="1">
        <v>1</v>
      </c>
      <c r="U2105" s="19"/>
      <c r="V2105" s="19"/>
    </row>
    <row r="2106" spans="1:22" x14ac:dyDescent="0.3">
      <c r="A2106" s="1" t="s">
        <v>6014</v>
      </c>
      <c r="B2106" s="5">
        <v>46179</v>
      </c>
      <c r="C2106" s="6">
        <v>0.29166666666666669</v>
      </c>
      <c r="D2106" s="1" t="s">
        <v>30</v>
      </c>
      <c r="E2106" s="1" t="s">
        <v>35</v>
      </c>
      <c r="F2106" s="1" t="s">
        <v>6015</v>
      </c>
      <c r="G2106" s="39" t="s">
        <v>5935</v>
      </c>
      <c r="H2106" s="1">
        <v>1</v>
      </c>
      <c r="I2106" s="1">
        <v>0</v>
      </c>
      <c r="J2106" s="39" t="s">
        <v>5997</v>
      </c>
      <c r="K2106" s="1">
        <v>0</v>
      </c>
      <c r="L2106" s="1">
        <v>1</v>
      </c>
      <c r="S2106" s="1" t="s">
        <v>6016</v>
      </c>
      <c r="T2106" s="1">
        <v>1</v>
      </c>
      <c r="U2106" s="19"/>
      <c r="V2106" s="19"/>
    </row>
    <row r="2107" spans="1:22" x14ac:dyDescent="0.3">
      <c r="A2107" s="1" t="s">
        <v>6017</v>
      </c>
      <c r="B2107" s="5">
        <v>46171</v>
      </c>
      <c r="C2107" s="6">
        <v>0.60416666666666663</v>
      </c>
      <c r="D2107" s="1" t="s">
        <v>30</v>
      </c>
      <c r="E2107" s="1" t="s">
        <v>35</v>
      </c>
      <c r="F2107" s="1" t="s">
        <v>6018</v>
      </c>
      <c r="G2107" s="39" t="s">
        <v>5997</v>
      </c>
      <c r="H2107" s="1">
        <v>3</v>
      </c>
      <c r="I2107" s="1">
        <v>2</v>
      </c>
      <c r="J2107" s="39" t="s">
        <v>5958</v>
      </c>
      <c r="K2107" s="1">
        <v>2</v>
      </c>
      <c r="L2107" s="1">
        <v>3</v>
      </c>
      <c r="S2107" s="1" t="s">
        <v>6019</v>
      </c>
      <c r="T2107" s="1">
        <v>1</v>
      </c>
      <c r="U2107" s="19"/>
      <c r="V2107" s="19"/>
    </row>
    <row r="2108" spans="1:22" x14ac:dyDescent="0.3">
      <c r="A2108" s="1" t="s">
        <v>6020</v>
      </c>
      <c r="B2108" s="5">
        <v>46166</v>
      </c>
      <c r="C2108" s="6">
        <v>0.375</v>
      </c>
      <c r="D2108" s="1" t="s">
        <v>30</v>
      </c>
      <c r="E2108" s="1" t="s">
        <v>35</v>
      </c>
      <c r="F2108" s="1" t="s">
        <v>6021</v>
      </c>
      <c r="G2108" s="39" t="s">
        <v>5942</v>
      </c>
      <c r="H2108" s="1">
        <v>2</v>
      </c>
      <c r="I2108" s="1">
        <v>1</v>
      </c>
      <c r="J2108" s="39" t="s">
        <v>5997</v>
      </c>
      <c r="K2108" s="1">
        <v>1</v>
      </c>
      <c r="L2108" s="1">
        <v>2</v>
      </c>
      <c r="S2108" s="1" t="s">
        <v>6022</v>
      </c>
      <c r="T2108" s="1">
        <v>1</v>
      </c>
      <c r="U2108" s="19"/>
      <c r="V2108" s="19"/>
    </row>
    <row r="2109" spans="1:22" x14ac:dyDescent="0.3">
      <c r="A2109" s="1" t="s">
        <v>6023</v>
      </c>
      <c r="B2109" s="5">
        <v>46156</v>
      </c>
      <c r="C2109" s="6">
        <v>0.33333333333333331</v>
      </c>
      <c r="D2109" s="1" t="s">
        <v>30</v>
      </c>
      <c r="E2109" s="1" t="s">
        <v>35</v>
      </c>
      <c r="F2109" s="1" t="s">
        <v>6024</v>
      </c>
      <c r="G2109" s="39" t="s">
        <v>5997</v>
      </c>
      <c r="H2109" s="1">
        <v>6</v>
      </c>
      <c r="I2109" s="1">
        <v>0</v>
      </c>
      <c r="J2109" s="39" t="s">
        <v>5954</v>
      </c>
      <c r="K2109" s="1">
        <v>0</v>
      </c>
      <c r="L2109" s="1">
        <v>6</v>
      </c>
      <c r="S2109" s="1" t="s">
        <v>6025</v>
      </c>
      <c r="T2109" s="1">
        <v>1</v>
      </c>
      <c r="U2109" s="19"/>
      <c r="V2109" s="19"/>
    </row>
    <row r="2110" spans="1:22" x14ac:dyDescent="0.3">
      <c r="A2110" s="1" t="s">
        <v>6026</v>
      </c>
      <c r="B2110" s="5">
        <v>46151</v>
      </c>
      <c r="C2110" s="6">
        <v>0.45833333333333331</v>
      </c>
      <c r="D2110" s="1" t="s">
        <v>30</v>
      </c>
      <c r="E2110" s="1" t="s">
        <v>35</v>
      </c>
      <c r="F2110" s="1" t="s">
        <v>6027</v>
      </c>
      <c r="G2110" s="39" t="s">
        <v>5927</v>
      </c>
      <c r="H2110" s="1">
        <v>1</v>
      </c>
      <c r="I2110" s="1">
        <v>2</v>
      </c>
      <c r="J2110" s="39" t="s">
        <v>5997</v>
      </c>
      <c r="K2110" s="1">
        <v>2</v>
      </c>
      <c r="L2110" s="1">
        <v>1</v>
      </c>
      <c r="S2110" s="1" t="s">
        <v>6028</v>
      </c>
      <c r="T2110" s="1">
        <v>1</v>
      </c>
      <c r="U2110" s="19"/>
      <c r="V2110" s="19"/>
    </row>
    <row r="2111" spans="1:22" x14ac:dyDescent="0.3">
      <c r="A2111" s="1" t="s">
        <v>6029</v>
      </c>
      <c r="B2111" s="5">
        <v>46143</v>
      </c>
      <c r="C2111" s="6">
        <v>0.33333333333333331</v>
      </c>
      <c r="D2111" s="1" t="s">
        <v>30</v>
      </c>
      <c r="E2111" s="1" t="s">
        <v>35</v>
      </c>
      <c r="F2111" s="1" t="s">
        <v>6030</v>
      </c>
      <c r="G2111" s="39" t="s">
        <v>5962</v>
      </c>
      <c r="H2111" s="1">
        <v>1</v>
      </c>
      <c r="I2111" s="1">
        <v>1</v>
      </c>
      <c r="J2111" s="39" t="s">
        <v>5997</v>
      </c>
      <c r="K2111" s="1">
        <v>1</v>
      </c>
      <c r="L2111" s="1">
        <v>1</v>
      </c>
      <c r="S2111" s="1" t="s">
        <v>6031</v>
      </c>
      <c r="T2111" s="1">
        <v>1</v>
      </c>
      <c r="U2111" s="19"/>
      <c r="V2111" s="19"/>
    </row>
    <row r="2112" spans="1:22" x14ac:dyDescent="0.3">
      <c r="A2112" s="1" t="s">
        <v>6032</v>
      </c>
      <c r="B2112" s="5">
        <v>46243</v>
      </c>
      <c r="C2112" s="6">
        <v>0.41666666666666669</v>
      </c>
      <c r="D2112" s="1" t="s">
        <v>30</v>
      </c>
      <c r="E2112" s="1" t="s">
        <v>35</v>
      </c>
      <c r="F2112" s="1" t="s">
        <v>6033</v>
      </c>
      <c r="G2112" s="39" t="s">
        <v>5984</v>
      </c>
      <c r="H2112" s="1">
        <v>4</v>
      </c>
      <c r="I2112" s="1">
        <v>0</v>
      </c>
      <c r="J2112" s="39" t="s">
        <v>5962</v>
      </c>
      <c r="K2112" s="1">
        <v>0</v>
      </c>
      <c r="L2112" s="1">
        <v>4</v>
      </c>
      <c r="S2112" s="1" t="s">
        <v>6034</v>
      </c>
      <c r="T2112" s="1">
        <v>1</v>
      </c>
      <c r="U2112" s="19"/>
      <c r="V2112" s="19"/>
    </row>
    <row r="2113" spans="1:22" x14ac:dyDescent="0.3">
      <c r="A2113" s="1" t="s">
        <v>6035</v>
      </c>
      <c r="B2113" s="5">
        <v>46186</v>
      </c>
      <c r="C2113" s="6">
        <v>0.375</v>
      </c>
      <c r="D2113" s="1" t="s">
        <v>30</v>
      </c>
      <c r="E2113" s="1" t="s">
        <v>35</v>
      </c>
      <c r="F2113" s="1" t="s">
        <v>6036</v>
      </c>
      <c r="G2113" s="39" t="s">
        <v>5962</v>
      </c>
      <c r="H2113" s="1">
        <v>1</v>
      </c>
      <c r="I2113" s="1">
        <v>1</v>
      </c>
      <c r="J2113" s="39" t="s">
        <v>5984</v>
      </c>
      <c r="K2113" s="1">
        <v>1</v>
      </c>
      <c r="L2113" s="1">
        <v>1</v>
      </c>
      <c r="S2113" s="1" t="s">
        <v>6037</v>
      </c>
      <c r="T2113" s="1">
        <v>1</v>
      </c>
      <c r="U2113" s="19"/>
      <c r="V2113" s="19"/>
    </row>
    <row r="2114" spans="1:22" x14ac:dyDescent="0.3">
      <c r="A2114" s="1" t="s">
        <v>6038</v>
      </c>
      <c r="B2114" s="5">
        <v>46179</v>
      </c>
      <c r="C2114" s="6">
        <v>0.375</v>
      </c>
      <c r="D2114" s="1" t="s">
        <v>30</v>
      </c>
      <c r="E2114" s="1" t="s">
        <v>35</v>
      </c>
      <c r="F2114" s="1" t="s">
        <v>6039</v>
      </c>
      <c r="G2114" s="39" t="s">
        <v>5954</v>
      </c>
      <c r="H2114" s="1">
        <v>0</v>
      </c>
      <c r="I2114" s="1">
        <v>1</v>
      </c>
      <c r="J2114" s="39" t="s">
        <v>5984</v>
      </c>
      <c r="K2114" s="1">
        <v>1</v>
      </c>
      <c r="L2114" s="1">
        <v>0</v>
      </c>
      <c r="S2114" s="1" t="s">
        <v>6040</v>
      </c>
      <c r="T2114" s="1">
        <v>1</v>
      </c>
      <c r="U2114" s="19"/>
      <c r="V2114" s="19"/>
    </row>
    <row r="2115" spans="1:22" x14ac:dyDescent="0.3">
      <c r="A2115" s="1" t="s">
        <v>6041</v>
      </c>
      <c r="B2115" s="5">
        <v>46164</v>
      </c>
      <c r="C2115" s="6">
        <v>0.58333333333333337</v>
      </c>
      <c r="D2115" s="1" t="s">
        <v>30</v>
      </c>
      <c r="E2115" s="1" t="s">
        <v>35</v>
      </c>
      <c r="F2115" s="1" t="s">
        <v>6042</v>
      </c>
      <c r="G2115" s="39" t="s">
        <v>5935</v>
      </c>
      <c r="H2115" s="1">
        <v>2</v>
      </c>
      <c r="I2115" s="1">
        <v>1</v>
      </c>
      <c r="J2115" s="39" t="s">
        <v>5984</v>
      </c>
      <c r="K2115" s="1">
        <v>1</v>
      </c>
      <c r="L2115" s="1">
        <v>2</v>
      </c>
      <c r="S2115" s="1" t="s">
        <v>6043</v>
      </c>
      <c r="T2115" s="1">
        <v>1</v>
      </c>
      <c r="U2115" s="19"/>
      <c r="V2115" s="19"/>
    </row>
    <row r="2116" spans="1:22" x14ac:dyDescent="0.3">
      <c r="A2116" s="1" t="s">
        <v>6044</v>
      </c>
      <c r="B2116" s="5">
        <v>46158</v>
      </c>
      <c r="C2116" s="6">
        <v>0.41666666666666669</v>
      </c>
      <c r="D2116" s="1" t="s">
        <v>30</v>
      </c>
      <c r="E2116" s="1" t="s">
        <v>35</v>
      </c>
      <c r="F2116" s="1" t="s">
        <v>6045</v>
      </c>
      <c r="G2116" s="39" t="s">
        <v>5984</v>
      </c>
      <c r="H2116" s="1">
        <v>1</v>
      </c>
      <c r="I2116" s="1">
        <v>1</v>
      </c>
      <c r="J2116" s="39" t="s">
        <v>5927</v>
      </c>
      <c r="K2116" s="1">
        <v>1</v>
      </c>
      <c r="L2116" s="1">
        <v>1</v>
      </c>
      <c r="S2116" s="1" t="s">
        <v>6046</v>
      </c>
      <c r="T2116" s="1">
        <v>1</v>
      </c>
      <c r="U2116" s="19"/>
      <c r="V2116" s="19"/>
    </row>
    <row r="2117" spans="1:22" x14ac:dyDescent="0.3">
      <c r="A2117" s="1" t="s">
        <v>6047</v>
      </c>
      <c r="B2117" s="5">
        <v>46152</v>
      </c>
      <c r="C2117" s="6">
        <v>0.33333333333333331</v>
      </c>
      <c r="D2117" s="1" t="s">
        <v>30</v>
      </c>
      <c r="E2117" s="1" t="s">
        <v>35</v>
      </c>
      <c r="F2117" s="1" t="s">
        <v>6048</v>
      </c>
      <c r="G2117" s="39" t="s">
        <v>5958</v>
      </c>
      <c r="H2117" s="1">
        <v>0</v>
      </c>
      <c r="I2117" s="1">
        <v>1</v>
      </c>
      <c r="J2117" s="39" t="s">
        <v>5984</v>
      </c>
      <c r="K2117" s="1">
        <v>1</v>
      </c>
      <c r="L2117" s="1">
        <v>0</v>
      </c>
      <c r="S2117" s="1" t="s">
        <v>6049</v>
      </c>
      <c r="T2117" s="1">
        <v>1</v>
      </c>
      <c r="U2117" s="19"/>
      <c r="V2117" s="19"/>
    </row>
    <row r="2118" spans="1:22" x14ac:dyDescent="0.3">
      <c r="A2118" s="1" t="s">
        <v>6050</v>
      </c>
      <c r="B2118" s="5">
        <v>46146</v>
      </c>
      <c r="C2118" s="6">
        <v>0.5625</v>
      </c>
      <c r="D2118" s="1" t="s">
        <v>30</v>
      </c>
      <c r="E2118" s="1" t="s">
        <v>35</v>
      </c>
      <c r="F2118" s="1" t="s">
        <v>6051</v>
      </c>
      <c r="G2118" s="39" t="s">
        <v>5984</v>
      </c>
      <c r="H2118" s="1">
        <v>5</v>
      </c>
      <c r="I2118" s="1">
        <v>1</v>
      </c>
      <c r="J2118" s="39" t="s">
        <v>5923</v>
      </c>
      <c r="K2118" s="1">
        <v>1</v>
      </c>
      <c r="L2118" s="1">
        <v>5</v>
      </c>
      <c r="S2118" s="1" t="s">
        <v>6052</v>
      </c>
      <c r="T2118" s="1">
        <v>1</v>
      </c>
      <c r="U2118" s="19"/>
      <c r="V2118" s="19"/>
    </row>
    <row r="2119" spans="1:22" x14ac:dyDescent="0.3">
      <c r="A2119" s="1" t="s">
        <v>6053</v>
      </c>
      <c r="B2119" s="5">
        <v>46137</v>
      </c>
      <c r="C2119" s="6">
        <v>0.375</v>
      </c>
      <c r="D2119" s="1" t="s">
        <v>30</v>
      </c>
      <c r="E2119" s="1" t="s">
        <v>35</v>
      </c>
      <c r="F2119" s="1" t="s">
        <v>6054</v>
      </c>
      <c r="G2119" s="39" t="s">
        <v>5984</v>
      </c>
      <c r="H2119" s="1">
        <v>2</v>
      </c>
      <c r="I2119" s="1">
        <v>1</v>
      </c>
      <c r="J2119" s="39" t="s">
        <v>5931</v>
      </c>
      <c r="K2119" s="1">
        <v>1</v>
      </c>
      <c r="L2119" s="1">
        <v>2</v>
      </c>
      <c r="S2119" s="1" t="s">
        <v>6055</v>
      </c>
      <c r="T2119" s="1">
        <v>1</v>
      </c>
      <c r="U2119" s="19"/>
      <c r="V2119" s="19"/>
    </row>
    <row r="2120" spans="1:22" x14ac:dyDescent="0.3">
      <c r="A2120" s="1" t="s">
        <v>6056</v>
      </c>
      <c r="B2120" s="5">
        <v>46129</v>
      </c>
      <c r="C2120" s="6">
        <v>0.58333333333333337</v>
      </c>
      <c r="D2120" s="1" t="s">
        <v>30</v>
      </c>
      <c r="E2120" s="1" t="s">
        <v>35</v>
      </c>
      <c r="F2120" s="1" t="s">
        <v>6057</v>
      </c>
      <c r="G2120" s="39" t="s">
        <v>5942</v>
      </c>
      <c r="H2120" s="1">
        <v>1</v>
      </c>
      <c r="I2120" s="1">
        <v>0</v>
      </c>
      <c r="J2120" s="39" t="s">
        <v>5984</v>
      </c>
      <c r="K2120" s="1">
        <v>0</v>
      </c>
      <c r="L2120" s="1">
        <v>1</v>
      </c>
      <c r="S2120" s="1" t="s">
        <v>6058</v>
      </c>
      <c r="T2120" s="1">
        <v>1</v>
      </c>
      <c r="U2120" s="19"/>
      <c r="V2120" s="19"/>
    </row>
    <row r="2121" spans="1:22" x14ac:dyDescent="0.3">
      <c r="A2121" s="1" t="s">
        <v>6059</v>
      </c>
      <c r="B2121" s="5">
        <v>46242</v>
      </c>
      <c r="C2121" s="6">
        <v>0.45833333333333331</v>
      </c>
      <c r="D2121" s="1" t="s">
        <v>30</v>
      </c>
      <c r="E2121" s="1" t="s">
        <v>35</v>
      </c>
      <c r="F2121" s="1" t="s">
        <v>6060</v>
      </c>
      <c r="G2121" s="39" t="s">
        <v>167</v>
      </c>
      <c r="H2121" s="1">
        <v>4</v>
      </c>
      <c r="I2121" s="1">
        <v>0</v>
      </c>
      <c r="J2121" s="39" t="s">
        <v>5935</v>
      </c>
      <c r="K2121" s="1">
        <v>0</v>
      </c>
      <c r="L2121" s="1">
        <v>4</v>
      </c>
      <c r="S2121" s="1" t="s">
        <v>6061</v>
      </c>
      <c r="T2121" s="1">
        <v>1</v>
      </c>
      <c r="U2121" s="19"/>
      <c r="V2121" s="19"/>
    </row>
    <row r="2122" spans="1:22" x14ac:dyDescent="0.3">
      <c r="A2122" s="1" t="s">
        <v>6062</v>
      </c>
      <c r="B2122" s="5">
        <v>46235</v>
      </c>
      <c r="C2122" s="6">
        <v>0.33333333333333331</v>
      </c>
      <c r="D2122" s="1" t="s">
        <v>30</v>
      </c>
      <c r="E2122" s="1" t="s">
        <v>35</v>
      </c>
      <c r="F2122" s="1" t="s">
        <v>6063</v>
      </c>
      <c r="G2122" s="39" t="s">
        <v>5935</v>
      </c>
      <c r="H2122" s="1">
        <v>0</v>
      </c>
      <c r="I2122" s="1">
        <v>2</v>
      </c>
      <c r="J2122" s="39" t="s">
        <v>5927</v>
      </c>
      <c r="K2122" s="1">
        <v>2</v>
      </c>
      <c r="L2122" s="1">
        <v>0</v>
      </c>
      <c r="S2122" s="1" t="s">
        <v>6064</v>
      </c>
      <c r="T2122" s="1">
        <v>1</v>
      </c>
      <c r="U2122" s="19"/>
      <c r="V2122" s="19"/>
    </row>
    <row r="2123" spans="1:22" x14ac:dyDescent="0.3">
      <c r="A2123" s="1" t="s">
        <v>6065</v>
      </c>
      <c r="B2123" s="5">
        <v>46201</v>
      </c>
      <c r="C2123" s="6">
        <v>0.375</v>
      </c>
      <c r="D2123" s="1" t="s">
        <v>30</v>
      </c>
      <c r="E2123" s="1" t="s">
        <v>35</v>
      </c>
      <c r="F2123" s="1" t="s">
        <v>6066</v>
      </c>
      <c r="G2123" s="39" t="s">
        <v>5935</v>
      </c>
      <c r="H2123" s="1">
        <v>3</v>
      </c>
      <c r="I2123" s="1">
        <v>1</v>
      </c>
      <c r="J2123" s="39" t="s">
        <v>5931</v>
      </c>
      <c r="K2123" s="1">
        <v>1</v>
      </c>
      <c r="L2123" s="1">
        <v>3</v>
      </c>
      <c r="S2123" s="1" t="s">
        <v>6067</v>
      </c>
      <c r="T2123" s="1">
        <v>1</v>
      </c>
      <c r="U2123" s="19"/>
      <c r="V2123" s="19"/>
    </row>
    <row r="2124" spans="1:22" x14ac:dyDescent="0.3">
      <c r="A2124" s="1" t="s">
        <v>6068</v>
      </c>
      <c r="B2124" s="5">
        <v>46191</v>
      </c>
      <c r="C2124" s="6">
        <v>0.58333333333333337</v>
      </c>
      <c r="D2124" s="1" t="s">
        <v>30</v>
      </c>
      <c r="E2124" s="1" t="s">
        <v>35</v>
      </c>
      <c r="F2124" s="1" t="s">
        <v>6069</v>
      </c>
      <c r="G2124" s="39" t="s">
        <v>5950</v>
      </c>
      <c r="H2124" s="1">
        <v>3</v>
      </c>
      <c r="I2124" s="1">
        <v>3</v>
      </c>
      <c r="J2124" s="39" t="s">
        <v>5935</v>
      </c>
      <c r="K2124" s="1">
        <v>3</v>
      </c>
      <c r="L2124" s="1">
        <v>3</v>
      </c>
      <c r="S2124" s="1" t="s">
        <v>6070</v>
      </c>
      <c r="T2124" s="1">
        <v>1</v>
      </c>
      <c r="U2124" s="19"/>
      <c r="V2124" s="19"/>
    </row>
    <row r="2125" spans="1:22" x14ac:dyDescent="0.3">
      <c r="A2125" s="1" t="s">
        <v>6071</v>
      </c>
      <c r="B2125" s="5">
        <v>46171</v>
      </c>
      <c r="C2125" s="6">
        <v>0.58333333333333337</v>
      </c>
      <c r="D2125" s="1" t="s">
        <v>30</v>
      </c>
      <c r="E2125" s="1" t="s">
        <v>35</v>
      </c>
      <c r="F2125" s="1" t="s">
        <v>6072</v>
      </c>
      <c r="G2125" s="39" t="s">
        <v>5923</v>
      </c>
      <c r="H2125" s="1">
        <v>2</v>
      </c>
      <c r="I2125" s="1">
        <v>1</v>
      </c>
      <c r="J2125" s="39" t="s">
        <v>5935</v>
      </c>
      <c r="K2125" s="1">
        <v>1</v>
      </c>
      <c r="L2125" s="1">
        <v>2</v>
      </c>
      <c r="S2125" s="1" t="s">
        <v>6073</v>
      </c>
      <c r="T2125" s="1">
        <v>1</v>
      </c>
      <c r="U2125" s="19"/>
      <c r="V2125" s="19"/>
    </row>
    <row r="2126" spans="1:22" x14ac:dyDescent="0.3">
      <c r="A2126" s="1" t="s">
        <v>6074</v>
      </c>
      <c r="B2126" s="5">
        <v>46156</v>
      </c>
      <c r="C2126" s="6">
        <v>0.375</v>
      </c>
      <c r="D2126" s="1" t="s">
        <v>30</v>
      </c>
      <c r="E2126" s="1" t="s">
        <v>35</v>
      </c>
      <c r="F2126" s="1" t="s">
        <v>6075</v>
      </c>
      <c r="G2126" s="39" t="s">
        <v>5962</v>
      </c>
      <c r="H2126" s="1">
        <v>2</v>
      </c>
      <c r="I2126" s="1">
        <v>1</v>
      </c>
      <c r="J2126" s="39" t="s">
        <v>5935</v>
      </c>
      <c r="K2126" s="1">
        <v>1</v>
      </c>
      <c r="L2126" s="1">
        <v>2</v>
      </c>
      <c r="S2126" s="1" t="s">
        <v>6076</v>
      </c>
      <c r="T2126" s="1">
        <v>1</v>
      </c>
      <c r="U2126" s="19"/>
      <c r="V2126" s="19"/>
    </row>
    <row r="2127" spans="1:22" x14ac:dyDescent="0.3">
      <c r="A2127" s="1" t="s">
        <v>6077</v>
      </c>
      <c r="B2127" s="5">
        <v>46152</v>
      </c>
      <c r="C2127" s="6">
        <v>0.33333333333333331</v>
      </c>
      <c r="D2127" s="1" t="s">
        <v>30</v>
      </c>
      <c r="E2127" s="1" t="s">
        <v>35</v>
      </c>
      <c r="F2127" s="1" t="s">
        <v>6078</v>
      </c>
      <c r="G2127" s="39" t="s">
        <v>5935</v>
      </c>
      <c r="H2127" s="1">
        <v>3</v>
      </c>
      <c r="I2127" s="1">
        <v>0</v>
      </c>
      <c r="J2127" s="39" t="s">
        <v>167</v>
      </c>
      <c r="K2127" s="1">
        <v>0</v>
      </c>
      <c r="L2127" s="1">
        <v>3</v>
      </c>
      <c r="S2127" s="1" t="s">
        <v>6079</v>
      </c>
      <c r="T2127" s="1">
        <v>1</v>
      </c>
      <c r="U2127" s="19"/>
      <c r="V2127" s="19"/>
    </row>
    <row r="2128" spans="1:22" x14ac:dyDescent="0.3">
      <c r="A2128" s="1" t="s">
        <v>6080</v>
      </c>
      <c r="B2128" s="5">
        <v>46144</v>
      </c>
      <c r="C2128" s="6">
        <v>0.375</v>
      </c>
      <c r="D2128" s="1" t="s">
        <v>30</v>
      </c>
      <c r="E2128" s="1" t="s">
        <v>35</v>
      </c>
      <c r="F2128" s="1" t="s">
        <v>6081</v>
      </c>
      <c r="G2128" s="39" t="s">
        <v>5931</v>
      </c>
      <c r="H2128" s="1">
        <v>1</v>
      </c>
      <c r="I2128" s="1">
        <v>2</v>
      </c>
      <c r="J2128" s="39" t="s">
        <v>5935</v>
      </c>
      <c r="K2128" s="1">
        <v>2</v>
      </c>
      <c r="L2128" s="1">
        <v>1</v>
      </c>
      <c r="S2128" s="1" t="s">
        <v>6082</v>
      </c>
      <c r="T2128" s="1">
        <v>1</v>
      </c>
      <c r="U2128" s="19"/>
      <c r="V2128" s="19"/>
    </row>
    <row r="2129" spans="1:22" x14ac:dyDescent="0.3">
      <c r="A2129" s="1" t="s">
        <v>6083</v>
      </c>
      <c r="B2129" s="5">
        <v>46137</v>
      </c>
      <c r="C2129" s="6">
        <v>0.33333333333333331</v>
      </c>
      <c r="D2129" s="1" t="s">
        <v>30</v>
      </c>
      <c r="E2129" s="1" t="s">
        <v>35</v>
      </c>
      <c r="F2129" s="1" t="s">
        <v>6084</v>
      </c>
      <c r="G2129" s="39" t="s">
        <v>5935</v>
      </c>
      <c r="H2129" s="1">
        <v>4</v>
      </c>
      <c r="I2129" s="1">
        <v>0</v>
      </c>
      <c r="J2129" s="39" t="s">
        <v>5942</v>
      </c>
      <c r="K2129" s="1">
        <v>0</v>
      </c>
      <c r="L2129" s="1">
        <v>4</v>
      </c>
      <c r="S2129" s="1" t="s">
        <v>6085</v>
      </c>
      <c r="T2129" s="1">
        <v>1</v>
      </c>
      <c r="U2129" s="19"/>
      <c r="V2129" s="19"/>
    </row>
    <row r="2130" spans="1:22" x14ac:dyDescent="0.3">
      <c r="A2130" s="1" t="s">
        <v>6086</v>
      </c>
      <c r="B2130" s="5">
        <v>46241</v>
      </c>
      <c r="C2130" s="6">
        <v>0.5625</v>
      </c>
      <c r="D2130" s="1" t="s">
        <v>30</v>
      </c>
      <c r="E2130" s="1" t="s">
        <v>35</v>
      </c>
      <c r="F2130" s="1" t="s">
        <v>6087</v>
      </c>
      <c r="G2130" s="39" t="s">
        <v>5927</v>
      </c>
      <c r="H2130" s="1">
        <v>4</v>
      </c>
      <c r="I2130" s="1">
        <v>1</v>
      </c>
      <c r="J2130" s="39" t="s">
        <v>5958</v>
      </c>
      <c r="K2130" s="1">
        <v>1</v>
      </c>
      <c r="L2130" s="1">
        <v>4</v>
      </c>
      <c r="S2130" s="1" t="s">
        <v>6088</v>
      </c>
      <c r="T2130" s="1">
        <v>1</v>
      </c>
      <c r="U2130" s="19"/>
      <c r="V2130" s="19"/>
    </row>
    <row r="2131" spans="1:22" x14ac:dyDescent="0.3">
      <c r="A2131" s="1" t="s">
        <v>6089</v>
      </c>
      <c r="B2131" s="5">
        <v>46190</v>
      </c>
      <c r="C2131" s="6">
        <v>0.58333333333333337</v>
      </c>
      <c r="D2131" s="1" t="s">
        <v>30</v>
      </c>
      <c r="E2131" s="1" t="s">
        <v>35</v>
      </c>
      <c r="F2131" s="1" t="s">
        <v>6090</v>
      </c>
      <c r="G2131" s="39" t="s">
        <v>5923</v>
      </c>
      <c r="H2131" s="1">
        <v>2</v>
      </c>
      <c r="I2131" s="1">
        <v>3</v>
      </c>
      <c r="J2131" s="39" t="s">
        <v>5927</v>
      </c>
      <c r="K2131" s="1">
        <v>3</v>
      </c>
      <c r="L2131" s="1">
        <v>2</v>
      </c>
      <c r="S2131" s="1" t="s">
        <v>6091</v>
      </c>
      <c r="T2131" s="1">
        <v>1</v>
      </c>
      <c r="U2131" s="19"/>
      <c r="V2131" s="19"/>
    </row>
    <row r="2132" spans="1:22" x14ac:dyDescent="0.3">
      <c r="A2132" s="1" t="s">
        <v>6092</v>
      </c>
      <c r="B2132" s="5">
        <v>46185</v>
      </c>
      <c r="C2132" s="6">
        <v>0.58333333333333337</v>
      </c>
      <c r="D2132" s="1" t="s">
        <v>30</v>
      </c>
      <c r="E2132" s="1" t="s">
        <v>35</v>
      </c>
      <c r="F2132" s="1" t="s">
        <v>6093</v>
      </c>
      <c r="G2132" s="39" t="s">
        <v>5927</v>
      </c>
      <c r="H2132" s="1">
        <v>2</v>
      </c>
      <c r="I2132" s="1">
        <v>1</v>
      </c>
      <c r="J2132" s="39" t="s">
        <v>167</v>
      </c>
      <c r="K2132" s="1">
        <v>1</v>
      </c>
      <c r="L2132" s="1">
        <v>2</v>
      </c>
      <c r="S2132" s="1" t="s">
        <v>6094</v>
      </c>
      <c r="T2132" s="1">
        <v>1</v>
      </c>
      <c r="U2132" s="19"/>
      <c r="V2132" s="19"/>
    </row>
    <row r="2133" spans="1:22" x14ac:dyDescent="0.3">
      <c r="A2133" s="1" t="s">
        <v>6095</v>
      </c>
      <c r="B2133" s="5">
        <v>46172</v>
      </c>
      <c r="C2133" s="6">
        <v>0.33333333333333331</v>
      </c>
      <c r="D2133" s="1" t="s">
        <v>30</v>
      </c>
      <c r="E2133" s="1" t="s">
        <v>35</v>
      </c>
      <c r="F2133" s="1" t="s">
        <v>6096</v>
      </c>
      <c r="G2133" s="39" t="s">
        <v>5927</v>
      </c>
      <c r="H2133" s="1">
        <v>3</v>
      </c>
      <c r="I2133" s="1">
        <v>1</v>
      </c>
      <c r="J2133" s="39" t="s">
        <v>5950</v>
      </c>
      <c r="K2133" s="1">
        <v>1</v>
      </c>
      <c r="L2133" s="1">
        <v>3</v>
      </c>
      <c r="S2133" s="1" t="s">
        <v>6097</v>
      </c>
      <c r="T2133" s="1">
        <v>1</v>
      </c>
      <c r="U2133" s="19"/>
      <c r="V2133" s="19"/>
    </row>
    <row r="2134" spans="1:22" x14ac:dyDescent="0.3">
      <c r="A2134" s="1" t="s">
        <v>6098</v>
      </c>
      <c r="B2134" s="5">
        <v>46164</v>
      </c>
      <c r="C2134" s="6">
        <v>0.58333333333333337</v>
      </c>
      <c r="D2134" s="1" t="s">
        <v>30</v>
      </c>
      <c r="E2134" s="1" t="s">
        <v>35</v>
      </c>
      <c r="F2134" s="1" t="s">
        <v>6099</v>
      </c>
      <c r="G2134" s="39" t="s">
        <v>5958</v>
      </c>
      <c r="H2134" s="1">
        <v>2</v>
      </c>
      <c r="I2134" s="1">
        <v>1</v>
      </c>
      <c r="J2134" s="39" t="s">
        <v>5927</v>
      </c>
      <c r="K2134" s="1">
        <v>1</v>
      </c>
      <c r="L2134" s="1">
        <v>2</v>
      </c>
      <c r="S2134" s="1" t="s">
        <v>6100</v>
      </c>
      <c r="T2134" s="1">
        <v>1</v>
      </c>
      <c r="U2134" s="19"/>
      <c r="V2134" s="19"/>
    </row>
    <row r="2135" spans="1:22" x14ac:dyDescent="0.3">
      <c r="A2135" s="1" t="s">
        <v>6101</v>
      </c>
      <c r="B2135" s="5">
        <v>46142</v>
      </c>
      <c r="C2135" s="6">
        <v>0.58333333333333337</v>
      </c>
      <c r="D2135" s="1" t="s">
        <v>30</v>
      </c>
      <c r="E2135" s="1" t="s">
        <v>35</v>
      </c>
      <c r="F2135" s="1" t="s">
        <v>6102</v>
      </c>
      <c r="G2135" s="39" t="s">
        <v>5942</v>
      </c>
      <c r="H2135" s="1">
        <v>0</v>
      </c>
      <c r="I2135" s="1">
        <v>0</v>
      </c>
      <c r="J2135" s="39" t="s">
        <v>5927</v>
      </c>
      <c r="K2135" s="1">
        <v>0</v>
      </c>
      <c r="L2135" s="1">
        <v>0</v>
      </c>
      <c r="S2135" s="1" t="s">
        <v>6103</v>
      </c>
      <c r="T2135" s="1">
        <v>1</v>
      </c>
      <c r="U2135" s="19"/>
      <c r="V2135" s="19"/>
    </row>
    <row r="2136" spans="1:22" x14ac:dyDescent="0.3">
      <c r="A2136" s="1" t="s">
        <v>6104</v>
      </c>
      <c r="B2136" s="5">
        <v>46138</v>
      </c>
      <c r="C2136" s="6">
        <v>0.45833333333333331</v>
      </c>
      <c r="D2136" s="1" t="s">
        <v>30</v>
      </c>
      <c r="E2136" s="1" t="s">
        <v>35</v>
      </c>
      <c r="F2136" s="1" t="s">
        <v>6105</v>
      </c>
      <c r="G2136" s="39" t="s">
        <v>5927</v>
      </c>
      <c r="H2136" s="1">
        <v>2</v>
      </c>
      <c r="I2136" s="1">
        <v>1</v>
      </c>
      <c r="J2136" s="39" t="s">
        <v>5954</v>
      </c>
      <c r="K2136" s="1">
        <v>1</v>
      </c>
      <c r="L2136" s="1">
        <v>2</v>
      </c>
      <c r="S2136" s="1" t="s">
        <v>6106</v>
      </c>
      <c r="T2136" s="1">
        <v>1</v>
      </c>
      <c r="U2136" s="19"/>
      <c r="V2136" s="19"/>
    </row>
    <row r="2137" spans="1:22" x14ac:dyDescent="0.3">
      <c r="A2137" s="1" t="s">
        <v>6107</v>
      </c>
      <c r="B2137" s="5">
        <v>46190</v>
      </c>
      <c r="C2137" s="6">
        <v>0.58333333333333337</v>
      </c>
      <c r="D2137" s="1" t="s">
        <v>30</v>
      </c>
      <c r="E2137" s="1" t="s">
        <v>35</v>
      </c>
      <c r="F2137" s="1" t="s">
        <v>6108</v>
      </c>
      <c r="G2137" s="39" t="s">
        <v>167</v>
      </c>
      <c r="H2137" s="1">
        <v>3</v>
      </c>
      <c r="I2137" s="1">
        <v>3</v>
      </c>
      <c r="J2137" s="39" t="s">
        <v>5942</v>
      </c>
      <c r="K2137" s="1">
        <v>3</v>
      </c>
      <c r="L2137" s="1">
        <v>3</v>
      </c>
      <c r="S2137" s="1" t="s">
        <v>6109</v>
      </c>
      <c r="T2137" s="1">
        <v>1</v>
      </c>
      <c r="U2137" s="19"/>
      <c r="V2137" s="19"/>
    </row>
    <row r="2138" spans="1:22" x14ac:dyDescent="0.3">
      <c r="A2138" s="1" t="s">
        <v>6110</v>
      </c>
      <c r="B2138" s="5">
        <v>46172</v>
      </c>
      <c r="C2138" s="6">
        <v>0.45833333333333331</v>
      </c>
      <c r="D2138" s="1" t="s">
        <v>30</v>
      </c>
      <c r="E2138" s="1" t="s">
        <v>35</v>
      </c>
      <c r="F2138" s="1" t="s">
        <v>6111</v>
      </c>
      <c r="G2138" s="39" t="s">
        <v>167</v>
      </c>
      <c r="H2138" s="1">
        <v>2</v>
      </c>
      <c r="I2138" s="1">
        <v>2</v>
      </c>
      <c r="J2138" s="39" t="s">
        <v>5931</v>
      </c>
      <c r="K2138" s="1">
        <v>2</v>
      </c>
      <c r="L2138" s="1">
        <v>2</v>
      </c>
      <c r="S2138" s="1" t="s">
        <v>6112</v>
      </c>
      <c r="T2138" s="1">
        <v>1</v>
      </c>
      <c r="U2138" s="19"/>
      <c r="V2138" s="19"/>
    </row>
    <row r="2139" spans="1:22" x14ac:dyDescent="0.3">
      <c r="A2139" s="1" t="s">
        <v>6113</v>
      </c>
      <c r="B2139" s="5">
        <v>46164</v>
      </c>
      <c r="C2139" s="6">
        <v>0.58333333333333337</v>
      </c>
      <c r="D2139" s="1" t="s">
        <v>30</v>
      </c>
      <c r="E2139" s="1" t="s">
        <v>35</v>
      </c>
      <c r="F2139" s="1" t="s">
        <v>6114</v>
      </c>
      <c r="G2139" s="39" t="s">
        <v>5950</v>
      </c>
      <c r="H2139" s="1">
        <v>5</v>
      </c>
      <c r="I2139" s="1">
        <v>0</v>
      </c>
      <c r="J2139" s="39" t="s">
        <v>167</v>
      </c>
      <c r="K2139" s="1">
        <v>0</v>
      </c>
      <c r="L2139" s="1">
        <v>5</v>
      </c>
      <c r="S2139" s="1" t="s">
        <v>6115</v>
      </c>
      <c r="T2139" s="1">
        <v>1</v>
      </c>
      <c r="U2139" s="19"/>
      <c r="V2139" s="19"/>
    </row>
    <row r="2140" spans="1:22" x14ac:dyDescent="0.3">
      <c r="A2140" s="1" t="s">
        <v>6116</v>
      </c>
      <c r="B2140" s="5">
        <v>46158</v>
      </c>
      <c r="C2140" s="6">
        <v>0.45833333333333331</v>
      </c>
      <c r="D2140" s="1" t="s">
        <v>30</v>
      </c>
      <c r="E2140" s="1" t="s">
        <v>35</v>
      </c>
      <c r="F2140" s="1" t="s">
        <v>6117</v>
      </c>
      <c r="G2140" s="39" t="s">
        <v>167</v>
      </c>
      <c r="H2140" s="1">
        <v>2</v>
      </c>
      <c r="I2140" s="1">
        <v>0</v>
      </c>
      <c r="J2140" s="39" t="s">
        <v>5958</v>
      </c>
      <c r="K2140" s="1">
        <v>0</v>
      </c>
      <c r="L2140" s="1">
        <v>2</v>
      </c>
      <c r="S2140" s="1" t="s">
        <v>6118</v>
      </c>
      <c r="T2140" s="1">
        <v>1</v>
      </c>
      <c r="U2140" s="19"/>
      <c r="V2140" s="19"/>
    </row>
    <row r="2141" spans="1:22" x14ac:dyDescent="0.3">
      <c r="A2141" s="1" t="s">
        <v>6119</v>
      </c>
      <c r="B2141" s="5">
        <v>46136</v>
      </c>
      <c r="C2141" s="6">
        <v>0.58333333333333337</v>
      </c>
      <c r="D2141" s="1" t="s">
        <v>30</v>
      </c>
      <c r="E2141" s="1" t="s">
        <v>35</v>
      </c>
      <c r="F2141" s="1" t="s">
        <v>6120</v>
      </c>
      <c r="G2141" s="39" t="s">
        <v>5923</v>
      </c>
      <c r="H2141" s="1">
        <v>1</v>
      </c>
      <c r="I2141" s="1">
        <v>3</v>
      </c>
      <c r="J2141" s="39" t="s">
        <v>167</v>
      </c>
      <c r="K2141" s="1">
        <v>3</v>
      </c>
      <c r="L2141" s="1">
        <v>1</v>
      </c>
      <c r="S2141" s="1" t="s">
        <v>6121</v>
      </c>
      <c r="T2141" s="1">
        <v>1</v>
      </c>
      <c r="U2141" s="19"/>
      <c r="V2141" s="19"/>
    </row>
    <row r="2142" spans="1:22" x14ac:dyDescent="0.3">
      <c r="A2142" s="1" t="s">
        <v>6122</v>
      </c>
      <c r="B2142" s="5">
        <v>46130</v>
      </c>
      <c r="C2142" s="6">
        <v>0.375</v>
      </c>
      <c r="D2142" s="1" t="s">
        <v>30</v>
      </c>
      <c r="E2142" s="1" t="s">
        <v>35</v>
      </c>
      <c r="F2142" s="1" t="s">
        <v>6123</v>
      </c>
      <c r="G2142" s="39" t="s">
        <v>167</v>
      </c>
      <c r="H2142" s="1">
        <v>0</v>
      </c>
      <c r="I2142" s="1">
        <v>0</v>
      </c>
      <c r="J2142" s="39" t="s">
        <v>5962</v>
      </c>
      <c r="K2142" s="1">
        <v>0</v>
      </c>
      <c r="L2142" s="1">
        <v>0</v>
      </c>
      <c r="S2142" s="1" t="s">
        <v>6124</v>
      </c>
      <c r="T2142" s="1">
        <v>1</v>
      </c>
      <c r="U2142" s="19"/>
      <c r="V2142" s="19"/>
    </row>
    <row r="2143" spans="1:22" x14ac:dyDescent="0.3">
      <c r="A2143" s="1" t="s">
        <v>6125</v>
      </c>
      <c r="B2143" s="5">
        <v>46180</v>
      </c>
      <c r="C2143" s="6">
        <v>0.45833333333333331</v>
      </c>
      <c r="D2143" s="1" t="s">
        <v>30</v>
      </c>
      <c r="E2143" s="1" t="s">
        <v>35</v>
      </c>
      <c r="F2143" s="1" t="s">
        <v>6126</v>
      </c>
      <c r="G2143" s="39" t="s">
        <v>5950</v>
      </c>
      <c r="H2143" s="1">
        <v>2</v>
      </c>
      <c r="I2143" s="1">
        <v>2</v>
      </c>
      <c r="J2143" s="39" t="s">
        <v>5962</v>
      </c>
      <c r="K2143" s="1">
        <v>2</v>
      </c>
      <c r="L2143" s="1">
        <v>2</v>
      </c>
      <c r="S2143" s="1" t="s">
        <v>6127</v>
      </c>
      <c r="T2143" s="1">
        <v>1</v>
      </c>
      <c r="U2143" s="19"/>
      <c r="V2143" s="19"/>
    </row>
    <row r="2144" spans="1:22" x14ac:dyDescent="0.3">
      <c r="A2144" s="1" t="s">
        <v>6128</v>
      </c>
      <c r="B2144" s="5">
        <v>46171</v>
      </c>
      <c r="C2144" s="6">
        <v>0.58333333333333337</v>
      </c>
      <c r="D2144" s="1" t="s">
        <v>30</v>
      </c>
      <c r="E2144" s="1" t="s">
        <v>35</v>
      </c>
      <c r="F2144" s="1" t="s">
        <v>6129</v>
      </c>
      <c r="G2144" s="39" t="s">
        <v>5962</v>
      </c>
      <c r="H2144" s="1">
        <v>0</v>
      </c>
      <c r="I2144" s="1">
        <v>2</v>
      </c>
      <c r="J2144" s="39" t="s">
        <v>5954</v>
      </c>
      <c r="K2144" s="1">
        <v>2</v>
      </c>
      <c r="L2144" s="1">
        <v>0</v>
      </c>
      <c r="S2144" s="1" t="s">
        <v>6130</v>
      </c>
      <c r="T2144" s="1">
        <v>1</v>
      </c>
      <c r="U2144" s="19"/>
      <c r="V2144" s="19"/>
    </row>
    <row r="2145" spans="1:22" x14ac:dyDescent="0.3">
      <c r="A2145" s="1" t="s">
        <v>6131</v>
      </c>
      <c r="B2145" s="5">
        <v>46164</v>
      </c>
      <c r="C2145" s="6">
        <v>0.58333333333333337</v>
      </c>
      <c r="D2145" s="1" t="s">
        <v>30</v>
      </c>
      <c r="E2145" s="1" t="s">
        <v>35</v>
      </c>
      <c r="F2145" s="1" t="s">
        <v>6132</v>
      </c>
      <c r="G2145" s="39" t="s">
        <v>5931</v>
      </c>
      <c r="H2145" s="1">
        <v>1</v>
      </c>
      <c r="I2145" s="1">
        <v>2</v>
      </c>
      <c r="J2145" s="39" t="s">
        <v>5962</v>
      </c>
      <c r="K2145" s="1">
        <v>2</v>
      </c>
      <c r="L2145" s="1">
        <v>1</v>
      </c>
      <c r="S2145" s="1" t="s">
        <v>6133</v>
      </c>
      <c r="T2145" s="1">
        <v>1</v>
      </c>
      <c r="U2145" s="19"/>
      <c r="V2145" s="19"/>
    </row>
    <row r="2146" spans="1:22" x14ac:dyDescent="0.3">
      <c r="A2146" s="1" t="s">
        <v>6134</v>
      </c>
      <c r="B2146" s="5">
        <v>46151</v>
      </c>
      <c r="C2146" s="6">
        <v>0.33333333333333331</v>
      </c>
      <c r="D2146" s="1" t="s">
        <v>30</v>
      </c>
      <c r="E2146" s="1" t="s">
        <v>35</v>
      </c>
      <c r="F2146" s="1" t="s">
        <v>6135</v>
      </c>
      <c r="G2146" s="39" t="s">
        <v>5942</v>
      </c>
      <c r="H2146" s="1">
        <v>1</v>
      </c>
      <c r="I2146" s="1">
        <v>1</v>
      </c>
      <c r="J2146" s="39" t="s">
        <v>5962</v>
      </c>
      <c r="K2146" s="1">
        <v>1</v>
      </c>
      <c r="L2146" s="1">
        <v>1</v>
      </c>
      <c r="S2146" s="1" t="s">
        <v>6136</v>
      </c>
      <c r="T2146" s="1">
        <v>1</v>
      </c>
      <c r="U2146" s="19"/>
      <c r="V2146" s="19"/>
    </row>
    <row r="2147" spans="1:22" x14ac:dyDescent="0.3">
      <c r="A2147" s="1" t="s">
        <v>6137</v>
      </c>
      <c r="B2147" s="5">
        <v>46242</v>
      </c>
      <c r="C2147" s="6">
        <v>0.33333333333333331</v>
      </c>
      <c r="D2147" s="1" t="s">
        <v>30</v>
      </c>
      <c r="E2147" s="1" t="s">
        <v>35</v>
      </c>
      <c r="F2147" s="1" t="s">
        <v>6138</v>
      </c>
      <c r="G2147" s="39" t="s">
        <v>5950</v>
      </c>
      <c r="H2147" s="1">
        <v>1</v>
      </c>
      <c r="I2147" s="1">
        <v>1</v>
      </c>
      <c r="J2147" s="39" t="s">
        <v>5942</v>
      </c>
      <c r="K2147" s="1">
        <v>1</v>
      </c>
      <c r="L2147" s="1">
        <v>1</v>
      </c>
      <c r="S2147" s="1" t="s">
        <v>6139</v>
      </c>
      <c r="T2147" s="1">
        <v>1</v>
      </c>
      <c r="U2147" s="19"/>
      <c r="V2147" s="19"/>
    </row>
    <row r="2148" spans="1:22" x14ac:dyDescent="0.3">
      <c r="A2148" s="1" t="s">
        <v>6140</v>
      </c>
      <c r="B2148" s="5">
        <v>46237</v>
      </c>
      <c r="C2148" s="6">
        <v>0.58333333333333337</v>
      </c>
      <c r="D2148" s="1" t="s">
        <v>30</v>
      </c>
      <c r="E2148" s="1" t="s">
        <v>35</v>
      </c>
      <c r="F2148" s="1" t="s">
        <v>6141</v>
      </c>
      <c r="G2148" s="39" t="s">
        <v>5923</v>
      </c>
      <c r="H2148" s="1">
        <v>2</v>
      </c>
      <c r="I2148" s="1">
        <v>0</v>
      </c>
      <c r="J2148" s="39" t="s">
        <v>5950</v>
      </c>
      <c r="K2148" s="1">
        <v>0</v>
      </c>
      <c r="L2148" s="1">
        <v>2</v>
      </c>
      <c r="S2148" s="1" t="s">
        <v>6142</v>
      </c>
      <c r="T2148" s="1">
        <v>1</v>
      </c>
      <c r="U2148" s="19"/>
      <c r="V2148" s="19"/>
    </row>
    <row r="2149" spans="1:22" x14ac:dyDescent="0.3">
      <c r="A2149" s="1" t="s">
        <v>6143</v>
      </c>
      <c r="B2149" s="5">
        <v>46200</v>
      </c>
      <c r="C2149" s="6">
        <v>0.45833333333333331</v>
      </c>
      <c r="D2149" s="1" t="s">
        <v>30</v>
      </c>
      <c r="E2149" s="1" t="s">
        <v>35</v>
      </c>
      <c r="F2149" s="1" t="s">
        <v>6144</v>
      </c>
      <c r="G2149" s="39" t="s">
        <v>5954</v>
      </c>
      <c r="H2149" s="1">
        <v>1</v>
      </c>
      <c r="I2149" s="1">
        <v>4</v>
      </c>
      <c r="J2149" s="39" t="s">
        <v>5950</v>
      </c>
      <c r="K2149" s="1">
        <v>4</v>
      </c>
      <c r="L2149" s="1">
        <v>1</v>
      </c>
      <c r="S2149" s="1" t="s">
        <v>6145</v>
      </c>
      <c r="T2149" s="1">
        <v>1</v>
      </c>
      <c r="U2149" s="19"/>
      <c r="V2149" s="19"/>
    </row>
    <row r="2150" spans="1:22" x14ac:dyDescent="0.3">
      <c r="A2150" s="1" t="s">
        <v>6146</v>
      </c>
      <c r="B2150" s="5">
        <v>46197</v>
      </c>
      <c r="C2150" s="6">
        <v>0.58333333333333337</v>
      </c>
      <c r="D2150" s="1" t="s">
        <v>30</v>
      </c>
      <c r="E2150" s="1" t="s">
        <v>35</v>
      </c>
      <c r="F2150" s="1" t="s">
        <v>6147</v>
      </c>
      <c r="G2150" s="39" t="s">
        <v>5942</v>
      </c>
      <c r="H2150" s="1">
        <v>4</v>
      </c>
      <c r="I2150" s="1">
        <v>0</v>
      </c>
      <c r="J2150" s="39" t="s">
        <v>5923</v>
      </c>
      <c r="K2150" s="1">
        <v>0</v>
      </c>
      <c r="L2150" s="1">
        <v>4</v>
      </c>
      <c r="S2150" s="1" t="s">
        <v>6148</v>
      </c>
      <c r="T2150" s="1">
        <v>1</v>
      </c>
      <c r="U2150" s="19"/>
      <c r="V2150" s="19"/>
    </row>
    <row r="2151" spans="1:22" x14ac:dyDescent="0.3">
      <c r="A2151" s="1" t="s">
        <v>6149</v>
      </c>
      <c r="B2151" s="5">
        <v>46191</v>
      </c>
      <c r="C2151" s="6">
        <v>0.58333333333333337</v>
      </c>
      <c r="D2151" s="1" t="s">
        <v>30</v>
      </c>
      <c r="E2151" s="1" t="s">
        <v>35</v>
      </c>
      <c r="F2151" s="1" t="s">
        <v>6150</v>
      </c>
      <c r="G2151" s="39" t="s">
        <v>5958</v>
      </c>
      <c r="H2151" s="1">
        <v>1</v>
      </c>
      <c r="I2151" s="1">
        <v>1</v>
      </c>
      <c r="J2151" s="39" t="s">
        <v>5954</v>
      </c>
      <c r="K2151" s="1">
        <v>1</v>
      </c>
      <c r="L2151" s="1">
        <v>1</v>
      </c>
      <c r="S2151" s="1" t="s">
        <v>6151</v>
      </c>
      <c r="T2151" s="1">
        <v>1</v>
      </c>
      <c r="U2151" s="19"/>
      <c r="V2151" s="19"/>
    </row>
    <row r="2152" spans="1:22" x14ac:dyDescent="0.3">
      <c r="A2152" s="1" t="s">
        <v>6152</v>
      </c>
      <c r="B2152" s="5">
        <v>46185</v>
      </c>
      <c r="C2152" s="6">
        <v>0.58333333333333337</v>
      </c>
      <c r="D2152" s="1" t="s">
        <v>30</v>
      </c>
      <c r="E2152" s="1" t="s">
        <v>35</v>
      </c>
      <c r="F2152" s="1" t="s">
        <v>6153</v>
      </c>
      <c r="G2152" s="39" t="s">
        <v>5931</v>
      </c>
      <c r="H2152" s="1">
        <v>0</v>
      </c>
      <c r="I2152" s="1">
        <v>2</v>
      </c>
      <c r="J2152" s="39" t="s">
        <v>5958</v>
      </c>
      <c r="K2152" s="1">
        <v>2</v>
      </c>
      <c r="L2152" s="1">
        <v>0</v>
      </c>
      <c r="S2152" s="1" t="s">
        <v>6154</v>
      </c>
      <c r="T2152" s="1">
        <v>1</v>
      </c>
      <c r="U2152" s="19"/>
      <c r="V2152" s="19"/>
    </row>
    <row r="2153" spans="1:22" x14ac:dyDescent="0.3">
      <c r="A2153" s="1" t="s">
        <v>6155</v>
      </c>
      <c r="B2153" s="5">
        <v>46185</v>
      </c>
      <c r="C2153" s="6">
        <v>0.58333333333333337</v>
      </c>
      <c r="D2153" s="1" t="s">
        <v>30</v>
      </c>
      <c r="E2153" s="1" t="s">
        <v>35</v>
      </c>
      <c r="F2153" s="1" t="s">
        <v>6156</v>
      </c>
      <c r="G2153" s="39" t="s">
        <v>5942</v>
      </c>
      <c r="H2153" s="1">
        <v>0</v>
      </c>
      <c r="I2153" s="1">
        <v>0</v>
      </c>
      <c r="J2153" s="39" t="s">
        <v>5950</v>
      </c>
      <c r="K2153" s="1">
        <v>0</v>
      </c>
      <c r="L2153" s="1">
        <v>0</v>
      </c>
      <c r="S2153" s="1" t="s">
        <v>6157</v>
      </c>
      <c r="T2153" s="1">
        <v>1</v>
      </c>
      <c r="U2153" s="19"/>
      <c r="V2153" s="19"/>
    </row>
    <row r="2154" spans="1:22" x14ac:dyDescent="0.3">
      <c r="A2154" s="1" t="s">
        <v>6158</v>
      </c>
      <c r="B2154" s="5">
        <v>46180</v>
      </c>
      <c r="C2154" s="6">
        <v>0.41666666666666669</v>
      </c>
      <c r="D2154" s="1" t="s">
        <v>30</v>
      </c>
      <c r="E2154" s="1" t="s">
        <v>35</v>
      </c>
      <c r="F2154" s="1" t="s">
        <v>6159</v>
      </c>
      <c r="G2154" s="39" t="s">
        <v>5931</v>
      </c>
      <c r="H2154" s="1">
        <v>2</v>
      </c>
      <c r="I2154" s="1">
        <v>0</v>
      </c>
      <c r="J2154" s="39" t="s">
        <v>5942</v>
      </c>
      <c r="K2154" s="1">
        <v>0</v>
      </c>
      <c r="L2154" s="1">
        <v>2</v>
      </c>
      <c r="S2154" s="1" t="s">
        <v>6160</v>
      </c>
      <c r="T2154" s="1">
        <v>1</v>
      </c>
      <c r="U2154" s="19"/>
      <c r="V2154" s="19"/>
    </row>
    <row r="2155" spans="1:22" x14ac:dyDescent="0.3">
      <c r="A2155" s="1" t="s">
        <v>6161</v>
      </c>
      <c r="B2155" s="5">
        <v>46177</v>
      </c>
      <c r="C2155" s="6">
        <v>0.60416666666666663</v>
      </c>
      <c r="D2155" s="1" t="s">
        <v>30</v>
      </c>
      <c r="E2155" s="1" t="s">
        <v>35</v>
      </c>
      <c r="F2155" s="1" t="s">
        <v>6162</v>
      </c>
      <c r="G2155" s="39" t="s">
        <v>5958</v>
      </c>
      <c r="H2155" s="1">
        <v>1</v>
      </c>
      <c r="I2155" s="1">
        <v>3</v>
      </c>
      <c r="J2155" s="39" t="s">
        <v>5923</v>
      </c>
      <c r="K2155" s="1">
        <v>3</v>
      </c>
      <c r="L2155" s="1">
        <v>1</v>
      </c>
      <c r="S2155" s="1" t="s">
        <v>6163</v>
      </c>
      <c r="T2155" s="1">
        <v>1</v>
      </c>
      <c r="U2155" s="19"/>
      <c r="V2155" s="19"/>
    </row>
    <row r="2156" spans="1:22" x14ac:dyDescent="0.3">
      <c r="A2156" s="1" t="s">
        <v>6164</v>
      </c>
      <c r="B2156" s="5">
        <v>46165</v>
      </c>
      <c r="C2156" s="6">
        <v>0.45833333333333331</v>
      </c>
      <c r="D2156" s="1" t="s">
        <v>30</v>
      </c>
      <c r="E2156" s="1" t="s">
        <v>35</v>
      </c>
      <c r="F2156" s="1" t="s">
        <v>6165</v>
      </c>
      <c r="G2156" s="39" t="s">
        <v>5954</v>
      </c>
      <c r="H2156" s="1">
        <v>1</v>
      </c>
      <c r="I2156" s="1">
        <v>2</v>
      </c>
      <c r="J2156" s="39" t="s">
        <v>5923</v>
      </c>
      <c r="K2156" s="1">
        <v>2</v>
      </c>
      <c r="L2156" s="1">
        <v>1</v>
      </c>
      <c r="S2156" s="1" t="s">
        <v>6166</v>
      </c>
      <c r="T2156" s="1">
        <v>1</v>
      </c>
      <c r="U2156" s="19"/>
      <c r="V2156" s="19"/>
    </row>
    <row r="2157" spans="1:22" x14ac:dyDescent="0.3">
      <c r="A2157" s="1" t="s">
        <v>6167</v>
      </c>
      <c r="B2157" s="5">
        <v>46155</v>
      </c>
      <c r="C2157" s="6">
        <v>0.58333333333333337</v>
      </c>
      <c r="D2157" s="1" t="s">
        <v>30</v>
      </c>
      <c r="E2157" s="1" t="s">
        <v>35</v>
      </c>
      <c r="F2157" s="1" t="s">
        <v>6168</v>
      </c>
      <c r="G2157" s="39" t="s">
        <v>5923</v>
      </c>
      <c r="H2157" s="1">
        <v>0</v>
      </c>
      <c r="I2157" s="1">
        <v>2</v>
      </c>
      <c r="J2157" s="39" t="s">
        <v>5942</v>
      </c>
      <c r="K2157" s="1">
        <v>2</v>
      </c>
      <c r="L2157" s="1">
        <v>0</v>
      </c>
      <c r="S2157" s="1" t="s">
        <v>6169</v>
      </c>
      <c r="T2157" s="1">
        <v>1</v>
      </c>
      <c r="U2157" s="19"/>
      <c r="V2157" s="19"/>
    </row>
    <row r="2158" spans="1:22" x14ac:dyDescent="0.3">
      <c r="A2158" s="1" t="s">
        <v>6170</v>
      </c>
      <c r="B2158" s="5">
        <v>46152</v>
      </c>
      <c r="C2158" s="6">
        <v>0.33333333333333331</v>
      </c>
      <c r="D2158" s="1" t="s">
        <v>30</v>
      </c>
      <c r="E2158" s="1" t="s">
        <v>35</v>
      </c>
      <c r="F2158" s="1" t="s">
        <v>6171</v>
      </c>
      <c r="G2158" s="39" t="s">
        <v>5950</v>
      </c>
      <c r="H2158" s="1">
        <v>1</v>
      </c>
      <c r="I2158" s="1">
        <v>2</v>
      </c>
      <c r="J2158" s="39" t="s">
        <v>5931</v>
      </c>
      <c r="K2158" s="1">
        <v>2</v>
      </c>
      <c r="L2158" s="1">
        <v>1</v>
      </c>
      <c r="S2158" s="1" t="s">
        <v>6172</v>
      </c>
      <c r="T2158" s="1">
        <v>1</v>
      </c>
      <c r="U2158" s="19"/>
      <c r="V2158" s="19"/>
    </row>
    <row r="2159" spans="1:22" x14ac:dyDescent="0.3">
      <c r="A2159" s="1" t="s">
        <v>6173</v>
      </c>
      <c r="B2159" s="5">
        <v>46144</v>
      </c>
      <c r="C2159" s="6">
        <v>0.375</v>
      </c>
      <c r="D2159" s="1" t="s">
        <v>30</v>
      </c>
      <c r="E2159" s="1" t="s">
        <v>35</v>
      </c>
      <c r="F2159" s="1" t="s">
        <v>6174</v>
      </c>
      <c r="G2159" s="39" t="s">
        <v>5950</v>
      </c>
      <c r="H2159" s="1">
        <v>2</v>
      </c>
      <c r="I2159" s="1">
        <v>1</v>
      </c>
      <c r="J2159" s="39" t="s">
        <v>5954</v>
      </c>
      <c r="K2159" s="1">
        <v>1</v>
      </c>
      <c r="L2159" s="1">
        <v>2</v>
      </c>
      <c r="S2159" s="1" t="s">
        <v>6175</v>
      </c>
      <c r="T2159" s="1">
        <v>1</v>
      </c>
      <c r="U2159" s="19"/>
      <c r="V2159" s="19"/>
    </row>
    <row r="2160" spans="1:22" x14ac:dyDescent="0.3">
      <c r="A2160" s="1" t="s">
        <v>6176</v>
      </c>
      <c r="B2160" s="5">
        <v>46137</v>
      </c>
      <c r="C2160" s="6">
        <v>0.33333333333333331</v>
      </c>
      <c r="D2160" s="1" t="s">
        <v>30</v>
      </c>
      <c r="E2160" s="1" t="s">
        <v>35</v>
      </c>
      <c r="F2160" s="1" t="s">
        <v>6177</v>
      </c>
      <c r="G2160" s="39" t="s">
        <v>5958</v>
      </c>
      <c r="H2160" s="1">
        <v>2</v>
      </c>
      <c r="I2160" s="1">
        <v>3</v>
      </c>
      <c r="J2160" s="39" t="s">
        <v>5950</v>
      </c>
      <c r="K2160" s="1">
        <v>3</v>
      </c>
      <c r="L2160" s="1">
        <v>2</v>
      </c>
      <c r="S2160" s="1" t="s">
        <v>6178</v>
      </c>
      <c r="T2160" s="1">
        <v>1</v>
      </c>
      <c r="U2160" s="19"/>
      <c r="V2160" s="19"/>
    </row>
    <row r="2161" spans="1:22" x14ac:dyDescent="0.3">
      <c r="A2161" s="1" t="s">
        <v>6179</v>
      </c>
      <c r="B2161" s="5">
        <v>46130</v>
      </c>
      <c r="C2161" s="6">
        <v>0.375</v>
      </c>
      <c r="D2161" s="1" t="s">
        <v>30</v>
      </c>
      <c r="E2161" s="1" t="s">
        <v>35</v>
      </c>
      <c r="F2161" s="1" t="s">
        <v>6180</v>
      </c>
      <c r="G2161" s="39" t="s">
        <v>5946</v>
      </c>
      <c r="H2161" s="1">
        <v>4</v>
      </c>
      <c r="I2161" s="1">
        <v>2</v>
      </c>
      <c r="J2161" s="39" t="s">
        <v>5958</v>
      </c>
      <c r="K2161" s="1">
        <v>2</v>
      </c>
      <c r="L2161" s="1">
        <v>4</v>
      </c>
      <c r="S2161" s="1" t="s">
        <v>6181</v>
      </c>
      <c r="T2161" s="1">
        <v>1</v>
      </c>
      <c r="U2161" s="19"/>
      <c r="V2161" s="19"/>
    </row>
    <row r="2162" spans="1:22" x14ac:dyDescent="0.3">
      <c r="A2162" s="1" t="s">
        <v>6182</v>
      </c>
      <c r="B2162" s="5">
        <v>46234</v>
      </c>
      <c r="C2162" s="6">
        <v>0.58333333333333337</v>
      </c>
      <c r="D2162" s="1" t="s">
        <v>30</v>
      </c>
      <c r="E2162" s="1" t="s">
        <v>35</v>
      </c>
      <c r="F2162" s="1" t="s">
        <v>6183</v>
      </c>
      <c r="G2162" s="39" t="s">
        <v>5931</v>
      </c>
      <c r="H2162" s="1">
        <v>2</v>
      </c>
      <c r="I2162" s="1">
        <v>2</v>
      </c>
      <c r="J2162" s="39" t="s">
        <v>5954</v>
      </c>
      <c r="K2162" s="1">
        <v>2</v>
      </c>
      <c r="L2162" s="1">
        <v>2</v>
      </c>
      <c r="S2162" s="1" t="s">
        <v>6184</v>
      </c>
      <c r="T2162" s="1">
        <v>1</v>
      </c>
      <c r="U2162" s="19"/>
      <c r="V2162" s="19"/>
    </row>
    <row r="2163" spans="1:22" x14ac:dyDescent="0.3">
      <c r="A2163" s="1" t="s">
        <v>6187</v>
      </c>
      <c r="B2163" s="5">
        <v>46243</v>
      </c>
      <c r="C2163" s="6">
        <v>0.375</v>
      </c>
      <c r="D2163" s="1" t="s">
        <v>30</v>
      </c>
      <c r="E2163" s="1" t="s">
        <v>6186</v>
      </c>
      <c r="F2163" s="1" t="s">
        <v>6188</v>
      </c>
      <c r="G2163" s="39" t="s">
        <v>6189</v>
      </c>
      <c r="H2163" s="1">
        <v>0</v>
      </c>
      <c r="I2163" s="1">
        <v>1</v>
      </c>
      <c r="J2163" s="39" t="s">
        <v>6190</v>
      </c>
      <c r="K2163" s="1">
        <v>1</v>
      </c>
      <c r="L2163" s="1">
        <v>0</v>
      </c>
      <c r="S2163" s="1" t="s">
        <v>6191</v>
      </c>
      <c r="T2163" s="1">
        <v>1</v>
      </c>
      <c r="U2163" s="19"/>
      <c r="V2163" s="19"/>
    </row>
    <row r="2164" spans="1:22" x14ac:dyDescent="0.3">
      <c r="A2164" s="1" t="s">
        <v>6192</v>
      </c>
      <c r="B2164" s="5">
        <v>46204</v>
      </c>
      <c r="C2164" s="6">
        <v>0.60416666666666663</v>
      </c>
      <c r="D2164" s="1" t="s">
        <v>30</v>
      </c>
      <c r="E2164" s="1" t="s">
        <v>6186</v>
      </c>
      <c r="F2164" s="1" t="s">
        <v>6193</v>
      </c>
      <c r="G2164" s="39" t="s">
        <v>6190</v>
      </c>
      <c r="H2164" s="1">
        <v>0</v>
      </c>
      <c r="I2164" s="1">
        <v>0</v>
      </c>
      <c r="J2164" s="39" t="s">
        <v>6194</v>
      </c>
      <c r="K2164" s="1">
        <v>0</v>
      </c>
      <c r="L2164" s="1">
        <v>0</v>
      </c>
      <c r="S2164" s="1" t="s">
        <v>6195</v>
      </c>
      <c r="T2164" s="1">
        <v>1</v>
      </c>
      <c r="U2164" s="19"/>
      <c r="V2164" s="19"/>
    </row>
    <row r="2165" spans="1:22" x14ac:dyDescent="0.3">
      <c r="A2165" s="1" t="s">
        <v>6196</v>
      </c>
      <c r="B2165" s="5">
        <v>46200</v>
      </c>
      <c r="C2165" s="6">
        <v>0.45833333333333331</v>
      </c>
      <c r="D2165" s="1" t="s">
        <v>30</v>
      </c>
      <c r="E2165" s="1" t="s">
        <v>6186</v>
      </c>
      <c r="F2165" s="1" t="s">
        <v>6197</v>
      </c>
      <c r="G2165" s="39" t="s">
        <v>6190</v>
      </c>
      <c r="H2165" s="1">
        <v>3</v>
      </c>
      <c r="I2165" s="1">
        <v>1</v>
      </c>
      <c r="J2165" s="39" t="s">
        <v>6198</v>
      </c>
      <c r="K2165" s="1">
        <v>1</v>
      </c>
      <c r="L2165" s="1">
        <v>3</v>
      </c>
      <c r="S2165" s="1" t="s">
        <v>6199</v>
      </c>
      <c r="T2165" s="1">
        <v>1</v>
      </c>
      <c r="U2165" s="19"/>
      <c r="V2165" s="19"/>
    </row>
    <row r="2166" spans="1:22" x14ac:dyDescent="0.3">
      <c r="A2166" s="1" t="s">
        <v>6200</v>
      </c>
      <c r="B2166" s="5">
        <v>46191</v>
      </c>
      <c r="C2166" s="6">
        <v>0.5625</v>
      </c>
      <c r="D2166" s="1" t="s">
        <v>30</v>
      </c>
      <c r="E2166" s="1" t="s">
        <v>6186</v>
      </c>
      <c r="F2166" s="1" t="s">
        <v>6201</v>
      </c>
      <c r="G2166" s="39" t="s">
        <v>6194</v>
      </c>
      <c r="H2166" s="1">
        <v>1</v>
      </c>
      <c r="I2166" s="1">
        <v>2</v>
      </c>
      <c r="J2166" s="39" t="s">
        <v>6190</v>
      </c>
      <c r="K2166" s="1">
        <v>2</v>
      </c>
      <c r="L2166" s="1">
        <v>1</v>
      </c>
      <c r="S2166" s="1" t="s">
        <v>6202</v>
      </c>
      <c r="T2166" s="1">
        <v>1</v>
      </c>
      <c r="U2166" s="19"/>
      <c r="V2166" s="19"/>
    </row>
    <row r="2167" spans="1:22" x14ac:dyDescent="0.3">
      <c r="A2167" s="1" t="s">
        <v>6203</v>
      </c>
      <c r="B2167" s="5">
        <v>46187</v>
      </c>
      <c r="C2167" s="6">
        <v>0.33333333333333331</v>
      </c>
      <c r="D2167" s="1" t="s">
        <v>30</v>
      </c>
      <c r="E2167" s="1" t="s">
        <v>6186</v>
      </c>
      <c r="F2167" s="1" t="s">
        <v>6204</v>
      </c>
      <c r="G2167" s="39" t="s">
        <v>6190</v>
      </c>
      <c r="H2167" s="1">
        <v>3</v>
      </c>
      <c r="I2167" s="1">
        <v>1</v>
      </c>
      <c r="J2167" s="39" t="s">
        <v>6205</v>
      </c>
      <c r="K2167" s="1">
        <v>1</v>
      </c>
      <c r="L2167" s="1">
        <v>3</v>
      </c>
      <c r="S2167" s="1" t="s">
        <v>6206</v>
      </c>
      <c r="T2167" s="1">
        <v>1</v>
      </c>
      <c r="U2167" s="19"/>
      <c r="V2167" s="19"/>
    </row>
    <row r="2168" spans="1:22" x14ac:dyDescent="0.3">
      <c r="A2168" s="1" t="s">
        <v>6207</v>
      </c>
      <c r="B2168" s="5">
        <v>46178</v>
      </c>
      <c r="C2168" s="6">
        <v>0.5625</v>
      </c>
      <c r="D2168" s="1" t="s">
        <v>30</v>
      </c>
      <c r="E2168" s="1" t="s">
        <v>6186</v>
      </c>
      <c r="F2168" s="1" t="s">
        <v>6208</v>
      </c>
      <c r="G2168" s="39" t="s">
        <v>6209</v>
      </c>
      <c r="H2168" s="1">
        <v>1</v>
      </c>
      <c r="I2168" s="1">
        <v>2</v>
      </c>
      <c r="J2168" s="39" t="s">
        <v>6190</v>
      </c>
      <c r="K2168" s="1">
        <v>2</v>
      </c>
      <c r="L2168" s="1">
        <v>1</v>
      </c>
      <c r="S2168" s="1" t="s">
        <v>6210</v>
      </c>
      <c r="T2168" s="1">
        <v>1</v>
      </c>
      <c r="U2168" s="19"/>
      <c r="V2168" s="19"/>
    </row>
    <row r="2169" spans="1:22" x14ac:dyDescent="0.3">
      <c r="A2169" s="1" t="s">
        <v>6211</v>
      </c>
      <c r="B2169" s="5">
        <v>46173</v>
      </c>
      <c r="C2169" s="6">
        <v>0.33333333333333331</v>
      </c>
      <c r="D2169" s="1" t="s">
        <v>30</v>
      </c>
      <c r="E2169" s="1" t="s">
        <v>6186</v>
      </c>
      <c r="F2169" s="1" t="s">
        <v>6212</v>
      </c>
      <c r="G2169" s="39" t="s">
        <v>6190</v>
      </c>
      <c r="H2169" s="1">
        <v>3</v>
      </c>
      <c r="I2169" s="1">
        <v>1</v>
      </c>
      <c r="J2169" s="39" t="s">
        <v>6213</v>
      </c>
      <c r="K2169" s="1">
        <v>1</v>
      </c>
      <c r="L2169" s="1">
        <v>3</v>
      </c>
      <c r="S2169" s="1" t="s">
        <v>6214</v>
      </c>
      <c r="T2169" s="1">
        <v>1</v>
      </c>
      <c r="U2169" s="19"/>
      <c r="V2169" s="19"/>
    </row>
    <row r="2170" spans="1:22" x14ac:dyDescent="0.3">
      <c r="A2170" s="1" t="s">
        <v>6215</v>
      </c>
      <c r="B2170" s="5">
        <v>46164</v>
      </c>
      <c r="C2170" s="6">
        <v>0.60416666666666663</v>
      </c>
      <c r="D2170" s="1" t="s">
        <v>30</v>
      </c>
      <c r="E2170" s="1" t="s">
        <v>6186</v>
      </c>
      <c r="F2170" s="1" t="s">
        <v>6216</v>
      </c>
      <c r="G2170" s="39" t="s">
        <v>6217</v>
      </c>
      <c r="H2170" s="1">
        <v>0</v>
      </c>
      <c r="I2170" s="1">
        <v>4</v>
      </c>
      <c r="J2170" s="39" t="s">
        <v>6190</v>
      </c>
      <c r="K2170" s="1">
        <v>4</v>
      </c>
      <c r="L2170" s="1">
        <v>0</v>
      </c>
      <c r="S2170" s="1" t="s">
        <v>6218</v>
      </c>
      <c r="T2170" s="1">
        <v>1</v>
      </c>
      <c r="U2170" s="19"/>
      <c r="V2170" s="19"/>
    </row>
    <row r="2171" spans="1:22" x14ac:dyDescent="0.3">
      <c r="A2171" s="1" t="s">
        <v>6219</v>
      </c>
      <c r="B2171" s="5">
        <v>46157</v>
      </c>
      <c r="C2171" s="6">
        <v>0.58333333333333337</v>
      </c>
      <c r="D2171" s="1" t="s">
        <v>30</v>
      </c>
      <c r="E2171" s="1" t="s">
        <v>6186</v>
      </c>
      <c r="F2171" s="1" t="s">
        <v>6220</v>
      </c>
      <c r="G2171" s="39" t="s">
        <v>6190</v>
      </c>
      <c r="H2171" s="1">
        <v>1</v>
      </c>
      <c r="I2171" s="1">
        <v>1</v>
      </c>
      <c r="J2171" s="39" t="s">
        <v>6221</v>
      </c>
      <c r="K2171" s="1">
        <v>1</v>
      </c>
      <c r="L2171" s="1">
        <v>1</v>
      </c>
      <c r="S2171" s="1" t="s">
        <v>6222</v>
      </c>
      <c r="T2171" s="1">
        <v>1</v>
      </c>
      <c r="U2171" s="19"/>
      <c r="V2171" s="19"/>
    </row>
    <row r="2172" spans="1:22" x14ac:dyDescent="0.3">
      <c r="A2172" s="1" t="s">
        <v>6223</v>
      </c>
      <c r="B2172" s="5">
        <v>46151</v>
      </c>
      <c r="C2172" s="6">
        <v>0.375</v>
      </c>
      <c r="D2172" s="1" t="s">
        <v>30</v>
      </c>
      <c r="E2172" s="1" t="s">
        <v>6186</v>
      </c>
      <c r="F2172" s="1" t="s">
        <v>6224</v>
      </c>
      <c r="G2172" s="39" t="s">
        <v>6225</v>
      </c>
      <c r="H2172" s="1">
        <v>1</v>
      </c>
      <c r="I2172" s="1">
        <v>1</v>
      </c>
      <c r="J2172" s="39" t="s">
        <v>6190</v>
      </c>
      <c r="K2172" s="1">
        <v>1</v>
      </c>
      <c r="L2172" s="1">
        <v>1</v>
      </c>
      <c r="S2172" s="1" t="s">
        <v>6226</v>
      </c>
      <c r="T2172" s="1">
        <v>1</v>
      </c>
      <c r="U2172" s="19"/>
      <c r="V2172" s="19"/>
    </row>
    <row r="2173" spans="1:22" x14ac:dyDescent="0.3">
      <c r="A2173" s="1" t="s">
        <v>6227</v>
      </c>
      <c r="B2173" s="5">
        <v>46143</v>
      </c>
      <c r="C2173" s="6">
        <v>0.33333333333333331</v>
      </c>
      <c r="D2173" s="1" t="s">
        <v>30</v>
      </c>
      <c r="E2173" s="1" t="s">
        <v>6186</v>
      </c>
      <c r="F2173" s="1" t="s">
        <v>6228</v>
      </c>
      <c r="G2173" s="39" t="s">
        <v>6190</v>
      </c>
      <c r="H2173" s="1">
        <v>3</v>
      </c>
      <c r="I2173" s="1">
        <v>1</v>
      </c>
      <c r="J2173" s="39" t="s">
        <v>6229</v>
      </c>
      <c r="K2173" s="1">
        <v>1</v>
      </c>
      <c r="L2173" s="1">
        <v>3</v>
      </c>
      <c r="S2173" s="1" t="s">
        <v>6230</v>
      </c>
      <c r="T2173" s="1">
        <v>1</v>
      </c>
      <c r="U2173" s="19"/>
      <c r="V2173" s="19"/>
    </row>
    <row r="2174" spans="1:22" x14ac:dyDescent="0.3">
      <c r="A2174" s="1" t="s">
        <v>6231</v>
      </c>
      <c r="B2174" s="5">
        <v>46137</v>
      </c>
      <c r="C2174" s="6">
        <v>0.41666666666666669</v>
      </c>
      <c r="D2174" s="1" t="s">
        <v>30</v>
      </c>
      <c r="E2174" s="1" t="s">
        <v>6186</v>
      </c>
      <c r="F2174" s="1" t="s">
        <v>6232</v>
      </c>
      <c r="G2174" s="39" t="s">
        <v>6198</v>
      </c>
      <c r="H2174" s="1">
        <v>0</v>
      </c>
      <c r="I2174" s="1">
        <v>2</v>
      </c>
      <c r="J2174" s="39" t="s">
        <v>6190</v>
      </c>
      <c r="K2174" s="1">
        <v>2</v>
      </c>
      <c r="L2174" s="1">
        <v>0</v>
      </c>
      <c r="S2174" s="1" t="s">
        <v>6233</v>
      </c>
      <c r="T2174" s="1">
        <v>1</v>
      </c>
      <c r="U2174" s="19"/>
      <c r="V2174" s="19"/>
    </row>
    <row r="2175" spans="1:22" x14ac:dyDescent="0.3">
      <c r="A2175" s="1" t="s">
        <v>6234</v>
      </c>
      <c r="B2175" s="5">
        <v>46241</v>
      </c>
      <c r="C2175" s="6">
        <v>0.58333333333333337</v>
      </c>
      <c r="D2175" s="1" t="s">
        <v>30</v>
      </c>
      <c r="E2175" s="1" t="s">
        <v>6186</v>
      </c>
      <c r="F2175" s="1" t="s">
        <v>6235</v>
      </c>
      <c r="G2175" s="39" t="s">
        <v>6225</v>
      </c>
      <c r="H2175" s="1">
        <v>4</v>
      </c>
      <c r="I2175" s="1">
        <v>0</v>
      </c>
      <c r="J2175" s="39" t="s">
        <v>6205</v>
      </c>
      <c r="K2175" s="1">
        <v>0</v>
      </c>
      <c r="L2175" s="1">
        <v>4</v>
      </c>
      <c r="S2175" s="1" t="s">
        <v>6236</v>
      </c>
      <c r="T2175" s="1">
        <v>1</v>
      </c>
      <c r="U2175" s="19"/>
      <c r="V2175" s="19"/>
    </row>
    <row r="2176" spans="1:22" x14ac:dyDescent="0.3">
      <c r="A2176" s="1" t="s">
        <v>6237</v>
      </c>
      <c r="B2176" s="5">
        <v>46234</v>
      </c>
      <c r="C2176" s="6">
        <v>0.60416666666666663</v>
      </c>
      <c r="D2176" s="1" t="s">
        <v>30</v>
      </c>
      <c r="E2176" s="1" t="s">
        <v>6186</v>
      </c>
      <c r="F2176" s="1" t="s">
        <v>6238</v>
      </c>
      <c r="G2176" s="39" t="s">
        <v>6213</v>
      </c>
      <c r="H2176" s="1">
        <v>1</v>
      </c>
      <c r="I2176" s="1">
        <v>1</v>
      </c>
      <c r="J2176" s="39" t="s">
        <v>6225</v>
      </c>
      <c r="K2176" s="1">
        <v>1</v>
      </c>
      <c r="L2176" s="1">
        <v>1</v>
      </c>
      <c r="S2176" s="1" t="s">
        <v>6239</v>
      </c>
      <c r="T2176" s="1">
        <v>1</v>
      </c>
      <c r="U2176" s="19"/>
      <c r="V2176" s="19"/>
    </row>
    <row r="2177" spans="1:22" x14ac:dyDescent="0.3">
      <c r="A2177" s="1" t="s">
        <v>6240</v>
      </c>
      <c r="B2177" s="5">
        <v>46199</v>
      </c>
      <c r="C2177" s="6">
        <v>0.60416666666666663</v>
      </c>
      <c r="D2177" s="1" t="s">
        <v>30</v>
      </c>
      <c r="E2177" s="1" t="s">
        <v>6186</v>
      </c>
      <c r="F2177" s="1" t="s">
        <v>6241</v>
      </c>
      <c r="G2177" s="39" t="s">
        <v>6225</v>
      </c>
      <c r="H2177" s="1">
        <v>2</v>
      </c>
      <c r="I2177" s="1">
        <v>0</v>
      </c>
      <c r="J2177" s="39" t="s">
        <v>6242</v>
      </c>
      <c r="K2177" s="1">
        <v>0</v>
      </c>
      <c r="L2177" s="1">
        <v>2</v>
      </c>
      <c r="S2177" s="1" t="s">
        <v>6243</v>
      </c>
      <c r="T2177" s="1">
        <v>1</v>
      </c>
      <c r="U2177" s="19"/>
      <c r="V2177" s="19"/>
    </row>
    <row r="2178" spans="1:22" x14ac:dyDescent="0.3">
      <c r="A2178" s="1" t="s">
        <v>6244</v>
      </c>
      <c r="B2178" s="5">
        <v>46191</v>
      </c>
      <c r="C2178" s="6">
        <v>0.59375</v>
      </c>
      <c r="D2178" s="1" t="s">
        <v>30</v>
      </c>
      <c r="E2178" s="1" t="s">
        <v>6186</v>
      </c>
      <c r="F2178" s="1" t="s">
        <v>6245</v>
      </c>
      <c r="G2178" s="39" t="s">
        <v>6246</v>
      </c>
      <c r="H2178" s="1">
        <v>1</v>
      </c>
      <c r="I2178" s="1">
        <v>1</v>
      </c>
      <c r="J2178" s="39" t="s">
        <v>6225</v>
      </c>
      <c r="K2178" s="1">
        <v>1</v>
      </c>
      <c r="L2178" s="1">
        <v>1</v>
      </c>
      <c r="S2178" s="1" t="s">
        <v>6247</v>
      </c>
      <c r="T2178" s="1">
        <v>1</v>
      </c>
      <c r="U2178" s="19"/>
      <c r="V2178" s="19"/>
    </row>
    <row r="2179" spans="1:22" x14ac:dyDescent="0.3">
      <c r="A2179" s="1" t="s">
        <v>6248</v>
      </c>
      <c r="B2179" s="5">
        <v>46186</v>
      </c>
      <c r="C2179" s="6">
        <v>0.375</v>
      </c>
      <c r="D2179" s="1" t="s">
        <v>30</v>
      </c>
      <c r="E2179" s="1" t="s">
        <v>6186</v>
      </c>
      <c r="F2179" s="1" t="s">
        <v>6249</v>
      </c>
      <c r="G2179" s="39" t="s">
        <v>6225</v>
      </c>
      <c r="H2179" s="1">
        <v>4</v>
      </c>
      <c r="I2179" s="1">
        <v>2</v>
      </c>
      <c r="J2179" s="39" t="s">
        <v>6194</v>
      </c>
      <c r="K2179" s="1">
        <v>2</v>
      </c>
      <c r="L2179" s="1">
        <v>4</v>
      </c>
      <c r="S2179" s="1" t="s">
        <v>6250</v>
      </c>
      <c r="T2179" s="1">
        <v>1</v>
      </c>
      <c r="U2179" s="19"/>
      <c r="V2179" s="19"/>
    </row>
    <row r="2180" spans="1:22" x14ac:dyDescent="0.3">
      <c r="A2180" s="1" t="s">
        <v>6251</v>
      </c>
      <c r="B2180" s="5">
        <v>46178</v>
      </c>
      <c r="C2180" s="6">
        <v>0.59375</v>
      </c>
      <c r="D2180" s="1" t="s">
        <v>30</v>
      </c>
      <c r="E2180" s="1" t="s">
        <v>6186</v>
      </c>
      <c r="F2180" s="1" t="s">
        <v>6252</v>
      </c>
      <c r="G2180" s="39" t="s">
        <v>6205</v>
      </c>
      <c r="H2180" s="1">
        <v>1</v>
      </c>
      <c r="I2180" s="1">
        <v>3</v>
      </c>
      <c r="J2180" s="39" t="s">
        <v>6225</v>
      </c>
      <c r="K2180" s="1">
        <v>3</v>
      </c>
      <c r="L2180" s="1">
        <v>1</v>
      </c>
      <c r="S2180" s="1" t="s">
        <v>6253</v>
      </c>
      <c r="T2180" s="1">
        <v>1</v>
      </c>
      <c r="U2180" s="19"/>
      <c r="V2180" s="19"/>
    </row>
    <row r="2181" spans="1:22" x14ac:dyDescent="0.3">
      <c r="A2181" s="1" t="s">
        <v>6254</v>
      </c>
      <c r="B2181" s="5">
        <v>46171</v>
      </c>
      <c r="C2181" s="6">
        <v>0.58333333333333337</v>
      </c>
      <c r="D2181" s="1" t="s">
        <v>30</v>
      </c>
      <c r="E2181" s="1" t="s">
        <v>6186</v>
      </c>
      <c r="F2181" s="1" t="s">
        <v>6255</v>
      </c>
      <c r="G2181" s="39" t="s">
        <v>6225</v>
      </c>
      <c r="H2181" s="1">
        <v>1</v>
      </c>
      <c r="I2181" s="1">
        <v>0</v>
      </c>
      <c r="J2181" s="39" t="s">
        <v>6256</v>
      </c>
      <c r="K2181" s="1">
        <v>0</v>
      </c>
      <c r="L2181" s="1">
        <v>1</v>
      </c>
      <c r="S2181" s="1" t="s">
        <v>6257</v>
      </c>
      <c r="T2181" s="1">
        <v>1</v>
      </c>
      <c r="U2181" s="19"/>
      <c r="V2181" s="19"/>
    </row>
    <row r="2182" spans="1:22" x14ac:dyDescent="0.3">
      <c r="A2182" s="1" t="s">
        <v>6258</v>
      </c>
      <c r="B2182" s="5">
        <v>46163</v>
      </c>
      <c r="C2182" s="6">
        <v>0.58333333333333337</v>
      </c>
      <c r="D2182" s="1" t="s">
        <v>30</v>
      </c>
      <c r="E2182" s="1" t="s">
        <v>6186</v>
      </c>
      <c r="F2182" s="1" t="s">
        <v>6259</v>
      </c>
      <c r="G2182" s="39" t="s">
        <v>6221</v>
      </c>
      <c r="H2182" s="1">
        <v>1</v>
      </c>
      <c r="I2182" s="1">
        <v>2</v>
      </c>
      <c r="J2182" s="39" t="s">
        <v>6225</v>
      </c>
      <c r="K2182" s="1">
        <v>2</v>
      </c>
      <c r="L2182" s="1">
        <v>1</v>
      </c>
      <c r="S2182" s="1" t="s">
        <v>6260</v>
      </c>
      <c r="T2182" s="1">
        <v>1</v>
      </c>
      <c r="U2182" s="19"/>
      <c r="V2182" s="19"/>
    </row>
    <row r="2183" spans="1:22" x14ac:dyDescent="0.3">
      <c r="A2183" s="1" t="s">
        <v>6261</v>
      </c>
      <c r="B2183" s="5">
        <v>46156</v>
      </c>
      <c r="C2183" s="6">
        <v>0.375</v>
      </c>
      <c r="D2183" s="1" t="s">
        <v>30</v>
      </c>
      <c r="E2183" s="1" t="s">
        <v>6186</v>
      </c>
      <c r="F2183" s="1" t="s">
        <v>6262</v>
      </c>
      <c r="G2183" s="39" t="s">
        <v>6229</v>
      </c>
      <c r="H2183" s="1">
        <v>0</v>
      </c>
      <c r="I2183" s="1">
        <v>2</v>
      </c>
      <c r="J2183" s="39" t="s">
        <v>6225</v>
      </c>
      <c r="K2183" s="1">
        <v>2</v>
      </c>
      <c r="L2183" s="1">
        <v>0</v>
      </c>
      <c r="S2183" s="1" t="s">
        <v>6263</v>
      </c>
      <c r="T2183" s="1">
        <v>1</v>
      </c>
      <c r="U2183" s="19"/>
      <c r="V2183" s="19"/>
    </row>
    <row r="2184" spans="1:22" x14ac:dyDescent="0.3">
      <c r="A2184" s="1" t="s">
        <v>6264</v>
      </c>
      <c r="B2184" s="5">
        <v>46143</v>
      </c>
      <c r="C2184" s="6">
        <v>0.375</v>
      </c>
      <c r="D2184" s="1" t="s">
        <v>30</v>
      </c>
      <c r="E2184" s="1" t="s">
        <v>6186</v>
      </c>
      <c r="F2184" s="1" t="s">
        <v>6265</v>
      </c>
      <c r="G2184" s="39" t="s">
        <v>6225</v>
      </c>
      <c r="H2184" s="1">
        <v>3</v>
      </c>
      <c r="I2184" s="1">
        <v>1</v>
      </c>
      <c r="J2184" s="39" t="s">
        <v>6209</v>
      </c>
      <c r="K2184" s="1">
        <v>1</v>
      </c>
      <c r="L2184" s="1">
        <v>3</v>
      </c>
      <c r="S2184" s="1" t="s">
        <v>6266</v>
      </c>
      <c r="T2184" s="1">
        <v>1</v>
      </c>
      <c r="U2184" s="19"/>
      <c r="V2184" s="19"/>
    </row>
    <row r="2185" spans="1:22" x14ac:dyDescent="0.3">
      <c r="A2185" s="1" t="s">
        <v>6267</v>
      </c>
      <c r="B2185" s="5">
        <v>46136</v>
      </c>
      <c r="C2185" s="6">
        <v>0.60416666666666663</v>
      </c>
      <c r="D2185" s="1" t="s">
        <v>30</v>
      </c>
      <c r="E2185" s="1" t="s">
        <v>6186</v>
      </c>
      <c r="F2185" s="1" t="s">
        <v>6268</v>
      </c>
      <c r="G2185" s="39" t="s">
        <v>6217</v>
      </c>
      <c r="H2185" s="1">
        <v>1</v>
      </c>
      <c r="I2185" s="1">
        <v>2</v>
      </c>
      <c r="J2185" s="39" t="s">
        <v>6225</v>
      </c>
      <c r="K2185" s="1">
        <v>2</v>
      </c>
      <c r="L2185" s="1">
        <v>1</v>
      </c>
      <c r="S2185" s="1" t="s">
        <v>6269</v>
      </c>
      <c r="T2185" s="1">
        <v>1</v>
      </c>
      <c r="U2185" s="19"/>
      <c r="V2185" s="19"/>
    </row>
    <row r="2186" spans="1:22" x14ac:dyDescent="0.3">
      <c r="A2186" s="1" t="s">
        <v>6270</v>
      </c>
      <c r="B2186" s="5">
        <v>46242</v>
      </c>
      <c r="C2186" s="6">
        <v>0.375</v>
      </c>
      <c r="D2186" s="1" t="s">
        <v>30</v>
      </c>
      <c r="E2186" s="1" t="s">
        <v>6186</v>
      </c>
      <c r="F2186" s="1" t="s">
        <v>6271</v>
      </c>
      <c r="G2186" s="39" t="s">
        <v>6209</v>
      </c>
      <c r="H2186" s="1">
        <v>1</v>
      </c>
      <c r="I2186" s="1">
        <v>1</v>
      </c>
      <c r="J2186" s="39" t="s">
        <v>6256</v>
      </c>
      <c r="K2186" s="1">
        <v>1</v>
      </c>
      <c r="L2186" s="1">
        <v>1</v>
      </c>
      <c r="S2186" s="1" t="s">
        <v>6272</v>
      </c>
      <c r="T2186" s="1">
        <v>1</v>
      </c>
      <c r="U2186" s="19"/>
      <c r="V2186" s="19"/>
    </row>
    <row r="2187" spans="1:22" x14ac:dyDescent="0.3">
      <c r="A2187" s="1" t="s">
        <v>6273</v>
      </c>
      <c r="B2187" s="5">
        <v>46234</v>
      </c>
      <c r="C2187" s="6">
        <v>0.60416666666666663</v>
      </c>
      <c r="D2187" s="1" t="s">
        <v>30</v>
      </c>
      <c r="E2187" s="1" t="s">
        <v>6186</v>
      </c>
      <c r="F2187" s="1" t="s">
        <v>6274</v>
      </c>
      <c r="G2187" s="39" t="s">
        <v>6256</v>
      </c>
      <c r="H2187" s="1">
        <v>0</v>
      </c>
      <c r="I2187" s="1">
        <v>0</v>
      </c>
      <c r="J2187" s="39" t="s">
        <v>6246</v>
      </c>
      <c r="K2187" s="1">
        <v>0</v>
      </c>
      <c r="L2187" s="1">
        <v>0</v>
      </c>
      <c r="S2187" s="1" t="s">
        <v>6275</v>
      </c>
      <c r="T2187" s="1">
        <v>1</v>
      </c>
      <c r="U2187" s="19"/>
      <c r="V2187" s="19"/>
    </row>
    <row r="2188" spans="1:22" x14ac:dyDescent="0.3">
      <c r="A2188" s="1" t="s">
        <v>6276</v>
      </c>
      <c r="B2188" s="5">
        <v>46198</v>
      </c>
      <c r="C2188" s="6">
        <v>0.58333333333333337</v>
      </c>
      <c r="D2188" s="1" t="s">
        <v>30</v>
      </c>
      <c r="E2188" s="1" t="s">
        <v>6186</v>
      </c>
      <c r="F2188" s="1" t="s">
        <v>6277</v>
      </c>
      <c r="G2188" s="39" t="s">
        <v>6256</v>
      </c>
      <c r="H2188" s="1">
        <v>1</v>
      </c>
      <c r="I2188" s="1">
        <v>2</v>
      </c>
      <c r="J2188" s="39" t="s">
        <v>6194</v>
      </c>
      <c r="K2188" s="1">
        <v>2</v>
      </c>
      <c r="L2188" s="1">
        <v>1</v>
      </c>
      <c r="S2188" s="1" t="s">
        <v>6278</v>
      </c>
      <c r="T2188" s="1">
        <v>1</v>
      </c>
      <c r="U2188" s="19"/>
      <c r="V2188" s="19"/>
    </row>
    <row r="2189" spans="1:22" x14ac:dyDescent="0.3">
      <c r="A2189" s="1" t="s">
        <v>6279</v>
      </c>
      <c r="B2189" s="5">
        <v>46191</v>
      </c>
      <c r="C2189" s="6">
        <v>0.58333333333333337</v>
      </c>
      <c r="D2189" s="1" t="s">
        <v>30</v>
      </c>
      <c r="E2189" s="1" t="s">
        <v>6186</v>
      </c>
      <c r="F2189" s="1" t="s">
        <v>6280</v>
      </c>
      <c r="G2189" s="39" t="s">
        <v>6242</v>
      </c>
      <c r="H2189" s="1">
        <v>1</v>
      </c>
      <c r="I2189" s="1">
        <v>2</v>
      </c>
      <c r="J2189" s="39" t="s">
        <v>6256</v>
      </c>
      <c r="K2189" s="1">
        <v>2</v>
      </c>
      <c r="L2189" s="1">
        <v>1</v>
      </c>
      <c r="S2189" s="1" t="s">
        <v>6281</v>
      </c>
      <c r="T2189" s="1">
        <v>1</v>
      </c>
      <c r="U2189" s="19"/>
      <c r="V2189" s="19"/>
    </row>
    <row r="2190" spans="1:22" x14ac:dyDescent="0.3">
      <c r="A2190" s="1" t="s">
        <v>6282</v>
      </c>
      <c r="B2190" s="5">
        <v>46185</v>
      </c>
      <c r="C2190" s="6">
        <v>0.60416666666666663</v>
      </c>
      <c r="D2190" s="1" t="s">
        <v>30</v>
      </c>
      <c r="E2190" s="1" t="s">
        <v>6186</v>
      </c>
      <c r="F2190" s="1" t="s">
        <v>6283</v>
      </c>
      <c r="G2190" s="39" t="s">
        <v>6256</v>
      </c>
      <c r="H2190" s="1">
        <v>0</v>
      </c>
      <c r="I2190" s="1">
        <v>4</v>
      </c>
      <c r="J2190" s="39" t="s">
        <v>6209</v>
      </c>
      <c r="K2190" s="1">
        <v>4</v>
      </c>
      <c r="L2190" s="1">
        <v>0</v>
      </c>
      <c r="S2190" s="1" t="s">
        <v>6284</v>
      </c>
      <c r="T2190" s="1">
        <v>1</v>
      </c>
      <c r="U2190" s="19"/>
      <c r="V2190" s="19"/>
    </row>
    <row r="2191" spans="1:22" x14ac:dyDescent="0.3">
      <c r="A2191" s="1" t="s">
        <v>6285</v>
      </c>
      <c r="B2191" s="5">
        <v>46180</v>
      </c>
      <c r="C2191" s="6">
        <v>0.45833333333333331</v>
      </c>
      <c r="D2191" s="1" t="s">
        <v>30</v>
      </c>
      <c r="E2191" s="1" t="s">
        <v>6186</v>
      </c>
      <c r="F2191" s="1" t="s">
        <v>6286</v>
      </c>
      <c r="G2191" s="39" t="s">
        <v>6198</v>
      </c>
      <c r="H2191" s="1">
        <v>0</v>
      </c>
      <c r="I2191" s="1">
        <v>2</v>
      </c>
      <c r="J2191" s="39" t="s">
        <v>6256</v>
      </c>
      <c r="K2191" s="1">
        <v>2</v>
      </c>
      <c r="L2191" s="1">
        <v>0</v>
      </c>
      <c r="S2191" s="1" t="s">
        <v>6287</v>
      </c>
      <c r="T2191" s="1">
        <v>1</v>
      </c>
      <c r="U2191" s="19"/>
      <c r="V2191" s="19"/>
    </row>
    <row r="2192" spans="1:22" x14ac:dyDescent="0.3">
      <c r="A2192" s="1" t="s">
        <v>6288</v>
      </c>
      <c r="B2192" s="5">
        <v>46164</v>
      </c>
      <c r="C2192" s="6">
        <v>0.60416666666666663</v>
      </c>
      <c r="D2192" s="1" t="s">
        <v>30</v>
      </c>
      <c r="E2192" s="1" t="s">
        <v>6186</v>
      </c>
      <c r="F2192" s="1" t="s">
        <v>6289</v>
      </c>
      <c r="G2192" s="39" t="s">
        <v>6256</v>
      </c>
      <c r="H2192" s="1">
        <v>2</v>
      </c>
      <c r="I2192" s="1">
        <v>1</v>
      </c>
      <c r="J2192" s="39" t="s">
        <v>6229</v>
      </c>
      <c r="K2192" s="1">
        <v>1</v>
      </c>
      <c r="L2192" s="1">
        <v>2</v>
      </c>
      <c r="S2192" s="1" t="s">
        <v>6290</v>
      </c>
      <c r="T2192" s="1">
        <v>1</v>
      </c>
      <c r="U2192" s="19"/>
      <c r="V2192" s="19"/>
    </row>
    <row r="2193" spans="1:22" x14ac:dyDescent="0.3">
      <c r="A2193" s="1" t="s">
        <v>6291</v>
      </c>
      <c r="B2193" s="5">
        <v>46157</v>
      </c>
      <c r="C2193" s="6">
        <v>0.60416666666666663</v>
      </c>
      <c r="D2193" s="1" t="s">
        <v>30</v>
      </c>
      <c r="E2193" s="1" t="s">
        <v>6186</v>
      </c>
      <c r="F2193" s="1" t="s">
        <v>6292</v>
      </c>
      <c r="G2193" s="39" t="s">
        <v>6256</v>
      </c>
      <c r="H2193" s="1">
        <v>6</v>
      </c>
      <c r="I2193" s="1">
        <v>2</v>
      </c>
      <c r="J2193" s="39" t="s">
        <v>6217</v>
      </c>
      <c r="K2193" s="1">
        <v>2</v>
      </c>
      <c r="L2193" s="1">
        <v>6</v>
      </c>
      <c r="S2193" s="1" t="s">
        <v>6293</v>
      </c>
      <c r="T2193" s="1">
        <v>1</v>
      </c>
      <c r="U2193" s="19"/>
      <c r="V2193" s="19"/>
    </row>
    <row r="2194" spans="1:22" x14ac:dyDescent="0.3">
      <c r="A2194" s="1" t="s">
        <v>6294</v>
      </c>
      <c r="B2194" s="5">
        <v>46151</v>
      </c>
      <c r="C2194" s="6">
        <v>0.375</v>
      </c>
      <c r="D2194" s="1" t="s">
        <v>30</v>
      </c>
      <c r="E2194" s="1" t="s">
        <v>6186</v>
      </c>
      <c r="F2194" s="1" t="s">
        <v>6295</v>
      </c>
      <c r="G2194" s="39" t="s">
        <v>6189</v>
      </c>
      <c r="H2194" s="1">
        <v>0</v>
      </c>
      <c r="I2194" s="1">
        <v>4</v>
      </c>
      <c r="J2194" s="39" t="s">
        <v>6256</v>
      </c>
      <c r="K2194" s="1">
        <v>4</v>
      </c>
      <c r="L2194" s="1">
        <v>0</v>
      </c>
      <c r="S2194" s="1" t="s">
        <v>6296</v>
      </c>
      <c r="T2194" s="1">
        <v>1</v>
      </c>
      <c r="U2194" s="19"/>
      <c r="V2194" s="19"/>
    </row>
    <row r="2195" spans="1:22" x14ac:dyDescent="0.3">
      <c r="A2195" s="1" t="s">
        <v>6297</v>
      </c>
      <c r="B2195" s="5">
        <v>46143</v>
      </c>
      <c r="C2195" s="6">
        <v>0.41666666666666669</v>
      </c>
      <c r="D2195" s="1" t="s">
        <v>30</v>
      </c>
      <c r="E2195" s="1" t="s">
        <v>6186</v>
      </c>
      <c r="F2195" s="1" t="s">
        <v>6298</v>
      </c>
      <c r="G2195" s="39" t="s">
        <v>6246</v>
      </c>
      <c r="H2195" s="1">
        <v>2</v>
      </c>
      <c r="I2195" s="1">
        <v>3</v>
      </c>
      <c r="J2195" s="39" t="s">
        <v>6256</v>
      </c>
      <c r="K2195" s="1">
        <v>3</v>
      </c>
      <c r="L2195" s="1">
        <v>2</v>
      </c>
      <c r="S2195" s="1" t="s">
        <v>6299</v>
      </c>
      <c r="T2195" s="1">
        <v>1</v>
      </c>
      <c r="U2195" s="19"/>
      <c r="V2195" s="19"/>
    </row>
    <row r="2196" spans="1:22" x14ac:dyDescent="0.3">
      <c r="A2196" s="1" t="s">
        <v>6300</v>
      </c>
      <c r="B2196" s="5">
        <v>46137</v>
      </c>
      <c r="C2196" s="6">
        <v>0.33333333333333331</v>
      </c>
      <c r="D2196" s="1" t="s">
        <v>30</v>
      </c>
      <c r="E2196" s="1" t="s">
        <v>6186</v>
      </c>
      <c r="F2196" s="1" t="s">
        <v>6301</v>
      </c>
      <c r="G2196" s="39" t="s">
        <v>6256</v>
      </c>
      <c r="H2196" s="1">
        <v>2</v>
      </c>
      <c r="I2196" s="1">
        <v>0</v>
      </c>
      <c r="J2196" s="39" t="s">
        <v>6213</v>
      </c>
      <c r="K2196" s="1">
        <v>0</v>
      </c>
      <c r="L2196" s="1">
        <v>2</v>
      </c>
      <c r="S2196" s="1" t="s">
        <v>6302</v>
      </c>
      <c r="T2196" s="1">
        <v>1</v>
      </c>
      <c r="U2196" s="19"/>
      <c r="V2196" s="19"/>
    </row>
    <row r="2197" spans="1:22" x14ac:dyDescent="0.3">
      <c r="A2197" s="1" t="s">
        <v>6303</v>
      </c>
      <c r="B2197" s="5">
        <v>46234</v>
      </c>
      <c r="C2197" s="6">
        <v>0.60416666666666663</v>
      </c>
      <c r="D2197" s="1" t="s">
        <v>30</v>
      </c>
      <c r="E2197" s="1" t="s">
        <v>6186</v>
      </c>
      <c r="F2197" s="1" t="s">
        <v>6304</v>
      </c>
      <c r="G2197" s="39" t="s">
        <v>6198</v>
      </c>
      <c r="H2197" s="1">
        <v>1</v>
      </c>
      <c r="I2197" s="1">
        <v>2</v>
      </c>
      <c r="J2197" s="39" t="s">
        <v>6209</v>
      </c>
      <c r="K2197" s="1">
        <v>2</v>
      </c>
      <c r="L2197" s="1">
        <v>1</v>
      </c>
      <c r="S2197" s="1" t="s">
        <v>6305</v>
      </c>
      <c r="T2197" s="1">
        <v>1</v>
      </c>
      <c r="U2197" s="19"/>
      <c r="V2197" s="19"/>
    </row>
    <row r="2198" spans="1:22" x14ac:dyDescent="0.3">
      <c r="A2198" s="1" t="s">
        <v>6306</v>
      </c>
      <c r="B2198" s="5">
        <v>46197</v>
      </c>
      <c r="C2198" s="6">
        <v>0.54166666666666663</v>
      </c>
      <c r="D2198" s="1" t="s">
        <v>30</v>
      </c>
      <c r="E2198" s="1" t="s">
        <v>6186</v>
      </c>
      <c r="F2198" s="1" t="s">
        <v>6307</v>
      </c>
      <c r="G2198" s="39" t="s">
        <v>6209</v>
      </c>
      <c r="H2198" s="1">
        <v>2</v>
      </c>
      <c r="I2198" s="1">
        <v>1</v>
      </c>
      <c r="J2198" s="39" t="s">
        <v>6229</v>
      </c>
      <c r="K2198" s="1">
        <v>1</v>
      </c>
      <c r="L2198" s="1">
        <v>2</v>
      </c>
      <c r="S2198" s="1" t="s">
        <v>6308</v>
      </c>
      <c r="T2198" s="1">
        <v>1</v>
      </c>
      <c r="U2198" s="19"/>
      <c r="V2198" s="19"/>
    </row>
    <row r="2199" spans="1:22" x14ac:dyDescent="0.3">
      <c r="A2199" s="1" t="s">
        <v>6309</v>
      </c>
      <c r="B2199" s="5">
        <v>46191</v>
      </c>
      <c r="C2199" s="6">
        <v>0.58333333333333337</v>
      </c>
      <c r="D2199" s="1" t="s">
        <v>30</v>
      </c>
      <c r="E2199" s="1" t="s">
        <v>6186</v>
      </c>
      <c r="F2199" s="1" t="s">
        <v>6310</v>
      </c>
      <c r="G2199" s="39" t="s">
        <v>6209</v>
      </c>
      <c r="H2199" s="1">
        <v>4</v>
      </c>
      <c r="I2199" s="1">
        <v>3</v>
      </c>
      <c r="J2199" s="39" t="s">
        <v>6217</v>
      </c>
      <c r="K2199" s="1">
        <v>3</v>
      </c>
      <c r="L2199" s="1">
        <v>4</v>
      </c>
      <c r="S2199" s="1" t="s">
        <v>6311</v>
      </c>
      <c r="T2199" s="1">
        <v>1</v>
      </c>
      <c r="U2199" s="19"/>
      <c r="V2199" s="19"/>
    </row>
    <row r="2200" spans="1:22" x14ac:dyDescent="0.3">
      <c r="A2200" s="1" t="s">
        <v>6312</v>
      </c>
      <c r="B2200" s="5">
        <v>46171</v>
      </c>
      <c r="C2200" s="6">
        <v>0.59375</v>
      </c>
      <c r="D2200" s="1" t="s">
        <v>30</v>
      </c>
      <c r="E2200" s="1" t="s">
        <v>6186</v>
      </c>
      <c r="F2200" s="1" t="s">
        <v>6313</v>
      </c>
      <c r="G2200" s="39" t="s">
        <v>6205</v>
      </c>
      <c r="H2200" s="1">
        <v>2</v>
      </c>
      <c r="I2200" s="1">
        <v>3</v>
      </c>
      <c r="J2200" s="39" t="s">
        <v>6209</v>
      </c>
      <c r="K2200" s="1">
        <v>3</v>
      </c>
      <c r="L2200" s="1">
        <v>2</v>
      </c>
      <c r="S2200" s="1" t="s">
        <v>6314</v>
      </c>
      <c r="T2200" s="1">
        <v>1</v>
      </c>
      <c r="U2200" s="19"/>
      <c r="V2200" s="19"/>
    </row>
    <row r="2201" spans="1:22" x14ac:dyDescent="0.3">
      <c r="A2201" s="1" t="s">
        <v>6315</v>
      </c>
      <c r="B2201" s="5">
        <v>46165</v>
      </c>
      <c r="C2201" s="6">
        <v>0.45833333333333331</v>
      </c>
      <c r="D2201" s="1" t="s">
        <v>30</v>
      </c>
      <c r="E2201" s="1" t="s">
        <v>6186</v>
      </c>
      <c r="F2201" s="1" t="s">
        <v>6316</v>
      </c>
      <c r="G2201" s="39" t="s">
        <v>6209</v>
      </c>
      <c r="H2201" s="1">
        <v>2</v>
      </c>
      <c r="I2201" s="1">
        <v>0</v>
      </c>
      <c r="J2201" s="39" t="s">
        <v>6189</v>
      </c>
      <c r="K2201" s="1">
        <v>0</v>
      </c>
      <c r="L2201" s="1">
        <v>2</v>
      </c>
      <c r="S2201" s="1" t="s">
        <v>6317</v>
      </c>
      <c r="T2201" s="1">
        <v>1</v>
      </c>
      <c r="U2201" s="19"/>
      <c r="V2201" s="19"/>
    </row>
    <row r="2202" spans="1:22" x14ac:dyDescent="0.3">
      <c r="A2202" s="1" t="s">
        <v>6318</v>
      </c>
      <c r="B2202" s="5">
        <v>46156</v>
      </c>
      <c r="C2202" s="6">
        <v>0.41666666666666669</v>
      </c>
      <c r="D2202" s="1" t="s">
        <v>30</v>
      </c>
      <c r="E2202" s="1" t="s">
        <v>6186</v>
      </c>
      <c r="F2202" s="1" t="s">
        <v>6319</v>
      </c>
      <c r="G2202" s="39" t="s">
        <v>6194</v>
      </c>
      <c r="H2202" s="1">
        <v>1</v>
      </c>
      <c r="I2202" s="1">
        <v>3</v>
      </c>
      <c r="J2202" s="39" t="s">
        <v>6209</v>
      </c>
      <c r="K2202" s="1">
        <v>3</v>
      </c>
      <c r="L2202" s="1">
        <v>1</v>
      </c>
      <c r="S2202" s="1" t="s">
        <v>6320</v>
      </c>
      <c r="T2202" s="1">
        <v>1</v>
      </c>
      <c r="U2202" s="19"/>
      <c r="V2202" s="19"/>
    </row>
    <row r="2203" spans="1:22" x14ac:dyDescent="0.3">
      <c r="A2203" s="1" t="s">
        <v>6321</v>
      </c>
      <c r="B2203" s="5">
        <v>46151</v>
      </c>
      <c r="C2203" s="6">
        <v>0.375</v>
      </c>
      <c r="D2203" s="1" t="s">
        <v>30</v>
      </c>
      <c r="E2203" s="1" t="s">
        <v>6186</v>
      </c>
      <c r="F2203" s="1" t="s">
        <v>6322</v>
      </c>
      <c r="G2203" s="39" t="s">
        <v>6209</v>
      </c>
      <c r="H2203" s="1">
        <v>0</v>
      </c>
      <c r="I2203" s="1">
        <v>2</v>
      </c>
      <c r="J2203" s="39" t="s">
        <v>6246</v>
      </c>
      <c r="K2203" s="1">
        <v>2</v>
      </c>
      <c r="L2203" s="1">
        <v>0</v>
      </c>
      <c r="S2203" s="1" t="s">
        <v>6323</v>
      </c>
      <c r="T2203" s="1">
        <v>1</v>
      </c>
      <c r="U2203" s="19"/>
      <c r="V2203" s="19"/>
    </row>
    <row r="2204" spans="1:22" x14ac:dyDescent="0.3">
      <c r="A2204" s="1" t="s">
        <v>6324</v>
      </c>
      <c r="B2204" s="5">
        <v>46137</v>
      </c>
      <c r="C2204" s="6">
        <v>0.375</v>
      </c>
      <c r="D2204" s="1" t="s">
        <v>30</v>
      </c>
      <c r="E2204" s="1" t="s">
        <v>6186</v>
      </c>
      <c r="F2204" s="1" t="s">
        <v>6325</v>
      </c>
      <c r="G2204" s="39" t="s">
        <v>6209</v>
      </c>
      <c r="H2204" s="1">
        <v>3</v>
      </c>
      <c r="I2204" s="1">
        <v>0</v>
      </c>
      <c r="J2204" s="39" t="s">
        <v>6221</v>
      </c>
      <c r="K2204" s="1">
        <v>0</v>
      </c>
      <c r="L2204" s="1">
        <v>3</v>
      </c>
      <c r="S2204" s="1" t="s">
        <v>6326</v>
      </c>
      <c r="T2204" s="1">
        <v>1</v>
      </c>
      <c r="U2204" s="19"/>
      <c r="V2204" s="19"/>
    </row>
    <row r="2205" spans="1:22" x14ac:dyDescent="0.3">
      <c r="A2205" s="1" t="s">
        <v>6327</v>
      </c>
      <c r="B2205" s="5">
        <v>46242</v>
      </c>
      <c r="C2205" s="6">
        <v>0.33333333333333331</v>
      </c>
      <c r="D2205" s="1" t="s">
        <v>30</v>
      </c>
      <c r="E2205" s="1" t="s">
        <v>6186</v>
      </c>
      <c r="F2205" s="1" t="s">
        <v>6328</v>
      </c>
      <c r="G2205" s="39" t="s">
        <v>6246</v>
      </c>
      <c r="H2205" s="1">
        <v>2</v>
      </c>
      <c r="I2205" s="1">
        <v>0</v>
      </c>
      <c r="J2205" s="39" t="s">
        <v>6198</v>
      </c>
      <c r="K2205" s="1">
        <v>0</v>
      </c>
      <c r="L2205" s="1">
        <v>2</v>
      </c>
      <c r="S2205" s="1" t="s">
        <v>6329</v>
      </c>
      <c r="T2205" s="1">
        <v>1</v>
      </c>
      <c r="U2205" s="19"/>
      <c r="V2205" s="19"/>
    </row>
    <row r="2206" spans="1:22" x14ac:dyDescent="0.3">
      <c r="A2206" s="1" t="s">
        <v>6330</v>
      </c>
      <c r="B2206" s="5">
        <v>46200</v>
      </c>
      <c r="C2206" s="6">
        <v>0.45833333333333331</v>
      </c>
      <c r="D2206" s="1" t="s">
        <v>30</v>
      </c>
      <c r="E2206" s="1" t="s">
        <v>6186</v>
      </c>
      <c r="F2206" s="1" t="s">
        <v>6331</v>
      </c>
      <c r="G2206" s="39" t="s">
        <v>6221</v>
      </c>
      <c r="H2206" s="1">
        <v>2</v>
      </c>
      <c r="I2206" s="1">
        <v>2</v>
      </c>
      <c r="J2206" s="39" t="s">
        <v>6246</v>
      </c>
      <c r="K2206" s="1">
        <v>2</v>
      </c>
      <c r="L2206" s="1">
        <v>2</v>
      </c>
      <c r="S2206" s="1" t="s">
        <v>6332</v>
      </c>
      <c r="T2206" s="1">
        <v>1</v>
      </c>
      <c r="U2206" s="19"/>
      <c r="V2206" s="19"/>
    </row>
    <row r="2207" spans="1:22" x14ac:dyDescent="0.3">
      <c r="A2207" s="1" t="s">
        <v>6333</v>
      </c>
      <c r="B2207" s="5">
        <v>46185</v>
      </c>
      <c r="C2207" s="6">
        <v>0.58333333333333337</v>
      </c>
      <c r="D2207" s="1" t="s">
        <v>30</v>
      </c>
      <c r="E2207" s="1" t="s">
        <v>6186</v>
      </c>
      <c r="F2207" s="1" t="s">
        <v>6334</v>
      </c>
      <c r="G2207" s="39" t="s">
        <v>6213</v>
      </c>
      <c r="H2207" s="1">
        <v>0</v>
      </c>
      <c r="I2207" s="1">
        <v>4</v>
      </c>
      <c r="J2207" s="39" t="s">
        <v>6246</v>
      </c>
      <c r="K2207" s="1">
        <v>4</v>
      </c>
      <c r="L2207" s="1">
        <v>0</v>
      </c>
      <c r="S2207" s="1" t="s">
        <v>6335</v>
      </c>
      <c r="T2207" s="1">
        <v>1</v>
      </c>
      <c r="U2207" s="19"/>
      <c r="V2207" s="19"/>
    </row>
    <row r="2208" spans="1:22" x14ac:dyDescent="0.3">
      <c r="A2208" s="1" t="s">
        <v>6336</v>
      </c>
      <c r="B2208" s="5">
        <v>46180</v>
      </c>
      <c r="C2208" s="6">
        <v>0.375</v>
      </c>
      <c r="D2208" s="1" t="s">
        <v>30</v>
      </c>
      <c r="E2208" s="1" t="s">
        <v>6186</v>
      </c>
      <c r="F2208" s="1" t="s">
        <v>6337</v>
      </c>
      <c r="G2208" s="39" t="s">
        <v>6229</v>
      </c>
      <c r="H2208" s="1">
        <v>1</v>
      </c>
      <c r="I2208" s="1">
        <v>1</v>
      </c>
      <c r="J2208" s="39" t="s">
        <v>6246</v>
      </c>
      <c r="K2208" s="1">
        <v>1</v>
      </c>
      <c r="L2208" s="1">
        <v>1</v>
      </c>
      <c r="S2208" s="1" t="s">
        <v>6338</v>
      </c>
      <c r="T2208" s="1">
        <v>1</v>
      </c>
      <c r="U2208" s="19"/>
      <c r="V2208" s="19"/>
    </row>
    <row r="2209" spans="1:22" x14ac:dyDescent="0.3">
      <c r="A2209" s="1" t="s">
        <v>6339</v>
      </c>
      <c r="B2209" s="5">
        <v>46172</v>
      </c>
      <c r="C2209" s="6">
        <v>0.45833333333333331</v>
      </c>
      <c r="D2209" s="1" t="s">
        <v>30</v>
      </c>
      <c r="E2209" s="1" t="s">
        <v>6186</v>
      </c>
      <c r="F2209" s="1" t="s">
        <v>6340</v>
      </c>
      <c r="G2209" s="39" t="s">
        <v>6246</v>
      </c>
      <c r="H2209" s="1">
        <v>1</v>
      </c>
      <c r="I2209" s="1">
        <v>2</v>
      </c>
      <c r="J2209" s="39" t="s">
        <v>6221</v>
      </c>
      <c r="K2209" s="1">
        <v>2</v>
      </c>
      <c r="L2209" s="1">
        <v>1</v>
      </c>
      <c r="S2209" s="1" t="s">
        <v>6341</v>
      </c>
      <c r="T2209" s="1">
        <v>1</v>
      </c>
      <c r="U2209" s="19"/>
      <c r="V2209" s="19"/>
    </row>
    <row r="2210" spans="1:22" x14ac:dyDescent="0.3">
      <c r="A2210" s="1" t="s">
        <v>6342</v>
      </c>
      <c r="B2210" s="5">
        <v>46165</v>
      </c>
      <c r="C2210" s="6">
        <v>0.33333333333333331</v>
      </c>
      <c r="D2210" s="1" t="s">
        <v>30</v>
      </c>
      <c r="E2210" s="1" t="s">
        <v>6186</v>
      </c>
      <c r="F2210" s="1" t="s">
        <v>6343</v>
      </c>
      <c r="G2210" s="39" t="s">
        <v>6198</v>
      </c>
      <c r="H2210" s="1">
        <v>1</v>
      </c>
      <c r="I2210" s="1">
        <v>4</v>
      </c>
      <c r="J2210" s="39" t="s">
        <v>6246</v>
      </c>
      <c r="K2210" s="1">
        <v>4</v>
      </c>
      <c r="L2210" s="1">
        <v>1</v>
      </c>
      <c r="S2210" s="1" t="s">
        <v>6344</v>
      </c>
      <c r="T2210" s="1">
        <v>1</v>
      </c>
      <c r="U2210" s="19"/>
      <c r="V2210" s="19"/>
    </row>
    <row r="2211" spans="1:22" x14ac:dyDescent="0.3">
      <c r="A2211" s="1" t="s">
        <v>6345</v>
      </c>
      <c r="B2211" s="5">
        <v>46155</v>
      </c>
      <c r="C2211" s="6">
        <v>0.58333333333333337</v>
      </c>
      <c r="D2211" s="1" t="s">
        <v>30</v>
      </c>
      <c r="E2211" s="1" t="s">
        <v>6186</v>
      </c>
      <c r="F2211" s="1" t="s">
        <v>6346</v>
      </c>
      <c r="G2211" s="39" t="s">
        <v>6246</v>
      </c>
      <c r="H2211" s="1">
        <v>5</v>
      </c>
      <c r="I2211" s="1">
        <v>0</v>
      </c>
      <c r="J2211" s="39" t="s">
        <v>6242</v>
      </c>
      <c r="K2211" s="1">
        <v>0</v>
      </c>
      <c r="L2211" s="1">
        <v>5</v>
      </c>
      <c r="S2211" s="1" t="s">
        <v>6347</v>
      </c>
      <c r="T2211" s="1">
        <v>1</v>
      </c>
      <c r="U2211" s="19"/>
      <c r="V2211" s="19"/>
    </row>
    <row r="2212" spans="1:22" x14ac:dyDescent="0.3">
      <c r="A2212" s="1" t="s">
        <v>6348</v>
      </c>
      <c r="B2212" s="5">
        <v>46138</v>
      </c>
      <c r="C2212" s="6">
        <v>0.375</v>
      </c>
      <c r="D2212" s="1" t="s">
        <v>30</v>
      </c>
      <c r="E2212" s="1" t="s">
        <v>6186</v>
      </c>
      <c r="F2212" s="1" t="s">
        <v>6349</v>
      </c>
      <c r="G2212" s="39" t="s">
        <v>6189</v>
      </c>
      <c r="H2212" s="1">
        <v>3</v>
      </c>
      <c r="I2212" s="1">
        <v>2</v>
      </c>
      <c r="J2212" s="39" t="s">
        <v>6246</v>
      </c>
      <c r="K2212" s="1">
        <v>2</v>
      </c>
      <c r="L2212" s="1">
        <v>3</v>
      </c>
      <c r="S2212" s="1" t="s">
        <v>6350</v>
      </c>
      <c r="T2212" s="1">
        <v>1</v>
      </c>
      <c r="U2212" s="19"/>
      <c r="V2212" s="19"/>
    </row>
    <row r="2213" spans="1:22" x14ac:dyDescent="0.3">
      <c r="A2213" s="1" t="s">
        <v>6351</v>
      </c>
      <c r="B2213" s="5">
        <v>46243</v>
      </c>
      <c r="C2213" s="6">
        <v>0.33333333333333331</v>
      </c>
      <c r="D2213" s="1" t="s">
        <v>30</v>
      </c>
      <c r="E2213" s="1" t="s">
        <v>6186</v>
      </c>
      <c r="F2213" s="1" t="s">
        <v>6352</v>
      </c>
      <c r="G2213" s="39" t="s">
        <v>6242</v>
      </c>
      <c r="H2213" s="1">
        <v>3</v>
      </c>
      <c r="I2213" s="1">
        <v>2</v>
      </c>
      <c r="J2213" s="39" t="s">
        <v>6221</v>
      </c>
      <c r="K2213" s="1">
        <v>2</v>
      </c>
      <c r="L2213" s="1">
        <v>3</v>
      </c>
      <c r="S2213" s="1" t="s">
        <v>6353</v>
      </c>
      <c r="T2213" s="1">
        <v>1</v>
      </c>
      <c r="U2213" s="19"/>
      <c r="V2213" s="19"/>
    </row>
    <row r="2214" spans="1:22" x14ac:dyDescent="0.3">
      <c r="A2214" s="1" t="s">
        <v>6354</v>
      </c>
      <c r="B2214" s="5">
        <v>46234</v>
      </c>
      <c r="C2214" s="6">
        <v>0.59375</v>
      </c>
      <c r="D2214" s="1" t="s">
        <v>30</v>
      </c>
      <c r="E2214" s="1" t="s">
        <v>6186</v>
      </c>
      <c r="F2214" s="1" t="s">
        <v>6355</v>
      </c>
      <c r="G2214" s="39" t="s">
        <v>6205</v>
      </c>
      <c r="H2214" s="1">
        <v>2</v>
      </c>
      <c r="I2214" s="1">
        <v>4</v>
      </c>
      <c r="J2214" s="39" t="s">
        <v>6242</v>
      </c>
      <c r="K2214" s="1">
        <v>4</v>
      </c>
      <c r="L2214" s="1">
        <v>2</v>
      </c>
      <c r="S2214" s="1" t="s">
        <v>6356</v>
      </c>
      <c r="T2214" s="1">
        <v>1</v>
      </c>
      <c r="U2214" s="19"/>
      <c r="V2214" s="19"/>
    </row>
    <row r="2215" spans="1:22" x14ac:dyDescent="0.3">
      <c r="A2215" s="1" t="s">
        <v>6357</v>
      </c>
      <c r="B2215" s="5">
        <v>46188</v>
      </c>
      <c r="C2215" s="6">
        <v>0.60416666666666663</v>
      </c>
      <c r="D2215" s="1" t="s">
        <v>30</v>
      </c>
      <c r="E2215" s="1" t="s">
        <v>6186</v>
      </c>
      <c r="F2215" s="1" t="s">
        <v>6358</v>
      </c>
      <c r="G2215" s="39" t="s">
        <v>6217</v>
      </c>
      <c r="H2215" s="1">
        <v>2</v>
      </c>
      <c r="I2215" s="1">
        <v>2</v>
      </c>
      <c r="J2215" s="39" t="s">
        <v>6242</v>
      </c>
      <c r="K2215" s="1">
        <v>2</v>
      </c>
      <c r="L2215" s="1">
        <v>2</v>
      </c>
      <c r="S2215" s="1" t="s">
        <v>6359</v>
      </c>
      <c r="T2215" s="1">
        <v>1</v>
      </c>
      <c r="U2215" s="19"/>
      <c r="V2215" s="19"/>
    </row>
    <row r="2216" spans="1:22" x14ac:dyDescent="0.3">
      <c r="A2216" s="1" t="s">
        <v>6360</v>
      </c>
      <c r="B2216" s="5">
        <v>46180</v>
      </c>
      <c r="C2216" s="6">
        <v>0.33333333333333331</v>
      </c>
      <c r="D2216" s="1" t="s">
        <v>30</v>
      </c>
      <c r="E2216" s="1" t="s">
        <v>6186</v>
      </c>
      <c r="F2216" s="1" t="s">
        <v>6361</v>
      </c>
      <c r="G2216" s="39" t="s">
        <v>6242</v>
      </c>
      <c r="H2216" s="1">
        <v>1</v>
      </c>
      <c r="I2216" s="1">
        <v>0</v>
      </c>
      <c r="J2216" s="39" t="s">
        <v>6189</v>
      </c>
      <c r="K2216" s="1">
        <v>0</v>
      </c>
      <c r="L2216" s="1">
        <v>1</v>
      </c>
      <c r="S2216" s="1" t="s">
        <v>6362</v>
      </c>
      <c r="T2216" s="1">
        <v>1</v>
      </c>
      <c r="U2216" s="19"/>
      <c r="V2216" s="19"/>
    </row>
    <row r="2217" spans="1:22" x14ac:dyDescent="0.3">
      <c r="A2217" s="1" t="s">
        <v>6363</v>
      </c>
      <c r="B2217" s="5">
        <v>46172</v>
      </c>
      <c r="C2217" s="6">
        <v>0.45833333333333331</v>
      </c>
      <c r="D2217" s="1" t="s">
        <v>30</v>
      </c>
      <c r="E2217" s="1" t="s">
        <v>6186</v>
      </c>
      <c r="F2217" s="1" t="s">
        <v>6364</v>
      </c>
      <c r="G2217" s="39" t="s">
        <v>6229</v>
      </c>
      <c r="H2217" s="1">
        <v>1</v>
      </c>
      <c r="I2217" s="1">
        <v>2</v>
      </c>
      <c r="J2217" s="39" t="s">
        <v>6242</v>
      </c>
      <c r="K2217" s="1">
        <v>2</v>
      </c>
      <c r="L2217" s="1">
        <v>1</v>
      </c>
      <c r="S2217" s="1" t="s">
        <v>6365</v>
      </c>
      <c r="T2217" s="1">
        <v>1</v>
      </c>
      <c r="U2217" s="19"/>
      <c r="V2217" s="19"/>
    </row>
    <row r="2218" spans="1:22" x14ac:dyDescent="0.3">
      <c r="A2218" s="1" t="s">
        <v>6366</v>
      </c>
      <c r="B2218" s="5">
        <v>46164</v>
      </c>
      <c r="C2218" s="6">
        <v>0.58333333333333337</v>
      </c>
      <c r="D2218" s="1" t="s">
        <v>30</v>
      </c>
      <c r="E2218" s="1" t="s">
        <v>6186</v>
      </c>
      <c r="F2218" s="1" t="s">
        <v>6367</v>
      </c>
      <c r="G2218" s="39" t="s">
        <v>6242</v>
      </c>
      <c r="H2218" s="1">
        <v>1</v>
      </c>
      <c r="I2218" s="1">
        <v>1</v>
      </c>
      <c r="J2218" s="39" t="s">
        <v>6205</v>
      </c>
      <c r="K2218" s="1">
        <v>1</v>
      </c>
      <c r="L2218" s="1">
        <v>1</v>
      </c>
      <c r="S2218" s="1" t="s">
        <v>6368</v>
      </c>
      <c r="T2218" s="1">
        <v>1</v>
      </c>
      <c r="U2218" s="19"/>
      <c r="V2218" s="19"/>
    </row>
    <row r="2219" spans="1:22" x14ac:dyDescent="0.3">
      <c r="A2219" s="1" t="s">
        <v>6369</v>
      </c>
      <c r="B2219" s="5">
        <v>46150</v>
      </c>
      <c r="C2219" s="6">
        <v>0.58333333333333337</v>
      </c>
      <c r="D2219" s="1" t="s">
        <v>30</v>
      </c>
      <c r="E2219" s="1" t="s">
        <v>6186</v>
      </c>
      <c r="F2219" s="1" t="s">
        <v>6370</v>
      </c>
      <c r="G2219" s="39" t="s">
        <v>6242</v>
      </c>
      <c r="H2219" s="1">
        <v>4</v>
      </c>
      <c r="I2219" s="1">
        <v>0</v>
      </c>
      <c r="J2219" s="39" t="s">
        <v>6213</v>
      </c>
      <c r="K2219" s="1">
        <v>0</v>
      </c>
      <c r="L2219" s="1">
        <v>4</v>
      </c>
      <c r="S2219" s="1" t="s">
        <v>6371</v>
      </c>
      <c r="T2219" s="1">
        <v>1</v>
      </c>
      <c r="U2219" s="19"/>
      <c r="V2219" s="19"/>
    </row>
    <row r="2220" spans="1:22" x14ac:dyDescent="0.3">
      <c r="A2220" s="1" t="s">
        <v>6372</v>
      </c>
      <c r="B2220" s="5">
        <v>46143</v>
      </c>
      <c r="C2220" s="6">
        <v>0.33333333333333331</v>
      </c>
      <c r="D2220" s="1" t="s">
        <v>30</v>
      </c>
      <c r="E2220" s="1" t="s">
        <v>6186</v>
      </c>
      <c r="F2220" s="1" t="s">
        <v>6373</v>
      </c>
      <c r="G2220" s="39" t="s">
        <v>6221</v>
      </c>
      <c r="H2220" s="1">
        <v>2</v>
      </c>
      <c r="I2220" s="1">
        <v>2</v>
      </c>
      <c r="J2220" s="39" t="s">
        <v>6242</v>
      </c>
      <c r="K2220" s="1">
        <v>2</v>
      </c>
      <c r="L2220" s="1">
        <v>2</v>
      </c>
      <c r="S2220" s="1" t="s">
        <v>6374</v>
      </c>
      <c r="T2220" s="1">
        <v>1</v>
      </c>
      <c r="U2220" s="19"/>
      <c r="V2220" s="19"/>
    </row>
    <row r="2221" spans="1:22" x14ac:dyDescent="0.3">
      <c r="A2221" s="1" t="s">
        <v>6375</v>
      </c>
      <c r="B2221" s="5">
        <v>46138</v>
      </c>
      <c r="C2221" s="6">
        <v>0.33333333333333331</v>
      </c>
      <c r="D2221" s="1" t="s">
        <v>30</v>
      </c>
      <c r="E2221" s="1" t="s">
        <v>6186</v>
      </c>
      <c r="F2221" s="1" t="s">
        <v>6376</v>
      </c>
      <c r="G2221" s="39" t="s">
        <v>6242</v>
      </c>
      <c r="H2221" s="1">
        <v>3</v>
      </c>
      <c r="I2221" s="1">
        <v>1</v>
      </c>
      <c r="J2221" s="39" t="s">
        <v>6194</v>
      </c>
      <c r="K2221" s="1">
        <v>1</v>
      </c>
      <c r="L2221" s="1">
        <v>3</v>
      </c>
      <c r="S2221" s="1" t="s">
        <v>6377</v>
      </c>
      <c r="T2221" s="1">
        <v>1</v>
      </c>
      <c r="U2221" s="19"/>
      <c r="V2221" s="19"/>
    </row>
    <row r="2222" spans="1:22" x14ac:dyDescent="0.3">
      <c r="A2222" s="1" t="s">
        <v>6378</v>
      </c>
      <c r="B2222" s="5">
        <v>46242</v>
      </c>
      <c r="C2222" s="6">
        <v>0.45833333333333331</v>
      </c>
      <c r="D2222" s="1" t="s">
        <v>30</v>
      </c>
      <c r="E2222" s="1" t="s">
        <v>6186</v>
      </c>
      <c r="F2222" s="1" t="s">
        <v>6379</v>
      </c>
      <c r="G2222" s="39" t="s">
        <v>6194</v>
      </c>
      <c r="H2222" s="1">
        <v>1</v>
      </c>
      <c r="I2222" s="1">
        <v>2</v>
      </c>
      <c r="J2222" s="39" t="s">
        <v>6213</v>
      </c>
      <c r="K2222" s="1">
        <v>2</v>
      </c>
      <c r="L2222" s="1">
        <v>1</v>
      </c>
      <c r="S2222" s="1" t="s">
        <v>6380</v>
      </c>
      <c r="T2222" s="1">
        <v>1</v>
      </c>
      <c r="U2222" s="19"/>
      <c r="V2222" s="19"/>
    </row>
    <row r="2223" spans="1:22" x14ac:dyDescent="0.3">
      <c r="A2223" s="1" t="s">
        <v>6381</v>
      </c>
      <c r="B2223" s="5">
        <v>46199</v>
      </c>
      <c r="C2223" s="6">
        <v>0.59375</v>
      </c>
      <c r="D2223" s="1" t="s">
        <v>30</v>
      </c>
      <c r="E2223" s="1" t="s">
        <v>6186</v>
      </c>
      <c r="F2223" s="1" t="s">
        <v>6382</v>
      </c>
      <c r="G2223" s="39" t="s">
        <v>6217</v>
      </c>
      <c r="H2223" s="1">
        <v>1</v>
      </c>
      <c r="I2223" s="1">
        <v>0</v>
      </c>
      <c r="J2223" s="39" t="s">
        <v>6213</v>
      </c>
      <c r="K2223" s="1">
        <v>0</v>
      </c>
      <c r="L2223" s="1">
        <v>1</v>
      </c>
      <c r="S2223" s="1" t="s">
        <v>6383</v>
      </c>
      <c r="T2223" s="1">
        <v>1</v>
      </c>
      <c r="U2223" s="19"/>
      <c r="V2223" s="19"/>
    </row>
    <row r="2224" spans="1:22" x14ac:dyDescent="0.3">
      <c r="A2224" s="1" t="s">
        <v>6384</v>
      </c>
      <c r="B2224" s="5">
        <v>46191</v>
      </c>
      <c r="C2224" s="6">
        <v>0.59375</v>
      </c>
      <c r="D2224" s="1" t="s">
        <v>30</v>
      </c>
      <c r="E2224" s="1" t="s">
        <v>6186</v>
      </c>
      <c r="F2224" s="1" t="s">
        <v>6385</v>
      </c>
      <c r="G2224" s="39" t="s">
        <v>6205</v>
      </c>
      <c r="H2224" s="1">
        <v>2</v>
      </c>
      <c r="I2224" s="1">
        <v>4</v>
      </c>
      <c r="J2224" s="39" t="s">
        <v>6213</v>
      </c>
      <c r="K2224" s="1">
        <v>4</v>
      </c>
      <c r="L2224" s="1">
        <v>2</v>
      </c>
      <c r="S2224" s="1" t="s">
        <v>6386</v>
      </c>
      <c r="T2224" s="1">
        <v>1</v>
      </c>
      <c r="U2224" s="19"/>
      <c r="V2224" s="19"/>
    </row>
    <row r="2225" spans="1:22" x14ac:dyDescent="0.3">
      <c r="A2225" s="1" t="s">
        <v>6387</v>
      </c>
      <c r="B2225" s="5">
        <v>46177</v>
      </c>
      <c r="C2225" s="6">
        <v>0.58333333333333337</v>
      </c>
      <c r="D2225" s="1" t="s">
        <v>30</v>
      </c>
      <c r="E2225" s="1" t="s">
        <v>6186</v>
      </c>
      <c r="F2225" s="1" t="s">
        <v>6388</v>
      </c>
      <c r="G2225" s="39" t="s">
        <v>6213</v>
      </c>
      <c r="H2225" s="1">
        <v>5</v>
      </c>
      <c r="I2225" s="1">
        <v>0</v>
      </c>
      <c r="J2225" s="39" t="s">
        <v>6217</v>
      </c>
      <c r="K2225" s="1">
        <v>0</v>
      </c>
      <c r="L2225" s="1">
        <v>5</v>
      </c>
      <c r="S2225" s="1" t="s">
        <v>6389</v>
      </c>
      <c r="T2225" s="1">
        <v>1</v>
      </c>
      <c r="U2225" s="19"/>
      <c r="V2225" s="19"/>
    </row>
    <row r="2226" spans="1:22" x14ac:dyDescent="0.3">
      <c r="A2226" s="1" t="s">
        <v>6390</v>
      </c>
      <c r="B2226" s="5">
        <v>46165</v>
      </c>
      <c r="C2226" s="6">
        <v>0.45833333333333331</v>
      </c>
      <c r="D2226" s="1" t="s">
        <v>30</v>
      </c>
      <c r="E2226" s="1" t="s">
        <v>6186</v>
      </c>
      <c r="F2226" s="1" t="s">
        <v>6391</v>
      </c>
      <c r="G2226" s="39" t="s">
        <v>6213</v>
      </c>
      <c r="H2226" s="1">
        <v>6</v>
      </c>
      <c r="I2226" s="1">
        <v>0</v>
      </c>
      <c r="J2226" s="39" t="s">
        <v>6194</v>
      </c>
      <c r="K2226" s="1">
        <v>0</v>
      </c>
      <c r="L2226" s="1">
        <v>6</v>
      </c>
      <c r="S2226" s="1" t="s">
        <v>6392</v>
      </c>
      <c r="T2226" s="1">
        <v>1</v>
      </c>
      <c r="U2226" s="19"/>
      <c r="V2226" s="19"/>
    </row>
    <row r="2227" spans="1:22" x14ac:dyDescent="0.3">
      <c r="A2227" s="1" t="s">
        <v>6393</v>
      </c>
      <c r="B2227" s="5">
        <v>46159</v>
      </c>
      <c r="C2227" s="6">
        <v>0.41666666666666669</v>
      </c>
      <c r="D2227" s="1" t="s">
        <v>30</v>
      </c>
      <c r="E2227" s="1" t="s">
        <v>6186</v>
      </c>
      <c r="F2227" s="1" t="s">
        <v>6394</v>
      </c>
      <c r="G2227" s="39" t="s">
        <v>6213</v>
      </c>
      <c r="H2227" s="1">
        <v>1</v>
      </c>
      <c r="I2227" s="1">
        <v>1</v>
      </c>
      <c r="J2227" s="39" t="s">
        <v>6189</v>
      </c>
      <c r="K2227" s="1">
        <v>1</v>
      </c>
      <c r="L2227" s="1">
        <v>1</v>
      </c>
      <c r="S2227" s="1" t="s">
        <v>6395</v>
      </c>
      <c r="T2227" s="1">
        <v>1</v>
      </c>
      <c r="U2227" s="19"/>
      <c r="V2227" s="19"/>
    </row>
    <row r="2228" spans="1:22" x14ac:dyDescent="0.3">
      <c r="A2228" s="1" t="s">
        <v>6396</v>
      </c>
      <c r="B2228" s="5">
        <v>46145</v>
      </c>
      <c r="C2228" s="6">
        <v>0.41666666666666669</v>
      </c>
      <c r="D2228" s="1" t="s">
        <v>30</v>
      </c>
      <c r="E2228" s="1" t="s">
        <v>6186</v>
      </c>
      <c r="F2228" s="1" t="s">
        <v>6397</v>
      </c>
      <c r="G2228" s="39" t="s">
        <v>6213</v>
      </c>
      <c r="H2228" s="1">
        <v>2</v>
      </c>
      <c r="I2228" s="1">
        <v>0</v>
      </c>
      <c r="J2228" s="39" t="s">
        <v>6198</v>
      </c>
      <c r="K2228" s="1">
        <v>0</v>
      </c>
      <c r="L2228" s="1">
        <v>2</v>
      </c>
      <c r="S2228" s="1" t="s">
        <v>6398</v>
      </c>
      <c r="T2228" s="1">
        <v>1</v>
      </c>
      <c r="U2228" s="19"/>
      <c r="V2228" s="19"/>
    </row>
    <row r="2229" spans="1:22" x14ac:dyDescent="0.3">
      <c r="A2229" s="1" t="s">
        <v>6399</v>
      </c>
      <c r="B2229" s="5">
        <v>46235</v>
      </c>
      <c r="C2229" s="6">
        <v>0.33333333333333331</v>
      </c>
      <c r="D2229" s="1" t="s">
        <v>30</v>
      </c>
      <c r="E2229" s="1" t="s">
        <v>6186</v>
      </c>
      <c r="F2229" s="1" t="s">
        <v>6400</v>
      </c>
      <c r="G2229" s="39" t="s">
        <v>6217</v>
      </c>
      <c r="H2229" s="1">
        <v>3</v>
      </c>
      <c r="I2229" s="1">
        <v>3</v>
      </c>
      <c r="J2229" s="39" t="s">
        <v>6189</v>
      </c>
      <c r="K2229" s="1">
        <v>3</v>
      </c>
      <c r="L2229" s="1">
        <v>3</v>
      </c>
      <c r="S2229" s="1" t="s">
        <v>6401</v>
      </c>
      <c r="T2229" s="1">
        <v>1</v>
      </c>
      <c r="U2229" s="19"/>
      <c r="V2229" s="19"/>
    </row>
    <row r="2230" spans="1:22" x14ac:dyDescent="0.3">
      <c r="A2230" s="1" t="s">
        <v>6402</v>
      </c>
      <c r="B2230" s="5">
        <v>46200</v>
      </c>
      <c r="C2230" s="6">
        <v>0.45833333333333331</v>
      </c>
      <c r="D2230" s="1" t="s">
        <v>30</v>
      </c>
      <c r="E2230" s="1" t="s">
        <v>6186</v>
      </c>
      <c r="F2230" s="1" t="s">
        <v>6403</v>
      </c>
      <c r="G2230" s="39" t="s">
        <v>6189</v>
      </c>
      <c r="H2230" s="1">
        <v>0</v>
      </c>
      <c r="I2230" s="1">
        <v>1</v>
      </c>
      <c r="J2230" s="39" t="s">
        <v>6205</v>
      </c>
      <c r="K2230" s="1">
        <v>1</v>
      </c>
      <c r="L2230" s="1">
        <v>0</v>
      </c>
      <c r="S2230" s="1" t="s">
        <v>6404</v>
      </c>
      <c r="T2230" s="1">
        <v>1</v>
      </c>
      <c r="U2230" s="19"/>
      <c r="V2230" s="19"/>
    </row>
    <row r="2231" spans="1:22" x14ac:dyDescent="0.3">
      <c r="A2231" s="1" t="s">
        <v>6405</v>
      </c>
      <c r="B2231" s="5">
        <v>46194</v>
      </c>
      <c r="C2231" s="6">
        <v>0.45833333333333331</v>
      </c>
      <c r="D2231" s="1" t="s">
        <v>30</v>
      </c>
      <c r="E2231" s="1" t="s">
        <v>6186</v>
      </c>
      <c r="F2231" s="1" t="s">
        <v>6406</v>
      </c>
      <c r="G2231" s="39" t="s">
        <v>6198</v>
      </c>
      <c r="H2231" s="1">
        <v>1</v>
      </c>
      <c r="I2231" s="1">
        <v>3</v>
      </c>
      <c r="J2231" s="39" t="s">
        <v>6189</v>
      </c>
      <c r="K2231" s="1">
        <v>3</v>
      </c>
      <c r="L2231" s="1">
        <v>1</v>
      </c>
      <c r="S2231" s="1" t="s">
        <v>6407</v>
      </c>
      <c r="T2231" s="1">
        <v>1</v>
      </c>
      <c r="U2231" s="19"/>
      <c r="V2231" s="19"/>
    </row>
    <row r="2232" spans="1:22" x14ac:dyDescent="0.3">
      <c r="A2232" s="1" t="s">
        <v>6408</v>
      </c>
      <c r="B2232" s="5">
        <v>46184</v>
      </c>
      <c r="C2232" s="6">
        <v>0.58333333333333337</v>
      </c>
      <c r="D2232" s="1" t="s">
        <v>30</v>
      </c>
      <c r="E2232" s="1" t="s">
        <v>6186</v>
      </c>
      <c r="F2232" s="1" t="s">
        <v>6409</v>
      </c>
      <c r="G2232" s="39" t="s">
        <v>6189</v>
      </c>
      <c r="H2232" s="1">
        <v>0</v>
      </c>
      <c r="I2232" s="1">
        <v>0</v>
      </c>
      <c r="J2232" s="39" t="s">
        <v>6229</v>
      </c>
      <c r="K2232" s="1">
        <v>0</v>
      </c>
      <c r="L2232" s="1">
        <v>0</v>
      </c>
      <c r="S2232" s="1" t="s">
        <v>6410</v>
      </c>
      <c r="T2232" s="1">
        <v>1</v>
      </c>
      <c r="U2232" s="19"/>
      <c r="V2232" s="19"/>
    </row>
    <row r="2233" spans="1:22" x14ac:dyDescent="0.3">
      <c r="A2233" s="1" t="s">
        <v>6411</v>
      </c>
      <c r="B2233" s="5">
        <v>46173</v>
      </c>
      <c r="C2233" s="6">
        <v>0.375</v>
      </c>
      <c r="D2233" s="1" t="s">
        <v>30</v>
      </c>
      <c r="E2233" s="1" t="s">
        <v>6186</v>
      </c>
      <c r="F2233" s="1" t="s">
        <v>6412</v>
      </c>
      <c r="G2233" s="39" t="s">
        <v>6189</v>
      </c>
      <c r="H2233" s="1">
        <v>2</v>
      </c>
      <c r="I2233" s="1">
        <v>0</v>
      </c>
      <c r="J2233" s="39" t="s">
        <v>6217</v>
      </c>
      <c r="K2233" s="1">
        <v>0</v>
      </c>
      <c r="L2233" s="1">
        <v>2</v>
      </c>
      <c r="S2233" s="1" t="s">
        <v>6413</v>
      </c>
      <c r="T2233" s="1">
        <v>1</v>
      </c>
      <c r="U2233" s="19"/>
      <c r="V2233" s="19"/>
    </row>
    <row r="2234" spans="1:22" x14ac:dyDescent="0.3">
      <c r="A2234" s="1" t="s">
        <v>6414</v>
      </c>
      <c r="B2234" s="5">
        <v>46143</v>
      </c>
      <c r="C2234" s="6">
        <v>0.41666666666666669</v>
      </c>
      <c r="D2234" s="1" t="s">
        <v>30</v>
      </c>
      <c r="E2234" s="1" t="s">
        <v>6186</v>
      </c>
      <c r="F2234" s="1" t="s">
        <v>6415</v>
      </c>
      <c r="G2234" s="39" t="s">
        <v>6194</v>
      </c>
      <c r="H2234" s="1">
        <v>0</v>
      </c>
      <c r="I2234" s="1">
        <v>3</v>
      </c>
      <c r="J2234" s="39" t="s">
        <v>6189</v>
      </c>
      <c r="K2234" s="1">
        <v>3</v>
      </c>
      <c r="L2234" s="1">
        <v>0</v>
      </c>
      <c r="S2234" s="1" t="s">
        <v>6416</v>
      </c>
      <c r="T2234" s="1">
        <v>1</v>
      </c>
      <c r="U2234" s="19"/>
      <c r="V2234" s="19"/>
    </row>
    <row r="2235" spans="1:22" x14ac:dyDescent="0.3">
      <c r="A2235" s="1" t="s">
        <v>6417</v>
      </c>
      <c r="B2235" s="5">
        <v>46242</v>
      </c>
      <c r="C2235" s="6">
        <v>0.375</v>
      </c>
      <c r="D2235" s="1" t="s">
        <v>30</v>
      </c>
      <c r="E2235" s="1" t="s">
        <v>6186</v>
      </c>
      <c r="F2235" s="1" t="s">
        <v>6418</v>
      </c>
      <c r="G2235" s="39" t="s">
        <v>6229</v>
      </c>
      <c r="H2235" s="1">
        <v>2</v>
      </c>
      <c r="I2235" s="1">
        <v>1</v>
      </c>
      <c r="J2235" s="39" t="s">
        <v>6217</v>
      </c>
      <c r="K2235" s="1">
        <v>1</v>
      </c>
      <c r="L2235" s="1">
        <v>2</v>
      </c>
      <c r="S2235" s="1" t="s">
        <v>6419</v>
      </c>
      <c r="T2235" s="1">
        <v>1</v>
      </c>
      <c r="U2235" s="19"/>
      <c r="V2235" s="19"/>
    </row>
    <row r="2236" spans="1:22" x14ac:dyDescent="0.3">
      <c r="A2236" s="1" t="s">
        <v>6420</v>
      </c>
      <c r="B2236" s="5">
        <v>46234</v>
      </c>
      <c r="C2236" s="6">
        <v>0.58333333333333337</v>
      </c>
      <c r="D2236" s="1" t="s">
        <v>30</v>
      </c>
      <c r="E2236" s="1" t="s">
        <v>6186</v>
      </c>
      <c r="F2236" s="1" t="s">
        <v>6421</v>
      </c>
      <c r="G2236" s="39" t="s">
        <v>6221</v>
      </c>
      <c r="H2236" s="1">
        <v>2</v>
      </c>
      <c r="I2236" s="1">
        <v>0</v>
      </c>
      <c r="J2236" s="39" t="s">
        <v>6229</v>
      </c>
      <c r="K2236" s="1">
        <v>0</v>
      </c>
      <c r="L2236" s="1">
        <v>2</v>
      </c>
      <c r="S2236" s="1" t="s">
        <v>6422</v>
      </c>
      <c r="T2236" s="1">
        <v>1</v>
      </c>
      <c r="U2236" s="19"/>
      <c r="V2236" s="19"/>
    </row>
    <row r="2237" spans="1:22" x14ac:dyDescent="0.3">
      <c r="A2237" s="1" t="s">
        <v>6423</v>
      </c>
      <c r="B2237" s="5">
        <v>46191</v>
      </c>
      <c r="C2237" s="6">
        <v>0.60416666666666663</v>
      </c>
      <c r="D2237" s="1" t="s">
        <v>30</v>
      </c>
      <c r="E2237" s="1" t="s">
        <v>6186</v>
      </c>
      <c r="F2237" s="1" t="s">
        <v>6424</v>
      </c>
      <c r="G2237" s="39" t="s">
        <v>6229</v>
      </c>
      <c r="H2237" s="1">
        <v>1</v>
      </c>
      <c r="I2237" s="1">
        <v>0</v>
      </c>
      <c r="J2237" s="39" t="s">
        <v>6221</v>
      </c>
      <c r="K2237" s="1">
        <v>0</v>
      </c>
      <c r="L2237" s="1">
        <v>1</v>
      </c>
      <c r="S2237" s="1" t="s">
        <v>6425</v>
      </c>
      <c r="T2237" s="1">
        <v>1</v>
      </c>
      <c r="U2237" s="19"/>
      <c r="V2237" s="19"/>
    </row>
    <row r="2238" spans="1:22" x14ac:dyDescent="0.3">
      <c r="A2238" s="1" t="s">
        <v>6426</v>
      </c>
      <c r="B2238" s="5">
        <v>46186</v>
      </c>
      <c r="C2238" s="6">
        <v>0.33333333333333331</v>
      </c>
      <c r="D2238" s="1" t="s">
        <v>30</v>
      </c>
      <c r="E2238" s="1" t="s">
        <v>6186</v>
      </c>
      <c r="F2238" s="1" t="s">
        <v>6427</v>
      </c>
      <c r="G2238" s="39" t="s">
        <v>6221</v>
      </c>
      <c r="H2238" s="1">
        <v>1</v>
      </c>
      <c r="I2238" s="1">
        <v>1</v>
      </c>
      <c r="J2238" s="39" t="s">
        <v>6198</v>
      </c>
      <c r="K2238" s="1">
        <v>1</v>
      </c>
      <c r="L2238" s="1">
        <v>1</v>
      </c>
      <c r="S2238" s="1" t="s">
        <v>6428</v>
      </c>
      <c r="T2238" s="1">
        <v>1</v>
      </c>
      <c r="U2238" s="19"/>
      <c r="V2238" s="19"/>
    </row>
    <row r="2239" spans="1:22" x14ac:dyDescent="0.3">
      <c r="A2239" s="1" t="s">
        <v>6429</v>
      </c>
      <c r="B2239" s="5">
        <v>46179</v>
      </c>
      <c r="C2239" s="6">
        <v>0.33333333333333331</v>
      </c>
      <c r="D2239" s="1" t="s">
        <v>30</v>
      </c>
      <c r="E2239" s="1" t="s">
        <v>6186</v>
      </c>
      <c r="F2239" s="1" t="s">
        <v>6430</v>
      </c>
      <c r="G2239" s="39" t="s">
        <v>6221</v>
      </c>
      <c r="H2239" s="1">
        <v>0</v>
      </c>
      <c r="I2239" s="1">
        <v>1</v>
      </c>
      <c r="J2239" s="39" t="s">
        <v>6194</v>
      </c>
      <c r="K2239" s="1">
        <v>1</v>
      </c>
      <c r="L2239" s="1">
        <v>0</v>
      </c>
      <c r="S2239" s="1" t="s">
        <v>6431</v>
      </c>
      <c r="T2239" s="1">
        <v>1</v>
      </c>
      <c r="U2239" s="19"/>
      <c r="V2239" s="19"/>
    </row>
    <row r="2240" spans="1:22" x14ac:dyDescent="0.3">
      <c r="A2240" s="1" t="s">
        <v>6432</v>
      </c>
      <c r="B2240" s="5">
        <v>46171</v>
      </c>
      <c r="C2240" s="6">
        <v>0.60416666666666663</v>
      </c>
      <c r="D2240" s="1" t="s">
        <v>30</v>
      </c>
      <c r="E2240" s="1" t="s">
        <v>6186</v>
      </c>
      <c r="F2240" s="1" t="s">
        <v>6433</v>
      </c>
      <c r="G2240" s="39" t="s">
        <v>6194</v>
      </c>
      <c r="H2240" s="1">
        <v>0</v>
      </c>
      <c r="I2240" s="1">
        <v>2</v>
      </c>
      <c r="J2240" s="39" t="s">
        <v>6198</v>
      </c>
      <c r="K2240" s="1">
        <v>2</v>
      </c>
      <c r="L2240" s="1">
        <v>0</v>
      </c>
      <c r="S2240" s="1" t="s">
        <v>6434</v>
      </c>
      <c r="T2240" s="1">
        <v>1</v>
      </c>
      <c r="U2240" s="19"/>
      <c r="V2240" s="19"/>
    </row>
    <row r="2241" spans="1:22" x14ac:dyDescent="0.3">
      <c r="A2241" s="1" t="s">
        <v>6435</v>
      </c>
      <c r="B2241" s="5">
        <v>46156</v>
      </c>
      <c r="C2241" s="6">
        <v>0.375</v>
      </c>
      <c r="D2241" s="1" t="s">
        <v>30</v>
      </c>
      <c r="E2241" s="1" t="s">
        <v>6186</v>
      </c>
      <c r="F2241" s="1" t="s">
        <v>6436</v>
      </c>
      <c r="G2241" s="39" t="s">
        <v>6205</v>
      </c>
      <c r="H2241" s="1">
        <v>3</v>
      </c>
      <c r="I2241" s="1">
        <v>2</v>
      </c>
      <c r="J2241" s="39" t="s">
        <v>6198</v>
      </c>
      <c r="K2241" s="1">
        <v>2</v>
      </c>
      <c r="L2241" s="1">
        <v>3</v>
      </c>
      <c r="S2241" s="1" t="s">
        <v>6437</v>
      </c>
      <c r="T2241" s="1">
        <v>1</v>
      </c>
      <c r="U2241" s="19"/>
      <c r="V2241" s="19"/>
    </row>
    <row r="2242" spans="1:22" x14ac:dyDescent="0.3">
      <c r="A2242" s="1" t="s">
        <v>6438</v>
      </c>
      <c r="B2242" s="5">
        <v>46152</v>
      </c>
      <c r="C2242" s="6">
        <v>0.45833333333333331</v>
      </c>
      <c r="D2242" s="1" t="s">
        <v>30</v>
      </c>
      <c r="E2242" s="1" t="s">
        <v>6186</v>
      </c>
      <c r="F2242" s="1" t="s">
        <v>6439</v>
      </c>
      <c r="G2242" s="39" t="s">
        <v>6221</v>
      </c>
      <c r="H2242" s="1">
        <v>2</v>
      </c>
      <c r="I2242" s="1">
        <v>2</v>
      </c>
      <c r="J2242" s="39" t="s">
        <v>6205</v>
      </c>
      <c r="K2242" s="1">
        <v>2</v>
      </c>
      <c r="L2242" s="1">
        <v>2</v>
      </c>
      <c r="S2242" s="1" t="s">
        <v>6440</v>
      </c>
      <c r="T2242" s="1">
        <v>1</v>
      </c>
      <c r="U2242" s="19"/>
      <c r="V2242" s="19"/>
    </row>
    <row r="2243" spans="1:22" x14ac:dyDescent="0.3">
      <c r="A2243" s="1" t="s">
        <v>6441</v>
      </c>
      <c r="B2243" s="5">
        <v>46150</v>
      </c>
      <c r="C2243" s="6">
        <v>0.59375</v>
      </c>
      <c r="D2243" s="1" t="s">
        <v>30</v>
      </c>
      <c r="E2243" s="1" t="s">
        <v>6186</v>
      </c>
      <c r="F2243" s="1" t="s">
        <v>6442</v>
      </c>
      <c r="G2243" s="39" t="s">
        <v>6217</v>
      </c>
      <c r="H2243" s="1">
        <v>0</v>
      </c>
      <c r="I2243" s="1">
        <v>1</v>
      </c>
      <c r="J2243" s="39" t="s">
        <v>6194</v>
      </c>
      <c r="K2243" s="1">
        <v>1</v>
      </c>
      <c r="L2243" s="1">
        <v>0</v>
      </c>
      <c r="S2243" s="1" t="s">
        <v>6443</v>
      </c>
      <c r="T2243" s="1">
        <v>1</v>
      </c>
      <c r="U2243" s="19"/>
      <c r="V2243" s="19"/>
    </row>
    <row r="2244" spans="1:22" x14ac:dyDescent="0.3">
      <c r="A2244" s="1" t="s">
        <v>6444</v>
      </c>
      <c r="B2244" s="5">
        <v>46150</v>
      </c>
      <c r="C2244" s="6">
        <v>0.58333333333333337</v>
      </c>
      <c r="D2244" s="1" t="s">
        <v>30</v>
      </c>
      <c r="E2244" s="1" t="s">
        <v>6186</v>
      </c>
      <c r="F2244" s="1" t="s">
        <v>6445</v>
      </c>
      <c r="G2244" s="39" t="s">
        <v>6198</v>
      </c>
      <c r="H2244" s="1">
        <v>1</v>
      </c>
      <c r="I2244" s="1">
        <v>1</v>
      </c>
      <c r="J2244" s="39" t="s">
        <v>6229</v>
      </c>
      <c r="K2244" s="1">
        <v>1</v>
      </c>
      <c r="L2244" s="1">
        <v>1</v>
      </c>
      <c r="S2244" s="1" t="s">
        <v>6446</v>
      </c>
      <c r="T2244" s="1">
        <v>1</v>
      </c>
      <c r="U2244" s="19"/>
      <c r="V2244" s="19"/>
    </row>
    <row r="2245" spans="1:22" x14ac:dyDescent="0.3">
      <c r="A2245" s="1" t="s">
        <v>6447</v>
      </c>
      <c r="B2245" s="5">
        <v>46137</v>
      </c>
      <c r="C2245" s="6">
        <v>0.33333333333333331</v>
      </c>
      <c r="D2245" s="1" t="s">
        <v>30</v>
      </c>
      <c r="E2245" s="1" t="s">
        <v>6186</v>
      </c>
      <c r="F2245" s="1" t="s">
        <v>6448</v>
      </c>
      <c r="G2245" s="39" t="s">
        <v>6229</v>
      </c>
      <c r="H2245" s="1">
        <v>0</v>
      </c>
      <c r="I2245" s="1">
        <v>0</v>
      </c>
      <c r="J2245" s="39" t="s">
        <v>6205</v>
      </c>
      <c r="K2245" s="1">
        <v>0</v>
      </c>
      <c r="L2245" s="1">
        <v>0</v>
      </c>
      <c r="S2245" s="1" t="s">
        <v>6449</v>
      </c>
      <c r="T2245" s="1">
        <v>1</v>
      </c>
      <c r="U2245" s="19"/>
      <c r="V2245" s="19"/>
    </row>
    <row r="2246" spans="1:22" x14ac:dyDescent="0.3">
      <c r="A2246" s="1" t="s">
        <v>6450</v>
      </c>
      <c r="B2246" s="5">
        <v>46143</v>
      </c>
      <c r="C2246" s="6">
        <v>0.375</v>
      </c>
      <c r="D2246" s="1" t="s">
        <v>30</v>
      </c>
      <c r="E2246" s="1" t="s">
        <v>6186</v>
      </c>
      <c r="F2246" s="1" t="s">
        <v>6451</v>
      </c>
      <c r="G2246" s="39" t="s">
        <v>6205</v>
      </c>
      <c r="H2246" s="1">
        <v>1</v>
      </c>
      <c r="I2246" s="1">
        <v>2</v>
      </c>
      <c r="J2246" s="39" t="s">
        <v>6217</v>
      </c>
      <c r="K2246" s="1">
        <v>2</v>
      </c>
      <c r="L2246" s="1">
        <v>1</v>
      </c>
      <c r="S2246" s="1" t="s">
        <v>6452</v>
      </c>
      <c r="T2246" s="1">
        <v>1</v>
      </c>
      <c r="U2246" s="19"/>
      <c r="V2246" s="19"/>
    </row>
    <row r="2247" spans="1:22" x14ac:dyDescent="0.3">
      <c r="A2247" s="1" t="s">
        <v>6453</v>
      </c>
      <c r="B2247" s="5">
        <v>46243</v>
      </c>
      <c r="C2247" s="6">
        <v>0.33333333333333331</v>
      </c>
      <c r="D2247" s="1" t="s">
        <v>30</v>
      </c>
      <c r="E2247" s="1" t="s">
        <v>36</v>
      </c>
      <c r="F2247" s="1" t="s">
        <v>6454</v>
      </c>
      <c r="G2247" s="39" t="s">
        <v>6455</v>
      </c>
      <c r="H2247" s="1">
        <v>2</v>
      </c>
      <c r="I2247" s="1">
        <v>2</v>
      </c>
      <c r="J2247" s="39" t="s">
        <v>6456</v>
      </c>
      <c r="K2247" s="1">
        <v>2</v>
      </c>
      <c r="L2247" s="1">
        <v>2</v>
      </c>
      <c r="S2247" s="1" t="s">
        <v>6457</v>
      </c>
      <c r="T2247" s="1">
        <v>1</v>
      </c>
      <c r="U2247" s="19"/>
      <c r="V2247" s="19"/>
    </row>
    <row r="2248" spans="1:22" x14ac:dyDescent="0.3">
      <c r="A2248" s="1" t="s">
        <v>6458</v>
      </c>
      <c r="B2248" s="5">
        <v>46236</v>
      </c>
      <c r="C2248" s="6">
        <v>0.54166666666666663</v>
      </c>
      <c r="D2248" s="1" t="s">
        <v>30</v>
      </c>
      <c r="E2248" s="1" t="s">
        <v>36</v>
      </c>
      <c r="F2248" s="1" t="s">
        <v>6459</v>
      </c>
      <c r="G2248" s="39" t="s">
        <v>6456</v>
      </c>
      <c r="H2248" s="1">
        <v>1</v>
      </c>
      <c r="I2248" s="1">
        <v>0</v>
      </c>
      <c r="J2248" s="39" t="s">
        <v>6460</v>
      </c>
      <c r="K2248" s="1">
        <v>0</v>
      </c>
      <c r="L2248" s="1">
        <v>1</v>
      </c>
      <c r="S2248" s="1" t="s">
        <v>6461</v>
      </c>
      <c r="T2248" s="1">
        <v>1</v>
      </c>
      <c r="U2248" s="19"/>
      <c r="V2248" s="19"/>
    </row>
    <row r="2249" spans="1:22" x14ac:dyDescent="0.3">
      <c r="A2249" s="1" t="s">
        <v>6462</v>
      </c>
      <c r="B2249" s="5">
        <v>46199</v>
      </c>
      <c r="C2249" s="6">
        <v>0.58333333333333337</v>
      </c>
      <c r="D2249" s="1" t="s">
        <v>30</v>
      </c>
      <c r="E2249" s="1" t="s">
        <v>36</v>
      </c>
      <c r="F2249" s="1" t="s">
        <v>6463</v>
      </c>
      <c r="G2249" s="39" t="s">
        <v>6464</v>
      </c>
      <c r="H2249" s="1">
        <v>2</v>
      </c>
      <c r="I2249" s="1">
        <v>4</v>
      </c>
      <c r="J2249" s="39" t="s">
        <v>6456</v>
      </c>
      <c r="K2249" s="1">
        <v>4</v>
      </c>
      <c r="L2249" s="1">
        <v>2</v>
      </c>
      <c r="S2249" s="1" t="s">
        <v>6465</v>
      </c>
      <c r="T2249" s="1">
        <v>1</v>
      </c>
      <c r="U2249" s="19"/>
      <c r="V2249" s="19"/>
    </row>
    <row r="2250" spans="1:22" x14ac:dyDescent="0.3">
      <c r="A2250" s="1" t="s">
        <v>6466</v>
      </c>
      <c r="B2250" s="5">
        <v>46190</v>
      </c>
      <c r="C2250" s="6">
        <v>0.58333333333333337</v>
      </c>
      <c r="D2250" s="1" t="s">
        <v>30</v>
      </c>
      <c r="E2250" s="1" t="s">
        <v>36</v>
      </c>
      <c r="F2250" s="1" t="s">
        <v>6467</v>
      </c>
      <c r="G2250" s="39" t="s">
        <v>6456</v>
      </c>
      <c r="H2250" s="1">
        <v>1</v>
      </c>
      <c r="I2250" s="1">
        <v>0</v>
      </c>
      <c r="J2250" s="39" t="s">
        <v>6455</v>
      </c>
      <c r="K2250" s="1">
        <v>0</v>
      </c>
      <c r="L2250" s="1">
        <v>1</v>
      </c>
      <c r="S2250" s="1" t="s">
        <v>6468</v>
      </c>
      <c r="T2250" s="1">
        <v>1</v>
      </c>
      <c r="U2250" s="19"/>
      <c r="V2250" s="19"/>
    </row>
    <row r="2251" spans="1:22" x14ac:dyDescent="0.3">
      <c r="A2251" s="1" t="s">
        <v>6469</v>
      </c>
      <c r="B2251" s="5">
        <v>46187</v>
      </c>
      <c r="C2251" s="6">
        <v>0.33333333333333331</v>
      </c>
      <c r="D2251" s="1" t="s">
        <v>30</v>
      </c>
      <c r="E2251" s="1" t="s">
        <v>36</v>
      </c>
      <c r="F2251" s="1" t="s">
        <v>6470</v>
      </c>
      <c r="G2251" s="39" t="s">
        <v>6471</v>
      </c>
      <c r="H2251" s="1">
        <v>0</v>
      </c>
      <c r="I2251" s="1">
        <v>2</v>
      </c>
      <c r="J2251" s="39" t="s">
        <v>6456</v>
      </c>
      <c r="K2251" s="1">
        <v>2</v>
      </c>
      <c r="L2251" s="1">
        <v>0</v>
      </c>
      <c r="S2251" s="1" t="s">
        <v>6472</v>
      </c>
      <c r="T2251" s="1">
        <v>1</v>
      </c>
      <c r="U2251" s="19"/>
      <c r="V2251" s="19"/>
    </row>
    <row r="2252" spans="1:22" x14ac:dyDescent="0.3">
      <c r="A2252" s="1" t="s">
        <v>6473</v>
      </c>
      <c r="B2252" s="5">
        <v>46178</v>
      </c>
      <c r="C2252" s="6">
        <v>0.58333333333333337</v>
      </c>
      <c r="D2252" s="1" t="s">
        <v>30</v>
      </c>
      <c r="E2252" s="1" t="s">
        <v>36</v>
      </c>
      <c r="F2252" s="1" t="s">
        <v>6474</v>
      </c>
      <c r="G2252" s="39" t="s">
        <v>6456</v>
      </c>
      <c r="H2252" s="1">
        <v>3</v>
      </c>
      <c r="I2252" s="1">
        <v>0</v>
      </c>
      <c r="J2252" s="39" t="s">
        <v>6475</v>
      </c>
      <c r="K2252" s="1">
        <v>0</v>
      </c>
      <c r="L2252" s="1">
        <v>3</v>
      </c>
      <c r="S2252" s="1" t="s">
        <v>6476</v>
      </c>
      <c r="T2252" s="1">
        <v>1</v>
      </c>
      <c r="U2252" s="19"/>
      <c r="V2252" s="19"/>
    </row>
    <row r="2253" spans="1:22" x14ac:dyDescent="0.3">
      <c r="A2253" s="1" t="s">
        <v>6477</v>
      </c>
      <c r="B2253" s="5">
        <v>46171</v>
      </c>
      <c r="C2253" s="6">
        <v>0.58333333333333337</v>
      </c>
      <c r="D2253" s="1" t="s">
        <v>30</v>
      </c>
      <c r="E2253" s="1" t="s">
        <v>36</v>
      </c>
      <c r="F2253" s="1" t="s">
        <v>6478</v>
      </c>
      <c r="G2253" s="39" t="s">
        <v>6456</v>
      </c>
      <c r="H2253" s="1">
        <v>2</v>
      </c>
      <c r="I2253" s="1">
        <v>1</v>
      </c>
      <c r="J2253" s="39" t="s">
        <v>274</v>
      </c>
      <c r="K2253" s="1">
        <v>1</v>
      </c>
      <c r="L2253" s="1">
        <v>2</v>
      </c>
      <c r="S2253" s="1" t="s">
        <v>6479</v>
      </c>
      <c r="T2253" s="1">
        <v>1</v>
      </c>
      <c r="U2253" s="19"/>
      <c r="V2253" s="19"/>
    </row>
    <row r="2254" spans="1:22" x14ac:dyDescent="0.3">
      <c r="A2254" s="1" t="s">
        <v>6480</v>
      </c>
      <c r="B2254" s="5">
        <v>46166</v>
      </c>
      <c r="C2254" s="6">
        <v>0.33333333333333331</v>
      </c>
      <c r="D2254" s="1" t="s">
        <v>30</v>
      </c>
      <c r="E2254" s="1" t="s">
        <v>36</v>
      </c>
      <c r="F2254" s="1" t="s">
        <v>6481</v>
      </c>
      <c r="G2254" s="39" t="s">
        <v>275</v>
      </c>
      <c r="H2254" s="1">
        <v>0</v>
      </c>
      <c r="I2254" s="1">
        <v>2</v>
      </c>
      <c r="J2254" s="39" t="s">
        <v>6456</v>
      </c>
      <c r="K2254" s="1">
        <v>2</v>
      </c>
      <c r="L2254" s="1">
        <v>0</v>
      </c>
      <c r="S2254" s="1" t="s">
        <v>6482</v>
      </c>
      <c r="T2254" s="1">
        <v>1</v>
      </c>
      <c r="U2254" s="19"/>
      <c r="V2254" s="19"/>
    </row>
    <row r="2255" spans="1:22" x14ac:dyDescent="0.3">
      <c r="A2255" s="1" t="s">
        <v>6483</v>
      </c>
      <c r="B2255" s="5">
        <v>46156</v>
      </c>
      <c r="C2255" s="6">
        <v>0.375</v>
      </c>
      <c r="D2255" s="1" t="s">
        <v>30</v>
      </c>
      <c r="E2255" s="1" t="s">
        <v>36</v>
      </c>
      <c r="F2255" s="1" t="s">
        <v>6484</v>
      </c>
      <c r="G2255" s="39" t="s">
        <v>6456</v>
      </c>
      <c r="H2255" s="1">
        <v>0</v>
      </c>
      <c r="I2255" s="1">
        <v>1</v>
      </c>
      <c r="J2255" s="39" t="s">
        <v>6485</v>
      </c>
      <c r="K2255" s="1">
        <v>1</v>
      </c>
      <c r="L2255" s="1">
        <v>0</v>
      </c>
      <c r="S2255" s="1" t="s">
        <v>6486</v>
      </c>
      <c r="T2255" s="1">
        <v>1</v>
      </c>
      <c r="U2255" s="19"/>
      <c r="V2255" s="19"/>
    </row>
    <row r="2256" spans="1:22" x14ac:dyDescent="0.3">
      <c r="A2256" s="1" t="s">
        <v>6487</v>
      </c>
      <c r="B2256" s="5">
        <v>46150</v>
      </c>
      <c r="C2256" s="6">
        <v>0.60416666666666663</v>
      </c>
      <c r="D2256" s="1" t="s">
        <v>30</v>
      </c>
      <c r="E2256" s="1" t="s">
        <v>36</v>
      </c>
      <c r="F2256" s="1" t="s">
        <v>6488</v>
      </c>
      <c r="G2256" s="39" t="s">
        <v>6460</v>
      </c>
      <c r="H2256" s="1">
        <v>1</v>
      </c>
      <c r="I2256" s="1">
        <v>0</v>
      </c>
      <c r="J2256" s="39" t="s">
        <v>6456</v>
      </c>
      <c r="K2256" s="1">
        <v>0</v>
      </c>
      <c r="L2256" s="1">
        <v>1</v>
      </c>
      <c r="S2256" s="1" t="s">
        <v>6489</v>
      </c>
      <c r="T2256" s="1">
        <v>1</v>
      </c>
      <c r="U2256" s="19"/>
      <c r="V2256" s="19"/>
    </row>
    <row r="2257" spans="1:22" x14ac:dyDescent="0.3">
      <c r="A2257" s="1" t="s">
        <v>6490</v>
      </c>
      <c r="B2257" s="5">
        <v>46143</v>
      </c>
      <c r="C2257" s="6">
        <v>0.375</v>
      </c>
      <c r="D2257" s="1" t="s">
        <v>30</v>
      </c>
      <c r="E2257" s="1" t="s">
        <v>36</v>
      </c>
      <c r="F2257" s="1" t="s">
        <v>6491</v>
      </c>
      <c r="G2257" s="39" t="s">
        <v>6492</v>
      </c>
      <c r="H2257" s="1">
        <v>1</v>
      </c>
      <c r="I2257" s="1">
        <v>1</v>
      </c>
      <c r="J2257" s="39" t="s">
        <v>6456</v>
      </c>
      <c r="K2257" s="1">
        <v>1</v>
      </c>
      <c r="L2257" s="1">
        <v>1</v>
      </c>
      <c r="S2257" s="1" t="s">
        <v>6493</v>
      </c>
      <c r="T2257" s="1">
        <v>1</v>
      </c>
      <c r="U2257" s="19"/>
      <c r="V2257" s="19"/>
    </row>
    <row r="2258" spans="1:22" x14ac:dyDescent="0.3">
      <c r="A2258" s="1" t="s">
        <v>6494</v>
      </c>
      <c r="B2258" s="5">
        <v>46136</v>
      </c>
      <c r="C2258" s="6">
        <v>0.58333333333333337</v>
      </c>
      <c r="D2258" s="1" t="s">
        <v>30</v>
      </c>
      <c r="E2258" s="1" t="s">
        <v>36</v>
      </c>
      <c r="F2258" s="1" t="s">
        <v>6495</v>
      </c>
      <c r="G2258" s="39" t="s">
        <v>6456</v>
      </c>
      <c r="H2258" s="1">
        <v>2</v>
      </c>
      <c r="I2258" s="1">
        <v>0</v>
      </c>
      <c r="J2258" s="39" t="s">
        <v>6496</v>
      </c>
      <c r="K2258" s="1">
        <v>0</v>
      </c>
      <c r="L2258" s="1">
        <v>2</v>
      </c>
      <c r="S2258" s="1" t="s">
        <v>6497</v>
      </c>
      <c r="T2258" s="1">
        <v>1</v>
      </c>
      <c r="U2258" s="19"/>
      <c r="V2258" s="19"/>
    </row>
    <row r="2259" spans="1:22" x14ac:dyDescent="0.3">
      <c r="A2259" s="1" t="s">
        <v>6498</v>
      </c>
      <c r="B2259" s="5">
        <v>46234</v>
      </c>
      <c r="C2259" s="6">
        <v>0.58333333333333337</v>
      </c>
      <c r="D2259" s="1" t="s">
        <v>30</v>
      </c>
      <c r="E2259" s="1" t="s">
        <v>36</v>
      </c>
      <c r="F2259" s="1" t="s">
        <v>6499</v>
      </c>
      <c r="G2259" s="39" t="s">
        <v>6500</v>
      </c>
      <c r="H2259" s="1">
        <v>2</v>
      </c>
      <c r="I2259" s="1">
        <v>3</v>
      </c>
      <c r="J2259" s="39" t="s">
        <v>6455</v>
      </c>
      <c r="K2259" s="1">
        <v>3</v>
      </c>
      <c r="L2259" s="1">
        <v>2</v>
      </c>
      <c r="S2259" s="1" t="s">
        <v>6501</v>
      </c>
      <c r="T2259" s="1">
        <v>1</v>
      </c>
      <c r="U2259" s="19"/>
      <c r="V2259" s="19"/>
    </row>
    <row r="2260" spans="1:22" x14ac:dyDescent="0.3">
      <c r="A2260" s="1" t="s">
        <v>6502</v>
      </c>
      <c r="B2260" s="5">
        <v>46201</v>
      </c>
      <c r="C2260" s="6">
        <v>0.33333333333333331</v>
      </c>
      <c r="D2260" s="1" t="s">
        <v>30</v>
      </c>
      <c r="E2260" s="1" t="s">
        <v>36</v>
      </c>
      <c r="F2260" s="1" t="s">
        <v>6503</v>
      </c>
      <c r="G2260" s="39" t="s">
        <v>6455</v>
      </c>
      <c r="H2260" s="1">
        <v>1</v>
      </c>
      <c r="I2260" s="1">
        <v>0</v>
      </c>
      <c r="J2260" s="39" t="s">
        <v>6492</v>
      </c>
      <c r="K2260" s="1">
        <v>0</v>
      </c>
      <c r="L2260" s="1">
        <v>1</v>
      </c>
      <c r="S2260" s="1" t="s">
        <v>6504</v>
      </c>
      <c r="T2260" s="1">
        <v>1</v>
      </c>
      <c r="U2260" s="19"/>
      <c r="V2260" s="19"/>
    </row>
    <row r="2261" spans="1:22" x14ac:dyDescent="0.3">
      <c r="A2261" s="1" t="s">
        <v>6505</v>
      </c>
      <c r="B2261" s="5">
        <v>46186</v>
      </c>
      <c r="C2261" s="6">
        <v>0.45833333333333331</v>
      </c>
      <c r="D2261" s="1" t="s">
        <v>30</v>
      </c>
      <c r="E2261" s="1" t="s">
        <v>36</v>
      </c>
      <c r="F2261" s="1" t="s">
        <v>6506</v>
      </c>
      <c r="G2261" s="39" t="s">
        <v>6455</v>
      </c>
      <c r="H2261" s="1">
        <v>2</v>
      </c>
      <c r="I2261" s="1">
        <v>2</v>
      </c>
      <c r="J2261" s="39" t="s">
        <v>274</v>
      </c>
      <c r="K2261" s="1">
        <v>2</v>
      </c>
      <c r="L2261" s="1">
        <v>2</v>
      </c>
      <c r="S2261" s="1" t="s">
        <v>6507</v>
      </c>
      <c r="T2261" s="1">
        <v>1</v>
      </c>
      <c r="U2261" s="19"/>
      <c r="V2261" s="19"/>
    </row>
    <row r="2262" spans="1:22" x14ac:dyDescent="0.3">
      <c r="A2262" s="1" t="s">
        <v>6508</v>
      </c>
      <c r="B2262" s="5">
        <v>46178</v>
      </c>
      <c r="C2262" s="6">
        <v>0.58333333333333337</v>
      </c>
      <c r="D2262" s="1" t="s">
        <v>30</v>
      </c>
      <c r="E2262" s="1" t="s">
        <v>36</v>
      </c>
      <c r="F2262" s="1" t="s">
        <v>6509</v>
      </c>
      <c r="G2262" s="39" t="s">
        <v>6455</v>
      </c>
      <c r="H2262" s="1">
        <v>4</v>
      </c>
      <c r="I2262" s="1">
        <v>2</v>
      </c>
      <c r="J2262" s="39" t="s">
        <v>958</v>
      </c>
      <c r="K2262" s="1">
        <v>2</v>
      </c>
      <c r="L2262" s="1">
        <v>4</v>
      </c>
      <c r="S2262" s="1" t="s">
        <v>6510</v>
      </c>
      <c r="T2262" s="1">
        <v>1</v>
      </c>
      <c r="U2262" s="19"/>
      <c r="V2262" s="19"/>
    </row>
    <row r="2263" spans="1:22" x14ac:dyDescent="0.3">
      <c r="A2263" s="1" t="s">
        <v>6511</v>
      </c>
      <c r="B2263" s="5">
        <v>46173</v>
      </c>
      <c r="C2263" s="6">
        <v>0.33333333333333331</v>
      </c>
      <c r="D2263" s="1" t="s">
        <v>30</v>
      </c>
      <c r="E2263" s="1" t="s">
        <v>36</v>
      </c>
      <c r="F2263" s="1" t="s">
        <v>6512</v>
      </c>
      <c r="G2263" s="39" t="s">
        <v>209</v>
      </c>
      <c r="H2263" s="1">
        <v>0</v>
      </c>
      <c r="I2263" s="1">
        <v>1</v>
      </c>
      <c r="J2263" s="39" t="s">
        <v>6455</v>
      </c>
      <c r="K2263" s="1">
        <v>1</v>
      </c>
      <c r="L2263" s="1">
        <v>0</v>
      </c>
      <c r="S2263" s="1" t="s">
        <v>6513</v>
      </c>
      <c r="T2263" s="1">
        <v>1</v>
      </c>
      <c r="U2263" s="19"/>
      <c r="V2263" s="19"/>
    </row>
    <row r="2264" spans="1:22" x14ac:dyDescent="0.3">
      <c r="A2264" s="1" t="s">
        <v>6514</v>
      </c>
      <c r="B2264" s="5">
        <v>46164</v>
      </c>
      <c r="C2264" s="6">
        <v>0.58333333333333337</v>
      </c>
      <c r="D2264" s="1" t="s">
        <v>30</v>
      </c>
      <c r="E2264" s="1" t="s">
        <v>36</v>
      </c>
      <c r="F2264" s="1" t="s">
        <v>6515</v>
      </c>
      <c r="G2264" s="39" t="s">
        <v>6496</v>
      </c>
      <c r="H2264" s="1">
        <v>5</v>
      </c>
      <c r="I2264" s="1">
        <v>1</v>
      </c>
      <c r="J2264" s="39" t="s">
        <v>6455</v>
      </c>
      <c r="K2264" s="1">
        <v>1</v>
      </c>
      <c r="L2264" s="1">
        <v>5</v>
      </c>
      <c r="S2264" s="1" t="s">
        <v>6516</v>
      </c>
      <c r="T2264" s="1">
        <v>1</v>
      </c>
      <c r="U2264" s="19"/>
      <c r="V2264" s="19"/>
    </row>
    <row r="2265" spans="1:22" x14ac:dyDescent="0.3">
      <c r="A2265" s="1" t="s">
        <v>6517</v>
      </c>
      <c r="B2265" s="5">
        <v>46159</v>
      </c>
      <c r="C2265" s="6">
        <v>0.33333333333333331</v>
      </c>
      <c r="D2265" s="1" t="s">
        <v>30</v>
      </c>
      <c r="E2265" s="1" t="s">
        <v>36</v>
      </c>
      <c r="F2265" s="1" t="s">
        <v>6518</v>
      </c>
      <c r="G2265" s="39" t="s">
        <v>6455</v>
      </c>
      <c r="H2265" s="1">
        <v>0</v>
      </c>
      <c r="I2265" s="1">
        <v>5</v>
      </c>
      <c r="J2265" s="39" t="s">
        <v>6500</v>
      </c>
      <c r="K2265" s="1">
        <v>5</v>
      </c>
      <c r="L2265" s="1">
        <v>0</v>
      </c>
      <c r="S2265" s="1" t="s">
        <v>6519</v>
      </c>
      <c r="T2265" s="1">
        <v>1</v>
      </c>
      <c r="U2265" s="19"/>
      <c r="V2265" s="19"/>
    </row>
    <row r="2266" spans="1:22" x14ac:dyDescent="0.3">
      <c r="A2266" s="1" t="s">
        <v>6520</v>
      </c>
      <c r="B2266" s="5">
        <v>46150</v>
      </c>
      <c r="C2266" s="6">
        <v>0.58333333333333337</v>
      </c>
      <c r="D2266" s="1" t="s">
        <v>30</v>
      </c>
      <c r="E2266" s="1" t="s">
        <v>36</v>
      </c>
      <c r="F2266" s="1" t="s">
        <v>6521</v>
      </c>
      <c r="G2266" s="39" t="s">
        <v>6492</v>
      </c>
      <c r="H2266" s="1">
        <v>1</v>
      </c>
      <c r="I2266" s="1">
        <v>0</v>
      </c>
      <c r="J2266" s="39" t="s">
        <v>6455</v>
      </c>
      <c r="K2266" s="1">
        <v>0</v>
      </c>
      <c r="L2266" s="1">
        <v>1</v>
      </c>
      <c r="S2266" s="1" t="s">
        <v>6522</v>
      </c>
      <c r="T2266" s="1">
        <v>1</v>
      </c>
      <c r="U2266" s="19"/>
      <c r="V2266" s="19"/>
    </row>
    <row r="2267" spans="1:22" x14ac:dyDescent="0.3">
      <c r="A2267" s="1" t="s">
        <v>6523</v>
      </c>
      <c r="B2267" s="5">
        <v>46143</v>
      </c>
      <c r="C2267" s="6">
        <v>0.33333333333333331</v>
      </c>
      <c r="D2267" s="1" t="s">
        <v>30</v>
      </c>
      <c r="E2267" s="1" t="s">
        <v>36</v>
      </c>
      <c r="F2267" s="1" t="s">
        <v>6524</v>
      </c>
      <c r="G2267" s="39" t="s">
        <v>6455</v>
      </c>
      <c r="H2267" s="1">
        <v>1</v>
      </c>
      <c r="I2267" s="1">
        <v>1</v>
      </c>
      <c r="J2267" s="39" t="s">
        <v>6460</v>
      </c>
      <c r="K2267" s="1">
        <v>1</v>
      </c>
      <c r="L2267" s="1">
        <v>1</v>
      </c>
      <c r="S2267" s="1" t="s">
        <v>6525</v>
      </c>
      <c r="T2267" s="1">
        <v>1</v>
      </c>
      <c r="U2267" s="19"/>
      <c r="V2267" s="19"/>
    </row>
    <row r="2268" spans="1:22" x14ac:dyDescent="0.3">
      <c r="A2268" s="1" t="s">
        <v>6526</v>
      </c>
      <c r="B2268" s="5">
        <v>46138</v>
      </c>
      <c r="C2268" s="6">
        <v>0.33333333333333331</v>
      </c>
      <c r="D2268" s="1" t="s">
        <v>30</v>
      </c>
      <c r="E2268" s="1" t="s">
        <v>36</v>
      </c>
      <c r="F2268" s="1" t="s">
        <v>6527</v>
      </c>
      <c r="G2268" s="39" t="s">
        <v>6464</v>
      </c>
      <c r="H2268" s="1">
        <v>2</v>
      </c>
      <c r="I2268" s="1">
        <v>3</v>
      </c>
      <c r="J2268" s="39" t="s">
        <v>6455</v>
      </c>
      <c r="K2268" s="1">
        <v>3</v>
      </c>
      <c r="L2268" s="1">
        <v>2</v>
      </c>
      <c r="S2268" s="1" t="s">
        <v>6528</v>
      </c>
      <c r="T2268" s="1">
        <v>1</v>
      </c>
      <c r="U2268" s="19"/>
      <c r="V2268" s="19"/>
    </row>
    <row r="2269" spans="1:22" x14ac:dyDescent="0.3">
      <c r="A2269" s="1" t="s">
        <v>6529</v>
      </c>
      <c r="B2269" s="5">
        <v>46242</v>
      </c>
      <c r="C2269" s="6">
        <v>0.33333333333333331</v>
      </c>
      <c r="D2269" s="1" t="s">
        <v>30</v>
      </c>
      <c r="E2269" s="1" t="s">
        <v>36</v>
      </c>
      <c r="F2269" s="1" t="s">
        <v>6530</v>
      </c>
      <c r="G2269" s="39" t="s">
        <v>6475</v>
      </c>
      <c r="H2269" s="1">
        <v>3</v>
      </c>
      <c r="I2269" s="1">
        <v>3</v>
      </c>
      <c r="J2269" s="39" t="s">
        <v>6496</v>
      </c>
      <c r="K2269" s="1">
        <v>3</v>
      </c>
      <c r="L2269" s="1">
        <v>3</v>
      </c>
      <c r="S2269" s="1" t="s">
        <v>6531</v>
      </c>
      <c r="T2269" s="1">
        <v>1</v>
      </c>
      <c r="U2269" s="19"/>
      <c r="V2269" s="19"/>
    </row>
    <row r="2270" spans="1:22" x14ac:dyDescent="0.3">
      <c r="A2270" s="1" t="s">
        <v>6532</v>
      </c>
      <c r="B2270" s="5">
        <v>46234</v>
      </c>
      <c r="C2270" s="6">
        <v>0.58333333333333337</v>
      </c>
      <c r="D2270" s="1" t="s">
        <v>30</v>
      </c>
      <c r="E2270" s="1" t="s">
        <v>36</v>
      </c>
      <c r="F2270" s="1" t="s">
        <v>6533</v>
      </c>
      <c r="G2270" s="39" t="s">
        <v>6485</v>
      </c>
      <c r="H2270" s="1">
        <v>2</v>
      </c>
      <c r="I2270" s="1">
        <v>1</v>
      </c>
      <c r="J2270" s="39" t="s">
        <v>6475</v>
      </c>
      <c r="K2270" s="1">
        <v>1</v>
      </c>
      <c r="L2270" s="1">
        <v>2</v>
      </c>
      <c r="S2270" s="1" t="s">
        <v>6534</v>
      </c>
      <c r="T2270" s="1">
        <v>1</v>
      </c>
      <c r="U2270" s="19"/>
      <c r="V2270" s="19"/>
    </row>
    <row r="2271" spans="1:22" x14ac:dyDescent="0.3">
      <c r="A2271" s="1" t="s">
        <v>6535</v>
      </c>
      <c r="B2271" s="5">
        <v>46197</v>
      </c>
      <c r="C2271" s="6">
        <v>0.58333333333333337</v>
      </c>
      <c r="D2271" s="1" t="s">
        <v>30</v>
      </c>
      <c r="E2271" s="1" t="s">
        <v>36</v>
      </c>
      <c r="F2271" s="1" t="s">
        <v>6536</v>
      </c>
      <c r="G2271" s="39" t="s">
        <v>6475</v>
      </c>
      <c r="H2271" s="1">
        <v>5</v>
      </c>
      <c r="I2271" s="1">
        <v>0</v>
      </c>
      <c r="J2271" s="39" t="s">
        <v>274</v>
      </c>
      <c r="K2271" s="1">
        <v>0</v>
      </c>
      <c r="L2271" s="1">
        <v>5</v>
      </c>
      <c r="S2271" s="1" t="s">
        <v>6537</v>
      </c>
      <c r="T2271" s="1">
        <v>1</v>
      </c>
      <c r="U2271" s="19"/>
      <c r="V2271" s="19"/>
    </row>
    <row r="2272" spans="1:22" x14ac:dyDescent="0.3">
      <c r="A2272" s="1" t="s">
        <v>6538</v>
      </c>
      <c r="B2272" s="5">
        <v>46191</v>
      </c>
      <c r="C2272" s="6">
        <v>0.58333333333333337</v>
      </c>
      <c r="D2272" s="1" t="s">
        <v>30</v>
      </c>
      <c r="E2272" s="1" t="s">
        <v>36</v>
      </c>
      <c r="F2272" s="1" t="s">
        <v>6539</v>
      </c>
      <c r="G2272" s="39" t="s">
        <v>209</v>
      </c>
      <c r="H2272" s="1">
        <v>1</v>
      </c>
      <c r="I2272" s="1">
        <v>1</v>
      </c>
      <c r="J2272" s="39" t="s">
        <v>6475</v>
      </c>
      <c r="K2272" s="1">
        <v>1</v>
      </c>
      <c r="L2272" s="1">
        <v>1</v>
      </c>
      <c r="S2272" s="1" t="s">
        <v>6540</v>
      </c>
      <c r="T2272" s="1">
        <v>1</v>
      </c>
      <c r="U2272" s="19"/>
      <c r="V2272" s="19"/>
    </row>
    <row r="2273" spans="1:22" x14ac:dyDescent="0.3">
      <c r="A2273" s="1" t="s">
        <v>6541</v>
      </c>
      <c r="B2273" s="5">
        <v>46187</v>
      </c>
      <c r="C2273" s="6">
        <v>0.33333333333333331</v>
      </c>
      <c r="D2273" s="1" t="s">
        <v>30</v>
      </c>
      <c r="E2273" s="1" t="s">
        <v>36</v>
      </c>
      <c r="F2273" s="1" t="s">
        <v>6542</v>
      </c>
      <c r="G2273" s="39" t="s">
        <v>6475</v>
      </c>
      <c r="H2273" s="1">
        <v>1</v>
      </c>
      <c r="I2273" s="1">
        <v>1</v>
      </c>
      <c r="J2273" s="39" t="s">
        <v>6485</v>
      </c>
      <c r="K2273" s="1">
        <v>1</v>
      </c>
      <c r="L2273" s="1">
        <v>1</v>
      </c>
      <c r="S2273" s="1" t="s">
        <v>6543</v>
      </c>
      <c r="T2273" s="1">
        <v>1</v>
      </c>
      <c r="U2273" s="19"/>
      <c r="V2273" s="19"/>
    </row>
    <row r="2274" spans="1:22" x14ac:dyDescent="0.3">
      <c r="A2274" s="1" t="s">
        <v>6544</v>
      </c>
      <c r="B2274" s="5">
        <v>46173</v>
      </c>
      <c r="C2274" s="6">
        <v>0.33333333333333331</v>
      </c>
      <c r="D2274" s="1" t="s">
        <v>30</v>
      </c>
      <c r="E2274" s="1" t="s">
        <v>36</v>
      </c>
      <c r="F2274" s="1" t="s">
        <v>6545</v>
      </c>
      <c r="G2274" s="39" t="s">
        <v>6475</v>
      </c>
      <c r="H2274" s="1">
        <v>1</v>
      </c>
      <c r="I2274" s="1">
        <v>1</v>
      </c>
      <c r="J2274" s="39" t="s">
        <v>6460</v>
      </c>
      <c r="K2274" s="1">
        <v>1</v>
      </c>
      <c r="L2274" s="1">
        <v>1</v>
      </c>
      <c r="S2274" s="1" t="s">
        <v>6546</v>
      </c>
      <c r="T2274" s="1">
        <v>1</v>
      </c>
      <c r="U2274" s="19"/>
      <c r="V2274" s="19"/>
    </row>
    <row r="2275" spans="1:22" x14ac:dyDescent="0.3">
      <c r="A2275" s="1" t="s">
        <v>6547</v>
      </c>
      <c r="B2275" s="5">
        <v>46166</v>
      </c>
      <c r="C2275" s="6">
        <v>0.33333333333333331</v>
      </c>
      <c r="D2275" s="1" t="s">
        <v>30</v>
      </c>
      <c r="E2275" s="1" t="s">
        <v>36</v>
      </c>
      <c r="F2275" s="1" t="s">
        <v>6548</v>
      </c>
      <c r="G2275" s="39" t="s">
        <v>6471</v>
      </c>
      <c r="H2275" s="1">
        <v>0</v>
      </c>
      <c r="I2275" s="1">
        <v>3</v>
      </c>
      <c r="J2275" s="39" t="s">
        <v>6475</v>
      </c>
      <c r="K2275" s="1">
        <v>3</v>
      </c>
      <c r="L2275" s="1">
        <v>0</v>
      </c>
      <c r="S2275" s="1" t="s">
        <v>6549</v>
      </c>
      <c r="T2275" s="1">
        <v>1</v>
      </c>
      <c r="U2275" s="19"/>
      <c r="V2275" s="19"/>
    </row>
    <row r="2276" spans="1:22" x14ac:dyDescent="0.3">
      <c r="A2276" s="1" t="s">
        <v>6550</v>
      </c>
      <c r="B2276" s="5">
        <v>46156</v>
      </c>
      <c r="C2276" s="6">
        <v>0.33333333333333331</v>
      </c>
      <c r="D2276" s="1" t="s">
        <v>30</v>
      </c>
      <c r="E2276" s="1" t="s">
        <v>36</v>
      </c>
      <c r="F2276" s="1" t="s">
        <v>6551</v>
      </c>
      <c r="G2276" s="39" t="s">
        <v>6475</v>
      </c>
      <c r="H2276" s="1">
        <v>4</v>
      </c>
      <c r="I2276" s="1">
        <v>0</v>
      </c>
      <c r="J2276" s="39" t="s">
        <v>6492</v>
      </c>
      <c r="K2276" s="1">
        <v>0</v>
      </c>
      <c r="L2276" s="1">
        <v>4</v>
      </c>
      <c r="S2276" s="1" t="s">
        <v>6552</v>
      </c>
      <c r="T2276" s="1">
        <v>1</v>
      </c>
      <c r="U2276" s="19"/>
      <c r="V2276" s="19"/>
    </row>
    <row r="2277" spans="1:22" x14ac:dyDescent="0.3">
      <c r="A2277" s="1" t="s">
        <v>6553</v>
      </c>
      <c r="B2277" s="5">
        <v>46151</v>
      </c>
      <c r="C2277" s="6">
        <v>0.33333333333333331</v>
      </c>
      <c r="D2277" s="1" t="s">
        <v>30</v>
      </c>
      <c r="E2277" s="1" t="s">
        <v>36</v>
      </c>
      <c r="F2277" s="1" t="s">
        <v>6554</v>
      </c>
      <c r="G2277" s="39" t="s">
        <v>6475</v>
      </c>
      <c r="H2277" s="1">
        <v>5</v>
      </c>
      <c r="I2277" s="1">
        <v>3</v>
      </c>
      <c r="J2277" s="39" t="s">
        <v>275</v>
      </c>
      <c r="K2277" s="1">
        <v>3</v>
      </c>
      <c r="L2277" s="1">
        <v>5</v>
      </c>
      <c r="S2277" s="1" t="s">
        <v>6555</v>
      </c>
      <c r="T2277" s="1">
        <v>1</v>
      </c>
      <c r="U2277" s="19"/>
      <c r="V2277" s="19"/>
    </row>
    <row r="2278" spans="1:22" x14ac:dyDescent="0.3">
      <c r="A2278" s="1" t="s">
        <v>6556</v>
      </c>
      <c r="B2278" s="5">
        <v>46143</v>
      </c>
      <c r="C2278" s="6">
        <v>0.33333333333333331</v>
      </c>
      <c r="D2278" s="1" t="s">
        <v>30</v>
      </c>
      <c r="E2278" s="1" t="s">
        <v>36</v>
      </c>
      <c r="F2278" s="1" t="s">
        <v>6557</v>
      </c>
      <c r="G2278" s="39" t="s">
        <v>6496</v>
      </c>
      <c r="H2278" s="1">
        <v>2</v>
      </c>
      <c r="I2278" s="1">
        <v>4</v>
      </c>
      <c r="J2278" s="39" t="s">
        <v>6475</v>
      </c>
      <c r="K2278" s="1">
        <v>4</v>
      </c>
      <c r="L2278" s="1">
        <v>2</v>
      </c>
      <c r="S2278" s="1" t="s">
        <v>6558</v>
      </c>
      <c r="T2278" s="1">
        <v>1</v>
      </c>
      <c r="U2278" s="19"/>
      <c r="V2278" s="19"/>
    </row>
    <row r="2279" spans="1:22" x14ac:dyDescent="0.3">
      <c r="A2279" s="1" t="s">
        <v>6559</v>
      </c>
      <c r="B2279" s="5">
        <v>46138</v>
      </c>
      <c r="C2279" s="6">
        <v>0.33333333333333331</v>
      </c>
      <c r="D2279" s="1" t="s">
        <v>30</v>
      </c>
      <c r="E2279" s="1" t="s">
        <v>36</v>
      </c>
      <c r="F2279" s="1" t="s">
        <v>6560</v>
      </c>
      <c r="G2279" s="39" t="s">
        <v>6475</v>
      </c>
      <c r="H2279" s="1">
        <v>0</v>
      </c>
      <c r="I2279" s="1">
        <v>2</v>
      </c>
      <c r="J2279" s="39" t="s">
        <v>6500</v>
      </c>
      <c r="K2279" s="1">
        <v>2</v>
      </c>
      <c r="L2279" s="1">
        <v>0</v>
      </c>
      <c r="S2279" s="1" t="s">
        <v>6561</v>
      </c>
      <c r="T2279" s="1">
        <v>1</v>
      </c>
      <c r="U2279" s="19"/>
      <c r="V2279" s="19"/>
    </row>
    <row r="2280" spans="1:22" x14ac:dyDescent="0.3">
      <c r="A2280" s="1" t="s">
        <v>6562</v>
      </c>
      <c r="B2280" s="5">
        <v>46243</v>
      </c>
      <c r="C2280" s="6">
        <v>0.375</v>
      </c>
      <c r="D2280" s="1" t="s">
        <v>30</v>
      </c>
      <c r="E2280" s="1" t="s">
        <v>36</v>
      </c>
      <c r="F2280" s="1" t="s">
        <v>6563</v>
      </c>
      <c r="G2280" s="39" t="s">
        <v>6460</v>
      </c>
      <c r="H2280" s="1">
        <v>4</v>
      </c>
      <c r="I2280" s="1">
        <v>1</v>
      </c>
      <c r="J2280" s="39" t="s">
        <v>6492</v>
      </c>
      <c r="K2280" s="1">
        <v>1</v>
      </c>
      <c r="L2280" s="1">
        <v>4</v>
      </c>
      <c r="S2280" s="1" t="s">
        <v>6564</v>
      </c>
      <c r="T2280" s="1">
        <v>1</v>
      </c>
      <c r="U2280" s="19"/>
      <c r="V2280" s="19"/>
    </row>
    <row r="2281" spans="1:22" x14ac:dyDescent="0.3">
      <c r="A2281" s="1" t="s">
        <v>6565</v>
      </c>
      <c r="B2281" s="5">
        <v>46199</v>
      </c>
      <c r="C2281" s="6">
        <v>0.60416666666666663</v>
      </c>
      <c r="D2281" s="1" t="s">
        <v>30</v>
      </c>
      <c r="E2281" s="1" t="s">
        <v>36</v>
      </c>
      <c r="F2281" s="1" t="s">
        <v>6566</v>
      </c>
      <c r="G2281" s="39" t="s">
        <v>6460</v>
      </c>
      <c r="H2281" s="1">
        <v>2</v>
      </c>
      <c r="I2281" s="1">
        <v>2</v>
      </c>
      <c r="J2281" s="39" t="s">
        <v>6500</v>
      </c>
      <c r="K2281" s="1">
        <v>2</v>
      </c>
      <c r="L2281" s="1">
        <v>2</v>
      </c>
      <c r="S2281" s="1" t="s">
        <v>6567</v>
      </c>
      <c r="T2281" s="1">
        <v>1</v>
      </c>
      <c r="U2281" s="19"/>
      <c r="V2281" s="19"/>
    </row>
    <row r="2282" spans="1:22" x14ac:dyDescent="0.3">
      <c r="A2282" s="1" t="s">
        <v>6568</v>
      </c>
      <c r="B2282" s="5">
        <v>46191</v>
      </c>
      <c r="C2282" s="6">
        <v>0.60416666666666663</v>
      </c>
      <c r="D2282" s="1" t="s">
        <v>30</v>
      </c>
      <c r="E2282" s="1" t="s">
        <v>36</v>
      </c>
      <c r="F2282" s="1" t="s">
        <v>6569</v>
      </c>
      <c r="G2282" s="39" t="s">
        <v>6460</v>
      </c>
      <c r="H2282" s="1">
        <v>4</v>
      </c>
      <c r="I2282" s="1">
        <v>0</v>
      </c>
      <c r="J2282" s="39" t="s">
        <v>275</v>
      </c>
      <c r="K2282" s="1">
        <v>0</v>
      </c>
      <c r="L2282" s="1">
        <v>4</v>
      </c>
      <c r="S2282" s="1" t="s">
        <v>6570</v>
      </c>
      <c r="T2282" s="1">
        <v>1</v>
      </c>
      <c r="U2282" s="19"/>
      <c r="V2282" s="19"/>
    </row>
    <row r="2283" spans="1:22" x14ac:dyDescent="0.3">
      <c r="A2283" s="1" t="s">
        <v>6571</v>
      </c>
      <c r="B2283" s="5">
        <v>46184</v>
      </c>
      <c r="C2283" s="6">
        <v>0.58333333333333337</v>
      </c>
      <c r="D2283" s="1" t="s">
        <v>30</v>
      </c>
      <c r="E2283" s="1" t="s">
        <v>36</v>
      </c>
      <c r="F2283" s="1" t="s">
        <v>6572</v>
      </c>
      <c r="G2283" s="39" t="s">
        <v>6496</v>
      </c>
      <c r="H2283" s="1">
        <v>2</v>
      </c>
      <c r="I2283" s="1">
        <v>3</v>
      </c>
      <c r="J2283" s="39" t="s">
        <v>6460</v>
      </c>
      <c r="K2283" s="1">
        <v>3</v>
      </c>
      <c r="L2283" s="1">
        <v>2</v>
      </c>
      <c r="S2283" s="1" t="s">
        <v>6573</v>
      </c>
      <c r="T2283" s="1">
        <v>1</v>
      </c>
      <c r="U2283" s="19"/>
      <c r="V2283" s="19"/>
    </row>
    <row r="2284" spans="1:22" x14ac:dyDescent="0.3">
      <c r="A2284" s="1" t="s">
        <v>6574</v>
      </c>
      <c r="B2284" s="5">
        <v>46180</v>
      </c>
      <c r="C2284" s="6">
        <v>0.375</v>
      </c>
      <c r="D2284" s="1" t="s">
        <v>30</v>
      </c>
      <c r="E2284" s="1" t="s">
        <v>36</v>
      </c>
      <c r="F2284" s="1" t="s">
        <v>6575</v>
      </c>
      <c r="G2284" s="39" t="s">
        <v>6460</v>
      </c>
      <c r="H2284" s="1">
        <v>3</v>
      </c>
      <c r="I2284" s="1">
        <v>1</v>
      </c>
      <c r="J2284" s="39" t="s">
        <v>6464</v>
      </c>
      <c r="K2284" s="1">
        <v>1</v>
      </c>
      <c r="L2284" s="1">
        <v>3</v>
      </c>
      <c r="S2284" s="1" t="s">
        <v>6576</v>
      </c>
      <c r="T2284" s="1">
        <v>1</v>
      </c>
      <c r="U2284" s="19"/>
      <c r="V2284" s="19"/>
    </row>
    <row r="2285" spans="1:22" x14ac:dyDescent="0.3">
      <c r="A2285" s="1" t="s">
        <v>6577</v>
      </c>
      <c r="B2285" s="5">
        <v>46165</v>
      </c>
      <c r="C2285" s="6">
        <v>0.375</v>
      </c>
      <c r="D2285" s="1" t="s">
        <v>30</v>
      </c>
      <c r="E2285" s="1" t="s">
        <v>36</v>
      </c>
      <c r="F2285" s="1" t="s">
        <v>6578</v>
      </c>
      <c r="G2285" s="39" t="s">
        <v>6492</v>
      </c>
      <c r="H2285" s="1">
        <v>1</v>
      </c>
      <c r="I2285" s="1">
        <v>3</v>
      </c>
      <c r="J2285" s="39" t="s">
        <v>6460</v>
      </c>
      <c r="K2285" s="1">
        <v>3</v>
      </c>
      <c r="L2285" s="1">
        <v>1</v>
      </c>
      <c r="S2285" s="1" t="s">
        <v>6579</v>
      </c>
      <c r="T2285" s="1">
        <v>1</v>
      </c>
      <c r="U2285" s="19"/>
      <c r="V2285" s="19"/>
    </row>
    <row r="2286" spans="1:22" x14ac:dyDescent="0.3">
      <c r="A2286" s="1" t="s">
        <v>6580</v>
      </c>
      <c r="B2286" s="5">
        <v>46158</v>
      </c>
      <c r="C2286" s="6">
        <v>0.375</v>
      </c>
      <c r="D2286" s="1" t="s">
        <v>30</v>
      </c>
      <c r="E2286" s="1" t="s">
        <v>36</v>
      </c>
      <c r="F2286" s="1" t="s">
        <v>6581</v>
      </c>
      <c r="G2286" s="39" t="s">
        <v>6460</v>
      </c>
      <c r="H2286" s="1">
        <v>2</v>
      </c>
      <c r="I2286" s="1">
        <v>4</v>
      </c>
      <c r="J2286" s="39" t="s">
        <v>6471</v>
      </c>
      <c r="K2286" s="1">
        <v>4</v>
      </c>
      <c r="L2286" s="1">
        <v>2</v>
      </c>
      <c r="S2286" s="1" t="s">
        <v>6582</v>
      </c>
      <c r="T2286" s="1">
        <v>1</v>
      </c>
      <c r="U2286" s="19"/>
      <c r="V2286" s="19"/>
    </row>
    <row r="2287" spans="1:22" x14ac:dyDescent="0.3">
      <c r="A2287" s="1" t="s">
        <v>6583</v>
      </c>
      <c r="B2287" s="5">
        <v>46137</v>
      </c>
      <c r="C2287" s="6">
        <v>0.375</v>
      </c>
      <c r="D2287" s="1" t="s">
        <v>30</v>
      </c>
      <c r="E2287" s="1" t="s">
        <v>36</v>
      </c>
      <c r="F2287" s="1" t="s">
        <v>6584</v>
      </c>
      <c r="G2287" s="39" t="s">
        <v>6460</v>
      </c>
      <c r="H2287" s="1">
        <v>1</v>
      </c>
      <c r="I2287" s="1">
        <v>0</v>
      </c>
      <c r="J2287" s="39" t="s">
        <v>958</v>
      </c>
      <c r="K2287" s="1">
        <v>0</v>
      </c>
      <c r="L2287" s="1">
        <v>1</v>
      </c>
      <c r="S2287" s="1" t="s">
        <v>6585</v>
      </c>
      <c r="T2287" s="1">
        <v>1</v>
      </c>
      <c r="U2287" s="19"/>
      <c r="V2287" s="19"/>
    </row>
    <row r="2288" spans="1:22" x14ac:dyDescent="0.3">
      <c r="A2288" s="1" t="s">
        <v>6588</v>
      </c>
      <c r="B2288" s="5">
        <v>46235</v>
      </c>
      <c r="C2288" s="6">
        <v>0.45833333333333331</v>
      </c>
      <c r="D2288" s="1" t="s">
        <v>30</v>
      </c>
      <c r="E2288" s="1" t="s">
        <v>36</v>
      </c>
      <c r="F2288" s="1" t="s">
        <v>6589</v>
      </c>
      <c r="G2288" s="39" t="s">
        <v>6496</v>
      </c>
      <c r="H2288" s="1">
        <v>2</v>
      </c>
      <c r="I2288" s="1">
        <v>1</v>
      </c>
      <c r="J2288" s="39" t="s">
        <v>6471</v>
      </c>
      <c r="K2288" s="1">
        <v>1</v>
      </c>
      <c r="L2288" s="1">
        <v>2</v>
      </c>
      <c r="S2288" s="1" t="s">
        <v>6590</v>
      </c>
      <c r="T2288" s="1">
        <v>1</v>
      </c>
      <c r="U2288" s="19"/>
      <c r="V2288" s="19"/>
    </row>
    <row r="2289" spans="1:22" x14ac:dyDescent="0.3">
      <c r="A2289" s="1" t="s">
        <v>6591</v>
      </c>
      <c r="B2289" s="5">
        <v>46200</v>
      </c>
      <c r="C2289" s="6">
        <v>0.45833333333333331</v>
      </c>
      <c r="D2289" s="1" t="s">
        <v>30</v>
      </c>
      <c r="E2289" s="1" t="s">
        <v>36</v>
      </c>
      <c r="F2289" s="1" t="s">
        <v>6592</v>
      </c>
      <c r="G2289" s="39" t="s">
        <v>275</v>
      </c>
      <c r="H2289" s="1">
        <v>1</v>
      </c>
      <c r="I2289" s="1">
        <v>2</v>
      </c>
      <c r="J2289" s="39" t="s">
        <v>6496</v>
      </c>
      <c r="K2289" s="1">
        <v>2</v>
      </c>
      <c r="L2289" s="1">
        <v>1</v>
      </c>
      <c r="S2289" s="1" t="s">
        <v>6593</v>
      </c>
      <c r="T2289" s="1">
        <v>1</v>
      </c>
      <c r="U2289" s="19"/>
      <c r="V2289" s="19"/>
    </row>
    <row r="2290" spans="1:22" x14ac:dyDescent="0.3">
      <c r="A2290" s="1" t="s">
        <v>6594</v>
      </c>
      <c r="B2290" s="5">
        <v>46190</v>
      </c>
      <c r="C2290" s="6">
        <v>0.60416666666666663</v>
      </c>
      <c r="D2290" s="1" t="s">
        <v>30</v>
      </c>
      <c r="E2290" s="1" t="s">
        <v>36</v>
      </c>
      <c r="F2290" s="1" t="s">
        <v>6595</v>
      </c>
      <c r="G2290" s="39" t="s">
        <v>6492</v>
      </c>
      <c r="H2290" s="1">
        <v>0</v>
      </c>
      <c r="I2290" s="1">
        <v>3</v>
      </c>
      <c r="J2290" s="39" t="s">
        <v>6496</v>
      </c>
      <c r="K2290" s="1">
        <v>3</v>
      </c>
      <c r="L2290" s="1">
        <v>0</v>
      </c>
      <c r="S2290" s="1" t="s">
        <v>6596</v>
      </c>
      <c r="T2290" s="1">
        <v>1</v>
      </c>
      <c r="U2290" s="19"/>
      <c r="V2290" s="19"/>
    </row>
    <row r="2291" spans="1:22" x14ac:dyDescent="0.3">
      <c r="A2291" s="1" t="s">
        <v>6597</v>
      </c>
      <c r="B2291" s="5">
        <v>46179</v>
      </c>
      <c r="C2291" s="6">
        <v>0.33333333333333331</v>
      </c>
      <c r="D2291" s="1" t="s">
        <v>30</v>
      </c>
      <c r="E2291" s="1" t="s">
        <v>36</v>
      </c>
      <c r="F2291" s="1" t="s">
        <v>6598</v>
      </c>
      <c r="G2291" s="39" t="s">
        <v>209</v>
      </c>
      <c r="H2291" s="1">
        <v>2</v>
      </c>
      <c r="I2291" s="1">
        <v>2</v>
      </c>
      <c r="J2291" s="39" t="s">
        <v>6496</v>
      </c>
      <c r="K2291" s="1">
        <v>2</v>
      </c>
      <c r="L2291" s="1">
        <v>2</v>
      </c>
      <c r="S2291" s="1" t="s">
        <v>6599</v>
      </c>
      <c r="T2291" s="1">
        <v>1</v>
      </c>
      <c r="U2291" s="19"/>
      <c r="V2291" s="19"/>
    </row>
    <row r="2292" spans="1:22" x14ac:dyDescent="0.3">
      <c r="A2292" s="1" t="s">
        <v>6600</v>
      </c>
      <c r="B2292" s="5">
        <v>46171</v>
      </c>
      <c r="C2292" s="6">
        <v>0.60416666666666663</v>
      </c>
      <c r="D2292" s="1" t="s">
        <v>30</v>
      </c>
      <c r="E2292" s="1" t="s">
        <v>36</v>
      </c>
      <c r="F2292" s="1" t="s">
        <v>6601</v>
      </c>
      <c r="G2292" s="39" t="s">
        <v>6496</v>
      </c>
      <c r="H2292" s="1">
        <v>3</v>
      </c>
      <c r="I2292" s="1">
        <v>1</v>
      </c>
      <c r="J2292" s="39" t="s">
        <v>6485</v>
      </c>
      <c r="K2292" s="1">
        <v>1</v>
      </c>
      <c r="L2292" s="1">
        <v>3</v>
      </c>
      <c r="S2292" s="1" t="s">
        <v>6602</v>
      </c>
      <c r="T2292" s="1">
        <v>1</v>
      </c>
      <c r="U2292" s="19"/>
      <c r="V2292" s="19"/>
    </row>
    <row r="2293" spans="1:22" x14ac:dyDescent="0.3">
      <c r="A2293" s="1" t="s">
        <v>6603</v>
      </c>
      <c r="B2293" s="5">
        <v>46158</v>
      </c>
      <c r="C2293" s="6">
        <v>0.45833333333333331</v>
      </c>
      <c r="D2293" s="1" t="s">
        <v>30</v>
      </c>
      <c r="E2293" s="1" t="s">
        <v>36</v>
      </c>
      <c r="F2293" s="1" t="s">
        <v>6604</v>
      </c>
      <c r="G2293" s="39" t="s">
        <v>6464</v>
      </c>
      <c r="H2293" s="1">
        <v>5</v>
      </c>
      <c r="I2293" s="1">
        <v>1</v>
      </c>
      <c r="J2293" s="39" t="s">
        <v>6496</v>
      </c>
      <c r="K2293" s="1">
        <v>1</v>
      </c>
      <c r="L2293" s="1">
        <v>5</v>
      </c>
      <c r="S2293" s="1" t="s">
        <v>6605</v>
      </c>
      <c r="T2293" s="1">
        <v>1</v>
      </c>
      <c r="U2293" s="19"/>
      <c r="V2293" s="19"/>
    </row>
    <row r="2294" spans="1:22" x14ac:dyDescent="0.3">
      <c r="A2294" s="1" t="s">
        <v>6606</v>
      </c>
      <c r="B2294" s="5">
        <v>46150</v>
      </c>
      <c r="C2294" s="6">
        <v>0.58333333333333337</v>
      </c>
      <c r="D2294" s="1" t="s">
        <v>30</v>
      </c>
      <c r="E2294" s="1" t="s">
        <v>36</v>
      </c>
      <c r="F2294" s="1" t="s">
        <v>6607</v>
      </c>
      <c r="G2294" s="39" t="s">
        <v>6500</v>
      </c>
      <c r="H2294" s="1">
        <v>2</v>
      </c>
      <c r="I2294" s="1">
        <v>3</v>
      </c>
      <c r="J2294" s="39" t="s">
        <v>6496</v>
      </c>
      <c r="K2294" s="1">
        <v>3</v>
      </c>
      <c r="L2294" s="1">
        <v>2</v>
      </c>
      <c r="S2294" s="1" t="s">
        <v>6608</v>
      </c>
      <c r="T2294" s="1">
        <v>1</v>
      </c>
      <c r="U2294" s="19"/>
      <c r="V2294" s="19"/>
    </row>
    <row r="2295" spans="1:22" x14ac:dyDescent="0.3">
      <c r="A2295" s="1" t="s">
        <v>6609</v>
      </c>
      <c r="B2295" s="5">
        <v>46242</v>
      </c>
      <c r="C2295" s="6">
        <v>0.33333333333333331</v>
      </c>
      <c r="D2295" s="1" t="s">
        <v>30</v>
      </c>
      <c r="E2295" s="1" t="s">
        <v>36</v>
      </c>
      <c r="F2295" s="1" t="s">
        <v>6610</v>
      </c>
      <c r="G2295" s="39" t="s">
        <v>6464</v>
      </c>
      <c r="H2295" s="1">
        <v>3</v>
      </c>
      <c r="I2295" s="1">
        <v>0</v>
      </c>
      <c r="J2295" s="39" t="s">
        <v>6485</v>
      </c>
      <c r="K2295" s="1">
        <v>0</v>
      </c>
      <c r="L2295" s="1">
        <v>3</v>
      </c>
      <c r="S2295" s="1" t="s">
        <v>6611</v>
      </c>
      <c r="T2295" s="1">
        <v>1</v>
      </c>
      <c r="U2295" s="19"/>
      <c r="V2295" s="19"/>
    </row>
    <row r="2296" spans="1:22" x14ac:dyDescent="0.3">
      <c r="A2296" s="1" t="s">
        <v>6612</v>
      </c>
      <c r="B2296" s="5">
        <v>46198</v>
      </c>
      <c r="C2296" s="6">
        <v>0.58333333333333337</v>
      </c>
      <c r="D2296" s="1" t="s">
        <v>30</v>
      </c>
      <c r="E2296" s="1" t="s">
        <v>36</v>
      </c>
      <c r="F2296" s="1" t="s">
        <v>6613</v>
      </c>
      <c r="G2296" s="39" t="s">
        <v>958</v>
      </c>
      <c r="H2296" s="1">
        <v>0</v>
      </c>
      <c r="I2296" s="1">
        <v>0</v>
      </c>
      <c r="J2296" s="39" t="s">
        <v>6485</v>
      </c>
      <c r="K2296" s="1">
        <v>0</v>
      </c>
      <c r="L2296" s="1">
        <v>0</v>
      </c>
      <c r="S2296" s="1" t="s">
        <v>6614</v>
      </c>
      <c r="T2296" s="1">
        <v>1</v>
      </c>
      <c r="U2296" s="19"/>
      <c r="V2296" s="19"/>
    </row>
    <row r="2297" spans="1:22" x14ac:dyDescent="0.3">
      <c r="A2297" s="1" t="s">
        <v>6615</v>
      </c>
      <c r="B2297" s="5">
        <v>46191</v>
      </c>
      <c r="C2297" s="6">
        <v>0.60416666666666663</v>
      </c>
      <c r="D2297" s="1" t="s">
        <v>30</v>
      </c>
      <c r="E2297" s="1" t="s">
        <v>36</v>
      </c>
      <c r="F2297" s="1" t="s">
        <v>6616</v>
      </c>
      <c r="G2297" s="39" t="s">
        <v>6485</v>
      </c>
      <c r="H2297" s="1">
        <v>1</v>
      </c>
      <c r="I2297" s="1">
        <v>2</v>
      </c>
      <c r="J2297" s="39" t="s">
        <v>6464</v>
      </c>
      <c r="K2297" s="1">
        <v>2</v>
      </c>
      <c r="L2297" s="1">
        <v>1</v>
      </c>
      <c r="S2297" s="1" t="s">
        <v>6617</v>
      </c>
      <c r="T2297" s="1">
        <v>1</v>
      </c>
      <c r="U2297" s="19"/>
      <c r="V2297" s="19"/>
    </row>
    <row r="2298" spans="1:22" x14ac:dyDescent="0.3">
      <c r="A2298" s="1" t="s">
        <v>6618</v>
      </c>
      <c r="B2298" s="5">
        <v>46178</v>
      </c>
      <c r="C2298" s="6">
        <v>0.58333333333333337</v>
      </c>
      <c r="D2298" s="1" t="s">
        <v>30</v>
      </c>
      <c r="E2298" s="1" t="s">
        <v>36</v>
      </c>
      <c r="F2298" s="1" t="s">
        <v>6619</v>
      </c>
      <c r="G2298" s="39" t="s">
        <v>6485</v>
      </c>
      <c r="H2298" s="1">
        <v>3</v>
      </c>
      <c r="I2298" s="1">
        <v>1</v>
      </c>
      <c r="J2298" s="39" t="s">
        <v>275</v>
      </c>
      <c r="K2298" s="1">
        <v>1</v>
      </c>
      <c r="L2298" s="1">
        <v>3</v>
      </c>
      <c r="S2298" s="1" t="s">
        <v>6620</v>
      </c>
      <c r="T2298" s="1">
        <v>1</v>
      </c>
      <c r="U2298" s="19"/>
      <c r="V2298" s="19"/>
    </row>
    <row r="2299" spans="1:22" x14ac:dyDescent="0.3">
      <c r="A2299" s="1" t="s">
        <v>6621</v>
      </c>
      <c r="B2299" s="5">
        <v>46165</v>
      </c>
      <c r="C2299" s="6">
        <v>0.375</v>
      </c>
      <c r="D2299" s="1" t="s">
        <v>30</v>
      </c>
      <c r="E2299" s="1" t="s">
        <v>36</v>
      </c>
      <c r="F2299" s="1" t="s">
        <v>6622</v>
      </c>
      <c r="G2299" s="39" t="s">
        <v>6485</v>
      </c>
      <c r="H2299" s="1">
        <v>2</v>
      </c>
      <c r="I2299" s="1">
        <v>0</v>
      </c>
      <c r="J2299" s="39" t="s">
        <v>958</v>
      </c>
      <c r="K2299" s="1">
        <v>0</v>
      </c>
      <c r="L2299" s="1">
        <v>2</v>
      </c>
      <c r="S2299" s="1" t="s">
        <v>6623</v>
      </c>
      <c r="T2299" s="1">
        <v>1</v>
      </c>
      <c r="U2299" s="19"/>
      <c r="V2299" s="19"/>
    </row>
    <row r="2300" spans="1:22" x14ac:dyDescent="0.3">
      <c r="A2300" s="1" t="s">
        <v>6624</v>
      </c>
      <c r="B2300" s="5">
        <v>46150</v>
      </c>
      <c r="C2300" s="6">
        <v>0.60416666666666663</v>
      </c>
      <c r="D2300" s="1" t="s">
        <v>30</v>
      </c>
      <c r="E2300" s="1" t="s">
        <v>36</v>
      </c>
      <c r="F2300" s="1" t="s">
        <v>6625</v>
      </c>
      <c r="G2300" s="39" t="s">
        <v>274</v>
      </c>
      <c r="H2300" s="1">
        <v>2</v>
      </c>
      <c r="I2300" s="1">
        <v>2</v>
      </c>
      <c r="J2300" s="39" t="s">
        <v>6485</v>
      </c>
      <c r="K2300" s="1">
        <v>2</v>
      </c>
      <c r="L2300" s="1">
        <v>2</v>
      </c>
      <c r="S2300" s="1" t="s">
        <v>6626</v>
      </c>
      <c r="T2300" s="1">
        <v>1</v>
      </c>
      <c r="U2300" s="19"/>
      <c r="V2300" s="19"/>
    </row>
    <row r="2301" spans="1:22" x14ac:dyDescent="0.3">
      <c r="A2301" s="1" t="s">
        <v>6627</v>
      </c>
      <c r="B2301" s="5">
        <v>46143</v>
      </c>
      <c r="C2301" s="6">
        <v>0.33333333333333331</v>
      </c>
      <c r="D2301" s="1" t="s">
        <v>30</v>
      </c>
      <c r="E2301" s="1" t="s">
        <v>36</v>
      </c>
      <c r="F2301" s="1" t="s">
        <v>6628</v>
      </c>
      <c r="G2301" s="39" t="s">
        <v>6485</v>
      </c>
      <c r="H2301" s="1">
        <v>2</v>
      </c>
      <c r="I2301" s="1">
        <v>2</v>
      </c>
      <c r="J2301" s="39" t="s">
        <v>209</v>
      </c>
      <c r="K2301" s="1">
        <v>2</v>
      </c>
      <c r="L2301" s="1">
        <v>2</v>
      </c>
      <c r="S2301" s="1" t="s">
        <v>6629</v>
      </c>
      <c r="T2301" s="1">
        <v>1</v>
      </c>
      <c r="U2301" s="19"/>
      <c r="V2301" s="19"/>
    </row>
    <row r="2302" spans="1:22" x14ac:dyDescent="0.3">
      <c r="A2302" s="1" t="s">
        <v>6630</v>
      </c>
      <c r="B2302" s="5">
        <v>46138</v>
      </c>
      <c r="C2302" s="6">
        <v>0.375</v>
      </c>
      <c r="D2302" s="1" t="s">
        <v>30</v>
      </c>
      <c r="E2302" s="1" t="s">
        <v>36</v>
      </c>
      <c r="F2302" s="1" t="s">
        <v>6631</v>
      </c>
      <c r="G2302" s="39" t="s">
        <v>6471</v>
      </c>
      <c r="H2302" s="1">
        <v>1</v>
      </c>
      <c r="I2302" s="1">
        <v>1</v>
      </c>
      <c r="J2302" s="39" t="s">
        <v>6485</v>
      </c>
      <c r="K2302" s="1">
        <v>1</v>
      </c>
      <c r="L2302" s="1">
        <v>1</v>
      </c>
      <c r="S2302" s="1" t="s">
        <v>6632</v>
      </c>
      <c r="T2302" s="1">
        <v>1</v>
      </c>
      <c r="U2302" s="19"/>
      <c r="V2302" s="19"/>
    </row>
    <row r="2303" spans="1:22" x14ac:dyDescent="0.3">
      <c r="A2303" s="1" t="s">
        <v>6633</v>
      </c>
      <c r="B2303" s="5">
        <v>46241</v>
      </c>
      <c r="C2303" s="6">
        <v>0.60416666666666663</v>
      </c>
      <c r="D2303" s="1" t="s">
        <v>30</v>
      </c>
      <c r="E2303" s="1" t="s">
        <v>36</v>
      </c>
      <c r="F2303" s="1" t="s">
        <v>6634</v>
      </c>
      <c r="G2303" s="39" t="s">
        <v>6471</v>
      </c>
      <c r="H2303" s="1">
        <v>0</v>
      </c>
      <c r="I2303" s="1">
        <v>2</v>
      </c>
      <c r="J2303" s="39" t="s">
        <v>6500</v>
      </c>
      <c r="K2303" s="1">
        <v>2</v>
      </c>
      <c r="L2303" s="1">
        <v>0</v>
      </c>
      <c r="S2303" s="1" t="s">
        <v>6635</v>
      </c>
      <c r="T2303" s="1">
        <v>1</v>
      </c>
      <c r="U2303" s="19"/>
      <c r="V2303" s="19"/>
    </row>
    <row r="2304" spans="1:22" x14ac:dyDescent="0.3">
      <c r="A2304" s="1" t="s">
        <v>6636</v>
      </c>
      <c r="B2304" s="5">
        <v>46191</v>
      </c>
      <c r="C2304" s="6">
        <v>0.60416666666666663</v>
      </c>
      <c r="D2304" s="1" t="s">
        <v>30</v>
      </c>
      <c r="E2304" s="1" t="s">
        <v>36</v>
      </c>
      <c r="F2304" s="1" t="s">
        <v>6637</v>
      </c>
      <c r="G2304" s="39" t="s">
        <v>6500</v>
      </c>
      <c r="H2304" s="1">
        <v>3</v>
      </c>
      <c r="I2304" s="1">
        <v>0</v>
      </c>
      <c r="J2304" s="39" t="s">
        <v>6471</v>
      </c>
      <c r="K2304" s="1">
        <v>0</v>
      </c>
      <c r="L2304" s="1">
        <v>3</v>
      </c>
      <c r="S2304" s="1" t="s">
        <v>6638</v>
      </c>
      <c r="T2304" s="1">
        <v>1</v>
      </c>
      <c r="U2304" s="19"/>
      <c r="V2304" s="19"/>
    </row>
    <row r="2305" spans="1:22" x14ac:dyDescent="0.3">
      <c r="A2305" s="1" t="s">
        <v>6639</v>
      </c>
      <c r="B2305" s="5">
        <v>46184</v>
      </c>
      <c r="C2305" s="6">
        <v>0.60416666666666663</v>
      </c>
      <c r="D2305" s="1" t="s">
        <v>30</v>
      </c>
      <c r="E2305" s="1" t="s">
        <v>36</v>
      </c>
      <c r="F2305" s="1" t="s">
        <v>6640</v>
      </c>
      <c r="G2305" s="39" t="s">
        <v>275</v>
      </c>
      <c r="H2305" s="1">
        <v>1</v>
      </c>
      <c r="I2305" s="1">
        <v>2</v>
      </c>
      <c r="J2305" s="39" t="s">
        <v>6500</v>
      </c>
      <c r="K2305" s="1">
        <v>2</v>
      </c>
      <c r="L2305" s="1">
        <v>1</v>
      </c>
      <c r="S2305" s="1" t="s">
        <v>6641</v>
      </c>
      <c r="T2305" s="1">
        <v>1</v>
      </c>
      <c r="U2305" s="19"/>
      <c r="V2305" s="19"/>
    </row>
    <row r="2306" spans="1:22" x14ac:dyDescent="0.3">
      <c r="A2306" s="1" t="s">
        <v>6642</v>
      </c>
      <c r="B2306" s="5">
        <v>46178</v>
      </c>
      <c r="C2306" s="6">
        <v>0.58333333333333337</v>
      </c>
      <c r="D2306" s="1" t="s">
        <v>30</v>
      </c>
      <c r="E2306" s="1" t="s">
        <v>36</v>
      </c>
      <c r="F2306" s="1" t="s">
        <v>6643</v>
      </c>
      <c r="G2306" s="39" t="s">
        <v>6500</v>
      </c>
      <c r="H2306" s="1">
        <v>2</v>
      </c>
      <c r="I2306" s="1">
        <v>2</v>
      </c>
      <c r="J2306" s="39" t="s">
        <v>6492</v>
      </c>
      <c r="K2306" s="1">
        <v>2</v>
      </c>
      <c r="L2306" s="1">
        <v>2</v>
      </c>
      <c r="S2306" s="1" t="s">
        <v>6644</v>
      </c>
      <c r="T2306" s="1">
        <v>1</v>
      </c>
      <c r="U2306" s="19"/>
      <c r="V2306" s="19"/>
    </row>
    <row r="2307" spans="1:22" x14ac:dyDescent="0.3">
      <c r="A2307" s="1" t="s">
        <v>6645</v>
      </c>
      <c r="B2307" s="5">
        <v>46171</v>
      </c>
      <c r="C2307" s="6">
        <v>0.58333333333333337</v>
      </c>
      <c r="D2307" s="1" t="s">
        <v>30</v>
      </c>
      <c r="E2307" s="1" t="s">
        <v>36</v>
      </c>
      <c r="F2307" s="1" t="s">
        <v>6646</v>
      </c>
      <c r="G2307" s="39" t="s">
        <v>958</v>
      </c>
      <c r="H2307" s="1">
        <v>1</v>
      </c>
      <c r="I2307" s="1">
        <v>1</v>
      </c>
      <c r="J2307" s="39" t="s">
        <v>6500</v>
      </c>
      <c r="K2307" s="1">
        <v>1</v>
      </c>
      <c r="L2307" s="1">
        <v>1</v>
      </c>
      <c r="S2307" s="1" t="s">
        <v>6647</v>
      </c>
      <c r="T2307" s="1">
        <v>1</v>
      </c>
      <c r="U2307" s="19"/>
      <c r="V2307" s="19"/>
    </row>
    <row r="2308" spans="1:22" x14ac:dyDescent="0.3">
      <c r="A2308" s="1" t="s">
        <v>6648</v>
      </c>
      <c r="B2308" s="5">
        <v>46164</v>
      </c>
      <c r="C2308" s="6">
        <v>0.58333333333333337</v>
      </c>
      <c r="D2308" s="1" t="s">
        <v>30</v>
      </c>
      <c r="E2308" s="1" t="s">
        <v>36</v>
      </c>
      <c r="F2308" s="1" t="s">
        <v>6649</v>
      </c>
      <c r="G2308" s="39" t="s">
        <v>6500</v>
      </c>
      <c r="H2308" s="1">
        <v>2</v>
      </c>
      <c r="I2308" s="1">
        <v>1</v>
      </c>
      <c r="J2308" s="39" t="s">
        <v>209</v>
      </c>
      <c r="K2308" s="1">
        <v>1</v>
      </c>
      <c r="L2308" s="1">
        <v>2</v>
      </c>
      <c r="S2308" s="1" t="s">
        <v>6650</v>
      </c>
      <c r="T2308" s="1">
        <v>1</v>
      </c>
      <c r="U2308" s="19"/>
      <c r="V2308" s="19"/>
    </row>
    <row r="2309" spans="1:22" x14ac:dyDescent="0.3">
      <c r="A2309" s="1" t="s">
        <v>6651</v>
      </c>
      <c r="B2309" s="5">
        <v>46143</v>
      </c>
      <c r="C2309" s="6">
        <v>0.33333333333333331</v>
      </c>
      <c r="D2309" s="1" t="s">
        <v>30</v>
      </c>
      <c r="E2309" s="1" t="s">
        <v>36</v>
      </c>
      <c r="F2309" s="1" t="s">
        <v>6652</v>
      </c>
      <c r="G2309" s="39" t="s">
        <v>6500</v>
      </c>
      <c r="H2309" s="1">
        <v>0</v>
      </c>
      <c r="I2309" s="1">
        <v>2</v>
      </c>
      <c r="J2309" s="39" t="s">
        <v>6464</v>
      </c>
      <c r="K2309" s="1">
        <v>2</v>
      </c>
      <c r="L2309" s="1">
        <v>0</v>
      </c>
      <c r="S2309" s="1" t="s">
        <v>6653</v>
      </c>
      <c r="T2309" s="1">
        <v>1</v>
      </c>
      <c r="U2309" s="19"/>
      <c r="V2309" s="19"/>
    </row>
    <row r="2310" spans="1:22" x14ac:dyDescent="0.3">
      <c r="A2310" s="1" t="s">
        <v>6654</v>
      </c>
      <c r="B2310" s="5">
        <v>46243</v>
      </c>
      <c r="C2310" s="6">
        <v>0.33333333333333331</v>
      </c>
      <c r="D2310" s="1" t="s">
        <v>30</v>
      </c>
      <c r="E2310" s="1" t="s">
        <v>36</v>
      </c>
      <c r="F2310" s="1" t="s">
        <v>6655</v>
      </c>
      <c r="G2310" s="39" t="s">
        <v>275</v>
      </c>
      <c r="H2310" s="1">
        <v>0</v>
      </c>
      <c r="I2310" s="1">
        <v>6</v>
      </c>
      <c r="J2310" s="39" t="s">
        <v>209</v>
      </c>
      <c r="K2310" s="1">
        <v>6</v>
      </c>
      <c r="L2310" s="1">
        <v>0</v>
      </c>
      <c r="S2310" s="1" t="s">
        <v>6656</v>
      </c>
      <c r="T2310" s="1">
        <v>1</v>
      </c>
      <c r="U2310" s="19"/>
      <c r="V2310" s="19"/>
    </row>
    <row r="2311" spans="1:22" x14ac:dyDescent="0.3">
      <c r="A2311" s="1" t="s">
        <v>6657</v>
      </c>
      <c r="B2311" s="5">
        <v>46200</v>
      </c>
      <c r="C2311" s="6">
        <v>0.45833333333333331</v>
      </c>
      <c r="D2311" s="1" t="s">
        <v>30</v>
      </c>
      <c r="E2311" s="1" t="s">
        <v>36</v>
      </c>
      <c r="F2311" s="1" t="s">
        <v>6658</v>
      </c>
      <c r="G2311" s="39" t="s">
        <v>6471</v>
      </c>
      <c r="H2311" s="1">
        <v>1</v>
      </c>
      <c r="I2311" s="1">
        <v>1</v>
      </c>
      <c r="J2311" s="39" t="s">
        <v>209</v>
      </c>
      <c r="K2311" s="1">
        <v>1</v>
      </c>
      <c r="L2311" s="1">
        <v>1</v>
      </c>
      <c r="S2311" s="1" t="s">
        <v>6659</v>
      </c>
      <c r="T2311" s="1">
        <v>1</v>
      </c>
      <c r="U2311" s="19"/>
      <c r="V2311" s="19"/>
    </row>
    <row r="2312" spans="1:22" x14ac:dyDescent="0.3">
      <c r="A2312" s="1" t="s">
        <v>6660</v>
      </c>
      <c r="B2312" s="5">
        <v>46187</v>
      </c>
      <c r="C2312" s="6">
        <v>0.33333333333333331</v>
      </c>
      <c r="D2312" s="1" t="s">
        <v>30</v>
      </c>
      <c r="E2312" s="1" t="s">
        <v>36</v>
      </c>
      <c r="F2312" s="1" t="s">
        <v>6661</v>
      </c>
      <c r="G2312" s="39" t="s">
        <v>6464</v>
      </c>
      <c r="H2312" s="1">
        <v>1</v>
      </c>
      <c r="I2312" s="1">
        <v>1</v>
      </c>
      <c r="J2312" s="39" t="s">
        <v>209</v>
      </c>
      <c r="K2312" s="1">
        <v>1</v>
      </c>
      <c r="L2312" s="1">
        <v>1</v>
      </c>
      <c r="S2312" s="1" t="s">
        <v>6662</v>
      </c>
      <c r="T2312" s="1">
        <v>1</v>
      </c>
      <c r="U2312" s="19"/>
      <c r="V2312" s="19"/>
    </row>
    <row r="2313" spans="1:22" x14ac:dyDescent="0.3">
      <c r="A2313" s="1" t="s">
        <v>6663</v>
      </c>
      <c r="B2313" s="5">
        <v>46156</v>
      </c>
      <c r="C2313" s="6">
        <v>0.33333333333333331</v>
      </c>
      <c r="D2313" s="1" t="s">
        <v>30</v>
      </c>
      <c r="E2313" s="1" t="s">
        <v>36</v>
      </c>
      <c r="F2313" s="1" t="s">
        <v>6664</v>
      </c>
      <c r="G2313" s="39" t="s">
        <v>209</v>
      </c>
      <c r="H2313" s="1">
        <v>1</v>
      </c>
      <c r="I2313" s="1">
        <v>2</v>
      </c>
      <c r="J2313" s="39" t="s">
        <v>274</v>
      </c>
      <c r="K2313" s="1">
        <v>2</v>
      </c>
      <c r="L2313" s="1">
        <v>1</v>
      </c>
      <c r="S2313" s="1" t="s">
        <v>6665</v>
      </c>
      <c r="T2313" s="1">
        <v>1</v>
      </c>
      <c r="U2313" s="19"/>
      <c r="V2313" s="19"/>
    </row>
    <row r="2314" spans="1:22" x14ac:dyDescent="0.3">
      <c r="A2314" s="1" t="s">
        <v>6666</v>
      </c>
      <c r="B2314" s="5">
        <v>46150</v>
      </c>
      <c r="C2314" s="6">
        <v>0.58333333333333337</v>
      </c>
      <c r="D2314" s="1" t="s">
        <v>30</v>
      </c>
      <c r="E2314" s="1" t="s">
        <v>36</v>
      </c>
      <c r="F2314" s="1" t="s">
        <v>6667</v>
      </c>
      <c r="G2314" s="39" t="s">
        <v>958</v>
      </c>
      <c r="H2314" s="1">
        <v>1</v>
      </c>
      <c r="I2314" s="1">
        <v>2</v>
      </c>
      <c r="J2314" s="39" t="s">
        <v>209</v>
      </c>
      <c r="K2314" s="1">
        <v>2</v>
      </c>
      <c r="L2314" s="1">
        <v>1</v>
      </c>
      <c r="S2314" s="1" t="s">
        <v>6668</v>
      </c>
      <c r="T2314" s="1">
        <v>1</v>
      </c>
      <c r="U2314" s="19"/>
      <c r="V2314" s="19"/>
    </row>
    <row r="2315" spans="1:22" x14ac:dyDescent="0.3">
      <c r="A2315" s="1" t="s">
        <v>6669</v>
      </c>
      <c r="B2315" s="5">
        <v>46138</v>
      </c>
      <c r="C2315" s="6">
        <v>0.33333333333333331</v>
      </c>
      <c r="D2315" s="1" t="s">
        <v>30</v>
      </c>
      <c r="E2315" s="1" t="s">
        <v>36</v>
      </c>
      <c r="F2315" s="1" t="s">
        <v>6670</v>
      </c>
      <c r="G2315" s="39" t="s">
        <v>209</v>
      </c>
      <c r="H2315" s="1">
        <v>2</v>
      </c>
      <c r="I2315" s="1">
        <v>0</v>
      </c>
      <c r="J2315" s="39" t="s">
        <v>275</v>
      </c>
      <c r="K2315" s="1">
        <v>0</v>
      </c>
      <c r="L2315" s="1">
        <v>2</v>
      </c>
      <c r="S2315" s="1" t="s">
        <v>6671</v>
      </c>
      <c r="T2315" s="1">
        <v>1</v>
      </c>
      <c r="U2315" s="19"/>
      <c r="V2315" s="19"/>
    </row>
    <row r="2316" spans="1:22" x14ac:dyDescent="0.3">
      <c r="A2316" s="1" t="s">
        <v>6672</v>
      </c>
      <c r="B2316" s="5">
        <v>46234</v>
      </c>
      <c r="C2316" s="6">
        <v>0.60416666666666663</v>
      </c>
      <c r="D2316" s="1" t="s">
        <v>30</v>
      </c>
      <c r="E2316" s="1" t="s">
        <v>36</v>
      </c>
      <c r="F2316" s="1" t="s">
        <v>6673</v>
      </c>
      <c r="G2316" s="39" t="s">
        <v>6492</v>
      </c>
      <c r="H2316" s="1">
        <v>0</v>
      </c>
      <c r="I2316" s="1">
        <v>0</v>
      </c>
      <c r="J2316" s="39" t="s">
        <v>6464</v>
      </c>
      <c r="K2316" s="1">
        <v>0</v>
      </c>
      <c r="L2316" s="1">
        <v>0</v>
      </c>
      <c r="S2316" s="1" t="s">
        <v>6674</v>
      </c>
      <c r="T2316" s="1">
        <v>1</v>
      </c>
      <c r="U2316" s="19"/>
      <c r="V2316" s="19"/>
    </row>
    <row r="2317" spans="1:22" x14ac:dyDescent="0.3">
      <c r="A2317" s="1" t="s">
        <v>6675</v>
      </c>
      <c r="B2317" s="5">
        <v>46191</v>
      </c>
      <c r="C2317" s="6">
        <v>0.60416666666666663</v>
      </c>
      <c r="D2317" s="1" t="s">
        <v>30</v>
      </c>
      <c r="E2317" s="1" t="s">
        <v>36</v>
      </c>
      <c r="F2317" s="1" t="s">
        <v>6676</v>
      </c>
      <c r="G2317" s="39" t="s">
        <v>274</v>
      </c>
      <c r="H2317" s="1">
        <v>3</v>
      </c>
      <c r="I2317" s="1">
        <v>2</v>
      </c>
      <c r="J2317" s="39" t="s">
        <v>958</v>
      </c>
      <c r="K2317" s="1">
        <v>2</v>
      </c>
      <c r="L2317" s="1">
        <v>3</v>
      </c>
      <c r="S2317" s="1" t="s">
        <v>6677</v>
      </c>
      <c r="T2317" s="1">
        <v>1</v>
      </c>
      <c r="U2317" s="19"/>
      <c r="V2317" s="19"/>
    </row>
    <row r="2318" spans="1:22" x14ac:dyDescent="0.3">
      <c r="A2318" s="1" t="s">
        <v>6678</v>
      </c>
      <c r="B2318" s="5">
        <v>46186</v>
      </c>
      <c r="C2318" s="6">
        <v>0.41666666666666669</v>
      </c>
      <c r="D2318" s="1" t="s">
        <v>30</v>
      </c>
      <c r="E2318" s="1" t="s">
        <v>36</v>
      </c>
      <c r="F2318" s="1" t="s">
        <v>6679</v>
      </c>
      <c r="G2318" s="39" t="s">
        <v>958</v>
      </c>
      <c r="H2318" s="1">
        <v>1</v>
      </c>
      <c r="I2318" s="1">
        <v>2</v>
      </c>
      <c r="J2318" s="39" t="s">
        <v>6492</v>
      </c>
      <c r="K2318" s="1">
        <v>2</v>
      </c>
      <c r="L2318" s="1">
        <v>1</v>
      </c>
      <c r="S2318" s="1" t="s">
        <v>6680</v>
      </c>
      <c r="T2318" s="1">
        <v>1</v>
      </c>
      <c r="U2318" s="19"/>
      <c r="V2318" s="19"/>
    </row>
    <row r="2319" spans="1:22" x14ac:dyDescent="0.3">
      <c r="A2319" s="1" t="s">
        <v>6681</v>
      </c>
      <c r="B2319" s="5">
        <v>46179</v>
      </c>
      <c r="C2319" s="6">
        <v>0.45833333333333331</v>
      </c>
      <c r="D2319" s="1" t="s">
        <v>30</v>
      </c>
      <c r="E2319" s="1" t="s">
        <v>36</v>
      </c>
      <c r="F2319" s="1" t="s">
        <v>6682</v>
      </c>
      <c r="G2319" s="39" t="s">
        <v>274</v>
      </c>
      <c r="H2319" s="1">
        <v>2</v>
      </c>
      <c r="I2319" s="1">
        <v>2</v>
      </c>
      <c r="J2319" s="39" t="s">
        <v>6471</v>
      </c>
      <c r="K2319" s="1">
        <v>2</v>
      </c>
      <c r="L2319" s="1">
        <v>2</v>
      </c>
      <c r="S2319" s="1" t="s">
        <v>6683</v>
      </c>
      <c r="T2319" s="1">
        <v>1</v>
      </c>
      <c r="U2319" s="19"/>
      <c r="V2319" s="19"/>
    </row>
    <row r="2320" spans="1:22" x14ac:dyDescent="0.3">
      <c r="A2320" s="1" t="s">
        <v>6684</v>
      </c>
      <c r="B2320" s="5">
        <v>46172</v>
      </c>
      <c r="C2320" s="6">
        <v>0.45833333333333331</v>
      </c>
      <c r="D2320" s="1" t="s">
        <v>30</v>
      </c>
      <c r="E2320" s="1" t="s">
        <v>36</v>
      </c>
      <c r="F2320" s="1" t="s">
        <v>6685</v>
      </c>
      <c r="G2320" s="39" t="s">
        <v>6492</v>
      </c>
      <c r="H2320" s="1">
        <v>1</v>
      </c>
      <c r="I2320" s="1">
        <v>2</v>
      </c>
      <c r="J2320" s="39" t="s">
        <v>6471</v>
      </c>
      <c r="K2320" s="1">
        <v>2</v>
      </c>
      <c r="L2320" s="1">
        <v>1</v>
      </c>
      <c r="S2320" s="1" t="s">
        <v>6686</v>
      </c>
      <c r="T2320" s="1">
        <v>1</v>
      </c>
      <c r="U2320" s="19"/>
      <c r="V2320" s="19"/>
    </row>
    <row r="2321" spans="1:22" x14ac:dyDescent="0.3">
      <c r="A2321" s="1" t="s">
        <v>6687</v>
      </c>
      <c r="B2321" s="5">
        <v>46172</v>
      </c>
      <c r="C2321" s="6">
        <v>0.33333333333333331</v>
      </c>
      <c r="D2321" s="1" t="s">
        <v>30</v>
      </c>
      <c r="E2321" s="1" t="s">
        <v>36</v>
      </c>
      <c r="F2321" s="1" t="s">
        <v>6688</v>
      </c>
      <c r="G2321" s="39" t="s">
        <v>6464</v>
      </c>
      <c r="H2321" s="1">
        <v>0</v>
      </c>
      <c r="I2321" s="1">
        <v>0</v>
      </c>
      <c r="J2321" s="39" t="s">
        <v>275</v>
      </c>
      <c r="K2321" s="1">
        <v>0</v>
      </c>
      <c r="L2321" s="1">
        <v>0</v>
      </c>
      <c r="S2321" s="1" t="s">
        <v>6689</v>
      </c>
      <c r="T2321" s="1">
        <v>1</v>
      </c>
      <c r="U2321" s="19"/>
      <c r="V2321" s="19"/>
    </row>
    <row r="2322" spans="1:22" x14ac:dyDescent="0.3">
      <c r="A2322" s="1" t="s">
        <v>6690</v>
      </c>
      <c r="B2322" s="5">
        <v>46164</v>
      </c>
      <c r="C2322" s="6">
        <v>0.60416666666666663</v>
      </c>
      <c r="D2322" s="1" t="s">
        <v>30</v>
      </c>
      <c r="E2322" s="1" t="s">
        <v>36</v>
      </c>
      <c r="F2322" s="1" t="s">
        <v>6691</v>
      </c>
      <c r="G2322" s="39" t="s">
        <v>274</v>
      </c>
      <c r="H2322" s="1">
        <v>1</v>
      </c>
      <c r="I2322" s="1">
        <v>2</v>
      </c>
      <c r="J2322" s="39" t="s">
        <v>6464</v>
      </c>
      <c r="K2322" s="1">
        <v>2</v>
      </c>
      <c r="L2322" s="1">
        <v>1</v>
      </c>
      <c r="S2322" s="1" t="s">
        <v>6692</v>
      </c>
      <c r="T2322" s="1">
        <v>1</v>
      </c>
      <c r="U2322" s="19"/>
      <c r="V2322" s="19"/>
    </row>
    <row r="2323" spans="1:22" x14ac:dyDescent="0.3">
      <c r="A2323" s="1" t="s">
        <v>6693</v>
      </c>
      <c r="B2323" s="5">
        <v>46152</v>
      </c>
      <c r="C2323" s="6">
        <v>0.375</v>
      </c>
      <c r="D2323" s="1" t="s">
        <v>30</v>
      </c>
      <c r="E2323" s="1" t="s">
        <v>36</v>
      </c>
      <c r="F2323" s="1" t="s">
        <v>6694</v>
      </c>
      <c r="G2323" s="39" t="s">
        <v>6471</v>
      </c>
      <c r="H2323" s="1">
        <v>1</v>
      </c>
      <c r="I2323" s="1">
        <v>1</v>
      </c>
      <c r="J2323" s="39" t="s">
        <v>6464</v>
      </c>
      <c r="K2323" s="1">
        <v>1</v>
      </c>
      <c r="L2323" s="1">
        <v>1</v>
      </c>
      <c r="S2323" s="1" t="s">
        <v>6695</v>
      </c>
      <c r="T2323" s="1">
        <v>1</v>
      </c>
      <c r="U2323" s="19"/>
      <c r="V2323" s="19"/>
    </row>
    <row r="2324" spans="1:22" x14ac:dyDescent="0.3">
      <c r="A2324" s="1" t="s">
        <v>6696</v>
      </c>
      <c r="B2324" s="5">
        <v>46145</v>
      </c>
      <c r="C2324" s="6">
        <v>0.33333333333333331</v>
      </c>
      <c r="D2324" s="1" t="s">
        <v>30</v>
      </c>
      <c r="E2324" s="1" t="s">
        <v>36</v>
      </c>
      <c r="F2324" s="1" t="s">
        <v>6697</v>
      </c>
      <c r="G2324" s="39" t="s">
        <v>275</v>
      </c>
      <c r="H2324" s="1">
        <v>0</v>
      </c>
      <c r="I2324" s="1">
        <v>3</v>
      </c>
      <c r="J2324" s="39" t="s">
        <v>274</v>
      </c>
      <c r="K2324" s="1">
        <v>3</v>
      </c>
      <c r="L2324" s="1">
        <v>0</v>
      </c>
      <c r="S2324" s="1" t="s">
        <v>6698</v>
      </c>
      <c r="T2324" s="1">
        <v>1</v>
      </c>
      <c r="U2324" s="19"/>
      <c r="V2324" s="19"/>
    </row>
    <row r="2325" spans="1:22" x14ac:dyDescent="0.3">
      <c r="A2325" s="1" t="s">
        <v>6699</v>
      </c>
      <c r="B2325" s="5">
        <v>46142</v>
      </c>
      <c r="C2325" s="6">
        <v>0.58333333333333337</v>
      </c>
      <c r="D2325" s="1" t="s">
        <v>30</v>
      </c>
      <c r="E2325" s="1" t="s">
        <v>36</v>
      </c>
      <c r="F2325" s="1" t="s">
        <v>6700</v>
      </c>
      <c r="G2325" s="39" t="s">
        <v>958</v>
      </c>
      <c r="H2325" s="1">
        <v>2</v>
      </c>
      <c r="I2325" s="1">
        <v>2</v>
      </c>
      <c r="J2325" s="39" t="s">
        <v>6471</v>
      </c>
      <c r="K2325" s="1">
        <v>2</v>
      </c>
      <c r="L2325" s="1">
        <v>2</v>
      </c>
      <c r="S2325" s="1" t="s">
        <v>6701</v>
      </c>
      <c r="T2325" s="1">
        <v>1</v>
      </c>
      <c r="U2325" s="19"/>
      <c r="V2325" s="19"/>
    </row>
    <row r="2326" spans="1:22" x14ac:dyDescent="0.3">
      <c r="A2326" s="1" t="s">
        <v>6702</v>
      </c>
      <c r="B2326" s="5">
        <v>46137</v>
      </c>
      <c r="C2326" s="6">
        <v>0.29166666666666669</v>
      </c>
      <c r="D2326" s="1" t="s">
        <v>30</v>
      </c>
      <c r="E2326" s="1" t="s">
        <v>36</v>
      </c>
      <c r="F2326" s="1" t="s">
        <v>6703</v>
      </c>
      <c r="G2326" s="39" t="s">
        <v>274</v>
      </c>
      <c r="H2326" s="1">
        <v>3</v>
      </c>
      <c r="I2326" s="1">
        <v>1</v>
      </c>
      <c r="J2326" s="39" t="s">
        <v>6492</v>
      </c>
      <c r="K2326" s="1">
        <v>1</v>
      </c>
      <c r="L2326" s="1">
        <v>3</v>
      </c>
      <c r="S2326" s="1" t="s">
        <v>6704</v>
      </c>
      <c r="T2326" s="1">
        <v>1</v>
      </c>
      <c r="U2326" s="19"/>
      <c r="V2326" s="19"/>
    </row>
    <row r="2327" spans="1:22" x14ac:dyDescent="0.3">
      <c r="A2327" s="1" t="s">
        <v>6705</v>
      </c>
      <c r="B2327" s="5">
        <v>46159</v>
      </c>
      <c r="C2327" s="6">
        <v>0.33333333333333331</v>
      </c>
      <c r="D2327" s="1" t="s">
        <v>30</v>
      </c>
      <c r="E2327" s="1" t="s">
        <v>36</v>
      </c>
      <c r="F2327" s="1" t="s">
        <v>6706</v>
      </c>
      <c r="G2327" s="39" t="s">
        <v>275</v>
      </c>
      <c r="H2327" s="1">
        <v>2</v>
      </c>
      <c r="I2327" s="1">
        <v>1</v>
      </c>
      <c r="J2327" s="39" t="s">
        <v>958</v>
      </c>
      <c r="K2327" s="1">
        <v>1</v>
      </c>
      <c r="L2327" s="1">
        <v>2</v>
      </c>
      <c r="S2327" s="1" t="s">
        <v>6707</v>
      </c>
      <c r="T2327" s="1">
        <v>1</v>
      </c>
      <c r="U2327" s="19"/>
      <c r="V2327" s="19"/>
    </row>
    <row r="2328" spans="1:22" x14ac:dyDescent="0.3">
      <c r="A2328" s="1" t="s">
        <v>6708</v>
      </c>
      <c r="B2328" s="5">
        <v>46236</v>
      </c>
      <c r="C2328" s="6">
        <v>0.5</v>
      </c>
      <c r="D2328" s="1" t="s">
        <v>27</v>
      </c>
      <c r="E2328" s="1" t="s">
        <v>28</v>
      </c>
      <c r="F2328" s="1" t="s">
        <v>6709</v>
      </c>
      <c r="G2328" s="39" t="s">
        <v>6710</v>
      </c>
      <c r="H2328" s="1">
        <v>2</v>
      </c>
      <c r="I2328" s="1">
        <v>6</v>
      </c>
      <c r="J2328" s="39" t="s">
        <v>6711</v>
      </c>
      <c r="K2328" s="1">
        <v>6</v>
      </c>
      <c r="L2328" s="1">
        <v>2</v>
      </c>
      <c r="S2328" s="1" t="s">
        <v>6712</v>
      </c>
      <c r="T2328" s="1">
        <v>1</v>
      </c>
      <c r="U2328" s="19"/>
      <c r="V2328" s="19"/>
    </row>
    <row r="2329" spans="1:22" x14ac:dyDescent="0.3">
      <c r="A2329" s="1" t="s">
        <v>6713</v>
      </c>
      <c r="B2329" s="5">
        <v>46221</v>
      </c>
      <c r="C2329" s="6">
        <v>0.375</v>
      </c>
      <c r="D2329" s="1" t="s">
        <v>27</v>
      </c>
      <c r="E2329" s="1" t="s">
        <v>28</v>
      </c>
      <c r="F2329" s="1" t="s">
        <v>6714</v>
      </c>
      <c r="G2329" s="39" t="s">
        <v>6715</v>
      </c>
      <c r="H2329" s="1">
        <v>1</v>
      </c>
      <c r="I2329" s="1">
        <v>4</v>
      </c>
      <c r="J2329" s="39" t="s">
        <v>6711</v>
      </c>
      <c r="K2329" s="1">
        <v>4</v>
      </c>
      <c r="L2329" s="1">
        <v>1</v>
      </c>
      <c r="S2329" s="1" t="s">
        <v>6716</v>
      </c>
      <c r="T2329" s="1">
        <v>1</v>
      </c>
      <c r="U2329" s="19"/>
      <c r="V2329" s="19"/>
    </row>
    <row r="2330" spans="1:22" x14ac:dyDescent="0.3">
      <c r="A2330" s="1" t="s">
        <v>6717</v>
      </c>
      <c r="B2330" s="5">
        <v>46214</v>
      </c>
      <c r="C2330" s="6">
        <v>0.54166666666666663</v>
      </c>
      <c r="D2330" s="1" t="s">
        <v>27</v>
      </c>
      <c r="E2330" s="1" t="s">
        <v>28</v>
      </c>
      <c r="F2330" s="1" t="s">
        <v>6718</v>
      </c>
      <c r="G2330" s="39" t="s">
        <v>6711</v>
      </c>
      <c r="H2330" s="1">
        <v>4</v>
      </c>
      <c r="I2330" s="1">
        <v>0</v>
      </c>
      <c r="J2330" s="39" t="s">
        <v>6719</v>
      </c>
      <c r="K2330" s="1">
        <v>0</v>
      </c>
      <c r="L2330" s="1">
        <v>4</v>
      </c>
      <c r="S2330" s="1" t="s">
        <v>6720</v>
      </c>
      <c r="T2330" s="1">
        <v>1</v>
      </c>
      <c r="U2330" s="19"/>
      <c r="V2330" s="19"/>
    </row>
    <row r="2331" spans="1:22" x14ac:dyDescent="0.3">
      <c r="A2331" s="1" t="s">
        <v>6721</v>
      </c>
      <c r="B2331" s="5">
        <v>46171</v>
      </c>
      <c r="C2331" s="6">
        <v>0.58333333333333337</v>
      </c>
      <c r="D2331" s="1" t="s">
        <v>27</v>
      </c>
      <c r="E2331" s="1" t="s">
        <v>28</v>
      </c>
      <c r="F2331" s="1" t="s">
        <v>6722</v>
      </c>
      <c r="G2331" s="39" t="s">
        <v>6723</v>
      </c>
      <c r="H2331" s="1">
        <v>0</v>
      </c>
      <c r="I2331" s="1">
        <v>0</v>
      </c>
      <c r="J2331" s="39" t="s">
        <v>6711</v>
      </c>
      <c r="K2331" s="1">
        <v>0</v>
      </c>
      <c r="L2331" s="1">
        <v>0</v>
      </c>
      <c r="S2331" s="1" t="s">
        <v>6724</v>
      </c>
      <c r="T2331" s="1">
        <v>1</v>
      </c>
      <c r="U2331" s="19"/>
      <c r="V2331" s="19"/>
    </row>
    <row r="2332" spans="1:22" x14ac:dyDescent="0.3">
      <c r="A2332" s="1" t="s">
        <v>6725</v>
      </c>
      <c r="B2332" s="5">
        <v>46167</v>
      </c>
      <c r="C2332" s="6">
        <v>0.5</v>
      </c>
      <c r="D2332" s="1" t="s">
        <v>27</v>
      </c>
      <c r="E2332" s="1" t="s">
        <v>28</v>
      </c>
      <c r="F2332" s="1" t="s">
        <v>6726</v>
      </c>
      <c r="G2332" s="39" t="s">
        <v>6711</v>
      </c>
      <c r="H2332" s="1">
        <v>1</v>
      </c>
      <c r="I2332" s="1">
        <v>1</v>
      </c>
      <c r="J2332" s="39" t="s">
        <v>6710</v>
      </c>
      <c r="K2332" s="1">
        <v>1</v>
      </c>
      <c r="L2332" s="1">
        <v>1</v>
      </c>
      <c r="S2332" s="1" t="s">
        <v>6727</v>
      </c>
      <c r="T2332" s="1">
        <v>1</v>
      </c>
      <c r="U2332" s="19"/>
      <c r="V2332" s="19"/>
    </row>
    <row r="2333" spans="1:22" x14ac:dyDescent="0.3">
      <c r="A2333" s="1" t="s">
        <v>6728</v>
      </c>
      <c r="B2333" s="5">
        <v>46158</v>
      </c>
      <c r="C2333" s="6">
        <v>0.54166666666666663</v>
      </c>
      <c r="D2333" s="1" t="s">
        <v>27</v>
      </c>
      <c r="E2333" s="1" t="s">
        <v>28</v>
      </c>
      <c r="F2333" s="1" t="s">
        <v>6729</v>
      </c>
      <c r="G2333" s="39" t="s">
        <v>6730</v>
      </c>
      <c r="H2333" s="1">
        <v>5</v>
      </c>
      <c r="I2333" s="1">
        <v>0</v>
      </c>
      <c r="J2333" s="39" t="s">
        <v>6711</v>
      </c>
      <c r="K2333" s="1">
        <v>0</v>
      </c>
      <c r="L2333" s="1">
        <v>5</v>
      </c>
      <c r="S2333" s="1" t="s">
        <v>6731</v>
      </c>
      <c r="T2333" s="1">
        <v>1</v>
      </c>
      <c r="U2333" s="19"/>
      <c r="V2333" s="19"/>
    </row>
    <row r="2334" spans="1:22" x14ac:dyDescent="0.3">
      <c r="A2334" s="1" t="s">
        <v>6732</v>
      </c>
      <c r="B2334" s="5">
        <v>46152</v>
      </c>
      <c r="C2334" s="6">
        <v>0.5</v>
      </c>
      <c r="D2334" s="1" t="s">
        <v>27</v>
      </c>
      <c r="E2334" s="1" t="s">
        <v>28</v>
      </c>
      <c r="F2334" s="1" t="s">
        <v>6733</v>
      </c>
      <c r="G2334" s="39" t="s">
        <v>6711</v>
      </c>
      <c r="H2334" s="1">
        <v>2</v>
      </c>
      <c r="I2334" s="1">
        <v>0</v>
      </c>
      <c r="J2334" s="39" t="s">
        <v>6734</v>
      </c>
      <c r="K2334" s="1">
        <v>0</v>
      </c>
      <c r="L2334" s="1">
        <v>2</v>
      </c>
      <c r="S2334" s="1" t="s">
        <v>6735</v>
      </c>
      <c r="T2334" s="1">
        <v>1</v>
      </c>
      <c r="U2334" s="19"/>
      <c r="V2334" s="19"/>
    </row>
    <row r="2335" spans="1:22" x14ac:dyDescent="0.3">
      <c r="A2335" s="1" t="s">
        <v>6736</v>
      </c>
      <c r="B2335" s="5">
        <v>46145</v>
      </c>
      <c r="C2335" s="6">
        <v>0.5</v>
      </c>
      <c r="D2335" s="1" t="s">
        <v>27</v>
      </c>
      <c r="E2335" s="1" t="s">
        <v>28</v>
      </c>
      <c r="F2335" s="1" t="s">
        <v>6737</v>
      </c>
      <c r="G2335" s="39" t="s">
        <v>6738</v>
      </c>
      <c r="H2335" s="1">
        <v>1</v>
      </c>
      <c r="I2335" s="1">
        <v>1</v>
      </c>
      <c r="J2335" s="39" t="s">
        <v>6711</v>
      </c>
      <c r="K2335" s="1">
        <v>1</v>
      </c>
      <c r="L2335" s="1">
        <v>1</v>
      </c>
      <c r="S2335" s="1" t="s">
        <v>6739</v>
      </c>
      <c r="T2335" s="1">
        <v>1</v>
      </c>
      <c r="U2335" s="19"/>
      <c r="V2335" s="19"/>
    </row>
    <row r="2336" spans="1:22" x14ac:dyDescent="0.3">
      <c r="A2336" s="1" t="s">
        <v>6740</v>
      </c>
      <c r="B2336" s="5">
        <v>46141</v>
      </c>
      <c r="C2336" s="6">
        <v>0.58333333333333337</v>
      </c>
      <c r="D2336" s="1" t="s">
        <v>27</v>
      </c>
      <c r="E2336" s="1" t="s">
        <v>28</v>
      </c>
      <c r="F2336" s="1" t="s">
        <v>6741</v>
      </c>
      <c r="G2336" s="39" t="s">
        <v>6711</v>
      </c>
      <c r="H2336" s="1">
        <v>0</v>
      </c>
      <c r="I2336" s="1">
        <v>5</v>
      </c>
      <c r="J2336" s="39" t="s">
        <v>6742</v>
      </c>
      <c r="K2336" s="1">
        <v>5</v>
      </c>
      <c r="L2336" s="1">
        <v>0</v>
      </c>
      <c r="S2336" s="1" t="s">
        <v>6743</v>
      </c>
      <c r="T2336" s="1">
        <v>1</v>
      </c>
      <c r="U2336" s="19"/>
      <c r="V2336" s="19"/>
    </row>
    <row r="2337" spans="1:22" x14ac:dyDescent="0.3">
      <c r="A2337" s="1" t="s">
        <v>6744</v>
      </c>
      <c r="B2337" s="5">
        <v>46138</v>
      </c>
      <c r="C2337" s="6">
        <v>0.5</v>
      </c>
      <c r="D2337" s="1" t="s">
        <v>27</v>
      </c>
      <c r="E2337" s="1" t="s">
        <v>28</v>
      </c>
      <c r="F2337" s="1" t="s">
        <v>6745</v>
      </c>
      <c r="G2337" s="39" t="s">
        <v>6711</v>
      </c>
      <c r="H2337" s="1">
        <v>3</v>
      </c>
      <c r="I2337" s="1">
        <v>1</v>
      </c>
      <c r="J2337" s="39" t="s">
        <v>6746</v>
      </c>
      <c r="K2337" s="1">
        <v>1</v>
      </c>
      <c r="L2337" s="1">
        <v>3</v>
      </c>
      <c r="S2337" s="1" t="s">
        <v>6747</v>
      </c>
      <c r="T2337" s="1">
        <v>1</v>
      </c>
      <c r="U2337" s="19"/>
      <c r="V2337" s="19"/>
    </row>
    <row r="2338" spans="1:22" x14ac:dyDescent="0.3">
      <c r="A2338" s="1" t="s">
        <v>6748</v>
      </c>
      <c r="B2338" s="5">
        <v>46131</v>
      </c>
      <c r="C2338" s="6">
        <v>0.5</v>
      </c>
      <c r="D2338" s="1" t="s">
        <v>27</v>
      </c>
      <c r="E2338" s="1" t="s">
        <v>28</v>
      </c>
      <c r="F2338" s="1" t="s">
        <v>6749</v>
      </c>
      <c r="G2338" s="39" t="s">
        <v>6750</v>
      </c>
      <c r="H2338" s="1">
        <v>0</v>
      </c>
      <c r="I2338" s="1">
        <v>1</v>
      </c>
      <c r="J2338" s="39" t="s">
        <v>6711</v>
      </c>
      <c r="K2338" s="1">
        <v>1</v>
      </c>
      <c r="L2338" s="1">
        <v>0</v>
      </c>
      <c r="S2338" s="1" t="s">
        <v>6751</v>
      </c>
      <c r="T2338" s="1">
        <v>1</v>
      </c>
      <c r="U2338" s="19"/>
      <c r="V2338" s="19"/>
    </row>
    <row r="2339" spans="1:22" x14ac:dyDescent="0.3">
      <c r="A2339" s="1" t="s">
        <v>6752</v>
      </c>
      <c r="B2339" s="5">
        <v>46127</v>
      </c>
      <c r="C2339" s="6">
        <v>0.58333333333333337</v>
      </c>
      <c r="D2339" s="1" t="s">
        <v>27</v>
      </c>
      <c r="E2339" s="1" t="s">
        <v>28</v>
      </c>
      <c r="F2339" s="1" t="s">
        <v>6753</v>
      </c>
      <c r="G2339" s="39" t="s">
        <v>6711</v>
      </c>
      <c r="H2339" s="1">
        <v>0</v>
      </c>
      <c r="I2339" s="1">
        <v>0</v>
      </c>
      <c r="J2339" s="39" t="s">
        <v>6754</v>
      </c>
      <c r="K2339" s="1">
        <v>0</v>
      </c>
      <c r="L2339" s="1">
        <v>0</v>
      </c>
      <c r="S2339" s="1" t="s">
        <v>6755</v>
      </c>
      <c r="T2339" s="1">
        <v>1</v>
      </c>
      <c r="U2339" s="19"/>
      <c r="V2339" s="19"/>
    </row>
    <row r="2340" spans="1:22" x14ac:dyDescent="0.3">
      <c r="A2340" s="1" t="s">
        <v>6756</v>
      </c>
      <c r="B2340" s="5">
        <v>46242</v>
      </c>
      <c r="C2340" s="6">
        <v>0.45833333333333331</v>
      </c>
      <c r="D2340" s="1" t="s">
        <v>27</v>
      </c>
      <c r="E2340" s="1" t="s">
        <v>28</v>
      </c>
      <c r="F2340" s="1" t="s">
        <v>6757</v>
      </c>
      <c r="G2340" s="39" t="s">
        <v>6758</v>
      </c>
      <c r="H2340" s="1">
        <v>2</v>
      </c>
      <c r="I2340" s="1">
        <v>1</v>
      </c>
      <c r="J2340" s="39" t="s">
        <v>6750</v>
      </c>
      <c r="K2340" s="1">
        <v>1</v>
      </c>
      <c r="L2340" s="1">
        <v>2</v>
      </c>
      <c r="S2340" s="1" t="s">
        <v>6759</v>
      </c>
      <c r="T2340" s="1">
        <v>1</v>
      </c>
      <c r="U2340" s="19"/>
      <c r="V2340" s="19"/>
    </row>
    <row r="2341" spans="1:22" x14ac:dyDescent="0.3">
      <c r="A2341" s="1" t="s">
        <v>6760</v>
      </c>
      <c r="B2341" s="5">
        <v>46235</v>
      </c>
      <c r="C2341" s="6">
        <v>0.54166666666666663</v>
      </c>
      <c r="D2341" s="1" t="s">
        <v>27</v>
      </c>
      <c r="E2341" s="1" t="s">
        <v>28</v>
      </c>
      <c r="F2341" s="1" t="s">
        <v>6761</v>
      </c>
      <c r="G2341" s="39" t="s">
        <v>6738</v>
      </c>
      <c r="H2341" s="1">
        <v>0</v>
      </c>
      <c r="I2341" s="1">
        <v>3</v>
      </c>
      <c r="J2341" s="39" t="s">
        <v>6758</v>
      </c>
      <c r="K2341" s="1">
        <v>3</v>
      </c>
      <c r="L2341" s="1">
        <v>0</v>
      </c>
      <c r="S2341" s="1" t="s">
        <v>6762</v>
      </c>
      <c r="T2341" s="1">
        <v>1</v>
      </c>
      <c r="U2341" s="19"/>
      <c r="V2341" s="19"/>
    </row>
    <row r="2342" spans="1:22" x14ac:dyDescent="0.3">
      <c r="A2342" s="1" t="s">
        <v>6763</v>
      </c>
      <c r="B2342" s="5">
        <v>46229</v>
      </c>
      <c r="C2342" s="6">
        <v>0.59375</v>
      </c>
      <c r="D2342" s="1" t="s">
        <v>27</v>
      </c>
      <c r="E2342" s="1" t="s">
        <v>28</v>
      </c>
      <c r="F2342" s="1" t="s">
        <v>6764</v>
      </c>
      <c r="G2342" s="39" t="s">
        <v>6710</v>
      </c>
      <c r="H2342" s="1">
        <v>1</v>
      </c>
      <c r="I2342" s="1">
        <v>1</v>
      </c>
      <c r="J2342" s="39" t="s">
        <v>6758</v>
      </c>
      <c r="K2342" s="1">
        <v>1</v>
      </c>
      <c r="L2342" s="1">
        <v>1</v>
      </c>
      <c r="S2342" s="1" t="s">
        <v>6765</v>
      </c>
      <c r="T2342" s="1">
        <v>1</v>
      </c>
      <c r="U2342" s="19"/>
      <c r="V2342" s="19"/>
    </row>
    <row r="2343" spans="1:22" x14ac:dyDescent="0.3">
      <c r="A2343" s="1" t="s">
        <v>6766</v>
      </c>
      <c r="B2343" s="5">
        <v>46225</v>
      </c>
      <c r="C2343" s="6">
        <v>0.58333333333333337</v>
      </c>
      <c r="D2343" s="1" t="s">
        <v>27</v>
      </c>
      <c r="E2343" s="1" t="s">
        <v>28</v>
      </c>
      <c r="F2343" s="1" t="s">
        <v>6767</v>
      </c>
      <c r="G2343" s="39" t="s">
        <v>6754</v>
      </c>
      <c r="H2343" s="1">
        <v>1</v>
      </c>
      <c r="I2343" s="1">
        <v>2</v>
      </c>
      <c r="J2343" s="39" t="s">
        <v>6758</v>
      </c>
      <c r="K2343" s="1">
        <v>2</v>
      </c>
      <c r="L2343" s="1">
        <v>1</v>
      </c>
      <c r="S2343" s="1" t="s">
        <v>6768</v>
      </c>
      <c r="T2343" s="1">
        <v>1</v>
      </c>
      <c r="U2343" s="19"/>
      <c r="V2343" s="19"/>
    </row>
    <row r="2344" spans="1:22" x14ac:dyDescent="0.3">
      <c r="A2344" s="1" t="s">
        <v>6769</v>
      </c>
      <c r="B2344" s="5">
        <v>46221</v>
      </c>
      <c r="C2344" s="6">
        <v>0.54166666666666663</v>
      </c>
      <c r="D2344" s="1" t="s">
        <v>27</v>
      </c>
      <c r="E2344" s="1" t="s">
        <v>28</v>
      </c>
      <c r="F2344" s="1" t="s">
        <v>6770</v>
      </c>
      <c r="G2344" s="39" t="s">
        <v>6758</v>
      </c>
      <c r="H2344" s="1">
        <v>2</v>
      </c>
      <c r="I2344" s="1">
        <v>1</v>
      </c>
      <c r="J2344" s="39" t="s">
        <v>6746</v>
      </c>
      <c r="K2344" s="1">
        <v>1</v>
      </c>
      <c r="L2344" s="1">
        <v>2</v>
      </c>
      <c r="S2344" s="1" t="s">
        <v>6771</v>
      </c>
      <c r="T2344" s="1">
        <v>1</v>
      </c>
      <c r="U2344" s="19"/>
      <c r="V2344" s="19"/>
    </row>
    <row r="2345" spans="1:22" x14ac:dyDescent="0.3">
      <c r="A2345" s="1" t="s">
        <v>6772</v>
      </c>
      <c r="B2345" s="5">
        <v>46215</v>
      </c>
      <c r="C2345" s="6">
        <v>0.59375</v>
      </c>
      <c r="D2345" s="1" t="s">
        <v>27</v>
      </c>
      <c r="E2345" s="1" t="s">
        <v>28</v>
      </c>
      <c r="F2345" s="1" t="s">
        <v>6773</v>
      </c>
      <c r="G2345" s="39" t="s">
        <v>6750</v>
      </c>
      <c r="H2345" s="1">
        <v>1</v>
      </c>
      <c r="I2345" s="1">
        <v>0</v>
      </c>
      <c r="J2345" s="39" t="s">
        <v>6758</v>
      </c>
      <c r="K2345" s="1">
        <v>0</v>
      </c>
      <c r="L2345" s="1">
        <v>1</v>
      </c>
      <c r="S2345" s="1" t="s">
        <v>6774</v>
      </c>
      <c r="T2345" s="1">
        <v>1</v>
      </c>
      <c r="U2345" s="19"/>
      <c r="V2345" s="19"/>
    </row>
    <row r="2346" spans="1:22" x14ac:dyDescent="0.3">
      <c r="A2346" s="1" t="s">
        <v>6775</v>
      </c>
      <c r="B2346" s="5">
        <v>46166</v>
      </c>
      <c r="C2346" s="6">
        <v>0.54166666666666663</v>
      </c>
      <c r="D2346" s="1" t="s">
        <v>27</v>
      </c>
      <c r="E2346" s="1" t="s">
        <v>28</v>
      </c>
      <c r="F2346" s="1" t="s">
        <v>6776</v>
      </c>
      <c r="G2346" s="39" t="s">
        <v>6777</v>
      </c>
      <c r="H2346" s="1">
        <v>1</v>
      </c>
      <c r="I2346" s="1">
        <v>2</v>
      </c>
      <c r="J2346" s="39" t="s">
        <v>6758</v>
      </c>
      <c r="K2346" s="1">
        <v>2</v>
      </c>
      <c r="L2346" s="1">
        <v>1</v>
      </c>
      <c r="S2346" s="1" t="s">
        <v>6778</v>
      </c>
      <c r="T2346" s="1">
        <v>1</v>
      </c>
      <c r="U2346" s="19"/>
      <c r="V2346" s="19"/>
    </row>
    <row r="2347" spans="1:22" x14ac:dyDescent="0.3">
      <c r="A2347" s="1" t="s">
        <v>6779</v>
      </c>
      <c r="B2347" s="5">
        <v>46158</v>
      </c>
      <c r="C2347" s="6">
        <v>0.45833333333333331</v>
      </c>
      <c r="D2347" s="1" t="s">
        <v>27</v>
      </c>
      <c r="E2347" s="1" t="s">
        <v>28</v>
      </c>
      <c r="F2347" s="1" t="s">
        <v>6780</v>
      </c>
      <c r="G2347" s="39" t="s">
        <v>6758</v>
      </c>
      <c r="H2347" s="1">
        <v>6</v>
      </c>
      <c r="I2347" s="1">
        <v>3</v>
      </c>
      <c r="J2347" s="39" t="s">
        <v>6738</v>
      </c>
      <c r="K2347" s="1">
        <v>3</v>
      </c>
      <c r="L2347" s="1">
        <v>6</v>
      </c>
      <c r="S2347" s="1" t="s">
        <v>6781</v>
      </c>
      <c r="T2347" s="1">
        <v>1</v>
      </c>
      <c r="U2347" s="19"/>
      <c r="V2347" s="19"/>
    </row>
    <row r="2348" spans="1:22" x14ac:dyDescent="0.3">
      <c r="A2348" s="1" t="s">
        <v>6782</v>
      </c>
      <c r="B2348" s="5">
        <v>46152</v>
      </c>
      <c r="C2348" s="6">
        <v>0.5</v>
      </c>
      <c r="D2348" s="1" t="s">
        <v>27</v>
      </c>
      <c r="E2348" s="1" t="s">
        <v>28</v>
      </c>
      <c r="F2348" s="1" t="s">
        <v>6783</v>
      </c>
      <c r="G2348" s="39" t="s">
        <v>6723</v>
      </c>
      <c r="H2348" s="1">
        <v>0</v>
      </c>
      <c r="I2348" s="1">
        <v>2</v>
      </c>
      <c r="J2348" s="39" t="s">
        <v>6758</v>
      </c>
      <c r="K2348" s="1">
        <v>2</v>
      </c>
      <c r="L2348" s="1">
        <v>0</v>
      </c>
      <c r="S2348" s="1" t="s">
        <v>6784</v>
      </c>
      <c r="T2348" s="1">
        <v>1</v>
      </c>
      <c r="U2348" s="19"/>
      <c r="V2348" s="19"/>
    </row>
    <row r="2349" spans="1:22" x14ac:dyDescent="0.3">
      <c r="A2349" s="1" t="s">
        <v>6785</v>
      </c>
      <c r="B2349" s="5">
        <v>46143</v>
      </c>
      <c r="C2349" s="6">
        <v>0.54166666666666663</v>
      </c>
      <c r="D2349" s="1" t="s">
        <v>27</v>
      </c>
      <c r="E2349" s="1" t="s">
        <v>28</v>
      </c>
      <c r="F2349" s="1" t="s">
        <v>6786</v>
      </c>
      <c r="G2349" s="39" t="s">
        <v>6758</v>
      </c>
      <c r="H2349" s="1">
        <v>3</v>
      </c>
      <c r="I2349" s="1">
        <v>0</v>
      </c>
      <c r="J2349" s="39" t="s">
        <v>6787</v>
      </c>
      <c r="K2349" s="1">
        <v>0</v>
      </c>
      <c r="L2349" s="1">
        <v>3</v>
      </c>
      <c r="S2349" s="1" t="s">
        <v>6788</v>
      </c>
      <c r="T2349" s="1">
        <v>1</v>
      </c>
      <c r="U2349" s="19"/>
      <c r="V2349" s="19"/>
    </row>
    <row r="2350" spans="1:22" x14ac:dyDescent="0.3">
      <c r="A2350" s="1" t="s">
        <v>6789</v>
      </c>
      <c r="B2350" s="5">
        <v>46137</v>
      </c>
      <c r="C2350" s="6">
        <v>0.45833333333333331</v>
      </c>
      <c r="D2350" s="1" t="s">
        <v>27</v>
      </c>
      <c r="E2350" s="1" t="s">
        <v>28</v>
      </c>
      <c r="F2350" s="1" t="s">
        <v>6790</v>
      </c>
      <c r="G2350" s="39" t="s">
        <v>6791</v>
      </c>
      <c r="H2350" s="1">
        <v>1</v>
      </c>
      <c r="I2350" s="1">
        <v>2</v>
      </c>
      <c r="J2350" s="39" t="s">
        <v>6758</v>
      </c>
      <c r="K2350" s="1">
        <v>2</v>
      </c>
      <c r="L2350" s="1">
        <v>1</v>
      </c>
      <c r="S2350" s="1" t="s">
        <v>6792</v>
      </c>
      <c r="T2350" s="1">
        <v>1</v>
      </c>
      <c r="U2350" s="19"/>
      <c r="V2350" s="19"/>
    </row>
    <row r="2351" spans="1:22" x14ac:dyDescent="0.3">
      <c r="A2351" s="1" t="s">
        <v>6793</v>
      </c>
      <c r="B2351" s="5">
        <v>46130</v>
      </c>
      <c r="C2351" s="6">
        <v>0.54166666666666663</v>
      </c>
      <c r="D2351" s="1" t="s">
        <v>27</v>
      </c>
      <c r="E2351" s="1" t="s">
        <v>28</v>
      </c>
      <c r="F2351" s="1" t="s">
        <v>6794</v>
      </c>
      <c r="G2351" s="39" t="s">
        <v>6758</v>
      </c>
      <c r="H2351" s="1">
        <v>3</v>
      </c>
      <c r="I2351" s="1">
        <v>2</v>
      </c>
      <c r="J2351" s="39" t="s">
        <v>6742</v>
      </c>
      <c r="K2351" s="1">
        <v>2</v>
      </c>
      <c r="L2351" s="1">
        <v>3</v>
      </c>
      <c r="S2351" s="1" t="s">
        <v>6795</v>
      </c>
      <c r="T2351" s="1">
        <v>1</v>
      </c>
      <c r="U2351" s="19"/>
      <c r="V2351" s="19"/>
    </row>
    <row r="2352" spans="1:22" x14ac:dyDescent="0.3">
      <c r="A2352" s="1" t="s">
        <v>6796</v>
      </c>
      <c r="B2352" s="5">
        <v>46242</v>
      </c>
      <c r="C2352" s="6">
        <v>0.375</v>
      </c>
      <c r="D2352" s="1" t="s">
        <v>27</v>
      </c>
      <c r="E2352" s="1" t="s">
        <v>28</v>
      </c>
      <c r="F2352" s="1" t="s">
        <v>6797</v>
      </c>
      <c r="G2352" s="39" t="s">
        <v>6719</v>
      </c>
      <c r="H2352" s="1">
        <v>1</v>
      </c>
      <c r="I2352" s="1">
        <v>2</v>
      </c>
      <c r="J2352" s="39" t="s">
        <v>6730</v>
      </c>
      <c r="K2352" s="1">
        <v>2</v>
      </c>
      <c r="L2352" s="1">
        <v>1</v>
      </c>
      <c r="S2352" s="1" t="s">
        <v>6798</v>
      </c>
      <c r="T2352" s="1">
        <v>1</v>
      </c>
      <c r="U2352" s="19"/>
      <c r="V2352" s="19"/>
    </row>
    <row r="2353" spans="1:22" x14ac:dyDescent="0.3">
      <c r="A2353" s="1" t="s">
        <v>6799</v>
      </c>
      <c r="B2353" s="5">
        <v>46234</v>
      </c>
      <c r="C2353" s="6">
        <v>0.66666666666666663</v>
      </c>
      <c r="D2353" s="1" t="s">
        <v>27</v>
      </c>
      <c r="E2353" s="1" t="s">
        <v>28</v>
      </c>
      <c r="F2353" s="1" t="s">
        <v>6800</v>
      </c>
      <c r="G2353" s="39" t="s">
        <v>6730</v>
      </c>
      <c r="H2353" s="1">
        <v>4</v>
      </c>
      <c r="I2353" s="1">
        <v>0</v>
      </c>
      <c r="J2353" s="39" t="s">
        <v>6754</v>
      </c>
      <c r="K2353" s="1">
        <v>0</v>
      </c>
      <c r="L2353" s="1">
        <v>4</v>
      </c>
      <c r="S2353" s="1" t="s">
        <v>6801</v>
      </c>
      <c r="T2353" s="1">
        <v>1</v>
      </c>
      <c r="U2353" s="19"/>
      <c r="V2353" s="19"/>
    </row>
    <row r="2354" spans="1:22" x14ac:dyDescent="0.3">
      <c r="A2354" s="1" t="s">
        <v>6802</v>
      </c>
      <c r="B2354" s="5">
        <v>46229</v>
      </c>
      <c r="C2354" s="6">
        <v>0.5</v>
      </c>
      <c r="D2354" s="1" t="s">
        <v>27</v>
      </c>
      <c r="E2354" s="1" t="s">
        <v>28</v>
      </c>
      <c r="F2354" s="1" t="s">
        <v>6803</v>
      </c>
      <c r="G2354" s="39" t="s">
        <v>6746</v>
      </c>
      <c r="H2354" s="1">
        <v>0</v>
      </c>
      <c r="I2354" s="1">
        <v>3</v>
      </c>
      <c r="J2354" s="39" t="s">
        <v>6730</v>
      </c>
      <c r="K2354" s="1">
        <v>3</v>
      </c>
      <c r="L2354" s="1">
        <v>0</v>
      </c>
      <c r="S2354" s="1" t="s">
        <v>6804</v>
      </c>
      <c r="T2354" s="1">
        <v>1</v>
      </c>
      <c r="U2354" s="19"/>
      <c r="V2354" s="19"/>
    </row>
    <row r="2355" spans="1:22" x14ac:dyDescent="0.3">
      <c r="A2355" s="1" t="s">
        <v>6805</v>
      </c>
      <c r="B2355" s="5">
        <v>46225</v>
      </c>
      <c r="C2355" s="6">
        <v>0.58333333333333337</v>
      </c>
      <c r="D2355" s="1" t="s">
        <v>27</v>
      </c>
      <c r="E2355" s="1" t="s">
        <v>28</v>
      </c>
      <c r="F2355" s="1" t="s">
        <v>6806</v>
      </c>
      <c r="G2355" s="39" t="s">
        <v>6730</v>
      </c>
      <c r="H2355" s="1">
        <v>3</v>
      </c>
      <c r="I2355" s="1">
        <v>0</v>
      </c>
      <c r="J2355" s="39" t="s">
        <v>6715</v>
      </c>
      <c r="K2355" s="1">
        <v>0</v>
      </c>
      <c r="L2355" s="1">
        <v>3</v>
      </c>
      <c r="S2355" s="1" t="s">
        <v>6807</v>
      </c>
      <c r="T2355" s="1">
        <v>1</v>
      </c>
      <c r="U2355" s="19"/>
      <c r="V2355" s="19"/>
    </row>
    <row r="2356" spans="1:22" x14ac:dyDescent="0.3">
      <c r="A2356" s="1" t="s">
        <v>6808</v>
      </c>
      <c r="B2356" s="5">
        <v>46220</v>
      </c>
      <c r="C2356" s="6">
        <v>0.59375</v>
      </c>
      <c r="D2356" s="1" t="s">
        <v>27</v>
      </c>
      <c r="E2356" s="1" t="s">
        <v>28</v>
      </c>
      <c r="F2356" s="1" t="s">
        <v>6809</v>
      </c>
      <c r="G2356" s="39" t="s">
        <v>6730</v>
      </c>
      <c r="H2356" s="1">
        <v>1</v>
      </c>
      <c r="I2356" s="1">
        <v>0</v>
      </c>
      <c r="J2356" s="39" t="s">
        <v>6791</v>
      </c>
      <c r="K2356" s="1">
        <v>0</v>
      </c>
      <c r="L2356" s="1">
        <v>1</v>
      </c>
      <c r="S2356" s="1" t="s">
        <v>6810</v>
      </c>
      <c r="T2356" s="1">
        <v>1</v>
      </c>
      <c r="U2356" s="19"/>
      <c r="V2356" s="19"/>
    </row>
    <row r="2357" spans="1:22" x14ac:dyDescent="0.3">
      <c r="A2357" s="1" t="s">
        <v>6811</v>
      </c>
      <c r="B2357" s="5">
        <v>46215</v>
      </c>
      <c r="C2357" s="6">
        <v>0.39583333333333331</v>
      </c>
      <c r="D2357" s="1" t="s">
        <v>27</v>
      </c>
      <c r="E2357" s="1" t="s">
        <v>28</v>
      </c>
      <c r="F2357" s="1" t="s">
        <v>6812</v>
      </c>
      <c r="G2357" s="39" t="s">
        <v>6723</v>
      </c>
      <c r="H2357" s="1">
        <v>0</v>
      </c>
      <c r="I2357" s="1">
        <v>2</v>
      </c>
      <c r="J2357" s="39" t="s">
        <v>6730</v>
      </c>
      <c r="K2357" s="1">
        <v>2</v>
      </c>
      <c r="L2357" s="1">
        <v>0</v>
      </c>
      <c r="S2357" s="1" t="s">
        <v>6813</v>
      </c>
      <c r="T2357" s="1">
        <v>1</v>
      </c>
      <c r="U2357" s="19"/>
      <c r="V2357" s="19"/>
    </row>
    <row r="2358" spans="1:22" x14ac:dyDescent="0.3">
      <c r="A2358" s="1" t="s">
        <v>6814</v>
      </c>
      <c r="B2358" s="5">
        <v>46171</v>
      </c>
      <c r="C2358" s="6">
        <v>0.58333333333333337</v>
      </c>
      <c r="D2358" s="1" t="s">
        <v>27</v>
      </c>
      <c r="E2358" s="1" t="s">
        <v>28</v>
      </c>
      <c r="F2358" s="1" t="s">
        <v>6815</v>
      </c>
      <c r="G2358" s="39" t="s">
        <v>6787</v>
      </c>
      <c r="H2358" s="1">
        <v>2</v>
      </c>
      <c r="I2358" s="1">
        <v>2</v>
      </c>
      <c r="J2358" s="39" t="s">
        <v>6730</v>
      </c>
      <c r="K2358" s="1">
        <v>2</v>
      </c>
      <c r="L2358" s="1">
        <v>2</v>
      </c>
      <c r="S2358" s="1" t="s">
        <v>6816</v>
      </c>
      <c r="T2358" s="1">
        <v>1</v>
      </c>
      <c r="U2358" s="19"/>
      <c r="V2358" s="19"/>
    </row>
    <row r="2359" spans="1:22" x14ac:dyDescent="0.3">
      <c r="A2359" s="1" t="s">
        <v>6817</v>
      </c>
      <c r="B2359" s="5">
        <v>46166</v>
      </c>
      <c r="C2359" s="6">
        <v>0.45833333333333331</v>
      </c>
      <c r="D2359" s="1" t="s">
        <v>27</v>
      </c>
      <c r="E2359" s="1" t="s">
        <v>28</v>
      </c>
      <c r="F2359" s="1" t="s">
        <v>6818</v>
      </c>
      <c r="G2359" s="39" t="s">
        <v>6730</v>
      </c>
      <c r="H2359" s="1">
        <v>3</v>
      </c>
      <c r="I2359" s="1">
        <v>1</v>
      </c>
      <c r="J2359" s="39" t="s">
        <v>6742</v>
      </c>
      <c r="K2359" s="1">
        <v>1</v>
      </c>
      <c r="L2359" s="1">
        <v>3</v>
      </c>
      <c r="S2359" s="1" t="s">
        <v>6819</v>
      </c>
      <c r="T2359" s="1">
        <v>1</v>
      </c>
      <c r="U2359" s="19"/>
      <c r="V2359" s="19"/>
    </row>
    <row r="2360" spans="1:22" x14ac:dyDescent="0.3">
      <c r="A2360" s="1" t="s">
        <v>6820</v>
      </c>
      <c r="B2360" s="5">
        <v>46162</v>
      </c>
      <c r="C2360" s="6">
        <v>0.54166666666666663</v>
      </c>
      <c r="D2360" s="1" t="s">
        <v>27</v>
      </c>
      <c r="E2360" s="1" t="s">
        <v>28</v>
      </c>
      <c r="F2360" s="1" t="s">
        <v>6821</v>
      </c>
      <c r="G2360" s="39" t="s">
        <v>6738</v>
      </c>
      <c r="H2360" s="1">
        <v>1</v>
      </c>
      <c r="I2360" s="1">
        <v>4</v>
      </c>
      <c r="J2360" s="39" t="s">
        <v>6730</v>
      </c>
      <c r="K2360" s="1">
        <v>4</v>
      </c>
      <c r="L2360" s="1">
        <v>1</v>
      </c>
      <c r="S2360" s="1" t="s">
        <v>6822</v>
      </c>
      <c r="T2360" s="1">
        <v>1</v>
      </c>
      <c r="U2360" s="19"/>
      <c r="V2360" s="19"/>
    </row>
    <row r="2361" spans="1:22" x14ac:dyDescent="0.3">
      <c r="A2361" s="1" t="s">
        <v>6823</v>
      </c>
      <c r="B2361" s="5">
        <v>46146</v>
      </c>
      <c r="C2361" s="6">
        <v>0.58333333333333337</v>
      </c>
      <c r="D2361" s="1" t="s">
        <v>27</v>
      </c>
      <c r="E2361" s="1" t="s">
        <v>28</v>
      </c>
      <c r="F2361" s="1" t="s">
        <v>6824</v>
      </c>
      <c r="G2361" s="39" t="s">
        <v>6730</v>
      </c>
      <c r="H2361" s="1">
        <v>0</v>
      </c>
      <c r="I2361" s="1">
        <v>1</v>
      </c>
      <c r="J2361" s="39" t="s">
        <v>6734</v>
      </c>
      <c r="K2361" s="1">
        <v>1</v>
      </c>
      <c r="L2361" s="1">
        <v>0</v>
      </c>
      <c r="S2361" s="1" t="s">
        <v>6825</v>
      </c>
      <c r="T2361" s="1">
        <v>1</v>
      </c>
      <c r="U2361" s="19"/>
      <c r="V2361" s="19"/>
    </row>
    <row r="2362" spans="1:22" x14ac:dyDescent="0.3">
      <c r="A2362" s="1" t="s">
        <v>6826</v>
      </c>
      <c r="B2362" s="5">
        <v>46142</v>
      </c>
      <c r="C2362" s="6">
        <v>0.58333333333333337</v>
      </c>
      <c r="D2362" s="1" t="s">
        <v>27</v>
      </c>
      <c r="E2362" s="1" t="s">
        <v>28</v>
      </c>
      <c r="F2362" s="1" t="s">
        <v>6827</v>
      </c>
      <c r="G2362" s="39" t="s">
        <v>6730</v>
      </c>
      <c r="H2362" s="1">
        <v>5</v>
      </c>
      <c r="I2362" s="1">
        <v>0</v>
      </c>
      <c r="J2362" s="39" t="s">
        <v>6738</v>
      </c>
      <c r="K2362" s="1">
        <v>0</v>
      </c>
      <c r="L2362" s="1">
        <v>5</v>
      </c>
      <c r="S2362" s="1" t="s">
        <v>6828</v>
      </c>
      <c r="T2362" s="1">
        <v>1</v>
      </c>
      <c r="U2362" s="19"/>
      <c r="V2362" s="19"/>
    </row>
    <row r="2363" spans="1:22" x14ac:dyDescent="0.3">
      <c r="A2363" s="1" t="s">
        <v>6829</v>
      </c>
      <c r="B2363" s="5">
        <v>46243</v>
      </c>
      <c r="C2363" s="6">
        <v>0.39583333333333331</v>
      </c>
      <c r="D2363" s="1" t="s">
        <v>27</v>
      </c>
      <c r="E2363" s="1" t="s">
        <v>28</v>
      </c>
      <c r="F2363" s="1" t="s">
        <v>6830</v>
      </c>
      <c r="G2363" s="39" t="s">
        <v>6754</v>
      </c>
      <c r="H2363" s="1">
        <v>0</v>
      </c>
      <c r="I2363" s="1">
        <v>2</v>
      </c>
      <c r="J2363" s="39" t="s">
        <v>6787</v>
      </c>
      <c r="K2363" s="1">
        <v>2</v>
      </c>
      <c r="L2363" s="1">
        <v>0</v>
      </c>
      <c r="S2363" s="1" t="s">
        <v>6831</v>
      </c>
      <c r="T2363" s="1">
        <v>1</v>
      </c>
      <c r="U2363" s="19"/>
      <c r="V2363" s="19"/>
    </row>
    <row r="2364" spans="1:22" x14ac:dyDescent="0.3">
      <c r="A2364" s="1" t="s">
        <v>6832</v>
      </c>
      <c r="B2364" s="5">
        <v>46221</v>
      </c>
      <c r="C2364" s="6">
        <v>0.45833333333333331</v>
      </c>
      <c r="D2364" s="1" t="s">
        <v>27</v>
      </c>
      <c r="E2364" s="1" t="s">
        <v>28</v>
      </c>
      <c r="F2364" s="1" t="s">
        <v>6833</v>
      </c>
      <c r="G2364" s="39" t="s">
        <v>6754</v>
      </c>
      <c r="H2364" s="1">
        <v>2</v>
      </c>
      <c r="I2364" s="1">
        <v>1</v>
      </c>
      <c r="J2364" s="39" t="s">
        <v>6723</v>
      </c>
      <c r="K2364" s="1">
        <v>1</v>
      </c>
      <c r="L2364" s="1">
        <v>2</v>
      </c>
      <c r="S2364" s="1" t="s">
        <v>6834</v>
      </c>
      <c r="T2364" s="1">
        <v>1</v>
      </c>
      <c r="U2364" s="19"/>
      <c r="V2364" s="19"/>
    </row>
    <row r="2365" spans="1:22" x14ac:dyDescent="0.3">
      <c r="A2365" s="1" t="s">
        <v>6835</v>
      </c>
      <c r="B2365" s="5">
        <v>46214</v>
      </c>
      <c r="C2365" s="6">
        <v>0.375</v>
      </c>
      <c r="D2365" s="1" t="s">
        <v>27</v>
      </c>
      <c r="E2365" s="1" t="s">
        <v>28</v>
      </c>
      <c r="F2365" s="1" t="s">
        <v>6836</v>
      </c>
      <c r="G2365" s="39" t="s">
        <v>6791</v>
      </c>
      <c r="H2365" s="1">
        <v>0</v>
      </c>
      <c r="I2365" s="1">
        <v>2</v>
      </c>
      <c r="J2365" s="39" t="s">
        <v>6754</v>
      </c>
      <c r="K2365" s="1">
        <v>2</v>
      </c>
      <c r="L2365" s="1">
        <v>0</v>
      </c>
      <c r="S2365" s="1" t="s">
        <v>6837</v>
      </c>
      <c r="T2365" s="1">
        <v>1</v>
      </c>
      <c r="U2365" s="19"/>
      <c r="V2365" s="19"/>
    </row>
    <row r="2366" spans="1:22" x14ac:dyDescent="0.3">
      <c r="A2366" s="1" t="s">
        <v>6838</v>
      </c>
      <c r="B2366" s="5">
        <v>46167</v>
      </c>
      <c r="C2366" s="6">
        <v>0.5</v>
      </c>
      <c r="D2366" s="1" t="s">
        <v>27</v>
      </c>
      <c r="E2366" s="1" t="s">
        <v>28</v>
      </c>
      <c r="F2366" s="1" t="s">
        <v>6839</v>
      </c>
      <c r="G2366" s="39" t="s">
        <v>6715</v>
      </c>
      <c r="H2366" s="1">
        <v>2</v>
      </c>
      <c r="I2366" s="1">
        <v>0</v>
      </c>
      <c r="J2366" s="39" t="s">
        <v>6754</v>
      </c>
      <c r="K2366" s="1">
        <v>0</v>
      </c>
      <c r="L2366" s="1">
        <v>2</v>
      </c>
      <c r="S2366" s="1" t="s">
        <v>6840</v>
      </c>
      <c r="T2366" s="1">
        <v>1</v>
      </c>
      <c r="U2366" s="19"/>
      <c r="V2366" s="19"/>
    </row>
    <row r="2367" spans="1:22" x14ac:dyDescent="0.3">
      <c r="A2367" s="1" t="s">
        <v>6841</v>
      </c>
      <c r="B2367" s="5">
        <v>46162</v>
      </c>
      <c r="C2367" s="6">
        <v>0.58333333333333337</v>
      </c>
      <c r="D2367" s="1" t="s">
        <v>27</v>
      </c>
      <c r="E2367" s="1" t="s">
        <v>28</v>
      </c>
      <c r="F2367" s="1" t="s">
        <v>6842</v>
      </c>
      <c r="G2367" s="39" t="s">
        <v>6754</v>
      </c>
      <c r="H2367" s="1">
        <v>1</v>
      </c>
      <c r="I2367" s="1">
        <v>2</v>
      </c>
      <c r="J2367" s="39" t="s">
        <v>6777</v>
      </c>
      <c r="K2367" s="1">
        <v>2</v>
      </c>
      <c r="L2367" s="1">
        <v>1</v>
      </c>
      <c r="S2367" s="1" t="s">
        <v>6843</v>
      </c>
      <c r="T2367" s="1">
        <v>1</v>
      </c>
      <c r="U2367" s="19"/>
      <c r="V2367" s="19"/>
    </row>
    <row r="2368" spans="1:22" x14ac:dyDescent="0.3">
      <c r="A2368" s="1" t="s">
        <v>6844</v>
      </c>
      <c r="B2368" s="5">
        <v>46158</v>
      </c>
      <c r="C2368" s="6">
        <v>0.45833333333333331</v>
      </c>
      <c r="D2368" s="1" t="s">
        <v>27</v>
      </c>
      <c r="E2368" s="1" t="s">
        <v>28</v>
      </c>
      <c r="F2368" s="1" t="s">
        <v>6845</v>
      </c>
      <c r="G2368" s="39" t="s">
        <v>6754</v>
      </c>
      <c r="H2368" s="1">
        <v>3</v>
      </c>
      <c r="I2368" s="1">
        <v>1</v>
      </c>
      <c r="J2368" s="39" t="s">
        <v>6746</v>
      </c>
      <c r="K2368" s="1">
        <v>1</v>
      </c>
      <c r="L2368" s="1">
        <v>3</v>
      </c>
      <c r="S2368" s="1" t="s">
        <v>6846</v>
      </c>
      <c r="T2368" s="1">
        <v>1</v>
      </c>
      <c r="U2368" s="19"/>
      <c r="V2368" s="19"/>
    </row>
    <row r="2369" spans="1:22" x14ac:dyDescent="0.3">
      <c r="A2369" s="1" t="s">
        <v>6847</v>
      </c>
      <c r="B2369" s="5">
        <v>46152</v>
      </c>
      <c r="C2369" s="6">
        <v>0.39583333333333331</v>
      </c>
      <c r="D2369" s="1" t="s">
        <v>27</v>
      </c>
      <c r="E2369" s="1" t="s">
        <v>28</v>
      </c>
      <c r="F2369" s="1" t="s">
        <v>6848</v>
      </c>
      <c r="G2369" s="39" t="s">
        <v>6787</v>
      </c>
      <c r="H2369" s="1">
        <v>2</v>
      </c>
      <c r="I2369" s="1">
        <v>0</v>
      </c>
      <c r="J2369" s="39" t="s">
        <v>6754</v>
      </c>
      <c r="K2369" s="1">
        <v>0</v>
      </c>
      <c r="L2369" s="1">
        <v>2</v>
      </c>
      <c r="S2369" s="1" t="s">
        <v>6849</v>
      </c>
      <c r="T2369" s="1">
        <v>1</v>
      </c>
      <c r="U2369" s="19"/>
      <c r="V2369" s="19"/>
    </row>
    <row r="2370" spans="1:22" x14ac:dyDescent="0.3">
      <c r="A2370" s="1" t="s">
        <v>6850</v>
      </c>
      <c r="B2370" s="5">
        <v>46145</v>
      </c>
      <c r="C2370" s="6">
        <v>0.39583333333333331</v>
      </c>
      <c r="D2370" s="1" t="s">
        <v>27</v>
      </c>
      <c r="E2370" s="1" t="s">
        <v>28</v>
      </c>
      <c r="F2370" s="1" t="s">
        <v>6851</v>
      </c>
      <c r="G2370" s="39" t="s">
        <v>6754</v>
      </c>
      <c r="H2370" s="1">
        <v>4</v>
      </c>
      <c r="I2370" s="1">
        <v>0</v>
      </c>
      <c r="J2370" s="39" t="s">
        <v>6750</v>
      </c>
      <c r="K2370" s="1">
        <v>0</v>
      </c>
      <c r="L2370" s="1">
        <v>4</v>
      </c>
      <c r="S2370" s="1" t="s">
        <v>6852</v>
      </c>
      <c r="T2370" s="1">
        <v>1</v>
      </c>
      <c r="U2370" s="19"/>
      <c r="V2370" s="19"/>
    </row>
    <row r="2371" spans="1:22" x14ac:dyDescent="0.3">
      <c r="A2371" s="1" t="s">
        <v>6853</v>
      </c>
      <c r="B2371" s="5">
        <v>46138</v>
      </c>
      <c r="C2371" s="6">
        <v>0.59375</v>
      </c>
      <c r="D2371" s="1" t="s">
        <v>27</v>
      </c>
      <c r="E2371" s="1" t="s">
        <v>28</v>
      </c>
      <c r="F2371" s="1" t="s">
        <v>6854</v>
      </c>
      <c r="G2371" s="39" t="s">
        <v>6754</v>
      </c>
      <c r="H2371" s="1">
        <v>0</v>
      </c>
      <c r="I2371" s="1">
        <v>2</v>
      </c>
      <c r="J2371" s="39" t="s">
        <v>6730</v>
      </c>
      <c r="K2371" s="1">
        <v>2</v>
      </c>
      <c r="L2371" s="1">
        <v>0</v>
      </c>
      <c r="S2371" s="1" t="s">
        <v>6855</v>
      </c>
      <c r="T2371" s="1">
        <v>1</v>
      </c>
      <c r="U2371" s="19"/>
      <c r="V2371" s="19"/>
    </row>
    <row r="2372" spans="1:22" x14ac:dyDescent="0.3">
      <c r="A2372" s="1" t="s">
        <v>6856</v>
      </c>
      <c r="B2372" s="5">
        <v>46131</v>
      </c>
      <c r="C2372" s="6">
        <v>0.39583333333333331</v>
      </c>
      <c r="D2372" s="1" t="s">
        <v>27</v>
      </c>
      <c r="E2372" s="1" t="s">
        <v>28</v>
      </c>
      <c r="F2372" s="1" t="s">
        <v>6857</v>
      </c>
      <c r="G2372" s="39" t="s">
        <v>6719</v>
      </c>
      <c r="H2372" s="1">
        <v>0</v>
      </c>
      <c r="I2372" s="1">
        <v>2</v>
      </c>
      <c r="J2372" s="39" t="s">
        <v>6754</v>
      </c>
      <c r="K2372" s="1">
        <v>2</v>
      </c>
      <c r="L2372" s="1">
        <v>0</v>
      </c>
      <c r="S2372" s="1" t="s">
        <v>6858</v>
      </c>
      <c r="T2372" s="1">
        <v>1</v>
      </c>
      <c r="U2372" s="19"/>
      <c r="V2372" s="19"/>
    </row>
    <row r="2373" spans="1:22" x14ac:dyDescent="0.3">
      <c r="A2373" s="1" t="s">
        <v>6859</v>
      </c>
      <c r="B2373" s="5">
        <v>46243</v>
      </c>
      <c r="C2373" s="6">
        <v>0.59375</v>
      </c>
      <c r="D2373" s="1" t="s">
        <v>27</v>
      </c>
      <c r="E2373" s="1" t="s">
        <v>28</v>
      </c>
      <c r="F2373" s="1" t="s">
        <v>6860</v>
      </c>
      <c r="G2373" s="39" t="s">
        <v>6777</v>
      </c>
      <c r="H2373" s="1">
        <v>2</v>
      </c>
      <c r="I2373" s="1">
        <v>1</v>
      </c>
      <c r="J2373" s="39" t="s">
        <v>6734</v>
      </c>
      <c r="K2373" s="1">
        <v>1</v>
      </c>
      <c r="L2373" s="1">
        <v>2</v>
      </c>
      <c r="S2373" s="1" t="s">
        <v>6861</v>
      </c>
      <c r="T2373" s="1">
        <v>1</v>
      </c>
      <c r="U2373" s="19"/>
      <c r="V2373" s="19"/>
    </row>
    <row r="2374" spans="1:22" x14ac:dyDescent="0.3">
      <c r="A2374" s="1" t="s">
        <v>6862</v>
      </c>
      <c r="B2374" s="5">
        <v>46236</v>
      </c>
      <c r="C2374" s="6">
        <v>0.5</v>
      </c>
      <c r="D2374" s="1" t="s">
        <v>27</v>
      </c>
      <c r="E2374" s="1" t="s">
        <v>28</v>
      </c>
      <c r="F2374" s="1" t="s">
        <v>6863</v>
      </c>
      <c r="G2374" s="39" t="s">
        <v>6734</v>
      </c>
      <c r="H2374" s="1">
        <v>3</v>
      </c>
      <c r="I2374" s="1">
        <v>3</v>
      </c>
      <c r="J2374" s="39" t="s">
        <v>6750</v>
      </c>
      <c r="K2374" s="1">
        <v>3</v>
      </c>
      <c r="L2374" s="1">
        <v>3</v>
      </c>
      <c r="S2374" s="1" t="s">
        <v>6864</v>
      </c>
      <c r="T2374" s="1">
        <v>1</v>
      </c>
      <c r="U2374" s="19"/>
      <c r="V2374" s="19"/>
    </row>
    <row r="2375" spans="1:22" x14ac:dyDescent="0.3">
      <c r="A2375" s="1" t="s">
        <v>6865</v>
      </c>
      <c r="B2375" s="5">
        <v>46229</v>
      </c>
      <c r="C2375" s="6">
        <v>0.5</v>
      </c>
      <c r="D2375" s="1" t="s">
        <v>27</v>
      </c>
      <c r="E2375" s="1" t="s">
        <v>28</v>
      </c>
      <c r="F2375" s="1" t="s">
        <v>6866</v>
      </c>
      <c r="G2375" s="39" t="s">
        <v>6723</v>
      </c>
      <c r="H2375" s="1">
        <v>2</v>
      </c>
      <c r="I2375" s="1">
        <v>4</v>
      </c>
      <c r="J2375" s="39" t="s">
        <v>6734</v>
      </c>
      <c r="K2375" s="1">
        <v>4</v>
      </c>
      <c r="L2375" s="1">
        <v>2</v>
      </c>
      <c r="S2375" s="1" t="s">
        <v>6867</v>
      </c>
      <c r="T2375" s="1">
        <v>1</v>
      </c>
      <c r="U2375" s="19"/>
      <c r="V2375" s="19"/>
    </row>
    <row r="2376" spans="1:22" x14ac:dyDescent="0.3">
      <c r="A2376" s="1" t="s">
        <v>6868</v>
      </c>
      <c r="B2376" s="5">
        <v>46221</v>
      </c>
      <c r="C2376" s="6">
        <v>0.54166666666666663</v>
      </c>
      <c r="D2376" s="1" t="s">
        <v>27</v>
      </c>
      <c r="E2376" s="1" t="s">
        <v>28</v>
      </c>
      <c r="F2376" s="1" t="s">
        <v>6869</v>
      </c>
      <c r="G2376" s="39" t="s">
        <v>6734</v>
      </c>
      <c r="H2376" s="1">
        <v>1</v>
      </c>
      <c r="I2376" s="1">
        <v>2</v>
      </c>
      <c r="J2376" s="39" t="s">
        <v>6742</v>
      </c>
      <c r="K2376" s="1">
        <v>2</v>
      </c>
      <c r="L2376" s="1">
        <v>1</v>
      </c>
      <c r="S2376" s="1" t="s">
        <v>6870</v>
      </c>
      <c r="T2376" s="1">
        <v>1</v>
      </c>
      <c r="U2376" s="19"/>
      <c r="V2376" s="19"/>
    </row>
    <row r="2377" spans="1:22" x14ac:dyDescent="0.3">
      <c r="A2377" s="1" t="s">
        <v>6871</v>
      </c>
      <c r="B2377" s="5">
        <v>46214</v>
      </c>
      <c r="C2377" s="6">
        <v>0.45833333333333331</v>
      </c>
      <c r="D2377" s="1" t="s">
        <v>27</v>
      </c>
      <c r="E2377" s="1" t="s">
        <v>28</v>
      </c>
      <c r="F2377" s="1" t="s">
        <v>6872</v>
      </c>
      <c r="G2377" s="39" t="s">
        <v>6710</v>
      </c>
      <c r="H2377" s="1">
        <v>2</v>
      </c>
      <c r="I2377" s="1">
        <v>2</v>
      </c>
      <c r="J2377" s="39" t="s">
        <v>6734</v>
      </c>
      <c r="K2377" s="1">
        <v>2</v>
      </c>
      <c r="L2377" s="1">
        <v>2</v>
      </c>
      <c r="S2377" s="1" t="s">
        <v>6873</v>
      </c>
      <c r="T2377" s="1">
        <v>1</v>
      </c>
      <c r="U2377" s="19"/>
      <c r="V2377" s="19"/>
    </row>
    <row r="2378" spans="1:22" x14ac:dyDescent="0.3">
      <c r="A2378" s="1" t="s">
        <v>6874</v>
      </c>
      <c r="B2378" s="5">
        <v>46172</v>
      </c>
      <c r="C2378" s="6">
        <v>0.45833333333333331</v>
      </c>
      <c r="D2378" s="1" t="s">
        <v>27</v>
      </c>
      <c r="E2378" s="1" t="s">
        <v>28</v>
      </c>
      <c r="F2378" s="1" t="s">
        <v>6875</v>
      </c>
      <c r="G2378" s="39" t="s">
        <v>6734</v>
      </c>
      <c r="H2378" s="1">
        <v>2</v>
      </c>
      <c r="I2378" s="1">
        <v>1</v>
      </c>
      <c r="J2378" s="39" t="s">
        <v>6746</v>
      </c>
      <c r="K2378" s="1">
        <v>1</v>
      </c>
      <c r="L2378" s="1">
        <v>2</v>
      </c>
      <c r="S2378" s="1" t="s">
        <v>6876</v>
      </c>
      <c r="T2378" s="1">
        <v>1</v>
      </c>
      <c r="U2378" s="19"/>
      <c r="V2378" s="19"/>
    </row>
    <row r="2379" spans="1:22" x14ac:dyDescent="0.3">
      <c r="A2379" s="1" t="s">
        <v>6877</v>
      </c>
      <c r="B2379" s="5">
        <v>46167</v>
      </c>
      <c r="C2379" s="6">
        <v>0.5</v>
      </c>
      <c r="D2379" s="1" t="s">
        <v>27</v>
      </c>
      <c r="E2379" s="1" t="s">
        <v>28</v>
      </c>
      <c r="F2379" s="1" t="s">
        <v>6878</v>
      </c>
      <c r="G2379" s="39" t="s">
        <v>6750</v>
      </c>
      <c r="H2379" s="1">
        <v>2</v>
      </c>
      <c r="I2379" s="1">
        <v>1</v>
      </c>
      <c r="J2379" s="39" t="s">
        <v>6734</v>
      </c>
      <c r="K2379" s="1">
        <v>1</v>
      </c>
      <c r="L2379" s="1">
        <v>2</v>
      </c>
      <c r="S2379" s="1" t="s">
        <v>6879</v>
      </c>
      <c r="T2379" s="1">
        <v>1</v>
      </c>
      <c r="U2379" s="19"/>
      <c r="V2379" s="19"/>
    </row>
    <row r="2380" spans="1:22" x14ac:dyDescent="0.3">
      <c r="A2380" s="1" t="s">
        <v>6880</v>
      </c>
      <c r="B2380" s="5">
        <v>46158</v>
      </c>
      <c r="C2380" s="6">
        <v>0.45833333333333331</v>
      </c>
      <c r="D2380" s="1" t="s">
        <v>27</v>
      </c>
      <c r="E2380" s="1" t="s">
        <v>28</v>
      </c>
      <c r="F2380" s="1" t="s">
        <v>6881</v>
      </c>
      <c r="G2380" s="39" t="s">
        <v>6734</v>
      </c>
      <c r="H2380" s="1">
        <v>1</v>
      </c>
      <c r="I2380" s="1">
        <v>0</v>
      </c>
      <c r="J2380" s="39" t="s">
        <v>6777</v>
      </c>
      <c r="K2380" s="1">
        <v>0</v>
      </c>
      <c r="L2380" s="1">
        <v>1</v>
      </c>
      <c r="S2380" s="1" t="s">
        <v>6882</v>
      </c>
      <c r="T2380" s="1">
        <v>1</v>
      </c>
      <c r="U2380" s="19"/>
      <c r="V2380" s="19"/>
    </row>
    <row r="2381" spans="1:22" x14ac:dyDescent="0.3">
      <c r="A2381" s="1" t="s">
        <v>6883</v>
      </c>
      <c r="B2381" s="5">
        <v>46138</v>
      </c>
      <c r="C2381" s="6">
        <v>0.39583333333333331</v>
      </c>
      <c r="D2381" s="1" t="s">
        <v>27</v>
      </c>
      <c r="E2381" s="1" t="s">
        <v>28</v>
      </c>
      <c r="F2381" s="1" t="s">
        <v>6884</v>
      </c>
      <c r="G2381" s="39" t="s">
        <v>6734</v>
      </c>
      <c r="H2381" s="1">
        <v>5</v>
      </c>
      <c r="I2381" s="1">
        <v>1</v>
      </c>
      <c r="J2381" s="39" t="s">
        <v>6719</v>
      </c>
      <c r="K2381" s="1">
        <v>1</v>
      </c>
      <c r="L2381" s="1">
        <v>5</v>
      </c>
      <c r="S2381" s="1" t="s">
        <v>6885</v>
      </c>
      <c r="T2381" s="1">
        <v>1</v>
      </c>
      <c r="U2381" s="19"/>
      <c r="V2381" s="19"/>
    </row>
    <row r="2382" spans="1:22" x14ac:dyDescent="0.3">
      <c r="A2382" s="1" t="s">
        <v>6886</v>
      </c>
      <c r="B2382" s="5">
        <v>46131</v>
      </c>
      <c r="C2382" s="6">
        <v>0.59375</v>
      </c>
      <c r="D2382" s="1" t="s">
        <v>27</v>
      </c>
      <c r="E2382" s="1" t="s">
        <v>28</v>
      </c>
      <c r="F2382" s="1" t="s">
        <v>6887</v>
      </c>
      <c r="G2382" s="39" t="s">
        <v>6738</v>
      </c>
      <c r="H2382" s="1">
        <v>1</v>
      </c>
      <c r="I2382" s="1">
        <v>1</v>
      </c>
      <c r="J2382" s="39" t="s">
        <v>6734</v>
      </c>
      <c r="K2382" s="1">
        <v>1</v>
      </c>
      <c r="L2382" s="1">
        <v>1</v>
      </c>
      <c r="S2382" s="1" t="s">
        <v>6888</v>
      </c>
      <c r="T2382" s="1">
        <v>1</v>
      </c>
      <c r="U2382" s="19"/>
      <c r="V2382" s="19"/>
    </row>
    <row r="2383" spans="1:22" x14ac:dyDescent="0.3">
      <c r="A2383" s="1" t="s">
        <v>6889</v>
      </c>
      <c r="B2383" s="5">
        <v>46243</v>
      </c>
      <c r="C2383" s="6">
        <v>0.5</v>
      </c>
      <c r="D2383" s="1" t="s">
        <v>27</v>
      </c>
      <c r="E2383" s="1" t="s">
        <v>28</v>
      </c>
      <c r="F2383" s="1" t="s">
        <v>6890</v>
      </c>
      <c r="G2383" s="39" t="s">
        <v>6715</v>
      </c>
      <c r="H2383" s="1">
        <v>1</v>
      </c>
      <c r="I2383" s="1">
        <v>1</v>
      </c>
      <c r="J2383" s="39" t="s">
        <v>6710</v>
      </c>
      <c r="K2383" s="1">
        <v>1</v>
      </c>
      <c r="L2383" s="1">
        <v>1</v>
      </c>
      <c r="S2383" s="1" t="s">
        <v>6891</v>
      </c>
      <c r="T2383" s="1">
        <v>1</v>
      </c>
      <c r="U2383" s="19"/>
      <c r="V2383" s="19"/>
    </row>
    <row r="2384" spans="1:22" x14ac:dyDescent="0.3">
      <c r="A2384" s="1" t="s">
        <v>6892</v>
      </c>
      <c r="B2384" s="5">
        <v>46234</v>
      </c>
      <c r="C2384" s="6">
        <v>0.58333333333333337</v>
      </c>
      <c r="D2384" s="1" t="s">
        <v>27</v>
      </c>
      <c r="E2384" s="1" t="s">
        <v>28</v>
      </c>
      <c r="F2384" s="1" t="s">
        <v>6893</v>
      </c>
      <c r="G2384" s="39" t="s">
        <v>6719</v>
      </c>
      <c r="H2384" s="1">
        <v>0</v>
      </c>
      <c r="I2384" s="1">
        <v>3</v>
      </c>
      <c r="J2384" s="39" t="s">
        <v>6715</v>
      </c>
      <c r="K2384" s="1">
        <v>3</v>
      </c>
      <c r="L2384" s="1">
        <v>0</v>
      </c>
      <c r="S2384" s="1" t="s">
        <v>6894</v>
      </c>
      <c r="T2384" s="1">
        <v>1</v>
      </c>
      <c r="U2384" s="19"/>
      <c r="V2384" s="19"/>
    </row>
    <row r="2385" spans="1:22" x14ac:dyDescent="0.3">
      <c r="A2385" s="1" t="s">
        <v>6895</v>
      </c>
      <c r="B2385" s="5">
        <v>46229</v>
      </c>
      <c r="C2385" s="6">
        <v>0.5</v>
      </c>
      <c r="D2385" s="1" t="s">
        <v>27</v>
      </c>
      <c r="E2385" s="1" t="s">
        <v>28</v>
      </c>
      <c r="F2385" s="1" t="s">
        <v>6896</v>
      </c>
      <c r="G2385" s="39" t="s">
        <v>6750</v>
      </c>
      <c r="H2385" s="1">
        <v>1</v>
      </c>
      <c r="I2385" s="1">
        <v>0</v>
      </c>
      <c r="J2385" s="39" t="s">
        <v>6715</v>
      </c>
      <c r="K2385" s="1">
        <v>0</v>
      </c>
      <c r="L2385" s="1">
        <v>1</v>
      </c>
      <c r="S2385" s="1" t="s">
        <v>6897</v>
      </c>
      <c r="T2385" s="1">
        <v>1</v>
      </c>
      <c r="U2385" s="19"/>
      <c r="V2385" s="19"/>
    </row>
    <row r="2386" spans="1:22" x14ac:dyDescent="0.3">
      <c r="A2386" s="1" t="s">
        <v>6898</v>
      </c>
      <c r="B2386" s="5">
        <v>46215</v>
      </c>
      <c r="C2386" s="6">
        <v>0.5</v>
      </c>
      <c r="D2386" s="1" t="s">
        <v>27</v>
      </c>
      <c r="E2386" s="1" t="s">
        <v>28</v>
      </c>
      <c r="F2386" s="1" t="s">
        <v>6899</v>
      </c>
      <c r="G2386" s="39" t="s">
        <v>6746</v>
      </c>
      <c r="H2386" s="1">
        <v>2</v>
      </c>
      <c r="I2386" s="1">
        <v>2</v>
      </c>
      <c r="J2386" s="39" t="s">
        <v>6715</v>
      </c>
      <c r="K2386" s="1">
        <v>2</v>
      </c>
      <c r="L2386" s="1">
        <v>2</v>
      </c>
      <c r="S2386" s="1" t="s">
        <v>6900</v>
      </c>
      <c r="T2386" s="1">
        <v>1</v>
      </c>
      <c r="U2386" s="19"/>
      <c r="V2386" s="19"/>
    </row>
    <row r="2387" spans="1:22" x14ac:dyDescent="0.3">
      <c r="A2387" s="1" t="s">
        <v>6901</v>
      </c>
      <c r="B2387" s="5">
        <v>46171</v>
      </c>
      <c r="C2387" s="6">
        <v>0.58333333333333337</v>
      </c>
      <c r="D2387" s="1" t="s">
        <v>27</v>
      </c>
      <c r="E2387" s="1" t="s">
        <v>28</v>
      </c>
      <c r="F2387" s="1" t="s">
        <v>6902</v>
      </c>
      <c r="G2387" s="39" t="s">
        <v>6710</v>
      </c>
      <c r="H2387" s="1">
        <v>2</v>
      </c>
      <c r="I2387" s="1">
        <v>2</v>
      </c>
      <c r="J2387" s="39" t="s">
        <v>6715</v>
      </c>
      <c r="K2387" s="1">
        <v>2</v>
      </c>
      <c r="L2387" s="1">
        <v>2</v>
      </c>
      <c r="S2387" s="1" t="s">
        <v>6903</v>
      </c>
      <c r="T2387" s="1">
        <v>1</v>
      </c>
      <c r="U2387" s="19"/>
      <c r="V2387" s="19"/>
    </row>
    <row r="2388" spans="1:22" x14ac:dyDescent="0.3">
      <c r="A2388" s="1" t="s">
        <v>6904</v>
      </c>
      <c r="B2388" s="5">
        <v>46158</v>
      </c>
      <c r="C2388" s="6">
        <v>0.45833333333333331</v>
      </c>
      <c r="D2388" s="1" t="s">
        <v>27</v>
      </c>
      <c r="E2388" s="1" t="s">
        <v>28</v>
      </c>
      <c r="F2388" s="1" t="s">
        <v>6905</v>
      </c>
      <c r="G2388" s="39" t="s">
        <v>6791</v>
      </c>
      <c r="H2388" s="1">
        <v>2</v>
      </c>
      <c r="I2388" s="1">
        <v>1</v>
      </c>
      <c r="J2388" s="39" t="s">
        <v>6715</v>
      </c>
      <c r="K2388" s="1">
        <v>1</v>
      </c>
      <c r="L2388" s="1">
        <v>2</v>
      </c>
      <c r="S2388" s="1" t="s">
        <v>6906</v>
      </c>
      <c r="T2388" s="1">
        <v>1</v>
      </c>
      <c r="U2388" s="19"/>
      <c r="V2388" s="19"/>
    </row>
    <row r="2389" spans="1:22" x14ac:dyDescent="0.3">
      <c r="A2389" s="1" t="s">
        <v>6907</v>
      </c>
      <c r="B2389" s="5">
        <v>46150</v>
      </c>
      <c r="C2389" s="6">
        <v>0.58333333333333337</v>
      </c>
      <c r="D2389" s="1" t="s">
        <v>27</v>
      </c>
      <c r="E2389" s="1" t="s">
        <v>28</v>
      </c>
      <c r="F2389" s="1" t="s">
        <v>6908</v>
      </c>
      <c r="G2389" s="39" t="s">
        <v>6715</v>
      </c>
      <c r="H2389" s="1">
        <v>1</v>
      </c>
      <c r="I2389" s="1">
        <v>0</v>
      </c>
      <c r="J2389" s="39" t="s">
        <v>6719</v>
      </c>
      <c r="K2389" s="1">
        <v>0</v>
      </c>
      <c r="L2389" s="1">
        <v>1</v>
      </c>
      <c r="S2389" s="1" t="s">
        <v>6909</v>
      </c>
      <c r="T2389" s="1">
        <v>1</v>
      </c>
      <c r="U2389" s="19"/>
      <c r="V2389" s="19"/>
    </row>
    <row r="2390" spans="1:22" x14ac:dyDescent="0.3">
      <c r="A2390" s="1" t="s">
        <v>6910</v>
      </c>
      <c r="B2390" s="5">
        <v>46145</v>
      </c>
      <c r="C2390" s="6">
        <v>0.5</v>
      </c>
      <c r="D2390" s="1" t="s">
        <v>27</v>
      </c>
      <c r="E2390" s="1" t="s">
        <v>28</v>
      </c>
      <c r="F2390" s="1" t="s">
        <v>6911</v>
      </c>
      <c r="G2390" s="39" t="s">
        <v>6777</v>
      </c>
      <c r="H2390" s="1">
        <v>1</v>
      </c>
      <c r="I2390" s="1">
        <v>1</v>
      </c>
      <c r="J2390" s="39" t="s">
        <v>6715</v>
      </c>
      <c r="K2390" s="1">
        <v>1</v>
      </c>
      <c r="L2390" s="1">
        <v>1</v>
      </c>
      <c r="S2390" s="1" t="s">
        <v>6912</v>
      </c>
      <c r="T2390" s="1">
        <v>1</v>
      </c>
      <c r="U2390" s="19"/>
      <c r="V2390" s="19"/>
    </row>
    <row r="2391" spans="1:22" x14ac:dyDescent="0.3">
      <c r="A2391" s="1" t="s">
        <v>6913</v>
      </c>
      <c r="B2391" s="5">
        <v>46138</v>
      </c>
      <c r="C2391" s="6">
        <v>0.5</v>
      </c>
      <c r="D2391" s="1" t="s">
        <v>27</v>
      </c>
      <c r="E2391" s="1" t="s">
        <v>28</v>
      </c>
      <c r="F2391" s="1" t="s">
        <v>6914</v>
      </c>
      <c r="G2391" s="39" t="s">
        <v>6715</v>
      </c>
      <c r="H2391" s="1">
        <v>2</v>
      </c>
      <c r="I2391" s="1">
        <v>1</v>
      </c>
      <c r="J2391" s="39" t="s">
        <v>6738</v>
      </c>
      <c r="K2391" s="1">
        <v>1</v>
      </c>
      <c r="L2391" s="1">
        <v>2</v>
      </c>
      <c r="S2391" s="1" t="s">
        <v>6915</v>
      </c>
      <c r="T2391" s="1">
        <v>1</v>
      </c>
      <c r="U2391" s="19"/>
      <c r="V2391" s="19"/>
    </row>
    <row r="2392" spans="1:22" x14ac:dyDescent="0.3">
      <c r="A2392" s="1" t="s">
        <v>6916</v>
      </c>
      <c r="B2392" s="5">
        <v>46221</v>
      </c>
      <c r="C2392" s="6">
        <v>0.45833333333333331</v>
      </c>
      <c r="D2392" s="1" t="s">
        <v>27</v>
      </c>
      <c r="E2392" s="1" t="s">
        <v>28</v>
      </c>
      <c r="F2392" s="1" t="s">
        <v>6917</v>
      </c>
      <c r="G2392" s="39" t="s">
        <v>6777</v>
      </c>
      <c r="H2392" s="1">
        <v>0</v>
      </c>
      <c r="I2392" s="1">
        <v>0</v>
      </c>
      <c r="J2392" s="39" t="s">
        <v>6750</v>
      </c>
      <c r="K2392" s="1">
        <v>0</v>
      </c>
      <c r="L2392" s="1">
        <v>0</v>
      </c>
      <c r="S2392" s="1" t="s">
        <v>6918</v>
      </c>
      <c r="T2392" s="1">
        <v>1</v>
      </c>
      <c r="U2392" s="19"/>
      <c r="V2392" s="19"/>
    </row>
    <row r="2393" spans="1:22" x14ac:dyDescent="0.3">
      <c r="A2393" s="1" t="s">
        <v>6919</v>
      </c>
      <c r="B2393" s="5">
        <v>46171</v>
      </c>
      <c r="C2393" s="6">
        <v>0.58333333333333337</v>
      </c>
      <c r="D2393" s="1" t="s">
        <v>27</v>
      </c>
      <c r="E2393" s="1" t="s">
        <v>28</v>
      </c>
      <c r="F2393" s="1" t="s">
        <v>6920</v>
      </c>
      <c r="G2393" s="39" t="s">
        <v>6742</v>
      </c>
      <c r="H2393" s="1">
        <v>1</v>
      </c>
      <c r="I2393" s="1">
        <v>2</v>
      </c>
      <c r="J2393" s="39" t="s">
        <v>6750</v>
      </c>
      <c r="K2393" s="1">
        <v>2</v>
      </c>
      <c r="L2393" s="1">
        <v>1</v>
      </c>
      <c r="S2393" s="1" t="s">
        <v>6921</v>
      </c>
      <c r="T2393" s="1">
        <v>1</v>
      </c>
      <c r="U2393" s="19"/>
      <c r="V2393" s="19"/>
    </row>
    <row r="2394" spans="1:22" x14ac:dyDescent="0.3">
      <c r="A2394" s="1" t="s">
        <v>6922</v>
      </c>
      <c r="B2394" s="5">
        <v>46158</v>
      </c>
      <c r="C2394" s="6">
        <v>0.625</v>
      </c>
      <c r="D2394" s="1" t="s">
        <v>27</v>
      </c>
      <c r="E2394" s="1" t="s">
        <v>28</v>
      </c>
      <c r="F2394" s="1" t="s">
        <v>6923</v>
      </c>
      <c r="G2394" s="39" t="s">
        <v>6719</v>
      </c>
      <c r="H2394" s="1">
        <v>3</v>
      </c>
      <c r="I2394" s="1">
        <v>2</v>
      </c>
      <c r="J2394" s="39" t="s">
        <v>6750</v>
      </c>
      <c r="K2394" s="1">
        <v>2</v>
      </c>
      <c r="L2394" s="1">
        <v>3</v>
      </c>
      <c r="S2394" s="1" t="s">
        <v>6924</v>
      </c>
      <c r="T2394" s="1">
        <v>1</v>
      </c>
      <c r="U2394" s="19"/>
      <c r="V2394" s="19"/>
    </row>
    <row r="2395" spans="1:22" x14ac:dyDescent="0.3">
      <c r="A2395" s="1" t="s">
        <v>6925</v>
      </c>
      <c r="B2395" s="5">
        <v>46151</v>
      </c>
      <c r="C2395" s="6">
        <v>0.375</v>
      </c>
      <c r="D2395" s="1" t="s">
        <v>27</v>
      </c>
      <c r="E2395" s="1" t="s">
        <v>28</v>
      </c>
      <c r="F2395" s="1" t="s">
        <v>6926</v>
      </c>
      <c r="G2395" s="39" t="s">
        <v>6750</v>
      </c>
      <c r="H2395" s="1">
        <v>2</v>
      </c>
      <c r="I2395" s="1">
        <v>1</v>
      </c>
      <c r="J2395" s="39" t="s">
        <v>6791</v>
      </c>
      <c r="K2395" s="1">
        <v>1</v>
      </c>
      <c r="L2395" s="1">
        <v>2</v>
      </c>
      <c r="S2395" s="1" t="s">
        <v>6927</v>
      </c>
      <c r="T2395" s="1">
        <v>1</v>
      </c>
      <c r="U2395" s="19"/>
      <c r="V2395" s="19"/>
    </row>
    <row r="2396" spans="1:22" x14ac:dyDescent="0.3">
      <c r="A2396" s="1" t="s">
        <v>6928</v>
      </c>
      <c r="B2396" s="5">
        <v>46138</v>
      </c>
      <c r="C2396" s="6">
        <v>0.5</v>
      </c>
      <c r="D2396" s="1" t="s">
        <v>27</v>
      </c>
      <c r="E2396" s="1" t="s">
        <v>28</v>
      </c>
      <c r="F2396" s="1" t="s">
        <v>6929</v>
      </c>
      <c r="G2396" s="39" t="s">
        <v>6723</v>
      </c>
      <c r="H2396" s="1">
        <v>1</v>
      </c>
      <c r="I2396" s="1">
        <v>0</v>
      </c>
      <c r="J2396" s="39" t="s">
        <v>6750</v>
      </c>
      <c r="K2396" s="1">
        <v>0</v>
      </c>
      <c r="L2396" s="1">
        <v>1</v>
      </c>
      <c r="S2396" s="1" t="s">
        <v>6930</v>
      </c>
      <c r="T2396" s="1">
        <v>1</v>
      </c>
      <c r="U2396" s="19"/>
      <c r="V2396" s="19"/>
    </row>
    <row r="2397" spans="1:22" x14ac:dyDescent="0.3">
      <c r="A2397" s="1" t="s">
        <v>6931</v>
      </c>
      <c r="B2397" s="5">
        <v>46236</v>
      </c>
      <c r="C2397" s="6">
        <v>0.59375</v>
      </c>
      <c r="D2397" s="1" t="s">
        <v>27</v>
      </c>
      <c r="E2397" s="1" t="s">
        <v>28</v>
      </c>
      <c r="F2397" s="1" t="s">
        <v>6932</v>
      </c>
      <c r="G2397" s="39" t="s">
        <v>6742</v>
      </c>
      <c r="H2397" s="1">
        <v>3</v>
      </c>
      <c r="I2397" s="1">
        <v>2</v>
      </c>
      <c r="J2397" s="39" t="s">
        <v>6787</v>
      </c>
      <c r="K2397" s="1">
        <v>2</v>
      </c>
      <c r="L2397" s="1">
        <v>3</v>
      </c>
      <c r="S2397" s="1" t="s">
        <v>6933</v>
      </c>
      <c r="T2397" s="1">
        <v>1</v>
      </c>
      <c r="U2397" s="19"/>
      <c r="V2397" s="19"/>
    </row>
    <row r="2398" spans="1:22" x14ac:dyDescent="0.3">
      <c r="A2398" s="1" t="s">
        <v>6934</v>
      </c>
      <c r="B2398" s="5">
        <v>46229</v>
      </c>
      <c r="C2398" s="6">
        <v>0.39583333333333331</v>
      </c>
      <c r="D2398" s="1" t="s">
        <v>27</v>
      </c>
      <c r="E2398" s="1" t="s">
        <v>28</v>
      </c>
      <c r="F2398" s="1" t="s">
        <v>6935</v>
      </c>
      <c r="G2398" s="39" t="s">
        <v>6742</v>
      </c>
      <c r="H2398" s="1">
        <v>2</v>
      </c>
      <c r="I2398" s="1">
        <v>3</v>
      </c>
      <c r="J2398" s="39" t="s">
        <v>6719</v>
      </c>
      <c r="K2398" s="1">
        <v>3</v>
      </c>
      <c r="L2398" s="1">
        <v>2</v>
      </c>
      <c r="S2398" s="1" t="s">
        <v>6936</v>
      </c>
      <c r="T2398" s="1">
        <v>1</v>
      </c>
      <c r="U2398" s="19"/>
      <c r="V2398" s="19"/>
    </row>
    <row r="2399" spans="1:22" x14ac:dyDescent="0.3">
      <c r="A2399" s="1" t="s">
        <v>6937</v>
      </c>
      <c r="B2399" s="5">
        <v>46215</v>
      </c>
      <c r="C2399" s="6">
        <v>0.5</v>
      </c>
      <c r="D2399" s="1" t="s">
        <v>27</v>
      </c>
      <c r="E2399" s="1" t="s">
        <v>28</v>
      </c>
      <c r="F2399" s="1" t="s">
        <v>6938</v>
      </c>
      <c r="G2399" s="39" t="s">
        <v>6742</v>
      </c>
      <c r="H2399" s="1">
        <v>2</v>
      </c>
      <c r="I2399" s="1">
        <v>1</v>
      </c>
      <c r="J2399" s="39" t="s">
        <v>6738</v>
      </c>
      <c r="K2399" s="1">
        <v>1</v>
      </c>
      <c r="L2399" s="1">
        <v>2</v>
      </c>
      <c r="S2399" s="1" t="s">
        <v>6939</v>
      </c>
      <c r="T2399" s="1">
        <v>1</v>
      </c>
      <c r="U2399" s="19"/>
      <c r="V2399" s="19"/>
    </row>
    <row r="2400" spans="1:22" x14ac:dyDescent="0.3">
      <c r="A2400" s="1" t="s">
        <v>6940</v>
      </c>
      <c r="B2400" s="5">
        <v>46162</v>
      </c>
      <c r="C2400" s="6">
        <v>0.625</v>
      </c>
      <c r="D2400" s="1" t="s">
        <v>27</v>
      </c>
      <c r="E2400" s="1" t="s">
        <v>28</v>
      </c>
      <c r="F2400" s="1" t="s">
        <v>6941</v>
      </c>
      <c r="G2400" s="39" t="s">
        <v>6710</v>
      </c>
      <c r="H2400" s="1">
        <v>2</v>
      </c>
      <c r="I2400" s="1">
        <v>1</v>
      </c>
      <c r="J2400" s="39" t="s">
        <v>6742</v>
      </c>
      <c r="K2400" s="1">
        <v>1</v>
      </c>
      <c r="L2400" s="1">
        <v>2</v>
      </c>
      <c r="S2400" s="1" t="s">
        <v>6942</v>
      </c>
      <c r="T2400" s="1">
        <v>1</v>
      </c>
      <c r="U2400" s="19"/>
      <c r="V2400" s="19"/>
    </row>
    <row r="2401" spans="1:22" x14ac:dyDescent="0.3">
      <c r="A2401" s="1" t="s">
        <v>6943</v>
      </c>
      <c r="B2401" s="5">
        <v>46158</v>
      </c>
      <c r="C2401" s="6">
        <v>0.375</v>
      </c>
      <c r="D2401" s="1" t="s">
        <v>27</v>
      </c>
      <c r="E2401" s="1" t="s">
        <v>28</v>
      </c>
      <c r="F2401" s="1" t="s">
        <v>6944</v>
      </c>
      <c r="G2401" s="39" t="s">
        <v>6742</v>
      </c>
      <c r="H2401" s="1">
        <v>2</v>
      </c>
      <c r="I2401" s="1">
        <v>1</v>
      </c>
      <c r="J2401" s="39" t="s">
        <v>6723</v>
      </c>
      <c r="K2401" s="1">
        <v>1</v>
      </c>
      <c r="L2401" s="1">
        <v>2</v>
      </c>
      <c r="S2401" s="1" t="s">
        <v>6945</v>
      </c>
      <c r="T2401" s="1">
        <v>1</v>
      </c>
      <c r="U2401" s="19"/>
      <c r="V2401" s="19"/>
    </row>
    <row r="2402" spans="1:22" x14ac:dyDescent="0.3">
      <c r="A2402" s="1" t="s">
        <v>6946</v>
      </c>
      <c r="B2402" s="5">
        <v>46144</v>
      </c>
      <c r="C2402" s="6">
        <v>0.54166666666666663</v>
      </c>
      <c r="D2402" s="1" t="s">
        <v>27</v>
      </c>
      <c r="E2402" s="1" t="s">
        <v>28</v>
      </c>
      <c r="F2402" s="1" t="s">
        <v>6947</v>
      </c>
      <c r="G2402" s="39" t="s">
        <v>6742</v>
      </c>
      <c r="H2402" s="1">
        <v>3</v>
      </c>
      <c r="I2402" s="1">
        <v>1</v>
      </c>
      <c r="J2402" s="39" t="s">
        <v>6791</v>
      </c>
      <c r="K2402" s="1">
        <v>1</v>
      </c>
      <c r="L2402" s="1">
        <v>3</v>
      </c>
      <c r="S2402" s="1" t="s">
        <v>6948</v>
      </c>
      <c r="T2402" s="1">
        <v>1</v>
      </c>
      <c r="U2402" s="19"/>
      <c r="V2402" s="19"/>
    </row>
    <row r="2403" spans="1:22" x14ac:dyDescent="0.3">
      <c r="A2403" s="1" t="s">
        <v>6949</v>
      </c>
      <c r="B2403" s="5">
        <v>46137</v>
      </c>
      <c r="C2403" s="6">
        <v>0.54166666666666663</v>
      </c>
      <c r="D2403" s="1" t="s">
        <v>27</v>
      </c>
      <c r="E2403" s="1" t="s">
        <v>28</v>
      </c>
      <c r="F2403" s="1" t="s">
        <v>6950</v>
      </c>
      <c r="G2403" s="39" t="s">
        <v>6787</v>
      </c>
      <c r="H2403" s="1">
        <v>1</v>
      </c>
      <c r="I2403" s="1">
        <v>1</v>
      </c>
      <c r="J2403" s="39" t="s">
        <v>6742</v>
      </c>
      <c r="K2403" s="1">
        <v>1</v>
      </c>
      <c r="L2403" s="1">
        <v>1</v>
      </c>
      <c r="S2403" s="1" t="s">
        <v>6951</v>
      </c>
      <c r="T2403" s="1">
        <v>1</v>
      </c>
      <c r="U2403" s="19"/>
      <c r="V2403" s="19"/>
    </row>
    <row r="2404" spans="1:22" x14ac:dyDescent="0.3">
      <c r="A2404" s="1" t="s">
        <v>6952</v>
      </c>
      <c r="B2404" s="5">
        <v>46241</v>
      </c>
      <c r="C2404" s="6">
        <v>0.58333333333333337</v>
      </c>
      <c r="D2404" s="1" t="s">
        <v>27</v>
      </c>
      <c r="E2404" s="1" t="s">
        <v>28</v>
      </c>
      <c r="F2404" s="1" t="s">
        <v>6953</v>
      </c>
      <c r="G2404" s="39" t="s">
        <v>6746</v>
      </c>
      <c r="H2404" s="1">
        <v>0</v>
      </c>
      <c r="I2404" s="1">
        <v>1</v>
      </c>
      <c r="J2404" s="39" t="s">
        <v>6723</v>
      </c>
      <c r="K2404" s="1">
        <v>1</v>
      </c>
      <c r="L2404" s="1">
        <v>0</v>
      </c>
      <c r="S2404" s="1" t="s">
        <v>6954</v>
      </c>
      <c r="T2404" s="1">
        <v>1</v>
      </c>
      <c r="U2404" s="19"/>
      <c r="V2404" s="19"/>
    </row>
    <row r="2405" spans="1:22" x14ac:dyDescent="0.3">
      <c r="A2405" s="1" t="s">
        <v>6955</v>
      </c>
      <c r="B2405" s="5">
        <v>46235</v>
      </c>
      <c r="C2405" s="6">
        <v>0.45833333333333331</v>
      </c>
      <c r="D2405" s="1" t="s">
        <v>27</v>
      </c>
      <c r="E2405" s="1" t="s">
        <v>28</v>
      </c>
      <c r="F2405" s="1" t="s">
        <v>6956</v>
      </c>
      <c r="G2405" s="39" t="s">
        <v>6791</v>
      </c>
      <c r="H2405" s="1">
        <v>1</v>
      </c>
      <c r="I2405" s="1">
        <v>0</v>
      </c>
      <c r="J2405" s="39" t="s">
        <v>6746</v>
      </c>
      <c r="K2405" s="1">
        <v>0</v>
      </c>
      <c r="L2405" s="1">
        <v>1</v>
      </c>
      <c r="S2405" s="1" t="s">
        <v>6957</v>
      </c>
      <c r="T2405" s="1">
        <v>1</v>
      </c>
      <c r="U2405" s="19"/>
      <c r="V2405" s="19"/>
    </row>
    <row r="2406" spans="1:22" x14ac:dyDescent="0.3">
      <c r="A2406" s="1" t="s">
        <v>6958</v>
      </c>
      <c r="B2406" s="5">
        <v>46167</v>
      </c>
      <c r="C2406" s="6">
        <v>0.59375</v>
      </c>
      <c r="D2406" s="1" t="s">
        <v>27</v>
      </c>
      <c r="E2406" s="1" t="s">
        <v>28</v>
      </c>
      <c r="F2406" s="1" t="s">
        <v>6959</v>
      </c>
      <c r="G2406" s="39" t="s">
        <v>6746</v>
      </c>
      <c r="H2406" s="1">
        <v>1</v>
      </c>
      <c r="I2406" s="1">
        <v>1</v>
      </c>
      <c r="J2406" s="39" t="s">
        <v>6791</v>
      </c>
      <c r="K2406" s="1">
        <v>1</v>
      </c>
      <c r="L2406" s="1">
        <v>1</v>
      </c>
      <c r="S2406" s="1" t="s">
        <v>6960</v>
      </c>
      <c r="T2406" s="1">
        <v>1</v>
      </c>
      <c r="U2406" s="19"/>
      <c r="V2406" s="19"/>
    </row>
    <row r="2407" spans="1:22" x14ac:dyDescent="0.3">
      <c r="A2407" s="1" t="s">
        <v>6961</v>
      </c>
      <c r="B2407" s="5">
        <v>46152</v>
      </c>
      <c r="C2407" s="6">
        <v>0.5</v>
      </c>
      <c r="D2407" s="1" t="s">
        <v>27</v>
      </c>
      <c r="E2407" s="1" t="s">
        <v>28</v>
      </c>
      <c r="F2407" s="1" t="s">
        <v>6962</v>
      </c>
      <c r="G2407" s="39" t="s">
        <v>6746</v>
      </c>
      <c r="H2407" s="1">
        <v>2</v>
      </c>
      <c r="I2407" s="1">
        <v>0</v>
      </c>
      <c r="J2407" s="39" t="s">
        <v>6777</v>
      </c>
      <c r="K2407" s="1">
        <v>0</v>
      </c>
      <c r="L2407" s="1">
        <v>2</v>
      </c>
      <c r="S2407" s="1" t="s">
        <v>6963</v>
      </c>
      <c r="T2407" s="1">
        <v>1</v>
      </c>
      <c r="U2407" s="19"/>
      <c r="V2407" s="19"/>
    </row>
    <row r="2408" spans="1:22" x14ac:dyDescent="0.3">
      <c r="A2408" s="1" t="s">
        <v>6964</v>
      </c>
      <c r="B2408" s="5">
        <v>46145</v>
      </c>
      <c r="C2408" s="6">
        <v>0.5</v>
      </c>
      <c r="D2408" s="1" t="s">
        <v>27</v>
      </c>
      <c r="E2408" s="1" t="s">
        <v>28</v>
      </c>
      <c r="F2408" s="1" t="s">
        <v>6965</v>
      </c>
      <c r="G2408" s="39" t="s">
        <v>6746</v>
      </c>
      <c r="H2408" s="1">
        <v>1</v>
      </c>
      <c r="I2408" s="1">
        <v>0</v>
      </c>
      <c r="J2408" s="39" t="s">
        <v>6710</v>
      </c>
      <c r="K2408" s="1">
        <v>0</v>
      </c>
      <c r="L2408" s="1">
        <v>1</v>
      </c>
      <c r="S2408" s="1" t="s">
        <v>6966</v>
      </c>
      <c r="T2408" s="1">
        <v>1</v>
      </c>
      <c r="U2408" s="19"/>
      <c r="V2408" s="19"/>
    </row>
    <row r="2409" spans="1:22" x14ac:dyDescent="0.3">
      <c r="A2409" s="1" t="s">
        <v>6967</v>
      </c>
      <c r="B2409" s="5">
        <v>46130</v>
      </c>
      <c r="C2409" s="6">
        <v>0.45833333333333331</v>
      </c>
      <c r="D2409" s="1" t="s">
        <v>27</v>
      </c>
      <c r="E2409" s="1" t="s">
        <v>28</v>
      </c>
      <c r="F2409" s="1" t="s">
        <v>6968</v>
      </c>
      <c r="G2409" s="39" t="s">
        <v>6746</v>
      </c>
      <c r="H2409" s="1">
        <v>0</v>
      </c>
      <c r="I2409" s="1">
        <v>0</v>
      </c>
      <c r="J2409" s="39" t="s">
        <v>6787</v>
      </c>
      <c r="K2409" s="1">
        <v>0</v>
      </c>
      <c r="L2409" s="1">
        <v>0</v>
      </c>
      <c r="S2409" s="1" t="s">
        <v>6969</v>
      </c>
      <c r="T2409" s="1">
        <v>1</v>
      </c>
      <c r="U2409" s="19"/>
      <c r="V2409" s="19"/>
    </row>
    <row r="2410" spans="1:22" x14ac:dyDescent="0.3">
      <c r="A2410" s="1" t="s">
        <v>6970</v>
      </c>
      <c r="B2410" s="5">
        <v>46242</v>
      </c>
      <c r="C2410" s="6">
        <v>0.54166666666666663</v>
      </c>
      <c r="D2410" s="1" t="s">
        <v>27</v>
      </c>
      <c r="E2410" s="1" t="s">
        <v>28</v>
      </c>
      <c r="F2410" s="1" t="s">
        <v>6971</v>
      </c>
      <c r="G2410" s="39" t="s">
        <v>6738</v>
      </c>
      <c r="H2410" s="1">
        <v>0</v>
      </c>
      <c r="I2410" s="1">
        <v>1</v>
      </c>
      <c r="J2410" s="39" t="s">
        <v>6791</v>
      </c>
      <c r="K2410" s="1">
        <v>1</v>
      </c>
      <c r="L2410" s="1">
        <v>0</v>
      </c>
      <c r="S2410" s="1" t="s">
        <v>6972</v>
      </c>
      <c r="T2410" s="1">
        <v>1</v>
      </c>
      <c r="U2410" s="19"/>
      <c r="V2410" s="19"/>
    </row>
    <row r="2411" spans="1:22" x14ac:dyDescent="0.3">
      <c r="A2411" s="1" t="s">
        <v>6975</v>
      </c>
      <c r="B2411" s="5">
        <v>46171</v>
      </c>
      <c r="C2411" s="6">
        <v>0.58333333333333337</v>
      </c>
      <c r="D2411" s="1" t="s">
        <v>27</v>
      </c>
      <c r="E2411" s="1" t="s">
        <v>28</v>
      </c>
      <c r="F2411" s="1" t="s">
        <v>6976</v>
      </c>
      <c r="G2411" s="39" t="s">
        <v>6791</v>
      </c>
      <c r="H2411" s="1">
        <v>2</v>
      </c>
      <c r="I2411" s="1">
        <v>1</v>
      </c>
      <c r="J2411" s="39" t="s">
        <v>6738</v>
      </c>
      <c r="K2411" s="1">
        <v>1</v>
      </c>
      <c r="L2411" s="1">
        <v>2</v>
      </c>
      <c r="S2411" s="1" t="s">
        <v>6977</v>
      </c>
      <c r="T2411" s="1">
        <v>1</v>
      </c>
      <c r="U2411" s="19"/>
      <c r="V2411" s="19"/>
    </row>
    <row r="2412" spans="1:22" x14ac:dyDescent="0.3">
      <c r="A2412" s="1" t="s">
        <v>6978</v>
      </c>
      <c r="B2412" s="5">
        <v>46131</v>
      </c>
      <c r="C2412" s="6">
        <v>0.5</v>
      </c>
      <c r="D2412" s="1" t="s">
        <v>27</v>
      </c>
      <c r="E2412" s="1" t="s">
        <v>28</v>
      </c>
      <c r="F2412" s="1" t="s">
        <v>6979</v>
      </c>
      <c r="G2412" s="39" t="s">
        <v>6777</v>
      </c>
      <c r="H2412" s="1">
        <v>2</v>
      </c>
      <c r="I2412" s="1">
        <v>0</v>
      </c>
      <c r="J2412" s="39" t="s">
        <v>6791</v>
      </c>
      <c r="K2412" s="1">
        <v>0</v>
      </c>
      <c r="L2412" s="1">
        <v>2</v>
      </c>
      <c r="S2412" s="1" t="s">
        <v>6980</v>
      </c>
      <c r="T2412" s="1">
        <v>1</v>
      </c>
      <c r="U2412" s="19"/>
      <c r="V2412" s="19"/>
    </row>
    <row r="2413" spans="1:22" x14ac:dyDescent="0.3">
      <c r="A2413" s="1" t="s">
        <v>6981</v>
      </c>
      <c r="B2413" s="5">
        <v>46219</v>
      </c>
      <c r="C2413" s="6">
        <v>0.58333333333333337</v>
      </c>
      <c r="D2413" s="1" t="s">
        <v>27</v>
      </c>
      <c r="E2413" s="1" t="s">
        <v>28</v>
      </c>
      <c r="F2413" s="1" t="s">
        <v>6982</v>
      </c>
      <c r="G2413" s="39" t="s">
        <v>6719</v>
      </c>
      <c r="H2413" s="1">
        <v>6</v>
      </c>
      <c r="I2413" s="1">
        <v>1</v>
      </c>
      <c r="J2413" s="39" t="s">
        <v>6710</v>
      </c>
      <c r="K2413" s="1">
        <v>1</v>
      </c>
      <c r="L2413" s="1">
        <v>6</v>
      </c>
      <c r="S2413" s="1" t="s">
        <v>6983</v>
      </c>
      <c r="T2413" s="1">
        <v>1</v>
      </c>
      <c r="U2413" s="19"/>
      <c r="V2413" s="19"/>
    </row>
    <row r="2414" spans="1:22" x14ac:dyDescent="0.3">
      <c r="A2414" s="1" t="s">
        <v>6984</v>
      </c>
      <c r="B2414" s="5">
        <v>46171</v>
      </c>
      <c r="C2414" s="6">
        <v>0.58333333333333337</v>
      </c>
      <c r="D2414" s="1" t="s">
        <v>27</v>
      </c>
      <c r="E2414" s="1" t="s">
        <v>28</v>
      </c>
      <c r="F2414" s="1" t="s">
        <v>6985</v>
      </c>
      <c r="G2414" s="39" t="s">
        <v>6719</v>
      </c>
      <c r="H2414" s="1">
        <v>3</v>
      </c>
      <c r="I2414" s="1">
        <v>1</v>
      </c>
      <c r="J2414" s="39" t="s">
        <v>6777</v>
      </c>
      <c r="K2414" s="1">
        <v>1</v>
      </c>
      <c r="L2414" s="1">
        <v>3</v>
      </c>
      <c r="S2414" s="1" t="s">
        <v>6986</v>
      </c>
      <c r="T2414" s="1">
        <v>1</v>
      </c>
      <c r="U2414" s="19"/>
      <c r="V2414" s="19"/>
    </row>
    <row r="2415" spans="1:22" x14ac:dyDescent="0.3">
      <c r="A2415" s="1" t="s">
        <v>6987</v>
      </c>
      <c r="B2415" s="5">
        <v>46167</v>
      </c>
      <c r="C2415" s="6">
        <v>0.39583333333333331</v>
      </c>
      <c r="D2415" s="1" t="s">
        <v>27</v>
      </c>
      <c r="E2415" s="1" t="s">
        <v>28</v>
      </c>
      <c r="F2415" s="1" t="s">
        <v>6988</v>
      </c>
      <c r="G2415" s="39" t="s">
        <v>6738</v>
      </c>
      <c r="H2415" s="1">
        <v>2</v>
      </c>
      <c r="I2415" s="1">
        <v>0</v>
      </c>
      <c r="J2415" s="39" t="s">
        <v>6719</v>
      </c>
      <c r="K2415" s="1">
        <v>0</v>
      </c>
      <c r="L2415" s="1">
        <v>2</v>
      </c>
      <c r="S2415" s="1" t="s">
        <v>6989</v>
      </c>
      <c r="T2415" s="1">
        <v>1</v>
      </c>
      <c r="U2415" s="19"/>
      <c r="V2415" s="19"/>
    </row>
    <row r="2416" spans="1:22" x14ac:dyDescent="0.3">
      <c r="A2416" s="1" t="s">
        <v>6990</v>
      </c>
      <c r="B2416" s="5">
        <v>46145</v>
      </c>
      <c r="C2416" s="6">
        <v>0.59375</v>
      </c>
      <c r="D2416" s="1" t="s">
        <v>27</v>
      </c>
      <c r="E2416" s="1" t="s">
        <v>28</v>
      </c>
      <c r="F2416" s="1" t="s">
        <v>6991</v>
      </c>
      <c r="G2416" s="39" t="s">
        <v>6719</v>
      </c>
      <c r="H2416" s="1">
        <v>2</v>
      </c>
      <c r="I2416" s="1">
        <v>2</v>
      </c>
      <c r="J2416" s="39" t="s">
        <v>6723</v>
      </c>
      <c r="K2416" s="1">
        <v>2</v>
      </c>
      <c r="L2416" s="1">
        <v>2</v>
      </c>
      <c r="S2416" s="1" t="s">
        <v>6992</v>
      </c>
      <c r="T2416" s="1">
        <v>1</v>
      </c>
      <c r="U2416" s="19"/>
      <c r="V2416" s="19"/>
    </row>
    <row r="2417" spans="1:22" x14ac:dyDescent="0.3">
      <c r="A2417" s="1" t="s">
        <v>6993</v>
      </c>
      <c r="B2417" s="5">
        <v>46158</v>
      </c>
      <c r="C2417" s="6">
        <v>0.45833333333333331</v>
      </c>
      <c r="D2417" s="1" t="s">
        <v>27</v>
      </c>
      <c r="E2417" s="1" t="s">
        <v>28</v>
      </c>
      <c r="F2417" s="1" t="s">
        <v>6994</v>
      </c>
      <c r="G2417" s="39" t="s">
        <v>6787</v>
      </c>
      <c r="H2417" s="1">
        <v>2</v>
      </c>
      <c r="I2417" s="1">
        <v>3</v>
      </c>
      <c r="J2417" s="39" t="s">
        <v>6710</v>
      </c>
      <c r="K2417" s="1">
        <v>3</v>
      </c>
      <c r="L2417" s="1">
        <v>2</v>
      </c>
      <c r="S2417" s="1" t="s">
        <v>6995</v>
      </c>
      <c r="T2417" s="1">
        <v>1</v>
      </c>
      <c r="U2417" s="19"/>
      <c r="V2417" s="19"/>
    </row>
    <row r="2418" spans="1:22" x14ac:dyDescent="0.3">
      <c r="A2418" s="1" t="s">
        <v>6996</v>
      </c>
      <c r="B2418" s="5">
        <v>46138</v>
      </c>
      <c r="C2418" s="6">
        <v>0.5</v>
      </c>
      <c r="D2418" s="1" t="s">
        <v>27</v>
      </c>
      <c r="E2418" s="1" t="s">
        <v>28</v>
      </c>
      <c r="F2418" s="1" t="s">
        <v>6997</v>
      </c>
      <c r="G2418" s="39" t="s">
        <v>6710</v>
      </c>
      <c r="H2418" s="1">
        <v>1</v>
      </c>
      <c r="I2418" s="1">
        <v>1</v>
      </c>
      <c r="J2418" s="39" t="s">
        <v>6777</v>
      </c>
      <c r="K2418" s="1">
        <v>1</v>
      </c>
      <c r="L2418" s="1">
        <v>1</v>
      </c>
      <c r="S2418" s="1" t="s">
        <v>6998</v>
      </c>
      <c r="T2418" s="1">
        <v>1</v>
      </c>
      <c r="U2418" s="19"/>
      <c r="V2418" s="19"/>
    </row>
    <row r="2419" spans="1:22" x14ac:dyDescent="0.3">
      <c r="A2419" s="1" t="s">
        <v>6999</v>
      </c>
      <c r="B2419" s="5">
        <v>46130</v>
      </c>
      <c r="C2419" s="6">
        <v>0.375</v>
      </c>
      <c r="D2419" s="1" t="s">
        <v>27</v>
      </c>
      <c r="E2419" s="1" t="s">
        <v>28</v>
      </c>
      <c r="F2419" s="1" t="s">
        <v>7000</v>
      </c>
      <c r="G2419" s="39" t="s">
        <v>6730</v>
      </c>
      <c r="H2419" s="1">
        <v>3</v>
      </c>
      <c r="I2419" s="1">
        <v>0</v>
      </c>
      <c r="J2419" s="39" t="s">
        <v>6710</v>
      </c>
      <c r="K2419" s="1">
        <v>0</v>
      </c>
      <c r="L2419" s="1">
        <v>3</v>
      </c>
      <c r="S2419" s="1" t="s">
        <v>7001</v>
      </c>
      <c r="T2419" s="1">
        <v>1</v>
      </c>
      <c r="U2419" s="19"/>
      <c r="V2419" s="19"/>
    </row>
    <row r="2420" spans="1:22" x14ac:dyDescent="0.3">
      <c r="A2420" s="1" t="s">
        <v>7002</v>
      </c>
      <c r="B2420" s="5">
        <v>46236</v>
      </c>
      <c r="C2420" s="6">
        <v>0.5</v>
      </c>
      <c r="D2420" s="1" t="s">
        <v>27</v>
      </c>
      <c r="E2420" s="1" t="s">
        <v>28</v>
      </c>
      <c r="F2420" s="1" t="s">
        <v>7003</v>
      </c>
      <c r="G2420" s="39" t="s">
        <v>6723</v>
      </c>
      <c r="H2420" s="1">
        <v>2</v>
      </c>
      <c r="I2420" s="1">
        <v>1</v>
      </c>
      <c r="J2420" s="39" t="s">
        <v>6777</v>
      </c>
      <c r="K2420" s="1">
        <v>1</v>
      </c>
      <c r="L2420" s="1">
        <v>2</v>
      </c>
      <c r="S2420" s="1" t="s">
        <v>7004</v>
      </c>
      <c r="T2420" s="1">
        <v>1</v>
      </c>
      <c r="U2420" s="19"/>
      <c r="V2420" s="19"/>
    </row>
    <row r="2421" spans="1:22" x14ac:dyDescent="0.3">
      <c r="A2421" s="1" t="s">
        <v>7005</v>
      </c>
      <c r="B2421" s="5">
        <v>46228</v>
      </c>
      <c r="C2421" s="6">
        <v>0.45833333333333331</v>
      </c>
      <c r="D2421" s="1" t="s">
        <v>27</v>
      </c>
      <c r="E2421" s="1" t="s">
        <v>28</v>
      </c>
      <c r="F2421" s="1" t="s">
        <v>7006</v>
      </c>
      <c r="G2421" s="39" t="s">
        <v>6777</v>
      </c>
      <c r="H2421" s="1">
        <v>1</v>
      </c>
      <c r="I2421" s="1">
        <v>2</v>
      </c>
      <c r="J2421" s="39" t="s">
        <v>6738</v>
      </c>
      <c r="K2421" s="1">
        <v>2</v>
      </c>
      <c r="L2421" s="1">
        <v>1</v>
      </c>
      <c r="S2421" s="1" t="s">
        <v>7007</v>
      </c>
      <c r="T2421" s="1">
        <v>1</v>
      </c>
      <c r="U2421" s="19"/>
      <c r="V2421" s="19"/>
    </row>
    <row r="2422" spans="1:22" x14ac:dyDescent="0.3">
      <c r="A2422" s="1" t="s">
        <v>7008</v>
      </c>
      <c r="B2422" s="5">
        <v>46221</v>
      </c>
      <c r="C2422" s="6">
        <v>0.45833333333333331</v>
      </c>
      <c r="D2422" s="1" t="s">
        <v>27</v>
      </c>
      <c r="E2422" s="1" t="s">
        <v>28</v>
      </c>
      <c r="F2422" s="1" t="s">
        <v>7009</v>
      </c>
      <c r="G2422" s="39" t="s">
        <v>6738</v>
      </c>
      <c r="H2422" s="1">
        <v>0</v>
      </c>
      <c r="I2422" s="1">
        <v>3</v>
      </c>
      <c r="J2422" s="39" t="s">
        <v>6787</v>
      </c>
      <c r="K2422" s="1">
        <v>3</v>
      </c>
      <c r="L2422" s="1">
        <v>0</v>
      </c>
      <c r="S2422" s="1" t="s">
        <v>7010</v>
      </c>
      <c r="T2422" s="1">
        <v>1</v>
      </c>
      <c r="U2422" s="19"/>
      <c r="V2422" s="19"/>
    </row>
    <row r="2423" spans="1:22" x14ac:dyDescent="0.3">
      <c r="A2423" s="1" t="s">
        <v>7011</v>
      </c>
      <c r="B2423" s="5">
        <v>46215</v>
      </c>
      <c r="C2423" s="6">
        <v>0.5</v>
      </c>
      <c r="D2423" s="1" t="s">
        <v>27</v>
      </c>
      <c r="E2423" s="1" t="s">
        <v>28</v>
      </c>
      <c r="F2423" s="1" t="s">
        <v>7012</v>
      </c>
      <c r="G2423" s="39" t="s">
        <v>6787</v>
      </c>
      <c r="H2423" s="1">
        <v>3</v>
      </c>
      <c r="I2423" s="1">
        <v>0</v>
      </c>
      <c r="J2423" s="39" t="s">
        <v>6777</v>
      </c>
      <c r="K2423" s="1">
        <v>0</v>
      </c>
      <c r="L2423" s="1">
        <v>3</v>
      </c>
      <c r="S2423" s="1" t="s">
        <v>7013</v>
      </c>
      <c r="T2423" s="1">
        <v>1</v>
      </c>
      <c r="U2423" s="19"/>
      <c r="V2423" s="19"/>
    </row>
    <row r="2424" spans="1:22" x14ac:dyDescent="0.3">
      <c r="A2424" s="1" t="s">
        <v>7014</v>
      </c>
      <c r="B2424" s="5">
        <v>46167</v>
      </c>
      <c r="C2424" s="6">
        <v>0.5</v>
      </c>
      <c r="D2424" s="1" t="s">
        <v>27</v>
      </c>
      <c r="E2424" s="1" t="s">
        <v>28</v>
      </c>
      <c r="F2424" s="1" t="s">
        <v>7015</v>
      </c>
      <c r="G2424" s="39" t="s">
        <v>6723</v>
      </c>
      <c r="H2424" s="1">
        <v>2</v>
      </c>
      <c r="I2424" s="1">
        <v>0</v>
      </c>
      <c r="J2424" s="39" t="s">
        <v>6787</v>
      </c>
      <c r="K2424" s="1">
        <v>0</v>
      </c>
      <c r="L2424" s="1">
        <v>2</v>
      </c>
      <c r="S2424" s="1" t="s">
        <v>7016</v>
      </c>
      <c r="T2424" s="1">
        <v>1</v>
      </c>
      <c r="U2424" s="19"/>
      <c r="V2424" s="19"/>
    </row>
    <row r="2425" spans="1:22" x14ac:dyDescent="0.3">
      <c r="A2425" s="1" t="s">
        <v>7017</v>
      </c>
      <c r="B2425" s="5">
        <v>46131</v>
      </c>
      <c r="C2425" s="6">
        <v>0.5</v>
      </c>
      <c r="D2425" s="1" t="s">
        <v>27</v>
      </c>
      <c r="E2425" s="1" t="s">
        <v>28</v>
      </c>
      <c r="F2425" s="1" t="s">
        <v>7018</v>
      </c>
      <c r="G2425" s="39" t="s">
        <v>6715</v>
      </c>
      <c r="H2425" s="1">
        <v>4</v>
      </c>
      <c r="I2425" s="1">
        <v>0</v>
      </c>
      <c r="J2425" s="39" t="s">
        <v>6723</v>
      </c>
      <c r="K2425" s="1">
        <v>0</v>
      </c>
      <c r="L2425" s="1">
        <v>4</v>
      </c>
      <c r="S2425" s="1" t="s">
        <v>7019</v>
      </c>
      <c r="T2425" s="1">
        <v>1</v>
      </c>
      <c r="U2425" s="19"/>
      <c r="V2425" s="19"/>
    </row>
    <row r="2426" spans="1:22" x14ac:dyDescent="0.3">
      <c r="A2426" s="1" t="s">
        <v>7043</v>
      </c>
      <c r="B2426" s="5">
        <v>46243</v>
      </c>
      <c r="C2426" s="6">
        <v>0.5</v>
      </c>
      <c r="D2426" s="1" t="s">
        <v>27</v>
      </c>
      <c r="E2426" s="1" t="s">
        <v>29</v>
      </c>
      <c r="F2426" s="1" t="s">
        <v>7044</v>
      </c>
      <c r="G2426" s="39" t="s">
        <v>7038</v>
      </c>
      <c r="H2426" s="1">
        <v>7</v>
      </c>
      <c r="I2426" s="1">
        <v>2</v>
      </c>
      <c r="J2426" s="39" t="s">
        <v>7045</v>
      </c>
      <c r="K2426" s="1">
        <v>2</v>
      </c>
      <c r="L2426" s="1">
        <v>7</v>
      </c>
      <c r="S2426" s="1" t="s">
        <v>7046</v>
      </c>
      <c r="T2426" s="1">
        <v>1</v>
      </c>
      <c r="U2426" s="19"/>
      <c r="V2426" s="19"/>
    </row>
    <row r="2427" spans="1:22" x14ac:dyDescent="0.3">
      <c r="A2427" s="1" t="s">
        <v>7047</v>
      </c>
      <c r="B2427" s="5">
        <v>46228</v>
      </c>
      <c r="C2427" s="6">
        <v>0.625</v>
      </c>
      <c r="D2427" s="1" t="s">
        <v>27</v>
      </c>
      <c r="E2427" s="1" t="s">
        <v>29</v>
      </c>
      <c r="F2427" s="1" t="s">
        <v>7048</v>
      </c>
      <c r="G2427" s="39" t="s">
        <v>7038</v>
      </c>
      <c r="H2427" s="1">
        <v>1</v>
      </c>
      <c r="I2427" s="1">
        <v>2</v>
      </c>
      <c r="J2427" s="39" t="s">
        <v>7049</v>
      </c>
      <c r="K2427" s="1">
        <v>2</v>
      </c>
      <c r="L2427" s="1">
        <v>1</v>
      </c>
      <c r="S2427" s="1" t="s">
        <v>7050</v>
      </c>
      <c r="T2427" s="1">
        <v>1</v>
      </c>
      <c r="U2427" s="19"/>
      <c r="V2427" s="19"/>
    </row>
    <row r="2428" spans="1:22" x14ac:dyDescent="0.3">
      <c r="A2428" s="1" t="s">
        <v>7051</v>
      </c>
      <c r="B2428" s="5">
        <v>46208</v>
      </c>
      <c r="C2428" s="6">
        <v>0.45833333333333331</v>
      </c>
      <c r="D2428" s="1" t="s">
        <v>27</v>
      </c>
      <c r="E2428" s="1" t="s">
        <v>29</v>
      </c>
      <c r="F2428" s="1" t="s">
        <v>7052</v>
      </c>
      <c r="G2428" s="39" t="s">
        <v>7025</v>
      </c>
      <c r="H2428" s="1">
        <v>1</v>
      </c>
      <c r="I2428" s="1">
        <v>3</v>
      </c>
      <c r="J2428" s="39" t="s">
        <v>7038</v>
      </c>
      <c r="K2428" s="1">
        <v>3</v>
      </c>
      <c r="L2428" s="1">
        <v>1</v>
      </c>
      <c r="S2428" s="1" t="s">
        <v>7053</v>
      </c>
      <c r="T2428" s="1">
        <v>1</v>
      </c>
      <c r="U2428" s="19"/>
      <c r="V2428" s="19"/>
    </row>
    <row r="2429" spans="1:22" x14ac:dyDescent="0.3">
      <c r="A2429" s="1" t="s">
        <v>7054</v>
      </c>
      <c r="B2429" s="5">
        <v>46200</v>
      </c>
      <c r="C2429" s="6">
        <v>0.45833333333333331</v>
      </c>
      <c r="D2429" s="1" t="s">
        <v>27</v>
      </c>
      <c r="E2429" s="1" t="s">
        <v>29</v>
      </c>
      <c r="F2429" s="1" t="s">
        <v>7055</v>
      </c>
      <c r="G2429" s="39" t="s">
        <v>7038</v>
      </c>
      <c r="H2429" s="1">
        <v>4</v>
      </c>
      <c r="I2429" s="1">
        <v>2</v>
      </c>
      <c r="J2429" s="39" t="s">
        <v>7032</v>
      </c>
      <c r="K2429" s="1">
        <v>2</v>
      </c>
      <c r="L2429" s="1">
        <v>4</v>
      </c>
      <c r="S2429" s="1" t="s">
        <v>7056</v>
      </c>
      <c r="T2429" s="1">
        <v>1</v>
      </c>
      <c r="U2429" s="19"/>
      <c r="V2429" s="19"/>
    </row>
    <row r="2430" spans="1:22" x14ac:dyDescent="0.3">
      <c r="A2430" s="1" t="s">
        <v>7057</v>
      </c>
      <c r="B2430" s="5">
        <v>46194</v>
      </c>
      <c r="C2430" s="6">
        <v>0.45833333333333331</v>
      </c>
      <c r="D2430" s="1" t="s">
        <v>27</v>
      </c>
      <c r="E2430" s="1" t="s">
        <v>29</v>
      </c>
      <c r="F2430" s="1" t="s">
        <v>7058</v>
      </c>
      <c r="G2430" s="39" t="s">
        <v>7034</v>
      </c>
      <c r="H2430" s="1">
        <v>5</v>
      </c>
      <c r="I2430" s="1">
        <v>2</v>
      </c>
      <c r="J2430" s="39" t="s">
        <v>7038</v>
      </c>
      <c r="K2430" s="1">
        <v>2</v>
      </c>
      <c r="L2430" s="1">
        <v>5</v>
      </c>
      <c r="S2430" s="1" t="s">
        <v>7059</v>
      </c>
      <c r="T2430" s="1">
        <v>1</v>
      </c>
      <c r="U2430" s="19"/>
      <c r="V2430" s="19"/>
    </row>
    <row r="2431" spans="1:22" x14ac:dyDescent="0.3">
      <c r="A2431" s="1" t="s">
        <v>7060</v>
      </c>
      <c r="B2431" s="5">
        <v>46187</v>
      </c>
      <c r="C2431" s="6">
        <v>0.45833333333333331</v>
      </c>
      <c r="D2431" s="1" t="s">
        <v>27</v>
      </c>
      <c r="E2431" s="1" t="s">
        <v>29</v>
      </c>
      <c r="F2431" s="1" t="s">
        <v>7061</v>
      </c>
      <c r="G2431" s="39" t="s">
        <v>7038</v>
      </c>
      <c r="H2431" s="1">
        <v>4</v>
      </c>
      <c r="I2431" s="1">
        <v>1</v>
      </c>
      <c r="J2431" s="39" t="s">
        <v>7037</v>
      </c>
      <c r="K2431" s="1">
        <v>1</v>
      </c>
      <c r="L2431" s="1">
        <v>4</v>
      </c>
      <c r="S2431" s="1" t="s">
        <v>7062</v>
      </c>
      <c r="T2431" s="1">
        <v>1</v>
      </c>
      <c r="U2431" s="19"/>
      <c r="V2431" s="19"/>
    </row>
    <row r="2432" spans="1:22" x14ac:dyDescent="0.3">
      <c r="A2432" s="1" t="s">
        <v>7063</v>
      </c>
      <c r="B2432" s="5">
        <v>46173</v>
      </c>
      <c r="C2432" s="6">
        <v>0.5</v>
      </c>
      <c r="D2432" s="1" t="s">
        <v>27</v>
      </c>
      <c r="E2432" s="1" t="s">
        <v>29</v>
      </c>
      <c r="F2432" s="1" t="s">
        <v>7064</v>
      </c>
      <c r="G2432" s="39" t="s">
        <v>7045</v>
      </c>
      <c r="H2432" s="1">
        <v>3</v>
      </c>
      <c r="I2432" s="1">
        <v>4</v>
      </c>
      <c r="J2432" s="39" t="s">
        <v>7038</v>
      </c>
      <c r="K2432" s="1">
        <v>4</v>
      </c>
      <c r="L2432" s="1">
        <v>3</v>
      </c>
      <c r="S2432" s="1" t="s">
        <v>7065</v>
      </c>
      <c r="T2432" s="1">
        <v>1</v>
      </c>
      <c r="U2432" s="19"/>
      <c r="V2432" s="19"/>
    </row>
    <row r="2433" spans="1:22" x14ac:dyDescent="0.3">
      <c r="A2433" s="1" t="s">
        <v>7066</v>
      </c>
      <c r="B2433" s="5">
        <v>46167</v>
      </c>
      <c r="C2433" s="6">
        <v>0.5</v>
      </c>
      <c r="D2433" s="1" t="s">
        <v>27</v>
      </c>
      <c r="E2433" s="1" t="s">
        <v>29</v>
      </c>
      <c r="F2433" s="1" t="s">
        <v>7067</v>
      </c>
      <c r="G2433" s="39" t="s">
        <v>7038</v>
      </c>
      <c r="H2433" s="1">
        <v>3</v>
      </c>
      <c r="I2433" s="1">
        <v>1</v>
      </c>
      <c r="J2433" s="39" t="s">
        <v>7068</v>
      </c>
      <c r="K2433" s="1">
        <v>1</v>
      </c>
      <c r="L2433" s="1">
        <v>3</v>
      </c>
      <c r="S2433" s="1" t="s">
        <v>7069</v>
      </c>
      <c r="T2433" s="1">
        <v>1</v>
      </c>
      <c r="U2433" s="19"/>
      <c r="V2433" s="19"/>
    </row>
    <row r="2434" spans="1:22" x14ac:dyDescent="0.3">
      <c r="A2434" s="1" t="s">
        <v>7070</v>
      </c>
      <c r="B2434" s="5">
        <v>46162</v>
      </c>
      <c r="C2434" s="6">
        <v>0.58333333333333337</v>
      </c>
      <c r="D2434" s="1" t="s">
        <v>27</v>
      </c>
      <c r="E2434" s="1" t="s">
        <v>29</v>
      </c>
      <c r="F2434" s="1" t="s">
        <v>7071</v>
      </c>
      <c r="G2434" s="39" t="s">
        <v>7041</v>
      </c>
      <c r="H2434" s="1">
        <v>0</v>
      </c>
      <c r="I2434" s="1">
        <v>7</v>
      </c>
      <c r="J2434" s="39" t="s">
        <v>7038</v>
      </c>
      <c r="K2434" s="1">
        <v>7</v>
      </c>
      <c r="L2434" s="1">
        <v>0</v>
      </c>
      <c r="S2434" s="1" t="s">
        <v>7072</v>
      </c>
      <c r="T2434" s="1">
        <v>1</v>
      </c>
      <c r="U2434" s="19"/>
      <c r="V2434" s="19"/>
    </row>
    <row r="2435" spans="1:22" x14ac:dyDescent="0.3">
      <c r="A2435" s="1" t="s">
        <v>7073</v>
      </c>
      <c r="B2435" s="5">
        <v>46158</v>
      </c>
      <c r="C2435" s="6">
        <v>0.45833333333333331</v>
      </c>
      <c r="D2435" s="1" t="s">
        <v>27</v>
      </c>
      <c r="E2435" s="1" t="s">
        <v>29</v>
      </c>
      <c r="F2435" s="1" t="s">
        <v>7074</v>
      </c>
      <c r="G2435" s="39" t="s">
        <v>7038</v>
      </c>
      <c r="H2435" s="1">
        <v>1</v>
      </c>
      <c r="I2435" s="1">
        <v>1</v>
      </c>
      <c r="J2435" s="39" t="s">
        <v>7026</v>
      </c>
      <c r="K2435" s="1">
        <v>1</v>
      </c>
      <c r="L2435" s="1">
        <v>1</v>
      </c>
      <c r="S2435" s="1" t="s">
        <v>7075</v>
      </c>
      <c r="T2435" s="1">
        <v>1</v>
      </c>
      <c r="U2435" s="19"/>
      <c r="V2435" s="19"/>
    </row>
    <row r="2436" spans="1:22" x14ac:dyDescent="0.3">
      <c r="A2436" s="1" t="s">
        <v>7076</v>
      </c>
      <c r="B2436" s="5">
        <v>46152</v>
      </c>
      <c r="C2436" s="6">
        <v>0.5</v>
      </c>
      <c r="D2436" s="1" t="s">
        <v>27</v>
      </c>
      <c r="E2436" s="1" t="s">
        <v>29</v>
      </c>
      <c r="F2436" s="1" t="s">
        <v>7077</v>
      </c>
      <c r="G2436" s="39" t="s">
        <v>7030</v>
      </c>
      <c r="H2436" s="1">
        <v>5</v>
      </c>
      <c r="I2436" s="1">
        <v>1</v>
      </c>
      <c r="J2436" s="39" t="s">
        <v>7038</v>
      </c>
      <c r="K2436" s="1">
        <v>1</v>
      </c>
      <c r="L2436" s="1">
        <v>5</v>
      </c>
      <c r="S2436" s="1" t="s">
        <v>7078</v>
      </c>
      <c r="T2436" s="1">
        <v>1</v>
      </c>
      <c r="U2436" s="19"/>
      <c r="V2436" s="19"/>
    </row>
    <row r="2437" spans="1:22" x14ac:dyDescent="0.3">
      <c r="A2437" s="1" t="s">
        <v>7079</v>
      </c>
      <c r="B2437" s="5">
        <v>46242</v>
      </c>
      <c r="C2437" s="6">
        <v>0.45833333333333331</v>
      </c>
      <c r="D2437" s="1" t="s">
        <v>27</v>
      </c>
      <c r="E2437" s="1" t="s">
        <v>29</v>
      </c>
      <c r="F2437" s="1" t="s">
        <v>7080</v>
      </c>
      <c r="G2437" s="39" t="s">
        <v>7021</v>
      </c>
      <c r="H2437" s="1">
        <v>4</v>
      </c>
      <c r="I2437" s="1">
        <v>3</v>
      </c>
      <c r="J2437" s="39" t="s">
        <v>7029</v>
      </c>
      <c r="K2437" s="1">
        <v>3</v>
      </c>
      <c r="L2437" s="1">
        <v>4</v>
      </c>
      <c r="S2437" s="1" t="s">
        <v>7081</v>
      </c>
      <c r="T2437" s="1">
        <v>1</v>
      </c>
      <c r="U2437" s="19"/>
      <c r="V2437" s="19"/>
    </row>
    <row r="2438" spans="1:22" x14ac:dyDescent="0.3">
      <c r="A2438" s="1" t="s">
        <v>7082</v>
      </c>
      <c r="B2438" s="5">
        <v>46236</v>
      </c>
      <c r="C2438" s="6">
        <v>0.51041666666666663</v>
      </c>
      <c r="D2438" s="1" t="s">
        <v>27</v>
      </c>
      <c r="E2438" s="1" t="s">
        <v>29</v>
      </c>
      <c r="F2438" s="1" t="s">
        <v>7083</v>
      </c>
      <c r="G2438" s="39" t="s">
        <v>7045</v>
      </c>
      <c r="H2438" s="1">
        <v>0</v>
      </c>
      <c r="I2438" s="1">
        <v>2</v>
      </c>
      <c r="J2438" s="39" t="s">
        <v>7021</v>
      </c>
      <c r="K2438" s="1">
        <v>2</v>
      </c>
      <c r="L2438" s="1">
        <v>0</v>
      </c>
      <c r="S2438" s="1" t="s">
        <v>7084</v>
      </c>
      <c r="T2438" s="1">
        <v>1</v>
      </c>
      <c r="U2438" s="19"/>
      <c r="V2438" s="19"/>
    </row>
    <row r="2439" spans="1:22" x14ac:dyDescent="0.3">
      <c r="A2439" s="1" t="s">
        <v>7085</v>
      </c>
      <c r="B2439" s="5">
        <v>46206</v>
      </c>
      <c r="C2439" s="6">
        <v>0.58333333333333337</v>
      </c>
      <c r="D2439" s="1" t="s">
        <v>27</v>
      </c>
      <c r="E2439" s="1" t="s">
        <v>29</v>
      </c>
      <c r="F2439" s="1" t="s">
        <v>7086</v>
      </c>
      <c r="G2439" s="39" t="s">
        <v>7037</v>
      </c>
      <c r="H2439" s="1">
        <v>2</v>
      </c>
      <c r="I2439" s="1">
        <v>5</v>
      </c>
      <c r="J2439" s="39" t="s">
        <v>7021</v>
      </c>
      <c r="K2439" s="1">
        <v>5</v>
      </c>
      <c r="L2439" s="1">
        <v>2</v>
      </c>
      <c r="S2439" s="1" t="s">
        <v>7087</v>
      </c>
      <c r="T2439" s="1">
        <v>1</v>
      </c>
      <c r="U2439" s="19"/>
      <c r="V2439" s="19"/>
    </row>
    <row r="2440" spans="1:22" x14ac:dyDescent="0.3">
      <c r="A2440" s="1" t="s">
        <v>7088</v>
      </c>
      <c r="B2440" s="5">
        <v>46200</v>
      </c>
      <c r="C2440" s="6">
        <v>0.45833333333333331</v>
      </c>
      <c r="D2440" s="1" t="s">
        <v>27</v>
      </c>
      <c r="E2440" s="1" t="s">
        <v>29</v>
      </c>
      <c r="F2440" s="1" t="s">
        <v>7089</v>
      </c>
      <c r="G2440" s="39" t="s">
        <v>7021</v>
      </c>
      <c r="H2440" s="1">
        <v>2</v>
      </c>
      <c r="I2440" s="1">
        <v>0</v>
      </c>
      <c r="J2440" s="39" t="s">
        <v>7049</v>
      </c>
      <c r="K2440" s="1">
        <v>0</v>
      </c>
      <c r="L2440" s="1">
        <v>2</v>
      </c>
      <c r="S2440" s="1" t="s">
        <v>7090</v>
      </c>
      <c r="T2440" s="1">
        <v>1</v>
      </c>
      <c r="U2440" s="19"/>
      <c r="V2440" s="19"/>
    </row>
    <row r="2441" spans="1:22" x14ac:dyDescent="0.3">
      <c r="A2441" s="1" t="s">
        <v>7091</v>
      </c>
      <c r="B2441" s="5">
        <v>46194</v>
      </c>
      <c r="C2441" s="6">
        <v>0.45833333333333331</v>
      </c>
      <c r="D2441" s="1" t="s">
        <v>27</v>
      </c>
      <c r="E2441" s="1" t="s">
        <v>29</v>
      </c>
      <c r="F2441" s="1" t="s">
        <v>7092</v>
      </c>
      <c r="G2441" s="39" t="s">
        <v>7041</v>
      </c>
      <c r="H2441" s="1">
        <v>1</v>
      </c>
      <c r="I2441" s="1">
        <v>0</v>
      </c>
      <c r="J2441" s="39" t="s">
        <v>7021</v>
      </c>
      <c r="K2441" s="1">
        <v>0</v>
      </c>
      <c r="L2441" s="1">
        <v>1</v>
      </c>
      <c r="S2441" s="1" t="s">
        <v>7093</v>
      </c>
      <c r="T2441" s="1">
        <v>1</v>
      </c>
      <c r="U2441" s="19"/>
      <c r="V2441" s="19"/>
    </row>
    <row r="2442" spans="1:22" x14ac:dyDescent="0.3">
      <c r="A2442" s="1" t="s">
        <v>7094</v>
      </c>
      <c r="B2442" s="5">
        <v>46187</v>
      </c>
      <c r="C2442" s="6">
        <v>0.45833333333333331</v>
      </c>
      <c r="D2442" s="1" t="s">
        <v>27</v>
      </c>
      <c r="E2442" s="1" t="s">
        <v>29</v>
      </c>
      <c r="F2442" s="1" t="s">
        <v>7095</v>
      </c>
      <c r="G2442" s="39" t="s">
        <v>7021</v>
      </c>
      <c r="H2442" s="1">
        <v>3</v>
      </c>
      <c r="I2442" s="1">
        <v>1</v>
      </c>
      <c r="J2442" s="39" t="s">
        <v>7034</v>
      </c>
      <c r="K2442" s="1">
        <v>1</v>
      </c>
      <c r="L2442" s="1">
        <v>3</v>
      </c>
      <c r="S2442" s="1" t="s">
        <v>7096</v>
      </c>
      <c r="T2442" s="1">
        <v>1</v>
      </c>
      <c r="U2442" s="19"/>
      <c r="V2442" s="19"/>
    </row>
    <row r="2443" spans="1:22" x14ac:dyDescent="0.3">
      <c r="A2443" s="1" t="s">
        <v>7097</v>
      </c>
      <c r="B2443" s="5">
        <v>46172</v>
      </c>
      <c r="C2443" s="6">
        <v>0.45833333333333331</v>
      </c>
      <c r="D2443" s="1" t="s">
        <v>27</v>
      </c>
      <c r="E2443" s="1" t="s">
        <v>29</v>
      </c>
      <c r="F2443" s="1" t="s">
        <v>7098</v>
      </c>
      <c r="G2443" s="39" t="s">
        <v>7068</v>
      </c>
      <c r="H2443" s="1">
        <v>2</v>
      </c>
      <c r="I2443" s="1">
        <v>2</v>
      </c>
      <c r="J2443" s="39" t="s">
        <v>7021</v>
      </c>
      <c r="K2443" s="1">
        <v>2</v>
      </c>
      <c r="L2443" s="1">
        <v>2</v>
      </c>
      <c r="S2443" s="1" t="s">
        <v>7099</v>
      </c>
      <c r="T2443" s="1">
        <v>1</v>
      </c>
      <c r="U2443" s="19"/>
      <c r="V2443" s="19"/>
    </row>
    <row r="2444" spans="1:22" x14ac:dyDescent="0.3">
      <c r="A2444" s="1" t="s">
        <v>7100</v>
      </c>
      <c r="B2444" s="5">
        <v>46167</v>
      </c>
      <c r="C2444" s="6">
        <v>0.5</v>
      </c>
      <c r="D2444" s="1" t="s">
        <v>27</v>
      </c>
      <c r="E2444" s="1" t="s">
        <v>29</v>
      </c>
      <c r="F2444" s="1" t="s">
        <v>7101</v>
      </c>
      <c r="G2444" s="39" t="s">
        <v>7021</v>
      </c>
      <c r="H2444" s="1">
        <v>2</v>
      </c>
      <c r="I2444" s="1">
        <v>0</v>
      </c>
      <c r="J2444" s="39" t="s">
        <v>7032</v>
      </c>
      <c r="K2444" s="1">
        <v>0</v>
      </c>
      <c r="L2444" s="1">
        <v>2</v>
      </c>
      <c r="S2444" s="1" t="s">
        <v>7102</v>
      </c>
      <c r="T2444" s="1">
        <v>1</v>
      </c>
      <c r="U2444" s="19"/>
      <c r="V2444" s="19"/>
    </row>
    <row r="2445" spans="1:22" x14ac:dyDescent="0.3">
      <c r="A2445" s="1" t="s">
        <v>7103</v>
      </c>
      <c r="B2445" s="5">
        <v>46162</v>
      </c>
      <c r="C2445" s="6">
        <v>0.58333333333333337</v>
      </c>
      <c r="D2445" s="1" t="s">
        <v>27</v>
      </c>
      <c r="E2445" s="1" t="s">
        <v>29</v>
      </c>
      <c r="F2445" s="1" t="s">
        <v>7104</v>
      </c>
      <c r="G2445" s="39" t="s">
        <v>7030</v>
      </c>
      <c r="H2445" s="1">
        <v>2</v>
      </c>
      <c r="I2445" s="1">
        <v>2</v>
      </c>
      <c r="J2445" s="39" t="s">
        <v>7021</v>
      </c>
      <c r="K2445" s="1">
        <v>2</v>
      </c>
      <c r="L2445" s="1">
        <v>2</v>
      </c>
      <c r="S2445" s="1" t="s">
        <v>7105</v>
      </c>
      <c r="T2445" s="1">
        <v>1</v>
      </c>
      <c r="U2445" s="19"/>
      <c r="V2445" s="19"/>
    </row>
    <row r="2446" spans="1:22" x14ac:dyDescent="0.3">
      <c r="A2446" s="1" t="s">
        <v>7106</v>
      </c>
      <c r="B2446" s="5">
        <v>46158</v>
      </c>
      <c r="C2446" s="6">
        <v>0.45833333333333331</v>
      </c>
      <c r="D2446" s="1" t="s">
        <v>27</v>
      </c>
      <c r="E2446" s="1" t="s">
        <v>29</v>
      </c>
      <c r="F2446" s="1" t="s">
        <v>7107</v>
      </c>
      <c r="G2446" s="39" t="s">
        <v>7021</v>
      </c>
      <c r="H2446" s="1">
        <v>1</v>
      </c>
      <c r="I2446" s="1">
        <v>2</v>
      </c>
      <c r="J2446" s="39" t="s">
        <v>7045</v>
      </c>
      <c r="K2446" s="1">
        <v>2</v>
      </c>
      <c r="L2446" s="1">
        <v>1</v>
      </c>
      <c r="S2446" s="1" t="s">
        <v>7108</v>
      </c>
      <c r="T2446" s="1">
        <v>1</v>
      </c>
      <c r="U2446" s="19"/>
      <c r="V2446" s="19"/>
    </row>
    <row r="2447" spans="1:22" x14ac:dyDescent="0.3">
      <c r="A2447" s="1" t="s">
        <v>7109</v>
      </c>
      <c r="B2447" s="5">
        <v>46152</v>
      </c>
      <c r="C2447" s="6">
        <v>0.5</v>
      </c>
      <c r="D2447" s="1" t="s">
        <v>27</v>
      </c>
      <c r="E2447" s="1" t="s">
        <v>29</v>
      </c>
      <c r="F2447" s="1" t="s">
        <v>7110</v>
      </c>
      <c r="G2447" s="39" t="s">
        <v>292</v>
      </c>
      <c r="H2447" s="1">
        <v>0</v>
      </c>
      <c r="I2447" s="1">
        <v>1</v>
      </c>
      <c r="J2447" s="39" t="s">
        <v>7021</v>
      </c>
      <c r="K2447" s="1">
        <v>1</v>
      </c>
      <c r="L2447" s="1">
        <v>0</v>
      </c>
      <c r="S2447" s="1" t="s">
        <v>7111</v>
      </c>
      <c r="T2447" s="1">
        <v>1</v>
      </c>
      <c r="U2447" s="19"/>
      <c r="V2447" s="19"/>
    </row>
    <row r="2448" spans="1:22" x14ac:dyDescent="0.3">
      <c r="A2448" s="1" t="s">
        <v>7112</v>
      </c>
      <c r="B2448" s="5">
        <v>46243</v>
      </c>
      <c r="C2448" s="6">
        <v>0.5</v>
      </c>
      <c r="D2448" s="1" t="s">
        <v>27</v>
      </c>
      <c r="E2448" s="1" t="s">
        <v>29</v>
      </c>
      <c r="F2448" s="1" t="s">
        <v>7113</v>
      </c>
      <c r="G2448" s="39" t="s">
        <v>7026</v>
      </c>
      <c r="H2448" s="1">
        <v>1</v>
      </c>
      <c r="I2448" s="1">
        <v>2</v>
      </c>
      <c r="J2448" s="39" t="s">
        <v>7032</v>
      </c>
      <c r="K2448" s="1">
        <v>2</v>
      </c>
      <c r="L2448" s="1">
        <v>1</v>
      </c>
      <c r="S2448" s="1" t="s">
        <v>7114</v>
      </c>
      <c r="T2448" s="1">
        <v>1</v>
      </c>
      <c r="U2448" s="19"/>
      <c r="V2448" s="19"/>
    </row>
    <row r="2449" spans="1:22" x14ac:dyDescent="0.3">
      <c r="A2449" s="1" t="s">
        <v>7115</v>
      </c>
      <c r="B2449" s="5">
        <v>46229</v>
      </c>
      <c r="C2449" s="6">
        <v>0.5</v>
      </c>
      <c r="D2449" s="1" t="s">
        <v>27</v>
      </c>
      <c r="E2449" s="1" t="s">
        <v>29</v>
      </c>
      <c r="F2449" s="1" t="s">
        <v>7116</v>
      </c>
      <c r="G2449" s="39" t="s">
        <v>292</v>
      </c>
      <c r="H2449" s="1">
        <v>1</v>
      </c>
      <c r="I2449" s="1">
        <v>6</v>
      </c>
      <c r="J2449" s="39" t="s">
        <v>7032</v>
      </c>
      <c r="K2449" s="1">
        <v>6</v>
      </c>
      <c r="L2449" s="1">
        <v>1</v>
      </c>
      <c r="S2449" s="1" t="s">
        <v>7117</v>
      </c>
      <c r="T2449" s="1">
        <v>1</v>
      </c>
      <c r="U2449" s="19"/>
      <c r="V2449" s="19"/>
    </row>
    <row r="2450" spans="1:22" x14ac:dyDescent="0.3">
      <c r="A2450" s="1" t="s">
        <v>7118</v>
      </c>
      <c r="B2450" s="5">
        <v>46206</v>
      </c>
      <c r="C2450" s="6">
        <v>0.54166666666666663</v>
      </c>
      <c r="D2450" s="1" t="s">
        <v>27</v>
      </c>
      <c r="E2450" s="1" t="s">
        <v>29</v>
      </c>
      <c r="F2450" s="1" t="s">
        <v>7119</v>
      </c>
      <c r="G2450" s="39" t="s">
        <v>7032</v>
      </c>
      <c r="H2450" s="1">
        <v>5</v>
      </c>
      <c r="I2450" s="1">
        <v>1</v>
      </c>
      <c r="J2450" s="39" t="s">
        <v>7030</v>
      </c>
      <c r="K2450" s="1">
        <v>1</v>
      </c>
      <c r="L2450" s="1">
        <v>5</v>
      </c>
      <c r="S2450" s="1" t="s">
        <v>7120</v>
      </c>
      <c r="T2450" s="1">
        <v>1</v>
      </c>
      <c r="U2450" s="19"/>
      <c r="V2450" s="19"/>
    </row>
    <row r="2451" spans="1:22" x14ac:dyDescent="0.3">
      <c r="A2451" s="1" t="s">
        <v>7121</v>
      </c>
      <c r="B2451" s="5">
        <v>46194</v>
      </c>
      <c r="C2451" s="6">
        <v>0.45833333333333331</v>
      </c>
      <c r="D2451" s="1" t="s">
        <v>27</v>
      </c>
      <c r="E2451" s="1" t="s">
        <v>29</v>
      </c>
      <c r="F2451" s="1" t="s">
        <v>7122</v>
      </c>
      <c r="G2451" s="39" t="s">
        <v>7032</v>
      </c>
      <c r="H2451" s="1">
        <v>4</v>
      </c>
      <c r="I2451" s="1">
        <v>4</v>
      </c>
      <c r="J2451" s="39" t="s">
        <v>7123</v>
      </c>
      <c r="K2451" s="1">
        <v>4</v>
      </c>
      <c r="L2451" s="1">
        <v>4</v>
      </c>
      <c r="S2451" s="1" t="s">
        <v>7124</v>
      </c>
      <c r="T2451" s="1">
        <v>1</v>
      </c>
      <c r="U2451" s="19"/>
      <c r="V2451" s="19"/>
    </row>
    <row r="2452" spans="1:22" x14ac:dyDescent="0.3">
      <c r="A2452" s="1" t="s">
        <v>7125</v>
      </c>
      <c r="B2452" s="5">
        <v>46187</v>
      </c>
      <c r="C2452" s="6">
        <v>0.45833333333333331</v>
      </c>
      <c r="D2452" s="1" t="s">
        <v>27</v>
      </c>
      <c r="E2452" s="1" t="s">
        <v>29</v>
      </c>
      <c r="F2452" s="1" t="s">
        <v>7126</v>
      </c>
      <c r="G2452" s="39" t="s">
        <v>7022</v>
      </c>
      <c r="H2452" s="1">
        <v>1</v>
      </c>
      <c r="I2452" s="1">
        <v>2</v>
      </c>
      <c r="J2452" s="39" t="s">
        <v>7032</v>
      </c>
      <c r="K2452" s="1">
        <v>2</v>
      </c>
      <c r="L2452" s="1">
        <v>1</v>
      </c>
      <c r="S2452" s="1" t="s">
        <v>7127</v>
      </c>
      <c r="T2452" s="1">
        <v>1</v>
      </c>
      <c r="U2452" s="19"/>
      <c r="V2452" s="19"/>
    </row>
    <row r="2453" spans="1:22" x14ac:dyDescent="0.3">
      <c r="A2453" s="1" t="s">
        <v>7128</v>
      </c>
      <c r="B2453" s="5">
        <v>46173</v>
      </c>
      <c r="C2453" s="6">
        <v>0.5</v>
      </c>
      <c r="D2453" s="1" t="s">
        <v>27</v>
      </c>
      <c r="E2453" s="1" t="s">
        <v>29</v>
      </c>
      <c r="F2453" s="1" t="s">
        <v>7129</v>
      </c>
      <c r="G2453" s="39" t="s">
        <v>7032</v>
      </c>
      <c r="H2453" s="1">
        <v>3</v>
      </c>
      <c r="I2453" s="1">
        <v>1</v>
      </c>
      <c r="J2453" s="39" t="s">
        <v>7026</v>
      </c>
      <c r="K2453" s="1">
        <v>1</v>
      </c>
      <c r="L2453" s="1">
        <v>3</v>
      </c>
      <c r="S2453" s="1" t="s">
        <v>7130</v>
      </c>
      <c r="T2453" s="1">
        <v>1</v>
      </c>
      <c r="U2453" s="19"/>
      <c r="V2453" s="19"/>
    </row>
    <row r="2454" spans="1:22" x14ac:dyDescent="0.3">
      <c r="A2454" s="1" t="s">
        <v>7131</v>
      </c>
      <c r="B2454" s="5">
        <v>46162</v>
      </c>
      <c r="C2454" s="6">
        <v>0.58333333333333337</v>
      </c>
      <c r="D2454" s="1" t="s">
        <v>27</v>
      </c>
      <c r="E2454" s="1" t="s">
        <v>29</v>
      </c>
      <c r="F2454" s="1" t="s">
        <v>7132</v>
      </c>
      <c r="G2454" s="39" t="s">
        <v>7032</v>
      </c>
      <c r="H2454" s="1">
        <v>4</v>
      </c>
      <c r="I2454" s="1">
        <v>2</v>
      </c>
      <c r="J2454" s="39" t="s">
        <v>7025</v>
      </c>
      <c r="K2454" s="1">
        <v>2</v>
      </c>
      <c r="L2454" s="1">
        <v>4</v>
      </c>
      <c r="S2454" s="1" t="s">
        <v>7133</v>
      </c>
      <c r="T2454" s="1">
        <v>1</v>
      </c>
      <c r="U2454" s="19"/>
      <c r="V2454" s="19"/>
    </row>
    <row r="2455" spans="1:22" x14ac:dyDescent="0.3">
      <c r="A2455" s="1" t="s">
        <v>7134</v>
      </c>
      <c r="B2455" s="5">
        <v>46158</v>
      </c>
      <c r="C2455" s="6">
        <v>0.45833333333333331</v>
      </c>
      <c r="D2455" s="1" t="s">
        <v>27</v>
      </c>
      <c r="E2455" s="1" t="s">
        <v>29</v>
      </c>
      <c r="F2455" s="1" t="s">
        <v>7135</v>
      </c>
      <c r="G2455" s="39" t="s">
        <v>7029</v>
      </c>
      <c r="H2455" s="1">
        <v>0</v>
      </c>
      <c r="I2455" s="1">
        <v>3</v>
      </c>
      <c r="J2455" s="39" t="s">
        <v>7032</v>
      </c>
      <c r="K2455" s="1">
        <v>3</v>
      </c>
      <c r="L2455" s="1">
        <v>0</v>
      </c>
      <c r="S2455" s="1" t="s">
        <v>7136</v>
      </c>
      <c r="T2455" s="1">
        <v>1</v>
      </c>
      <c r="U2455" s="19"/>
      <c r="V2455" s="19"/>
    </row>
    <row r="2456" spans="1:22" x14ac:dyDescent="0.3">
      <c r="A2456" s="1" t="s">
        <v>7137</v>
      </c>
      <c r="B2456" s="5">
        <v>46150</v>
      </c>
      <c r="C2456" s="6">
        <v>0.58333333333333337</v>
      </c>
      <c r="D2456" s="1" t="s">
        <v>27</v>
      </c>
      <c r="E2456" s="1" t="s">
        <v>29</v>
      </c>
      <c r="F2456" s="1" t="s">
        <v>7138</v>
      </c>
      <c r="G2456" s="39" t="s">
        <v>7037</v>
      </c>
      <c r="H2456" s="1">
        <v>1</v>
      </c>
      <c r="I2456" s="1">
        <v>1</v>
      </c>
      <c r="J2456" s="39" t="s">
        <v>7032</v>
      </c>
      <c r="K2456" s="1">
        <v>1</v>
      </c>
      <c r="L2456" s="1">
        <v>1</v>
      </c>
      <c r="S2456" s="1" t="s">
        <v>7139</v>
      </c>
      <c r="T2456" s="1">
        <v>1</v>
      </c>
      <c r="U2456" s="19"/>
      <c r="V2456" s="19"/>
    </row>
    <row r="2457" spans="1:22" x14ac:dyDescent="0.3">
      <c r="A2457" s="1" t="s">
        <v>7140</v>
      </c>
      <c r="B2457" s="5">
        <v>46243</v>
      </c>
      <c r="C2457" s="6">
        <v>0.5</v>
      </c>
      <c r="D2457" s="1" t="s">
        <v>27</v>
      </c>
      <c r="E2457" s="1" t="s">
        <v>29</v>
      </c>
      <c r="F2457" s="1" t="s">
        <v>7141</v>
      </c>
      <c r="G2457" s="39" t="s">
        <v>7123</v>
      </c>
      <c r="H2457" s="1">
        <v>0</v>
      </c>
      <c r="I2457" s="1">
        <v>2</v>
      </c>
      <c r="J2457" s="39" t="s">
        <v>7034</v>
      </c>
      <c r="K2457" s="1">
        <v>2</v>
      </c>
      <c r="L2457" s="1">
        <v>0</v>
      </c>
      <c r="S2457" s="1" t="s">
        <v>7142</v>
      </c>
      <c r="T2457" s="1">
        <v>1</v>
      </c>
      <c r="U2457" s="19"/>
      <c r="V2457" s="19"/>
    </row>
    <row r="2458" spans="1:22" x14ac:dyDescent="0.3">
      <c r="A2458" s="1" t="s">
        <v>7143</v>
      </c>
      <c r="B2458" s="5">
        <v>46235</v>
      </c>
      <c r="C2458" s="6">
        <v>0.5</v>
      </c>
      <c r="D2458" s="1" t="s">
        <v>27</v>
      </c>
      <c r="E2458" s="1" t="s">
        <v>29</v>
      </c>
      <c r="F2458" s="1" t="s">
        <v>7144</v>
      </c>
      <c r="G2458" s="39" t="s">
        <v>7049</v>
      </c>
      <c r="H2458" s="1">
        <v>0</v>
      </c>
      <c r="I2458" s="1">
        <v>2</v>
      </c>
      <c r="J2458" s="39" t="s">
        <v>7123</v>
      </c>
      <c r="K2458" s="1">
        <v>2</v>
      </c>
      <c r="L2458" s="1">
        <v>0</v>
      </c>
      <c r="S2458" s="1" t="s">
        <v>7145</v>
      </c>
      <c r="T2458" s="1">
        <v>1</v>
      </c>
      <c r="U2458" s="19"/>
      <c r="V2458" s="19"/>
    </row>
    <row r="2459" spans="1:22" x14ac:dyDescent="0.3">
      <c r="A2459" s="1" t="s">
        <v>7146</v>
      </c>
      <c r="B2459" s="5">
        <v>46228</v>
      </c>
      <c r="C2459" s="6">
        <v>0.54166666666666663</v>
      </c>
      <c r="D2459" s="1" t="s">
        <v>27</v>
      </c>
      <c r="E2459" s="1" t="s">
        <v>29</v>
      </c>
      <c r="F2459" s="1" t="s">
        <v>7147</v>
      </c>
      <c r="G2459" s="39" t="s">
        <v>7123</v>
      </c>
      <c r="H2459" s="1">
        <v>1</v>
      </c>
      <c r="I2459" s="1">
        <v>1</v>
      </c>
      <c r="J2459" s="39" t="s">
        <v>7029</v>
      </c>
      <c r="K2459" s="1">
        <v>1</v>
      </c>
      <c r="L2459" s="1">
        <v>1</v>
      </c>
      <c r="S2459" s="1" t="s">
        <v>7148</v>
      </c>
      <c r="T2459" s="1">
        <v>1</v>
      </c>
      <c r="U2459" s="19"/>
      <c r="V2459" s="19"/>
    </row>
    <row r="2460" spans="1:22" x14ac:dyDescent="0.3">
      <c r="A2460" s="1" t="s">
        <v>7149</v>
      </c>
      <c r="B2460" s="5">
        <v>46207</v>
      </c>
      <c r="C2460" s="6">
        <v>0.45833333333333331</v>
      </c>
      <c r="D2460" s="1" t="s">
        <v>27</v>
      </c>
      <c r="E2460" s="1" t="s">
        <v>29</v>
      </c>
      <c r="F2460" s="1" t="s">
        <v>7150</v>
      </c>
      <c r="G2460" s="39" t="s">
        <v>7022</v>
      </c>
      <c r="H2460" s="1">
        <v>4</v>
      </c>
      <c r="I2460" s="1">
        <v>3</v>
      </c>
      <c r="J2460" s="39" t="s">
        <v>7123</v>
      </c>
      <c r="K2460" s="1">
        <v>3</v>
      </c>
      <c r="L2460" s="1">
        <v>4</v>
      </c>
      <c r="S2460" s="1" t="s">
        <v>7151</v>
      </c>
      <c r="T2460" s="1">
        <v>1</v>
      </c>
      <c r="U2460" s="19"/>
      <c r="V2460" s="19"/>
    </row>
    <row r="2461" spans="1:22" x14ac:dyDescent="0.3">
      <c r="A2461" s="1" t="s">
        <v>7152</v>
      </c>
      <c r="B2461" s="5">
        <v>46200</v>
      </c>
      <c r="C2461" s="6">
        <v>0.54166666666666663</v>
      </c>
      <c r="D2461" s="1" t="s">
        <v>27</v>
      </c>
      <c r="E2461" s="1" t="s">
        <v>29</v>
      </c>
      <c r="F2461" s="1" t="s">
        <v>7153</v>
      </c>
      <c r="G2461" s="39" t="s">
        <v>7123</v>
      </c>
      <c r="H2461" s="1">
        <v>2</v>
      </c>
      <c r="I2461" s="1">
        <v>2</v>
      </c>
      <c r="J2461" s="39" t="s">
        <v>7025</v>
      </c>
      <c r="K2461" s="1">
        <v>2</v>
      </c>
      <c r="L2461" s="1">
        <v>2</v>
      </c>
      <c r="S2461" s="1" t="s">
        <v>7154</v>
      </c>
      <c r="T2461" s="1">
        <v>1</v>
      </c>
      <c r="U2461" s="19"/>
      <c r="V2461" s="19"/>
    </row>
    <row r="2462" spans="1:22" x14ac:dyDescent="0.3">
      <c r="A2462" s="1" t="s">
        <v>7155</v>
      </c>
      <c r="B2462" s="5">
        <v>46187</v>
      </c>
      <c r="C2462" s="6">
        <v>0.45833333333333331</v>
      </c>
      <c r="D2462" s="1" t="s">
        <v>27</v>
      </c>
      <c r="E2462" s="1" t="s">
        <v>29</v>
      </c>
      <c r="F2462" s="1" t="s">
        <v>7156</v>
      </c>
      <c r="G2462" s="39" t="s">
        <v>7123</v>
      </c>
      <c r="H2462" s="1">
        <v>6</v>
      </c>
      <c r="I2462" s="1">
        <v>1</v>
      </c>
      <c r="J2462" s="39" t="s">
        <v>7045</v>
      </c>
      <c r="K2462" s="1">
        <v>1</v>
      </c>
      <c r="L2462" s="1">
        <v>6</v>
      </c>
      <c r="S2462" s="1" t="s">
        <v>7157</v>
      </c>
      <c r="T2462" s="1">
        <v>1</v>
      </c>
      <c r="U2462" s="19"/>
      <c r="V2462" s="19"/>
    </row>
    <row r="2463" spans="1:22" x14ac:dyDescent="0.3">
      <c r="A2463" s="1" t="s">
        <v>7158</v>
      </c>
      <c r="B2463" s="5">
        <v>46173</v>
      </c>
      <c r="C2463" s="6">
        <v>0.5</v>
      </c>
      <c r="D2463" s="1" t="s">
        <v>27</v>
      </c>
      <c r="E2463" s="1" t="s">
        <v>29</v>
      </c>
      <c r="F2463" s="1" t="s">
        <v>7159</v>
      </c>
      <c r="G2463" s="39" t="s">
        <v>7034</v>
      </c>
      <c r="H2463" s="1">
        <v>0</v>
      </c>
      <c r="I2463" s="1">
        <v>5</v>
      </c>
      <c r="J2463" s="39" t="s">
        <v>7123</v>
      </c>
      <c r="K2463" s="1">
        <v>5</v>
      </c>
      <c r="L2463" s="1">
        <v>0</v>
      </c>
      <c r="S2463" s="1" t="s">
        <v>7160</v>
      </c>
      <c r="T2463" s="1">
        <v>1</v>
      </c>
      <c r="U2463" s="19"/>
      <c r="V2463" s="19"/>
    </row>
    <row r="2464" spans="1:22" x14ac:dyDescent="0.3">
      <c r="A2464" s="1" t="s">
        <v>7161</v>
      </c>
      <c r="B2464" s="5">
        <v>46167</v>
      </c>
      <c r="C2464" s="6">
        <v>0.5</v>
      </c>
      <c r="D2464" s="1" t="s">
        <v>27</v>
      </c>
      <c r="E2464" s="1" t="s">
        <v>29</v>
      </c>
      <c r="F2464" s="1" t="s">
        <v>7162</v>
      </c>
      <c r="G2464" s="39" t="s">
        <v>7123</v>
      </c>
      <c r="H2464" s="1">
        <v>1</v>
      </c>
      <c r="I2464" s="1">
        <v>0</v>
      </c>
      <c r="J2464" s="39" t="s">
        <v>7049</v>
      </c>
      <c r="K2464" s="1">
        <v>0</v>
      </c>
      <c r="L2464" s="1">
        <v>1</v>
      </c>
      <c r="S2464" s="1" t="s">
        <v>7163</v>
      </c>
      <c r="T2464" s="1">
        <v>1</v>
      </c>
      <c r="U2464" s="19"/>
      <c r="V2464" s="19"/>
    </row>
    <row r="2465" spans="1:22" x14ac:dyDescent="0.3">
      <c r="A2465" s="1" t="s">
        <v>7164</v>
      </c>
      <c r="B2465" s="5">
        <v>46162</v>
      </c>
      <c r="C2465" s="6">
        <v>0.58333333333333337</v>
      </c>
      <c r="D2465" s="1" t="s">
        <v>27</v>
      </c>
      <c r="E2465" s="1" t="s">
        <v>29</v>
      </c>
      <c r="F2465" s="1" t="s">
        <v>7165</v>
      </c>
      <c r="G2465" s="39" t="s">
        <v>7068</v>
      </c>
      <c r="H2465" s="1">
        <v>1</v>
      </c>
      <c r="I2465" s="1">
        <v>1</v>
      </c>
      <c r="J2465" s="39" t="s">
        <v>7123</v>
      </c>
      <c r="K2465" s="1">
        <v>1</v>
      </c>
      <c r="L2465" s="1">
        <v>1</v>
      </c>
      <c r="S2465" s="1" t="s">
        <v>7166</v>
      </c>
      <c r="T2465" s="1">
        <v>1</v>
      </c>
      <c r="U2465" s="19"/>
      <c r="V2465" s="19"/>
    </row>
    <row r="2466" spans="1:22" x14ac:dyDescent="0.3">
      <c r="A2466" s="1" t="s">
        <v>7167</v>
      </c>
      <c r="B2466" s="5">
        <v>46158</v>
      </c>
      <c r="C2466" s="6">
        <v>0.45833333333333331</v>
      </c>
      <c r="D2466" s="1" t="s">
        <v>27</v>
      </c>
      <c r="E2466" s="1" t="s">
        <v>29</v>
      </c>
      <c r="F2466" s="1" t="s">
        <v>7168</v>
      </c>
      <c r="G2466" s="39" t="s">
        <v>7123</v>
      </c>
      <c r="H2466" s="1">
        <v>5</v>
      </c>
      <c r="I2466" s="1">
        <v>4</v>
      </c>
      <c r="J2466" s="39" t="s">
        <v>7037</v>
      </c>
      <c r="K2466" s="1">
        <v>4</v>
      </c>
      <c r="L2466" s="1">
        <v>5</v>
      </c>
      <c r="S2466" s="1" t="s">
        <v>7169</v>
      </c>
      <c r="T2466" s="1">
        <v>1</v>
      </c>
      <c r="U2466" s="19"/>
      <c r="V2466" s="19"/>
    </row>
    <row r="2467" spans="1:22" x14ac:dyDescent="0.3">
      <c r="A2467" s="1" t="s">
        <v>7170</v>
      </c>
      <c r="B2467" s="5">
        <v>46152</v>
      </c>
      <c r="C2467" s="6">
        <v>0.5</v>
      </c>
      <c r="D2467" s="1" t="s">
        <v>27</v>
      </c>
      <c r="E2467" s="1" t="s">
        <v>29</v>
      </c>
      <c r="F2467" s="1" t="s">
        <v>7171</v>
      </c>
      <c r="G2467" s="39" t="s">
        <v>7026</v>
      </c>
      <c r="H2467" s="1">
        <v>0</v>
      </c>
      <c r="I2467" s="1">
        <v>3</v>
      </c>
      <c r="J2467" s="39" t="s">
        <v>7123</v>
      </c>
      <c r="K2467" s="1">
        <v>3</v>
      </c>
      <c r="L2467" s="1">
        <v>0</v>
      </c>
      <c r="S2467" s="1" t="s">
        <v>7172</v>
      </c>
      <c r="T2467" s="1">
        <v>1</v>
      </c>
      <c r="U2467" s="19"/>
      <c r="V2467" s="19"/>
    </row>
    <row r="2468" spans="1:22" x14ac:dyDescent="0.3">
      <c r="A2468" s="1" t="s">
        <v>7173</v>
      </c>
      <c r="B2468" s="5">
        <v>46244</v>
      </c>
      <c r="C2468" s="6">
        <v>0.5</v>
      </c>
      <c r="D2468" s="1" t="s">
        <v>27</v>
      </c>
      <c r="E2468" s="1" t="s">
        <v>29</v>
      </c>
      <c r="F2468" s="1" t="s">
        <v>7174</v>
      </c>
      <c r="G2468" s="39" t="s">
        <v>7068</v>
      </c>
      <c r="H2468" s="1">
        <v>3</v>
      </c>
      <c r="I2468" s="1">
        <v>3</v>
      </c>
      <c r="J2468" s="39" t="s">
        <v>7025</v>
      </c>
      <c r="K2468" s="1">
        <v>3</v>
      </c>
      <c r="L2468" s="1">
        <v>3</v>
      </c>
      <c r="S2468" s="1" t="s">
        <v>7175</v>
      </c>
      <c r="T2468" s="1">
        <v>1</v>
      </c>
      <c r="U2468" s="19"/>
      <c r="V2468" s="19"/>
    </row>
    <row r="2469" spans="1:22" x14ac:dyDescent="0.3">
      <c r="A2469" s="1" t="s">
        <v>7176</v>
      </c>
      <c r="B2469" s="5">
        <v>46229</v>
      </c>
      <c r="C2469" s="6">
        <v>0.5</v>
      </c>
      <c r="D2469" s="1" t="s">
        <v>27</v>
      </c>
      <c r="E2469" s="1" t="s">
        <v>29</v>
      </c>
      <c r="F2469" s="1" t="s">
        <v>7177</v>
      </c>
      <c r="G2469" s="39" t="s">
        <v>7041</v>
      </c>
      <c r="H2469" s="1">
        <v>0</v>
      </c>
      <c r="I2469" s="1">
        <v>0</v>
      </c>
      <c r="J2469" s="39" t="s">
        <v>7025</v>
      </c>
      <c r="K2469" s="1">
        <v>0</v>
      </c>
      <c r="L2469" s="1">
        <v>0</v>
      </c>
      <c r="S2469" s="1" t="s">
        <v>7178</v>
      </c>
      <c r="T2469" s="1">
        <v>1</v>
      </c>
      <c r="U2469" s="19"/>
      <c r="V2469" s="19"/>
    </row>
    <row r="2470" spans="1:22" x14ac:dyDescent="0.3">
      <c r="A2470" s="1" t="s">
        <v>7179</v>
      </c>
      <c r="B2470" s="5">
        <v>46194</v>
      </c>
      <c r="C2470" s="6">
        <v>0.45833333333333331</v>
      </c>
      <c r="D2470" s="1" t="s">
        <v>27</v>
      </c>
      <c r="E2470" s="1" t="s">
        <v>29</v>
      </c>
      <c r="F2470" s="1" t="s">
        <v>7180</v>
      </c>
      <c r="G2470" s="39" t="s">
        <v>7025</v>
      </c>
      <c r="H2470" s="1">
        <v>0</v>
      </c>
      <c r="I2470" s="1">
        <v>0</v>
      </c>
      <c r="J2470" s="39" t="s">
        <v>7022</v>
      </c>
      <c r="K2470" s="1">
        <v>0</v>
      </c>
      <c r="L2470" s="1">
        <v>0</v>
      </c>
      <c r="S2470" s="1" t="s">
        <v>7181</v>
      </c>
      <c r="T2470" s="1">
        <v>1</v>
      </c>
      <c r="U2470" s="19"/>
      <c r="V2470" s="19"/>
    </row>
    <row r="2471" spans="1:22" x14ac:dyDescent="0.3">
      <c r="A2471" s="1" t="s">
        <v>7182</v>
      </c>
      <c r="B2471" s="5">
        <v>46187</v>
      </c>
      <c r="C2471" s="6">
        <v>0.45833333333333331</v>
      </c>
      <c r="D2471" s="1" t="s">
        <v>27</v>
      </c>
      <c r="E2471" s="1" t="s">
        <v>29</v>
      </c>
      <c r="F2471" s="1" t="s">
        <v>7183</v>
      </c>
      <c r="G2471" s="39" t="s">
        <v>7026</v>
      </c>
      <c r="H2471" s="1">
        <v>2</v>
      </c>
      <c r="I2471" s="1">
        <v>1</v>
      </c>
      <c r="J2471" s="39" t="s">
        <v>7025</v>
      </c>
      <c r="K2471" s="1">
        <v>1</v>
      </c>
      <c r="L2471" s="1">
        <v>2</v>
      </c>
      <c r="S2471" s="1" t="s">
        <v>7184</v>
      </c>
      <c r="T2471" s="1">
        <v>1</v>
      </c>
      <c r="U2471" s="19"/>
      <c r="V2471" s="19"/>
    </row>
    <row r="2472" spans="1:22" x14ac:dyDescent="0.3">
      <c r="A2472" s="1" t="s">
        <v>7185</v>
      </c>
      <c r="B2472" s="5">
        <v>46172</v>
      </c>
      <c r="C2472" s="6">
        <v>0.45833333333333331</v>
      </c>
      <c r="D2472" s="1" t="s">
        <v>27</v>
      </c>
      <c r="E2472" s="1" t="s">
        <v>29</v>
      </c>
      <c r="F2472" s="1" t="s">
        <v>7186</v>
      </c>
      <c r="G2472" s="39" t="s">
        <v>7025</v>
      </c>
      <c r="H2472" s="1">
        <v>3</v>
      </c>
      <c r="I2472" s="1">
        <v>0</v>
      </c>
      <c r="J2472" s="39" t="s">
        <v>7029</v>
      </c>
      <c r="K2472" s="1">
        <v>0</v>
      </c>
      <c r="L2472" s="1">
        <v>3</v>
      </c>
      <c r="S2472" s="1" t="s">
        <v>7187</v>
      </c>
      <c r="T2472" s="1">
        <v>1</v>
      </c>
      <c r="U2472" s="19"/>
      <c r="V2472" s="19"/>
    </row>
    <row r="2473" spans="1:22" x14ac:dyDescent="0.3">
      <c r="A2473" s="1" t="s">
        <v>7188</v>
      </c>
      <c r="B2473" s="5">
        <v>46167</v>
      </c>
      <c r="C2473" s="6">
        <v>0.5</v>
      </c>
      <c r="D2473" s="1" t="s">
        <v>27</v>
      </c>
      <c r="E2473" s="1" t="s">
        <v>29</v>
      </c>
      <c r="F2473" s="1" t="s">
        <v>7189</v>
      </c>
      <c r="G2473" s="39" t="s">
        <v>7025</v>
      </c>
      <c r="H2473" s="1">
        <v>3</v>
      </c>
      <c r="I2473" s="1">
        <v>1</v>
      </c>
      <c r="J2473" s="39" t="s">
        <v>7037</v>
      </c>
      <c r="K2473" s="1">
        <v>1</v>
      </c>
      <c r="L2473" s="1">
        <v>3</v>
      </c>
      <c r="S2473" s="1" t="s">
        <v>7190</v>
      </c>
      <c r="T2473" s="1">
        <v>1</v>
      </c>
      <c r="U2473" s="19"/>
      <c r="V2473" s="19"/>
    </row>
    <row r="2474" spans="1:22" x14ac:dyDescent="0.3">
      <c r="A2474" s="1" t="s">
        <v>7191</v>
      </c>
      <c r="B2474" s="5">
        <v>46158</v>
      </c>
      <c r="C2474" s="6">
        <v>0.45833333333333331</v>
      </c>
      <c r="D2474" s="1" t="s">
        <v>27</v>
      </c>
      <c r="E2474" s="1" t="s">
        <v>29</v>
      </c>
      <c r="F2474" s="1" t="s">
        <v>7192</v>
      </c>
      <c r="G2474" s="39" t="s">
        <v>7025</v>
      </c>
      <c r="H2474" s="1">
        <v>2</v>
      </c>
      <c r="I2474" s="1">
        <v>3</v>
      </c>
      <c r="J2474" s="39" t="s">
        <v>7068</v>
      </c>
      <c r="K2474" s="1">
        <v>3</v>
      </c>
      <c r="L2474" s="1">
        <v>2</v>
      </c>
      <c r="S2474" s="1" t="s">
        <v>7193</v>
      </c>
      <c r="T2474" s="1">
        <v>1</v>
      </c>
      <c r="U2474" s="19"/>
      <c r="V2474" s="19"/>
    </row>
    <row r="2475" spans="1:22" x14ac:dyDescent="0.3">
      <c r="A2475" s="1" t="s">
        <v>7194</v>
      </c>
      <c r="B2475" s="5">
        <v>46153</v>
      </c>
      <c r="C2475" s="6">
        <v>0.58333333333333337</v>
      </c>
      <c r="D2475" s="1" t="s">
        <v>27</v>
      </c>
      <c r="E2475" s="1" t="s">
        <v>29</v>
      </c>
      <c r="F2475" s="1" t="s">
        <v>7195</v>
      </c>
      <c r="G2475" s="39" t="s">
        <v>7034</v>
      </c>
      <c r="H2475" s="1">
        <v>0</v>
      </c>
      <c r="I2475" s="1">
        <v>1</v>
      </c>
      <c r="J2475" s="39" t="s">
        <v>7025</v>
      </c>
      <c r="K2475" s="1">
        <v>1</v>
      </c>
      <c r="L2475" s="1">
        <v>0</v>
      </c>
      <c r="S2475" s="1" t="s">
        <v>7196</v>
      </c>
      <c r="T2475" s="1">
        <v>1</v>
      </c>
      <c r="U2475" s="19"/>
      <c r="V2475" s="19"/>
    </row>
    <row r="2476" spans="1:22" x14ac:dyDescent="0.3">
      <c r="A2476" s="1" t="s">
        <v>7197</v>
      </c>
      <c r="B2476" s="5">
        <v>46243</v>
      </c>
      <c r="C2476" s="6">
        <v>0.5</v>
      </c>
      <c r="D2476" s="1" t="s">
        <v>27</v>
      </c>
      <c r="E2476" s="1" t="s">
        <v>29</v>
      </c>
      <c r="F2476" s="1" t="s">
        <v>7198</v>
      </c>
      <c r="G2476" s="39" t="s">
        <v>292</v>
      </c>
      <c r="H2476" s="1">
        <v>3</v>
      </c>
      <c r="I2476" s="1">
        <v>4</v>
      </c>
      <c r="J2476" s="39" t="s">
        <v>7022</v>
      </c>
      <c r="K2476" s="1">
        <v>4</v>
      </c>
      <c r="L2476" s="1">
        <v>3</v>
      </c>
      <c r="S2476" s="1" t="s">
        <v>7199</v>
      </c>
      <c r="T2476" s="1">
        <v>1</v>
      </c>
      <c r="U2476" s="19"/>
      <c r="V2476" s="19"/>
    </row>
    <row r="2477" spans="1:22" x14ac:dyDescent="0.3">
      <c r="A2477" s="1" t="s">
        <v>7200</v>
      </c>
      <c r="B2477" s="5">
        <v>46236</v>
      </c>
      <c r="C2477" s="6">
        <v>0.5</v>
      </c>
      <c r="D2477" s="1" t="s">
        <v>27</v>
      </c>
      <c r="E2477" s="1" t="s">
        <v>29</v>
      </c>
      <c r="F2477" s="1" t="s">
        <v>7201</v>
      </c>
      <c r="G2477" s="39" t="s">
        <v>7022</v>
      </c>
      <c r="H2477" s="1">
        <v>2</v>
      </c>
      <c r="I2477" s="1">
        <v>1</v>
      </c>
      <c r="J2477" s="39" t="s">
        <v>7068</v>
      </c>
      <c r="K2477" s="1">
        <v>1</v>
      </c>
      <c r="L2477" s="1">
        <v>2</v>
      </c>
      <c r="S2477" s="1" t="s">
        <v>7202</v>
      </c>
      <c r="T2477" s="1">
        <v>1</v>
      </c>
      <c r="U2477" s="19"/>
      <c r="V2477" s="19"/>
    </row>
    <row r="2478" spans="1:22" x14ac:dyDescent="0.3">
      <c r="A2478" s="1" t="s">
        <v>7203</v>
      </c>
      <c r="B2478" s="5">
        <v>46200</v>
      </c>
      <c r="C2478" s="6">
        <v>0.45833333333333331</v>
      </c>
      <c r="D2478" s="1" t="s">
        <v>27</v>
      </c>
      <c r="E2478" s="1" t="s">
        <v>29</v>
      </c>
      <c r="F2478" s="1" t="s">
        <v>7204</v>
      </c>
      <c r="G2478" s="39" t="s">
        <v>7029</v>
      </c>
      <c r="H2478" s="1">
        <v>1</v>
      </c>
      <c r="I2478" s="1">
        <v>4</v>
      </c>
      <c r="J2478" s="39" t="s">
        <v>7022</v>
      </c>
      <c r="K2478" s="1">
        <v>4</v>
      </c>
      <c r="L2478" s="1">
        <v>1</v>
      </c>
      <c r="S2478" s="1" t="s">
        <v>7205</v>
      </c>
      <c r="T2478" s="1">
        <v>1</v>
      </c>
      <c r="U2478" s="19"/>
      <c r="V2478" s="19"/>
    </row>
    <row r="2479" spans="1:22" x14ac:dyDescent="0.3">
      <c r="A2479" s="1" t="s">
        <v>7206</v>
      </c>
      <c r="B2479" s="5">
        <v>46173</v>
      </c>
      <c r="C2479" s="6">
        <v>0.5</v>
      </c>
      <c r="D2479" s="1" t="s">
        <v>27</v>
      </c>
      <c r="E2479" s="1" t="s">
        <v>29</v>
      </c>
      <c r="F2479" s="1" t="s">
        <v>7207</v>
      </c>
      <c r="G2479" s="39" t="s">
        <v>7049</v>
      </c>
      <c r="H2479" s="1">
        <v>1</v>
      </c>
      <c r="I2479" s="1">
        <v>0</v>
      </c>
      <c r="J2479" s="39" t="s">
        <v>7022</v>
      </c>
      <c r="K2479" s="1">
        <v>0</v>
      </c>
      <c r="L2479" s="1">
        <v>1</v>
      </c>
      <c r="S2479" s="1" t="s">
        <v>7208</v>
      </c>
      <c r="T2479" s="1">
        <v>1</v>
      </c>
      <c r="U2479" s="19"/>
      <c r="V2479" s="19"/>
    </row>
    <row r="2480" spans="1:22" x14ac:dyDescent="0.3">
      <c r="A2480" s="1" t="s">
        <v>7209</v>
      </c>
      <c r="B2480" s="5">
        <v>46167</v>
      </c>
      <c r="C2480" s="6">
        <v>0.5</v>
      </c>
      <c r="D2480" s="1" t="s">
        <v>27</v>
      </c>
      <c r="E2480" s="1" t="s">
        <v>29</v>
      </c>
      <c r="F2480" s="1" t="s">
        <v>7210</v>
      </c>
      <c r="G2480" s="39" t="s">
        <v>7022</v>
      </c>
      <c r="H2480" s="1">
        <v>3</v>
      </c>
      <c r="I2480" s="1">
        <v>1</v>
      </c>
      <c r="J2480" s="39" t="s">
        <v>7034</v>
      </c>
      <c r="K2480" s="1">
        <v>1</v>
      </c>
      <c r="L2480" s="1">
        <v>3</v>
      </c>
      <c r="S2480" s="1" t="s">
        <v>7211</v>
      </c>
      <c r="T2480" s="1">
        <v>1</v>
      </c>
      <c r="U2480" s="19"/>
      <c r="V2480" s="19"/>
    </row>
    <row r="2481" spans="1:22" x14ac:dyDescent="0.3">
      <c r="A2481" s="1" t="s">
        <v>7212</v>
      </c>
      <c r="B2481" s="5">
        <v>46162</v>
      </c>
      <c r="C2481" s="6">
        <v>0.58333333333333337</v>
      </c>
      <c r="D2481" s="1" t="s">
        <v>27</v>
      </c>
      <c r="E2481" s="1" t="s">
        <v>29</v>
      </c>
      <c r="F2481" s="1" t="s">
        <v>7213</v>
      </c>
      <c r="G2481" s="39" t="s">
        <v>7037</v>
      </c>
      <c r="H2481" s="1">
        <v>3</v>
      </c>
      <c r="I2481" s="1">
        <v>2</v>
      </c>
      <c r="J2481" s="39" t="s">
        <v>7022</v>
      </c>
      <c r="K2481" s="1">
        <v>2</v>
      </c>
      <c r="L2481" s="1">
        <v>3</v>
      </c>
      <c r="S2481" s="1" t="s">
        <v>7214</v>
      </c>
      <c r="T2481" s="1">
        <v>1</v>
      </c>
      <c r="U2481" s="19"/>
      <c r="V2481" s="19"/>
    </row>
    <row r="2482" spans="1:22" x14ac:dyDescent="0.3">
      <c r="A2482" s="1" t="s">
        <v>7215</v>
      </c>
      <c r="B2482" s="5">
        <v>46158</v>
      </c>
      <c r="C2482" s="6">
        <v>0.45833333333333331</v>
      </c>
      <c r="D2482" s="1" t="s">
        <v>27</v>
      </c>
      <c r="E2482" s="1" t="s">
        <v>29</v>
      </c>
      <c r="F2482" s="1" t="s">
        <v>7216</v>
      </c>
      <c r="G2482" s="39" t="s">
        <v>7022</v>
      </c>
      <c r="H2482" s="1">
        <v>2</v>
      </c>
      <c r="I2482" s="1">
        <v>2</v>
      </c>
      <c r="J2482" s="39" t="s">
        <v>7030</v>
      </c>
      <c r="K2482" s="1">
        <v>2</v>
      </c>
      <c r="L2482" s="1">
        <v>2</v>
      </c>
      <c r="S2482" s="1" t="s">
        <v>7217</v>
      </c>
      <c r="T2482" s="1">
        <v>1</v>
      </c>
      <c r="U2482" s="19"/>
      <c r="V2482" s="19"/>
    </row>
    <row r="2483" spans="1:22" x14ac:dyDescent="0.3">
      <c r="A2483" s="1" t="s">
        <v>7218</v>
      </c>
      <c r="B2483" s="5">
        <v>46152</v>
      </c>
      <c r="C2483" s="6">
        <v>0.5</v>
      </c>
      <c r="D2483" s="1" t="s">
        <v>27</v>
      </c>
      <c r="E2483" s="1" t="s">
        <v>29</v>
      </c>
      <c r="F2483" s="1" t="s">
        <v>7219</v>
      </c>
      <c r="G2483" s="39" t="s">
        <v>7041</v>
      </c>
      <c r="H2483" s="1">
        <v>1</v>
      </c>
      <c r="I2483" s="1">
        <v>2</v>
      </c>
      <c r="J2483" s="39" t="s">
        <v>7022</v>
      </c>
      <c r="K2483" s="1">
        <v>2</v>
      </c>
      <c r="L2483" s="1">
        <v>1</v>
      </c>
      <c r="S2483" s="1" t="s">
        <v>7220</v>
      </c>
      <c r="T2483" s="1">
        <v>1</v>
      </c>
      <c r="U2483" s="19"/>
      <c r="V2483" s="19"/>
    </row>
    <row r="2484" spans="1:22" x14ac:dyDescent="0.3">
      <c r="A2484" s="1" t="s">
        <v>7221</v>
      </c>
      <c r="B2484" s="5">
        <v>46229</v>
      </c>
      <c r="C2484" s="6">
        <v>0.5</v>
      </c>
      <c r="D2484" s="1" t="s">
        <v>27</v>
      </c>
      <c r="E2484" s="1" t="s">
        <v>29</v>
      </c>
      <c r="F2484" s="1" t="s">
        <v>7222</v>
      </c>
      <c r="G2484" s="39" t="s">
        <v>7026</v>
      </c>
      <c r="H2484" s="1">
        <v>3</v>
      </c>
      <c r="I2484" s="1">
        <v>3</v>
      </c>
      <c r="J2484" s="39" t="s">
        <v>7034</v>
      </c>
      <c r="K2484" s="1">
        <v>3</v>
      </c>
      <c r="L2484" s="1">
        <v>3</v>
      </c>
      <c r="S2484" s="1" t="s">
        <v>7223</v>
      </c>
      <c r="T2484" s="1">
        <v>1</v>
      </c>
      <c r="U2484" s="19"/>
      <c r="V2484" s="19"/>
    </row>
    <row r="2485" spans="1:22" x14ac:dyDescent="0.3">
      <c r="A2485" s="1" t="s">
        <v>7224</v>
      </c>
      <c r="B2485" s="5">
        <v>46207</v>
      </c>
      <c r="C2485" s="6">
        <v>0.375</v>
      </c>
      <c r="D2485" s="1" t="s">
        <v>27</v>
      </c>
      <c r="E2485" s="1" t="s">
        <v>29</v>
      </c>
      <c r="F2485" s="1" t="s">
        <v>7225</v>
      </c>
      <c r="G2485" s="39" t="s">
        <v>7034</v>
      </c>
      <c r="H2485" s="1">
        <v>3</v>
      </c>
      <c r="I2485" s="1">
        <v>0</v>
      </c>
      <c r="J2485" s="39" t="s">
        <v>7068</v>
      </c>
      <c r="K2485" s="1">
        <v>0</v>
      </c>
      <c r="L2485" s="1">
        <v>3</v>
      </c>
      <c r="S2485" s="1" t="s">
        <v>7226</v>
      </c>
      <c r="T2485" s="1">
        <v>1</v>
      </c>
      <c r="U2485" s="19"/>
      <c r="V2485" s="19"/>
    </row>
    <row r="2486" spans="1:22" x14ac:dyDescent="0.3">
      <c r="A2486" s="1" t="s">
        <v>7227</v>
      </c>
      <c r="B2486" s="5">
        <v>46200</v>
      </c>
      <c r="C2486" s="6">
        <v>0.625</v>
      </c>
      <c r="D2486" s="1" t="s">
        <v>27</v>
      </c>
      <c r="E2486" s="1" t="s">
        <v>29</v>
      </c>
      <c r="F2486" s="1" t="s">
        <v>7228</v>
      </c>
      <c r="G2486" s="39" t="s">
        <v>7030</v>
      </c>
      <c r="H2486" s="1">
        <v>4</v>
      </c>
      <c r="I2486" s="1">
        <v>2</v>
      </c>
      <c r="J2486" s="39" t="s">
        <v>7034</v>
      </c>
      <c r="K2486" s="1">
        <v>2</v>
      </c>
      <c r="L2486" s="1">
        <v>4</v>
      </c>
      <c r="S2486" s="1" t="s">
        <v>7229</v>
      </c>
      <c r="T2486" s="1">
        <v>1</v>
      </c>
      <c r="U2486" s="19"/>
      <c r="V2486" s="19"/>
    </row>
    <row r="2487" spans="1:22" x14ac:dyDescent="0.3">
      <c r="A2487" s="1" t="s">
        <v>7230</v>
      </c>
      <c r="B2487" s="5">
        <v>46162</v>
      </c>
      <c r="C2487" s="6">
        <v>0.58333333333333337</v>
      </c>
      <c r="D2487" s="1" t="s">
        <v>27</v>
      </c>
      <c r="E2487" s="1" t="s">
        <v>29</v>
      </c>
      <c r="F2487" s="1" t="s">
        <v>7231</v>
      </c>
      <c r="G2487" s="39" t="s">
        <v>7034</v>
      </c>
      <c r="H2487" s="1">
        <v>0</v>
      </c>
      <c r="I2487" s="1">
        <v>0</v>
      </c>
      <c r="J2487" s="39" t="s">
        <v>7029</v>
      </c>
      <c r="K2487" s="1">
        <v>0</v>
      </c>
      <c r="L2487" s="1">
        <v>0</v>
      </c>
      <c r="S2487" s="1" t="s">
        <v>7232</v>
      </c>
      <c r="T2487" s="1">
        <v>1</v>
      </c>
      <c r="U2487" s="19"/>
      <c r="V2487" s="19"/>
    </row>
    <row r="2488" spans="1:22" x14ac:dyDescent="0.3">
      <c r="A2488" s="1" t="s">
        <v>7233</v>
      </c>
      <c r="B2488" s="5">
        <v>46157</v>
      </c>
      <c r="C2488" s="6">
        <v>0.54166666666666663</v>
      </c>
      <c r="D2488" s="1" t="s">
        <v>27</v>
      </c>
      <c r="E2488" s="1" t="s">
        <v>29</v>
      </c>
      <c r="F2488" s="1" t="s">
        <v>7234</v>
      </c>
      <c r="G2488" s="39" t="s">
        <v>292</v>
      </c>
      <c r="H2488" s="1">
        <v>4</v>
      </c>
      <c r="I2488" s="1">
        <v>2</v>
      </c>
      <c r="J2488" s="39" t="s">
        <v>7034</v>
      </c>
      <c r="K2488" s="1">
        <v>2</v>
      </c>
      <c r="L2488" s="1">
        <v>4</v>
      </c>
      <c r="S2488" s="1" t="s">
        <v>7235</v>
      </c>
      <c r="T2488" s="1">
        <v>1</v>
      </c>
      <c r="U2488" s="19"/>
      <c r="V2488" s="19"/>
    </row>
    <row r="2489" spans="1:22" x14ac:dyDescent="0.3">
      <c r="A2489" s="1" t="s">
        <v>7236</v>
      </c>
      <c r="B2489" s="5">
        <v>46243</v>
      </c>
      <c r="C2489" s="6">
        <v>0.5</v>
      </c>
      <c r="D2489" s="1" t="s">
        <v>27</v>
      </c>
      <c r="E2489" s="1" t="s">
        <v>29</v>
      </c>
      <c r="F2489" s="1" t="s">
        <v>7237</v>
      </c>
      <c r="G2489" s="39" t="s">
        <v>7041</v>
      </c>
      <c r="H2489" s="1">
        <v>1</v>
      </c>
      <c r="I2489" s="1">
        <v>4</v>
      </c>
      <c r="J2489" s="39" t="s">
        <v>7037</v>
      </c>
      <c r="K2489" s="1">
        <v>4</v>
      </c>
      <c r="L2489" s="1">
        <v>1</v>
      </c>
      <c r="S2489" s="1" t="s">
        <v>7238</v>
      </c>
      <c r="T2489" s="1">
        <v>1</v>
      </c>
      <c r="U2489" s="19"/>
      <c r="V2489" s="19"/>
    </row>
    <row r="2490" spans="1:22" x14ac:dyDescent="0.3">
      <c r="A2490" s="1" t="s">
        <v>7239</v>
      </c>
      <c r="B2490" s="5">
        <v>46229</v>
      </c>
      <c r="C2490" s="6">
        <v>0.5</v>
      </c>
      <c r="D2490" s="1" t="s">
        <v>27</v>
      </c>
      <c r="E2490" s="1" t="s">
        <v>29</v>
      </c>
      <c r="F2490" s="1" t="s">
        <v>7240</v>
      </c>
      <c r="G2490" s="39" t="s">
        <v>7030</v>
      </c>
      <c r="H2490" s="1">
        <v>3</v>
      </c>
      <c r="I2490" s="1">
        <v>2</v>
      </c>
      <c r="J2490" s="39" t="s">
        <v>7037</v>
      </c>
      <c r="K2490" s="1">
        <v>2</v>
      </c>
      <c r="L2490" s="1">
        <v>3</v>
      </c>
      <c r="S2490" s="1" t="s">
        <v>7241</v>
      </c>
      <c r="T2490" s="1">
        <v>1</v>
      </c>
      <c r="U2490" s="19"/>
      <c r="V2490" s="19"/>
    </row>
    <row r="2491" spans="1:22" x14ac:dyDescent="0.3">
      <c r="A2491" s="1" t="s">
        <v>7242</v>
      </c>
      <c r="B2491" s="5">
        <v>46200</v>
      </c>
      <c r="C2491" s="6">
        <v>0.45833333333333331</v>
      </c>
      <c r="D2491" s="1" t="s">
        <v>27</v>
      </c>
      <c r="E2491" s="1" t="s">
        <v>29</v>
      </c>
      <c r="F2491" s="1" t="s">
        <v>7243</v>
      </c>
      <c r="G2491" s="39" t="s">
        <v>7026</v>
      </c>
      <c r="H2491" s="1">
        <v>3</v>
      </c>
      <c r="I2491" s="1">
        <v>0</v>
      </c>
      <c r="J2491" s="39" t="s">
        <v>7037</v>
      </c>
      <c r="K2491" s="1">
        <v>0</v>
      </c>
      <c r="L2491" s="1">
        <v>3</v>
      </c>
      <c r="S2491" s="1" t="s">
        <v>7244</v>
      </c>
      <c r="T2491" s="1">
        <v>1</v>
      </c>
      <c r="U2491" s="19"/>
      <c r="V2491" s="19"/>
    </row>
    <row r="2492" spans="1:22" x14ac:dyDescent="0.3">
      <c r="A2492" s="1" t="s">
        <v>7245</v>
      </c>
      <c r="B2492" s="5">
        <v>46192</v>
      </c>
      <c r="C2492" s="6">
        <v>0.58333333333333337</v>
      </c>
      <c r="D2492" s="1" t="s">
        <v>27</v>
      </c>
      <c r="E2492" s="1" t="s">
        <v>29</v>
      </c>
      <c r="F2492" s="1" t="s">
        <v>7246</v>
      </c>
      <c r="G2492" s="39" t="s">
        <v>7037</v>
      </c>
      <c r="H2492" s="1">
        <v>3</v>
      </c>
      <c r="I2492" s="1">
        <v>2</v>
      </c>
      <c r="J2492" s="39" t="s">
        <v>7029</v>
      </c>
      <c r="K2492" s="1">
        <v>2</v>
      </c>
      <c r="L2492" s="1">
        <v>3</v>
      </c>
      <c r="S2492" s="1" t="s">
        <v>7247</v>
      </c>
      <c r="T2492" s="1">
        <v>1</v>
      </c>
      <c r="U2492" s="19"/>
      <c r="V2492" s="19"/>
    </row>
    <row r="2493" spans="1:22" x14ac:dyDescent="0.3">
      <c r="A2493" s="1" t="s">
        <v>7248</v>
      </c>
      <c r="B2493" s="5">
        <v>46173</v>
      </c>
      <c r="C2493" s="6">
        <v>0.5</v>
      </c>
      <c r="D2493" s="1" t="s">
        <v>27</v>
      </c>
      <c r="E2493" s="1" t="s">
        <v>29</v>
      </c>
      <c r="F2493" s="1" t="s">
        <v>7249</v>
      </c>
      <c r="G2493" s="39" t="s">
        <v>7037</v>
      </c>
      <c r="H2493" s="1">
        <v>5</v>
      </c>
      <c r="I2493" s="1">
        <v>1</v>
      </c>
      <c r="J2493" s="39" t="s">
        <v>292</v>
      </c>
      <c r="K2493" s="1">
        <v>1</v>
      </c>
      <c r="L2493" s="1">
        <v>5</v>
      </c>
      <c r="S2493" s="1" t="s">
        <v>7250</v>
      </c>
      <c r="T2493" s="1">
        <v>1</v>
      </c>
      <c r="U2493" s="19"/>
      <c r="V2493" s="19"/>
    </row>
    <row r="2494" spans="1:22" x14ac:dyDescent="0.3">
      <c r="A2494" s="1" t="s">
        <v>7251</v>
      </c>
      <c r="B2494" s="5">
        <v>46243</v>
      </c>
      <c r="C2494" s="6">
        <v>0.5</v>
      </c>
      <c r="D2494" s="1" t="s">
        <v>27</v>
      </c>
      <c r="E2494" s="1" t="s">
        <v>29</v>
      </c>
      <c r="F2494" s="1" t="s">
        <v>7252</v>
      </c>
      <c r="G2494" s="39" t="s">
        <v>7030</v>
      </c>
      <c r="H2494" s="1">
        <v>0</v>
      </c>
      <c r="I2494" s="1">
        <v>2</v>
      </c>
      <c r="J2494" s="39" t="s">
        <v>7049</v>
      </c>
      <c r="K2494" s="1">
        <v>2</v>
      </c>
      <c r="L2494" s="1">
        <v>0</v>
      </c>
      <c r="S2494" s="1" t="s">
        <v>7253</v>
      </c>
      <c r="T2494" s="1">
        <v>1</v>
      </c>
      <c r="U2494" s="19"/>
      <c r="V2494" s="19"/>
    </row>
    <row r="2495" spans="1:22" x14ac:dyDescent="0.3">
      <c r="A2495" s="1" t="s">
        <v>7254</v>
      </c>
      <c r="B2495" s="5">
        <v>46207</v>
      </c>
      <c r="C2495" s="6">
        <v>0.54166666666666663</v>
      </c>
      <c r="D2495" s="1" t="s">
        <v>27</v>
      </c>
      <c r="E2495" s="1" t="s">
        <v>29</v>
      </c>
      <c r="F2495" s="1" t="s">
        <v>7255</v>
      </c>
      <c r="G2495" s="39" t="s">
        <v>7049</v>
      </c>
      <c r="H2495" s="1">
        <v>1</v>
      </c>
      <c r="I2495" s="1">
        <v>1</v>
      </c>
      <c r="J2495" s="39" t="s">
        <v>292</v>
      </c>
      <c r="K2495" s="1">
        <v>1</v>
      </c>
      <c r="L2495" s="1">
        <v>1</v>
      </c>
      <c r="S2495" s="1" t="s">
        <v>7256</v>
      </c>
      <c r="T2495" s="1">
        <v>1</v>
      </c>
      <c r="U2495" s="19"/>
      <c r="V2495" s="19"/>
    </row>
    <row r="2496" spans="1:22" x14ac:dyDescent="0.3">
      <c r="A2496" s="1" t="s">
        <v>7257</v>
      </c>
      <c r="B2496" s="5">
        <v>46194</v>
      </c>
      <c r="C2496" s="6">
        <v>0.45833333333333331</v>
      </c>
      <c r="D2496" s="1" t="s">
        <v>27</v>
      </c>
      <c r="E2496" s="1" t="s">
        <v>29</v>
      </c>
      <c r="F2496" s="1" t="s">
        <v>7258</v>
      </c>
      <c r="G2496" s="39" t="s">
        <v>7049</v>
      </c>
      <c r="H2496" s="1">
        <v>1</v>
      </c>
      <c r="I2496" s="1">
        <v>0</v>
      </c>
      <c r="J2496" s="39" t="s">
        <v>7026</v>
      </c>
      <c r="K2496" s="1">
        <v>0</v>
      </c>
      <c r="L2496" s="1">
        <v>1</v>
      </c>
      <c r="S2496" s="1" t="s">
        <v>7259</v>
      </c>
      <c r="T2496" s="1">
        <v>1</v>
      </c>
      <c r="U2496" s="19"/>
      <c r="V2496" s="19"/>
    </row>
    <row r="2497" spans="1:22" x14ac:dyDescent="0.3">
      <c r="A2497" s="1" t="s">
        <v>7260</v>
      </c>
      <c r="B2497" s="5">
        <v>46187</v>
      </c>
      <c r="C2497" s="6">
        <v>0.45833333333333331</v>
      </c>
      <c r="D2497" s="1" t="s">
        <v>27</v>
      </c>
      <c r="E2497" s="1" t="s">
        <v>29</v>
      </c>
      <c r="F2497" s="1" t="s">
        <v>7261</v>
      </c>
      <c r="G2497" s="39" t="s">
        <v>7029</v>
      </c>
      <c r="H2497" s="1">
        <v>0</v>
      </c>
      <c r="I2497" s="1">
        <v>3</v>
      </c>
      <c r="J2497" s="39" t="s">
        <v>7049</v>
      </c>
      <c r="K2497" s="1">
        <v>3</v>
      </c>
      <c r="L2497" s="1">
        <v>0</v>
      </c>
      <c r="S2497" s="1" t="s">
        <v>7262</v>
      </c>
      <c r="T2497" s="1">
        <v>1</v>
      </c>
      <c r="U2497" s="19"/>
      <c r="V2497" s="19"/>
    </row>
    <row r="2498" spans="1:22" x14ac:dyDescent="0.3">
      <c r="A2498" s="1" t="s">
        <v>7263</v>
      </c>
      <c r="B2498" s="5">
        <v>46162</v>
      </c>
      <c r="C2498" s="6">
        <v>0.58333333333333337</v>
      </c>
      <c r="D2498" s="1" t="s">
        <v>27</v>
      </c>
      <c r="E2498" s="1" t="s">
        <v>29</v>
      </c>
      <c r="F2498" s="1" t="s">
        <v>7264</v>
      </c>
      <c r="G2498" s="39" t="s">
        <v>7045</v>
      </c>
      <c r="H2498" s="1">
        <v>3</v>
      </c>
      <c r="I2498" s="1">
        <v>0</v>
      </c>
      <c r="J2498" s="39" t="s">
        <v>7049</v>
      </c>
      <c r="K2498" s="1">
        <v>0</v>
      </c>
      <c r="L2498" s="1">
        <v>3</v>
      </c>
      <c r="S2498" s="1" t="s">
        <v>7265</v>
      </c>
      <c r="T2498" s="1">
        <v>1</v>
      </c>
      <c r="U2498" s="19"/>
      <c r="V2498" s="19"/>
    </row>
    <row r="2499" spans="1:22" x14ac:dyDescent="0.3">
      <c r="A2499" s="1" t="s">
        <v>7266</v>
      </c>
      <c r="B2499" s="5">
        <v>46158</v>
      </c>
      <c r="C2499" s="6">
        <v>0.45833333333333331</v>
      </c>
      <c r="D2499" s="1" t="s">
        <v>27</v>
      </c>
      <c r="E2499" s="1" t="s">
        <v>29</v>
      </c>
      <c r="F2499" s="1" t="s">
        <v>7267</v>
      </c>
      <c r="G2499" s="39" t="s">
        <v>7049</v>
      </c>
      <c r="H2499" s="1">
        <v>4</v>
      </c>
      <c r="I2499" s="1">
        <v>2</v>
      </c>
      <c r="J2499" s="39" t="s">
        <v>7041</v>
      </c>
      <c r="K2499" s="1">
        <v>2</v>
      </c>
      <c r="L2499" s="1">
        <v>4</v>
      </c>
      <c r="S2499" s="1" t="s">
        <v>7268</v>
      </c>
      <c r="T2499" s="1">
        <v>1</v>
      </c>
      <c r="U2499" s="19"/>
      <c r="V2499" s="19"/>
    </row>
    <row r="2500" spans="1:22" x14ac:dyDescent="0.3">
      <c r="A2500" s="1" t="s">
        <v>7269</v>
      </c>
      <c r="B2500" s="5">
        <v>46152</v>
      </c>
      <c r="C2500" s="6">
        <v>0.5</v>
      </c>
      <c r="D2500" s="1" t="s">
        <v>27</v>
      </c>
      <c r="E2500" s="1" t="s">
        <v>29</v>
      </c>
      <c r="F2500" s="1" t="s">
        <v>7270</v>
      </c>
      <c r="G2500" s="39" t="s">
        <v>7068</v>
      </c>
      <c r="H2500" s="1">
        <v>2</v>
      </c>
      <c r="I2500" s="1">
        <v>3</v>
      </c>
      <c r="J2500" s="39" t="s">
        <v>7049</v>
      </c>
      <c r="K2500" s="1">
        <v>3</v>
      </c>
      <c r="L2500" s="1">
        <v>2</v>
      </c>
      <c r="S2500" s="1" t="s">
        <v>7271</v>
      </c>
      <c r="T2500" s="1">
        <v>1</v>
      </c>
      <c r="U2500" s="19"/>
      <c r="V2500" s="19"/>
    </row>
    <row r="2501" spans="1:22" x14ac:dyDescent="0.3">
      <c r="A2501" s="1" t="s">
        <v>7272</v>
      </c>
      <c r="B2501" s="5">
        <v>46200</v>
      </c>
      <c r="C2501" s="6">
        <v>0.45833333333333331</v>
      </c>
      <c r="D2501" s="1" t="s">
        <v>27</v>
      </c>
      <c r="E2501" s="1" t="s">
        <v>29</v>
      </c>
      <c r="F2501" s="1" t="s">
        <v>7273</v>
      </c>
      <c r="G2501" s="39" t="s">
        <v>292</v>
      </c>
      <c r="H2501" s="1">
        <v>3</v>
      </c>
      <c r="I2501" s="1">
        <v>0</v>
      </c>
      <c r="J2501" s="39" t="s">
        <v>7045</v>
      </c>
      <c r="K2501" s="1">
        <v>0</v>
      </c>
      <c r="L2501" s="1">
        <v>3</v>
      </c>
      <c r="S2501" s="1" t="s">
        <v>7274</v>
      </c>
      <c r="T2501" s="1">
        <v>1</v>
      </c>
      <c r="U2501" s="19"/>
      <c r="V2501" s="19"/>
    </row>
    <row r="2502" spans="1:22" x14ac:dyDescent="0.3">
      <c r="A2502" s="1" t="s">
        <v>7275</v>
      </c>
      <c r="B2502" s="5">
        <v>46194</v>
      </c>
      <c r="C2502" s="6">
        <v>0.45833333333333331</v>
      </c>
      <c r="D2502" s="1" t="s">
        <v>27</v>
      </c>
      <c r="E2502" s="1" t="s">
        <v>29</v>
      </c>
      <c r="F2502" s="1" t="s">
        <v>7276</v>
      </c>
      <c r="G2502" s="39" t="s">
        <v>7068</v>
      </c>
      <c r="H2502" s="1">
        <v>1</v>
      </c>
      <c r="I2502" s="1">
        <v>4</v>
      </c>
      <c r="J2502" s="39" t="s">
        <v>292</v>
      </c>
      <c r="K2502" s="1">
        <v>4</v>
      </c>
      <c r="L2502" s="1">
        <v>1</v>
      </c>
      <c r="S2502" s="1" t="s">
        <v>7277</v>
      </c>
      <c r="T2502" s="1">
        <v>1</v>
      </c>
      <c r="U2502" s="19"/>
      <c r="V2502" s="19"/>
    </row>
    <row r="2503" spans="1:22" x14ac:dyDescent="0.3">
      <c r="A2503" s="1" t="s">
        <v>7278</v>
      </c>
      <c r="B2503" s="5">
        <v>46187</v>
      </c>
      <c r="C2503" s="6">
        <v>0.45833333333333331</v>
      </c>
      <c r="D2503" s="1" t="s">
        <v>27</v>
      </c>
      <c r="E2503" s="1" t="s">
        <v>29</v>
      </c>
      <c r="F2503" s="1" t="s">
        <v>7279</v>
      </c>
      <c r="G2503" s="39" t="s">
        <v>292</v>
      </c>
      <c r="H2503" s="1">
        <v>2</v>
      </c>
      <c r="I2503" s="1">
        <v>0</v>
      </c>
      <c r="J2503" s="39" t="s">
        <v>7041</v>
      </c>
      <c r="K2503" s="1">
        <v>0</v>
      </c>
      <c r="L2503" s="1">
        <v>2</v>
      </c>
      <c r="S2503" s="1" t="s">
        <v>7280</v>
      </c>
      <c r="T2503" s="1">
        <v>1</v>
      </c>
      <c r="U2503" s="19"/>
      <c r="V2503" s="19"/>
    </row>
    <row r="2504" spans="1:22" x14ac:dyDescent="0.3">
      <c r="A2504" s="1" t="s">
        <v>7281</v>
      </c>
      <c r="B2504" s="5">
        <v>46167</v>
      </c>
      <c r="C2504" s="6">
        <v>0.5</v>
      </c>
      <c r="D2504" s="1" t="s">
        <v>27</v>
      </c>
      <c r="E2504" s="1" t="s">
        <v>29</v>
      </c>
      <c r="F2504" s="1" t="s">
        <v>7282</v>
      </c>
      <c r="G2504" s="39" t="s">
        <v>292</v>
      </c>
      <c r="H2504" s="1">
        <v>2</v>
      </c>
      <c r="I2504" s="1">
        <v>0</v>
      </c>
      <c r="J2504" s="39" t="s">
        <v>7030</v>
      </c>
      <c r="K2504" s="1">
        <v>0</v>
      </c>
      <c r="L2504" s="1">
        <v>2</v>
      </c>
      <c r="S2504" s="1" t="s">
        <v>7283</v>
      </c>
      <c r="T2504" s="1">
        <v>1</v>
      </c>
      <c r="U2504" s="19"/>
      <c r="V2504" s="19"/>
    </row>
    <row r="2505" spans="1:22" x14ac:dyDescent="0.3">
      <c r="A2505" s="1" t="s">
        <v>7284</v>
      </c>
      <c r="B2505" s="5">
        <v>46162</v>
      </c>
      <c r="C2505" s="6">
        <v>0.58333333333333337</v>
      </c>
      <c r="D2505" s="1" t="s">
        <v>27</v>
      </c>
      <c r="E2505" s="1" t="s">
        <v>29</v>
      </c>
      <c r="F2505" s="1" t="s">
        <v>7285</v>
      </c>
      <c r="G2505" s="39" t="s">
        <v>7026</v>
      </c>
      <c r="H2505" s="1">
        <v>2</v>
      </c>
      <c r="I2505" s="1">
        <v>0</v>
      </c>
      <c r="J2505" s="39" t="s">
        <v>292</v>
      </c>
      <c r="K2505" s="1">
        <v>0</v>
      </c>
      <c r="L2505" s="1">
        <v>2</v>
      </c>
      <c r="S2505" s="1" t="s">
        <v>7286</v>
      </c>
      <c r="T2505" s="1">
        <v>1</v>
      </c>
      <c r="U2505" s="19"/>
      <c r="V2505" s="19"/>
    </row>
    <row r="2506" spans="1:22" x14ac:dyDescent="0.3">
      <c r="A2506" s="1" t="s">
        <v>7287</v>
      </c>
      <c r="B2506" s="5">
        <v>46229</v>
      </c>
      <c r="C2506" s="6">
        <v>0.5</v>
      </c>
      <c r="D2506" s="1" t="s">
        <v>27</v>
      </c>
      <c r="E2506" s="1" t="s">
        <v>29</v>
      </c>
      <c r="F2506" s="1" t="s">
        <v>7288</v>
      </c>
      <c r="G2506" s="39" t="s">
        <v>7068</v>
      </c>
      <c r="H2506" s="1">
        <v>1</v>
      </c>
      <c r="I2506" s="1">
        <v>2</v>
      </c>
      <c r="J2506" s="39" t="s">
        <v>7045</v>
      </c>
      <c r="K2506" s="1">
        <v>2</v>
      </c>
      <c r="L2506" s="1">
        <v>1</v>
      </c>
      <c r="S2506" s="1" t="s">
        <v>7289</v>
      </c>
      <c r="T2506" s="1">
        <v>1</v>
      </c>
      <c r="U2506" s="19"/>
      <c r="V2506" s="19"/>
    </row>
    <row r="2507" spans="1:22" x14ac:dyDescent="0.3">
      <c r="A2507" s="1" t="s">
        <v>7290</v>
      </c>
      <c r="B2507" s="5">
        <v>46200</v>
      </c>
      <c r="C2507" s="6">
        <v>0.45833333333333331</v>
      </c>
      <c r="D2507" s="1" t="s">
        <v>27</v>
      </c>
      <c r="E2507" s="1" t="s">
        <v>29</v>
      </c>
      <c r="F2507" s="1" t="s">
        <v>7291</v>
      </c>
      <c r="G2507" s="39" t="s">
        <v>7041</v>
      </c>
      <c r="H2507" s="1">
        <v>3</v>
      </c>
      <c r="I2507" s="1">
        <v>2</v>
      </c>
      <c r="J2507" s="39" t="s">
        <v>7068</v>
      </c>
      <c r="K2507" s="1">
        <v>2</v>
      </c>
      <c r="L2507" s="1">
        <v>3</v>
      </c>
      <c r="S2507" s="1" t="s">
        <v>7292</v>
      </c>
      <c r="T2507" s="1">
        <v>1</v>
      </c>
      <c r="U2507" s="19"/>
      <c r="V2507" s="19"/>
    </row>
    <row r="2508" spans="1:22" x14ac:dyDescent="0.3">
      <c r="A2508" s="1" t="s">
        <v>7293</v>
      </c>
      <c r="B2508" s="5">
        <v>46187</v>
      </c>
      <c r="C2508" s="6">
        <v>0.45833333333333331</v>
      </c>
      <c r="D2508" s="1" t="s">
        <v>27</v>
      </c>
      <c r="E2508" s="1" t="s">
        <v>29</v>
      </c>
      <c r="F2508" s="1" t="s">
        <v>7294</v>
      </c>
      <c r="G2508" s="39" t="s">
        <v>7030</v>
      </c>
      <c r="H2508" s="1">
        <v>2</v>
      </c>
      <c r="I2508" s="1">
        <v>4</v>
      </c>
      <c r="J2508" s="39" t="s">
        <v>7068</v>
      </c>
      <c r="K2508" s="1">
        <v>4</v>
      </c>
      <c r="L2508" s="1">
        <v>2</v>
      </c>
      <c r="S2508" s="1" t="s">
        <v>7295</v>
      </c>
      <c r="T2508" s="1">
        <v>1</v>
      </c>
      <c r="U2508" s="19"/>
      <c r="V2508" s="19"/>
    </row>
    <row r="2509" spans="1:22" x14ac:dyDescent="0.3">
      <c r="A2509" s="1" t="s">
        <v>7296</v>
      </c>
      <c r="B2509" s="5">
        <v>46194</v>
      </c>
      <c r="C2509" s="6">
        <v>0.45833333333333331</v>
      </c>
      <c r="D2509" s="1" t="s">
        <v>27</v>
      </c>
      <c r="E2509" s="1" t="s">
        <v>29</v>
      </c>
      <c r="F2509" s="1" t="s">
        <v>7297</v>
      </c>
      <c r="G2509" s="39" t="s">
        <v>7045</v>
      </c>
      <c r="H2509" s="1">
        <v>3</v>
      </c>
      <c r="I2509" s="1">
        <v>1</v>
      </c>
      <c r="J2509" s="39" t="s">
        <v>7030</v>
      </c>
      <c r="K2509" s="1">
        <v>1</v>
      </c>
      <c r="L2509" s="1">
        <v>3</v>
      </c>
      <c r="S2509" s="1" t="s">
        <v>7298</v>
      </c>
      <c r="T2509" s="1">
        <v>1</v>
      </c>
      <c r="U2509" s="19"/>
      <c r="V2509" s="19"/>
    </row>
    <row r="2510" spans="1:22" x14ac:dyDescent="0.3">
      <c r="A2510" s="1" t="s">
        <v>7299</v>
      </c>
      <c r="B2510" s="5">
        <v>46173</v>
      </c>
      <c r="C2510" s="6">
        <v>0.5</v>
      </c>
      <c r="D2510" s="1" t="s">
        <v>27</v>
      </c>
      <c r="E2510" s="1" t="s">
        <v>29</v>
      </c>
      <c r="F2510" s="1" t="s">
        <v>7300</v>
      </c>
      <c r="G2510" s="39" t="s">
        <v>7041</v>
      </c>
      <c r="H2510" s="1">
        <v>2</v>
      </c>
      <c r="I2510" s="1">
        <v>3</v>
      </c>
      <c r="J2510" s="39" t="s">
        <v>7030</v>
      </c>
      <c r="K2510" s="1">
        <v>3</v>
      </c>
      <c r="L2510" s="1">
        <v>2</v>
      </c>
      <c r="S2510" s="1" t="s">
        <v>7301</v>
      </c>
      <c r="T2510" s="1">
        <v>1</v>
      </c>
      <c r="U2510" s="19"/>
      <c r="V2510" s="19"/>
    </row>
    <row r="2511" spans="1:22" x14ac:dyDescent="0.3">
      <c r="A2511" s="1" t="s">
        <v>7302</v>
      </c>
      <c r="B2511" s="5">
        <v>46205</v>
      </c>
      <c r="C2511" s="6">
        <v>0.54166666666666663</v>
      </c>
      <c r="D2511" s="1" t="s">
        <v>27</v>
      </c>
      <c r="E2511" s="1" t="s">
        <v>29</v>
      </c>
      <c r="F2511" s="1" t="s">
        <v>7303</v>
      </c>
      <c r="G2511" s="39" t="s">
        <v>7029</v>
      </c>
      <c r="H2511" s="1">
        <v>6</v>
      </c>
      <c r="I2511" s="1">
        <v>2</v>
      </c>
      <c r="J2511" s="39" t="s">
        <v>7026</v>
      </c>
      <c r="K2511" s="1">
        <v>2</v>
      </c>
      <c r="L2511" s="1">
        <v>6</v>
      </c>
      <c r="S2511" s="1" t="s">
        <v>7304</v>
      </c>
      <c r="T2511" s="1">
        <v>1</v>
      </c>
      <c r="U2511" s="19"/>
      <c r="V2511" s="19"/>
    </row>
    <row r="2512" spans="1:22" x14ac:dyDescent="0.3">
      <c r="A2512" s="1" t="s">
        <v>7305</v>
      </c>
      <c r="B2512" s="5">
        <v>46206</v>
      </c>
      <c r="C2512" s="6">
        <v>0.54166666666666663</v>
      </c>
      <c r="D2512" s="1" t="s">
        <v>27</v>
      </c>
      <c r="E2512" s="1" t="s">
        <v>29</v>
      </c>
      <c r="F2512" s="1" t="s">
        <v>7306</v>
      </c>
      <c r="G2512" s="39" t="s">
        <v>7045</v>
      </c>
      <c r="H2512" s="1">
        <v>1</v>
      </c>
      <c r="I2512" s="1">
        <v>0</v>
      </c>
      <c r="J2512" s="39" t="s">
        <v>7041</v>
      </c>
      <c r="K2512" s="1">
        <v>0</v>
      </c>
      <c r="L2512" s="1">
        <v>1</v>
      </c>
      <c r="S2512" s="1" t="s">
        <v>7307</v>
      </c>
      <c r="T2512" s="1">
        <v>1</v>
      </c>
      <c r="U2512" s="19"/>
      <c r="V2512" s="19"/>
    </row>
    <row r="2513" spans="1:22" x14ac:dyDescent="0.3">
      <c r="A2513" s="1" t="s">
        <v>7308</v>
      </c>
      <c r="B2513" s="5">
        <v>46167</v>
      </c>
      <c r="C2513" s="6">
        <v>0.5</v>
      </c>
      <c r="D2513" s="1" t="s">
        <v>27</v>
      </c>
      <c r="E2513" s="1" t="s">
        <v>29</v>
      </c>
      <c r="F2513" s="1" t="s">
        <v>7309</v>
      </c>
      <c r="G2513" s="39" t="s">
        <v>7026</v>
      </c>
      <c r="H2513" s="1">
        <v>3</v>
      </c>
      <c r="I2513" s="1">
        <v>0</v>
      </c>
      <c r="J2513" s="39" t="s">
        <v>7045</v>
      </c>
      <c r="K2513" s="1">
        <v>0</v>
      </c>
      <c r="L2513" s="1">
        <v>3</v>
      </c>
      <c r="S2513" s="1" t="s">
        <v>7310</v>
      </c>
      <c r="T2513" s="1">
        <v>1</v>
      </c>
      <c r="U2513" s="19"/>
      <c r="V2513" s="19"/>
    </row>
    <row r="2514" spans="1:22" x14ac:dyDescent="0.3">
      <c r="A2514" s="1" t="s">
        <v>7311</v>
      </c>
      <c r="B2514" s="5">
        <v>46167</v>
      </c>
      <c r="C2514" s="6">
        <v>0.5</v>
      </c>
      <c r="D2514" s="1" t="s">
        <v>27</v>
      </c>
      <c r="E2514" s="1" t="s">
        <v>29</v>
      </c>
      <c r="F2514" s="1" t="s">
        <v>7312</v>
      </c>
      <c r="G2514" s="39" t="s">
        <v>7029</v>
      </c>
      <c r="H2514" s="1">
        <v>1</v>
      </c>
      <c r="I2514" s="1">
        <v>0</v>
      </c>
      <c r="J2514" s="39" t="s">
        <v>7041</v>
      </c>
      <c r="K2514" s="1">
        <v>0</v>
      </c>
      <c r="L2514" s="1">
        <v>1</v>
      </c>
      <c r="S2514" s="1" t="s">
        <v>7313</v>
      </c>
      <c r="T2514" s="1">
        <v>1</v>
      </c>
      <c r="U2514" s="19"/>
      <c r="V2514" s="19"/>
    </row>
    <row r="2515" spans="1:22" x14ac:dyDescent="0.3">
      <c r="A2515" s="1" t="s">
        <v>7314</v>
      </c>
      <c r="B2515" s="5">
        <v>46152</v>
      </c>
      <c r="C2515" s="6">
        <v>0.5</v>
      </c>
      <c r="D2515" s="1" t="s">
        <v>27</v>
      </c>
      <c r="E2515" s="1" t="s">
        <v>29</v>
      </c>
      <c r="F2515" s="1" t="s">
        <v>7315</v>
      </c>
      <c r="G2515" s="39" t="s">
        <v>7045</v>
      </c>
      <c r="H2515" s="1">
        <v>0</v>
      </c>
      <c r="I2515" s="1">
        <v>1</v>
      </c>
      <c r="J2515" s="39" t="s">
        <v>7029</v>
      </c>
      <c r="K2515" s="1">
        <v>1</v>
      </c>
      <c r="L2515" s="1">
        <v>0</v>
      </c>
      <c r="S2515" s="1" t="s">
        <v>7316</v>
      </c>
      <c r="T2515" s="1">
        <v>1</v>
      </c>
      <c r="U2515" s="19"/>
      <c r="V2515" s="19"/>
    </row>
    <row r="2516" spans="1:22" x14ac:dyDescent="0.3">
      <c r="A2516" s="1" t="s">
        <v>7317</v>
      </c>
      <c r="B2516" s="5">
        <v>46242</v>
      </c>
      <c r="C2516" s="6">
        <v>0.375</v>
      </c>
      <c r="D2516" s="1" t="s">
        <v>891</v>
      </c>
      <c r="E2516" s="1" t="s">
        <v>892</v>
      </c>
      <c r="F2516" s="1" t="s">
        <v>7318</v>
      </c>
      <c r="G2516" s="39" t="s">
        <v>7319</v>
      </c>
      <c r="H2516" s="1">
        <v>1</v>
      </c>
      <c r="I2516" s="1">
        <v>0</v>
      </c>
      <c r="J2516" s="39" t="s">
        <v>7320</v>
      </c>
      <c r="K2516" s="1">
        <v>0</v>
      </c>
      <c r="L2516" s="1">
        <v>1</v>
      </c>
      <c r="S2516" s="1" t="s">
        <v>7321</v>
      </c>
      <c r="T2516" s="1">
        <v>1</v>
      </c>
      <c r="U2516" s="19"/>
      <c r="V2516" s="19"/>
    </row>
    <row r="2517" spans="1:22" x14ac:dyDescent="0.3">
      <c r="A2517" s="1" t="s">
        <v>7322</v>
      </c>
      <c r="B2517" s="5">
        <v>46235</v>
      </c>
      <c r="C2517" s="6">
        <v>0.375</v>
      </c>
      <c r="D2517" s="1" t="s">
        <v>891</v>
      </c>
      <c r="E2517" s="1" t="s">
        <v>892</v>
      </c>
      <c r="F2517" s="1" t="s">
        <v>7323</v>
      </c>
      <c r="G2517" s="39" t="s">
        <v>7320</v>
      </c>
      <c r="H2517" s="1">
        <v>1</v>
      </c>
      <c r="I2517" s="1">
        <v>1</v>
      </c>
      <c r="J2517" s="39" t="s">
        <v>7324</v>
      </c>
      <c r="K2517" s="1">
        <v>1</v>
      </c>
      <c r="L2517" s="1">
        <v>1</v>
      </c>
      <c r="S2517" s="1" t="s">
        <v>7325</v>
      </c>
      <c r="T2517" s="1">
        <v>1</v>
      </c>
      <c r="U2517" s="19"/>
      <c r="V2517" s="19"/>
    </row>
    <row r="2518" spans="1:22" x14ac:dyDescent="0.3">
      <c r="A2518" s="1" t="s">
        <v>7326</v>
      </c>
      <c r="B2518" s="5">
        <v>46229</v>
      </c>
      <c r="C2518" s="6">
        <v>0.3576388888888889</v>
      </c>
      <c r="D2518" s="1" t="s">
        <v>891</v>
      </c>
      <c r="E2518" s="1" t="s">
        <v>892</v>
      </c>
      <c r="F2518" s="1" t="s">
        <v>7327</v>
      </c>
      <c r="G2518" s="39" t="s">
        <v>7320</v>
      </c>
      <c r="H2518" s="1">
        <v>2</v>
      </c>
      <c r="I2518" s="1">
        <v>2</v>
      </c>
      <c r="J2518" s="39" t="s">
        <v>894</v>
      </c>
      <c r="K2518" s="1">
        <v>2</v>
      </c>
      <c r="L2518" s="1">
        <v>2</v>
      </c>
      <c r="S2518" s="1" t="s">
        <v>7328</v>
      </c>
      <c r="T2518" s="1">
        <v>1</v>
      </c>
      <c r="U2518" s="19"/>
      <c r="V2518" s="19"/>
    </row>
    <row r="2519" spans="1:22" x14ac:dyDescent="0.3">
      <c r="A2519" s="1" t="s">
        <v>7329</v>
      </c>
      <c r="B2519" s="5">
        <v>46220</v>
      </c>
      <c r="C2519" s="6">
        <v>0.33333333333333331</v>
      </c>
      <c r="D2519" s="1" t="s">
        <v>891</v>
      </c>
      <c r="E2519" s="1" t="s">
        <v>892</v>
      </c>
      <c r="F2519" s="1" t="s">
        <v>7330</v>
      </c>
      <c r="G2519" s="39" t="s">
        <v>7331</v>
      </c>
      <c r="H2519" s="1">
        <v>1</v>
      </c>
      <c r="I2519" s="1">
        <v>1</v>
      </c>
      <c r="J2519" s="39" t="s">
        <v>7320</v>
      </c>
      <c r="K2519" s="1">
        <v>1</v>
      </c>
      <c r="L2519" s="1">
        <v>1</v>
      </c>
      <c r="S2519" s="1" t="s">
        <v>7332</v>
      </c>
      <c r="T2519" s="1">
        <v>1</v>
      </c>
      <c r="U2519" s="19"/>
      <c r="V2519" s="19"/>
    </row>
    <row r="2520" spans="1:22" x14ac:dyDescent="0.3">
      <c r="A2520" s="1" t="s">
        <v>7333</v>
      </c>
      <c r="B2520" s="5">
        <v>46214</v>
      </c>
      <c r="C2520" s="6">
        <v>0.375</v>
      </c>
      <c r="D2520" s="1" t="s">
        <v>891</v>
      </c>
      <c r="E2520" s="1" t="s">
        <v>892</v>
      </c>
      <c r="F2520" s="1" t="s">
        <v>7334</v>
      </c>
      <c r="G2520" s="39" t="s">
        <v>7320</v>
      </c>
      <c r="H2520" s="1">
        <v>1</v>
      </c>
      <c r="I2520" s="1">
        <v>1</v>
      </c>
      <c r="J2520" s="39" t="s">
        <v>7335</v>
      </c>
      <c r="K2520" s="1">
        <v>1</v>
      </c>
      <c r="L2520" s="1">
        <v>1</v>
      </c>
      <c r="S2520" s="1" t="s">
        <v>7336</v>
      </c>
      <c r="T2520" s="1">
        <v>1</v>
      </c>
      <c r="U2520" s="19"/>
      <c r="V2520" s="19"/>
    </row>
    <row r="2521" spans="1:22" x14ac:dyDescent="0.3">
      <c r="A2521" s="1" t="s">
        <v>7337</v>
      </c>
      <c r="B2521" s="5">
        <v>46208</v>
      </c>
      <c r="C2521" s="6">
        <v>0.33333333333333331</v>
      </c>
      <c r="D2521" s="1" t="s">
        <v>891</v>
      </c>
      <c r="E2521" s="1" t="s">
        <v>892</v>
      </c>
      <c r="F2521" s="1" t="s">
        <v>7338</v>
      </c>
      <c r="G2521" s="39" t="s">
        <v>7339</v>
      </c>
      <c r="H2521" s="1">
        <v>1</v>
      </c>
      <c r="I2521" s="1">
        <v>1</v>
      </c>
      <c r="J2521" s="39" t="s">
        <v>7320</v>
      </c>
      <c r="K2521" s="1">
        <v>1</v>
      </c>
      <c r="L2521" s="1">
        <v>1</v>
      </c>
      <c r="S2521" s="1" t="s">
        <v>7340</v>
      </c>
      <c r="T2521" s="1">
        <v>1</v>
      </c>
      <c r="U2521" s="19"/>
      <c r="V2521" s="19"/>
    </row>
    <row r="2522" spans="1:22" x14ac:dyDescent="0.3">
      <c r="A2522" s="1" t="s">
        <v>7341</v>
      </c>
      <c r="B2522" s="5">
        <v>46200</v>
      </c>
      <c r="C2522" s="6">
        <v>0.3576388888888889</v>
      </c>
      <c r="D2522" s="1" t="s">
        <v>891</v>
      </c>
      <c r="E2522" s="1" t="s">
        <v>892</v>
      </c>
      <c r="F2522" s="1" t="s">
        <v>7342</v>
      </c>
      <c r="G2522" s="39" t="s">
        <v>895</v>
      </c>
      <c r="H2522" s="1">
        <v>2</v>
      </c>
      <c r="I2522" s="1">
        <v>3</v>
      </c>
      <c r="J2522" s="39" t="s">
        <v>7320</v>
      </c>
      <c r="K2522" s="1">
        <v>3</v>
      </c>
      <c r="L2522" s="1">
        <v>2</v>
      </c>
      <c r="S2522" s="1" t="s">
        <v>7343</v>
      </c>
      <c r="T2522" s="1">
        <v>1</v>
      </c>
      <c r="U2522" s="19"/>
      <c r="V2522" s="19"/>
    </row>
    <row r="2523" spans="1:22" x14ac:dyDescent="0.3">
      <c r="A2523" s="1" t="s">
        <v>7344</v>
      </c>
      <c r="B2523" s="5">
        <v>46172</v>
      </c>
      <c r="C2523" s="6">
        <v>0.3576388888888889</v>
      </c>
      <c r="D2523" s="1" t="s">
        <v>891</v>
      </c>
      <c r="E2523" s="1" t="s">
        <v>892</v>
      </c>
      <c r="F2523" s="1" t="s">
        <v>7345</v>
      </c>
      <c r="G2523" s="39" t="s">
        <v>7320</v>
      </c>
      <c r="H2523" s="1">
        <v>1</v>
      </c>
      <c r="I2523" s="1">
        <v>0</v>
      </c>
      <c r="J2523" s="39" t="s">
        <v>7346</v>
      </c>
      <c r="K2523" s="1">
        <v>0</v>
      </c>
      <c r="L2523" s="1">
        <v>1</v>
      </c>
      <c r="S2523" s="1" t="s">
        <v>7347</v>
      </c>
      <c r="T2523" s="1">
        <v>1</v>
      </c>
      <c r="U2523" s="19"/>
      <c r="V2523" s="19"/>
    </row>
    <row r="2524" spans="1:22" x14ac:dyDescent="0.3">
      <c r="A2524" s="1" t="s">
        <v>7348</v>
      </c>
      <c r="B2524" s="5">
        <v>46165</v>
      </c>
      <c r="C2524" s="6">
        <v>0.375</v>
      </c>
      <c r="D2524" s="1" t="s">
        <v>891</v>
      </c>
      <c r="E2524" s="1" t="s">
        <v>892</v>
      </c>
      <c r="F2524" s="1" t="s">
        <v>7349</v>
      </c>
      <c r="G2524" s="39" t="s">
        <v>7350</v>
      </c>
      <c r="H2524" s="1">
        <v>2</v>
      </c>
      <c r="I2524" s="1">
        <v>0</v>
      </c>
      <c r="J2524" s="39" t="s">
        <v>7320</v>
      </c>
      <c r="K2524" s="1">
        <v>0</v>
      </c>
      <c r="L2524" s="1">
        <v>2</v>
      </c>
      <c r="S2524" s="1" t="s">
        <v>7351</v>
      </c>
      <c r="T2524" s="1">
        <v>1</v>
      </c>
      <c r="U2524" s="19"/>
      <c r="V2524" s="19"/>
    </row>
    <row r="2525" spans="1:22" x14ac:dyDescent="0.3">
      <c r="A2525" s="1" t="s">
        <v>7352</v>
      </c>
      <c r="B2525" s="5">
        <v>46161</v>
      </c>
      <c r="C2525" s="6">
        <v>0.375</v>
      </c>
      <c r="D2525" s="1" t="s">
        <v>891</v>
      </c>
      <c r="E2525" s="1" t="s">
        <v>892</v>
      </c>
      <c r="F2525" s="1" t="s">
        <v>7353</v>
      </c>
      <c r="G2525" s="39" t="s">
        <v>7320</v>
      </c>
      <c r="H2525" s="1">
        <v>0</v>
      </c>
      <c r="I2525" s="1">
        <v>1</v>
      </c>
      <c r="J2525" s="39" t="s">
        <v>7354</v>
      </c>
      <c r="K2525" s="1">
        <v>1</v>
      </c>
      <c r="L2525" s="1">
        <v>0</v>
      </c>
      <c r="S2525" s="1" t="s">
        <v>7355</v>
      </c>
      <c r="T2525" s="1">
        <v>1</v>
      </c>
      <c r="U2525" s="19"/>
      <c r="V2525" s="19"/>
    </row>
    <row r="2526" spans="1:22" x14ac:dyDescent="0.3">
      <c r="A2526" s="1" t="s">
        <v>7356</v>
      </c>
      <c r="B2526" s="5">
        <v>46157</v>
      </c>
      <c r="C2526" s="6">
        <v>0.3576388888888889</v>
      </c>
      <c r="D2526" s="1" t="s">
        <v>891</v>
      </c>
      <c r="E2526" s="1" t="s">
        <v>892</v>
      </c>
      <c r="F2526" s="1" t="s">
        <v>7357</v>
      </c>
      <c r="G2526" s="39" t="s">
        <v>7358</v>
      </c>
      <c r="H2526" s="1">
        <v>1</v>
      </c>
      <c r="I2526" s="1">
        <v>2</v>
      </c>
      <c r="J2526" s="39" t="s">
        <v>7320</v>
      </c>
      <c r="K2526" s="1">
        <v>2</v>
      </c>
      <c r="L2526" s="1">
        <v>1</v>
      </c>
      <c r="S2526" s="1" t="s">
        <v>7359</v>
      </c>
      <c r="T2526" s="1">
        <v>1</v>
      </c>
      <c r="U2526" s="19"/>
      <c r="V2526" s="19"/>
    </row>
    <row r="2527" spans="1:22" x14ac:dyDescent="0.3">
      <c r="A2527" s="1" t="s">
        <v>7360</v>
      </c>
      <c r="B2527" s="5">
        <v>46151</v>
      </c>
      <c r="C2527" s="6">
        <v>0.375</v>
      </c>
      <c r="D2527" s="1" t="s">
        <v>891</v>
      </c>
      <c r="E2527" s="1" t="s">
        <v>892</v>
      </c>
      <c r="F2527" s="1" t="s">
        <v>7361</v>
      </c>
      <c r="G2527" s="39" t="s">
        <v>7320</v>
      </c>
      <c r="H2527" s="1">
        <v>3</v>
      </c>
      <c r="I2527" s="1">
        <v>0</v>
      </c>
      <c r="J2527" s="39" t="s">
        <v>7362</v>
      </c>
      <c r="K2527" s="1">
        <v>0</v>
      </c>
      <c r="L2527" s="1">
        <v>3</v>
      </c>
      <c r="S2527" s="1" t="s">
        <v>7363</v>
      </c>
      <c r="T2527" s="1">
        <v>1</v>
      </c>
      <c r="U2527" s="19"/>
      <c r="V2527" s="19"/>
    </row>
    <row r="2528" spans="1:22" x14ac:dyDescent="0.3">
      <c r="A2528" s="1" t="s">
        <v>7364</v>
      </c>
      <c r="B2528" s="5">
        <v>46243</v>
      </c>
      <c r="C2528" s="6">
        <v>0.33333333333333331</v>
      </c>
      <c r="D2528" s="1" t="s">
        <v>891</v>
      </c>
      <c r="E2528" s="1" t="s">
        <v>892</v>
      </c>
      <c r="F2528" s="1" t="s">
        <v>7365</v>
      </c>
      <c r="G2528" s="39" t="s">
        <v>7362</v>
      </c>
      <c r="H2528" s="1">
        <v>0</v>
      </c>
      <c r="I2528" s="1">
        <v>0</v>
      </c>
      <c r="J2528" s="39" t="s">
        <v>7331</v>
      </c>
      <c r="K2528" s="1">
        <v>0</v>
      </c>
      <c r="L2528" s="1">
        <v>0</v>
      </c>
      <c r="S2528" s="1" t="s">
        <v>7366</v>
      </c>
      <c r="T2528" s="1">
        <v>1</v>
      </c>
      <c r="U2528" s="19"/>
      <c r="V2528" s="19"/>
    </row>
    <row r="2529" spans="1:22" x14ac:dyDescent="0.3">
      <c r="A2529" s="1" t="s">
        <v>7367</v>
      </c>
      <c r="B2529" s="5">
        <v>46236</v>
      </c>
      <c r="C2529" s="6">
        <v>0.29166666666666669</v>
      </c>
      <c r="D2529" s="1" t="s">
        <v>891</v>
      </c>
      <c r="E2529" s="1" t="s">
        <v>892</v>
      </c>
      <c r="F2529" s="1" t="s">
        <v>7368</v>
      </c>
      <c r="G2529" s="39" t="s">
        <v>7331</v>
      </c>
      <c r="H2529" s="1">
        <v>2</v>
      </c>
      <c r="I2529" s="1">
        <v>0</v>
      </c>
      <c r="J2529" s="39" t="s">
        <v>7339</v>
      </c>
      <c r="K2529" s="1">
        <v>0</v>
      </c>
      <c r="L2529" s="1">
        <v>2</v>
      </c>
      <c r="S2529" s="1" t="s">
        <v>7369</v>
      </c>
      <c r="T2529" s="1">
        <v>1</v>
      </c>
      <c r="U2529" s="19"/>
      <c r="V2529" s="19"/>
    </row>
    <row r="2530" spans="1:22" x14ac:dyDescent="0.3">
      <c r="A2530" s="1" t="s">
        <v>7370</v>
      </c>
      <c r="B2530" s="5">
        <v>46228</v>
      </c>
      <c r="C2530" s="6">
        <v>0.3576388888888889</v>
      </c>
      <c r="D2530" s="1" t="s">
        <v>891</v>
      </c>
      <c r="E2530" s="1" t="s">
        <v>892</v>
      </c>
      <c r="F2530" s="1" t="s">
        <v>7371</v>
      </c>
      <c r="G2530" s="39" t="s">
        <v>7372</v>
      </c>
      <c r="H2530" s="1">
        <v>0</v>
      </c>
      <c r="I2530" s="1">
        <v>1</v>
      </c>
      <c r="J2530" s="39" t="s">
        <v>7331</v>
      </c>
      <c r="K2530" s="1">
        <v>1</v>
      </c>
      <c r="L2530" s="1">
        <v>0</v>
      </c>
      <c r="S2530" s="1" t="s">
        <v>7373</v>
      </c>
      <c r="T2530" s="1">
        <v>1</v>
      </c>
      <c r="U2530" s="19"/>
      <c r="V2530" s="19"/>
    </row>
    <row r="2531" spans="1:22" x14ac:dyDescent="0.3">
      <c r="A2531" s="1" t="s">
        <v>7374</v>
      </c>
      <c r="B2531" s="5">
        <v>46214</v>
      </c>
      <c r="C2531" s="6">
        <v>0.3576388888888889</v>
      </c>
      <c r="D2531" s="1" t="s">
        <v>891</v>
      </c>
      <c r="E2531" s="1" t="s">
        <v>892</v>
      </c>
      <c r="F2531" s="1" t="s">
        <v>7375</v>
      </c>
      <c r="G2531" s="39" t="s">
        <v>895</v>
      </c>
      <c r="H2531" s="1">
        <v>3</v>
      </c>
      <c r="I2531" s="1">
        <v>0</v>
      </c>
      <c r="J2531" s="39" t="s">
        <v>7331</v>
      </c>
      <c r="K2531" s="1">
        <v>0</v>
      </c>
      <c r="L2531" s="1">
        <v>3</v>
      </c>
      <c r="S2531" s="1" t="s">
        <v>7376</v>
      </c>
      <c r="T2531" s="1">
        <v>1</v>
      </c>
      <c r="U2531" s="19"/>
      <c r="V2531" s="19"/>
    </row>
    <row r="2532" spans="1:22" x14ac:dyDescent="0.3">
      <c r="A2532" s="1" t="s">
        <v>7377</v>
      </c>
      <c r="B2532" s="5">
        <v>46207</v>
      </c>
      <c r="C2532" s="6">
        <v>0.33333333333333331</v>
      </c>
      <c r="D2532" s="1" t="s">
        <v>891</v>
      </c>
      <c r="E2532" s="1" t="s">
        <v>892</v>
      </c>
      <c r="F2532" s="1" t="s">
        <v>7378</v>
      </c>
      <c r="G2532" s="39" t="s">
        <v>7331</v>
      </c>
      <c r="H2532" s="1">
        <v>2</v>
      </c>
      <c r="I2532" s="1">
        <v>1</v>
      </c>
      <c r="J2532" s="39" t="s">
        <v>7354</v>
      </c>
      <c r="K2532" s="1">
        <v>1</v>
      </c>
      <c r="L2532" s="1">
        <v>2</v>
      </c>
      <c r="S2532" s="1" t="s">
        <v>7379</v>
      </c>
      <c r="T2532" s="1">
        <v>1</v>
      </c>
      <c r="U2532" s="19"/>
      <c r="V2532" s="19"/>
    </row>
    <row r="2533" spans="1:22" x14ac:dyDescent="0.3">
      <c r="A2533" s="1" t="s">
        <v>7380</v>
      </c>
      <c r="B2533" s="5">
        <v>46201</v>
      </c>
      <c r="C2533" s="6">
        <v>0.29166666666666669</v>
      </c>
      <c r="D2533" s="1" t="s">
        <v>891</v>
      </c>
      <c r="E2533" s="1" t="s">
        <v>892</v>
      </c>
      <c r="F2533" s="1" t="s">
        <v>7381</v>
      </c>
      <c r="G2533" s="39" t="s">
        <v>7331</v>
      </c>
      <c r="H2533" s="1">
        <v>3</v>
      </c>
      <c r="I2533" s="1">
        <v>1</v>
      </c>
      <c r="J2533" s="39" t="s">
        <v>7382</v>
      </c>
      <c r="K2533" s="1">
        <v>1</v>
      </c>
      <c r="L2533" s="1">
        <v>3</v>
      </c>
      <c r="S2533" s="1" t="s">
        <v>7383</v>
      </c>
      <c r="T2533" s="1">
        <v>1</v>
      </c>
      <c r="U2533" s="19"/>
      <c r="V2533" s="19"/>
    </row>
    <row r="2534" spans="1:22" x14ac:dyDescent="0.3">
      <c r="A2534" s="1" t="s">
        <v>7384</v>
      </c>
      <c r="B2534" s="5">
        <v>46172</v>
      </c>
      <c r="C2534" s="6">
        <v>0.29166666666666669</v>
      </c>
      <c r="D2534" s="1" t="s">
        <v>891</v>
      </c>
      <c r="E2534" s="1" t="s">
        <v>892</v>
      </c>
      <c r="F2534" s="1" t="s">
        <v>7385</v>
      </c>
      <c r="G2534" s="39" t="s">
        <v>7331</v>
      </c>
      <c r="H2534" s="1">
        <v>2</v>
      </c>
      <c r="I2534" s="1">
        <v>2</v>
      </c>
      <c r="J2534" s="39" t="s">
        <v>7386</v>
      </c>
      <c r="K2534" s="1">
        <v>2</v>
      </c>
      <c r="L2534" s="1">
        <v>2</v>
      </c>
      <c r="S2534" s="1" t="s">
        <v>7387</v>
      </c>
      <c r="T2534" s="1">
        <v>1</v>
      </c>
      <c r="U2534" s="19"/>
      <c r="V2534" s="19"/>
    </row>
    <row r="2535" spans="1:22" x14ac:dyDescent="0.3">
      <c r="A2535" s="1" t="s">
        <v>7388</v>
      </c>
      <c r="B2535" s="5">
        <v>46166</v>
      </c>
      <c r="C2535" s="6">
        <v>0.33333333333333331</v>
      </c>
      <c r="D2535" s="1" t="s">
        <v>891</v>
      </c>
      <c r="E2535" s="1" t="s">
        <v>892</v>
      </c>
      <c r="F2535" s="1" t="s">
        <v>7389</v>
      </c>
      <c r="G2535" s="39" t="s">
        <v>7319</v>
      </c>
      <c r="H2535" s="1">
        <v>2</v>
      </c>
      <c r="I2535" s="1">
        <v>3</v>
      </c>
      <c r="J2535" s="39" t="s">
        <v>7331</v>
      </c>
      <c r="K2535" s="1">
        <v>3</v>
      </c>
      <c r="L2535" s="1">
        <v>2</v>
      </c>
      <c r="S2535" s="1" t="s">
        <v>7390</v>
      </c>
      <c r="T2535" s="1">
        <v>1</v>
      </c>
      <c r="U2535" s="19"/>
      <c r="V2535" s="19"/>
    </row>
    <row r="2536" spans="1:22" x14ac:dyDescent="0.3">
      <c r="A2536" s="1" t="s">
        <v>7391</v>
      </c>
      <c r="B2536" s="5">
        <v>46161</v>
      </c>
      <c r="C2536" s="6">
        <v>0.375</v>
      </c>
      <c r="D2536" s="1" t="s">
        <v>891</v>
      </c>
      <c r="E2536" s="1" t="s">
        <v>892</v>
      </c>
      <c r="F2536" s="1" t="s">
        <v>7392</v>
      </c>
      <c r="G2536" s="39" t="s">
        <v>7331</v>
      </c>
      <c r="H2536" s="1">
        <v>1</v>
      </c>
      <c r="I2536" s="1">
        <v>1</v>
      </c>
      <c r="J2536" s="39" t="s">
        <v>894</v>
      </c>
      <c r="K2536" s="1">
        <v>1</v>
      </c>
      <c r="L2536" s="1">
        <v>1</v>
      </c>
      <c r="S2536" s="1" t="s">
        <v>7393</v>
      </c>
      <c r="T2536" s="1">
        <v>1</v>
      </c>
      <c r="U2536" s="19"/>
      <c r="V2536" s="19"/>
    </row>
    <row r="2537" spans="1:22" x14ac:dyDescent="0.3">
      <c r="A2537" s="1" t="s">
        <v>7394</v>
      </c>
      <c r="B2537" s="5">
        <v>46157</v>
      </c>
      <c r="C2537" s="6">
        <v>0.375</v>
      </c>
      <c r="D2537" s="1" t="s">
        <v>891</v>
      </c>
      <c r="E2537" s="1" t="s">
        <v>892</v>
      </c>
      <c r="F2537" s="1" t="s">
        <v>7395</v>
      </c>
      <c r="G2537" s="39" t="s">
        <v>7350</v>
      </c>
      <c r="H2537" s="1">
        <v>2</v>
      </c>
      <c r="I2537" s="1">
        <v>3</v>
      </c>
      <c r="J2537" s="39" t="s">
        <v>7331</v>
      </c>
      <c r="K2537" s="1">
        <v>3</v>
      </c>
      <c r="L2537" s="1">
        <v>2</v>
      </c>
      <c r="S2537" s="1" t="s">
        <v>7396</v>
      </c>
      <c r="T2537" s="1">
        <v>1</v>
      </c>
      <c r="U2537" s="19"/>
      <c r="V2537" s="19"/>
    </row>
    <row r="2538" spans="1:22" x14ac:dyDescent="0.3">
      <c r="A2538" s="1" t="s">
        <v>7397</v>
      </c>
      <c r="B2538" s="5">
        <v>46152</v>
      </c>
      <c r="C2538" s="6">
        <v>0.27083333333333331</v>
      </c>
      <c r="D2538" s="1" t="s">
        <v>891</v>
      </c>
      <c r="E2538" s="1" t="s">
        <v>892</v>
      </c>
      <c r="F2538" s="1" t="s">
        <v>7398</v>
      </c>
      <c r="G2538" s="39" t="s">
        <v>7331</v>
      </c>
      <c r="H2538" s="1">
        <v>1</v>
      </c>
      <c r="I2538" s="1">
        <v>1</v>
      </c>
      <c r="J2538" s="39" t="s">
        <v>7324</v>
      </c>
      <c r="K2538" s="1">
        <v>1</v>
      </c>
      <c r="L2538" s="1">
        <v>1</v>
      </c>
      <c r="S2538" s="1" t="s">
        <v>7399</v>
      </c>
      <c r="T2538" s="1">
        <v>1</v>
      </c>
      <c r="U2538" s="19"/>
      <c r="V2538" s="19"/>
    </row>
    <row r="2539" spans="1:22" x14ac:dyDescent="0.3">
      <c r="A2539" s="1" t="s">
        <v>7400</v>
      </c>
      <c r="B2539" s="5">
        <v>46242</v>
      </c>
      <c r="C2539" s="6">
        <v>0.3576388888888889</v>
      </c>
      <c r="D2539" s="1" t="s">
        <v>891</v>
      </c>
      <c r="E2539" s="1" t="s">
        <v>892</v>
      </c>
      <c r="F2539" s="1" t="s">
        <v>7401</v>
      </c>
      <c r="G2539" s="39" t="s">
        <v>7350</v>
      </c>
      <c r="H2539" s="1">
        <v>1</v>
      </c>
      <c r="I2539" s="1">
        <v>0</v>
      </c>
      <c r="J2539" s="39" t="s">
        <v>7372</v>
      </c>
      <c r="K2539" s="1">
        <v>0</v>
      </c>
      <c r="L2539" s="1">
        <v>1</v>
      </c>
      <c r="S2539" s="1" t="s">
        <v>7402</v>
      </c>
      <c r="T2539" s="1">
        <v>1</v>
      </c>
      <c r="U2539" s="19"/>
      <c r="V2539" s="19"/>
    </row>
    <row r="2540" spans="1:22" x14ac:dyDescent="0.3">
      <c r="A2540" s="1" t="s">
        <v>7403</v>
      </c>
      <c r="B2540" s="5">
        <v>46234</v>
      </c>
      <c r="C2540" s="6">
        <v>0.3576388888888889</v>
      </c>
      <c r="D2540" s="1" t="s">
        <v>891</v>
      </c>
      <c r="E2540" s="1" t="s">
        <v>892</v>
      </c>
      <c r="F2540" s="1" t="s">
        <v>7404</v>
      </c>
      <c r="G2540" s="39" t="s">
        <v>7362</v>
      </c>
      <c r="H2540" s="1">
        <v>1</v>
      </c>
      <c r="I2540" s="1">
        <v>1</v>
      </c>
      <c r="J2540" s="39" t="s">
        <v>7350</v>
      </c>
      <c r="K2540" s="1">
        <v>1</v>
      </c>
      <c r="L2540" s="1">
        <v>1</v>
      </c>
      <c r="S2540" s="1" t="s">
        <v>7405</v>
      </c>
      <c r="T2540" s="1">
        <v>1</v>
      </c>
      <c r="U2540" s="19"/>
      <c r="V2540" s="19"/>
    </row>
    <row r="2541" spans="1:22" x14ac:dyDescent="0.3">
      <c r="A2541" s="1" t="s">
        <v>7406</v>
      </c>
      <c r="B2541" s="5">
        <v>46229</v>
      </c>
      <c r="C2541" s="6">
        <v>0.375</v>
      </c>
      <c r="D2541" s="1" t="s">
        <v>891</v>
      </c>
      <c r="E2541" s="1" t="s">
        <v>892</v>
      </c>
      <c r="F2541" s="1" t="s">
        <v>7407</v>
      </c>
      <c r="G2541" s="39" t="s">
        <v>7382</v>
      </c>
      <c r="H2541" s="1">
        <v>3</v>
      </c>
      <c r="I2541" s="1">
        <v>2</v>
      </c>
      <c r="J2541" s="39" t="s">
        <v>7350</v>
      </c>
      <c r="K2541" s="1">
        <v>2</v>
      </c>
      <c r="L2541" s="1">
        <v>3</v>
      </c>
      <c r="S2541" s="1" t="s">
        <v>7408</v>
      </c>
      <c r="T2541" s="1">
        <v>1</v>
      </c>
      <c r="U2541" s="19"/>
      <c r="V2541" s="19"/>
    </row>
    <row r="2542" spans="1:22" x14ac:dyDescent="0.3">
      <c r="A2542" s="1" t="s">
        <v>7409</v>
      </c>
      <c r="B2542" s="5">
        <v>46221</v>
      </c>
      <c r="C2542" s="6">
        <v>0.3576388888888889</v>
      </c>
      <c r="D2542" s="1" t="s">
        <v>891</v>
      </c>
      <c r="E2542" s="1" t="s">
        <v>892</v>
      </c>
      <c r="F2542" s="1" t="s">
        <v>7410</v>
      </c>
      <c r="G2542" s="39" t="s">
        <v>7350</v>
      </c>
      <c r="H2542" s="1">
        <v>3</v>
      </c>
      <c r="I2542" s="1">
        <v>1</v>
      </c>
      <c r="J2542" s="39" t="s">
        <v>7346</v>
      </c>
      <c r="K2542" s="1">
        <v>1</v>
      </c>
      <c r="L2542" s="1">
        <v>3</v>
      </c>
      <c r="S2542" s="1" t="s">
        <v>7411</v>
      </c>
      <c r="T2542" s="1">
        <v>1</v>
      </c>
      <c r="U2542" s="19"/>
      <c r="V2542" s="19"/>
    </row>
    <row r="2543" spans="1:22" x14ac:dyDescent="0.3">
      <c r="A2543" s="1" t="s">
        <v>7412</v>
      </c>
      <c r="B2543" s="5">
        <v>46207</v>
      </c>
      <c r="C2543" s="6">
        <v>0.3576388888888889</v>
      </c>
      <c r="D2543" s="1" t="s">
        <v>891</v>
      </c>
      <c r="E2543" s="1" t="s">
        <v>892</v>
      </c>
      <c r="F2543" s="1" t="s">
        <v>7413</v>
      </c>
      <c r="G2543" s="39" t="s">
        <v>7350</v>
      </c>
      <c r="H2543" s="1">
        <v>3</v>
      </c>
      <c r="I2543" s="1">
        <v>2</v>
      </c>
      <c r="J2543" s="39" t="s">
        <v>7324</v>
      </c>
      <c r="K2543" s="1">
        <v>2</v>
      </c>
      <c r="L2543" s="1">
        <v>3</v>
      </c>
      <c r="S2543" s="1" t="s">
        <v>7414</v>
      </c>
      <c r="T2543" s="1">
        <v>1</v>
      </c>
      <c r="U2543" s="19"/>
      <c r="V2543" s="19"/>
    </row>
    <row r="2544" spans="1:22" x14ac:dyDescent="0.3">
      <c r="A2544" s="1" t="s">
        <v>7415</v>
      </c>
      <c r="B2544" s="5">
        <v>46201</v>
      </c>
      <c r="C2544" s="6">
        <v>0.33333333333333331</v>
      </c>
      <c r="D2544" s="1" t="s">
        <v>891</v>
      </c>
      <c r="E2544" s="1" t="s">
        <v>892</v>
      </c>
      <c r="F2544" s="1" t="s">
        <v>7416</v>
      </c>
      <c r="G2544" s="39" t="s">
        <v>7350</v>
      </c>
      <c r="H2544" s="1">
        <v>1</v>
      </c>
      <c r="I2544" s="1">
        <v>4</v>
      </c>
      <c r="J2544" s="39" t="s">
        <v>7386</v>
      </c>
      <c r="K2544" s="1">
        <v>4</v>
      </c>
      <c r="L2544" s="1">
        <v>1</v>
      </c>
      <c r="S2544" s="1" t="s">
        <v>7417</v>
      </c>
      <c r="T2544" s="1">
        <v>1</v>
      </c>
      <c r="U2544" s="19"/>
      <c r="V2544" s="19"/>
    </row>
    <row r="2545" spans="1:22" x14ac:dyDescent="0.3">
      <c r="A2545" s="1" t="s">
        <v>7418</v>
      </c>
      <c r="B2545" s="5">
        <v>46173</v>
      </c>
      <c r="C2545" s="6">
        <v>0.33333333333333331</v>
      </c>
      <c r="D2545" s="1" t="s">
        <v>891</v>
      </c>
      <c r="E2545" s="1" t="s">
        <v>892</v>
      </c>
      <c r="F2545" s="1" t="s">
        <v>7419</v>
      </c>
      <c r="G2545" s="39" t="s">
        <v>7358</v>
      </c>
      <c r="H2545" s="1">
        <v>1</v>
      </c>
      <c r="I2545" s="1">
        <v>0</v>
      </c>
      <c r="J2545" s="39" t="s">
        <v>7350</v>
      </c>
      <c r="K2545" s="1">
        <v>0</v>
      </c>
      <c r="L2545" s="1">
        <v>1</v>
      </c>
      <c r="S2545" s="1" t="s">
        <v>7420</v>
      </c>
      <c r="T2545" s="1">
        <v>1</v>
      </c>
      <c r="U2545" s="19"/>
      <c r="V2545" s="19"/>
    </row>
    <row r="2546" spans="1:22" x14ac:dyDescent="0.3">
      <c r="A2546" s="1" t="s">
        <v>7421</v>
      </c>
      <c r="B2546" s="5">
        <v>46161</v>
      </c>
      <c r="C2546" s="6">
        <v>0.3576388888888889</v>
      </c>
      <c r="D2546" s="1" t="s">
        <v>891</v>
      </c>
      <c r="E2546" s="1" t="s">
        <v>892</v>
      </c>
      <c r="F2546" s="1" t="s">
        <v>7422</v>
      </c>
      <c r="G2546" s="39" t="s">
        <v>895</v>
      </c>
      <c r="H2546" s="1">
        <v>1</v>
      </c>
      <c r="I2546" s="1">
        <v>1</v>
      </c>
      <c r="J2546" s="39" t="s">
        <v>7350</v>
      </c>
      <c r="K2546" s="1">
        <v>1</v>
      </c>
      <c r="L2546" s="1">
        <v>1</v>
      </c>
      <c r="S2546" s="1" t="s">
        <v>7423</v>
      </c>
      <c r="T2546" s="1">
        <v>1</v>
      </c>
      <c r="U2546" s="19"/>
      <c r="V2546" s="19"/>
    </row>
    <row r="2547" spans="1:22" x14ac:dyDescent="0.3">
      <c r="A2547" s="1" t="s">
        <v>7424</v>
      </c>
      <c r="B2547" s="5">
        <v>46152</v>
      </c>
      <c r="C2547" s="6">
        <v>0.375</v>
      </c>
      <c r="D2547" s="1" t="s">
        <v>891</v>
      </c>
      <c r="E2547" s="1" t="s">
        <v>892</v>
      </c>
      <c r="F2547" s="1" t="s">
        <v>7425</v>
      </c>
      <c r="G2547" s="39" t="s">
        <v>7339</v>
      </c>
      <c r="H2547" s="1">
        <v>3</v>
      </c>
      <c r="I2547" s="1">
        <v>1</v>
      </c>
      <c r="J2547" s="39" t="s">
        <v>7350</v>
      </c>
      <c r="K2547" s="1">
        <v>1</v>
      </c>
      <c r="L2547" s="1">
        <v>3</v>
      </c>
      <c r="S2547" s="1" t="s">
        <v>7426</v>
      </c>
      <c r="T2547" s="1">
        <v>1</v>
      </c>
      <c r="U2547" s="19"/>
      <c r="V2547" s="19"/>
    </row>
    <row r="2548" spans="1:22" x14ac:dyDescent="0.3">
      <c r="A2548" s="1" t="s">
        <v>7427</v>
      </c>
      <c r="B2548" s="5">
        <v>46148</v>
      </c>
      <c r="C2548" s="6">
        <v>0.3576388888888889</v>
      </c>
      <c r="D2548" s="1" t="s">
        <v>891</v>
      </c>
      <c r="E2548" s="1" t="s">
        <v>892</v>
      </c>
      <c r="F2548" s="1" t="s">
        <v>7428</v>
      </c>
      <c r="G2548" s="39" t="s">
        <v>894</v>
      </c>
      <c r="H2548" s="1">
        <v>3</v>
      </c>
      <c r="I2548" s="1">
        <v>0</v>
      </c>
      <c r="J2548" s="39" t="s">
        <v>7350</v>
      </c>
      <c r="K2548" s="1">
        <v>0</v>
      </c>
      <c r="L2548" s="1">
        <v>3</v>
      </c>
      <c r="S2548" s="1" t="s">
        <v>7429</v>
      </c>
      <c r="T2548" s="1">
        <v>1</v>
      </c>
      <c r="U2548" s="19"/>
      <c r="V2548" s="19"/>
    </row>
    <row r="2549" spans="1:22" x14ac:dyDescent="0.3">
      <c r="A2549" s="1" t="s">
        <v>7430</v>
      </c>
      <c r="B2549" s="5">
        <v>46235</v>
      </c>
      <c r="C2549" s="6">
        <v>0.33333333333333331</v>
      </c>
      <c r="D2549" s="1" t="s">
        <v>891</v>
      </c>
      <c r="E2549" s="1" t="s">
        <v>892</v>
      </c>
      <c r="F2549" s="1" t="s">
        <v>7431</v>
      </c>
      <c r="G2549" s="39" t="s">
        <v>7358</v>
      </c>
      <c r="H2549" s="1">
        <v>3</v>
      </c>
      <c r="I2549" s="1">
        <v>2</v>
      </c>
      <c r="J2549" s="39" t="s">
        <v>7319</v>
      </c>
      <c r="K2549" s="1">
        <v>2</v>
      </c>
      <c r="L2549" s="1">
        <v>3</v>
      </c>
      <c r="S2549" s="1" t="s">
        <v>7432</v>
      </c>
      <c r="T2549" s="1">
        <v>1</v>
      </c>
      <c r="U2549" s="19"/>
      <c r="V2549" s="19"/>
    </row>
    <row r="2550" spans="1:22" x14ac:dyDescent="0.3">
      <c r="A2550" s="1" t="s">
        <v>7433</v>
      </c>
      <c r="B2550" s="5">
        <v>46229</v>
      </c>
      <c r="C2550" s="6">
        <v>0.33333333333333331</v>
      </c>
      <c r="D2550" s="1" t="s">
        <v>891</v>
      </c>
      <c r="E2550" s="1" t="s">
        <v>892</v>
      </c>
      <c r="F2550" s="1" t="s">
        <v>7434</v>
      </c>
      <c r="G2550" s="39" t="s">
        <v>7319</v>
      </c>
      <c r="H2550" s="1">
        <v>4</v>
      </c>
      <c r="I2550" s="1">
        <v>3</v>
      </c>
      <c r="J2550" s="39" t="s">
        <v>895</v>
      </c>
      <c r="K2550" s="1">
        <v>3</v>
      </c>
      <c r="L2550" s="1">
        <v>4</v>
      </c>
      <c r="S2550" s="1" t="s">
        <v>7435</v>
      </c>
      <c r="T2550" s="1">
        <v>1</v>
      </c>
      <c r="U2550" s="19"/>
      <c r="V2550" s="19"/>
    </row>
    <row r="2551" spans="1:22" x14ac:dyDescent="0.3">
      <c r="A2551" s="1" t="s">
        <v>7436</v>
      </c>
      <c r="B2551" s="5">
        <v>46220</v>
      </c>
      <c r="C2551" s="6">
        <v>0.375</v>
      </c>
      <c r="D2551" s="1" t="s">
        <v>891</v>
      </c>
      <c r="E2551" s="1" t="s">
        <v>892</v>
      </c>
      <c r="F2551" s="1" t="s">
        <v>7437</v>
      </c>
      <c r="G2551" s="39" t="s">
        <v>7319</v>
      </c>
      <c r="H2551" s="1">
        <v>2</v>
      </c>
      <c r="I2551" s="1">
        <v>2</v>
      </c>
      <c r="J2551" s="39" t="s">
        <v>7354</v>
      </c>
      <c r="K2551" s="1">
        <v>2</v>
      </c>
      <c r="L2551" s="1">
        <v>2</v>
      </c>
      <c r="S2551" s="1" t="s">
        <v>7438</v>
      </c>
      <c r="T2551" s="1">
        <v>1</v>
      </c>
      <c r="U2551" s="19"/>
      <c r="V2551" s="19"/>
    </row>
    <row r="2552" spans="1:22" x14ac:dyDescent="0.3">
      <c r="A2552" s="1" t="s">
        <v>7439</v>
      </c>
      <c r="B2552" s="5">
        <v>46213</v>
      </c>
      <c r="C2552" s="6">
        <v>0.3576388888888889</v>
      </c>
      <c r="D2552" s="1" t="s">
        <v>891</v>
      </c>
      <c r="E2552" s="1" t="s">
        <v>892</v>
      </c>
      <c r="F2552" s="1" t="s">
        <v>7440</v>
      </c>
      <c r="G2552" s="39" t="s">
        <v>7346</v>
      </c>
      <c r="H2552" s="1">
        <v>4</v>
      </c>
      <c r="I2552" s="1">
        <v>3</v>
      </c>
      <c r="J2552" s="39" t="s">
        <v>7319</v>
      </c>
      <c r="K2552" s="1">
        <v>3</v>
      </c>
      <c r="L2552" s="1">
        <v>4</v>
      </c>
      <c r="S2552" s="1" t="s">
        <v>7441</v>
      </c>
      <c r="T2552" s="1">
        <v>1</v>
      </c>
      <c r="U2552" s="19"/>
      <c r="V2552" s="19"/>
    </row>
    <row r="2553" spans="1:22" x14ac:dyDescent="0.3">
      <c r="A2553" s="1" t="s">
        <v>7442</v>
      </c>
      <c r="B2553" s="5">
        <v>46206</v>
      </c>
      <c r="C2553" s="6">
        <v>0.375</v>
      </c>
      <c r="D2553" s="1" t="s">
        <v>891</v>
      </c>
      <c r="E2553" s="1" t="s">
        <v>892</v>
      </c>
      <c r="F2553" s="1" t="s">
        <v>7443</v>
      </c>
      <c r="G2553" s="39" t="s">
        <v>7319</v>
      </c>
      <c r="H2553" s="1">
        <v>2</v>
      </c>
      <c r="I2553" s="1">
        <v>1</v>
      </c>
      <c r="J2553" s="39" t="s">
        <v>7362</v>
      </c>
      <c r="K2553" s="1">
        <v>1</v>
      </c>
      <c r="L2553" s="1">
        <v>2</v>
      </c>
      <c r="S2553" s="1" t="s">
        <v>7444</v>
      </c>
      <c r="T2553" s="1">
        <v>1</v>
      </c>
      <c r="U2553" s="19"/>
      <c r="V2553" s="19"/>
    </row>
    <row r="2554" spans="1:22" x14ac:dyDescent="0.3">
      <c r="A2554" s="1" t="s">
        <v>7445</v>
      </c>
      <c r="B2554" s="5">
        <v>46199</v>
      </c>
      <c r="C2554" s="6">
        <v>0.3576388888888889</v>
      </c>
      <c r="D2554" s="1" t="s">
        <v>891</v>
      </c>
      <c r="E2554" s="1" t="s">
        <v>892</v>
      </c>
      <c r="F2554" s="1" t="s">
        <v>7446</v>
      </c>
      <c r="G2554" s="39" t="s">
        <v>7339</v>
      </c>
      <c r="H2554" s="1">
        <v>4</v>
      </c>
      <c r="I2554" s="1">
        <v>2</v>
      </c>
      <c r="J2554" s="39" t="s">
        <v>7319</v>
      </c>
      <c r="K2554" s="1">
        <v>2</v>
      </c>
      <c r="L2554" s="1">
        <v>4</v>
      </c>
      <c r="S2554" s="1" t="s">
        <v>7447</v>
      </c>
      <c r="T2554" s="1">
        <v>1</v>
      </c>
      <c r="U2554" s="19"/>
      <c r="V2554" s="19"/>
    </row>
    <row r="2555" spans="1:22" x14ac:dyDescent="0.3">
      <c r="A2555" s="1" t="s">
        <v>7448</v>
      </c>
      <c r="B2555" s="5">
        <v>46173</v>
      </c>
      <c r="C2555" s="6">
        <v>0.3576388888888889</v>
      </c>
      <c r="D2555" s="1" t="s">
        <v>891</v>
      </c>
      <c r="E2555" s="1" t="s">
        <v>892</v>
      </c>
      <c r="F2555" s="1" t="s">
        <v>7449</v>
      </c>
      <c r="G2555" s="39" t="s">
        <v>7324</v>
      </c>
      <c r="H2555" s="1">
        <v>1</v>
      </c>
      <c r="I2555" s="1">
        <v>1</v>
      </c>
      <c r="J2555" s="39" t="s">
        <v>7319</v>
      </c>
      <c r="K2555" s="1">
        <v>1</v>
      </c>
      <c r="L2555" s="1">
        <v>1</v>
      </c>
      <c r="S2555" s="1" t="s">
        <v>7450</v>
      </c>
      <c r="T2555" s="1">
        <v>1</v>
      </c>
      <c r="U2555" s="19"/>
      <c r="V2555" s="19"/>
    </row>
    <row r="2556" spans="1:22" x14ac:dyDescent="0.3">
      <c r="A2556" s="1" t="s">
        <v>7451</v>
      </c>
      <c r="B2556" s="5">
        <v>46162</v>
      </c>
      <c r="C2556" s="6">
        <v>0.375</v>
      </c>
      <c r="D2556" s="1" t="s">
        <v>891</v>
      </c>
      <c r="E2556" s="1" t="s">
        <v>892</v>
      </c>
      <c r="F2556" s="1" t="s">
        <v>7452</v>
      </c>
      <c r="G2556" s="39" t="s">
        <v>7335</v>
      </c>
      <c r="H2556" s="1">
        <v>0</v>
      </c>
      <c r="I2556" s="1">
        <v>0</v>
      </c>
      <c r="J2556" s="39" t="s">
        <v>7319</v>
      </c>
      <c r="K2556" s="1">
        <v>0</v>
      </c>
      <c r="L2556" s="1">
        <v>0</v>
      </c>
      <c r="S2556" s="1" t="s">
        <v>7453</v>
      </c>
      <c r="T2556" s="1">
        <v>1</v>
      </c>
      <c r="U2556" s="19"/>
      <c r="V2556" s="19"/>
    </row>
    <row r="2557" spans="1:22" x14ac:dyDescent="0.3">
      <c r="A2557" s="1" t="s">
        <v>7454</v>
      </c>
      <c r="B2557" s="5">
        <v>46158</v>
      </c>
      <c r="C2557" s="6">
        <v>0.375</v>
      </c>
      <c r="D2557" s="1" t="s">
        <v>891</v>
      </c>
      <c r="E2557" s="1" t="s">
        <v>892</v>
      </c>
      <c r="F2557" s="1" t="s">
        <v>7455</v>
      </c>
      <c r="G2557" s="39" t="s">
        <v>7319</v>
      </c>
      <c r="H2557" s="1">
        <v>1</v>
      </c>
      <c r="I2557" s="1">
        <v>0</v>
      </c>
      <c r="J2557" s="39" t="s">
        <v>7386</v>
      </c>
      <c r="K2557" s="1">
        <v>0</v>
      </c>
      <c r="L2557" s="1">
        <v>1</v>
      </c>
      <c r="S2557" s="1" t="s">
        <v>7456</v>
      </c>
      <c r="T2557" s="1">
        <v>1</v>
      </c>
      <c r="U2557" s="19"/>
      <c r="V2557" s="19"/>
    </row>
    <row r="2558" spans="1:22" x14ac:dyDescent="0.3">
      <c r="A2558" s="1" t="s">
        <v>7457</v>
      </c>
      <c r="B2558" s="5">
        <v>46152</v>
      </c>
      <c r="C2558" s="6">
        <v>0.33333333333333331</v>
      </c>
      <c r="D2558" s="1" t="s">
        <v>891</v>
      </c>
      <c r="E2558" s="1" t="s">
        <v>892</v>
      </c>
      <c r="F2558" s="1" t="s">
        <v>7458</v>
      </c>
      <c r="G2558" s="39" t="s">
        <v>7372</v>
      </c>
      <c r="H2558" s="1">
        <v>1</v>
      </c>
      <c r="I2558" s="1">
        <v>2</v>
      </c>
      <c r="J2558" s="39" t="s">
        <v>7319</v>
      </c>
      <c r="K2558" s="1">
        <v>2</v>
      </c>
      <c r="L2558" s="1">
        <v>1</v>
      </c>
      <c r="S2558" s="1" t="s">
        <v>7459</v>
      </c>
      <c r="T2558" s="1">
        <v>1</v>
      </c>
      <c r="U2558" s="19"/>
      <c r="V2558" s="19"/>
    </row>
    <row r="2559" spans="1:22" x14ac:dyDescent="0.3">
      <c r="A2559" s="1" t="s">
        <v>7460</v>
      </c>
      <c r="B2559" s="102">
        <v>46147</v>
      </c>
      <c r="C2559" s="6">
        <v>0.3576388888888889</v>
      </c>
      <c r="D2559" s="1" t="s">
        <v>891</v>
      </c>
      <c r="E2559" s="1" t="s">
        <v>892</v>
      </c>
      <c r="F2559" s="1" t="s">
        <v>7461</v>
      </c>
      <c r="G2559" s="39" t="s">
        <v>7346</v>
      </c>
      <c r="H2559" s="1">
        <v>4</v>
      </c>
      <c r="I2559" s="1">
        <v>1</v>
      </c>
      <c r="J2559" s="39" t="s">
        <v>7386</v>
      </c>
      <c r="K2559" s="1">
        <v>1</v>
      </c>
      <c r="L2559" s="1">
        <v>4</v>
      </c>
      <c r="S2559" s="1" t="s">
        <v>7462</v>
      </c>
      <c r="T2559" s="1">
        <v>1</v>
      </c>
      <c r="U2559" s="19"/>
      <c r="V2559" s="19"/>
    </row>
    <row r="2560" spans="1:22" x14ac:dyDescent="0.3">
      <c r="A2560" s="1" t="s">
        <v>7463</v>
      </c>
      <c r="B2560" s="102">
        <v>46147</v>
      </c>
      <c r="C2560" s="6">
        <v>0.375</v>
      </c>
      <c r="D2560" s="1" t="s">
        <v>891</v>
      </c>
      <c r="E2560" s="1" t="s">
        <v>892</v>
      </c>
      <c r="F2560" s="1" t="s">
        <v>7464</v>
      </c>
      <c r="G2560" s="39" t="s">
        <v>7335</v>
      </c>
      <c r="H2560" s="1">
        <v>1</v>
      </c>
      <c r="I2560" s="1">
        <v>1</v>
      </c>
      <c r="J2560" s="39" t="s">
        <v>7362</v>
      </c>
      <c r="K2560" s="1">
        <v>1</v>
      </c>
      <c r="L2560" s="1">
        <v>1</v>
      </c>
      <c r="S2560" s="1" t="s">
        <v>7465</v>
      </c>
      <c r="T2560" s="1">
        <v>1</v>
      </c>
      <c r="U2560" s="19"/>
      <c r="V2560" s="19"/>
    </row>
    <row r="2561" spans="1:22" x14ac:dyDescent="0.3">
      <c r="A2561" s="1" t="s">
        <v>7466</v>
      </c>
      <c r="B2561" s="102">
        <v>46148</v>
      </c>
      <c r="C2561" s="6">
        <v>0.375</v>
      </c>
      <c r="D2561" s="1" t="s">
        <v>891</v>
      </c>
      <c r="E2561" s="1" t="s">
        <v>892</v>
      </c>
      <c r="F2561" s="1" t="s">
        <v>7467</v>
      </c>
      <c r="G2561" s="39" t="s">
        <v>7319</v>
      </c>
      <c r="H2561" s="1">
        <v>1</v>
      </c>
      <c r="I2561" s="1">
        <v>2</v>
      </c>
      <c r="J2561" s="39" t="s">
        <v>7382</v>
      </c>
      <c r="K2561" s="1">
        <v>2</v>
      </c>
      <c r="L2561" s="1">
        <v>1</v>
      </c>
      <c r="S2561" s="1" t="s">
        <v>7468</v>
      </c>
      <c r="T2561" s="1">
        <v>1</v>
      </c>
      <c r="U2561" s="19"/>
      <c r="V2561" s="19"/>
    </row>
    <row r="2562" spans="1:22" x14ac:dyDescent="0.3">
      <c r="A2562" s="1" t="s">
        <v>7469</v>
      </c>
      <c r="B2562" s="102">
        <v>46151</v>
      </c>
      <c r="C2562" s="6">
        <v>0.3576388888888889</v>
      </c>
      <c r="D2562" s="1" t="s">
        <v>891</v>
      </c>
      <c r="E2562" s="1" t="s">
        <v>892</v>
      </c>
      <c r="F2562" s="1" t="s">
        <v>7470</v>
      </c>
      <c r="G2562" s="39" t="s">
        <v>7386</v>
      </c>
      <c r="H2562" s="1">
        <v>2</v>
      </c>
      <c r="I2562" s="1">
        <v>2</v>
      </c>
      <c r="J2562" s="39" t="s">
        <v>7335</v>
      </c>
      <c r="K2562" s="1">
        <v>2</v>
      </c>
      <c r="L2562" s="1">
        <v>2</v>
      </c>
      <c r="S2562" s="1" t="s">
        <v>7471</v>
      </c>
      <c r="T2562" s="1">
        <v>1</v>
      </c>
      <c r="U2562" s="19"/>
      <c r="V2562" s="19"/>
    </row>
    <row r="2563" spans="1:22" x14ac:dyDescent="0.3">
      <c r="A2563" s="1" t="s">
        <v>7472</v>
      </c>
      <c r="B2563" s="102">
        <v>46152</v>
      </c>
      <c r="C2563" s="6">
        <v>0.29166666666666669</v>
      </c>
      <c r="D2563" s="1" t="s">
        <v>891</v>
      </c>
      <c r="E2563" s="1" t="s">
        <v>892</v>
      </c>
      <c r="F2563" s="1" t="s">
        <v>7473</v>
      </c>
      <c r="G2563" s="39" t="s">
        <v>895</v>
      </c>
      <c r="H2563" s="1">
        <v>1</v>
      </c>
      <c r="I2563" s="1">
        <v>2</v>
      </c>
      <c r="J2563" s="39" t="s">
        <v>7346</v>
      </c>
      <c r="K2563" s="1">
        <v>2</v>
      </c>
      <c r="L2563" s="1">
        <v>1</v>
      </c>
      <c r="S2563" s="1" t="s">
        <v>7474</v>
      </c>
      <c r="T2563" s="1">
        <v>1</v>
      </c>
      <c r="U2563" s="19"/>
      <c r="V2563" s="19"/>
    </row>
    <row r="2564" spans="1:22" x14ac:dyDescent="0.3">
      <c r="A2564" s="1" t="s">
        <v>7475</v>
      </c>
      <c r="B2564" s="102">
        <v>46152</v>
      </c>
      <c r="C2564" s="6">
        <v>0.3576388888888889</v>
      </c>
      <c r="D2564" s="1" t="s">
        <v>891</v>
      </c>
      <c r="E2564" s="1" t="s">
        <v>892</v>
      </c>
      <c r="F2564" s="1" t="s">
        <v>7476</v>
      </c>
      <c r="G2564" s="39" t="s">
        <v>7382</v>
      </c>
      <c r="H2564" s="1">
        <v>1</v>
      </c>
      <c r="I2564" s="1">
        <v>1</v>
      </c>
      <c r="J2564" s="39" t="s">
        <v>7358</v>
      </c>
      <c r="K2564" s="1">
        <v>1</v>
      </c>
      <c r="L2564" s="1">
        <v>1</v>
      </c>
      <c r="S2564" s="1" t="s">
        <v>7477</v>
      </c>
      <c r="T2564" s="1">
        <v>1</v>
      </c>
      <c r="U2564" s="19"/>
      <c r="V2564" s="19"/>
    </row>
    <row r="2565" spans="1:22" x14ac:dyDescent="0.3">
      <c r="A2565" s="1" t="s">
        <v>7478</v>
      </c>
      <c r="B2565" s="102">
        <v>46152</v>
      </c>
      <c r="C2565" s="6">
        <v>0.3576388888888889</v>
      </c>
      <c r="D2565" s="1" t="s">
        <v>891</v>
      </c>
      <c r="E2565" s="1" t="s">
        <v>892</v>
      </c>
      <c r="F2565" s="1" t="s">
        <v>7479</v>
      </c>
      <c r="G2565" s="39" t="s">
        <v>894</v>
      </c>
      <c r="H2565" s="1">
        <v>2</v>
      </c>
      <c r="I2565" s="1">
        <v>2</v>
      </c>
      <c r="J2565" s="39" t="s">
        <v>7354</v>
      </c>
      <c r="K2565" s="1">
        <v>2</v>
      </c>
      <c r="L2565" s="1">
        <v>2</v>
      </c>
      <c r="S2565" s="1" t="s">
        <v>7480</v>
      </c>
      <c r="T2565" s="1">
        <v>1</v>
      </c>
      <c r="U2565" s="19"/>
      <c r="V2565" s="19"/>
    </row>
    <row r="2566" spans="1:22" x14ac:dyDescent="0.3">
      <c r="A2566" s="1" t="s">
        <v>7481</v>
      </c>
      <c r="B2566" s="102">
        <v>46157</v>
      </c>
      <c r="C2566" s="6">
        <v>0.3576388888888889</v>
      </c>
      <c r="D2566" s="1" t="s">
        <v>891</v>
      </c>
      <c r="E2566" s="1" t="s">
        <v>892</v>
      </c>
      <c r="F2566" s="1" t="s">
        <v>7482</v>
      </c>
      <c r="G2566" s="39" t="s">
        <v>7354</v>
      </c>
      <c r="H2566" s="1">
        <v>2</v>
      </c>
      <c r="I2566" s="1">
        <v>2</v>
      </c>
      <c r="J2566" s="39" t="s">
        <v>7382</v>
      </c>
      <c r="K2566" s="1">
        <v>2</v>
      </c>
      <c r="L2566" s="1">
        <v>2</v>
      </c>
      <c r="S2566" s="1" t="s">
        <v>7483</v>
      </c>
      <c r="T2566" s="1">
        <v>1</v>
      </c>
      <c r="U2566" s="19"/>
      <c r="V2566" s="19"/>
    </row>
    <row r="2567" spans="1:22" x14ac:dyDescent="0.3">
      <c r="A2567" s="1" t="s">
        <v>7484</v>
      </c>
      <c r="B2567" s="102">
        <v>46157</v>
      </c>
      <c r="C2567" s="6">
        <v>0.375</v>
      </c>
      <c r="D2567" s="1" t="s">
        <v>891</v>
      </c>
      <c r="E2567" s="1" t="s">
        <v>892</v>
      </c>
      <c r="F2567" s="1" t="s">
        <v>7485</v>
      </c>
      <c r="G2567" s="39" t="s">
        <v>894</v>
      </c>
      <c r="H2567" s="1">
        <v>4</v>
      </c>
      <c r="I2567" s="1">
        <v>2</v>
      </c>
      <c r="J2567" s="39" t="s">
        <v>7339</v>
      </c>
      <c r="K2567" s="1">
        <v>2</v>
      </c>
      <c r="L2567" s="1">
        <v>4</v>
      </c>
      <c r="S2567" s="1" t="s">
        <v>7486</v>
      </c>
      <c r="T2567" s="1">
        <v>1</v>
      </c>
      <c r="U2567" s="19"/>
      <c r="V2567" s="19"/>
    </row>
    <row r="2568" spans="1:22" x14ac:dyDescent="0.3">
      <c r="A2568" s="1" t="s">
        <v>7487</v>
      </c>
      <c r="B2568" s="102">
        <v>46158</v>
      </c>
      <c r="C2568" s="6">
        <v>0.3576388888888889</v>
      </c>
      <c r="D2568" s="1" t="s">
        <v>891</v>
      </c>
      <c r="E2568" s="1" t="s">
        <v>892</v>
      </c>
      <c r="F2568" s="1" t="s">
        <v>7488</v>
      </c>
      <c r="G2568" s="39" t="s">
        <v>7346</v>
      </c>
      <c r="H2568" s="1">
        <v>3</v>
      </c>
      <c r="I2568" s="1">
        <v>1</v>
      </c>
      <c r="J2568" s="39" t="s">
        <v>7335</v>
      </c>
      <c r="K2568" s="1">
        <v>1</v>
      </c>
      <c r="L2568" s="1">
        <v>3</v>
      </c>
      <c r="S2568" s="1" t="s">
        <v>7489</v>
      </c>
      <c r="T2568" s="1">
        <v>1</v>
      </c>
      <c r="U2568" s="19"/>
      <c r="V2568" s="19"/>
    </row>
    <row r="2569" spans="1:22" x14ac:dyDescent="0.3">
      <c r="A2569" s="1" t="s">
        <v>7490</v>
      </c>
      <c r="B2569" s="102">
        <v>46162</v>
      </c>
      <c r="C2569" s="6">
        <v>0.375</v>
      </c>
      <c r="D2569" s="1" t="s">
        <v>891</v>
      </c>
      <c r="E2569" s="1" t="s">
        <v>892</v>
      </c>
      <c r="F2569" s="1" t="s">
        <v>7491</v>
      </c>
      <c r="G2569" s="39" t="s">
        <v>7382</v>
      </c>
      <c r="H2569" s="1">
        <v>4</v>
      </c>
      <c r="I2569" s="1">
        <v>1</v>
      </c>
      <c r="J2569" s="39" t="s">
        <v>7346</v>
      </c>
      <c r="K2569" s="1">
        <v>1</v>
      </c>
      <c r="L2569" s="1">
        <v>4</v>
      </c>
      <c r="S2569" s="1" t="s">
        <v>7492</v>
      </c>
      <c r="T2569" s="1">
        <v>1</v>
      </c>
      <c r="U2569" s="19"/>
      <c r="V2569" s="19"/>
    </row>
    <row r="2570" spans="1:22" x14ac:dyDescent="0.3">
      <c r="A2570" s="1" t="s">
        <v>7493</v>
      </c>
      <c r="B2570" s="102">
        <v>46165</v>
      </c>
      <c r="C2570" s="6">
        <v>0.3576388888888889</v>
      </c>
      <c r="D2570" s="1" t="s">
        <v>891</v>
      </c>
      <c r="E2570" s="1" t="s">
        <v>892</v>
      </c>
      <c r="F2570" s="1" t="s">
        <v>7494</v>
      </c>
      <c r="G2570" s="39" t="s">
        <v>894</v>
      </c>
      <c r="H2570" s="1">
        <v>1</v>
      </c>
      <c r="I2570" s="1">
        <v>2</v>
      </c>
      <c r="J2570" s="39" t="s">
        <v>7362</v>
      </c>
      <c r="K2570" s="1">
        <v>2</v>
      </c>
      <c r="L2570" s="1">
        <v>1</v>
      </c>
      <c r="S2570" s="1" t="s">
        <v>7495</v>
      </c>
      <c r="T2570" s="1">
        <v>1</v>
      </c>
      <c r="U2570" s="19"/>
      <c r="V2570" s="19"/>
    </row>
    <row r="2571" spans="1:22" x14ac:dyDescent="0.3">
      <c r="A2571" s="1" t="s">
        <v>7496</v>
      </c>
      <c r="B2571" s="102">
        <v>46166</v>
      </c>
      <c r="C2571" s="6">
        <v>0.25</v>
      </c>
      <c r="D2571" s="1" t="s">
        <v>891</v>
      </c>
      <c r="E2571" s="1" t="s">
        <v>892</v>
      </c>
      <c r="F2571" s="1" t="s">
        <v>7497</v>
      </c>
      <c r="G2571" s="39" t="s">
        <v>7339</v>
      </c>
      <c r="H2571" s="1">
        <v>0</v>
      </c>
      <c r="I2571" s="1">
        <v>1</v>
      </c>
      <c r="J2571" s="39" t="s">
        <v>7335</v>
      </c>
      <c r="K2571" s="1">
        <v>1</v>
      </c>
      <c r="L2571" s="1">
        <v>0</v>
      </c>
      <c r="S2571" s="1" t="s">
        <v>7498</v>
      </c>
      <c r="T2571" s="1">
        <v>1</v>
      </c>
      <c r="U2571" s="19"/>
      <c r="V2571" s="19"/>
    </row>
    <row r="2572" spans="1:22" x14ac:dyDescent="0.3">
      <c r="A2572" s="1" t="s">
        <v>7499</v>
      </c>
      <c r="B2572" s="102">
        <v>46166</v>
      </c>
      <c r="C2572" s="6">
        <v>0.3576388888888889</v>
      </c>
      <c r="D2572" s="1" t="s">
        <v>891</v>
      </c>
      <c r="E2572" s="1" t="s">
        <v>892</v>
      </c>
      <c r="F2572" s="1" t="s">
        <v>7500</v>
      </c>
      <c r="G2572" s="39" t="s">
        <v>7382</v>
      </c>
      <c r="H2572" s="1">
        <v>0</v>
      </c>
      <c r="I2572" s="1">
        <v>5</v>
      </c>
      <c r="J2572" s="39" t="s">
        <v>7372</v>
      </c>
      <c r="K2572" s="1">
        <v>5</v>
      </c>
      <c r="L2572" s="1">
        <v>0</v>
      </c>
      <c r="S2572" s="1" t="s">
        <v>7501</v>
      </c>
      <c r="T2572" s="1">
        <v>1</v>
      </c>
      <c r="U2572" s="19"/>
      <c r="V2572" s="19"/>
    </row>
    <row r="2573" spans="1:22" x14ac:dyDescent="0.3">
      <c r="A2573" s="1" t="s">
        <v>7502</v>
      </c>
      <c r="B2573" s="102">
        <v>46166</v>
      </c>
      <c r="C2573" s="6">
        <v>0.3576388888888889</v>
      </c>
      <c r="D2573" s="1" t="s">
        <v>891</v>
      </c>
      <c r="E2573" s="1" t="s">
        <v>892</v>
      </c>
      <c r="F2573" s="1" t="s">
        <v>7503</v>
      </c>
      <c r="G2573" s="39" t="s">
        <v>7346</v>
      </c>
      <c r="H2573" s="1">
        <v>3</v>
      </c>
      <c r="I2573" s="1">
        <v>3</v>
      </c>
      <c r="J2573" s="39" t="s">
        <v>7324</v>
      </c>
      <c r="K2573" s="1">
        <v>3</v>
      </c>
      <c r="L2573" s="1">
        <v>3</v>
      </c>
      <c r="S2573" s="1" t="s">
        <v>7504</v>
      </c>
      <c r="T2573" s="1">
        <v>1</v>
      </c>
      <c r="U2573" s="19"/>
      <c r="V2573" s="19"/>
    </row>
    <row r="2574" spans="1:22" x14ac:dyDescent="0.3">
      <c r="A2574" s="1" t="s">
        <v>7505</v>
      </c>
      <c r="B2574" s="102">
        <v>46172</v>
      </c>
      <c r="C2574" s="6">
        <v>0.33333333333333331</v>
      </c>
      <c r="D2574" s="1" t="s">
        <v>891</v>
      </c>
      <c r="E2574" s="1" t="s">
        <v>892</v>
      </c>
      <c r="F2574" s="1" t="s">
        <v>7506</v>
      </c>
      <c r="G2574" s="39" t="s">
        <v>7362</v>
      </c>
      <c r="H2574" s="1">
        <v>0</v>
      </c>
      <c r="I2574" s="1">
        <v>2</v>
      </c>
      <c r="J2574" s="39" t="s">
        <v>7382</v>
      </c>
      <c r="K2574" s="1">
        <v>2</v>
      </c>
      <c r="L2574" s="1">
        <v>0</v>
      </c>
      <c r="S2574" s="1" t="s">
        <v>7507</v>
      </c>
      <c r="T2574" s="1">
        <v>1</v>
      </c>
      <c r="U2574" s="19"/>
      <c r="V2574" s="19"/>
    </row>
    <row r="2575" spans="1:22" x14ac:dyDescent="0.3">
      <c r="A2575" s="1" t="s">
        <v>7508</v>
      </c>
      <c r="B2575" s="102">
        <v>46172</v>
      </c>
      <c r="C2575" s="6">
        <v>0.375</v>
      </c>
      <c r="D2575" s="1" t="s">
        <v>891</v>
      </c>
      <c r="E2575" s="1" t="s">
        <v>892</v>
      </c>
      <c r="F2575" s="1" t="s">
        <v>7509</v>
      </c>
      <c r="G2575" s="39" t="s">
        <v>7335</v>
      </c>
      <c r="H2575" s="1">
        <v>2</v>
      </c>
      <c r="I2575" s="1">
        <v>3</v>
      </c>
      <c r="J2575" s="39" t="s">
        <v>894</v>
      </c>
      <c r="K2575" s="1">
        <v>3</v>
      </c>
      <c r="L2575" s="1">
        <v>2</v>
      </c>
      <c r="S2575" s="1" t="s">
        <v>7510</v>
      </c>
      <c r="T2575" s="1">
        <v>1</v>
      </c>
      <c r="U2575" s="19"/>
      <c r="V2575" s="19"/>
    </row>
    <row r="2576" spans="1:22" x14ac:dyDescent="0.3">
      <c r="A2576" s="1" t="s">
        <v>7511</v>
      </c>
      <c r="B2576" s="102">
        <v>46200</v>
      </c>
      <c r="C2576" s="6">
        <v>0.33333333333333331</v>
      </c>
      <c r="D2576" s="1" t="s">
        <v>891</v>
      </c>
      <c r="E2576" s="1" t="s">
        <v>892</v>
      </c>
      <c r="F2576" s="1" t="s">
        <v>7512</v>
      </c>
      <c r="G2576" s="39" t="s">
        <v>7372</v>
      </c>
      <c r="H2576" s="1">
        <v>1</v>
      </c>
      <c r="I2576" s="1">
        <v>5</v>
      </c>
      <c r="J2576" s="39" t="s">
        <v>7346</v>
      </c>
      <c r="K2576" s="1">
        <v>5</v>
      </c>
      <c r="L2576" s="1">
        <v>1</v>
      </c>
      <c r="S2576" s="1" t="s">
        <v>7513</v>
      </c>
      <c r="T2576" s="1">
        <v>1</v>
      </c>
      <c r="U2576" s="19"/>
      <c r="V2576" s="19"/>
    </row>
    <row r="2577" spans="1:22" x14ac:dyDescent="0.3">
      <c r="A2577" s="1" t="s">
        <v>7514</v>
      </c>
      <c r="B2577" s="102">
        <v>46200</v>
      </c>
      <c r="C2577" s="6">
        <v>0.375</v>
      </c>
      <c r="D2577" s="1" t="s">
        <v>891</v>
      </c>
      <c r="E2577" s="1" t="s">
        <v>892</v>
      </c>
      <c r="F2577" s="1" t="s">
        <v>7515</v>
      </c>
      <c r="G2577" s="39" t="s">
        <v>7335</v>
      </c>
      <c r="H2577" s="1">
        <v>1</v>
      </c>
      <c r="I2577" s="1">
        <v>0</v>
      </c>
      <c r="J2577" s="39" t="s">
        <v>7358</v>
      </c>
      <c r="K2577" s="1">
        <v>0</v>
      </c>
      <c r="L2577" s="1">
        <v>1</v>
      </c>
      <c r="S2577" s="1" t="s">
        <v>7516</v>
      </c>
      <c r="T2577" s="1">
        <v>1</v>
      </c>
      <c r="U2577" s="19"/>
      <c r="V2577" s="19"/>
    </row>
    <row r="2578" spans="1:22" x14ac:dyDescent="0.3">
      <c r="A2578" s="1" t="s">
        <v>7517</v>
      </c>
      <c r="B2578" s="102">
        <v>46200</v>
      </c>
      <c r="C2578" s="6">
        <v>0.375</v>
      </c>
      <c r="D2578" s="1" t="s">
        <v>891</v>
      </c>
      <c r="E2578" s="1" t="s">
        <v>892</v>
      </c>
      <c r="F2578" s="1" t="s">
        <v>7518</v>
      </c>
      <c r="G2578" s="39" t="s">
        <v>894</v>
      </c>
      <c r="H2578" s="1">
        <v>1</v>
      </c>
      <c r="I2578" s="1">
        <v>0</v>
      </c>
      <c r="J2578" s="39" t="s">
        <v>7324</v>
      </c>
      <c r="K2578" s="1">
        <v>0</v>
      </c>
      <c r="L2578" s="1">
        <v>1</v>
      </c>
      <c r="S2578" s="1" t="s">
        <v>7519</v>
      </c>
      <c r="T2578" s="1">
        <v>1</v>
      </c>
      <c r="U2578" s="19"/>
      <c r="V2578" s="19"/>
    </row>
    <row r="2579" spans="1:22" x14ac:dyDescent="0.3">
      <c r="A2579" s="1" t="s">
        <v>7520</v>
      </c>
      <c r="B2579" s="102">
        <v>46207</v>
      </c>
      <c r="C2579" s="6">
        <v>0.33333333333333331</v>
      </c>
      <c r="D2579" s="1" t="s">
        <v>891</v>
      </c>
      <c r="E2579" s="1" t="s">
        <v>892</v>
      </c>
      <c r="F2579" s="1" t="s">
        <v>7521</v>
      </c>
      <c r="G2579" s="39" t="s">
        <v>7372</v>
      </c>
      <c r="H2579" s="1">
        <v>3</v>
      </c>
      <c r="I2579" s="1">
        <v>1</v>
      </c>
      <c r="J2579" s="39" t="s">
        <v>7335</v>
      </c>
      <c r="K2579" s="1">
        <v>1</v>
      </c>
      <c r="L2579" s="1">
        <v>3</v>
      </c>
      <c r="S2579" s="1" t="s">
        <v>7522</v>
      </c>
      <c r="T2579" s="1">
        <v>1</v>
      </c>
      <c r="U2579" s="19"/>
      <c r="V2579" s="19"/>
    </row>
    <row r="2580" spans="1:22" x14ac:dyDescent="0.3">
      <c r="A2580" s="1" t="s">
        <v>7523</v>
      </c>
      <c r="B2580" s="102">
        <v>46207</v>
      </c>
      <c r="C2580" s="6">
        <v>0.3576388888888889</v>
      </c>
      <c r="D2580" s="1" t="s">
        <v>891</v>
      </c>
      <c r="E2580" s="1" t="s">
        <v>892</v>
      </c>
      <c r="F2580" s="1" t="s">
        <v>7524</v>
      </c>
      <c r="G2580" s="39" t="s">
        <v>894</v>
      </c>
      <c r="H2580" s="1">
        <v>2</v>
      </c>
      <c r="I2580" s="1">
        <v>0</v>
      </c>
      <c r="J2580" s="39" t="s">
        <v>7346</v>
      </c>
      <c r="K2580" s="1">
        <v>0</v>
      </c>
      <c r="L2580" s="1">
        <v>2</v>
      </c>
      <c r="S2580" s="1" t="s">
        <v>7525</v>
      </c>
      <c r="T2580" s="1">
        <v>1</v>
      </c>
      <c r="U2580" s="19"/>
      <c r="V2580" s="19"/>
    </row>
    <row r="2581" spans="1:22" x14ac:dyDescent="0.3">
      <c r="A2581" s="1" t="s">
        <v>7526</v>
      </c>
      <c r="B2581" s="102">
        <v>46208</v>
      </c>
      <c r="C2581" s="6">
        <v>0.3576388888888889</v>
      </c>
      <c r="D2581" s="1" t="s">
        <v>891</v>
      </c>
      <c r="E2581" s="1" t="s">
        <v>892</v>
      </c>
      <c r="F2581" s="1" t="s">
        <v>7527</v>
      </c>
      <c r="G2581" s="39" t="s">
        <v>7386</v>
      </c>
      <c r="H2581" s="1">
        <v>3</v>
      </c>
      <c r="I2581" s="1">
        <v>2</v>
      </c>
      <c r="J2581" s="39" t="s">
        <v>7382</v>
      </c>
      <c r="K2581" s="1">
        <v>2</v>
      </c>
      <c r="L2581" s="1">
        <v>3</v>
      </c>
      <c r="S2581" s="1" t="s">
        <v>7528</v>
      </c>
      <c r="T2581" s="1">
        <v>1</v>
      </c>
      <c r="U2581" s="19"/>
      <c r="V2581" s="19"/>
    </row>
    <row r="2582" spans="1:22" x14ac:dyDescent="0.3">
      <c r="A2582" s="1" t="s">
        <v>7529</v>
      </c>
      <c r="B2582" s="102">
        <v>46217</v>
      </c>
      <c r="C2582" s="6">
        <v>0.3576388888888889</v>
      </c>
      <c r="D2582" s="1" t="s">
        <v>891</v>
      </c>
      <c r="E2582" s="1" t="s">
        <v>892</v>
      </c>
      <c r="F2582" s="1" t="s">
        <v>7530</v>
      </c>
      <c r="G2582" s="39" t="s">
        <v>7382</v>
      </c>
      <c r="H2582" s="1">
        <v>3</v>
      </c>
      <c r="I2582" s="1">
        <v>2</v>
      </c>
      <c r="J2582" s="39" t="s">
        <v>7339</v>
      </c>
      <c r="K2582" s="1">
        <v>2</v>
      </c>
      <c r="L2582" s="1">
        <v>3</v>
      </c>
      <c r="S2582" s="1" t="s">
        <v>7531</v>
      </c>
      <c r="T2582" s="1">
        <v>1</v>
      </c>
      <c r="U2582" s="19"/>
      <c r="V2582" s="19"/>
    </row>
    <row r="2583" spans="1:22" x14ac:dyDescent="0.3">
      <c r="A2583" s="1" t="s">
        <v>7532</v>
      </c>
      <c r="B2583" s="102">
        <v>46220</v>
      </c>
      <c r="C2583" s="6">
        <v>0.3576388888888889</v>
      </c>
      <c r="D2583" s="1" t="s">
        <v>891</v>
      </c>
      <c r="E2583" s="1" t="s">
        <v>892</v>
      </c>
      <c r="F2583" s="1" t="s">
        <v>7533</v>
      </c>
      <c r="G2583" s="39" t="s">
        <v>894</v>
      </c>
      <c r="H2583" s="1">
        <v>1</v>
      </c>
      <c r="I2583" s="1">
        <v>1</v>
      </c>
      <c r="J2583" s="39" t="s">
        <v>7372</v>
      </c>
      <c r="K2583" s="1">
        <v>1</v>
      </c>
      <c r="L2583" s="1">
        <v>1</v>
      </c>
      <c r="S2583" s="1" t="s">
        <v>7534</v>
      </c>
      <c r="T2583" s="1">
        <v>1</v>
      </c>
      <c r="U2583" s="19"/>
      <c r="V2583" s="19"/>
    </row>
    <row r="2584" spans="1:22" x14ac:dyDescent="0.3">
      <c r="A2584" s="1" t="s">
        <v>7535</v>
      </c>
      <c r="B2584" s="102">
        <v>46221</v>
      </c>
      <c r="C2584" s="6">
        <v>0.33333333333333331</v>
      </c>
      <c r="D2584" s="1" t="s">
        <v>891</v>
      </c>
      <c r="E2584" s="1" t="s">
        <v>892</v>
      </c>
      <c r="F2584" s="1" t="s">
        <v>7536</v>
      </c>
      <c r="G2584" s="39" t="s">
        <v>7335</v>
      </c>
      <c r="H2584" s="1">
        <v>1</v>
      </c>
      <c r="I2584" s="1">
        <v>1</v>
      </c>
      <c r="J2584" s="39" t="s">
        <v>7382</v>
      </c>
      <c r="K2584" s="1">
        <v>1</v>
      </c>
      <c r="L2584" s="1">
        <v>1</v>
      </c>
      <c r="S2584" s="1" t="s">
        <v>7537</v>
      </c>
      <c r="T2584" s="1">
        <v>1</v>
      </c>
      <c r="U2584" s="19"/>
      <c r="V2584" s="19"/>
    </row>
    <row r="2585" spans="1:22" x14ac:dyDescent="0.3">
      <c r="A2585" s="1" t="s">
        <v>7538</v>
      </c>
      <c r="B2585" s="102">
        <v>46228</v>
      </c>
      <c r="C2585" s="6">
        <v>0.375</v>
      </c>
      <c r="D2585" s="1" t="s">
        <v>891</v>
      </c>
      <c r="E2585" s="1" t="s">
        <v>892</v>
      </c>
      <c r="F2585" s="1" t="s">
        <v>7539</v>
      </c>
      <c r="G2585" s="39" t="s">
        <v>7324</v>
      </c>
      <c r="H2585" s="1">
        <v>1</v>
      </c>
      <c r="I2585" s="1">
        <v>0</v>
      </c>
      <c r="J2585" s="39" t="s">
        <v>7335</v>
      </c>
      <c r="K2585" s="1">
        <v>0</v>
      </c>
      <c r="L2585" s="1">
        <v>1</v>
      </c>
      <c r="S2585" s="1" t="s">
        <v>7540</v>
      </c>
      <c r="T2585" s="1">
        <v>1</v>
      </c>
      <c r="U2585" s="19"/>
      <c r="V2585" s="19"/>
    </row>
    <row r="2586" spans="1:22" x14ac:dyDescent="0.3">
      <c r="A2586" s="1" t="s">
        <v>7541</v>
      </c>
      <c r="B2586" s="102">
        <v>46229</v>
      </c>
      <c r="C2586" s="6">
        <v>0.3576388888888889</v>
      </c>
      <c r="D2586" s="1" t="s">
        <v>891</v>
      </c>
      <c r="E2586" s="1" t="s">
        <v>892</v>
      </c>
      <c r="F2586" s="1" t="s">
        <v>7542</v>
      </c>
      <c r="G2586" s="39" t="s">
        <v>7346</v>
      </c>
      <c r="H2586" s="1">
        <v>1</v>
      </c>
      <c r="I2586" s="1">
        <v>2</v>
      </c>
      <c r="J2586" s="39" t="s">
        <v>7362</v>
      </c>
      <c r="K2586" s="1">
        <v>2</v>
      </c>
      <c r="L2586" s="1">
        <v>1</v>
      </c>
      <c r="S2586" s="1" t="s">
        <v>7543</v>
      </c>
      <c r="T2586" s="1">
        <v>1</v>
      </c>
      <c r="U2586" s="19"/>
      <c r="V2586" s="19"/>
    </row>
    <row r="2587" spans="1:22" x14ac:dyDescent="0.3">
      <c r="A2587" s="1" t="s">
        <v>7544</v>
      </c>
      <c r="B2587" s="102">
        <v>46235</v>
      </c>
      <c r="C2587" s="6">
        <v>0.3576388888888889</v>
      </c>
      <c r="D2587" s="1" t="s">
        <v>891</v>
      </c>
      <c r="E2587" s="1" t="s">
        <v>892</v>
      </c>
      <c r="F2587" s="1" t="s">
        <v>7545</v>
      </c>
      <c r="G2587" s="39" t="s">
        <v>894</v>
      </c>
      <c r="H2587" s="1">
        <v>2</v>
      </c>
      <c r="I2587" s="1">
        <v>1</v>
      </c>
      <c r="J2587" s="39" t="s">
        <v>7382</v>
      </c>
      <c r="K2587" s="1">
        <v>1</v>
      </c>
      <c r="L2587" s="1">
        <v>2</v>
      </c>
      <c r="S2587" s="1" t="s">
        <v>7546</v>
      </c>
      <c r="T2587" s="1">
        <v>1</v>
      </c>
      <c r="U2587" s="19"/>
      <c r="V2587" s="19"/>
    </row>
    <row r="2588" spans="1:22" x14ac:dyDescent="0.3">
      <c r="A2588" s="1" t="s">
        <v>7547</v>
      </c>
      <c r="B2588" s="102">
        <v>46235</v>
      </c>
      <c r="C2588" s="6">
        <v>0.3576388888888889</v>
      </c>
      <c r="D2588" s="1" t="s">
        <v>891</v>
      </c>
      <c r="E2588" s="1" t="s">
        <v>892</v>
      </c>
      <c r="F2588" s="1" t="s">
        <v>7548</v>
      </c>
      <c r="G2588" s="39" t="s">
        <v>7354</v>
      </c>
      <c r="H2588" s="1">
        <v>0</v>
      </c>
      <c r="I2588" s="1">
        <v>1</v>
      </c>
      <c r="J2588" s="39" t="s">
        <v>7346</v>
      </c>
      <c r="K2588" s="1">
        <v>1</v>
      </c>
      <c r="L2588" s="1">
        <v>0</v>
      </c>
      <c r="S2588" s="1" t="s">
        <v>7549</v>
      </c>
      <c r="T2588" s="1">
        <v>1</v>
      </c>
      <c r="U2588" s="19"/>
      <c r="V2588" s="19"/>
    </row>
    <row r="2589" spans="1:22" x14ac:dyDescent="0.3">
      <c r="A2589" s="1" t="s">
        <v>7550</v>
      </c>
      <c r="B2589" s="102">
        <v>46236</v>
      </c>
      <c r="C2589" s="6">
        <v>0.375</v>
      </c>
      <c r="D2589" s="1" t="s">
        <v>891</v>
      </c>
      <c r="E2589" s="1" t="s">
        <v>892</v>
      </c>
      <c r="F2589" s="1" t="s">
        <v>7551</v>
      </c>
      <c r="G2589" s="39" t="s">
        <v>895</v>
      </c>
      <c r="H2589" s="1">
        <v>2</v>
      </c>
      <c r="I2589" s="1">
        <v>0</v>
      </c>
      <c r="J2589" s="39" t="s">
        <v>7335</v>
      </c>
      <c r="K2589" s="1">
        <v>0</v>
      </c>
      <c r="L2589" s="1">
        <v>2</v>
      </c>
      <c r="S2589" s="1" t="s">
        <v>7552</v>
      </c>
      <c r="T2589" s="1">
        <v>1</v>
      </c>
      <c r="U2589" s="19"/>
      <c r="V2589" s="19"/>
    </row>
    <row r="2590" spans="1:22" x14ac:dyDescent="0.3">
      <c r="A2590" s="1" t="s">
        <v>7553</v>
      </c>
      <c r="B2590" s="102">
        <v>46243</v>
      </c>
      <c r="C2590" s="6">
        <v>0.3576388888888889</v>
      </c>
      <c r="D2590" s="1" t="s">
        <v>891</v>
      </c>
      <c r="E2590" s="1" t="s">
        <v>892</v>
      </c>
      <c r="F2590" s="1" t="s">
        <v>7554</v>
      </c>
      <c r="G2590" s="39" t="s">
        <v>7335</v>
      </c>
      <c r="H2590" s="1">
        <v>2</v>
      </c>
      <c r="I2590" s="1">
        <v>3</v>
      </c>
      <c r="J2590" s="39" t="s">
        <v>7354</v>
      </c>
      <c r="K2590" s="1">
        <v>3</v>
      </c>
      <c r="L2590" s="1">
        <v>2</v>
      </c>
      <c r="S2590" s="1" t="s">
        <v>7555</v>
      </c>
      <c r="T2590" s="1">
        <v>1</v>
      </c>
      <c r="U2590" s="19"/>
      <c r="V2590" s="19"/>
    </row>
    <row r="2591" spans="1:22" x14ac:dyDescent="0.3">
      <c r="A2591" s="1" t="s">
        <v>7556</v>
      </c>
      <c r="B2591" s="102">
        <v>46243</v>
      </c>
      <c r="C2591" s="6">
        <v>0.375</v>
      </c>
      <c r="D2591" s="1" t="s">
        <v>891</v>
      </c>
      <c r="E2591" s="1" t="s">
        <v>892</v>
      </c>
      <c r="F2591" s="1" t="s">
        <v>7557</v>
      </c>
      <c r="G2591" s="39" t="s">
        <v>7346</v>
      </c>
      <c r="H2591" s="1">
        <v>2</v>
      </c>
      <c r="I2591" s="1">
        <v>1</v>
      </c>
      <c r="J2591" s="39" t="s">
        <v>7358</v>
      </c>
      <c r="K2591" s="1">
        <v>1</v>
      </c>
      <c r="L2591" s="1">
        <v>2</v>
      </c>
      <c r="S2591" s="1" t="s">
        <v>7558</v>
      </c>
      <c r="T2591" s="1">
        <v>1</v>
      </c>
      <c r="U2591" s="19"/>
      <c r="V2591" s="19"/>
    </row>
    <row r="2592" spans="1:22" x14ac:dyDescent="0.3">
      <c r="A2592" s="1" t="s">
        <v>7559</v>
      </c>
      <c r="B2592" s="102">
        <v>46147</v>
      </c>
      <c r="C2592" s="6">
        <v>0.3576388888888889</v>
      </c>
      <c r="D2592" s="1" t="s">
        <v>891</v>
      </c>
      <c r="E2592" s="1" t="s">
        <v>892</v>
      </c>
      <c r="F2592" s="1" t="s">
        <v>7560</v>
      </c>
      <c r="G2592" s="39" t="s">
        <v>7372</v>
      </c>
      <c r="H2592" s="1">
        <v>0</v>
      </c>
      <c r="I2592" s="1">
        <v>1</v>
      </c>
      <c r="J2592" s="39" t="s">
        <v>7320</v>
      </c>
      <c r="K2592" s="1">
        <v>1</v>
      </c>
      <c r="L2592" s="1">
        <v>0</v>
      </c>
      <c r="S2592" s="1" t="s">
        <v>7561</v>
      </c>
      <c r="T2592" s="1">
        <v>1</v>
      </c>
      <c r="U2592" s="19"/>
      <c r="V2592" s="19"/>
    </row>
    <row r="2593" spans="1:22" x14ac:dyDescent="0.3">
      <c r="A2593" s="1" t="s">
        <v>7562</v>
      </c>
      <c r="B2593" s="102">
        <v>46148</v>
      </c>
      <c r="C2593" s="6">
        <v>0.3576388888888889</v>
      </c>
      <c r="D2593" s="1" t="s">
        <v>891</v>
      </c>
      <c r="E2593" s="1" t="s">
        <v>892</v>
      </c>
      <c r="F2593" s="1" t="s">
        <v>7563</v>
      </c>
      <c r="G2593" s="39" t="s">
        <v>7354</v>
      </c>
      <c r="H2593" s="1">
        <v>1</v>
      </c>
      <c r="I2593" s="1">
        <v>1</v>
      </c>
      <c r="J2593" s="39" t="s">
        <v>895</v>
      </c>
      <c r="K2593" s="1">
        <v>1</v>
      </c>
      <c r="L2593" s="1">
        <v>1</v>
      </c>
      <c r="S2593" s="1" t="s">
        <v>7564</v>
      </c>
      <c r="T2593" s="1">
        <v>1</v>
      </c>
      <c r="U2593" s="19"/>
      <c r="V2593" s="19"/>
    </row>
    <row r="2594" spans="1:22" x14ac:dyDescent="0.3">
      <c r="A2594" s="1" t="s">
        <v>7565</v>
      </c>
      <c r="B2594" s="102">
        <v>46157</v>
      </c>
      <c r="C2594" s="6">
        <v>0.3576388888888889</v>
      </c>
      <c r="D2594" s="1" t="s">
        <v>891</v>
      </c>
      <c r="E2594" s="1" t="s">
        <v>892</v>
      </c>
      <c r="F2594" s="1" t="s">
        <v>7566</v>
      </c>
      <c r="G2594" s="39" t="s">
        <v>7362</v>
      </c>
      <c r="H2594" s="1">
        <v>1</v>
      </c>
      <c r="I2594" s="1">
        <v>0</v>
      </c>
      <c r="J2594" s="39" t="s">
        <v>895</v>
      </c>
      <c r="K2594" s="1">
        <v>0</v>
      </c>
      <c r="L2594" s="1">
        <v>1</v>
      </c>
      <c r="S2594" s="1" t="s">
        <v>7567</v>
      </c>
      <c r="T2594" s="1">
        <v>1</v>
      </c>
      <c r="U2594" s="19"/>
      <c r="V2594" s="19"/>
    </row>
    <row r="2595" spans="1:22" x14ac:dyDescent="0.3">
      <c r="A2595" s="1" t="s">
        <v>7568</v>
      </c>
      <c r="B2595" s="102">
        <v>46158</v>
      </c>
      <c r="C2595" s="6">
        <v>0.33333333333333331</v>
      </c>
      <c r="D2595" s="1" t="s">
        <v>891</v>
      </c>
      <c r="E2595" s="1" t="s">
        <v>892</v>
      </c>
      <c r="F2595" s="1" t="s">
        <v>7569</v>
      </c>
      <c r="G2595" s="39" t="s">
        <v>7324</v>
      </c>
      <c r="H2595" s="1">
        <v>2</v>
      </c>
      <c r="I2595" s="1">
        <v>2</v>
      </c>
      <c r="J2595" s="39" t="s">
        <v>7372</v>
      </c>
      <c r="K2595" s="1">
        <v>2</v>
      </c>
      <c r="L2595" s="1">
        <v>2</v>
      </c>
      <c r="S2595" s="1" t="s">
        <v>7570</v>
      </c>
      <c r="T2595" s="1">
        <v>1</v>
      </c>
      <c r="U2595" s="19"/>
      <c r="V2595" s="19"/>
    </row>
    <row r="2596" spans="1:22" x14ac:dyDescent="0.3">
      <c r="A2596" s="1" t="s">
        <v>7571</v>
      </c>
      <c r="B2596" s="102">
        <v>46161</v>
      </c>
      <c r="C2596" s="6">
        <v>0.3576388888888889</v>
      </c>
      <c r="D2596" s="1" t="s">
        <v>891</v>
      </c>
      <c r="E2596" s="1" t="s">
        <v>892</v>
      </c>
      <c r="F2596" s="1" t="s">
        <v>7572</v>
      </c>
      <c r="G2596" s="39" t="s">
        <v>7358</v>
      </c>
      <c r="H2596" s="1">
        <v>1</v>
      </c>
      <c r="I2596" s="1">
        <v>2</v>
      </c>
      <c r="J2596" s="39" t="s">
        <v>7362</v>
      </c>
      <c r="K2596" s="1">
        <v>2</v>
      </c>
      <c r="L2596" s="1">
        <v>1</v>
      </c>
      <c r="S2596" s="1" t="s">
        <v>7573</v>
      </c>
      <c r="T2596" s="1">
        <v>1</v>
      </c>
      <c r="U2596" s="19"/>
      <c r="V2596" s="19"/>
    </row>
    <row r="2597" spans="1:22" x14ac:dyDescent="0.3">
      <c r="A2597" s="1" t="s">
        <v>7574</v>
      </c>
      <c r="B2597" s="102">
        <v>46162</v>
      </c>
      <c r="C2597" s="6">
        <v>0.33333333333333331</v>
      </c>
      <c r="D2597" s="1" t="s">
        <v>891</v>
      </c>
      <c r="E2597" s="1" t="s">
        <v>892</v>
      </c>
      <c r="F2597" s="1" t="s">
        <v>7575</v>
      </c>
      <c r="G2597" s="39" t="s">
        <v>7372</v>
      </c>
      <c r="H2597" s="1">
        <v>2</v>
      </c>
      <c r="I2597" s="1">
        <v>1</v>
      </c>
      <c r="J2597" s="39" t="s">
        <v>7339</v>
      </c>
      <c r="K2597" s="1">
        <v>1</v>
      </c>
      <c r="L2597" s="1">
        <v>2</v>
      </c>
      <c r="S2597" s="1" t="s">
        <v>7576</v>
      </c>
      <c r="T2597" s="1">
        <v>1</v>
      </c>
      <c r="U2597" s="19"/>
      <c r="V2597" s="19"/>
    </row>
    <row r="2598" spans="1:22" x14ac:dyDescent="0.3">
      <c r="A2598" s="1" t="s">
        <v>7577</v>
      </c>
      <c r="B2598" s="102">
        <v>46165</v>
      </c>
      <c r="C2598" s="6">
        <v>0.33333333333333331</v>
      </c>
      <c r="D2598" s="1" t="s">
        <v>891</v>
      </c>
      <c r="E2598" s="1" t="s">
        <v>892</v>
      </c>
      <c r="F2598" s="1" t="s">
        <v>7578</v>
      </c>
      <c r="G2598" s="39" t="s">
        <v>7354</v>
      </c>
      <c r="H2598" s="1">
        <v>1</v>
      </c>
      <c r="I2598" s="1">
        <v>1</v>
      </c>
      <c r="J2598" s="39" t="s">
        <v>7358</v>
      </c>
      <c r="K2598" s="1">
        <v>1</v>
      </c>
      <c r="L2598" s="1">
        <v>1</v>
      </c>
      <c r="S2598" s="1" t="s">
        <v>7579</v>
      </c>
      <c r="T2598" s="1">
        <v>1</v>
      </c>
      <c r="U2598" s="19"/>
      <c r="V2598" s="19"/>
    </row>
    <row r="2599" spans="1:22" x14ac:dyDescent="0.3">
      <c r="A2599" s="1" t="s">
        <v>7580</v>
      </c>
      <c r="B2599" s="102">
        <v>46166</v>
      </c>
      <c r="C2599" s="6">
        <v>0.375</v>
      </c>
      <c r="D2599" s="1" t="s">
        <v>891</v>
      </c>
      <c r="E2599" s="1" t="s">
        <v>892</v>
      </c>
      <c r="F2599" s="1" t="s">
        <v>7581</v>
      </c>
      <c r="G2599" s="39" t="s">
        <v>7386</v>
      </c>
      <c r="H2599" s="1">
        <v>1</v>
      </c>
      <c r="I2599" s="1">
        <v>2</v>
      </c>
      <c r="J2599" s="39" t="s">
        <v>895</v>
      </c>
      <c r="K2599" s="1">
        <v>2</v>
      </c>
      <c r="L2599" s="1">
        <v>1</v>
      </c>
      <c r="S2599" s="1" t="s">
        <v>7582</v>
      </c>
      <c r="T2599" s="1">
        <v>1</v>
      </c>
      <c r="U2599" s="19"/>
      <c r="V2599" s="19"/>
    </row>
    <row r="2600" spans="1:22" x14ac:dyDescent="0.3">
      <c r="A2600" s="1" t="s">
        <v>7583</v>
      </c>
      <c r="B2600" s="102">
        <v>46171</v>
      </c>
      <c r="C2600" s="6">
        <v>0.3576388888888889</v>
      </c>
      <c r="D2600" s="1" t="s">
        <v>891</v>
      </c>
      <c r="E2600" s="1" t="s">
        <v>892</v>
      </c>
      <c r="F2600" s="1" t="s">
        <v>7584</v>
      </c>
      <c r="G2600" s="39" t="s">
        <v>7372</v>
      </c>
      <c r="H2600" s="1">
        <v>3</v>
      </c>
      <c r="I2600" s="1">
        <v>2</v>
      </c>
      <c r="J2600" s="39" t="s">
        <v>7354</v>
      </c>
      <c r="K2600" s="1">
        <v>2</v>
      </c>
      <c r="L2600" s="1">
        <v>3</v>
      </c>
      <c r="S2600" s="1" t="s">
        <v>7585</v>
      </c>
      <c r="T2600" s="1">
        <v>1</v>
      </c>
      <c r="U2600" s="19"/>
      <c r="V2600" s="19"/>
    </row>
    <row r="2601" spans="1:22" x14ac:dyDescent="0.3">
      <c r="A2601" s="1" t="s">
        <v>7586</v>
      </c>
      <c r="B2601" s="102">
        <v>46172</v>
      </c>
      <c r="C2601" s="6">
        <v>0.375</v>
      </c>
      <c r="D2601" s="1" t="s">
        <v>891</v>
      </c>
      <c r="E2601" s="1" t="s">
        <v>892</v>
      </c>
      <c r="F2601" s="1" t="s">
        <v>7587</v>
      </c>
      <c r="G2601" s="39" t="s">
        <v>895</v>
      </c>
      <c r="H2601" s="1">
        <v>3</v>
      </c>
      <c r="I2601" s="1">
        <v>2</v>
      </c>
      <c r="J2601" s="39" t="s">
        <v>7339</v>
      </c>
      <c r="K2601" s="1">
        <v>2</v>
      </c>
      <c r="L2601" s="1">
        <v>3</v>
      </c>
      <c r="S2601" s="1" t="s">
        <v>7588</v>
      </c>
      <c r="T2601" s="1">
        <v>1</v>
      </c>
      <c r="U2601" s="19"/>
      <c r="V2601" s="19"/>
    </row>
    <row r="2602" spans="1:22" x14ac:dyDescent="0.3">
      <c r="A2602" s="1" t="s">
        <v>7589</v>
      </c>
      <c r="B2602" s="102">
        <v>46200</v>
      </c>
      <c r="C2602" s="6">
        <v>0.3576388888888889</v>
      </c>
      <c r="D2602" s="1" t="s">
        <v>891</v>
      </c>
      <c r="E2602" s="1" t="s">
        <v>892</v>
      </c>
      <c r="F2602" s="1" t="s">
        <v>7590</v>
      </c>
      <c r="G2602" s="39" t="s">
        <v>7362</v>
      </c>
      <c r="H2602" s="1">
        <v>1</v>
      </c>
      <c r="I2602" s="1">
        <v>2</v>
      </c>
      <c r="J2602" s="39" t="s">
        <v>7354</v>
      </c>
      <c r="K2602" s="1">
        <v>2</v>
      </c>
      <c r="L2602" s="1">
        <v>1</v>
      </c>
      <c r="S2602" s="1" t="s">
        <v>7591</v>
      </c>
      <c r="T2602" s="1">
        <v>1</v>
      </c>
      <c r="U2602" s="19"/>
      <c r="V2602" s="19"/>
    </row>
    <row r="2603" spans="1:22" x14ac:dyDescent="0.3">
      <c r="A2603" s="1" t="s">
        <v>7592</v>
      </c>
      <c r="B2603" s="102">
        <v>46207</v>
      </c>
      <c r="C2603" s="6">
        <v>0.375</v>
      </c>
      <c r="D2603" s="1" t="s">
        <v>891</v>
      </c>
      <c r="E2603" s="1" t="s">
        <v>892</v>
      </c>
      <c r="F2603" s="1" t="s">
        <v>7593</v>
      </c>
      <c r="G2603" s="39" t="s">
        <v>7358</v>
      </c>
      <c r="H2603" s="1">
        <v>3</v>
      </c>
      <c r="I2603" s="1">
        <v>0</v>
      </c>
      <c r="J2603" s="39" t="s">
        <v>895</v>
      </c>
      <c r="K2603" s="1">
        <v>0</v>
      </c>
      <c r="L2603" s="1">
        <v>3</v>
      </c>
      <c r="S2603" s="1" t="s">
        <v>7594</v>
      </c>
      <c r="T2603" s="1">
        <v>1</v>
      </c>
      <c r="U2603" s="19"/>
      <c r="V2603" s="19"/>
    </row>
    <row r="2604" spans="1:22" x14ac:dyDescent="0.3">
      <c r="A2604" s="1" t="s">
        <v>7595</v>
      </c>
      <c r="B2604" s="102">
        <v>46220</v>
      </c>
      <c r="C2604" s="6">
        <v>0.3576388888888889</v>
      </c>
      <c r="D2604" s="1" t="s">
        <v>891</v>
      </c>
      <c r="E2604" s="1" t="s">
        <v>892</v>
      </c>
      <c r="F2604" s="1" t="s">
        <v>7596</v>
      </c>
      <c r="G2604" s="39" t="s">
        <v>7362</v>
      </c>
      <c r="H2604" s="1">
        <v>5</v>
      </c>
      <c r="I2604" s="1">
        <v>1</v>
      </c>
      <c r="J2604" s="39" t="s">
        <v>7339</v>
      </c>
      <c r="K2604" s="1">
        <v>1</v>
      </c>
      <c r="L2604" s="1">
        <v>5</v>
      </c>
      <c r="S2604" s="1" t="s">
        <v>7597</v>
      </c>
      <c r="T2604" s="1">
        <v>1</v>
      </c>
      <c r="U2604" s="19"/>
      <c r="V2604" s="19"/>
    </row>
    <row r="2605" spans="1:22" x14ac:dyDescent="0.3">
      <c r="A2605" s="1" t="s">
        <v>7598</v>
      </c>
      <c r="B2605" s="102">
        <v>46221</v>
      </c>
      <c r="C2605" s="6">
        <v>0.375</v>
      </c>
      <c r="D2605" s="1" t="s">
        <v>891</v>
      </c>
      <c r="E2605" s="1" t="s">
        <v>892</v>
      </c>
      <c r="F2605" s="1" t="s">
        <v>7599</v>
      </c>
      <c r="G2605" s="39" t="s">
        <v>7324</v>
      </c>
      <c r="H2605" s="1">
        <v>2</v>
      </c>
      <c r="I2605" s="1">
        <v>0</v>
      </c>
      <c r="J2605" s="39" t="s">
        <v>895</v>
      </c>
      <c r="K2605" s="1">
        <v>0</v>
      </c>
      <c r="L2605" s="1">
        <v>2</v>
      </c>
      <c r="S2605" s="1" t="s">
        <v>7600</v>
      </c>
      <c r="T2605" s="1">
        <v>1</v>
      </c>
      <c r="U2605" s="19"/>
      <c r="V2605" s="19"/>
    </row>
    <row r="2606" spans="1:22" x14ac:dyDescent="0.3">
      <c r="A2606" s="1" t="s">
        <v>7601</v>
      </c>
      <c r="B2606" s="102">
        <v>46228</v>
      </c>
      <c r="C2606" s="6">
        <v>0.3576388888888889</v>
      </c>
      <c r="D2606" s="1" t="s">
        <v>891</v>
      </c>
      <c r="E2606" s="1" t="s">
        <v>892</v>
      </c>
      <c r="F2606" s="1" t="s">
        <v>7602</v>
      </c>
      <c r="G2606" s="39" t="s">
        <v>7354</v>
      </c>
      <c r="H2606" s="1">
        <v>2</v>
      </c>
      <c r="I2606" s="1">
        <v>0</v>
      </c>
      <c r="J2606" s="39" t="s">
        <v>7386</v>
      </c>
      <c r="K2606" s="1">
        <v>0</v>
      </c>
      <c r="L2606" s="1">
        <v>2</v>
      </c>
      <c r="S2606" s="1" t="s">
        <v>7603</v>
      </c>
      <c r="T2606" s="1">
        <v>1</v>
      </c>
      <c r="U2606" s="19"/>
      <c r="V2606" s="19"/>
    </row>
    <row r="2607" spans="1:22" x14ac:dyDescent="0.3">
      <c r="A2607" s="1" t="s">
        <v>7604</v>
      </c>
      <c r="B2607" s="102">
        <v>46236</v>
      </c>
      <c r="C2607" s="6">
        <v>0.3576388888888889</v>
      </c>
      <c r="D2607" s="1" t="s">
        <v>891</v>
      </c>
      <c r="E2607" s="1" t="s">
        <v>892</v>
      </c>
      <c r="F2607" s="1" t="s">
        <v>7605</v>
      </c>
      <c r="G2607" s="39" t="s">
        <v>7372</v>
      </c>
      <c r="H2607" s="1">
        <v>3</v>
      </c>
      <c r="I2607" s="1">
        <v>1</v>
      </c>
      <c r="J2607" s="39" t="s">
        <v>7386</v>
      </c>
      <c r="K2607" s="1">
        <v>1</v>
      </c>
      <c r="L2607" s="1">
        <v>3</v>
      </c>
      <c r="S2607" s="1" t="s">
        <v>7606</v>
      </c>
      <c r="T2607" s="1">
        <v>1</v>
      </c>
      <c r="U2607" s="19"/>
      <c r="V2607" s="19"/>
    </row>
    <row r="2608" spans="1:22" x14ac:dyDescent="0.3">
      <c r="A2608" s="1" t="s">
        <v>7607</v>
      </c>
      <c r="B2608" s="102">
        <v>46143</v>
      </c>
      <c r="C2608" s="6">
        <v>0.3576388888888889</v>
      </c>
      <c r="D2608" s="1" t="s">
        <v>891</v>
      </c>
      <c r="E2608" s="1" t="s">
        <v>892</v>
      </c>
      <c r="F2608" s="1" t="s">
        <v>7608</v>
      </c>
      <c r="G2608" s="39" t="s">
        <v>7358</v>
      </c>
      <c r="H2608" s="1">
        <v>2</v>
      </c>
      <c r="I2608" s="1">
        <v>2</v>
      </c>
      <c r="J2608" s="39" t="s">
        <v>7324</v>
      </c>
      <c r="K2608" s="1">
        <v>2</v>
      </c>
      <c r="L2608" s="1">
        <v>2</v>
      </c>
      <c r="S2608" s="1" t="s">
        <v>7609</v>
      </c>
      <c r="T2608" s="1">
        <v>1</v>
      </c>
      <c r="U2608" s="19"/>
      <c r="V2608" s="19"/>
    </row>
    <row r="2609" spans="1:22" x14ac:dyDescent="0.3">
      <c r="A2609" s="1" t="s">
        <v>7610</v>
      </c>
      <c r="B2609" s="102">
        <v>46147</v>
      </c>
      <c r="C2609" s="6">
        <v>0.33333333333333331</v>
      </c>
      <c r="D2609" s="1" t="s">
        <v>891</v>
      </c>
      <c r="E2609" s="1" t="s">
        <v>892</v>
      </c>
      <c r="F2609" s="1" t="s">
        <v>7611</v>
      </c>
      <c r="G2609" s="39" t="s">
        <v>7331</v>
      </c>
      <c r="H2609" s="1">
        <v>1</v>
      </c>
      <c r="I2609" s="1">
        <v>1</v>
      </c>
      <c r="J2609" s="39" t="s">
        <v>7358</v>
      </c>
      <c r="K2609" s="1">
        <v>1</v>
      </c>
      <c r="L2609" s="1">
        <v>1</v>
      </c>
      <c r="S2609" s="1" t="s">
        <v>7612</v>
      </c>
      <c r="T2609" s="1">
        <v>1</v>
      </c>
      <c r="U2609" s="19"/>
      <c r="V2609" s="19"/>
    </row>
    <row r="2610" spans="1:22" x14ac:dyDescent="0.3">
      <c r="A2610" s="1" t="s">
        <v>7613</v>
      </c>
      <c r="B2610" s="102">
        <v>46148</v>
      </c>
      <c r="C2610" s="6">
        <v>0.33333333333333331</v>
      </c>
      <c r="D2610" s="1" t="s">
        <v>891</v>
      </c>
      <c r="E2610" s="1" t="s">
        <v>892</v>
      </c>
      <c r="F2610" s="1" t="s">
        <v>7614</v>
      </c>
      <c r="G2610" s="39" t="s">
        <v>7324</v>
      </c>
      <c r="H2610" s="1">
        <v>1</v>
      </c>
      <c r="I2610" s="1">
        <v>3</v>
      </c>
      <c r="J2610" s="39" t="s">
        <v>7339</v>
      </c>
      <c r="K2610" s="1">
        <v>3</v>
      </c>
      <c r="L2610" s="1">
        <v>1</v>
      </c>
      <c r="S2610" s="1" t="s">
        <v>7615</v>
      </c>
      <c r="T2610" s="1">
        <v>1</v>
      </c>
      <c r="U2610" s="19"/>
      <c r="V2610" s="19"/>
    </row>
    <row r="2611" spans="1:22" x14ac:dyDescent="0.3">
      <c r="A2611" s="1" t="s">
        <v>7616</v>
      </c>
      <c r="B2611" s="102">
        <v>46162</v>
      </c>
      <c r="C2611" s="6">
        <v>0.3576388888888889</v>
      </c>
      <c r="D2611" s="1" t="s">
        <v>891</v>
      </c>
      <c r="E2611" s="1" t="s">
        <v>892</v>
      </c>
      <c r="F2611" s="1" t="s">
        <v>7617</v>
      </c>
      <c r="G2611" s="39" t="s">
        <v>7386</v>
      </c>
      <c r="H2611" s="1">
        <v>2</v>
      </c>
      <c r="I2611" s="1">
        <v>2</v>
      </c>
      <c r="J2611" s="39" t="s">
        <v>7324</v>
      </c>
      <c r="K2611" s="1">
        <v>2</v>
      </c>
      <c r="L2611" s="1">
        <v>2</v>
      </c>
      <c r="S2611" s="1" t="s">
        <v>7618</v>
      </c>
      <c r="T2611" s="1">
        <v>1</v>
      </c>
      <c r="U2611" s="19"/>
      <c r="V2611" s="19"/>
    </row>
    <row r="2612" spans="1:22" x14ac:dyDescent="0.3">
      <c r="A2612" s="1" t="s">
        <v>7619</v>
      </c>
      <c r="B2612" s="102">
        <v>46221</v>
      </c>
      <c r="C2612" s="6">
        <v>0.3576388888888889</v>
      </c>
      <c r="D2612" s="1" t="s">
        <v>891</v>
      </c>
      <c r="E2612" s="1" t="s">
        <v>892</v>
      </c>
      <c r="F2612" s="1" t="s">
        <v>7620</v>
      </c>
      <c r="G2612" s="39" t="s">
        <v>7386</v>
      </c>
      <c r="H2612" s="1">
        <v>0</v>
      </c>
      <c r="I2612" s="1">
        <v>2</v>
      </c>
      <c r="J2612" s="39" t="s">
        <v>7358</v>
      </c>
      <c r="K2612" s="1">
        <v>2</v>
      </c>
      <c r="L2612" s="1">
        <v>0</v>
      </c>
      <c r="S2612" s="1" t="s">
        <v>7621</v>
      </c>
      <c r="T2612" s="1">
        <v>1</v>
      </c>
      <c r="U2612" s="19"/>
      <c r="V2612" s="19"/>
    </row>
    <row r="2613" spans="1:22" x14ac:dyDescent="0.3">
      <c r="A2613" s="1" t="s">
        <v>7622</v>
      </c>
      <c r="B2613" s="102">
        <v>46228</v>
      </c>
      <c r="C2613" s="6">
        <v>0.27083333333333331</v>
      </c>
      <c r="D2613" s="1" t="s">
        <v>891</v>
      </c>
      <c r="E2613" s="1" t="s">
        <v>892</v>
      </c>
      <c r="F2613" s="1" t="s">
        <v>7623</v>
      </c>
      <c r="G2613" s="39" t="s">
        <v>7339</v>
      </c>
      <c r="H2613" s="1">
        <v>0</v>
      </c>
      <c r="I2613" s="1">
        <v>2</v>
      </c>
      <c r="J2613" s="39" t="s">
        <v>7358</v>
      </c>
      <c r="K2613" s="1">
        <v>2</v>
      </c>
      <c r="L2613" s="1">
        <v>0</v>
      </c>
      <c r="S2613" s="1" t="s">
        <v>7624</v>
      </c>
      <c r="T2613" s="1">
        <v>1</v>
      </c>
      <c r="U2613" s="19"/>
      <c r="V2613" s="19"/>
    </row>
    <row r="2614" spans="1:22" x14ac:dyDescent="0.3">
      <c r="A2614" s="1" t="s">
        <v>7625</v>
      </c>
      <c r="B2614" s="102">
        <v>46242</v>
      </c>
      <c r="C2614" s="6">
        <v>0.33333333333333331</v>
      </c>
      <c r="D2614" s="1" t="s">
        <v>891</v>
      </c>
      <c r="E2614" s="1" t="s">
        <v>892</v>
      </c>
      <c r="F2614" s="1" t="s">
        <v>7626</v>
      </c>
      <c r="G2614" s="39" t="s">
        <v>7339</v>
      </c>
      <c r="H2614" s="1">
        <v>0</v>
      </c>
      <c r="I2614" s="1">
        <v>1</v>
      </c>
      <c r="J2614" s="39" t="s">
        <v>7386</v>
      </c>
      <c r="K2614" s="1">
        <v>1</v>
      </c>
      <c r="L2614" s="1">
        <v>0</v>
      </c>
      <c r="S2614" s="1" t="s">
        <v>7627</v>
      </c>
      <c r="T2614" s="1">
        <v>1</v>
      </c>
      <c r="U2614" s="19"/>
      <c r="V2614" s="19"/>
    </row>
    <row r="2615" spans="1:22" x14ac:dyDescent="0.3">
      <c r="A2615" s="1" t="s">
        <v>7628</v>
      </c>
      <c r="B2615" s="5">
        <v>46131</v>
      </c>
      <c r="C2615" s="6">
        <v>0.16666666666666666</v>
      </c>
      <c r="D2615" s="1" t="s">
        <v>891</v>
      </c>
      <c r="E2615" s="1" t="s">
        <v>7664</v>
      </c>
      <c r="F2615" s="1" t="s">
        <v>7665</v>
      </c>
      <c r="G2615" s="39" t="s">
        <v>7666</v>
      </c>
      <c r="H2615" s="1">
        <v>2</v>
      </c>
      <c r="I2615" s="1">
        <v>3</v>
      </c>
      <c r="J2615" s="39" t="s">
        <v>7667</v>
      </c>
      <c r="K2615" s="1">
        <v>3</v>
      </c>
      <c r="L2615" s="1">
        <v>2</v>
      </c>
      <c r="S2615" s="1" t="s">
        <v>7668</v>
      </c>
      <c r="T2615" s="1">
        <v>1</v>
      </c>
      <c r="U2615" s="19"/>
      <c r="V2615" s="19"/>
    </row>
    <row r="2616" spans="1:22" x14ac:dyDescent="0.3">
      <c r="A2616" s="1" t="s">
        <v>7629</v>
      </c>
      <c r="B2616" s="5">
        <v>46137</v>
      </c>
      <c r="C2616" s="6">
        <v>0.35416666666666669</v>
      </c>
      <c r="D2616" s="1" t="s">
        <v>891</v>
      </c>
      <c r="E2616" s="1" t="s">
        <v>7664</v>
      </c>
      <c r="F2616" s="1" t="s">
        <v>7669</v>
      </c>
      <c r="G2616" s="39" t="s">
        <v>7670</v>
      </c>
      <c r="H2616" s="1">
        <v>0</v>
      </c>
      <c r="I2616" s="1">
        <v>3</v>
      </c>
      <c r="J2616" s="39" t="s">
        <v>7671</v>
      </c>
      <c r="K2616" s="1">
        <v>3</v>
      </c>
      <c r="L2616" s="1">
        <v>0</v>
      </c>
      <c r="S2616" s="1" t="s">
        <v>7672</v>
      </c>
      <c r="T2616" s="1">
        <v>1</v>
      </c>
      <c r="U2616" s="19"/>
      <c r="V2616" s="19"/>
    </row>
    <row r="2617" spans="1:22" x14ac:dyDescent="0.3">
      <c r="A2617" s="1" t="s">
        <v>7630</v>
      </c>
      <c r="B2617" s="5">
        <v>46137</v>
      </c>
      <c r="C2617" s="6">
        <v>0.35416666666666669</v>
      </c>
      <c r="D2617" s="1" t="s">
        <v>891</v>
      </c>
      <c r="E2617" s="1" t="s">
        <v>7664</v>
      </c>
      <c r="F2617" s="1" t="s">
        <v>7673</v>
      </c>
      <c r="G2617" s="39" t="s">
        <v>7674</v>
      </c>
      <c r="H2617" s="1">
        <v>1</v>
      </c>
      <c r="I2617" s="1">
        <v>0</v>
      </c>
      <c r="J2617" s="39" t="s">
        <v>7675</v>
      </c>
      <c r="K2617" s="1">
        <v>0</v>
      </c>
      <c r="L2617" s="1">
        <v>1</v>
      </c>
      <c r="S2617" s="1" t="s">
        <v>7676</v>
      </c>
      <c r="T2617" s="1">
        <v>1</v>
      </c>
      <c r="U2617" s="19"/>
      <c r="V2617" s="19"/>
    </row>
    <row r="2618" spans="1:22" x14ac:dyDescent="0.3">
      <c r="A2618" s="1" t="s">
        <v>7677</v>
      </c>
      <c r="B2618" s="5">
        <v>46138</v>
      </c>
      <c r="C2618" s="6">
        <v>0.16666666666666666</v>
      </c>
      <c r="D2618" s="1" t="s">
        <v>891</v>
      </c>
      <c r="E2618" s="1" t="s">
        <v>7664</v>
      </c>
      <c r="F2618" s="1" t="s">
        <v>7678</v>
      </c>
      <c r="G2618" s="39" t="s">
        <v>7666</v>
      </c>
      <c r="H2618" s="1">
        <v>0</v>
      </c>
      <c r="I2618" s="1">
        <v>0</v>
      </c>
      <c r="J2618" s="39" t="s">
        <v>7679</v>
      </c>
      <c r="K2618" s="1">
        <v>0</v>
      </c>
      <c r="L2618" s="1">
        <v>0</v>
      </c>
      <c r="S2618" s="1" t="s">
        <v>7680</v>
      </c>
      <c r="T2618" s="1">
        <v>1</v>
      </c>
      <c r="U2618" s="19"/>
      <c r="V2618" s="19"/>
    </row>
    <row r="2619" spans="1:22" x14ac:dyDescent="0.3">
      <c r="A2619" s="1" t="s">
        <v>7681</v>
      </c>
      <c r="B2619" s="5">
        <v>46138</v>
      </c>
      <c r="C2619" s="6">
        <v>0.1875</v>
      </c>
      <c r="D2619" s="1" t="s">
        <v>891</v>
      </c>
      <c r="E2619" s="1" t="s">
        <v>7664</v>
      </c>
      <c r="F2619" s="1" t="s">
        <v>7682</v>
      </c>
      <c r="G2619" s="39" t="s">
        <v>7683</v>
      </c>
      <c r="H2619" s="1">
        <v>1</v>
      </c>
      <c r="I2619" s="1">
        <v>2</v>
      </c>
      <c r="J2619" s="39" t="s">
        <v>7684</v>
      </c>
      <c r="K2619" s="1">
        <v>2</v>
      </c>
      <c r="L2619" s="1">
        <v>1</v>
      </c>
      <c r="S2619" s="1" t="s">
        <v>7685</v>
      </c>
      <c r="T2619" s="1">
        <v>1</v>
      </c>
      <c r="U2619" s="19"/>
      <c r="V2619" s="19"/>
    </row>
    <row r="2620" spans="1:22" x14ac:dyDescent="0.3">
      <c r="A2620" s="1" t="s">
        <v>7686</v>
      </c>
      <c r="B2620" s="5">
        <v>46138</v>
      </c>
      <c r="C2620" s="6">
        <v>0.35416666666666669</v>
      </c>
      <c r="D2620" s="1" t="s">
        <v>891</v>
      </c>
      <c r="E2620" s="1" t="s">
        <v>7664</v>
      </c>
      <c r="F2620" s="1" t="s">
        <v>7687</v>
      </c>
      <c r="G2620" s="39" t="s">
        <v>7688</v>
      </c>
      <c r="H2620" s="1">
        <v>1</v>
      </c>
      <c r="I2620" s="1">
        <v>0</v>
      </c>
      <c r="J2620" s="39" t="s">
        <v>7667</v>
      </c>
      <c r="K2620" s="1">
        <v>0</v>
      </c>
      <c r="L2620" s="1">
        <v>1</v>
      </c>
      <c r="S2620" s="1" t="s">
        <v>7689</v>
      </c>
      <c r="T2620" s="1">
        <v>1</v>
      </c>
      <c r="U2620" s="19"/>
      <c r="V2620" s="19"/>
    </row>
    <row r="2621" spans="1:22" x14ac:dyDescent="0.3">
      <c r="A2621" s="1" t="s">
        <v>7690</v>
      </c>
      <c r="B2621" s="5">
        <v>46144</v>
      </c>
      <c r="C2621" s="6">
        <v>0.16666666666666666</v>
      </c>
      <c r="D2621" s="1" t="s">
        <v>891</v>
      </c>
      <c r="E2621" s="1" t="s">
        <v>7664</v>
      </c>
      <c r="F2621" s="1" t="s">
        <v>7691</v>
      </c>
      <c r="G2621" s="39" t="s">
        <v>7667</v>
      </c>
      <c r="H2621" s="1">
        <v>2</v>
      </c>
      <c r="I2621" s="1">
        <v>2</v>
      </c>
      <c r="J2621" s="39" t="s">
        <v>7692</v>
      </c>
      <c r="K2621" s="1">
        <v>2</v>
      </c>
      <c r="L2621" s="1">
        <v>2</v>
      </c>
      <c r="S2621" s="1" t="s">
        <v>7693</v>
      </c>
      <c r="T2621" s="1">
        <v>1</v>
      </c>
      <c r="U2621" s="19"/>
      <c r="V2621" s="19"/>
    </row>
    <row r="2622" spans="1:22" x14ac:dyDescent="0.3">
      <c r="A2622" s="1" t="s">
        <v>7694</v>
      </c>
      <c r="B2622" s="5">
        <v>46144</v>
      </c>
      <c r="C2622" s="6">
        <v>0.16666666666666666</v>
      </c>
      <c r="D2622" s="1" t="s">
        <v>891</v>
      </c>
      <c r="E2622" s="1" t="s">
        <v>7664</v>
      </c>
      <c r="F2622" s="1" t="s">
        <v>7695</v>
      </c>
      <c r="G2622" s="39" t="s">
        <v>7696</v>
      </c>
      <c r="H2622" s="1">
        <v>1</v>
      </c>
      <c r="I2622" s="1">
        <v>1</v>
      </c>
      <c r="J2622" s="39" t="s">
        <v>7666</v>
      </c>
      <c r="K2622" s="1">
        <v>1</v>
      </c>
      <c r="L2622" s="1">
        <v>1</v>
      </c>
      <c r="S2622" s="1" t="s">
        <v>7697</v>
      </c>
      <c r="T2622" s="1">
        <v>1</v>
      </c>
      <c r="U2622" s="19"/>
      <c r="V2622" s="19"/>
    </row>
    <row r="2623" spans="1:22" x14ac:dyDescent="0.3">
      <c r="A2623" s="1" t="s">
        <v>7698</v>
      </c>
      <c r="B2623" s="5">
        <v>46144</v>
      </c>
      <c r="C2623" s="6">
        <v>0.35416666666666669</v>
      </c>
      <c r="D2623" s="1" t="s">
        <v>891</v>
      </c>
      <c r="E2623" s="1" t="s">
        <v>7664</v>
      </c>
      <c r="F2623" s="1" t="s">
        <v>7699</v>
      </c>
      <c r="G2623" s="39" t="s">
        <v>7700</v>
      </c>
      <c r="H2623" s="1">
        <v>1</v>
      </c>
      <c r="I2623" s="1">
        <v>1</v>
      </c>
      <c r="J2623" s="39" t="s">
        <v>7701</v>
      </c>
      <c r="K2623" s="1">
        <v>1</v>
      </c>
      <c r="L2623" s="1">
        <v>1</v>
      </c>
      <c r="S2623" s="1" t="s">
        <v>7702</v>
      </c>
      <c r="T2623" s="1">
        <v>1</v>
      </c>
      <c r="U2623" s="19"/>
      <c r="V2623" s="19"/>
    </row>
    <row r="2624" spans="1:22" x14ac:dyDescent="0.3">
      <c r="A2624" s="1" t="s">
        <v>7703</v>
      </c>
      <c r="B2624" s="5">
        <v>46144</v>
      </c>
      <c r="C2624" s="6">
        <v>0.35416666666666669</v>
      </c>
      <c r="D2624" s="1" t="s">
        <v>891</v>
      </c>
      <c r="E2624" s="1" t="s">
        <v>7664</v>
      </c>
      <c r="F2624" s="1" t="s">
        <v>7704</v>
      </c>
      <c r="G2624" s="39" t="s">
        <v>7684</v>
      </c>
      <c r="H2624" s="1">
        <v>3</v>
      </c>
      <c r="I2624" s="1">
        <v>1</v>
      </c>
      <c r="J2624" s="39" t="s">
        <v>7688</v>
      </c>
      <c r="K2624" s="1">
        <v>1</v>
      </c>
      <c r="L2624" s="1">
        <v>3</v>
      </c>
      <c r="S2624" s="1" t="s">
        <v>7705</v>
      </c>
      <c r="T2624" s="1">
        <v>1</v>
      </c>
      <c r="U2624" s="19"/>
      <c r="V2624" s="19"/>
    </row>
    <row r="2625" spans="1:22" x14ac:dyDescent="0.3">
      <c r="A2625" s="1" t="s">
        <v>7706</v>
      </c>
      <c r="B2625" s="5">
        <v>46144</v>
      </c>
      <c r="C2625" s="6">
        <v>0.35416666666666669</v>
      </c>
      <c r="D2625" s="1" t="s">
        <v>891</v>
      </c>
      <c r="E2625" s="1" t="s">
        <v>7664</v>
      </c>
      <c r="F2625" s="1" t="s">
        <v>7707</v>
      </c>
      <c r="G2625" s="39" t="s">
        <v>7679</v>
      </c>
      <c r="H2625" s="1">
        <v>0</v>
      </c>
      <c r="I2625" s="1">
        <v>3</v>
      </c>
      <c r="J2625" s="39" t="s">
        <v>7674</v>
      </c>
      <c r="K2625" s="1">
        <v>3</v>
      </c>
      <c r="L2625" s="1">
        <v>0</v>
      </c>
      <c r="S2625" s="1" t="s">
        <v>7708</v>
      </c>
      <c r="T2625" s="1">
        <v>1</v>
      </c>
      <c r="U2625" s="19"/>
      <c r="V2625" s="19"/>
    </row>
    <row r="2626" spans="1:22" x14ac:dyDescent="0.3">
      <c r="A2626" s="1" t="s">
        <v>7709</v>
      </c>
      <c r="B2626" s="5">
        <v>46145</v>
      </c>
      <c r="C2626" s="6">
        <v>0.33333333333333331</v>
      </c>
      <c r="D2626" s="1" t="s">
        <v>891</v>
      </c>
      <c r="E2626" s="1" t="s">
        <v>7664</v>
      </c>
      <c r="F2626" s="1" t="s">
        <v>7710</v>
      </c>
      <c r="G2626" s="39" t="s">
        <v>7671</v>
      </c>
      <c r="H2626" s="1">
        <v>3</v>
      </c>
      <c r="I2626" s="1">
        <v>1</v>
      </c>
      <c r="J2626" s="39" t="s">
        <v>7683</v>
      </c>
      <c r="K2626" s="1">
        <v>1</v>
      </c>
      <c r="L2626" s="1">
        <v>3</v>
      </c>
      <c r="S2626" s="1" t="s">
        <v>7711</v>
      </c>
      <c r="T2626" s="1">
        <v>1</v>
      </c>
      <c r="U2626" s="19"/>
      <c r="V2626" s="19"/>
    </row>
    <row r="2627" spans="1:22" x14ac:dyDescent="0.3">
      <c r="A2627" s="1" t="s">
        <v>7712</v>
      </c>
      <c r="B2627" s="5">
        <v>46145</v>
      </c>
      <c r="C2627" s="6">
        <v>0.35416666666666669</v>
      </c>
      <c r="D2627" s="1" t="s">
        <v>891</v>
      </c>
      <c r="E2627" s="1" t="s">
        <v>7664</v>
      </c>
      <c r="F2627" s="1" t="s">
        <v>7713</v>
      </c>
      <c r="G2627" s="39" t="s">
        <v>7670</v>
      </c>
      <c r="H2627" s="1">
        <v>1</v>
      </c>
      <c r="I2627" s="1">
        <v>4</v>
      </c>
      <c r="J2627" s="39" t="s">
        <v>7714</v>
      </c>
      <c r="K2627" s="1">
        <v>4</v>
      </c>
      <c r="L2627" s="1">
        <v>1</v>
      </c>
      <c r="S2627" s="1" t="s">
        <v>7715</v>
      </c>
      <c r="T2627" s="1">
        <v>1</v>
      </c>
      <c r="U2627" s="19"/>
      <c r="V2627" s="19"/>
    </row>
    <row r="2628" spans="1:22" x14ac:dyDescent="0.3">
      <c r="A2628" s="1" t="s">
        <v>7716</v>
      </c>
      <c r="B2628" s="5">
        <v>46145</v>
      </c>
      <c r="C2628" s="6">
        <v>0.35416666666666669</v>
      </c>
      <c r="D2628" s="1" t="s">
        <v>891</v>
      </c>
      <c r="E2628" s="1" t="s">
        <v>7664</v>
      </c>
      <c r="F2628" s="1" t="s">
        <v>7717</v>
      </c>
      <c r="G2628" s="39" t="s">
        <v>7675</v>
      </c>
      <c r="H2628" s="1">
        <v>1</v>
      </c>
      <c r="I2628" s="1">
        <v>0</v>
      </c>
      <c r="J2628" s="39" t="s">
        <v>7718</v>
      </c>
      <c r="K2628" s="1">
        <v>0</v>
      </c>
      <c r="L2628" s="1">
        <v>1</v>
      </c>
      <c r="S2628" s="1" t="s">
        <v>7719</v>
      </c>
      <c r="T2628" s="1">
        <v>1</v>
      </c>
      <c r="U2628" s="19"/>
      <c r="V2628" s="19"/>
    </row>
    <row r="2629" spans="1:22" x14ac:dyDescent="0.3">
      <c r="A2629" s="1" t="s">
        <v>7720</v>
      </c>
      <c r="B2629" s="5">
        <v>46151</v>
      </c>
      <c r="C2629" s="6">
        <v>0.35416666666666669</v>
      </c>
      <c r="D2629" s="1" t="s">
        <v>891</v>
      </c>
      <c r="E2629" s="1" t="s">
        <v>7664</v>
      </c>
      <c r="F2629" s="1" t="s">
        <v>7721</v>
      </c>
      <c r="G2629" s="39" t="s">
        <v>7700</v>
      </c>
      <c r="H2629" s="1">
        <v>2</v>
      </c>
      <c r="I2629" s="1">
        <v>3</v>
      </c>
      <c r="J2629" s="39" t="s">
        <v>7683</v>
      </c>
      <c r="K2629" s="1">
        <v>3</v>
      </c>
      <c r="L2629" s="1">
        <v>2</v>
      </c>
      <c r="S2629" s="1" t="s">
        <v>7722</v>
      </c>
      <c r="T2629" s="1">
        <v>1</v>
      </c>
      <c r="U2629" s="19"/>
      <c r="V2629" s="19"/>
    </row>
    <row r="2630" spans="1:22" x14ac:dyDescent="0.3">
      <c r="A2630" s="1" t="s">
        <v>7723</v>
      </c>
      <c r="B2630" s="5">
        <v>46151</v>
      </c>
      <c r="C2630" s="6">
        <v>0.35416666666666669</v>
      </c>
      <c r="D2630" s="1" t="s">
        <v>891</v>
      </c>
      <c r="E2630" s="1" t="s">
        <v>7664</v>
      </c>
      <c r="F2630" s="1" t="s">
        <v>7724</v>
      </c>
      <c r="G2630" s="39" t="s">
        <v>7675</v>
      </c>
      <c r="H2630" s="1">
        <v>2</v>
      </c>
      <c r="I2630" s="1">
        <v>0</v>
      </c>
      <c r="J2630" s="39" t="s">
        <v>7670</v>
      </c>
      <c r="K2630" s="1">
        <v>0</v>
      </c>
      <c r="L2630" s="1">
        <v>2</v>
      </c>
      <c r="S2630" s="1" t="s">
        <v>7725</v>
      </c>
      <c r="T2630" s="1">
        <v>1</v>
      </c>
      <c r="U2630" s="19"/>
      <c r="V2630" s="19"/>
    </row>
    <row r="2631" spans="1:22" x14ac:dyDescent="0.3">
      <c r="A2631" s="1" t="s">
        <v>7726</v>
      </c>
      <c r="B2631" s="5">
        <v>46152</v>
      </c>
      <c r="C2631" s="6">
        <v>0.16666666666666666</v>
      </c>
      <c r="D2631" s="1" t="s">
        <v>891</v>
      </c>
      <c r="E2631" s="1" t="s">
        <v>7664</v>
      </c>
      <c r="F2631" s="1" t="s">
        <v>7727</v>
      </c>
      <c r="G2631" s="39" t="s">
        <v>7667</v>
      </c>
      <c r="H2631" s="1">
        <v>1</v>
      </c>
      <c r="I2631" s="1">
        <v>1</v>
      </c>
      <c r="J2631" s="39" t="s">
        <v>7684</v>
      </c>
      <c r="K2631" s="1">
        <v>1</v>
      </c>
      <c r="L2631" s="1">
        <v>1</v>
      </c>
      <c r="S2631" s="1" t="s">
        <v>7728</v>
      </c>
      <c r="T2631" s="1">
        <v>1</v>
      </c>
      <c r="U2631" s="19"/>
      <c r="V2631" s="19"/>
    </row>
    <row r="2632" spans="1:22" x14ac:dyDescent="0.3">
      <c r="A2632" s="1" t="s">
        <v>7729</v>
      </c>
      <c r="B2632" s="5">
        <v>46152</v>
      </c>
      <c r="C2632" s="6">
        <v>0.16666666666666666</v>
      </c>
      <c r="D2632" s="1" t="s">
        <v>891</v>
      </c>
      <c r="E2632" s="1" t="s">
        <v>7664</v>
      </c>
      <c r="F2632" s="1" t="s">
        <v>7730</v>
      </c>
      <c r="G2632" s="39" t="s">
        <v>7696</v>
      </c>
      <c r="H2632" s="1">
        <v>1</v>
      </c>
      <c r="I2632" s="1">
        <v>1</v>
      </c>
      <c r="J2632" s="39" t="s">
        <v>7674</v>
      </c>
      <c r="K2632" s="1">
        <v>1</v>
      </c>
      <c r="L2632" s="1">
        <v>1</v>
      </c>
      <c r="S2632" s="1" t="s">
        <v>7731</v>
      </c>
      <c r="T2632" s="1">
        <v>1</v>
      </c>
      <c r="U2632" s="19"/>
      <c r="V2632" s="19"/>
    </row>
    <row r="2633" spans="1:22" x14ac:dyDescent="0.3">
      <c r="A2633" s="1" t="s">
        <v>7732</v>
      </c>
      <c r="B2633" s="5">
        <v>46152</v>
      </c>
      <c r="C2633" s="6">
        <v>0.16666666666666666</v>
      </c>
      <c r="D2633" s="1" t="s">
        <v>891</v>
      </c>
      <c r="E2633" s="1" t="s">
        <v>7664</v>
      </c>
      <c r="F2633" s="1" t="s">
        <v>7733</v>
      </c>
      <c r="G2633" s="39" t="s">
        <v>7701</v>
      </c>
      <c r="H2633" s="1">
        <v>1</v>
      </c>
      <c r="I2633" s="1">
        <v>1</v>
      </c>
      <c r="J2633" s="39" t="s">
        <v>7671</v>
      </c>
      <c r="K2633" s="1">
        <v>1</v>
      </c>
      <c r="L2633" s="1">
        <v>1</v>
      </c>
      <c r="S2633" s="1" t="s">
        <v>7734</v>
      </c>
      <c r="T2633" s="1">
        <v>1</v>
      </c>
      <c r="U2633" s="19"/>
      <c r="V2633" s="19"/>
    </row>
    <row r="2634" spans="1:22" x14ac:dyDescent="0.3">
      <c r="A2634" s="1" t="s">
        <v>7735</v>
      </c>
      <c r="B2634" s="5">
        <v>46152</v>
      </c>
      <c r="C2634" s="6">
        <v>0.33333333333333331</v>
      </c>
      <c r="D2634" s="1" t="s">
        <v>891</v>
      </c>
      <c r="E2634" s="1" t="s">
        <v>7664</v>
      </c>
      <c r="F2634" s="1" t="s">
        <v>7736</v>
      </c>
      <c r="G2634" s="39" t="s">
        <v>7714</v>
      </c>
      <c r="H2634" s="1">
        <v>2</v>
      </c>
      <c r="I2634" s="1">
        <v>0</v>
      </c>
      <c r="J2634" s="39" t="s">
        <v>7679</v>
      </c>
      <c r="K2634" s="1">
        <v>0</v>
      </c>
      <c r="L2634" s="1">
        <v>2</v>
      </c>
      <c r="S2634" s="1" t="s">
        <v>7737</v>
      </c>
      <c r="T2634" s="1">
        <v>1</v>
      </c>
      <c r="U2634" s="19"/>
      <c r="V2634" s="19"/>
    </row>
    <row r="2635" spans="1:22" x14ac:dyDescent="0.3">
      <c r="A2635" s="1" t="s">
        <v>7738</v>
      </c>
      <c r="B2635" s="5">
        <v>46152</v>
      </c>
      <c r="C2635" s="6">
        <v>0.35416666666666669</v>
      </c>
      <c r="D2635" s="1" t="s">
        <v>891</v>
      </c>
      <c r="E2635" s="1" t="s">
        <v>7664</v>
      </c>
      <c r="F2635" s="1" t="s">
        <v>7739</v>
      </c>
      <c r="G2635" s="39" t="s">
        <v>7692</v>
      </c>
      <c r="H2635" s="1">
        <v>1</v>
      </c>
      <c r="I2635" s="1">
        <v>1</v>
      </c>
      <c r="J2635" s="39" t="s">
        <v>7718</v>
      </c>
      <c r="K2635" s="1">
        <v>1</v>
      </c>
      <c r="L2635" s="1">
        <v>1</v>
      </c>
      <c r="S2635" s="1" t="s">
        <v>7740</v>
      </c>
      <c r="T2635" s="1">
        <v>1</v>
      </c>
      <c r="U2635" s="19"/>
      <c r="V2635" s="19"/>
    </row>
    <row r="2636" spans="1:22" x14ac:dyDescent="0.3">
      <c r="A2636" s="1" t="s">
        <v>7741</v>
      </c>
      <c r="B2636" s="5">
        <v>46152</v>
      </c>
      <c r="C2636" s="6">
        <v>0.35416666666666669</v>
      </c>
      <c r="D2636" s="1" t="s">
        <v>891</v>
      </c>
      <c r="E2636" s="1" t="s">
        <v>7664</v>
      </c>
      <c r="F2636" s="1" t="s">
        <v>7742</v>
      </c>
      <c r="G2636" s="39" t="s">
        <v>7688</v>
      </c>
      <c r="H2636" s="1">
        <v>1</v>
      </c>
      <c r="I2636" s="1">
        <v>0</v>
      </c>
      <c r="J2636" s="39" t="s">
        <v>7666</v>
      </c>
      <c r="K2636" s="1">
        <v>0</v>
      </c>
      <c r="L2636" s="1">
        <v>1</v>
      </c>
      <c r="S2636" s="1" t="s">
        <v>7743</v>
      </c>
      <c r="T2636" s="1">
        <v>1</v>
      </c>
      <c r="U2636" s="19"/>
      <c r="V2636" s="19"/>
    </row>
    <row r="2637" spans="1:22" x14ac:dyDescent="0.3">
      <c r="A2637" s="1" t="s">
        <v>7744</v>
      </c>
      <c r="B2637" s="5">
        <v>46165</v>
      </c>
      <c r="C2637" s="6">
        <v>0.33333333333333331</v>
      </c>
      <c r="D2637" s="1" t="s">
        <v>891</v>
      </c>
      <c r="E2637" s="1" t="s">
        <v>7664</v>
      </c>
      <c r="F2637" s="1" t="s">
        <v>7745</v>
      </c>
      <c r="G2637" s="39" t="s">
        <v>7671</v>
      </c>
      <c r="H2637" s="1">
        <v>1</v>
      </c>
      <c r="I2637" s="1">
        <v>0</v>
      </c>
      <c r="J2637" s="39" t="s">
        <v>7667</v>
      </c>
      <c r="K2637" s="1">
        <v>0</v>
      </c>
      <c r="L2637" s="1">
        <v>1</v>
      </c>
      <c r="S2637" s="1" t="s">
        <v>7746</v>
      </c>
      <c r="T2637" s="1">
        <v>1</v>
      </c>
      <c r="U2637" s="19"/>
      <c r="V2637" s="19"/>
    </row>
    <row r="2638" spans="1:22" x14ac:dyDescent="0.3">
      <c r="A2638" s="1" t="s">
        <v>7747</v>
      </c>
      <c r="B2638" s="5">
        <v>46165</v>
      </c>
      <c r="C2638" s="6">
        <v>0.33333333333333331</v>
      </c>
      <c r="D2638" s="1" t="s">
        <v>891</v>
      </c>
      <c r="E2638" s="1" t="s">
        <v>7664</v>
      </c>
      <c r="F2638" s="1" t="s">
        <v>7748</v>
      </c>
      <c r="G2638" s="39" t="s">
        <v>7666</v>
      </c>
      <c r="H2638" s="1">
        <v>1</v>
      </c>
      <c r="I2638" s="1">
        <v>1</v>
      </c>
      <c r="J2638" s="39" t="s">
        <v>7675</v>
      </c>
      <c r="K2638" s="1">
        <v>1</v>
      </c>
      <c r="L2638" s="1">
        <v>1</v>
      </c>
      <c r="S2638" s="1" t="s">
        <v>7749</v>
      </c>
      <c r="T2638" s="1">
        <v>1</v>
      </c>
      <c r="U2638" s="19"/>
      <c r="V2638" s="19"/>
    </row>
    <row r="2639" spans="1:22" x14ac:dyDescent="0.3">
      <c r="A2639" s="1" t="s">
        <v>7750</v>
      </c>
      <c r="B2639" s="5">
        <v>46165</v>
      </c>
      <c r="C2639" s="6">
        <v>0.35416666666666669</v>
      </c>
      <c r="D2639" s="1" t="s">
        <v>891</v>
      </c>
      <c r="E2639" s="1" t="s">
        <v>7664</v>
      </c>
      <c r="F2639" s="1" t="s">
        <v>7751</v>
      </c>
      <c r="G2639" s="39" t="s">
        <v>7692</v>
      </c>
      <c r="H2639" s="1">
        <v>1</v>
      </c>
      <c r="I2639" s="1">
        <v>1</v>
      </c>
      <c r="J2639" s="39" t="s">
        <v>7700</v>
      </c>
      <c r="K2639" s="1">
        <v>1</v>
      </c>
      <c r="L2639" s="1">
        <v>1</v>
      </c>
      <c r="S2639" s="1" t="s">
        <v>7752</v>
      </c>
      <c r="T2639" s="1">
        <v>1</v>
      </c>
      <c r="U2639" s="19"/>
      <c r="V2639" s="19"/>
    </row>
    <row r="2640" spans="1:22" x14ac:dyDescent="0.3">
      <c r="A2640" s="1" t="s">
        <v>7753</v>
      </c>
      <c r="B2640" s="5">
        <v>46165</v>
      </c>
      <c r="C2640" s="6">
        <v>0.35416666666666669</v>
      </c>
      <c r="D2640" s="1" t="s">
        <v>891</v>
      </c>
      <c r="E2640" s="1" t="s">
        <v>7664</v>
      </c>
      <c r="F2640" s="1" t="s">
        <v>7754</v>
      </c>
      <c r="G2640" s="39" t="s">
        <v>7674</v>
      </c>
      <c r="H2640" s="1">
        <v>0</v>
      </c>
      <c r="I2640" s="1">
        <v>0</v>
      </c>
      <c r="J2640" s="39" t="s">
        <v>7688</v>
      </c>
      <c r="K2640" s="1">
        <v>0</v>
      </c>
      <c r="L2640" s="1">
        <v>0</v>
      </c>
      <c r="S2640" s="1" t="s">
        <v>7755</v>
      </c>
      <c r="T2640" s="1">
        <v>1</v>
      </c>
      <c r="U2640" s="19"/>
      <c r="V2640" s="19"/>
    </row>
    <row r="2641" spans="1:22" x14ac:dyDescent="0.3">
      <c r="A2641" s="1" t="s">
        <v>7756</v>
      </c>
      <c r="B2641" s="5">
        <v>46166</v>
      </c>
      <c r="C2641" s="6">
        <v>0.1875</v>
      </c>
      <c r="D2641" s="1" t="s">
        <v>891</v>
      </c>
      <c r="E2641" s="1" t="s">
        <v>7664</v>
      </c>
      <c r="F2641" s="1" t="s">
        <v>7757</v>
      </c>
      <c r="G2641" s="39" t="s">
        <v>7683</v>
      </c>
      <c r="H2641" s="1">
        <v>0</v>
      </c>
      <c r="I2641" s="1">
        <v>4</v>
      </c>
      <c r="J2641" s="39" t="s">
        <v>7714</v>
      </c>
      <c r="K2641" s="1">
        <v>4</v>
      </c>
      <c r="L2641" s="1">
        <v>0</v>
      </c>
      <c r="S2641" s="1" t="s">
        <v>7758</v>
      </c>
      <c r="T2641" s="1">
        <v>1</v>
      </c>
      <c r="U2641" s="19"/>
      <c r="V2641" s="19"/>
    </row>
    <row r="2642" spans="1:22" x14ac:dyDescent="0.3">
      <c r="A2642" s="1" t="s">
        <v>7759</v>
      </c>
      <c r="B2642" s="5">
        <v>46166</v>
      </c>
      <c r="C2642" s="6">
        <v>0.33333333333333331</v>
      </c>
      <c r="D2642" s="1" t="s">
        <v>891</v>
      </c>
      <c r="E2642" s="1" t="s">
        <v>7664</v>
      </c>
      <c r="F2642" s="1" t="s">
        <v>7760</v>
      </c>
      <c r="G2642" s="39" t="s">
        <v>7718</v>
      </c>
      <c r="H2642" s="1">
        <v>0</v>
      </c>
      <c r="I2642" s="1">
        <v>3</v>
      </c>
      <c r="J2642" s="39" t="s">
        <v>7701</v>
      </c>
      <c r="K2642" s="1">
        <v>3</v>
      </c>
      <c r="L2642" s="1">
        <v>0</v>
      </c>
      <c r="S2642" s="1" t="s">
        <v>7761</v>
      </c>
      <c r="T2642" s="1">
        <v>1</v>
      </c>
      <c r="U2642" s="19"/>
      <c r="V2642" s="19"/>
    </row>
    <row r="2643" spans="1:22" x14ac:dyDescent="0.3">
      <c r="A2643" s="1" t="s">
        <v>7762</v>
      </c>
      <c r="B2643" s="5">
        <v>46166</v>
      </c>
      <c r="C2643" s="6">
        <v>0.35416666666666669</v>
      </c>
      <c r="D2643" s="1" t="s">
        <v>891</v>
      </c>
      <c r="E2643" s="1" t="s">
        <v>7664</v>
      </c>
      <c r="F2643" s="1" t="s">
        <v>7763</v>
      </c>
      <c r="G2643" s="39" t="s">
        <v>7684</v>
      </c>
      <c r="H2643" s="1">
        <v>3</v>
      </c>
      <c r="I2643" s="1">
        <v>4</v>
      </c>
      <c r="J2643" s="39" t="s">
        <v>7696</v>
      </c>
      <c r="K2643" s="1">
        <v>4</v>
      </c>
      <c r="L2643" s="1">
        <v>3</v>
      </c>
      <c r="S2643" s="1" t="s">
        <v>7764</v>
      </c>
      <c r="T2643" s="1">
        <v>1</v>
      </c>
      <c r="U2643" s="19"/>
      <c r="V2643" s="19"/>
    </row>
    <row r="2644" spans="1:22" x14ac:dyDescent="0.3">
      <c r="A2644" s="1" t="s">
        <v>7765</v>
      </c>
      <c r="B2644" s="5">
        <v>46166</v>
      </c>
      <c r="C2644" s="6">
        <v>0.35416666666666669</v>
      </c>
      <c r="D2644" s="1" t="s">
        <v>891</v>
      </c>
      <c r="E2644" s="1" t="s">
        <v>7664</v>
      </c>
      <c r="F2644" s="1" t="s">
        <v>7766</v>
      </c>
      <c r="G2644" s="39" t="s">
        <v>7679</v>
      </c>
      <c r="H2644" s="1">
        <v>0</v>
      </c>
      <c r="I2644" s="1">
        <v>1</v>
      </c>
      <c r="J2644" s="39" t="s">
        <v>7670</v>
      </c>
      <c r="K2644" s="1">
        <v>1</v>
      </c>
      <c r="L2644" s="1">
        <v>0</v>
      </c>
      <c r="S2644" s="1" t="s">
        <v>7767</v>
      </c>
      <c r="T2644" s="1">
        <v>1</v>
      </c>
      <c r="U2644" s="19"/>
      <c r="V2644" s="19"/>
    </row>
    <row r="2645" spans="1:22" x14ac:dyDescent="0.3">
      <c r="A2645" s="1" t="s">
        <v>7768</v>
      </c>
      <c r="B2645" s="5">
        <v>46171</v>
      </c>
      <c r="C2645" s="6">
        <v>0.16666666666666666</v>
      </c>
      <c r="D2645" s="1" t="s">
        <v>891</v>
      </c>
      <c r="E2645" s="1" t="s">
        <v>7664</v>
      </c>
      <c r="F2645" s="1" t="s">
        <v>7769</v>
      </c>
      <c r="G2645" s="39" t="s">
        <v>7701</v>
      </c>
      <c r="H2645" s="1">
        <v>0</v>
      </c>
      <c r="I2645" s="1">
        <v>1</v>
      </c>
      <c r="J2645" s="39" t="s">
        <v>7675</v>
      </c>
      <c r="K2645" s="1">
        <v>1</v>
      </c>
      <c r="L2645" s="1">
        <v>0</v>
      </c>
      <c r="S2645" s="1" t="s">
        <v>7770</v>
      </c>
      <c r="T2645" s="1">
        <v>1</v>
      </c>
      <c r="U2645" s="19"/>
      <c r="V2645" s="19"/>
    </row>
    <row r="2646" spans="1:22" x14ac:dyDescent="0.3">
      <c r="A2646" s="1" t="s">
        <v>7771</v>
      </c>
      <c r="B2646" s="5">
        <v>46171</v>
      </c>
      <c r="C2646" s="6">
        <v>0.33333333333333331</v>
      </c>
      <c r="D2646" s="1" t="s">
        <v>891</v>
      </c>
      <c r="E2646" s="1" t="s">
        <v>7664</v>
      </c>
      <c r="F2646" s="1" t="s">
        <v>7772</v>
      </c>
      <c r="G2646" s="39" t="s">
        <v>7671</v>
      </c>
      <c r="H2646" s="1">
        <v>1</v>
      </c>
      <c r="I2646" s="1">
        <v>1</v>
      </c>
      <c r="J2646" s="39" t="s">
        <v>7688</v>
      </c>
      <c r="K2646" s="1">
        <v>1</v>
      </c>
      <c r="L2646" s="1">
        <v>1</v>
      </c>
      <c r="S2646" s="1" t="s">
        <v>7773</v>
      </c>
      <c r="T2646" s="1">
        <v>1</v>
      </c>
      <c r="U2646" s="19"/>
      <c r="V2646" s="19"/>
    </row>
    <row r="2647" spans="1:22" x14ac:dyDescent="0.3">
      <c r="A2647" s="1" t="s">
        <v>7774</v>
      </c>
      <c r="B2647" s="5">
        <v>46171</v>
      </c>
      <c r="C2647" s="6">
        <v>0.35416666666666669</v>
      </c>
      <c r="D2647" s="1" t="s">
        <v>891</v>
      </c>
      <c r="E2647" s="1" t="s">
        <v>7664</v>
      </c>
      <c r="F2647" s="1" t="s">
        <v>7775</v>
      </c>
      <c r="G2647" s="39" t="s">
        <v>7684</v>
      </c>
      <c r="H2647" s="1">
        <v>0</v>
      </c>
      <c r="I2647" s="1">
        <v>0</v>
      </c>
      <c r="J2647" s="39" t="s">
        <v>7714</v>
      </c>
      <c r="K2647" s="1">
        <v>0</v>
      </c>
      <c r="L2647" s="1">
        <v>0</v>
      </c>
      <c r="S2647" s="1" t="s">
        <v>7776</v>
      </c>
      <c r="T2647" s="1">
        <v>1</v>
      </c>
      <c r="U2647" s="19"/>
      <c r="V2647" s="19"/>
    </row>
    <row r="2648" spans="1:22" x14ac:dyDescent="0.3">
      <c r="A2648" s="1" t="s">
        <v>7777</v>
      </c>
      <c r="B2648" s="5">
        <v>46172</v>
      </c>
      <c r="C2648" s="6">
        <v>0.16666666666666666</v>
      </c>
      <c r="D2648" s="1" t="s">
        <v>891</v>
      </c>
      <c r="E2648" s="1" t="s">
        <v>7664</v>
      </c>
      <c r="F2648" s="1" t="s">
        <v>7778</v>
      </c>
      <c r="G2648" s="39" t="s">
        <v>7696</v>
      </c>
      <c r="H2648" s="1">
        <v>2</v>
      </c>
      <c r="I2648" s="1">
        <v>2</v>
      </c>
      <c r="J2648" s="39" t="s">
        <v>7683</v>
      </c>
      <c r="K2648" s="1">
        <v>2</v>
      </c>
      <c r="L2648" s="1">
        <v>2</v>
      </c>
      <c r="S2648" s="1" t="s">
        <v>7779</v>
      </c>
      <c r="T2648" s="1">
        <v>1</v>
      </c>
      <c r="U2648" s="19"/>
      <c r="V2648" s="19"/>
    </row>
    <row r="2649" spans="1:22" x14ac:dyDescent="0.3">
      <c r="A2649" s="1" t="s">
        <v>7780</v>
      </c>
      <c r="B2649" s="5">
        <v>46172</v>
      </c>
      <c r="C2649" s="6">
        <v>0.33333333333333331</v>
      </c>
      <c r="D2649" s="1" t="s">
        <v>891</v>
      </c>
      <c r="E2649" s="1" t="s">
        <v>7664</v>
      </c>
      <c r="F2649" s="1" t="s">
        <v>7781</v>
      </c>
      <c r="G2649" s="39" t="s">
        <v>7667</v>
      </c>
      <c r="H2649" s="1">
        <v>0</v>
      </c>
      <c r="I2649" s="1">
        <v>0</v>
      </c>
      <c r="J2649" s="39" t="s">
        <v>7679</v>
      </c>
      <c r="K2649" s="1">
        <v>0</v>
      </c>
      <c r="L2649" s="1">
        <v>0</v>
      </c>
      <c r="S2649" s="1" t="s">
        <v>7782</v>
      </c>
      <c r="T2649" s="1">
        <v>1</v>
      </c>
      <c r="U2649" s="19"/>
      <c r="V2649" s="19"/>
    </row>
    <row r="2650" spans="1:22" x14ac:dyDescent="0.3">
      <c r="A2650" s="1" t="s">
        <v>7783</v>
      </c>
      <c r="B2650" s="5">
        <v>46172</v>
      </c>
      <c r="C2650" s="6">
        <v>0.33333333333333331</v>
      </c>
      <c r="D2650" s="1" t="s">
        <v>891</v>
      </c>
      <c r="E2650" s="1" t="s">
        <v>7664</v>
      </c>
      <c r="F2650" s="1" t="s">
        <v>7784</v>
      </c>
      <c r="G2650" s="39" t="s">
        <v>7718</v>
      </c>
      <c r="H2650" s="1">
        <v>1</v>
      </c>
      <c r="I2650" s="1">
        <v>3</v>
      </c>
      <c r="J2650" s="39" t="s">
        <v>7666</v>
      </c>
      <c r="K2650" s="1">
        <v>3</v>
      </c>
      <c r="L2650" s="1">
        <v>1</v>
      </c>
      <c r="S2650" s="1" t="s">
        <v>7785</v>
      </c>
      <c r="T2650" s="1">
        <v>1</v>
      </c>
      <c r="U2650" s="19"/>
      <c r="V2650" s="19"/>
    </row>
    <row r="2651" spans="1:22" x14ac:dyDescent="0.3">
      <c r="A2651" s="1" t="s">
        <v>7786</v>
      </c>
      <c r="B2651" s="5">
        <v>46172</v>
      </c>
      <c r="C2651" s="6">
        <v>0.35416666666666669</v>
      </c>
      <c r="D2651" s="1" t="s">
        <v>891</v>
      </c>
      <c r="E2651" s="1" t="s">
        <v>7664</v>
      </c>
      <c r="F2651" s="1" t="s">
        <v>7787</v>
      </c>
      <c r="G2651" s="39" t="s">
        <v>7674</v>
      </c>
      <c r="H2651" s="1">
        <v>3</v>
      </c>
      <c r="I2651" s="1">
        <v>3</v>
      </c>
      <c r="J2651" s="39" t="s">
        <v>7692</v>
      </c>
      <c r="K2651" s="1">
        <v>3</v>
      </c>
      <c r="L2651" s="1">
        <v>3</v>
      </c>
      <c r="S2651" s="1" t="s">
        <v>7788</v>
      </c>
      <c r="T2651" s="1">
        <v>1</v>
      </c>
      <c r="U2651" s="19"/>
      <c r="V2651" s="19"/>
    </row>
    <row r="2652" spans="1:22" x14ac:dyDescent="0.3">
      <c r="A2652" s="1" t="s">
        <v>7789</v>
      </c>
      <c r="B2652" s="5">
        <v>46172</v>
      </c>
      <c r="C2652" s="6">
        <v>0.35416666666666669</v>
      </c>
      <c r="D2652" s="1" t="s">
        <v>891</v>
      </c>
      <c r="E2652" s="1" t="s">
        <v>7664</v>
      </c>
      <c r="F2652" s="1" t="s">
        <v>7790</v>
      </c>
      <c r="G2652" s="39" t="s">
        <v>7670</v>
      </c>
      <c r="H2652" s="1">
        <v>2</v>
      </c>
      <c r="I2652" s="1">
        <v>2</v>
      </c>
      <c r="J2652" s="39" t="s">
        <v>7700</v>
      </c>
      <c r="K2652" s="1">
        <v>2</v>
      </c>
      <c r="L2652" s="1">
        <v>2</v>
      </c>
      <c r="S2652" s="1" t="s">
        <v>7791</v>
      </c>
      <c r="T2652" s="1">
        <v>1</v>
      </c>
      <c r="U2652" s="19"/>
      <c r="V2652" s="19"/>
    </row>
    <row r="2653" spans="1:22" x14ac:dyDescent="0.3">
      <c r="A2653" s="1" t="s">
        <v>7792</v>
      </c>
      <c r="B2653" s="5">
        <v>46186</v>
      </c>
      <c r="C2653" s="6">
        <v>0.1875</v>
      </c>
      <c r="D2653" s="1" t="s">
        <v>891</v>
      </c>
      <c r="E2653" s="1" t="s">
        <v>7664</v>
      </c>
      <c r="F2653" s="1" t="s">
        <v>7793</v>
      </c>
      <c r="G2653" s="39" t="s">
        <v>7683</v>
      </c>
      <c r="H2653" s="1">
        <v>2</v>
      </c>
      <c r="I2653" s="1">
        <v>1</v>
      </c>
      <c r="J2653" s="39" t="s">
        <v>7667</v>
      </c>
      <c r="K2653" s="1">
        <v>1</v>
      </c>
      <c r="L2653" s="1">
        <v>2</v>
      </c>
      <c r="S2653" s="1" t="s">
        <v>7794</v>
      </c>
      <c r="T2653" s="1">
        <v>1</v>
      </c>
      <c r="U2653" s="19"/>
      <c r="V2653" s="19"/>
    </row>
    <row r="2654" spans="1:22" x14ac:dyDescent="0.3">
      <c r="A2654" s="1" t="s">
        <v>7795</v>
      </c>
      <c r="B2654" s="5">
        <v>46186</v>
      </c>
      <c r="C2654" s="6">
        <v>0.35416666666666669</v>
      </c>
      <c r="D2654" s="1" t="s">
        <v>891</v>
      </c>
      <c r="E2654" s="1" t="s">
        <v>7664</v>
      </c>
      <c r="F2654" s="1" t="s">
        <v>7796</v>
      </c>
      <c r="G2654" s="39" t="s">
        <v>7675</v>
      </c>
      <c r="H2654" s="1">
        <v>1</v>
      </c>
      <c r="I2654" s="1">
        <v>2</v>
      </c>
      <c r="J2654" s="39" t="s">
        <v>7671</v>
      </c>
      <c r="K2654" s="1">
        <v>2</v>
      </c>
      <c r="L2654" s="1">
        <v>1</v>
      </c>
      <c r="S2654" s="1" t="s">
        <v>7797</v>
      </c>
      <c r="T2654" s="1">
        <v>1</v>
      </c>
      <c r="U2654" s="19"/>
      <c r="V2654" s="19"/>
    </row>
    <row r="2655" spans="1:22" x14ac:dyDescent="0.3">
      <c r="A2655" s="1" t="s">
        <v>7798</v>
      </c>
      <c r="B2655" s="5">
        <v>46186</v>
      </c>
      <c r="C2655" s="6">
        <v>0.35416666666666669</v>
      </c>
      <c r="D2655" s="1" t="s">
        <v>891</v>
      </c>
      <c r="E2655" s="1" t="s">
        <v>7664</v>
      </c>
      <c r="F2655" s="1" t="s">
        <v>7799</v>
      </c>
      <c r="G2655" s="39" t="s">
        <v>7679</v>
      </c>
      <c r="H2655" s="1">
        <v>1</v>
      </c>
      <c r="I2655" s="1">
        <v>1</v>
      </c>
      <c r="J2655" s="39" t="s">
        <v>7718</v>
      </c>
      <c r="K2655" s="1">
        <v>1</v>
      </c>
      <c r="L2655" s="1">
        <v>1</v>
      </c>
      <c r="S2655" s="1" t="s">
        <v>7800</v>
      </c>
      <c r="T2655" s="1">
        <v>1</v>
      </c>
      <c r="U2655" s="19"/>
      <c r="V2655" s="19"/>
    </row>
    <row r="2656" spans="1:22" x14ac:dyDescent="0.3">
      <c r="A2656" s="1" t="s">
        <v>7801</v>
      </c>
      <c r="B2656" s="5">
        <v>46186</v>
      </c>
      <c r="C2656" s="6">
        <v>0.375</v>
      </c>
      <c r="D2656" s="1" t="s">
        <v>891</v>
      </c>
      <c r="E2656" s="1" t="s">
        <v>7664</v>
      </c>
      <c r="F2656" s="1" t="s">
        <v>7802</v>
      </c>
      <c r="G2656" s="39" t="s">
        <v>7700</v>
      </c>
      <c r="H2656" s="1">
        <v>1</v>
      </c>
      <c r="I2656" s="1">
        <v>3</v>
      </c>
      <c r="J2656" s="39" t="s">
        <v>7684</v>
      </c>
      <c r="K2656" s="1">
        <v>3</v>
      </c>
      <c r="L2656" s="1">
        <v>1</v>
      </c>
      <c r="S2656" s="1" t="s">
        <v>7803</v>
      </c>
      <c r="T2656" s="1">
        <v>1</v>
      </c>
      <c r="U2656" s="19"/>
      <c r="V2656" s="19"/>
    </row>
    <row r="2657" spans="1:22" x14ac:dyDescent="0.3">
      <c r="A2657" s="1" t="s">
        <v>7804</v>
      </c>
      <c r="B2657" s="5">
        <v>46187</v>
      </c>
      <c r="C2657" s="6">
        <v>0.33333333333333331</v>
      </c>
      <c r="D2657" s="1" t="s">
        <v>891</v>
      </c>
      <c r="E2657" s="1" t="s">
        <v>7664</v>
      </c>
      <c r="F2657" s="1" t="s">
        <v>7805</v>
      </c>
      <c r="G2657" s="39" t="s">
        <v>7714</v>
      </c>
      <c r="H2657" s="1">
        <v>1</v>
      </c>
      <c r="I2657" s="1">
        <v>1</v>
      </c>
      <c r="J2657" s="39" t="s">
        <v>7674</v>
      </c>
      <c r="K2657" s="1">
        <v>1</v>
      </c>
      <c r="L2657" s="1">
        <v>1</v>
      </c>
      <c r="S2657" s="1" t="s">
        <v>7806</v>
      </c>
      <c r="T2657" s="1">
        <v>1</v>
      </c>
      <c r="U2657" s="19"/>
      <c r="V2657" s="19"/>
    </row>
    <row r="2658" spans="1:22" x14ac:dyDescent="0.3">
      <c r="A2658" s="1" t="s">
        <v>7807</v>
      </c>
      <c r="B2658" s="5">
        <v>46187</v>
      </c>
      <c r="C2658" s="6">
        <v>0.33333333333333331</v>
      </c>
      <c r="D2658" s="1" t="s">
        <v>891</v>
      </c>
      <c r="E2658" s="1" t="s">
        <v>7664</v>
      </c>
      <c r="F2658" s="1" t="s">
        <v>7808</v>
      </c>
      <c r="G2658" s="39" t="s">
        <v>7666</v>
      </c>
      <c r="H2658" s="1">
        <v>1</v>
      </c>
      <c r="I2658" s="1">
        <v>1</v>
      </c>
      <c r="J2658" s="39" t="s">
        <v>7670</v>
      </c>
      <c r="K2658" s="1">
        <v>1</v>
      </c>
      <c r="L2658" s="1">
        <v>1</v>
      </c>
      <c r="S2658" s="1" t="s">
        <v>7809</v>
      </c>
      <c r="T2658" s="1">
        <v>1</v>
      </c>
      <c r="U2658" s="19"/>
      <c r="V2658" s="19"/>
    </row>
    <row r="2659" spans="1:22" x14ac:dyDescent="0.3">
      <c r="A2659" s="1" t="s">
        <v>7810</v>
      </c>
      <c r="B2659" s="5">
        <v>46187</v>
      </c>
      <c r="C2659" s="6">
        <v>0.35416666666666669</v>
      </c>
      <c r="D2659" s="1" t="s">
        <v>891</v>
      </c>
      <c r="E2659" s="1" t="s">
        <v>7664</v>
      </c>
      <c r="F2659" s="1" t="s">
        <v>7811</v>
      </c>
      <c r="G2659" s="39" t="s">
        <v>7692</v>
      </c>
      <c r="H2659" s="1">
        <v>0</v>
      </c>
      <c r="I2659" s="1">
        <v>5</v>
      </c>
      <c r="J2659" s="39" t="s">
        <v>7701</v>
      </c>
      <c r="K2659" s="1">
        <v>5</v>
      </c>
      <c r="L2659" s="1">
        <v>0</v>
      </c>
      <c r="S2659" s="1" t="s">
        <v>7812</v>
      </c>
      <c r="T2659" s="1">
        <v>1</v>
      </c>
      <c r="U2659" s="19"/>
      <c r="V2659" s="19"/>
    </row>
    <row r="2660" spans="1:22" x14ac:dyDescent="0.3">
      <c r="A2660" s="1" t="s">
        <v>7813</v>
      </c>
      <c r="B2660" s="5">
        <v>46187</v>
      </c>
      <c r="C2660" s="6">
        <v>0.35416666666666669</v>
      </c>
      <c r="D2660" s="1" t="s">
        <v>891</v>
      </c>
      <c r="E2660" s="1" t="s">
        <v>7664</v>
      </c>
      <c r="F2660" s="1" t="s">
        <v>7814</v>
      </c>
      <c r="G2660" s="39" t="s">
        <v>7688</v>
      </c>
      <c r="H2660" s="1">
        <v>2</v>
      </c>
      <c r="I2660" s="1">
        <v>0</v>
      </c>
      <c r="J2660" s="39" t="s">
        <v>7696</v>
      </c>
      <c r="K2660" s="1">
        <v>0</v>
      </c>
      <c r="L2660" s="1">
        <v>2</v>
      </c>
      <c r="S2660" s="1" t="s">
        <v>7815</v>
      </c>
      <c r="T2660" s="1">
        <v>1</v>
      </c>
      <c r="U2660" s="19"/>
      <c r="V2660" s="19"/>
    </row>
    <row r="2661" spans="1:22" x14ac:dyDescent="0.3">
      <c r="A2661" s="1" t="s">
        <v>7816</v>
      </c>
      <c r="B2661" s="5">
        <v>46200</v>
      </c>
      <c r="C2661" s="6">
        <v>0.16666666666666666</v>
      </c>
      <c r="D2661" s="1" t="s">
        <v>891</v>
      </c>
      <c r="E2661" s="1" t="s">
        <v>7664</v>
      </c>
      <c r="F2661" s="1" t="s">
        <v>7817</v>
      </c>
      <c r="G2661" s="39" t="s">
        <v>7683</v>
      </c>
      <c r="H2661" s="1">
        <v>1</v>
      </c>
      <c r="I2661" s="1">
        <v>2</v>
      </c>
      <c r="J2661" s="39" t="s">
        <v>7674</v>
      </c>
      <c r="K2661" s="1">
        <v>2</v>
      </c>
      <c r="L2661" s="1">
        <v>1</v>
      </c>
      <c r="S2661" s="1" t="s">
        <v>7818</v>
      </c>
      <c r="T2661" s="1">
        <v>1</v>
      </c>
      <c r="U2661" s="19"/>
      <c r="V2661" s="19"/>
    </row>
    <row r="2662" spans="1:22" x14ac:dyDescent="0.3">
      <c r="A2662" s="1" t="s">
        <v>7819</v>
      </c>
      <c r="B2662" s="5">
        <v>46200</v>
      </c>
      <c r="C2662" s="6">
        <v>0.16666666666666666</v>
      </c>
      <c r="D2662" s="1" t="s">
        <v>891</v>
      </c>
      <c r="E2662" s="1" t="s">
        <v>7664</v>
      </c>
      <c r="F2662" s="1" t="s">
        <v>7820</v>
      </c>
      <c r="G2662" s="39" t="s">
        <v>7667</v>
      </c>
      <c r="H2662" s="1">
        <v>5</v>
      </c>
      <c r="I2662" s="1">
        <v>4</v>
      </c>
      <c r="J2662" s="39" t="s">
        <v>7714</v>
      </c>
      <c r="K2662" s="1">
        <v>4</v>
      </c>
      <c r="L2662" s="1">
        <v>5</v>
      </c>
      <c r="S2662" s="1" t="s">
        <v>7821</v>
      </c>
      <c r="T2662" s="1">
        <v>1</v>
      </c>
      <c r="U2662" s="19"/>
      <c r="V2662" s="19"/>
    </row>
    <row r="2663" spans="1:22" x14ac:dyDescent="0.3">
      <c r="A2663" s="1" t="s">
        <v>7822</v>
      </c>
      <c r="B2663" s="5">
        <v>46200</v>
      </c>
      <c r="C2663" s="6">
        <v>0.35416666666666669</v>
      </c>
      <c r="D2663" s="1" t="s">
        <v>891</v>
      </c>
      <c r="E2663" s="1" t="s">
        <v>7664</v>
      </c>
      <c r="F2663" s="1" t="s">
        <v>7823</v>
      </c>
      <c r="G2663" s="39" t="s">
        <v>7692</v>
      </c>
      <c r="H2663" s="1">
        <v>0</v>
      </c>
      <c r="I2663" s="1">
        <v>2</v>
      </c>
      <c r="J2663" s="39" t="s">
        <v>7696</v>
      </c>
      <c r="K2663" s="1">
        <v>2</v>
      </c>
      <c r="L2663" s="1">
        <v>0</v>
      </c>
      <c r="S2663" s="1" t="s">
        <v>7824</v>
      </c>
      <c r="T2663" s="1">
        <v>1</v>
      </c>
      <c r="U2663" s="19"/>
      <c r="V2663" s="19"/>
    </row>
    <row r="2664" spans="1:22" x14ac:dyDescent="0.3">
      <c r="A2664" s="1" t="s">
        <v>7825</v>
      </c>
      <c r="B2664" s="5">
        <v>46200</v>
      </c>
      <c r="C2664" s="6">
        <v>0.35416666666666669</v>
      </c>
      <c r="D2664" s="1" t="s">
        <v>891</v>
      </c>
      <c r="E2664" s="1" t="s">
        <v>7664</v>
      </c>
      <c r="F2664" s="1" t="s">
        <v>7826</v>
      </c>
      <c r="G2664" s="39" t="s">
        <v>7684</v>
      </c>
      <c r="H2664" s="1">
        <v>2</v>
      </c>
      <c r="I2664" s="1">
        <v>1</v>
      </c>
      <c r="J2664" s="39" t="s">
        <v>7701</v>
      </c>
      <c r="K2664" s="1">
        <v>1</v>
      </c>
      <c r="L2664" s="1">
        <v>2</v>
      </c>
      <c r="S2664" s="1" t="s">
        <v>7827</v>
      </c>
      <c r="T2664" s="1">
        <v>1</v>
      </c>
      <c r="U2664" s="19"/>
      <c r="V2664" s="19"/>
    </row>
    <row r="2665" spans="1:22" x14ac:dyDescent="0.3">
      <c r="A2665" s="1" t="s">
        <v>7828</v>
      </c>
      <c r="B2665" s="5">
        <v>46200</v>
      </c>
      <c r="C2665" s="6">
        <v>0.35416666666666669</v>
      </c>
      <c r="D2665" s="1" t="s">
        <v>891</v>
      </c>
      <c r="E2665" s="1" t="s">
        <v>7664</v>
      </c>
      <c r="F2665" s="1" t="s">
        <v>7829</v>
      </c>
      <c r="G2665" s="39" t="s">
        <v>7688</v>
      </c>
      <c r="H2665" s="1">
        <v>1</v>
      </c>
      <c r="I2665" s="1">
        <v>3</v>
      </c>
      <c r="J2665" s="39" t="s">
        <v>7670</v>
      </c>
      <c r="K2665" s="1">
        <v>3</v>
      </c>
      <c r="L2665" s="1">
        <v>1</v>
      </c>
      <c r="S2665" s="1" t="s">
        <v>7830</v>
      </c>
      <c r="T2665" s="1">
        <v>1</v>
      </c>
      <c r="U2665" s="19"/>
      <c r="V2665" s="19"/>
    </row>
    <row r="2666" spans="1:22" x14ac:dyDescent="0.3">
      <c r="A2666" s="1" t="s">
        <v>7831</v>
      </c>
      <c r="B2666" s="5">
        <v>46200</v>
      </c>
      <c r="C2666" s="6">
        <v>0.35416666666666669</v>
      </c>
      <c r="D2666" s="1" t="s">
        <v>891</v>
      </c>
      <c r="E2666" s="1" t="s">
        <v>7664</v>
      </c>
      <c r="F2666" s="1" t="s">
        <v>7832</v>
      </c>
      <c r="G2666" s="39" t="s">
        <v>7679</v>
      </c>
      <c r="H2666" s="1">
        <v>2</v>
      </c>
      <c r="I2666" s="1">
        <v>1</v>
      </c>
      <c r="J2666" s="39" t="s">
        <v>7675</v>
      </c>
      <c r="K2666" s="1">
        <v>1</v>
      </c>
      <c r="L2666" s="1">
        <v>2</v>
      </c>
      <c r="S2666" s="1" t="s">
        <v>7833</v>
      </c>
      <c r="T2666" s="1">
        <v>1</v>
      </c>
      <c r="U2666" s="19"/>
      <c r="V2666" s="19"/>
    </row>
    <row r="2667" spans="1:22" x14ac:dyDescent="0.3">
      <c r="A2667" s="1" t="s">
        <v>7834</v>
      </c>
      <c r="B2667" s="5">
        <v>46201</v>
      </c>
      <c r="C2667" s="6">
        <v>0.33333333333333331</v>
      </c>
      <c r="D2667" s="1" t="s">
        <v>891</v>
      </c>
      <c r="E2667" s="1" t="s">
        <v>7664</v>
      </c>
      <c r="F2667" s="1" t="s">
        <v>7835</v>
      </c>
      <c r="G2667" s="39" t="s">
        <v>7718</v>
      </c>
      <c r="H2667" s="1">
        <v>1</v>
      </c>
      <c r="I2667" s="1">
        <v>2</v>
      </c>
      <c r="J2667" s="39" t="s">
        <v>7671</v>
      </c>
      <c r="K2667" s="1">
        <v>2</v>
      </c>
      <c r="L2667" s="1">
        <v>1</v>
      </c>
      <c r="S2667" s="1" t="s">
        <v>7836</v>
      </c>
      <c r="T2667" s="1">
        <v>1</v>
      </c>
      <c r="U2667" s="19"/>
      <c r="V2667" s="19"/>
    </row>
    <row r="2668" spans="1:22" x14ac:dyDescent="0.3">
      <c r="A2668" s="1" t="s">
        <v>7837</v>
      </c>
      <c r="B2668" s="5">
        <v>46201</v>
      </c>
      <c r="C2668" s="6">
        <v>0.375</v>
      </c>
      <c r="D2668" s="1" t="s">
        <v>891</v>
      </c>
      <c r="E2668" s="1" t="s">
        <v>7664</v>
      </c>
      <c r="F2668" s="1" t="s">
        <v>7838</v>
      </c>
      <c r="G2668" s="39" t="s">
        <v>7700</v>
      </c>
      <c r="H2668" s="1">
        <v>3</v>
      </c>
      <c r="I2668" s="1">
        <v>3</v>
      </c>
      <c r="J2668" s="39" t="s">
        <v>7666</v>
      </c>
      <c r="K2668" s="1">
        <v>3</v>
      </c>
      <c r="L2668" s="1">
        <v>3</v>
      </c>
      <c r="S2668" s="1" t="s">
        <v>7839</v>
      </c>
      <c r="T2668" s="1">
        <v>1</v>
      </c>
      <c r="U2668" s="19"/>
      <c r="V2668" s="19"/>
    </row>
    <row r="2669" spans="1:22" x14ac:dyDescent="0.3">
      <c r="A2669" s="1" t="s">
        <v>7840</v>
      </c>
      <c r="B2669" s="5">
        <v>46207</v>
      </c>
      <c r="C2669" s="6">
        <v>0.29166666666666663</v>
      </c>
      <c r="D2669" s="1" t="s">
        <v>891</v>
      </c>
      <c r="E2669" s="1" t="s">
        <v>7664</v>
      </c>
      <c r="F2669" s="1" t="s">
        <v>7841</v>
      </c>
      <c r="G2669" s="39" t="s">
        <v>7696</v>
      </c>
      <c r="H2669" s="1">
        <v>3</v>
      </c>
      <c r="I2669" s="1">
        <v>0</v>
      </c>
      <c r="J2669" s="39" t="s">
        <v>7700</v>
      </c>
      <c r="K2669" s="1">
        <v>0</v>
      </c>
      <c r="L2669" s="1">
        <v>3</v>
      </c>
      <c r="S2669" s="1" t="s">
        <v>7842</v>
      </c>
      <c r="T2669" s="1">
        <v>1</v>
      </c>
      <c r="U2669" s="19"/>
      <c r="V2669" s="19"/>
    </row>
    <row r="2670" spans="1:22" x14ac:dyDescent="0.3">
      <c r="A2670" s="1" t="s">
        <v>7843</v>
      </c>
      <c r="B2670" s="5">
        <v>46207</v>
      </c>
      <c r="C2670" s="6">
        <v>0.33333333333333365</v>
      </c>
      <c r="D2670" s="1" t="s">
        <v>891</v>
      </c>
      <c r="E2670" s="1" t="s">
        <v>7664</v>
      </c>
      <c r="F2670" s="1" t="s">
        <v>7844</v>
      </c>
      <c r="G2670" s="39" t="s">
        <v>7671</v>
      </c>
      <c r="H2670" s="1">
        <v>2</v>
      </c>
      <c r="I2670" s="1">
        <v>1</v>
      </c>
      <c r="J2670" s="39" t="s">
        <v>7679</v>
      </c>
      <c r="K2670" s="1">
        <v>1</v>
      </c>
      <c r="L2670" s="1">
        <v>2</v>
      </c>
      <c r="S2670" s="1" t="s">
        <v>7845</v>
      </c>
      <c r="T2670" s="1">
        <v>1</v>
      </c>
      <c r="U2670" s="19"/>
      <c r="V2670" s="19"/>
    </row>
    <row r="2671" spans="1:22" x14ac:dyDescent="0.3">
      <c r="A2671" s="1" t="s">
        <v>7846</v>
      </c>
      <c r="B2671" s="5">
        <v>46207</v>
      </c>
      <c r="C2671" s="6">
        <v>0.33333333333333365</v>
      </c>
      <c r="D2671" s="1" t="s">
        <v>891</v>
      </c>
      <c r="E2671" s="1" t="s">
        <v>7664</v>
      </c>
      <c r="F2671" s="1" t="s">
        <v>7847</v>
      </c>
      <c r="G2671" s="39" t="s">
        <v>7701</v>
      </c>
      <c r="H2671" s="1">
        <v>2</v>
      </c>
      <c r="I2671" s="1">
        <v>1</v>
      </c>
      <c r="J2671" s="39" t="s">
        <v>7666</v>
      </c>
      <c r="K2671" s="1">
        <v>1</v>
      </c>
      <c r="L2671" s="1">
        <v>2</v>
      </c>
      <c r="S2671" s="1" t="s">
        <v>7848</v>
      </c>
      <c r="T2671" s="1">
        <v>1</v>
      </c>
      <c r="U2671" s="19"/>
      <c r="V2671" s="19"/>
    </row>
    <row r="2672" spans="1:22" x14ac:dyDescent="0.3">
      <c r="A2672" s="1" t="s">
        <v>7849</v>
      </c>
      <c r="B2672" s="5">
        <v>46207</v>
      </c>
      <c r="C2672" s="6">
        <v>0.33333333333333365</v>
      </c>
      <c r="D2672" s="1" t="s">
        <v>891</v>
      </c>
      <c r="E2672" s="1" t="s">
        <v>7664</v>
      </c>
      <c r="F2672" s="1" t="s">
        <v>7850</v>
      </c>
      <c r="G2672" s="39" t="s">
        <v>7714</v>
      </c>
      <c r="H2672" s="1">
        <v>0</v>
      </c>
      <c r="I2672" s="1">
        <v>0</v>
      </c>
      <c r="J2672" s="39" t="s">
        <v>7688</v>
      </c>
      <c r="K2672" s="1">
        <v>0</v>
      </c>
      <c r="L2672" s="1">
        <v>0</v>
      </c>
      <c r="S2672" s="1" t="s">
        <v>7851</v>
      </c>
      <c r="T2672" s="1">
        <v>1</v>
      </c>
      <c r="U2672" s="19"/>
      <c r="V2672" s="19"/>
    </row>
    <row r="2673" spans="1:22" x14ac:dyDescent="0.3">
      <c r="A2673" s="1" t="s">
        <v>7852</v>
      </c>
      <c r="B2673" s="5">
        <v>46207</v>
      </c>
      <c r="C2673" s="6">
        <v>0.33333333333333365</v>
      </c>
      <c r="D2673" s="1" t="s">
        <v>891</v>
      </c>
      <c r="E2673" s="1" t="s">
        <v>7664</v>
      </c>
      <c r="F2673" s="1" t="s">
        <v>7853</v>
      </c>
      <c r="G2673" s="39" t="s">
        <v>7718</v>
      </c>
      <c r="H2673" s="1">
        <v>2</v>
      </c>
      <c r="I2673" s="1">
        <v>2</v>
      </c>
      <c r="J2673" s="39" t="s">
        <v>7684</v>
      </c>
      <c r="K2673" s="1">
        <v>2</v>
      </c>
      <c r="L2673" s="1">
        <v>2</v>
      </c>
      <c r="S2673" s="1" t="s">
        <v>7854</v>
      </c>
      <c r="T2673" s="1">
        <v>1</v>
      </c>
      <c r="U2673" s="19"/>
      <c r="V2673" s="19"/>
    </row>
    <row r="2674" spans="1:22" x14ac:dyDescent="0.3">
      <c r="A2674" s="1" t="s">
        <v>7855</v>
      </c>
      <c r="B2674" s="5">
        <v>46208</v>
      </c>
      <c r="C2674" s="6">
        <v>0.35416666666666663</v>
      </c>
      <c r="D2674" s="1" t="s">
        <v>891</v>
      </c>
      <c r="E2674" s="1" t="s">
        <v>7664</v>
      </c>
      <c r="F2674" s="1" t="s">
        <v>7856</v>
      </c>
      <c r="G2674" s="39" t="s">
        <v>7674</v>
      </c>
      <c r="H2674" s="1">
        <v>3</v>
      </c>
      <c r="I2674" s="1">
        <v>1</v>
      </c>
      <c r="J2674" s="39" t="s">
        <v>7667</v>
      </c>
      <c r="K2674" s="1">
        <v>1</v>
      </c>
      <c r="L2674" s="1">
        <v>3</v>
      </c>
      <c r="S2674" s="1" t="s">
        <v>7857</v>
      </c>
      <c r="T2674" s="1">
        <v>1</v>
      </c>
      <c r="U2674" s="19"/>
      <c r="V2674" s="19"/>
    </row>
    <row r="2675" spans="1:22" x14ac:dyDescent="0.3">
      <c r="A2675" s="1" t="s">
        <v>7858</v>
      </c>
      <c r="B2675" s="5">
        <v>46208</v>
      </c>
      <c r="C2675" s="6">
        <v>0.35416666666666663</v>
      </c>
      <c r="D2675" s="1" t="s">
        <v>891</v>
      </c>
      <c r="E2675" s="1" t="s">
        <v>7664</v>
      </c>
      <c r="F2675" s="1" t="s">
        <v>7859</v>
      </c>
      <c r="G2675" s="39" t="s">
        <v>7670</v>
      </c>
      <c r="H2675" s="1">
        <v>1</v>
      </c>
      <c r="I2675" s="1">
        <v>3</v>
      </c>
      <c r="J2675" s="39" t="s">
        <v>7683</v>
      </c>
      <c r="K2675" s="1">
        <v>3</v>
      </c>
      <c r="L2675" s="1">
        <v>1</v>
      </c>
      <c r="S2675" s="1" t="s">
        <v>7860</v>
      </c>
      <c r="T2675" s="1">
        <v>1</v>
      </c>
      <c r="U2675" s="19"/>
      <c r="V2675" s="19"/>
    </row>
    <row r="2676" spans="1:22" x14ac:dyDescent="0.3">
      <c r="A2676" s="1" t="s">
        <v>7861</v>
      </c>
      <c r="B2676" s="5">
        <v>46208</v>
      </c>
      <c r="C2676" s="6">
        <v>0.35416666666666663</v>
      </c>
      <c r="D2676" s="1" t="s">
        <v>891</v>
      </c>
      <c r="E2676" s="1" t="s">
        <v>7664</v>
      </c>
      <c r="F2676" s="1" t="s">
        <v>7862</v>
      </c>
      <c r="G2676" s="39" t="s">
        <v>7675</v>
      </c>
      <c r="H2676" s="1">
        <v>3</v>
      </c>
      <c r="I2676" s="1">
        <v>1</v>
      </c>
      <c r="J2676" s="39" t="s">
        <v>7692</v>
      </c>
      <c r="K2676" s="1">
        <v>1</v>
      </c>
      <c r="L2676" s="1">
        <v>3</v>
      </c>
      <c r="S2676" s="1" t="s">
        <v>7863</v>
      </c>
      <c r="T2676" s="1">
        <v>1</v>
      </c>
      <c r="U2676" s="19"/>
      <c r="V2676" s="19"/>
    </row>
    <row r="2677" spans="1:22" x14ac:dyDescent="0.3">
      <c r="A2677" s="1" t="s">
        <v>7864</v>
      </c>
      <c r="B2677" s="5">
        <v>46214</v>
      </c>
      <c r="C2677" s="6">
        <v>0.29166666666666663</v>
      </c>
      <c r="D2677" s="1" t="s">
        <v>891</v>
      </c>
      <c r="E2677" s="1" t="s">
        <v>7664</v>
      </c>
      <c r="F2677" s="1" t="s">
        <v>7865</v>
      </c>
      <c r="G2677" s="39" t="s">
        <v>7696</v>
      </c>
      <c r="H2677" s="1">
        <v>3</v>
      </c>
      <c r="I2677" s="1">
        <v>1</v>
      </c>
      <c r="J2677" s="39" t="s">
        <v>7718</v>
      </c>
      <c r="K2677" s="1">
        <v>1</v>
      </c>
      <c r="L2677" s="1">
        <v>3</v>
      </c>
      <c r="S2677" s="1" t="s">
        <v>7866</v>
      </c>
      <c r="T2677" s="1">
        <v>1</v>
      </c>
      <c r="U2677" s="19"/>
      <c r="V2677" s="19"/>
    </row>
    <row r="2678" spans="1:22" x14ac:dyDescent="0.3">
      <c r="A2678" s="1" t="s">
        <v>7867</v>
      </c>
      <c r="B2678" s="5">
        <v>46214</v>
      </c>
      <c r="C2678" s="6">
        <v>0.33333333333333365</v>
      </c>
      <c r="D2678" s="1" t="s">
        <v>891</v>
      </c>
      <c r="E2678" s="1" t="s">
        <v>7664</v>
      </c>
      <c r="F2678" s="1" t="s">
        <v>7868</v>
      </c>
      <c r="G2678" s="39" t="s">
        <v>7667</v>
      </c>
      <c r="H2678" s="1">
        <v>2</v>
      </c>
      <c r="I2678" s="1">
        <v>0</v>
      </c>
      <c r="J2678" s="39" t="s">
        <v>7675</v>
      </c>
      <c r="K2678" s="1">
        <v>0</v>
      </c>
      <c r="L2678" s="1">
        <v>2</v>
      </c>
      <c r="S2678" s="1" t="s">
        <v>7869</v>
      </c>
      <c r="T2678" s="1">
        <v>1</v>
      </c>
      <c r="U2678" s="19"/>
      <c r="V2678" s="19"/>
    </row>
    <row r="2679" spans="1:22" x14ac:dyDescent="0.3">
      <c r="A2679" s="1" t="s">
        <v>7870</v>
      </c>
      <c r="B2679" s="5">
        <v>46214</v>
      </c>
      <c r="C2679" s="6">
        <v>0.33333333333333365</v>
      </c>
      <c r="D2679" s="1" t="s">
        <v>891</v>
      </c>
      <c r="E2679" s="1" t="s">
        <v>7664</v>
      </c>
      <c r="F2679" s="1" t="s">
        <v>7871</v>
      </c>
      <c r="G2679" s="39" t="s">
        <v>7701</v>
      </c>
      <c r="H2679" s="1">
        <v>4</v>
      </c>
      <c r="I2679" s="1">
        <v>0</v>
      </c>
      <c r="J2679" s="39" t="s">
        <v>7670</v>
      </c>
      <c r="K2679" s="1">
        <v>0</v>
      </c>
      <c r="L2679" s="1">
        <v>4</v>
      </c>
      <c r="S2679" s="1" t="s">
        <v>7872</v>
      </c>
      <c r="T2679" s="1">
        <v>1</v>
      </c>
      <c r="U2679" s="19"/>
      <c r="V2679" s="19"/>
    </row>
    <row r="2680" spans="1:22" x14ac:dyDescent="0.3">
      <c r="A2680" s="1" t="s">
        <v>7873</v>
      </c>
      <c r="B2680" s="5">
        <v>46214</v>
      </c>
      <c r="C2680" s="6">
        <v>0.35416666666666663</v>
      </c>
      <c r="D2680" s="1" t="s">
        <v>891</v>
      </c>
      <c r="E2680" s="1" t="s">
        <v>7664</v>
      </c>
      <c r="F2680" s="1" t="s">
        <v>7874</v>
      </c>
      <c r="G2680" s="39" t="s">
        <v>7684</v>
      </c>
      <c r="H2680" s="1">
        <v>2</v>
      </c>
      <c r="I2680" s="1">
        <v>0</v>
      </c>
      <c r="J2680" s="39" t="s">
        <v>7679</v>
      </c>
      <c r="K2680" s="1">
        <v>0</v>
      </c>
      <c r="L2680" s="1">
        <v>2</v>
      </c>
      <c r="S2680" s="1" t="s">
        <v>7875</v>
      </c>
      <c r="T2680" s="1">
        <v>1</v>
      </c>
      <c r="U2680" s="19"/>
      <c r="V2680" s="19"/>
    </row>
    <row r="2681" spans="1:22" x14ac:dyDescent="0.3">
      <c r="A2681" s="1" t="s">
        <v>7876</v>
      </c>
      <c r="B2681" s="5">
        <v>46215</v>
      </c>
      <c r="C2681" s="6">
        <v>0.33333333333333365</v>
      </c>
      <c r="D2681" s="1" t="s">
        <v>891</v>
      </c>
      <c r="E2681" s="1" t="s">
        <v>7664</v>
      </c>
      <c r="F2681" s="1" t="s">
        <v>7877</v>
      </c>
      <c r="G2681" s="39" t="s">
        <v>7714</v>
      </c>
      <c r="H2681" s="1">
        <v>3</v>
      </c>
      <c r="I2681" s="1">
        <v>3</v>
      </c>
      <c r="J2681" s="39" t="s">
        <v>7700</v>
      </c>
      <c r="K2681" s="1">
        <v>3</v>
      </c>
      <c r="L2681" s="1">
        <v>3</v>
      </c>
      <c r="S2681" s="1" t="s">
        <v>7878</v>
      </c>
      <c r="T2681" s="1">
        <v>1</v>
      </c>
      <c r="U2681" s="19"/>
      <c r="V2681" s="19"/>
    </row>
    <row r="2682" spans="1:22" x14ac:dyDescent="0.3">
      <c r="A2682" s="1" t="s">
        <v>7879</v>
      </c>
      <c r="B2682" s="5">
        <v>46216</v>
      </c>
      <c r="C2682" s="6">
        <v>0.33333333333333365</v>
      </c>
      <c r="D2682" s="1" t="s">
        <v>891</v>
      </c>
      <c r="E2682" s="1" t="s">
        <v>7664</v>
      </c>
      <c r="F2682" s="1" t="s">
        <v>7880</v>
      </c>
      <c r="G2682" s="39" t="s">
        <v>7671</v>
      </c>
      <c r="H2682" s="1">
        <v>1</v>
      </c>
      <c r="I2682" s="1">
        <v>0</v>
      </c>
      <c r="J2682" s="39" t="s">
        <v>7692</v>
      </c>
      <c r="K2682" s="1">
        <v>0</v>
      </c>
      <c r="L2682" s="1">
        <v>1</v>
      </c>
      <c r="S2682" s="1" t="s">
        <v>7881</v>
      </c>
      <c r="T2682" s="1">
        <v>1</v>
      </c>
      <c r="U2682" s="19"/>
      <c r="V2682" s="19"/>
    </row>
    <row r="2683" spans="1:22" x14ac:dyDescent="0.3">
      <c r="A2683" s="1" t="s">
        <v>7882</v>
      </c>
      <c r="B2683" s="5">
        <v>46220</v>
      </c>
      <c r="C2683" s="6">
        <v>0.33333333333333365</v>
      </c>
      <c r="D2683" s="1" t="s">
        <v>891</v>
      </c>
      <c r="E2683" s="1" t="s">
        <v>7664</v>
      </c>
      <c r="F2683" s="1" t="s">
        <v>7883</v>
      </c>
      <c r="G2683" s="39" t="s">
        <v>7683</v>
      </c>
      <c r="H2683" s="1">
        <v>1</v>
      </c>
      <c r="I2683" s="1">
        <v>5</v>
      </c>
      <c r="J2683" s="39" t="s">
        <v>7666</v>
      </c>
      <c r="K2683" s="1">
        <v>5</v>
      </c>
      <c r="L2683" s="1">
        <v>1</v>
      </c>
      <c r="S2683" s="1" t="s">
        <v>7884</v>
      </c>
      <c r="T2683" s="1">
        <v>1</v>
      </c>
      <c r="U2683" s="19"/>
      <c r="V2683" s="19"/>
    </row>
    <row r="2684" spans="1:22" x14ac:dyDescent="0.3">
      <c r="A2684" s="1" t="s">
        <v>7885</v>
      </c>
      <c r="B2684" s="5">
        <v>46220</v>
      </c>
      <c r="C2684" s="6">
        <v>0.33333333333333365</v>
      </c>
      <c r="D2684" s="1" t="s">
        <v>891</v>
      </c>
      <c r="E2684" s="1" t="s">
        <v>7664</v>
      </c>
      <c r="F2684" s="1" t="s">
        <v>7886</v>
      </c>
      <c r="G2684" s="39" t="s">
        <v>7718</v>
      </c>
      <c r="H2684" s="1">
        <v>0</v>
      </c>
      <c r="I2684" s="1">
        <v>0</v>
      </c>
      <c r="J2684" s="39" t="s">
        <v>7714</v>
      </c>
      <c r="K2684" s="1">
        <v>0</v>
      </c>
      <c r="L2684" s="1">
        <v>0</v>
      </c>
      <c r="S2684" s="1" t="s">
        <v>7887</v>
      </c>
      <c r="T2684" s="1">
        <v>1</v>
      </c>
      <c r="U2684" s="19"/>
      <c r="V2684" s="19"/>
    </row>
    <row r="2685" spans="1:22" x14ac:dyDescent="0.3">
      <c r="A2685" s="1" t="s">
        <v>7888</v>
      </c>
      <c r="B2685" s="5">
        <v>46220</v>
      </c>
      <c r="C2685" s="6">
        <v>0.35416666666666663</v>
      </c>
      <c r="D2685" s="1" t="s">
        <v>891</v>
      </c>
      <c r="E2685" s="1" t="s">
        <v>7664</v>
      </c>
      <c r="F2685" s="1" t="s">
        <v>7889</v>
      </c>
      <c r="G2685" s="39" t="s">
        <v>7692</v>
      </c>
      <c r="H2685" s="1">
        <v>1</v>
      </c>
      <c r="I2685" s="1">
        <v>2</v>
      </c>
      <c r="J2685" s="39" t="s">
        <v>7688</v>
      </c>
      <c r="K2685" s="1">
        <v>2</v>
      </c>
      <c r="L2685" s="1">
        <v>1</v>
      </c>
      <c r="S2685" s="1" t="s">
        <v>7890</v>
      </c>
      <c r="T2685" s="1">
        <v>1</v>
      </c>
      <c r="U2685" s="19"/>
      <c r="V2685" s="19"/>
    </row>
    <row r="2686" spans="1:22" x14ac:dyDescent="0.3">
      <c r="A2686" s="1" t="s">
        <v>7891</v>
      </c>
      <c r="B2686" s="5">
        <v>46220</v>
      </c>
      <c r="C2686" s="6">
        <v>0.35416666666666663</v>
      </c>
      <c r="D2686" s="1" t="s">
        <v>891</v>
      </c>
      <c r="E2686" s="1" t="s">
        <v>7664</v>
      </c>
      <c r="F2686" s="1" t="s">
        <v>7892</v>
      </c>
      <c r="G2686" s="39" t="s">
        <v>7679</v>
      </c>
      <c r="H2686" s="1">
        <v>0</v>
      </c>
      <c r="I2686" s="1">
        <v>0</v>
      </c>
      <c r="J2686" s="39" t="s">
        <v>7696</v>
      </c>
      <c r="K2686" s="1">
        <v>0</v>
      </c>
      <c r="L2686" s="1">
        <v>0</v>
      </c>
      <c r="S2686" s="1" t="s">
        <v>7893</v>
      </c>
      <c r="T2686" s="1">
        <v>1</v>
      </c>
      <c r="U2686" s="19"/>
      <c r="V2686" s="19"/>
    </row>
    <row r="2687" spans="1:22" x14ac:dyDescent="0.3">
      <c r="A2687" s="1" t="s">
        <v>7894</v>
      </c>
      <c r="B2687" s="5">
        <v>46221</v>
      </c>
      <c r="C2687" s="6">
        <v>0.35416666666666663</v>
      </c>
      <c r="D2687" s="1" t="s">
        <v>891</v>
      </c>
      <c r="E2687" s="1" t="s">
        <v>7664</v>
      </c>
      <c r="F2687" s="1" t="s">
        <v>7895</v>
      </c>
      <c r="G2687" s="39" t="s">
        <v>7674</v>
      </c>
      <c r="H2687" s="1">
        <v>3</v>
      </c>
      <c r="I2687" s="1">
        <v>0</v>
      </c>
      <c r="J2687" s="39" t="s">
        <v>7701</v>
      </c>
      <c r="K2687" s="1">
        <v>0</v>
      </c>
      <c r="L2687" s="1">
        <v>3</v>
      </c>
      <c r="S2687" s="1" t="s">
        <v>7896</v>
      </c>
      <c r="T2687" s="1">
        <v>1</v>
      </c>
      <c r="U2687" s="19"/>
      <c r="V2687" s="19"/>
    </row>
    <row r="2688" spans="1:22" x14ac:dyDescent="0.3">
      <c r="A2688" s="1" t="s">
        <v>7897</v>
      </c>
      <c r="B2688" s="5">
        <v>46221</v>
      </c>
      <c r="C2688" s="6">
        <v>0.35416666666666663</v>
      </c>
      <c r="D2688" s="1" t="s">
        <v>891</v>
      </c>
      <c r="E2688" s="1" t="s">
        <v>7664</v>
      </c>
      <c r="F2688" s="1" t="s">
        <v>7898</v>
      </c>
      <c r="G2688" s="39" t="s">
        <v>7670</v>
      </c>
      <c r="H2688" s="1">
        <v>2</v>
      </c>
      <c r="I2688" s="1">
        <v>0</v>
      </c>
      <c r="J2688" s="39" t="s">
        <v>7667</v>
      </c>
      <c r="K2688" s="1">
        <v>0</v>
      </c>
      <c r="L2688" s="1">
        <v>2</v>
      </c>
      <c r="S2688" s="1" t="s">
        <v>7899</v>
      </c>
      <c r="T2688" s="1">
        <v>1</v>
      </c>
      <c r="U2688" s="19"/>
      <c r="V2688" s="19"/>
    </row>
    <row r="2689" spans="1:22" x14ac:dyDescent="0.3">
      <c r="A2689" s="1" t="s">
        <v>7900</v>
      </c>
      <c r="B2689" s="5">
        <v>46221</v>
      </c>
      <c r="C2689" s="6">
        <v>0.35416666666666663</v>
      </c>
      <c r="D2689" s="1" t="s">
        <v>891</v>
      </c>
      <c r="E2689" s="1" t="s">
        <v>7664</v>
      </c>
      <c r="F2689" s="1" t="s">
        <v>7901</v>
      </c>
      <c r="G2689" s="39" t="s">
        <v>7675</v>
      </c>
      <c r="H2689" s="1">
        <v>0</v>
      </c>
      <c r="I2689" s="1">
        <v>1</v>
      </c>
      <c r="J2689" s="39" t="s">
        <v>7684</v>
      </c>
      <c r="K2689" s="1">
        <v>1</v>
      </c>
      <c r="L2689" s="1">
        <v>0</v>
      </c>
      <c r="S2689" s="1" t="s">
        <v>7902</v>
      </c>
      <c r="T2689" s="1">
        <v>1</v>
      </c>
      <c r="U2689" s="19"/>
      <c r="V2689" s="19"/>
    </row>
    <row r="2690" spans="1:22" x14ac:dyDescent="0.3">
      <c r="A2690" s="1" t="s">
        <v>7903</v>
      </c>
      <c r="B2690" s="5">
        <v>46221</v>
      </c>
      <c r="C2690" s="6">
        <v>0.37499999999999967</v>
      </c>
      <c r="D2690" s="1" t="s">
        <v>891</v>
      </c>
      <c r="E2690" s="1" t="s">
        <v>7664</v>
      </c>
      <c r="F2690" s="1" t="s">
        <v>7904</v>
      </c>
      <c r="G2690" s="39" t="s">
        <v>7700</v>
      </c>
      <c r="H2690" s="1">
        <v>0</v>
      </c>
      <c r="I2690" s="1">
        <v>1</v>
      </c>
      <c r="J2690" s="39" t="s">
        <v>7671</v>
      </c>
      <c r="K2690" s="1">
        <v>1</v>
      </c>
      <c r="L2690" s="1">
        <v>0</v>
      </c>
      <c r="S2690" s="1" t="s">
        <v>7905</v>
      </c>
      <c r="T2690" s="1">
        <v>1</v>
      </c>
      <c r="U2690" s="19"/>
      <c r="V2690" s="19"/>
    </row>
    <row r="2691" spans="1:22" x14ac:dyDescent="0.3">
      <c r="A2691" s="1" t="s">
        <v>7906</v>
      </c>
      <c r="B2691" s="5">
        <v>46228</v>
      </c>
      <c r="C2691" s="6">
        <v>0.33333333333333365</v>
      </c>
      <c r="D2691" s="1" t="s">
        <v>891</v>
      </c>
      <c r="E2691" s="1" t="s">
        <v>7664</v>
      </c>
      <c r="F2691" s="1" t="s">
        <v>7907</v>
      </c>
      <c r="G2691" s="39" t="s">
        <v>7683</v>
      </c>
      <c r="H2691" s="1">
        <v>2</v>
      </c>
      <c r="I2691" s="1">
        <v>1</v>
      </c>
      <c r="J2691" s="39" t="s">
        <v>7675</v>
      </c>
      <c r="K2691" s="1">
        <v>1</v>
      </c>
      <c r="L2691" s="1">
        <v>2</v>
      </c>
      <c r="S2691" s="1" t="s">
        <v>7908</v>
      </c>
      <c r="T2691" s="1">
        <v>1</v>
      </c>
      <c r="U2691" s="19"/>
      <c r="V2691" s="19"/>
    </row>
    <row r="2692" spans="1:22" x14ac:dyDescent="0.3">
      <c r="A2692" s="1" t="s">
        <v>7909</v>
      </c>
      <c r="B2692" s="5">
        <v>46228</v>
      </c>
      <c r="C2692" s="6">
        <v>0.33333333333333365</v>
      </c>
      <c r="D2692" s="1" t="s">
        <v>891</v>
      </c>
      <c r="E2692" s="1" t="s">
        <v>7664</v>
      </c>
      <c r="F2692" s="1" t="s">
        <v>7910</v>
      </c>
      <c r="G2692" s="39" t="s">
        <v>7671</v>
      </c>
      <c r="H2692" s="1">
        <v>1</v>
      </c>
      <c r="I2692" s="1">
        <v>2</v>
      </c>
      <c r="J2692" s="39" t="s">
        <v>7684</v>
      </c>
      <c r="K2692" s="1">
        <v>2</v>
      </c>
      <c r="L2692" s="1">
        <v>1</v>
      </c>
      <c r="S2692" s="1" t="s">
        <v>7911</v>
      </c>
      <c r="T2692" s="1">
        <v>1</v>
      </c>
      <c r="U2692" s="19"/>
      <c r="V2692" s="19"/>
    </row>
    <row r="2693" spans="1:22" x14ac:dyDescent="0.3">
      <c r="A2693" s="1" t="s">
        <v>7912</v>
      </c>
      <c r="B2693" s="5">
        <v>46228</v>
      </c>
      <c r="C2693" s="6">
        <v>0.35416666666666663</v>
      </c>
      <c r="D2693" s="1" t="s">
        <v>891</v>
      </c>
      <c r="E2693" s="1" t="s">
        <v>7664</v>
      </c>
      <c r="F2693" s="1" t="s">
        <v>7913</v>
      </c>
      <c r="G2693" s="39" t="s">
        <v>7692</v>
      </c>
      <c r="H2693" s="1">
        <v>0</v>
      </c>
      <c r="I2693" s="1">
        <v>2</v>
      </c>
      <c r="J2693" s="39" t="s">
        <v>7666</v>
      </c>
      <c r="K2693" s="1">
        <v>2</v>
      </c>
      <c r="L2693" s="1">
        <v>0</v>
      </c>
      <c r="S2693" s="1" t="s">
        <v>7914</v>
      </c>
      <c r="T2693" s="1">
        <v>1</v>
      </c>
      <c r="U2693" s="19"/>
      <c r="V2693" s="19"/>
    </row>
    <row r="2694" spans="1:22" x14ac:dyDescent="0.3">
      <c r="A2694" s="1" t="s">
        <v>7915</v>
      </c>
      <c r="B2694" s="5">
        <v>46228</v>
      </c>
      <c r="C2694" s="6">
        <v>0.35416666666666663</v>
      </c>
      <c r="D2694" s="1" t="s">
        <v>891</v>
      </c>
      <c r="E2694" s="1" t="s">
        <v>7664</v>
      </c>
      <c r="F2694" s="1" t="s">
        <v>7916</v>
      </c>
      <c r="G2694" s="39" t="s">
        <v>7679</v>
      </c>
      <c r="H2694" s="1">
        <v>1</v>
      </c>
      <c r="I2694" s="1">
        <v>1</v>
      </c>
      <c r="J2694" s="39" t="s">
        <v>7688</v>
      </c>
      <c r="K2694" s="1">
        <v>1</v>
      </c>
      <c r="L2694" s="1">
        <v>1</v>
      </c>
      <c r="S2694" s="1" t="s">
        <v>7917</v>
      </c>
      <c r="T2694" s="1">
        <v>1</v>
      </c>
      <c r="U2694" s="19"/>
      <c r="V2694" s="19"/>
    </row>
    <row r="2695" spans="1:22" x14ac:dyDescent="0.3">
      <c r="A2695" s="1" t="s">
        <v>7918</v>
      </c>
      <c r="B2695" s="5">
        <v>46228</v>
      </c>
      <c r="C2695" s="6">
        <v>0.37499999999999967</v>
      </c>
      <c r="D2695" s="1" t="s">
        <v>891</v>
      </c>
      <c r="E2695" s="1" t="s">
        <v>7664</v>
      </c>
      <c r="F2695" s="1" t="s">
        <v>7919</v>
      </c>
      <c r="G2695" s="39" t="s">
        <v>7701</v>
      </c>
      <c r="H2695" s="1">
        <v>3</v>
      </c>
      <c r="I2695" s="1">
        <v>0</v>
      </c>
      <c r="J2695" s="39" t="s">
        <v>7714</v>
      </c>
      <c r="K2695" s="1">
        <v>0</v>
      </c>
      <c r="L2695" s="1">
        <v>3</v>
      </c>
      <c r="S2695" s="1" t="s">
        <v>7920</v>
      </c>
      <c r="T2695" s="1">
        <v>1</v>
      </c>
      <c r="U2695" s="19"/>
      <c r="V2695" s="19"/>
    </row>
    <row r="2696" spans="1:22" x14ac:dyDescent="0.3">
      <c r="A2696" s="1" t="s">
        <v>7921</v>
      </c>
      <c r="B2696" s="5">
        <v>46229</v>
      </c>
      <c r="C2696" s="6">
        <v>0.29166666666666663</v>
      </c>
      <c r="D2696" s="1" t="s">
        <v>891</v>
      </c>
      <c r="E2696" s="1" t="s">
        <v>7664</v>
      </c>
      <c r="F2696" s="1" t="s">
        <v>7922</v>
      </c>
      <c r="G2696" s="39" t="s">
        <v>7696</v>
      </c>
      <c r="H2696" s="1">
        <v>2</v>
      </c>
      <c r="I2696" s="1">
        <v>1</v>
      </c>
      <c r="J2696" s="39" t="s">
        <v>7670</v>
      </c>
      <c r="K2696" s="1">
        <v>1</v>
      </c>
      <c r="L2696" s="1">
        <v>2</v>
      </c>
      <c r="S2696" s="1" t="s">
        <v>7923</v>
      </c>
      <c r="T2696" s="1">
        <v>1</v>
      </c>
      <c r="U2696" s="19"/>
      <c r="V2696" s="19"/>
    </row>
    <row r="2697" spans="1:22" x14ac:dyDescent="0.3">
      <c r="A2697" s="1" t="s">
        <v>7924</v>
      </c>
      <c r="B2697" s="5">
        <v>46229</v>
      </c>
      <c r="C2697" s="6">
        <v>0.33333333333333365</v>
      </c>
      <c r="D2697" s="1" t="s">
        <v>891</v>
      </c>
      <c r="E2697" s="1" t="s">
        <v>7664</v>
      </c>
      <c r="F2697" s="1" t="s">
        <v>7925</v>
      </c>
      <c r="G2697" s="39" t="s">
        <v>7667</v>
      </c>
      <c r="H2697" s="1">
        <v>0</v>
      </c>
      <c r="I2697" s="1">
        <v>0</v>
      </c>
      <c r="J2697" s="39" t="s">
        <v>7718</v>
      </c>
      <c r="K2697" s="1">
        <v>0</v>
      </c>
      <c r="L2697" s="1">
        <v>0</v>
      </c>
      <c r="S2697" s="1" t="s">
        <v>7926</v>
      </c>
      <c r="T2697" s="1">
        <v>1</v>
      </c>
      <c r="U2697" s="19"/>
      <c r="V2697" s="19"/>
    </row>
    <row r="2698" spans="1:22" x14ac:dyDescent="0.3">
      <c r="A2698" s="1" t="s">
        <v>7927</v>
      </c>
      <c r="B2698" s="5">
        <v>46229</v>
      </c>
      <c r="C2698" s="6">
        <v>0.35416666666666663</v>
      </c>
      <c r="D2698" s="1" t="s">
        <v>891</v>
      </c>
      <c r="E2698" s="1" t="s">
        <v>7664</v>
      </c>
      <c r="F2698" s="1" t="s">
        <v>7928</v>
      </c>
      <c r="G2698" s="39" t="s">
        <v>7674</v>
      </c>
      <c r="H2698" s="1">
        <v>4</v>
      </c>
      <c r="I2698" s="1">
        <v>4</v>
      </c>
      <c r="J2698" s="39" t="s">
        <v>7700</v>
      </c>
      <c r="K2698" s="1">
        <v>4</v>
      </c>
      <c r="L2698" s="1">
        <v>4</v>
      </c>
      <c r="S2698" s="1" t="s">
        <v>7929</v>
      </c>
      <c r="T2698" s="1">
        <v>1</v>
      </c>
      <c r="U2698" s="19"/>
      <c r="V2698" s="19"/>
    </row>
    <row r="2699" spans="1:22" x14ac:dyDescent="0.3">
      <c r="A2699" s="1" t="s">
        <v>7930</v>
      </c>
      <c r="B2699" s="5">
        <v>46235</v>
      </c>
      <c r="C2699" s="6">
        <v>0.29166666666666663</v>
      </c>
      <c r="D2699" s="1" t="s">
        <v>891</v>
      </c>
      <c r="E2699" s="1" t="s">
        <v>7664</v>
      </c>
      <c r="F2699" s="1" t="s">
        <v>7931</v>
      </c>
      <c r="G2699" s="39" t="s">
        <v>7696</v>
      </c>
      <c r="H2699" s="1">
        <v>1</v>
      </c>
      <c r="I2699" s="1">
        <v>1</v>
      </c>
      <c r="J2699" s="39" t="s">
        <v>7675</v>
      </c>
      <c r="K2699" s="1">
        <v>1</v>
      </c>
      <c r="L2699" s="1">
        <v>1</v>
      </c>
      <c r="S2699" s="1" t="s">
        <v>7932</v>
      </c>
      <c r="T2699" s="1">
        <v>1</v>
      </c>
      <c r="U2699" s="19"/>
      <c r="V2699" s="19"/>
    </row>
    <row r="2700" spans="1:22" x14ac:dyDescent="0.3">
      <c r="A2700" s="1" t="s">
        <v>7933</v>
      </c>
      <c r="B2700" s="5">
        <v>46235</v>
      </c>
      <c r="C2700" s="6">
        <v>0.33333333333333365</v>
      </c>
      <c r="D2700" s="1" t="s">
        <v>891</v>
      </c>
      <c r="E2700" s="1" t="s">
        <v>7664</v>
      </c>
      <c r="F2700" s="1" t="s">
        <v>7934</v>
      </c>
      <c r="G2700" s="39" t="s">
        <v>7667</v>
      </c>
      <c r="H2700" s="1">
        <v>2</v>
      </c>
      <c r="I2700" s="1">
        <v>2</v>
      </c>
      <c r="J2700" s="39" t="s">
        <v>7701</v>
      </c>
      <c r="K2700" s="1">
        <v>2</v>
      </c>
      <c r="L2700" s="1">
        <v>2</v>
      </c>
      <c r="S2700" s="1" t="s">
        <v>7935</v>
      </c>
      <c r="T2700" s="1">
        <v>1</v>
      </c>
      <c r="U2700" s="19"/>
      <c r="V2700" s="19"/>
    </row>
    <row r="2701" spans="1:22" x14ac:dyDescent="0.3">
      <c r="A2701" s="1" t="s">
        <v>7936</v>
      </c>
      <c r="B2701" s="5">
        <v>46235</v>
      </c>
      <c r="C2701" s="6">
        <v>0.33333333333333365</v>
      </c>
      <c r="D2701" s="1" t="s">
        <v>891</v>
      </c>
      <c r="E2701" s="1" t="s">
        <v>7664</v>
      </c>
      <c r="F2701" s="1" t="s">
        <v>7937</v>
      </c>
      <c r="G2701" s="39" t="s">
        <v>7671</v>
      </c>
      <c r="H2701" s="1">
        <v>2</v>
      </c>
      <c r="I2701" s="1">
        <v>4</v>
      </c>
      <c r="J2701" s="39" t="s">
        <v>7674</v>
      </c>
      <c r="K2701" s="1">
        <v>4</v>
      </c>
      <c r="L2701" s="1">
        <v>2</v>
      </c>
      <c r="S2701" s="1" t="s">
        <v>7938</v>
      </c>
      <c r="T2701" s="1">
        <v>1</v>
      </c>
      <c r="U2701" s="19"/>
      <c r="V2701" s="19"/>
    </row>
    <row r="2702" spans="1:22" x14ac:dyDescent="0.3">
      <c r="A2702" s="1" t="s">
        <v>7939</v>
      </c>
      <c r="B2702" s="5">
        <v>46235</v>
      </c>
      <c r="C2702" s="6">
        <v>0.35416666666666663</v>
      </c>
      <c r="D2702" s="1" t="s">
        <v>891</v>
      </c>
      <c r="E2702" s="1" t="s">
        <v>7664</v>
      </c>
      <c r="F2702" s="1" t="s">
        <v>7940</v>
      </c>
      <c r="G2702" s="39" t="s">
        <v>7684</v>
      </c>
      <c r="H2702" s="1">
        <v>1</v>
      </c>
      <c r="I2702" s="1">
        <v>1</v>
      </c>
      <c r="J2702" s="39" t="s">
        <v>7692</v>
      </c>
      <c r="K2702" s="1">
        <v>1</v>
      </c>
      <c r="L2702" s="1">
        <v>1</v>
      </c>
      <c r="S2702" s="1" t="s">
        <v>7941</v>
      </c>
      <c r="T2702" s="1">
        <v>1</v>
      </c>
      <c r="U2702" s="19"/>
      <c r="V2702" s="19"/>
    </row>
    <row r="2703" spans="1:22" x14ac:dyDescent="0.3">
      <c r="A2703" s="1" t="s">
        <v>7942</v>
      </c>
      <c r="B2703" s="5">
        <v>46235</v>
      </c>
      <c r="C2703" s="6">
        <v>0.35416666666666663</v>
      </c>
      <c r="D2703" s="1" t="s">
        <v>891</v>
      </c>
      <c r="E2703" s="1" t="s">
        <v>7664</v>
      </c>
      <c r="F2703" s="1" t="s">
        <v>7943</v>
      </c>
      <c r="G2703" s="39" t="s">
        <v>7688</v>
      </c>
      <c r="H2703" s="1">
        <v>5</v>
      </c>
      <c r="I2703" s="1">
        <v>1</v>
      </c>
      <c r="J2703" s="39" t="s">
        <v>7700</v>
      </c>
      <c r="K2703" s="1">
        <v>1</v>
      </c>
      <c r="L2703" s="1">
        <v>5</v>
      </c>
      <c r="S2703" s="1" t="s">
        <v>7944</v>
      </c>
      <c r="T2703" s="1">
        <v>1</v>
      </c>
      <c r="U2703" s="19"/>
      <c r="V2703" s="19"/>
    </row>
    <row r="2704" spans="1:22" x14ac:dyDescent="0.3">
      <c r="A2704" s="1" t="s">
        <v>7945</v>
      </c>
      <c r="B2704" s="5">
        <v>46236</v>
      </c>
      <c r="C2704" s="6">
        <v>0.33333333333333365</v>
      </c>
      <c r="D2704" s="1" t="s">
        <v>891</v>
      </c>
      <c r="E2704" s="1" t="s">
        <v>7664</v>
      </c>
      <c r="F2704" s="1" t="s">
        <v>7946</v>
      </c>
      <c r="G2704" s="39" t="s">
        <v>7683</v>
      </c>
      <c r="H2704" s="1">
        <v>2</v>
      </c>
      <c r="I2704" s="1">
        <v>2</v>
      </c>
      <c r="J2704" s="39" t="s">
        <v>7679</v>
      </c>
      <c r="K2704" s="1">
        <v>2</v>
      </c>
      <c r="L2704" s="1">
        <v>2</v>
      </c>
      <c r="S2704" s="1" t="s">
        <v>7947</v>
      </c>
      <c r="T2704" s="1">
        <v>1</v>
      </c>
      <c r="U2704" s="19"/>
      <c r="V2704" s="19"/>
    </row>
    <row r="2705" spans="1:22" x14ac:dyDescent="0.3">
      <c r="A2705" s="1" t="s">
        <v>7948</v>
      </c>
      <c r="B2705" s="5">
        <v>46236</v>
      </c>
      <c r="C2705" s="6">
        <v>0.33333333333333365</v>
      </c>
      <c r="D2705" s="1" t="s">
        <v>891</v>
      </c>
      <c r="E2705" s="1" t="s">
        <v>7664</v>
      </c>
      <c r="F2705" s="1" t="s">
        <v>7949</v>
      </c>
      <c r="G2705" s="39" t="s">
        <v>7714</v>
      </c>
      <c r="H2705" s="1">
        <v>1</v>
      </c>
      <c r="I2705" s="1">
        <v>0</v>
      </c>
      <c r="J2705" s="39" t="s">
        <v>7666</v>
      </c>
      <c r="K2705" s="1">
        <v>0</v>
      </c>
      <c r="L2705" s="1">
        <v>1</v>
      </c>
      <c r="S2705" s="1" t="s">
        <v>7950</v>
      </c>
      <c r="T2705" s="1">
        <v>1</v>
      </c>
      <c r="U2705" s="19"/>
      <c r="V2705" s="19"/>
    </row>
    <row r="2706" spans="1:22" x14ac:dyDescent="0.3">
      <c r="A2706" s="1" t="s">
        <v>7951</v>
      </c>
      <c r="B2706" s="5">
        <v>46236</v>
      </c>
      <c r="C2706" s="6">
        <v>0.33333333333333365</v>
      </c>
      <c r="D2706" s="1" t="s">
        <v>891</v>
      </c>
      <c r="E2706" s="1" t="s">
        <v>7664</v>
      </c>
      <c r="F2706" s="1" t="s">
        <v>7952</v>
      </c>
      <c r="G2706" s="39" t="s">
        <v>7718</v>
      </c>
      <c r="H2706" s="1">
        <v>1</v>
      </c>
      <c r="I2706" s="1">
        <v>0</v>
      </c>
      <c r="J2706" s="39" t="s">
        <v>7670</v>
      </c>
      <c r="K2706" s="1">
        <v>0</v>
      </c>
      <c r="L2706" s="1">
        <v>1</v>
      </c>
      <c r="S2706" s="1" t="s">
        <v>7953</v>
      </c>
      <c r="T2706" s="1">
        <v>1</v>
      </c>
      <c r="U2706" s="19"/>
      <c r="V2706" s="19"/>
    </row>
    <row r="2707" spans="1:22" x14ac:dyDescent="0.3">
      <c r="A2707" s="1" t="s">
        <v>7954</v>
      </c>
      <c r="B2707" s="5">
        <v>46242</v>
      </c>
      <c r="C2707" s="6">
        <v>0.33333333333333365</v>
      </c>
      <c r="D2707" s="1" t="s">
        <v>891</v>
      </c>
      <c r="E2707" s="1" t="s">
        <v>7664</v>
      </c>
      <c r="F2707" s="1" t="s">
        <v>7955</v>
      </c>
      <c r="G2707" s="39" t="s">
        <v>7718</v>
      </c>
      <c r="H2707" s="1">
        <v>2</v>
      </c>
      <c r="I2707" s="1">
        <v>1</v>
      </c>
      <c r="J2707" s="39" t="s">
        <v>7683</v>
      </c>
      <c r="K2707" s="1">
        <v>1</v>
      </c>
      <c r="L2707" s="1">
        <v>2</v>
      </c>
      <c r="S2707" s="1" t="s">
        <v>7956</v>
      </c>
      <c r="T2707" s="1">
        <v>1</v>
      </c>
      <c r="U2707" s="19"/>
      <c r="V2707" s="19"/>
    </row>
    <row r="2708" spans="1:22" x14ac:dyDescent="0.3">
      <c r="A2708" s="1" t="s">
        <v>7957</v>
      </c>
      <c r="B2708" s="5">
        <v>46242</v>
      </c>
      <c r="C2708" s="6">
        <v>0.35416666666666663</v>
      </c>
      <c r="D2708" s="1" t="s">
        <v>891</v>
      </c>
      <c r="E2708" s="1" t="s">
        <v>7664</v>
      </c>
      <c r="F2708" s="1" t="s">
        <v>7958</v>
      </c>
      <c r="G2708" s="39" t="s">
        <v>7670</v>
      </c>
      <c r="H2708" s="1">
        <v>3</v>
      </c>
      <c r="I2708" s="1">
        <v>2</v>
      </c>
      <c r="J2708" s="39" t="s">
        <v>7692</v>
      </c>
      <c r="K2708" s="1">
        <v>2</v>
      </c>
      <c r="L2708" s="1">
        <v>3</v>
      </c>
      <c r="S2708" s="1" t="s">
        <v>7959</v>
      </c>
      <c r="T2708" s="1">
        <v>1</v>
      </c>
      <c r="U2708" s="19"/>
      <c r="V2708" s="19"/>
    </row>
    <row r="2709" spans="1:22" x14ac:dyDescent="0.3">
      <c r="A2709" s="1" t="s">
        <v>7960</v>
      </c>
      <c r="B2709" s="5">
        <v>46242</v>
      </c>
      <c r="C2709" s="6">
        <v>0.35416666666666663</v>
      </c>
      <c r="D2709" s="1" t="s">
        <v>891</v>
      </c>
      <c r="E2709" s="1" t="s">
        <v>7664</v>
      </c>
      <c r="F2709" s="1" t="s">
        <v>7961</v>
      </c>
      <c r="G2709" s="39" t="s">
        <v>7675</v>
      </c>
      <c r="H2709" s="1">
        <v>1</v>
      </c>
      <c r="I2709" s="1">
        <v>1</v>
      </c>
      <c r="J2709" s="39" t="s">
        <v>7688</v>
      </c>
      <c r="K2709" s="1">
        <v>1</v>
      </c>
      <c r="L2709" s="1">
        <v>1</v>
      </c>
      <c r="S2709" s="1" t="s">
        <v>7962</v>
      </c>
      <c r="T2709" s="1">
        <v>1</v>
      </c>
      <c r="U2709" s="19"/>
      <c r="V2709" s="19"/>
    </row>
    <row r="2710" spans="1:22" x14ac:dyDescent="0.3">
      <c r="A2710" s="1" t="s">
        <v>7963</v>
      </c>
      <c r="B2710" s="5">
        <v>46242</v>
      </c>
      <c r="C2710" s="6">
        <v>0.35416666666666663</v>
      </c>
      <c r="D2710" s="1" t="s">
        <v>891</v>
      </c>
      <c r="E2710" s="1" t="s">
        <v>7664</v>
      </c>
      <c r="F2710" s="1" t="s">
        <v>7964</v>
      </c>
      <c r="G2710" s="39" t="s">
        <v>7679</v>
      </c>
      <c r="H2710" s="1">
        <v>2</v>
      </c>
      <c r="I2710" s="1">
        <v>1</v>
      </c>
      <c r="J2710" s="39" t="s">
        <v>7701</v>
      </c>
      <c r="K2710" s="1">
        <v>1</v>
      </c>
      <c r="L2710" s="1">
        <v>2</v>
      </c>
      <c r="S2710" s="1" t="s">
        <v>7965</v>
      </c>
      <c r="T2710" s="1">
        <v>1</v>
      </c>
      <c r="U2710" s="19"/>
      <c r="V2710" s="19"/>
    </row>
    <row r="2711" spans="1:22" x14ac:dyDescent="0.3">
      <c r="A2711" s="1" t="s">
        <v>7966</v>
      </c>
      <c r="B2711" s="5">
        <v>46242</v>
      </c>
      <c r="C2711" s="6">
        <v>0.37499999999999967</v>
      </c>
      <c r="D2711" s="1" t="s">
        <v>891</v>
      </c>
      <c r="E2711" s="1" t="s">
        <v>7664</v>
      </c>
      <c r="F2711" s="1" t="s">
        <v>7967</v>
      </c>
      <c r="G2711" s="39" t="s">
        <v>7700</v>
      </c>
      <c r="H2711" s="1">
        <v>2</v>
      </c>
      <c r="I2711" s="1">
        <v>1</v>
      </c>
      <c r="J2711" s="39" t="s">
        <v>7667</v>
      </c>
      <c r="K2711" s="1">
        <v>1</v>
      </c>
      <c r="L2711" s="1">
        <v>2</v>
      </c>
      <c r="S2711" s="1" t="s">
        <v>7968</v>
      </c>
      <c r="T2711" s="1">
        <v>1</v>
      </c>
      <c r="U2711" s="19"/>
      <c r="V2711" s="19"/>
    </row>
    <row r="2712" spans="1:22" x14ac:dyDescent="0.3">
      <c r="A2712" s="1" t="s">
        <v>7969</v>
      </c>
      <c r="B2712" s="5">
        <v>46243</v>
      </c>
      <c r="C2712" s="6">
        <v>0.29166666666666663</v>
      </c>
      <c r="D2712" s="1" t="s">
        <v>891</v>
      </c>
      <c r="E2712" s="1" t="s">
        <v>7664</v>
      </c>
      <c r="F2712" s="1" t="s">
        <v>7970</v>
      </c>
      <c r="G2712" s="39" t="s">
        <v>7696</v>
      </c>
      <c r="H2712" s="1">
        <v>0</v>
      </c>
      <c r="I2712" s="1">
        <v>1</v>
      </c>
      <c r="J2712" s="39" t="s">
        <v>7714</v>
      </c>
      <c r="K2712" s="1">
        <v>1</v>
      </c>
      <c r="L2712" s="1">
        <v>0</v>
      </c>
      <c r="S2712" s="1" t="s">
        <v>7971</v>
      </c>
      <c r="T2712" s="1">
        <v>1</v>
      </c>
      <c r="U2712" s="19"/>
      <c r="V2712" s="19"/>
    </row>
    <row r="2713" spans="1:22" x14ac:dyDescent="0.3">
      <c r="A2713" s="1" t="s">
        <v>7972</v>
      </c>
      <c r="B2713" s="5">
        <v>46243</v>
      </c>
      <c r="C2713" s="6">
        <v>0.35416666666666663</v>
      </c>
      <c r="D2713" s="1" t="s">
        <v>891</v>
      </c>
      <c r="E2713" s="1" t="s">
        <v>7664</v>
      </c>
      <c r="F2713" s="1" t="s">
        <v>7973</v>
      </c>
      <c r="G2713" s="39" t="s">
        <v>7684</v>
      </c>
      <c r="H2713" s="1">
        <v>2</v>
      </c>
      <c r="I2713" s="1">
        <v>0</v>
      </c>
      <c r="J2713" s="39" t="s">
        <v>7674</v>
      </c>
      <c r="K2713" s="1">
        <v>0</v>
      </c>
      <c r="L2713" s="1">
        <v>2</v>
      </c>
      <c r="S2713" s="1" t="s">
        <v>7974</v>
      </c>
      <c r="T2713" s="1">
        <v>1</v>
      </c>
      <c r="U2713" s="19"/>
      <c r="V2713" s="19"/>
    </row>
    <row r="2714" spans="1:22" x14ac:dyDescent="0.3">
      <c r="A2714" s="1" t="s">
        <v>4604</v>
      </c>
      <c r="B2714" s="102">
        <v>46145</v>
      </c>
      <c r="C2714" s="6">
        <v>0.70833333333333337</v>
      </c>
      <c r="D2714" s="1" t="s">
        <v>12</v>
      </c>
      <c r="E2714" s="1" t="s">
        <v>4601</v>
      </c>
      <c r="F2714" s="1" t="s">
        <v>4605</v>
      </c>
      <c r="G2714" s="39" t="s">
        <v>4606</v>
      </c>
      <c r="H2714" s="1">
        <v>1</v>
      </c>
      <c r="I2714" s="1">
        <v>0</v>
      </c>
      <c r="J2714" s="39" t="s">
        <v>4602</v>
      </c>
      <c r="K2714" s="1">
        <v>0</v>
      </c>
      <c r="L2714" s="1">
        <v>1</v>
      </c>
      <c r="S2714" s="1" t="str">
        <f>IF(tblDados[[#This Row],[Mandante]]="","",TEXT(tblDados[[#This Row],[Data]],"aaaa-mm-dd")&amp;"|"&amp;TRIM(tblDados[[#This Row],[Mandante]])&amp;"|"&amp;TRIM(tblDados[[#This Row],[Visitante]]))</f>
        <v>2026-05-03|Ferroviária|Anápolis</v>
      </c>
      <c r="T2714" s="1">
        <f>IF($G2714="",0,IF(COUNTIF($S$2:$S4203,$S2714)=1,1,0))</f>
        <v>1</v>
      </c>
      <c r="U2714" s="19" t="str">
        <f>IF(tblDados[[#This Row],[Mandante]]="","",IF(COUNTIF(CadastroEquipes,TRIM(tblDados[[#This Row],[Mandante]]))&gt;0,"","⚠ Nome não cadastrado"))</f>
        <v/>
      </c>
      <c r="V2714" s="19" t="str">
        <f>IF(tblDados[[#This Row],[Visitante]]="","",IF(COUNTIF(CadastroEquipes,TRIM(tblDados[[#This Row],[Visitante]]))&gt;0,"","⚠ Nome não cadastrado"))</f>
        <v/>
      </c>
    </row>
    <row r="2715" spans="1:22" x14ac:dyDescent="0.3">
      <c r="A2715" s="1" t="s">
        <v>4607</v>
      </c>
      <c r="B2715" s="102">
        <v>46151</v>
      </c>
      <c r="C2715" s="6">
        <v>0.70833333333333337</v>
      </c>
      <c r="D2715" s="1" t="s">
        <v>12</v>
      </c>
      <c r="E2715" s="1" t="s">
        <v>4601</v>
      </c>
      <c r="F2715" s="1" t="s">
        <v>4608</v>
      </c>
      <c r="G2715" s="39" t="s">
        <v>4609</v>
      </c>
      <c r="H2715" s="1">
        <v>2</v>
      </c>
      <c r="I2715" s="1">
        <v>1</v>
      </c>
      <c r="J2715" s="39" t="s">
        <v>4602</v>
      </c>
      <c r="K2715" s="1">
        <v>1</v>
      </c>
      <c r="L2715" s="1">
        <v>2</v>
      </c>
      <c r="S2715" s="1" t="str">
        <f>IF(tblDados[[#This Row],[Mandante]]="","",TEXT(tblDados[[#This Row],[Data]],"aaaa-mm-dd")&amp;"|"&amp;TRIM(tblDados[[#This Row],[Mandante]])&amp;"|"&amp;TRIM(tblDados[[#This Row],[Visitante]]))</f>
        <v>2026-05-09|Paysandu|Anápolis</v>
      </c>
      <c r="T2715" s="1">
        <f>IF($G2715="",0,IF(COUNTIF($S$2:$S4204,$S2715)=1,1,0))</f>
        <v>1</v>
      </c>
      <c r="U2715" s="19" t="str">
        <f>IF(tblDados[[#This Row],[Mandante]]="","",IF(COUNTIF(CadastroEquipes,TRIM(tblDados[[#This Row],[Mandante]]))&gt;0,"","⚠ Nome não cadastrado"))</f>
        <v/>
      </c>
      <c r="V2715" s="19" t="str">
        <f>IF(tblDados[[#This Row],[Visitante]]="","",IF(COUNTIF(CadastroEquipes,TRIM(tblDados[[#This Row],[Visitante]]))&gt;0,"","⚠ Nome não cadastrado"))</f>
        <v/>
      </c>
    </row>
    <row r="2716" spans="1:22" x14ac:dyDescent="0.3">
      <c r="A2716" s="1" t="s">
        <v>4610</v>
      </c>
      <c r="B2716" s="102">
        <v>46159</v>
      </c>
      <c r="C2716" s="6">
        <v>0.75</v>
      </c>
      <c r="D2716" s="1" t="s">
        <v>12</v>
      </c>
      <c r="E2716" s="1" t="s">
        <v>4601</v>
      </c>
      <c r="F2716" s="1" t="s">
        <v>4611</v>
      </c>
      <c r="G2716" s="39" t="s">
        <v>4602</v>
      </c>
      <c r="H2716" s="1">
        <v>1</v>
      </c>
      <c r="I2716" s="1">
        <v>1</v>
      </c>
      <c r="J2716" s="39" t="s">
        <v>4612</v>
      </c>
      <c r="K2716" s="1">
        <v>1</v>
      </c>
      <c r="L2716" s="1">
        <v>1</v>
      </c>
      <c r="S2716" s="1" t="str">
        <f>IF(tblDados[[#This Row],[Mandante]]="","",TEXT(tblDados[[#This Row],[Data]],"aaaa-mm-dd")&amp;"|"&amp;TRIM(tblDados[[#This Row],[Mandante]])&amp;"|"&amp;TRIM(tblDados[[#This Row],[Visitante]]))</f>
        <v>2026-05-17|Anápolis|Barra FC</v>
      </c>
      <c r="T2716" s="1">
        <f>IF($G2716="",0,IF(COUNTIF($S$2:$S4205,$S2716)=1,1,0))</f>
        <v>1</v>
      </c>
      <c r="U2716" s="19" t="str">
        <f>IF(tblDados[[#This Row],[Mandante]]="","",IF(COUNTIF(CadastroEquipes,TRIM(tblDados[[#This Row],[Mandante]]))&gt;0,"","⚠ Nome não cadastrado"))</f>
        <v/>
      </c>
      <c r="V2716" s="19" t="str">
        <f>IF(tblDados[[#This Row],[Visitante]]="","",IF(COUNTIF(CadastroEquipes,TRIM(tblDados[[#This Row],[Visitante]]))&gt;0,"","⚠ Nome não cadastrado"))</f>
        <v/>
      </c>
    </row>
    <row r="2717" spans="1:22" x14ac:dyDescent="0.3">
      <c r="A2717" s="1" t="s">
        <v>4613</v>
      </c>
      <c r="B2717" s="102">
        <v>46166</v>
      </c>
      <c r="C2717" s="6">
        <v>0.6875</v>
      </c>
      <c r="D2717" s="1" t="s">
        <v>12</v>
      </c>
      <c r="E2717" s="1" t="s">
        <v>4601</v>
      </c>
      <c r="F2717" s="1" t="s">
        <v>4614</v>
      </c>
      <c r="G2717" s="39" t="s">
        <v>4615</v>
      </c>
      <c r="H2717" s="1">
        <v>1</v>
      </c>
      <c r="I2717" s="1">
        <v>0</v>
      </c>
      <c r="J2717" s="39" t="s">
        <v>4602</v>
      </c>
      <c r="K2717" s="1">
        <v>0</v>
      </c>
      <c r="L2717" s="1">
        <v>1</v>
      </c>
      <c r="S2717" s="1" t="str">
        <f>IF(tblDados[[#This Row],[Mandante]]="","",TEXT(tblDados[[#This Row],[Data]],"aaaa-mm-dd")&amp;"|"&amp;TRIM(tblDados[[#This Row],[Mandante]])&amp;"|"&amp;TRIM(tblDados[[#This Row],[Visitante]]))</f>
        <v>2026-05-24|Brusque|Anápolis</v>
      </c>
      <c r="T2717" s="1">
        <f>IF($G2717="",0,IF(COUNTIF($S$2:$S4206,$S2717)=1,1,0))</f>
        <v>1</v>
      </c>
      <c r="U2717" s="19" t="str">
        <f>IF(tblDados[[#This Row],[Mandante]]="","",IF(COUNTIF(CadastroEquipes,TRIM(tblDados[[#This Row],[Mandante]]))&gt;0,"","⚠ Nome não cadastrado"))</f>
        <v/>
      </c>
      <c r="V2717" s="19" t="str">
        <f>IF(tblDados[[#This Row],[Visitante]]="","",IF(COUNTIF(CadastroEquipes,TRIM(tblDados[[#This Row],[Visitante]]))&gt;0,"","⚠ Nome não cadastrado"))</f>
        <v/>
      </c>
    </row>
    <row r="2718" spans="1:22" x14ac:dyDescent="0.3">
      <c r="A2718" s="1" t="s">
        <v>4616</v>
      </c>
      <c r="B2718" s="102">
        <v>46173</v>
      </c>
      <c r="C2718" s="6">
        <v>0.77083333333333337</v>
      </c>
      <c r="D2718" s="1" t="s">
        <v>12</v>
      </c>
      <c r="E2718" s="1" t="s">
        <v>4601</v>
      </c>
      <c r="F2718" s="1" t="s">
        <v>4617</v>
      </c>
      <c r="G2718" s="39" t="s">
        <v>4602</v>
      </c>
      <c r="H2718" s="1">
        <v>0</v>
      </c>
      <c r="I2718" s="1">
        <v>0</v>
      </c>
      <c r="J2718" s="39" t="s">
        <v>4618</v>
      </c>
      <c r="K2718" s="1">
        <v>0</v>
      </c>
      <c r="L2718" s="1">
        <v>0</v>
      </c>
      <c r="S2718" s="1" t="str">
        <f>IF(tblDados[[#This Row],[Mandante]]="","",TEXT(tblDados[[#This Row],[Data]],"aaaa-mm-dd")&amp;"|"&amp;TRIM(tblDados[[#This Row],[Mandante]])&amp;"|"&amp;TRIM(tblDados[[#This Row],[Visitante]]))</f>
        <v>2026-05-31|Anápolis|Maranhão</v>
      </c>
      <c r="T2718" s="1">
        <f>IF($G2718="",0,IF(COUNTIF($S$2:$S4207,$S2718)=1,1,0))</f>
        <v>1</v>
      </c>
      <c r="U2718" s="19" t="str">
        <f>IF(tblDados[[#This Row],[Mandante]]="","",IF(COUNTIF(CadastroEquipes,TRIM(tblDados[[#This Row],[Mandante]]))&gt;0,"","⚠ Nome não cadastrado"))</f>
        <v/>
      </c>
      <c r="V2718" s="19" t="str">
        <f>IF(tblDados[[#This Row],[Visitante]]="","",IF(COUNTIF(CadastroEquipes,TRIM(tblDados[[#This Row],[Visitante]]))&gt;0,"","⚠ Nome não cadastrado"))</f>
        <v/>
      </c>
    </row>
    <row r="2719" spans="1:22" x14ac:dyDescent="0.3">
      <c r="A2719" s="1" t="s">
        <v>4619</v>
      </c>
      <c r="B2719" s="102">
        <v>46186</v>
      </c>
      <c r="C2719" s="6">
        <v>0.66666666666666663</v>
      </c>
      <c r="D2719" s="1" t="s">
        <v>12</v>
      </c>
      <c r="E2719" s="1" t="s">
        <v>4601</v>
      </c>
      <c r="F2719" s="1" t="s">
        <v>4620</v>
      </c>
      <c r="G2719" s="39" t="s">
        <v>4621</v>
      </c>
      <c r="H2719" s="1">
        <v>1</v>
      </c>
      <c r="I2719" s="1">
        <v>0</v>
      </c>
      <c r="J2719" s="39" t="s">
        <v>4602</v>
      </c>
      <c r="K2719" s="1">
        <v>0</v>
      </c>
      <c r="L2719" s="1">
        <v>1</v>
      </c>
      <c r="S2719" s="1" t="str">
        <f>IF(tblDados[[#This Row],[Mandante]]="","",TEXT(tblDados[[#This Row],[Data]],"aaaa-mm-dd")&amp;"|"&amp;TRIM(tblDados[[#This Row],[Mandante]])&amp;"|"&amp;TRIM(tblDados[[#This Row],[Visitante]]))</f>
        <v>2026-06-13|Amazonas|Anápolis</v>
      </c>
      <c r="T2719" s="1">
        <f>IF($G2719="",0,IF(COUNTIF($S$2:$S4208,$S2719)=1,1,0))</f>
        <v>1</v>
      </c>
      <c r="U2719" s="19" t="str">
        <f>IF(tblDados[[#This Row],[Mandante]]="","",IF(COUNTIF(CadastroEquipes,TRIM(tblDados[[#This Row],[Mandante]]))&gt;0,"","⚠ Nome não cadastrado"))</f>
        <v/>
      </c>
      <c r="V2719" s="19" t="str">
        <f>IF(tblDados[[#This Row],[Visitante]]="","",IF(COUNTIF(CadastroEquipes,TRIM(tblDados[[#This Row],[Visitante]]))&gt;0,"","⚠ Nome não cadastrado"))</f>
        <v/>
      </c>
    </row>
    <row r="2720" spans="1:22" x14ac:dyDescent="0.3">
      <c r="A2720" s="1" t="s">
        <v>4622</v>
      </c>
      <c r="B2720" s="102">
        <v>46193</v>
      </c>
      <c r="C2720" s="6">
        <v>0.6875</v>
      </c>
      <c r="D2720" s="1" t="s">
        <v>12</v>
      </c>
      <c r="E2720" s="1" t="s">
        <v>4601</v>
      </c>
      <c r="F2720" s="1" t="s">
        <v>4623</v>
      </c>
      <c r="G2720" s="39" t="s">
        <v>4602</v>
      </c>
      <c r="H2720" s="1">
        <v>2</v>
      </c>
      <c r="I2720" s="1">
        <v>0</v>
      </c>
      <c r="J2720" s="39" t="s">
        <v>4624</v>
      </c>
      <c r="K2720" s="1">
        <v>0</v>
      </c>
      <c r="L2720" s="1">
        <v>2</v>
      </c>
      <c r="S2720" s="1" t="str">
        <f>IF(tblDados[[#This Row],[Mandante]]="","",TEXT(tblDados[[#This Row],[Data]],"aaaa-mm-dd")&amp;"|"&amp;TRIM(tblDados[[#This Row],[Mandante]])&amp;"|"&amp;TRIM(tblDados[[#This Row],[Visitante]]))</f>
        <v>2026-06-20|Anápolis|Itabaiana</v>
      </c>
      <c r="T2720" s="1">
        <f>IF($G2720="",0,IF(COUNTIF($S$2:$S4209,$S2720)=1,1,0))</f>
        <v>1</v>
      </c>
      <c r="U2720" s="19" t="str">
        <f>IF(tblDados[[#This Row],[Mandante]]="","",IF(COUNTIF(CadastroEquipes,TRIM(tblDados[[#This Row],[Mandante]]))&gt;0,"","⚠ Nome não cadastrado"))</f>
        <v/>
      </c>
      <c r="V2720" s="19" t="str">
        <f>IF(tblDados[[#This Row],[Visitante]]="","",IF(COUNTIF(CadastroEquipes,TRIM(tblDados[[#This Row],[Visitante]]))&gt;0,"","⚠ Nome não cadastrado"))</f>
        <v/>
      </c>
    </row>
    <row r="2721" spans="1:22" x14ac:dyDescent="0.3">
      <c r="A2721" s="1" t="s">
        <v>4625</v>
      </c>
      <c r="B2721" s="102">
        <v>46203</v>
      </c>
      <c r="C2721" s="6">
        <v>0.8125</v>
      </c>
      <c r="D2721" s="1" t="s">
        <v>12</v>
      </c>
      <c r="E2721" s="1" t="s">
        <v>4601</v>
      </c>
      <c r="F2721" s="1" t="s">
        <v>4626</v>
      </c>
      <c r="G2721" s="39" t="s">
        <v>4627</v>
      </c>
      <c r="H2721" s="1">
        <v>1</v>
      </c>
      <c r="I2721" s="1">
        <v>1</v>
      </c>
      <c r="J2721" s="39" t="s">
        <v>4602</v>
      </c>
      <c r="K2721" s="1">
        <v>1</v>
      </c>
      <c r="L2721" s="1">
        <v>1</v>
      </c>
      <c r="S2721" s="1" t="str">
        <f>IF(tblDados[[#This Row],[Mandante]]="","",TEXT(tblDados[[#This Row],[Data]],"aaaa-mm-dd")&amp;"|"&amp;TRIM(tblDados[[#This Row],[Mandante]])&amp;"|"&amp;TRIM(tblDados[[#This Row],[Visitante]]))</f>
        <v>2026-06-30|Caxias|Anápolis</v>
      </c>
      <c r="T2721" s="1">
        <f>IF($G2721="",0,IF(COUNTIF($S$2:$S4210,$S2721)=1,1,0))</f>
        <v>1</v>
      </c>
      <c r="U2721" s="19" t="str">
        <f>IF(tblDados[[#This Row],[Mandante]]="","",IF(COUNTIF(CadastroEquipes,TRIM(tblDados[[#This Row],[Mandante]]))&gt;0,"","⚠ Nome não cadastrado"))</f>
        <v/>
      </c>
      <c r="V2721" s="19" t="str">
        <f>IF(tblDados[[#This Row],[Visitante]]="","",IF(COUNTIF(CadastroEquipes,TRIM(tblDados[[#This Row],[Visitante]]))&gt;0,"","⚠ Nome não cadastrado"))</f>
        <v/>
      </c>
    </row>
    <row r="2722" spans="1:22" x14ac:dyDescent="0.3">
      <c r="A2722" s="1" t="s">
        <v>4628</v>
      </c>
      <c r="B2722" s="102">
        <v>46208</v>
      </c>
      <c r="C2722" s="6">
        <v>0.875</v>
      </c>
      <c r="D2722" s="1" t="s">
        <v>12</v>
      </c>
      <c r="E2722" s="1" t="s">
        <v>4601</v>
      </c>
      <c r="F2722" s="1" t="s">
        <v>4629</v>
      </c>
      <c r="G2722" s="39" t="s">
        <v>4602</v>
      </c>
      <c r="H2722" s="1">
        <v>0</v>
      </c>
      <c r="I2722" s="1">
        <v>2</v>
      </c>
      <c r="J2722" s="39" t="s">
        <v>4630</v>
      </c>
      <c r="K2722" s="1">
        <v>2</v>
      </c>
      <c r="L2722" s="1">
        <v>0</v>
      </c>
      <c r="S2722" s="1" t="s">
        <v>8012</v>
      </c>
      <c r="T2722" s="1">
        <f>IF($G2722="",0,IF(COUNTIF($S$2:$S4211,$S2722)=1,1,0))</f>
        <v>1</v>
      </c>
      <c r="U2722" s="19" t="str">
        <f>IF(tblDados[[#This Row],[Mandante]]="","",IF(COUNTIF(CadastroEquipes,TRIM(tblDados[[#This Row],[Mandante]]))&gt;0,"","⚠ Nome não cadastrado"))</f>
        <v/>
      </c>
      <c r="V2722" s="19" t="str">
        <f>IF(tblDados[[#This Row],[Visitante]]="","",IF(COUNTIF(CadastroEquipes,TRIM(tblDados[[#This Row],[Visitante]]))&gt;0,"","⚠ Nome não cadastrado"))</f>
        <v/>
      </c>
    </row>
    <row r="2723" spans="1:22" x14ac:dyDescent="0.3">
      <c r="A2723" s="1" t="s">
        <v>4631</v>
      </c>
      <c r="B2723" s="102">
        <v>46215</v>
      </c>
      <c r="C2723" s="6">
        <v>0.66666666666666663</v>
      </c>
      <c r="D2723" s="1" t="s">
        <v>12</v>
      </c>
      <c r="E2723" s="1" t="s">
        <v>4601</v>
      </c>
      <c r="F2723" s="1" t="s">
        <v>4632</v>
      </c>
      <c r="G2723" s="39" t="s">
        <v>4602</v>
      </c>
      <c r="H2723" s="1">
        <v>0</v>
      </c>
      <c r="I2723" s="1">
        <v>1</v>
      </c>
      <c r="J2723" s="39" t="s">
        <v>4633</v>
      </c>
      <c r="K2723" s="1">
        <v>1</v>
      </c>
      <c r="L2723" s="1">
        <v>0</v>
      </c>
      <c r="S2723" s="1" t="str">
        <f>IF(tblDados[[#This Row],[Mandante]]="","",TEXT(tblDados[[#This Row],[Data]],"aaaa-mm-dd")&amp;"|"&amp;TRIM(tblDados[[#This Row],[Mandante]])&amp;"|"&amp;TRIM(tblDados[[#This Row],[Visitante]]))</f>
        <v>2026-07-12|Anápolis|Maringá</v>
      </c>
      <c r="T2723" s="1">
        <f>IF($G2723="",0,IF(COUNTIF($S$2:$S4212,$S2723)=1,1,0))</f>
        <v>1</v>
      </c>
      <c r="U2723" s="19" t="str">
        <f>IF(tblDados[[#This Row],[Mandante]]="","",IF(COUNTIF(CadastroEquipes,TRIM(tblDados[[#This Row],[Mandante]]))&gt;0,"","⚠ Nome não cadastrado"))</f>
        <v/>
      </c>
      <c r="V2723" s="19" t="str">
        <f>IF(tblDados[[#This Row],[Visitante]]="","",IF(COUNTIF(CadastroEquipes,TRIM(tblDados[[#This Row],[Visitante]]))&gt;0,"","⚠ Nome não cadastrado"))</f>
        <v/>
      </c>
    </row>
    <row r="2724" spans="1:22" x14ac:dyDescent="0.3">
      <c r="A2724" s="1" t="s">
        <v>4634</v>
      </c>
      <c r="B2724" s="102">
        <v>46228</v>
      </c>
      <c r="C2724" s="6">
        <v>0.79166666666666663</v>
      </c>
      <c r="D2724" s="1" t="s">
        <v>12</v>
      </c>
      <c r="E2724" s="1" t="s">
        <v>4601</v>
      </c>
      <c r="F2724" s="1" t="s">
        <v>4635</v>
      </c>
      <c r="G2724" s="39" t="s">
        <v>4636</v>
      </c>
      <c r="H2724" s="1">
        <v>1</v>
      </c>
      <c r="I2724" s="1">
        <v>4</v>
      </c>
      <c r="J2724" s="39" t="s">
        <v>4602</v>
      </c>
      <c r="K2724" s="1">
        <v>4</v>
      </c>
      <c r="L2724" s="1">
        <v>1</v>
      </c>
      <c r="S2724" s="1" t="str">
        <f>IF(tblDados[[#This Row],[Mandante]]="","",TEXT(tblDados[[#This Row],[Data]],"aaaa-mm-dd")&amp;"|"&amp;TRIM(tblDados[[#This Row],[Mandante]])&amp;"|"&amp;TRIM(tblDados[[#This Row],[Visitante]]))</f>
        <v>2026-07-25|Volta Redonda|Anápolis</v>
      </c>
      <c r="T2724" s="1">
        <f>IF($G2724="",0,IF(COUNTIF($S$2:$S4213,$S2724)=1,1,0))</f>
        <v>1</v>
      </c>
      <c r="U2724" s="19" t="str">
        <f>IF(tblDados[[#This Row],[Mandante]]="","",IF(COUNTIF(CadastroEquipes,TRIM(tblDados[[#This Row],[Mandante]]))&gt;0,"","⚠ Nome não cadastrado"))</f>
        <v/>
      </c>
      <c r="V2724" s="19" t="str">
        <f>IF(tblDados[[#This Row],[Visitante]]="","",IF(COUNTIF(CadastroEquipes,TRIM(tblDados[[#This Row],[Visitante]]))&gt;0,"","⚠ Nome não cadastrado"))</f>
        <v/>
      </c>
    </row>
    <row r="2725" spans="1:22" x14ac:dyDescent="0.3">
      <c r="A2725" s="1" t="s">
        <v>4638</v>
      </c>
      <c r="B2725" s="102">
        <v>46144</v>
      </c>
      <c r="C2725" s="6">
        <v>0.70833333333333337</v>
      </c>
      <c r="D2725" s="1" t="s">
        <v>12</v>
      </c>
      <c r="E2725" s="1" t="s">
        <v>4601</v>
      </c>
      <c r="F2725" s="1" t="s">
        <v>4639</v>
      </c>
      <c r="G2725" s="39" t="s">
        <v>4637</v>
      </c>
      <c r="H2725" s="1">
        <v>1</v>
      </c>
      <c r="I2725" s="1">
        <v>0</v>
      </c>
      <c r="J2725" s="39" t="s">
        <v>4640</v>
      </c>
      <c r="K2725" s="1">
        <v>0</v>
      </c>
      <c r="L2725" s="1">
        <v>1</v>
      </c>
      <c r="S2725" s="1" t="str">
        <f>IF(tblDados[[#This Row],[Mandante]]="","",TEXT(tblDados[[#This Row],[Data]],"aaaa-mm-dd")&amp;"|"&amp;TRIM(tblDados[[#This Row],[Mandante]])&amp;"|"&amp;TRIM(tblDados[[#This Row],[Visitante]]))</f>
        <v>2026-05-02|Guarani|Santa Cruz</v>
      </c>
      <c r="T2725" s="1">
        <f>IF($G2725="",0,IF(COUNTIF($S$2:$S4215,$S2725)=1,1,0))</f>
        <v>1</v>
      </c>
      <c r="U2725" s="19" t="str">
        <f>IF(tblDados[[#This Row],[Mandante]]="","",IF(COUNTIF(CadastroEquipes,TRIM(tblDados[[#This Row],[Mandante]]))&gt;0,"","⚠ Nome não cadastrado"))</f>
        <v/>
      </c>
      <c r="V2725" s="19" t="str">
        <f>IF(tblDados[[#This Row],[Visitante]]="","",IF(COUNTIF(CadastroEquipes,TRIM(tblDados[[#This Row],[Visitante]]))&gt;0,"","⚠ Nome não cadastrado"))</f>
        <v/>
      </c>
    </row>
    <row r="2726" spans="1:22" x14ac:dyDescent="0.3">
      <c r="A2726" s="1" t="s">
        <v>4641</v>
      </c>
      <c r="B2726" s="102">
        <v>46153</v>
      </c>
      <c r="C2726" s="6">
        <v>0.83333333333333337</v>
      </c>
      <c r="D2726" s="1" t="s">
        <v>12</v>
      </c>
      <c r="E2726" s="1" t="s">
        <v>4601</v>
      </c>
      <c r="F2726" s="1" t="s">
        <v>4642</v>
      </c>
      <c r="G2726" s="39" t="s">
        <v>4633</v>
      </c>
      <c r="H2726" s="1">
        <v>0</v>
      </c>
      <c r="I2726" s="1">
        <v>5</v>
      </c>
      <c r="J2726" s="39" t="s">
        <v>4637</v>
      </c>
      <c r="K2726" s="1">
        <v>5</v>
      </c>
      <c r="L2726" s="1">
        <v>0</v>
      </c>
      <c r="S2726" s="1" t="str">
        <f>IF(tblDados[[#This Row],[Mandante]]="","",TEXT(tblDados[[#This Row],[Data]],"aaaa-mm-dd")&amp;"|"&amp;TRIM(tblDados[[#This Row],[Mandante]])&amp;"|"&amp;TRIM(tblDados[[#This Row],[Visitante]]))</f>
        <v>2026-05-11|Maringá|Guarani</v>
      </c>
      <c r="T2726" s="1">
        <f>IF($G2726="",0,IF(COUNTIF($S$2:$S4216,$S2726)=1,1,0))</f>
        <v>1</v>
      </c>
      <c r="U2726" s="19" t="str">
        <f>IF(tblDados[[#This Row],[Mandante]]="","",IF(COUNTIF(CadastroEquipes,TRIM(tblDados[[#This Row],[Mandante]]))&gt;0,"","⚠ Nome não cadastrado"))</f>
        <v/>
      </c>
      <c r="V2726" s="19" t="str">
        <f>IF(tblDados[[#This Row],[Visitante]]="","",IF(COUNTIF(CadastroEquipes,TRIM(tblDados[[#This Row],[Visitante]]))&gt;0,"","⚠ Nome não cadastrado"))</f>
        <v/>
      </c>
    </row>
    <row r="2727" spans="1:22" x14ac:dyDescent="0.3">
      <c r="A2727" s="1" t="s">
        <v>4643</v>
      </c>
      <c r="B2727" s="102">
        <v>46159</v>
      </c>
      <c r="C2727" s="6">
        <v>0.77083333333333337</v>
      </c>
      <c r="D2727" s="1" t="s">
        <v>12</v>
      </c>
      <c r="E2727" s="1" t="s">
        <v>4601</v>
      </c>
      <c r="F2727" s="1" t="s">
        <v>4644</v>
      </c>
      <c r="G2727" s="39" t="s">
        <v>4637</v>
      </c>
      <c r="H2727" s="1">
        <v>1</v>
      </c>
      <c r="I2727" s="1">
        <v>3</v>
      </c>
      <c r="J2727" s="39" t="s">
        <v>4645</v>
      </c>
      <c r="K2727" s="1">
        <v>3</v>
      </c>
      <c r="L2727" s="1">
        <v>1</v>
      </c>
      <c r="S2727" s="1" t="str">
        <f>IF(tblDados[[#This Row],[Mandante]]="","",TEXT(tblDados[[#This Row],[Data]],"aaaa-mm-dd")&amp;"|"&amp;TRIM(tblDados[[#This Row],[Mandante]])&amp;"|"&amp;TRIM(tblDados[[#This Row],[Visitante]]))</f>
        <v>2026-05-17|Guarani|Ituano</v>
      </c>
      <c r="T2727" s="1">
        <f>IF($G2727="",0,IF(COUNTIF($S$2:$S4217,$S2727)=1,1,0))</f>
        <v>1</v>
      </c>
      <c r="U2727" s="19" t="str">
        <f>IF(tblDados[[#This Row],[Mandante]]="","",IF(COUNTIF(CadastroEquipes,TRIM(tblDados[[#This Row],[Mandante]]))&gt;0,"","⚠ Nome não cadastrado"))</f>
        <v/>
      </c>
      <c r="V2727" s="19" t="str">
        <f>IF(tblDados[[#This Row],[Visitante]]="","",IF(COUNTIF(CadastroEquipes,TRIM(tblDados[[#This Row],[Visitante]]))&gt;0,"","⚠ Nome não cadastrado"))</f>
        <v/>
      </c>
    </row>
    <row r="2728" spans="1:22" x14ac:dyDescent="0.3">
      <c r="A2728" s="1" t="s">
        <v>4646</v>
      </c>
      <c r="B2728" s="102">
        <v>46165</v>
      </c>
      <c r="C2728" s="6">
        <v>0.70833333333333337</v>
      </c>
      <c r="D2728" s="1" t="s">
        <v>12</v>
      </c>
      <c r="E2728" s="1" t="s">
        <v>4601</v>
      </c>
      <c r="F2728" s="1" t="s">
        <v>4647</v>
      </c>
      <c r="G2728" s="39" t="s">
        <v>4612</v>
      </c>
      <c r="H2728" s="1">
        <v>0</v>
      </c>
      <c r="I2728" s="1">
        <v>2</v>
      </c>
      <c r="J2728" s="39" t="s">
        <v>4637</v>
      </c>
      <c r="K2728" s="1">
        <v>2</v>
      </c>
      <c r="L2728" s="1">
        <v>0</v>
      </c>
      <c r="S2728" s="1" t="str">
        <f>IF(tblDados[[#This Row],[Mandante]]="","",TEXT(tblDados[[#This Row],[Data]],"aaaa-mm-dd")&amp;"|"&amp;TRIM(tblDados[[#This Row],[Mandante]])&amp;"|"&amp;TRIM(tblDados[[#This Row],[Visitante]]))</f>
        <v>2026-05-23|Barra FC|Guarani</v>
      </c>
      <c r="T2728" s="1">
        <f>IF($G2728="",0,IF(COUNTIF($S$2:$S4218,$S2728)=1,1,0))</f>
        <v>1</v>
      </c>
      <c r="U2728" s="19" t="str">
        <f>IF(tblDados[[#This Row],[Mandante]]="","",IF(COUNTIF(CadastroEquipes,TRIM(tblDados[[#This Row],[Mandante]]))&gt;0,"","⚠ Nome não cadastrado"))</f>
        <v/>
      </c>
      <c r="V2728" s="19" t="str">
        <f>IF(tblDados[[#This Row],[Visitante]]="","",IF(COUNTIF(CadastroEquipes,TRIM(tblDados[[#This Row],[Visitante]]))&gt;0,"","⚠ Nome não cadastrado"))</f>
        <v/>
      </c>
    </row>
    <row r="2729" spans="1:22" x14ac:dyDescent="0.3">
      <c r="A2729" s="1" t="s">
        <v>4648</v>
      </c>
      <c r="B2729" s="102">
        <v>46173</v>
      </c>
      <c r="C2729" s="6">
        <v>0.66666666666666663</v>
      </c>
      <c r="D2729" s="1" t="s">
        <v>12</v>
      </c>
      <c r="E2729" s="1" t="s">
        <v>4601</v>
      </c>
      <c r="F2729" s="1" t="s">
        <v>4649</v>
      </c>
      <c r="G2729" s="39" t="s">
        <v>4637</v>
      </c>
      <c r="H2729" s="1">
        <v>5</v>
      </c>
      <c r="I2729" s="1">
        <v>0</v>
      </c>
      <c r="J2729" s="39" t="s">
        <v>4621</v>
      </c>
      <c r="K2729" s="1">
        <v>0</v>
      </c>
      <c r="L2729" s="1">
        <v>5</v>
      </c>
      <c r="S2729" s="1" t="str">
        <f>IF(tblDados[[#This Row],[Mandante]]="","",TEXT(tblDados[[#This Row],[Data]],"aaaa-mm-dd")&amp;"|"&amp;TRIM(tblDados[[#This Row],[Mandante]])&amp;"|"&amp;TRIM(tblDados[[#This Row],[Visitante]]))</f>
        <v>2026-05-31|Guarani|Amazonas</v>
      </c>
      <c r="T2729" s="1">
        <f>IF($G2729="",0,IF(COUNTIF($S$2:$S4219,$S2729)=1,1,0))</f>
        <v>1</v>
      </c>
      <c r="U2729" s="19" t="str">
        <f>IF(tblDados[[#This Row],[Mandante]]="","",IF(COUNTIF(CadastroEquipes,TRIM(tblDados[[#This Row],[Mandante]]))&gt;0,"","⚠ Nome não cadastrado"))</f>
        <v/>
      </c>
      <c r="V2729" s="19" t="str">
        <f>IF(tblDados[[#This Row],[Visitante]]="","",IF(COUNTIF(CadastroEquipes,TRIM(tblDados[[#This Row],[Visitante]]))&gt;0,"","⚠ Nome não cadastrado"))</f>
        <v/>
      </c>
    </row>
    <row r="2730" spans="1:22" x14ac:dyDescent="0.3">
      <c r="A2730" s="1" t="s">
        <v>4650</v>
      </c>
      <c r="B2730" s="102">
        <v>46186</v>
      </c>
      <c r="C2730" s="6">
        <v>0.45833333333333331</v>
      </c>
      <c r="D2730" s="1" t="s">
        <v>12</v>
      </c>
      <c r="E2730" s="1" t="s">
        <v>4601</v>
      </c>
      <c r="F2730" s="1" t="s">
        <v>4651</v>
      </c>
      <c r="G2730" s="39" t="s">
        <v>4637</v>
      </c>
      <c r="H2730" s="1">
        <v>2</v>
      </c>
      <c r="I2730" s="1">
        <v>1</v>
      </c>
      <c r="J2730" s="39" t="s">
        <v>4627</v>
      </c>
      <c r="K2730" s="1">
        <v>1</v>
      </c>
      <c r="L2730" s="1">
        <v>2</v>
      </c>
      <c r="S2730" s="1" t="str">
        <f>IF(tblDados[[#This Row],[Mandante]]="","",TEXT(tblDados[[#This Row],[Data]],"aaaa-mm-dd")&amp;"|"&amp;TRIM(tblDados[[#This Row],[Mandante]])&amp;"|"&amp;TRIM(tblDados[[#This Row],[Visitante]]))</f>
        <v>2026-06-13|Guarani|Caxias</v>
      </c>
      <c r="T2730" s="1">
        <f>IF($G2730="",0,IF(COUNTIF($S$2:$S4220,$S2730)=1,1,0))</f>
        <v>1</v>
      </c>
      <c r="U2730" s="19" t="str">
        <f>IF(tblDados[[#This Row],[Mandante]]="","",IF(COUNTIF(CadastroEquipes,TRIM(tblDados[[#This Row],[Mandante]]))&gt;0,"","⚠ Nome não cadastrado"))</f>
        <v/>
      </c>
      <c r="V2730" s="19" t="str">
        <f>IF(tblDados[[#This Row],[Visitante]]="","",IF(COUNTIF(CadastroEquipes,TRIM(tblDados[[#This Row],[Visitante]]))&gt;0,"","⚠ Nome não cadastrado"))</f>
        <v/>
      </c>
    </row>
    <row r="2731" spans="1:22" x14ac:dyDescent="0.3">
      <c r="A2731" s="1" t="s">
        <v>4652</v>
      </c>
      <c r="B2731" s="102">
        <v>46195</v>
      </c>
      <c r="C2731" s="6">
        <v>0.8125</v>
      </c>
      <c r="D2731" s="1" t="s">
        <v>12</v>
      </c>
      <c r="E2731" s="1" t="s">
        <v>4601</v>
      </c>
      <c r="F2731" s="1" t="s">
        <v>4653</v>
      </c>
      <c r="G2731" s="39" t="s">
        <v>4654</v>
      </c>
      <c r="H2731" s="1">
        <v>2</v>
      </c>
      <c r="I2731" s="1">
        <v>0</v>
      </c>
      <c r="J2731" s="39" t="s">
        <v>4637</v>
      </c>
      <c r="K2731" s="1">
        <v>0</v>
      </c>
      <c r="L2731" s="1">
        <v>2</v>
      </c>
      <c r="S2731" s="1" t="str">
        <f>IF(tblDados[[#This Row],[Mandante]]="","",TEXT(tblDados[[#This Row],[Data]],"aaaa-mm-dd")&amp;"|"&amp;TRIM(tblDados[[#This Row],[Mandante]])&amp;"|"&amp;TRIM(tblDados[[#This Row],[Visitante]]))</f>
        <v>2026-06-22|Confiança|Guarani</v>
      </c>
      <c r="T2731" s="1">
        <f>IF($G2731="",0,IF(COUNTIF($S$2:$S4221,$S2731)=1,1,0))</f>
        <v>1</v>
      </c>
      <c r="U2731" s="19" t="str">
        <f>IF(tblDados[[#This Row],[Mandante]]="","",IF(COUNTIF(CadastroEquipes,TRIM(tblDados[[#This Row],[Mandante]]))&gt;0,"","⚠ Nome não cadastrado"))</f>
        <v/>
      </c>
      <c r="V2731" s="19" t="str">
        <f>IF(tblDados[[#This Row],[Visitante]]="","",IF(COUNTIF(CadastroEquipes,TRIM(tblDados[[#This Row],[Visitante]]))&gt;0,"","⚠ Nome não cadastrado"))</f>
        <v/>
      </c>
    </row>
    <row r="2732" spans="1:22" x14ac:dyDescent="0.3">
      <c r="A2732" s="1" t="s">
        <v>4655</v>
      </c>
      <c r="B2732" s="102">
        <v>46201</v>
      </c>
      <c r="C2732" s="6">
        <v>0.45833333333333331</v>
      </c>
      <c r="D2732" s="1" t="s">
        <v>12</v>
      </c>
      <c r="E2732" s="1" t="s">
        <v>4601</v>
      </c>
      <c r="F2732" s="1" t="s">
        <v>4656</v>
      </c>
      <c r="G2732" s="39" t="s">
        <v>4603</v>
      </c>
      <c r="H2732" s="1">
        <v>1</v>
      </c>
      <c r="I2732" s="1">
        <v>1</v>
      </c>
      <c r="J2732" s="39" t="s">
        <v>4637</v>
      </c>
      <c r="K2732" s="1">
        <v>1</v>
      </c>
      <c r="L2732" s="1">
        <v>1</v>
      </c>
      <c r="S2732" s="1" t="str">
        <f>IF(tblDados[[#This Row],[Mandante]]="","",TEXT(tblDados[[#This Row],[Data]],"aaaa-mm-dd")&amp;"|"&amp;TRIM(tblDados[[#This Row],[Mandante]])&amp;"|"&amp;TRIM(tblDados[[#This Row],[Visitante]]))</f>
        <v>2026-06-28|Figueirense|Guarani</v>
      </c>
      <c r="T2732" s="1">
        <f>IF($G2732="",0,IF(COUNTIF($S$2:$S4222,$S2732)=1,1,0))</f>
        <v>1</v>
      </c>
      <c r="U2732" s="19" t="str">
        <f>IF(tblDados[[#This Row],[Mandante]]="","",IF(COUNTIF(CadastroEquipes,TRIM(tblDados[[#This Row],[Mandante]]))&gt;0,"","⚠ Nome não cadastrado"))</f>
        <v/>
      </c>
      <c r="V2732" s="19" t="str">
        <f>IF(tblDados[[#This Row],[Visitante]]="","",IF(COUNTIF(CadastroEquipes,TRIM(tblDados[[#This Row],[Visitante]]))&gt;0,"","⚠ Nome não cadastrado"))</f>
        <v/>
      </c>
    </row>
    <row r="2733" spans="1:22" x14ac:dyDescent="0.3">
      <c r="A2733" s="1" t="s">
        <v>4657</v>
      </c>
      <c r="B2733" s="102">
        <v>46207</v>
      </c>
      <c r="C2733" s="6">
        <v>0.85416666666666663</v>
      </c>
      <c r="D2733" s="1" t="s">
        <v>12</v>
      </c>
      <c r="E2733" s="1" t="s">
        <v>4601</v>
      </c>
      <c r="F2733" s="1" t="s">
        <v>4658</v>
      </c>
      <c r="G2733" s="39" t="s">
        <v>4637</v>
      </c>
      <c r="H2733" s="1">
        <v>0</v>
      </c>
      <c r="I2733" s="1">
        <v>0</v>
      </c>
      <c r="J2733" s="39" t="s">
        <v>4659</v>
      </c>
      <c r="K2733" s="1">
        <v>0</v>
      </c>
      <c r="L2733" s="1">
        <v>0</v>
      </c>
      <c r="S2733" s="1" t="str">
        <f>IF(tblDados[[#This Row],[Mandante]]="","",TEXT(tblDados[[#This Row],[Data]],"aaaa-mm-dd")&amp;"|"&amp;TRIM(tblDados[[#This Row],[Mandante]])&amp;"|"&amp;TRIM(tblDados[[#This Row],[Visitante]]))</f>
        <v>2026-07-04|Guarani|Floresta</v>
      </c>
      <c r="T2733" s="1">
        <f>IF($G2733="",0,IF(COUNTIF($S$2:$S4223,$S2733)=1,1,0))</f>
        <v>1</v>
      </c>
      <c r="U2733" s="19" t="str">
        <f>IF(tblDados[[#This Row],[Mandante]]="","",IF(COUNTIF(CadastroEquipes,TRIM(tblDados[[#This Row],[Mandante]]))&gt;0,"","⚠ Nome não cadastrado"))</f>
        <v/>
      </c>
      <c r="V2733" s="19" t="str">
        <f>IF(tblDados[[#This Row],[Visitante]]="","",IF(COUNTIF(CadastroEquipes,TRIM(tblDados[[#This Row],[Visitante]]))&gt;0,"","⚠ Nome não cadastrado"))</f>
        <v/>
      </c>
    </row>
    <row r="2734" spans="1:22" x14ac:dyDescent="0.3">
      <c r="A2734" s="1" t="s">
        <v>4660</v>
      </c>
      <c r="B2734" s="102">
        <v>46215</v>
      </c>
      <c r="C2734" s="6">
        <v>0.66666666666666663</v>
      </c>
      <c r="D2734" s="1" t="s">
        <v>12</v>
      </c>
      <c r="E2734" s="1" t="s">
        <v>4601</v>
      </c>
      <c r="F2734" s="1" t="s">
        <v>4661</v>
      </c>
      <c r="G2734" s="39" t="s">
        <v>4609</v>
      </c>
      <c r="H2734" s="1">
        <v>3</v>
      </c>
      <c r="I2734" s="1">
        <v>2</v>
      </c>
      <c r="J2734" s="39" t="s">
        <v>4637</v>
      </c>
      <c r="K2734" s="1">
        <v>2</v>
      </c>
      <c r="L2734" s="1">
        <v>3</v>
      </c>
      <c r="S2734" s="1" t="str">
        <f>IF(tblDados[[#This Row],[Mandante]]="","",TEXT(tblDados[[#This Row],[Data]],"aaaa-mm-dd")&amp;"|"&amp;TRIM(tblDados[[#This Row],[Mandante]])&amp;"|"&amp;TRIM(tblDados[[#This Row],[Visitante]]))</f>
        <v>2026-07-12|Paysandu|Guarani</v>
      </c>
      <c r="T2734" s="1">
        <f>IF($G2734="",0,IF(COUNTIF($S$2:$S4224,$S2734)=1,1,0))</f>
        <v>1</v>
      </c>
      <c r="U2734" s="19" t="str">
        <f>IF(tblDados[[#This Row],[Mandante]]="","",IF(COUNTIF(CadastroEquipes,TRIM(tblDados[[#This Row],[Mandante]]))&gt;0,"","⚠ Nome não cadastrado"))</f>
        <v/>
      </c>
      <c r="V2734" s="19" t="str">
        <f>IF(tblDados[[#This Row],[Visitante]]="","",IF(COUNTIF(CadastroEquipes,TRIM(tblDados[[#This Row],[Visitante]]))&gt;0,"","⚠ Nome não cadastrado"))</f>
        <v/>
      </c>
    </row>
    <row r="2735" spans="1:22" x14ac:dyDescent="0.3">
      <c r="A2735" s="1" t="s">
        <v>4662</v>
      </c>
      <c r="B2735" s="102">
        <v>46230</v>
      </c>
      <c r="C2735" s="6">
        <v>0.83333333333333337</v>
      </c>
      <c r="D2735" s="1" t="s">
        <v>12</v>
      </c>
      <c r="E2735" s="1" t="s">
        <v>4601</v>
      </c>
      <c r="F2735" s="1" t="s">
        <v>4663</v>
      </c>
      <c r="G2735" s="39" t="s">
        <v>4637</v>
      </c>
      <c r="H2735" s="1">
        <v>3</v>
      </c>
      <c r="I2735" s="1">
        <v>1</v>
      </c>
      <c r="J2735" s="39" t="s">
        <v>4664</v>
      </c>
      <c r="K2735" s="1">
        <v>1</v>
      </c>
      <c r="L2735" s="1">
        <v>3</v>
      </c>
      <c r="S2735" s="1" t="str">
        <f>IF(tblDados[[#This Row],[Mandante]]="","",TEXT(tblDados[[#This Row],[Data]],"aaaa-mm-dd")&amp;"|"&amp;TRIM(tblDados[[#This Row],[Mandante]])&amp;"|"&amp;TRIM(tblDados[[#This Row],[Visitante]]))</f>
        <v>2026-07-27|Guarani|Inter de Limeira</v>
      </c>
      <c r="T2735" s="1">
        <f>IF($G2735="",0,IF(COUNTIF($S$2:$S4225,$S2735)=1,1,0))</f>
        <v>1</v>
      </c>
      <c r="U2735" s="19" t="str">
        <f>IF(tblDados[[#This Row],[Mandante]]="","",IF(COUNTIF(CadastroEquipes,TRIM(tblDados[[#This Row],[Mandante]]))&gt;0,"","⚠ Nome não cadastrado"))</f>
        <v/>
      </c>
      <c r="V2735" s="19" t="str">
        <f>IF(tblDados[[#This Row],[Visitante]]="","",IF(COUNTIF(CadastroEquipes,TRIM(tblDados[[#This Row],[Visitante]]))&gt;0,"","⚠ Nome não cadastrado"))</f>
        <v/>
      </c>
    </row>
    <row r="2736" spans="1:22" x14ac:dyDescent="0.3">
      <c r="A2736" s="1" t="s">
        <v>4665</v>
      </c>
      <c r="B2736" s="102">
        <v>46145</v>
      </c>
      <c r="C2736" s="6">
        <v>0.79166666666666663</v>
      </c>
      <c r="D2736" s="1" t="s">
        <v>12</v>
      </c>
      <c r="E2736" s="1" t="s">
        <v>4601</v>
      </c>
      <c r="F2736" s="1" t="s">
        <v>4666</v>
      </c>
      <c r="G2736" s="39" t="s">
        <v>4609</v>
      </c>
      <c r="H2736" s="1">
        <v>4</v>
      </c>
      <c r="I2736" s="1">
        <v>2</v>
      </c>
      <c r="J2736" s="39" t="s">
        <v>4630</v>
      </c>
      <c r="K2736" s="1">
        <v>2</v>
      </c>
      <c r="L2736" s="1">
        <v>4</v>
      </c>
      <c r="S2736" s="1" t="str">
        <f>IF(tblDados[[#This Row],[Mandante]]="","",TEXT(tblDados[[#This Row],[Data]],"aaaa-mm-dd")&amp;"|"&amp;TRIM(tblDados[[#This Row],[Mandante]])&amp;"|"&amp;TRIM(tblDados[[#This Row],[Visitante]]))</f>
        <v>2026-05-03|Paysandu|Botafogo-PB</v>
      </c>
      <c r="T2736" s="1">
        <f>IF($G2736="",0,IF(COUNTIF($S$2:$S4227,$S2736)=1,1,0))</f>
        <v>1</v>
      </c>
      <c r="U2736" s="19" t="str">
        <f>IF(tblDados[[#This Row],[Mandante]]="","",IF(COUNTIF(CadastroEquipes,TRIM(tblDados[[#This Row],[Mandante]]))&gt;0,"","⚠ Nome não cadastrado"))</f>
        <v/>
      </c>
      <c r="V2736" s="19" t="str">
        <f>IF(tblDados[[#This Row],[Visitante]]="","",IF(COUNTIF(CadastroEquipes,TRIM(tblDados[[#This Row],[Visitante]]))&gt;0,"","⚠ Nome não cadastrado"))</f>
        <v/>
      </c>
    </row>
    <row r="2737" spans="1:22" x14ac:dyDescent="0.3">
      <c r="A2737" s="1" t="s">
        <v>4667</v>
      </c>
      <c r="B2737" s="102">
        <v>46159</v>
      </c>
      <c r="C2737" s="6">
        <v>0.66666666666666663</v>
      </c>
      <c r="D2737" s="1" t="s">
        <v>12</v>
      </c>
      <c r="E2737" s="1" t="s">
        <v>4601</v>
      </c>
      <c r="F2737" s="1" t="s">
        <v>4668</v>
      </c>
      <c r="G2737" s="39" t="s">
        <v>4627</v>
      </c>
      <c r="H2737" s="1">
        <v>2</v>
      </c>
      <c r="I2737" s="1">
        <v>0</v>
      </c>
      <c r="J2737" s="39" t="s">
        <v>4609</v>
      </c>
      <c r="K2737" s="1">
        <v>0</v>
      </c>
      <c r="L2737" s="1">
        <v>2</v>
      </c>
      <c r="S2737" s="1" t="str">
        <f>IF(tblDados[[#This Row],[Mandante]]="","",TEXT(tblDados[[#This Row],[Data]],"aaaa-mm-dd")&amp;"|"&amp;TRIM(tblDados[[#This Row],[Mandante]])&amp;"|"&amp;TRIM(tblDados[[#This Row],[Visitante]]))</f>
        <v>2026-05-17|Caxias|Paysandu</v>
      </c>
      <c r="T2737" s="1">
        <f>IF($G2737="",0,IF(COUNTIF($S$2:$S4228,$S2737)=1,1,0))</f>
        <v>1</v>
      </c>
      <c r="U2737" s="19" t="str">
        <f>IF(tblDados[[#This Row],[Mandante]]="","",IF(COUNTIF(CadastroEquipes,TRIM(tblDados[[#This Row],[Mandante]]))&gt;0,"","⚠ Nome não cadastrado"))</f>
        <v/>
      </c>
      <c r="V2737" s="19" t="str">
        <f>IF(tblDados[[#This Row],[Visitante]]="","",IF(COUNTIF(CadastroEquipes,TRIM(tblDados[[#This Row],[Visitante]]))&gt;0,"","⚠ Nome não cadastrado"))</f>
        <v/>
      </c>
    </row>
    <row r="2738" spans="1:22" x14ac:dyDescent="0.3">
      <c r="A2738" s="1" t="s">
        <v>4669</v>
      </c>
      <c r="B2738" s="102">
        <v>46167</v>
      </c>
      <c r="C2738" s="6">
        <v>0.83333333333333337</v>
      </c>
      <c r="D2738" s="1" t="s">
        <v>12</v>
      </c>
      <c r="E2738" s="1" t="s">
        <v>4601</v>
      </c>
      <c r="F2738" s="1" t="s">
        <v>4670</v>
      </c>
      <c r="G2738" s="39" t="s">
        <v>4609</v>
      </c>
      <c r="H2738" s="1">
        <v>2</v>
      </c>
      <c r="I2738" s="1">
        <v>1</v>
      </c>
      <c r="J2738" s="39" t="s">
        <v>4659</v>
      </c>
      <c r="K2738" s="1">
        <v>1</v>
      </c>
      <c r="L2738" s="1">
        <v>2</v>
      </c>
      <c r="S2738" s="1" t="str">
        <f>IF(tblDados[[#This Row],[Mandante]]="","",TEXT(tblDados[[#This Row],[Data]],"aaaa-mm-dd")&amp;"|"&amp;TRIM(tblDados[[#This Row],[Mandante]])&amp;"|"&amp;TRIM(tblDados[[#This Row],[Visitante]]))</f>
        <v>2026-05-25|Paysandu|Floresta</v>
      </c>
      <c r="T2738" s="1">
        <f>IF($G2738="",0,IF(COUNTIF($S$2:$S4229,$S2738)=1,1,0))</f>
        <v>1</v>
      </c>
      <c r="U2738" s="19" t="str">
        <f>IF(tblDados[[#This Row],[Mandante]]="","",IF(COUNTIF(CadastroEquipes,TRIM(tblDados[[#This Row],[Mandante]]))&gt;0,"","⚠ Nome não cadastrado"))</f>
        <v/>
      </c>
      <c r="V2738" s="19" t="str">
        <f>IF(tblDados[[#This Row],[Visitante]]="","",IF(COUNTIF(CadastroEquipes,TRIM(tblDados[[#This Row],[Visitante]]))&gt;0,"","⚠ Nome não cadastrado"))</f>
        <v/>
      </c>
    </row>
    <row r="2739" spans="1:22" x14ac:dyDescent="0.3">
      <c r="A2739" s="1" t="s">
        <v>4671</v>
      </c>
      <c r="B2739" s="102">
        <v>46173</v>
      </c>
      <c r="C2739" s="6">
        <v>0.85416666666666663</v>
      </c>
      <c r="D2739" s="1" t="s">
        <v>12</v>
      </c>
      <c r="E2739" s="1" t="s">
        <v>4601</v>
      </c>
      <c r="F2739" s="1" t="s">
        <v>4672</v>
      </c>
      <c r="G2739" s="39" t="s">
        <v>4603</v>
      </c>
      <c r="H2739" s="1">
        <v>2</v>
      </c>
      <c r="I2739" s="1">
        <v>1</v>
      </c>
      <c r="J2739" s="39" t="s">
        <v>4609</v>
      </c>
      <c r="K2739" s="1">
        <v>1</v>
      </c>
      <c r="L2739" s="1">
        <v>2</v>
      </c>
      <c r="S2739" s="1" t="str">
        <f>IF(tblDados[[#This Row],[Mandante]]="","",TEXT(tblDados[[#This Row],[Data]],"aaaa-mm-dd")&amp;"|"&amp;TRIM(tblDados[[#This Row],[Mandante]])&amp;"|"&amp;TRIM(tblDados[[#This Row],[Visitante]]))</f>
        <v>2026-05-31|Figueirense|Paysandu</v>
      </c>
      <c r="T2739" s="1">
        <f>IF($G2739="",0,IF(COUNTIF($S$2:$S4230,$S2739)=1,1,0))</f>
        <v>1</v>
      </c>
      <c r="U2739" s="19" t="str">
        <f>IF(tblDados[[#This Row],[Mandante]]="","",IF(COUNTIF(CadastroEquipes,TRIM(tblDados[[#This Row],[Mandante]]))&gt;0,"","⚠ Nome não cadastrado"))</f>
        <v/>
      </c>
      <c r="V2739" s="19" t="str">
        <f>IF(tblDados[[#This Row],[Visitante]]="","",IF(COUNTIF(CadastroEquipes,TRIM(tblDados[[#This Row],[Visitante]]))&gt;0,"","⚠ Nome não cadastrado"))</f>
        <v/>
      </c>
    </row>
    <row r="2740" spans="1:22" x14ac:dyDescent="0.3">
      <c r="A2740" s="1" t="s">
        <v>4673</v>
      </c>
      <c r="B2740" s="102">
        <v>46187</v>
      </c>
      <c r="C2740" s="6">
        <v>0.66666666666666663</v>
      </c>
      <c r="D2740" s="1" t="s">
        <v>12</v>
      </c>
      <c r="E2740" s="1" t="s">
        <v>4601</v>
      </c>
      <c r="F2740" s="1" t="s">
        <v>4674</v>
      </c>
      <c r="G2740" s="39" t="s">
        <v>4609</v>
      </c>
      <c r="H2740" s="1">
        <v>1</v>
      </c>
      <c r="I2740" s="1">
        <v>2</v>
      </c>
      <c r="J2740" s="39" t="s">
        <v>4664</v>
      </c>
      <c r="K2740" s="1">
        <v>2</v>
      </c>
      <c r="L2740" s="1">
        <v>1</v>
      </c>
      <c r="S2740" s="1" t="str">
        <f>IF(tblDados[[#This Row],[Mandante]]="","",TEXT(tblDados[[#This Row],[Data]],"aaaa-mm-dd")&amp;"|"&amp;TRIM(tblDados[[#This Row],[Mandante]])&amp;"|"&amp;TRIM(tblDados[[#This Row],[Visitante]]))</f>
        <v>2026-06-14|Paysandu|Inter de Limeira</v>
      </c>
      <c r="T2740" s="1">
        <f>IF($G2740="",0,IF(COUNTIF($S$2:$S4231,$S2740)=1,1,0))</f>
        <v>1</v>
      </c>
      <c r="U2740" s="19" t="str">
        <f>IF(tblDados[[#This Row],[Mandante]]="","",IF(COUNTIF(CadastroEquipes,TRIM(tblDados[[#This Row],[Mandante]]))&gt;0,"","⚠ Nome não cadastrado"))</f>
        <v/>
      </c>
      <c r="V2740" s="19" t="str">
        <f>IF(tblDados[[#This Row],[Visitante]]="","",IF(COUNTIF(CadastroEquipes,TRIM(tblDados[[#This Row],[Visitante]]))&gt;0,"","⚠ Nome não cadastrado"))</f>
        <v/>
      </c>
    </row>
    <row r="2741" spans="1:22" x14ac:dyDescent="0.3">
      <c r="A2741" s="1" t="s">
        <v>4675</v>
      </c>
      <c r="B2741" s="102">
        <v>46194</v>
      </c>
      <c r="C2741" s="6">
        <v>0.875</v>
      </c>
      <c r="D2741" s="1" t="s">
        <v>12</v>
      </c>
      <c r="E2741" s="1" t="s">
        <v>4601</v>
      </c>
      <c r="F2741" s="1" t="s">
        <v>4676</v>
      </c>
      <c r="G2741" s="39" t="s">
        <v>4618</v>
      </c>
      <c r="H2741" s="1">
        <v>0</v>
      </c>
      <c r="I2741" s="1">
        <v>1</v>
      </c>
      <c r="J2741" s="39" t="s">
        <v>4609</v>
      </c>
      <c r="K2741" s="1">
        <v>1</v>
      </c>
      <c r="L2741" s="1">
        <v>0</v>
      </c>
      <c r="S2741" s="1" t="str">
        <f>IF(tblDados[[#This Row],[Mandante]]="","",TEXT(tblDados[[#This Row],[Data]],"aaaa-mm-dd")&amp;"|"&amp;TRIM(tblDados[[#This Row],[Mandante]])&amp;"|"&amp;TRIM(tblDados[[#This Row],[Visitante]]))</f>
        <v>2026-06-21|Maranhão|Paysandu</v>
      </c>
      <c r="T2741" s="1">
        <f>IF($G2741="",0,IF(COUNTIF($S$2:$S4232,$S2741)=1,1,0))</f>
        <v>1</v>
      </c>
      <c r="U2741" s="19" t="str">
        <f>IF(tblDados[[#This Row],[Mandante]]="","",IF(COUNTIF(CadastroEquipes,TRIM(tblDados[[#This Row],[Mandante]]))&gt;0,"","⚠ Nome não cadastrado"))</f>
        <v/>
      </c>
      <c r="V2741" s="19" t="str">
        <f>IF(tblDados[[#This Row],[Visitante]]="","",IF(COUNTIF(CadastroEquipes,TRIM(tblDados[[#This Row],[Visitante]]))&gt;0,"","⚠ Nome não cadastrado"))</f>
        <v/>
      </c>
    </row>
    <row r="2742" spans="1:22" x14ac:dyDescent="0.3">
      <c r="A2742" s="1" t="s">
        <v>4677</v>
      </c>
      <c r="B2742" s="102">
        <v>46200</v>
      </c>
      <c r="C2742" s="6">
        <v>0.70833333333333337</v>
      </c>
      <c r="D2742" s="1" t="s">
        <v>12</v>
      </c>
      <c r="E2742" s="1" t="s">
        <v>4601</v>
      </c>
      <c r="F2742" s="1" t="s">
        <v>4678</v>
      </c>
      <c r="G2742" s="39" t="s">
        <v>4609</v>
      </c>
      <c r="H2742" s="1">
        <v>1</v>
      </c>
      <c r="I2742" s="1">
        <v>3</v>
      </c>
      <c r="J2742" s="39" t="s">
        <v>4640</v>
      </c>
      <c r="K2742" s="1">
        <v>3</v>
      </c>
      <c r="L2742" s="1">
        <v>1</v>
      </c>
      <c r="S2742" s="1" t="str">
        <f>IF(tblDados[[#This Row],[Mandante]]="","",TEXT(tblDados[[#This Row],[Data]],"aaaa-mm-dd")&amp;"|"&amp;TRIM(tblDados[[#This Row],[Mandante]])&amp;"|"&amp;TRIM(tblDados[[#This Row],[Visitante]]))</f>
        <v>2026-06-27|Paysandu|Santa Cruz</v>
      </c>
      <c r="T2742" s="1">
        <f>IF($G2742="",0,IF(COUNTIF($S$2:$S4233,$S2742)=1,1,0))</f>
        <v>1</v>
      </c>
      <c r="U2742" s="19" t="str">
        <f>IF(tblDados[[#This Row],[Mandante]]="","",IF(COUNTIF(CadastroEquipes,TRIM(tblDados[[#This Row],[Mandante]]))&gt;0,"","⚠ Nome não cadastrado"))</f>
        <v/>
      </c>
      <c r="V2742" s="19" t="str">
        <f>IF(tblDados[[#This Row],[Visitante]]="","",IF(COUNTIF(CadastroEquipes,TRIM(tblDados[[#This Row],[Visitante]]))&gt;0,"","⚠ Nome não cadastrado"))</f>
        <v/>
      </c>
    </row>
    <row r="2743" spans="1:22" x14ac:dyDescent="0.3">
      <c r="A2743" s="1" t="s">
        <v>4679</v>
      </c>
      <c r="B2743" s="102">
        <v>46208</v>
      </c>
      <c r="C2743" s="6">
        <v>0.45833333333333331</v>
      </c>
      <c r="D2743" s="1" t="s">
        <v>12</v>
      </c>
      <c r="E2743" s="1" t="s">
        <v>4601</v>
      </c>
      <c r="F2743" s="1" t="s">
        <v>4680</v>
      </c>
      <c r="G2743" s="39" t="s">
        <v>4681</v>
      </c>
      <c r="H2743" s="1">
        <v>1</v>
      </c>
      <c r="I2743" s="1">
        <v>0</v>
      </c>
      <c r="J2743" s="39" t="s">
        <v>4609</v>
      </c>
      <c r="K2743" s="1">
        <v>0</v>
      </c>
      <c r="L2743" s="1">
        <v>1</v>
      </c>
      <c r="S2743" s="1" t="str">
        <f>IF(tblDados[[#This Row],[Mandante]]="","",TEXT(tblDados[[#This Row],[Data]],"aaaa-mm-dd")&amp;"|"&amp;TRIM(tblDados[[#This Row],[Mandante]])&amp;"|"&amp;TRIM(tblDados[[#This Row],[Visitante]]))</f>
        <v>2026-07-05|Ypiranga-RS|Paysandu</v>
      </c>
      <c r="T2743" s="1">
        <f>IF($G2743="",0,IF(COUNTIF($S$2:$S4234,$S2743)=1,1,0))</f>
        <v>1</v>
      </c>
      <c r="U2743" s="19" t="str">
        <f>IF(tblDados[[#This Row],[Mandante]]="","",IF(COUNTIF(CadastroEquipes,TRIM(tblDados[[#This Row],[Mandante]]))&gt;0,"","⚠ Nome não cadastrado"))</f>
        <v/>
      </c>
      <c r="V2743" s="19" t="str">
        <f>IF(tblDados[[#This Row],[Visitante]]="","",IF(COUNTIF(CadastroEquipes,TRIM(tblDados[[#This Row],[Visitante]]))&gt;0,"","⚠ Nome não cadastrado"))</f>
        <v/>
      </c>
    </row>
    <row r="2744" spans="1:22" x14ac:dyDescent="0.3">
      <c r="A2744" s="1" t="s">
        <v>4682</v>
      </c>
      <c r="B2744" s="102">
        <v>46229</v>
      </c>
      <c r="C2744" s="6">
        <v>0.85416666666666663</v>
      </c>
      <c r="D2744" s="1" t="s">
        <v>12</v>
      </c>
      <c r="E2744" s="1" t="s">
        <v>4601</v>
      </c>
      <c r="F2744" s="1" t="s">
        <v>4683</v>
      </c>
      <c r="G2744" s="39" t="s">
        <v>4621</v>
      </c>
      <c r="H2744" s="1">
        <v>2</v>
      </c>
      <c r="I2744" s="1">
        <v>1</v>
      </c>
      <c r="J2744" s="39" t="s">
        <v>4609</v>
      </c>
      <c r="K2744" s="1">
        <v>1</v>
      </c>
      <c r="L2744" s="1">
        <v>2</v>
      </c>
      <c r="S2744" s="1" t="str">
        <f>IF(tblDados[[#This Row],[Mandante]]="","",TEXT(tblDados[[#This Row],[Data]],"aaaa-mm-dd")&amp;"|"&amp;TRIM(tblDados[[#This Row],[Mandante]])&amp;"|"&amp;TRIM(tblDados[[#This Row],[Visitante]]))</f>
        <v>2026-07-26|Amazonas|Paysandu</v>
      </c>
      <c r="T2744" s="1">
        <f>IF($G2744="",0,IF(COUNTIF($S$2:$S4235,$S2744)=1,1,0))</f>
        <v>1</v>
      </c>
      <c r="U2744" s="19" t="str">
        <f>IF(tblDados[[#This Row],[Mandante]]="","",IF(COUNTIF(CadastroEquipes,TRIM(tblDados[[#This Row],[Mandante]]))&gt;0,"","⚠ Nome não cadastrado"))</f>
        <v/>
      </c>
      <c r="V2744" s="19" t="str">
        <f>IF(tblDados[[#This Row],[Visitante]]="","",IF(COUNTIF(CadastroEquipes,TRIM(tblDados[[#This Row],[Visitante]]))&gt;0,"","⚠ Nome não cadastrado"))</f>
        <v/>
      </c>
    </row>
    <row r="2745" spans="1:22" x14ac:dyDescent="0.3">
      <c r="A2745" s="1" t="s">
        <v>4684</v>
      </c>
      <c r="B2745" s="102">
        <v>46144</v>
      </c>
      <c r="C2745" s="6">
        <v>0.79166666666666663</v>
      </c>
      <c r="D2745" s="1" t="s">
        <v>12</v>
      </c>
      <c r="E2745" s="1" t="s">
        <v>4601</v>
      </c>
      <c r="F2745" s="1" t="s">
        <v>4685</v>
      </c>
      <c r="G2745" s="39" t="s">
        <v>4654</v>
      </c>
      <c r="H2745" s="1">
        <v>0</v>
      </c>
      <c r="I2745" s="1">
        <v>1</v>
      </c>
      <c r="J2745" s="39" t="s">
        <v>4664</v>
      </c>
      <c r="K2745" s="1">
        <v>1</v>
      </c>
      <c r="L2745" s="1">
        <v>0</v>
      </c>
      <c r="S2745" s="1" t="str">
        <f>IF(tblDados[[#This Row],[Mandante]]="","",TEXT(tblDados[[#This Row],[Data]],"aaaa-mm-dd")&amp;"|"&amp;TRIM(tblDados[[#This Row],[Mandante]])&amp;"|"&amp;TRIM(tblDados[[#This Row],[Visitante]]))</f>
        <v>2026-05-02|Confiança|Inter de Limeira</v>
      </c>
      <c r="T2745" s="1">
        <f>IF($G2745="",0,IF(COUNTIF($S$2:$S4237,$S2745)=1,1,0))</f>
        <v>1</v>
      </c>
      <c r="U2745" s="19" t="str">
        <f>IF(tblDados[[#This Row],[Mandante]]="","",IF(COUNTIF(CadastroEquipes,TRIM(tblDados[[#This Row],[Mandante]]))&gt;0,"","⚠ Nome não cadastrado"))</f>
        <v/>
      </c>
      <c r="V2745" s="19" t="str">
        <f>IF(tblDados[[#This Row],[Visitante]]="","",IF(COUNTIF(CadastroEquipes,TRIM(tblDados[[#This Row],[Visitante]]))&gt;0,"","⚠ Nome não cadastrado"))</f>
        <v/>
      </c>
    </row>
    <row r="2746" spans="1:22" x14ac:dyDescent="0.3">
      <c r="A2746" s="1" t="s">
        <v>4686</v>
      </c>
      <c r="B2746" s="102">
        <v>46152</v>
      </c>
      <c r="C2746" s="6">
        <v>0.8125</v>
      </c>
      <c r="D2746" s="1" t="s">
        <v>12</v>
      </c>
      <c r="E2746" s="1" t="s">
        <v>4601</v>
      </c>
      <c r="F2746" s="1" t="s">
        <v>4687</v>
      </c>
      <c r="G2746" s="39" t="s">
        <v>4645</v>
      </c>
      <c r="H2746" s="1">
        <v>3</v>
      </c>
      <c r="I2746" s="1">
        <v>1</v>
      </c>
      <c r="J2746" s="39" t="s">
        <v>4654</v>
      </c>
      <c r="K2746" s="1">
        <v>1</v>
      </c>
      <c r="L2746" s="1">
        <v>3</v>
      </c>
      <c r="S2746" s="1" t="str">
        <f>IF(tblDados[[#This Row],[Mandante]]="","",TEXT(tblDados[[#This Row],[Data]],"aaaa-mm-dd")&amp;"|"&amp;TRIM(tblDados[[#This Row],[Mandante]])&amp;"|"&amp;TRIM(tblDados[[#This Row],[Visitante]]))</f>
        <v>2026-05-10|Ituano|Confiança</v>
      </c>
      <c r="T2746" s="1">
        <f>IF($G2746="",0,IF(COUNTIF($S$2:$S4238,$S2746)=1,1,0))</f>
        <v>1</v>
      </c>
      <c r="U2746" s="19" t="str">
        <f>IF(tblDados[[#This Row],[Mandante]]="","",IF(COUNTIF(CadastroEquipes,TRIM(tblDados[[#This Row],[Mandante]]))&gt;0,"","⚠ Nome não cadastrado"))</f>
        <v/>
      </c>
      <c r="V2746" s="19" t="str">
        <f>IF(tblDados[[#This Row],[Visitante]]="","",IF(COUNTIF(CadastroEquipes,TRIM(tblDados[[#This Row],[Visitante]]))&gt;0,"","⚠ Nome não cadastrado"))</f>
        <v/>
      </c>
    </row>
    <row r="2747" spans="1:22" x14ac:dyDescent="0.3">
      <c r="A2747" s="1" t="s">
        <v>4688</v>
      </c>
      <c r="B2747" s="102">
        <v>46160</v>
      </c>
      <c r="C2747" s="6">
        <v>0.83333333333333337</v>
      </c>
      <c r="D2747" s="1" t="s">
        <v>12</v>
      </c>
      <c r="E2747" s="1" t="s">
        <v>4601</v>
      </c>
      <c r="F2747" s="1" t="s">
        <v>4689</v>
      </c>
      <c r="G2747" s="39" t="s">
        <v>4654</v>
      </c>
      <c r="H2747" s="1">
        <v>2</v>
      </c>
      <c r="I2747" s="1">
        <v>1</v>
      </c>
      <c r="J2747" s="39" t="s">
        <v>4618</v>
      </c>
      <c r="K2747" s="1">
        <v>1</v>
      </c>
      <c r="L2747" s="1">
        <v>2</v>
      </c>
      <c r="S2747" s="1" t="str">
        <f>IF(tblDados[[#This Row],[Mandante]]="","",TEXT(tblDados[[#This Row],[Data]],"aaaa-mm-dd")&amp;"|"&amp;TRIM(tblDados[[#This Row],[Mandante]])&amp;"|"&amp;TRIM(tblDados[[#This Row],[Visitante]]))</f>
        <v>2026-05-18|Confiança|Maranhão</v>
      </c>
      <c r="T2747" s="1">
        <f>IF($G2747="",0,IF(COUNTIF($S$2:$S4239,$S2747)=1,1,0))</f>
        <v>1</v>
      </c>
      <c r="U2747" s="19" t="str">
        <f>IF(tblDados[[#This Row],[Mandante]]="","",IF(COUNTIF(CadastroEquipes,TRIM(tblDados[[#This Row],[Mandante]]))&gt;0,"","⚠ Nome não cadastrado"))</f>
        <v/>
      </c>
      <c r="V2747" s="19" t="str">
        <f>IF(tblDados[[#This Row],[Visitante]]="","",IF(COUNTIF(CadastroEquipes,TRIM(tblDados[[#This Row],[Visitante]]))&gt;0,"","⚠ Nome não cadastrado"))</f>
        <v/>
      </c>
    </row>
    <row r="2748" spans="1:22" x14ac:dyDescent="0.3">
      <c r="A2748" s="1" t="s">
        <v>4690</v>
      </c>
      <c r="B2748" s="102">
        <v>46166</v>
      </c>
      <c r="C2748" s="6">
        <v>0.75</v>
      </c>
      <c r="D2748" s="1" t="s">
        <v>12</v>
      </c>
      <c r="E2748" s="1" t="s">
        <v>4601</v>
      </c>
      <c r="F2748" s="1" t="s">
        <v>4691</v>
      </c>
      <c r="G2748" s="39" t="s">
        <v>4654</v>
      </c>
      <c r="H2748" s="1">
        <v>0</v>
      </c>
      <c r="I2748" s="1">
        <v>2</v>
      </c>
      <c r="J2748" s="39" t="s">
        <v>4603</v>
      </c>
      <c r="K2748" s="1">
        <v>2</v>
      </c>
      <c r="L2748" s="1">
        <v>0</v>
      </c>
      <c r="S2748" s="1" t="str">
        <f>IF(tblDados[[#This Row],[Mandante]]="","",TEXT(tblDados[[#This Row],[Data]],"aaaa-mm-dd")&amp;"|"&amp;TRIM(tblDados[[#This Row],[Mandante]])&amp;"|"&amp;TRIM(tblDados[[#This Row],[Visitante]]))</f>
        <v>2026-05-24|Confiança|Figueirense</v>
      </c>
      <c r="T2748" s="1">
        <f>IF($G2748="",0,IF(COUNTIF($S$2:$S4240,$S2748)=1,1,0))</f>
        <v>1</v>
      </c>
      <c r="U2748" s="19" t="str">
        <f>IF(tblDados[[#This Row],[Mandante]]="","",IF(COUNTIF(CadastroEquipes,TRIM(tblDados[[#This Row],[Mandante]]))&gt;0,"","⚠ Nome não cadastrado"))</f>
        <v/>
      </c>
      <c r="V2748" s="19" t="str">
        <f>IF(tblDados[[#This Row],[Visitante]]="","",IF(COUNTIF(CadastroEquipes,TRIM(tblDados[[#This Row],[Visitante]]))&gt;0,"","⚠ Nome não cadastrado"))</f>
        <v/>
      </c>
    </row>
    <row r="2749" spans="1:22" x14ac:dyDescent="0.3">
      <c r="A2749" s="1" t="s">
        <v>4692</v>
      </c>
      <c r="B2749" s="102">
        <v>46172</v>
      </c>
      <c r="C2749" s="6">
        <v>0.70833333333333337</v>
      </c>
      <c r="D2749" s="1" t="s">
        <v>12</v>
      </c>
      <c r="E2749" s="1" t="s">
        <v>4601</v>
      </c>
      <c r="F2749" s="1" t="s">
        <v>4693</v>
      </c>
      <c r="G2749" s="39" t="s">
        <v>4659</v>
      </c>
      <c r="H2749" s="1">
        <v>2</v>
      </c>
      <c r="I2749" s="1">
        <v>1</v>
      </c>
      <c r="J2749" s="39" t="s">
        <v>4654</v>
      </c>
      <c r="K2749" s="1">
        <v>1</v>
      </c>
      <c r="L2749" s="1">
        <v>2</v>
      </c>
      <c r="S2749" s="1" t="str">
        <f>IF(tblDados[[#This Row],[Mandante]]="","",TEXT(tblDados[[#This Row],[Data]],"aaaa-mm-dd")&amp;"|"&amp;TRIM(tblDados[[#This Row],[Mandante]])&amp;"|"&amp;TRIM(tblDados[[#This Row],[Visitante]]))</f>
        <v>2026-05-30|Floresta|Confiança</v>
      </c>
      <c r="T2749" s="1">
        <f>IF($G2749="",0,IF(COUNTIF($S$2:$S4241,$S2749)=1,1,0))</f>
        <v>1</v>
      </c>
      <c r="U2749" s="19" t="str">
        <f>IF(tblDados[[#This Row],[Mandante]]="","",IF(COUNTIF(CadastroEquipes,TRIM(tblDados[[#This Row],[Mandante]]))&gt;0,"","⚠ Nome não cadastrado"))</f>
        <v/>
      </c>
      <c r="V2749" s="19" t="str">
        <f>IF(tblDados[[#This Row],[Visitante]]="","",IF(COUNTIF(CadastroEquipes,TRIM(tblDados[[#This Row],[Visitante]]))&gt;0,"","⚠ Nome não cadastrado"))</f>
        <v/>
      </c>
    </row>
    <row r="2750" spans="1:22" x14ac:dyDescent="0.3">
      <c r="A2750" s="1" t="s">
        <v>4694</v>
      </c>
      <c r="B2750" s="102">
        <v>46187</v>
      </c>
      <c r="C2750" s="6">
        <v>0.8125</v>
      </c>
      <c r="D2750" s="1" t="s">
        <v>12</v>
      </c>
      <c r="E2750" s="1" t="s">
        <v>4601</v>
      </c>
      <c r="F2750" s="1" t="s">
        <v>4695</v>
      </c>
      <c r="G2750" s="39" t="s">
        <v>4636</v>
      </c>
      <c r="H2750" s="1">
        <v>3</v>
      </c>
      <c r="I2750" s="1">
        <v>1</v>
      </c>
      <c r="J2750" s="39" t="s">
        <v>4654</v>
      </c>
      <c r="K2750" s="1">
        <v>1</v>
      </c>
      <c r="L2750" s="1">
        <v>3</v>
      </c>
      <c r="S2750" s="1" t="str">
        <f>IF(tblDados[[#This Row],[Mandante]]="","",TEXT(tblDados[[#This Row],[Data]],"aaaa-mm-dd")&amp;"|"&amp;TRIM(tblDados[[#This Row],[Mandante]])&amp;"|"&amp;TRIM(tblDados[[#This Row],[Visitante]]))</f>
        <v>2026-06-14|Volta Redonda|Confiança</v>
      </c>
      <c r="T2750" s="1">
        <f>IF($G2750="",0,IF(COUNTIF($S$2:$S4242,$S2750)=1,1,0))</f>
        <v>1</v>
      </c>
      <c r="U2750" s="19" t="str">
        <f>IF(tblDados[[#This Row],[Mandante]]="","",IF(COUNTIF(CadastroEquipes,TRIM(tblDados[[#This Row],[Mandante]]))&gt;0,"","⚠ Nome não cadastrado"))</f>
        <v/>
      </c>
      <c r="V2750" s="19" t="str">
        <f>IF(tblDados[[#This Row],[Visitante]]="","",IF(COUNTIF(CadastroEquipes,TRIM(tblDados[[#This Row],[Visitante]]))&gt;0,"","⚠ Nome não cadastrado"))</f>
        <v/>
      </c>
    </row>
    <row r="2751" spans="1:22" x14ac:dyDescent="0.3">
      <c r="A2751" s="1" t="s">
        <v>4696</v>
      </c>
      <c r="B2751" s="102">
        <v>46201</v>
      </c>
      <c r="C2751" s="6">
        <v>0.85416666666666663</v>
      </c>
      <c r="D2751" s="1" t="s">
        <v>12</v>
      </c>
      <c r="E2751" s="1" t="s">
        <v>4601</v>
      </c>
      <c r="F2751" s="1" t="s">
        <v>4697</v>
      </c>
      <c r="G2751" s="39" t="s">
        <v>4681</v>
      </c>
      <c r="H2751" s="1">
        <v>1</v>
      </c>
      <c r="I2751" s="1">
        <v>1</v>
      </c>
      <c r="J2751" s="39" t="s">
        <v>4654</v>
      </c>
      <c r="K2751" s="1">
        <v>1</v>
      </c>
      <c r="L2751" s="1">
        <v>1</v>
      </c>
      <c r="S2751" s="1" t="str">
        <f>IF(tblDados[[#This Row],[Mandante]]="","",TEXT(tblDados[[#This Row],[Data]],"aaaa-mm-dd")&amp;"|"&amp;TRIM(tblDados[[#This Row],[Mandante]])&amp;"|"&amp;TRIM(tblDados[[#This Row],[Visitante]]))</f>
        <v>2026-06-28|Ypiranga-RS|Confiança</v>
      </c>
      <c r="T2751" s="1">
        <f>IF($G2751="",0,IF(COUNTIF($S$2:$S4243,$S2751)=1,1,0))</f>
        <v>1</v>
      </c>
      <c r="U2751" s="19" t="str">
        <f>IF(tblDados[[#This Row],[Mandante]]="","",IF(COUNTIF(CadastroEquipes,TRIM(tblDados[[#This Row],[Mandante]]))&gt;0,"","⚠ Nome não cadastrado"))</f>
        <v/>
      </c>
      <c r="V2751" s="19" t="str">
        <f>IF(tblDados[[#This Row],[Visitante]]="","",IF(COUNTIF(CadastroEquipes,TRIM(tblDados[[#This Row],[Visitante]]))&gt;0,"","⚠ Nome não cadastrado"))</f>
        <v/>
      </c>
    </row>
    <row r="2752" spans="1:22" x14ac:dyDescent="0.3">
      <c r="A2752" s="1" t="s">
        <v>4698</v>
      </c>
      <c r="B2752" s="102">
        <v>46207</v>
      </c>
      <c r="C2752" s="6">
        <v>0.79166666666666663</v>
      </c>
      <c r="D2752" s="1" t="s">
        <v>12</v>
      </c>
      <c r="E2752" s="1" t="s">
        <v>4601</v>
      </c>
      <c r="F2752" s="1" t="s">
        <v>4699</v>
      </c>
      <c r="G2752" s="39" t="s">
        <v>4654</v>
      </c>
      <c r="H2752" s="1">
        <v>1</v>
      </c>
      <c r="I2752" s="1">
        <v>3</v>
      </c>
      <c r="J2752" s="39" t="s">
        <v>4612</v>
      </c>
      <c r="K2752" s="1">
        <v>3</v>
      </c>
      <c r="L2752" s="1">
        <v>1</v>
      </c>
      <c r="S2752" s="1" t="str">
        <f>IF(tblDados[[#This Row],[Mandante]]="","",TEXT(tblDados[[#This Row],[Data]],"aaaa-mm-dd")&amp;"|"&amp;TRIM(tblDados[[#This Row],[Mandante]])&amp;"|"&amp;TRIM(tblDados[[#This Row],[Visitante]]))</f>
        <v>2026-07-04|Confiança|Barra FC</v>
      </c>
      <c r="T2752" s="1">
        <f>IF($G2752="",0,IF(COUNTIF($S$2:$S4244,$S2752)=1,1,0))</f>
        <v>1</v>
      </c>
      <c r="U2752" s="19" t="str">
        <f>IF(tblDados[[#This Row],[Mandante]]="","",IF(COUNTIF(CadastroEquipes,TRIM(tblDados[[#This Row],[Mandante]]))&gt;0,"","⚠ Nome não cadastrado"))</f>
        <v/>
      </c>
      <c r="V2752" s="19" t="str">
        <f>IF(tblDados[[#This Row],[Visitante]]="","",IF(COUNTIF(CadastroEquipes,TRIM(tblDados[[#This Row],[Visitante]]))&gt;0,"","⚠ Nome não cadastrado"))</f>
        <v/>
      </c>
    </row>
    <row r="2753" spans="1:22" x14ac:dyDescent="0.3">
      <c r="A2753" s="1" t="s">
        <v>4700</v>
      </c>
      <c r="B2753" s="102">
        <v>46215</v>
      </c>
      <c r="C2753" s="6">
        <v>0.8125</v>
      </c>
      <c r="D2753" s="1" t="s">
        <v>12</v>
      </c>
      <c r="E2753" s="1" t="s">
        <v>4601</v>
      </c>
      <c r="F2753" s="1" t="s">
        <v>8013</v>
      </c>
      <c r="G2753" s="39" t="s">
        <v>4630</v>
      </c>
      <c r="H2753" s="1">
        <v>2</v>
      </c>
      <c r="I2753" s="1">
        <v>0</v>
      </c>
      <c r="J2753" s="39" t="s">
        <v>4654</v>
      </c>
      <c r="K2753" s="1">
        <v>0</v>
      </c>
      <c r="L2753" s="1">
        <v>2</v>
      </c>
      <c r="S2753" s="1" t="str">
        <f>IF(tblDados[[#This Row],[Mandante]]="","",TEXT(tblDados[[#This Row],[Data]],"aaaa-mm-dd")&amp;"|"&amp;TRIM(tblDados[[#This Row],[Mandante]])&amp;"|"&amp;TRIM(tblDados[[#This Row],[Visitante]]))</f>
        <v>2026-07-12|Botafogo-PB|Confiança</v>
      </c>
      <c r="T2753" s="1">
        <f>IF($G2753="",0,IF(COUNTIF($S$2:$S4245,$S2753)=1,1,0))</f>
        <v>1</v>
      </c>
      <c r="U2753" s="19" t="str">
        <f>IF(tblDados[[#This Row],[Mandante]]="","",IF(COUNTIF(CadastroEquipes,TRIM(tblDados[[#This Row],[Mandante]]))&gt;0,"","⚠ Nome não cadastrado"))</f>
        <v/>
      </c>
      <c r="V2753" s="19" t="str">
        <f>IF(tblDados[[#This Row],[Visitante]]="","",IF(COUNTIF(CadastroEquipes,TRIM(tblDados[[#This Row],[Visitante]]))&gt;0,"","⚠ Nome não cadastrado"))</f>
        <v/>
      </c>
    </row>
    <row r="2754" spans="1:22" x14ac:dyDescent="0.3">
      <c r="A2754" s="1" t="s">
        <v>4701</v>
      </c>
      <c r="B2754" s="102">
        <v>46228</v>
      </c>
      <c r="C2754" s="6">
        <v>0.77083333333333337</v>
      </c>
      <c r="D2754" s="1" t="s">
        <v>12</v>
      </c>
      <c r="E2754" s="1" t="s">
        <v>4601</v>
      </c>
      <c r="F2754" s="1" t="s">
        <v>4702</v>
      </c>
      <c r="G2754" s="39" t="s">
        <v>4654</v>
      </c>
      <c r="H2754" s="1">
        <v>1</v>
      </c>
      <c r="I2754" s="1">
        <v>1</v>
      </c>
      <c r="J2754" s="39" t="s">
        <v>4624</v>
      </c>
      <c r="K2754" s="1">
        <v>1</v>
      </c>
      <c r="L2754" s="1">
        <v>1</v>
      </c>
      <c r="S2754" s="1" t="str">
        <f>IF(tblDados[[#This Row],[Mandante]]="","",TEXT(tblDados[[#This Row],[Data]],"aaaa-mm-dd")&amp;"|"&amp;TRIM(tblDados[[#This Row],[Mandante]])&amp;"|"&amp;TRIM(tblDados[[#This Row],[Visitante]]))</f>
        <v>2026-07-25|Confiança|Itabaiana</v>
      </c>
      <c r="T2754" s="1">
        <f>IF($G2754="",0,IF(COUNTIF($S$2:$S4246,$S2754)=1,1,0))</f>
        <v>1</v>
      </c>
      <c r="U2754" s="19" t="str">
        <f>IF(tblDados[[#This Row],[Mandante]]="","",IF(COUNTIF(CadastroEquipes,TRIM(tblDados[[#This Row],[Mandante]]))&gt;0,"","⚠ Nome não cadastrado"))</f>
        <v/>
      </c>
      <c r="V2754" s="19" t="str">
        <f>IF(tblDados[[#This Row],[Visitante]]="","",IF(COUNTIF(CadastroEquipes,TRIM(tblDados[[#This Row],[Visitante]]))&gt;0,"","⚠ Nome não cadastrado"))</f>
        <v/>
      </c>
    </row>
    <row r="2755" spans="1:22" x14ac:dyDescent="0.3">
      <c r="A2755" s="1" t="s">
        <v>8014</v>
      </c>
      <c r="B2755" s="102">
        <v>46145</v>
      </c>
      <c r="C2755" s="6">
        <v>0.83333333333333337</v>
      </c>
      <c r="D2755" s="1" t="s">
        <v>12</v>
      </c>
      <c r="E2755" s="1" t="s">
        <v>4601</v>
      </c>
      <c r="F2755" s="1" t="s">
        <v>8015</v>
      </c>
      <c r="G2755" s="39" t="s">
        <v>4636</v>
      </c>
      <c r="H2755" s="1">
        <v>1</v>
      </c>
      <c r="I2755" s="1">
        <v>1</v>
      </c>
      <c r="J2755" s="39" t="s">
        <v>4615</v>
      </c>
      <c r="K2755" s="1">
        <v>1</v>
      </c>
      <c r="L2755" s="1">
        <v>1</v>
      </c>
      <c r="S2755" s="1" t="s">
        <v>8016</v>
      </c>
      <c r="T2755" s="1">
        <v>1</v>
      </c>
      <c r="U2755" s="19"/>
      <c r="V2755" s="19"/>
    </row>
    <row r="2756" spans="1:22" x14ac:dyDescent="0.3">
      <c r="A2756" s="1" t="s">
        <v>8017</v>
      </c>
      <c r="B2756" s="102">
        <v>46151</v>
      </c>
      <c r="C2756" s="6">
        <v>0.75</v>
      </c>
      <c r="D2756" s="1" t="s">
        <v>12</v>
      </c>
      <c r="E2756" s="1" t="s">
        <v>4601</v>
      </c>
      <c r="F2756" s="1" t="s">
        <v>8018</v>
      </c>
      <c r="G2756" s="39" t="s">
        <v>4618</v>
      </c>
      <c r="H2756" s="1">
        <v>3</v>
      </c>
      <c r="I2756" s="1">
        <v>1</v>
      </c>
      <c r="J2756" s="39" t="s">
        <v>4630</v>
      </c>
      <c r="K2756" s="1">
        <v>1</v>
      </c>
      <c r="L2756" s="1">
        <v>3</v>
      </c>
      <c r="S2756" s="1" t="s">
        <v>8019</v>
      </c>
      <c r="T2756" s="1">
        <v>1</v>
      </c>
      <c r="U2756" s="19"/>
      <c r="V2756" s="19"/>
    </row>
    <row r="2757" spans="1:22" x14ac:dyDescent="0.3">
      <c r="A2757" s="1" t="s">
        <v>8020</v>
      </c>
      <c r="B2757" s="102">
        <v>46152</v>
      </c>
      <c r="C2757" s="6">
        <v>0.83333333333333337</v>
      </c>
      <c r="D2757" s="1" t="s">
        <v>12</v>
      </c>
      <c r="E2757" s="1" t="s">
        <v>4601</v>
      </c>
      <c r="F2757" s="1" t="s">
        <v>8021</v>
      </c>
      <c r="G2757" s="39" t="s">
        <v>4615</v>
      </c>
      <c r="H2757" s="1">
        <v>3</v>
      </c>
      <c r="I2757" s="1">
        <v>0</v>
      </c>
      <c r="J2757" s="39" t="s">
        <v>4681</v>
      </c>
      <c r="K2757" s="1">
        <v>0</v>
      </c>
      <c r="L2757" s="1">
        <v>3</v>
      </c>
      <c r="S2757" s="1" t="s">
        <v>8022</v>
      </c>
      <c r="T2757" s="1">
        <v>1</v>
      </c>
      <c r="U2757" s="19"/>
      <c r="V2757" s="19"/>
    </row>
    <row r="2758" spans="1:22" x14ac:dyDescent="0.3">
      <c r="A2758" s="1" t="s">
        <v>8023</v>
      </c>
      <c r="B2758" s="102">
        <v>46153</v>
      </c>
      <c r="C2758" s="6">
        <v>0.83333333333333337</v>
      </c>
      <c r="D2758" s="1" t="s">
        <v>12</v>
      </c>
      <c r="E2758" s="1" t="s">
        <v>4601</v>
      </c>
      <c r="F2758" s="1" t="s">
        <v>8024</v>
      </c>
      <c r="G2758" s="39" t="s">
        <v>4664</v>
      </c>
      <c r="H2758" s="1">
        <v>1</v>
      </c>
      <c r="I2758" s="1">
        <v>2</v>
      </c>
      <c r="J2758" s="39" t="s">
        <v>4640</v>
      </c>
      <c r="K2758" s="1">
        <v>2</v>
      </c>
      <c r="L2758" s="1">
        <v>1</v>
      </c>
      <c r="S2758" s="1" t="s">
        <v>8025</v>
      </c>
      <c r="T2758" s="1">
        <v>1</v>
      </c>
      <c r="U2758" s="19"/>
      <c r="V2758" s="19"/>
    </row>
    <row r="2759" spans="1:22" x14ac:dyDescent="0.3">
      <c r="A2759" s="1" t="s">
        <v>8026</v>
      </c>
      <c r="B2759" s="102">
        <v>46159</v>
      </c>
      <c r="C2759" s="6">
        <v>0.75</v>
      </c>
      <c r="D2759" s="1" t="s">
        <v>12</v>
      </c>
      <c r="E2759" s="1" t="s">
        <v>4601</v>
      </c>
      <c r="F2759" s="1" t="s">
        <v>8027</v>
      </c>
      <c r="G2759" s="39" t="s">
        <v>4606</v>
      </c>
      <c r="H2759" s="1">
        <v>1</v>
      </c>
      <c r="I2759" s="1">
        <v>0</v>
      </c>
      <c r="J2759" s="39" t="s">
        <v>4615</v>
      </c>
      <c r="K2759" s="1">
        <v>0</v>
      </c>
      <c r="L2759" s="1">
        <v>1</v>
      </c>
      <c r="S2759" s="1" t="s">
        <v>8028</v>
      </c>
      <c r="T2759" s="1">
        <v>1</v>
      </c>
      <c r="U2759" s="19"/>
      <c r="V2759" s="19"/>
    </row>
    <row r="2760" spans="1:22" x14ac:dyDescent="0.3">
      <c r="A2760" s="1" t="s">
        <v>8029</v>
      </c>
      <c r="B2760" s="102">
        <v>46160</v>
      </c>
      <c r="C2760" s="6">
        <v>0.83333333333333337</v>
      </c>
      <c r="D2760" s="1" t="s">
        <v>12</v>
      </c>
      <c r="E2760" s="1" t="s">
        <v>4601</v>
      </c>
      <c r="F2760" s="1" t="s">
        <v>8030</v>
      </c>
      <c r="G2760" s="39" t="s">
        <v>4630</v>
      </c>
      <c r="H2760" s="1">
        <v>0</v>
      </c>
      <c r="I2760" s="1">
        <v>1</v>
      </c>
      <c r="J2760" s="39" t="s">
        <v>4664</v>
      </c>
      <c r="K2760" s="1">
        <v>1</v>
      </c>
      <c r="L2760" s="1">
        <v>0</v>
      </c>
      <c r="S2760" s="1" t="s">
        <v>8031</v>
      </c>
      <c r="T2760" s="1">
        <v>1</v>
      </c>
      <c r="U2760" s="19"/>
      <c r="V2760" s="19"/>
    </row>
    <row r="2761" spans="1:22" x14ac:dyDescent="0.3">
      <c r="A2761" s="1" t="s">
        <v>8032</v>
      </c>
      <c r="B2761" s="102">
        <v>46166</v>
      </c>
      <c r="C2761" s="6">
        <v>0.6875</v>
      </c>
      <c r="D2761" s="1" t="s">
        <v>12</v>
      </c>
      <c r="E2761" s="1" t="s">
        <v>4601</v>
      </c>
      <c r="F2761" s="1" t="s">
        <v>8033</v>
      </c>
      <c r="G2761" s="39" t="s">
        <v>4664</v>
      </c>
      <c r="H2761" s="1">
        <v>0</v>
      </c>
      <c r="I2761" s="1">
        <v>0</v>
      </c>
      <c r="J2761" s="39" t="s">
        <v>4624</v>
      </c>
      <c r="K2761" s="1">
        <v>0</v>
      </c>
      <c r="L2761" s="1">
        <v>0</v>
      </c>
      <c r="S2761" s="1" t="s">
        <v>8034</v>
      </c>
      <c r="T2761" s="1">
        <v>1</v>
      </c>
      <c r="U2761" s="19"/>
      <c r="V2761" s="19"/>
    </row>
    <row r="2762" spans="1:22" x14ac:dyDescent="0.3">
      <c r="A2762" s="1" t="s">
        <v>8035</v>
      </c>
      <c r="B2762" s="102">
        <v>46167</v>
      </c>
      <c r="C2762" s="6">
        <v>0.83333333333333337</v>
      </c>
      <c r="D2762" s="1" t="s">
        <v>12</v>
      </c>
      <c r="E2762" s="1" t="s">
        <v>4601</v>
      </c>
      <c r="F2762" s="1" t="s">
        <v>8036</v>
      </c>
      <c r="G2762" s="39" t="s">
        <v>4645</v>
      </c>
      <c r="H2762" s="1">
        <v>1</v>
      </c>
      <c r="I2762" s="1">
        <v>0</v>
      </c>
      <c r="J2762" s="39" t="s">
        <v>4630</v>
      </c>
      <c r="K2762" s="1">
        <v>0</v>
      </c>
      <c r="L2762" s="1">
        <v>1</v>
      </c>
      <c r="S2762" s="1" t="s">
        <v>8037</v>
      </c>
      <c r="T2762" s="1">
        <v>1</v>
      </c>
      <c r="U2762" s="19"/>
      <c r="V2762" s="19"/>
    </row>
    <row r="2763" spans="1:22" x14ac:dyDescent="0.3">
      <c r="A2763" s="1" t="s">
        <v>8038</v>
      </c>
      <c r="B2763" s="102">
        <v>46172</v>
      </c>
      <c r="C2763" s="6">
        <v>0.75</v>
      </c>
      <c r="D2763" s="1" t="s">
        <v>12</v>
      </c>
      <c r="E2763" s="1" t="s">
        <v>4601</v>
      </c>
      <c r="F2763" s="1" t="s">
        <v>8039</v>
      </c>
      <c r="G2763" s="39" t="s">
        <v>4630</v>
      </c>
      <c r="H2763" s="1">
        <v>2</v>
      </c>
      <c r="I2763" s="1">
        <v>1</v>
      </c>
      <c r="J2763" s="39" t="s">
        <v>4633</v>
      </c>
      <c r="K2763" s="1">
        <v>1</v>
      </c>
      <c r="L2763" s="1">
        <v>2</v>
      </c>
      <c r="S2763" s="1" t="s">
        <v>8040</v>
      </c>
      <c r="T2763" s="1">
        <v>1</v>
      </c>
      <c r="U2763" s="19"/>
      <c r="V2763" s="19"/>
    </row>
    <row r="2764" spans="1:22" x14ac:dyDescent="0.3">
      <c r="A2764" s="1" t="s">
        <v>8041</v>
      </c>
      <c r="B2764" s="102">
        <v>46173</v>
      </c>
      <c r="C2764" s="6">
        <v>0.875</v>
      </c>
      <c r="D2764" s="1" t="s">
        <v>12</v>
      </c>
      <c r="E2764" s="1" t="s">
        <v>4601</v>
      </c>
      <c r="F2764" s="1" t="s">
        <v>8042</v>
      </c>
      <c r="G2764" s="39" t="s">
        <v>4664</v>
      </c>
      <c r="H2764" s="1">
        <v>2</v>
      </c>
      <c r="I2764" s="1">
        <v>1</v>
      </c>
      <c r="J2764" s="39" t="s">
        <v>4681</v>
      </c>
      <c r="K2764" s="1">
        <v>1</v>
      </c>
      <c r="L2764" s="1">
        <v>2</v>
      </c>
      <c r="S2764" s="1" t="s">
        <v>8043</v>
      </c>
      <c r="T2764" s="1">
        <v>1</v>
      </c>
      <c r="U2764" s="19"/>
      <c r="V2764" s="19"/>
    </row>
    <row r="2765" spans="1:22" x14ac:dyDescent="0.3">
      <c r="A2765" s="1" t="s">
        <v>8044</v>
      </c>
      <c r="B2765" s="102">
        <v>46174</v>
      </c>
      <c r="C2765" s="6">
        <v>0.83333333333333337</v>
      </c>
      <c r="D2765" s="1" t="s">
        <v>12</v>
      </c>
      <c r="E2765" s="1" t="s">
        <v>4601</v>
      </c>
      <c r="F2765" s="1" t="s">
        <v>8045</v>
      </c>
      <c r="G2765" s="39" t="s">
        <v>4612</v>
      </c>
      <c r="H2765" s="1">
        <v>2</v>
      </c>
      <c r="I2765" s="1">
        <v>2</v>
      </c>
      <c r="J2765" s="39" t="s">
        <v>4615</v>
      </c>
      <c r="K2765" s="1">
        <v>2</v>
      </c>
      <c r="L2765" s="1">
        <v>2</v>
      </c>
      <c r="S2765" s="1" t="s">
        <v>8046</v>
      </c>
      <c r="T2765" s="1">
        <v>1</v>
      </c>
      <c r="U2765" s="19"/>
      <c r="V2765" s="19"/>
    </row>
    <row r="2766" spans="1:22" x14ac:dyDescent="0.3">
      <c r="A2766" s="1" t="s">
        <v>8047</v>
      </c>
      <c r="B2766" s="102">
        <v>46187</v>
      </c>
      <c r="C2766" s="6">
        <v>0.45833333333333331</v>
      </c>
      <c r="D2766" s="1" t="s">
        <v>12</v>
      </c>
      <c r="E2766" s="1" t="s">
        <v>4601</v>
      </c>
      <c r="F2766" s="1" t="s">
        <v>8048</v>
      </c>
      <c r="G2766" s="39" t="s">
        <v>4615</v>
      </c>
      <c r="H2766" s="1">
        <v>0</v>
      </c>
      <c r="I2766" s="1">
        <v>1</v>
      </c>
      <c r="J2766" s="39" t="s">
        <v>4640</v>
      </c>
      <c r="K2766" s="1">
        <v>1</v>
      </c>
      <c r="L2766" s="1">
        <v>0</v>
      </c>
      <c r="S2766" s="1" t="s">
        <v>8049</v>
      </c>
      <c r="T2766" s="1">
        <v>1</v>
      </c>
      <c r="U2766" s="19"/>
      <c r="V2766" s="19"/>
    </row>
    <row r="2767" spans="1:22" x14ac:dyDescent="0.3">
      <c r="A2767" s="1" t="s">
        <v>8050</v>
      </c>
      <c r="B2767" s="102">
        <v>46188</v>
      </c>
      <c r="C2767" s="6">
        <v>0.85416666666666663</v>
      </c>
      <c r="D2767" s="1" t="s">
        <v>12</v>
      </c>
      <c r="E2767" s="1" t="s">
        <v>4601</v>
      </c>
      <c r="F2767" s="1" t="s">
        <v>8051</v>
      </c>
      <c r="G2767" s="39" t="s">
        <v>4681</v>
      </c>
      <c r="H2767" s="1">
        <v>1</v>
      </c>
      <c r="I2767" s="1">
        <v>1</v>
      </c>
      <c r="J2767" s="39" t="s">
        <v>4630</v>
      </c>
      <c r="K2767" s="1">
        <v>1</v>
      </c>
      <c r="L2767" s="1">
        <v>1</v>
      </c>
      <c r="S2767" s="1" t="s">
        <v>8052</v>
      </c>
      <c r="T2767" s="1">
        <v>1</v>
      </c>
      <c r="U2767" s="19"/>
      <c r="V2767" s="19"/>
    </row>
    <row r="2768" spans="1:22" x14ac:dyDescent="0.3">
      <c r="A2768" s="1" t="s">
        <v>8053</v>
      </c>
      <c r="B2768" s="102">
        <v>46193</v>
      </c>
      <c r="C2768" s="6">
        <v>0.70833333333333337</v>
      </c>
      <c r="D2768" s="1" t="s">
        <v>12</v>
      </c>
      <c r="E2768" s="1" t="s">
        <v>4601</v>
      </c>
      <c r="F2768" s="1" t="s">
        <v>8054</v>
      </c>
      <c r="G2768" s="39" t="s">
        <v>4630</v>
      </c>
      <c r="H2768" s="1">
        <v>2</v>
      </c>
      <c r="I2768" s="1">
        <v>0</v>
      </c>
      <c r="J2768" s="39" t="s">
        <v>4636</v>
      </c>
      <c r="K2768" s="1">
        <v>0</v>
      </c>
      <c r="L2768" s="1">
        <v>2</v>
      </c>
      <c r="S2768" s="1" t="s">
        <v>8055</v>
      </c>
      <c r="T2768" s="1">
        <v>1</v>
      </c>
      <c r="U2768" s="19"/>
      <c r="V2768" s="19"/>
    </row>
    <row r="2769" spans="1:22" x14ac:dyDescent="0.3">
      <c r="A2769" s="1" t="s">
        <v>8056</v>
      </c>
      <c r="B2769" s="102">
        <v>46194</v>
      </c>
      <c r="C2769" s="6">
        <v>0.66666666666666663</v>
      </c>
      <c r="D2769" s="1" t="s">
        <v>12</v>
      </c>
      <c r="E2769" s="1" t="s">
        <v>4601</v>
      </c>
      <c r="F2769" s="1" t="s">
        <v>8057</v>
      </c>
      <c r="G2769" s="39" t="s">
        <v>4615</v>
      </c>
      <c r="H2769" s="1">
        <v>2</v>
      </c>
      <c r="I2769" s="1">
        <v>1</v>
      </c>
      <c r="J2769" s="39" t="s">
        <v>4659</v>
      </c>
      <c r="K2769" s="1">
        <v>1</v>
      </c>
      <c r="L2769" s="1">
        <v>2</v>
      </c>
      <c r="S2769" s="1" t="s">
        <v>8058</v>
      </c>
      <c r="T2769" s="1">
        <v>1</v>
      </c>
      <c r="U2769" s="19"/>
      <c r="V2769" s="19"/>
    </row>
    <row r="2770" spans="1:22" x14ac:dyDescent="0.3">
      <c r="A2770" s="1" t="s">
        <v>8059</v>
      </c>
      <c r="B2770" s="102">
        <v>46194</v>
      </c>
      <c r="C2770" s="6">
        <v>0.85416666666666663</v>
      </c>
      <c r="D2770" s="1" t="s">
        <v>12</v>
      </c>
      <c r="E2770" s="1" t="s">
        <v>4601</v>
      </c>
      <c r="F2770" s="1" t="s">
        <v>8060</v>
      </c>
      <c r="G2770" s="39" t="s">
        <v>4606</v>
      </c>
      <c r="H2770" s="1">
        <v>2</v>
      </c>
      <c r="I2770" s="1">
        <v>0</v>
      </c>
      <c r="J2770" s="39" t="s">
        <v>4664</v>
      </c>
      <c r="K2770" s="1">
        <v>0</v>
      </c>
      <c r="L2770" s="1">
        <v>2</v>
      </c>
      <c r="S2770" s="1" t="s">
        <v>8061</v>
      </c>
      <c r="T2770" s="1">
        <v>1</v>
      </c>
      <c r="U2770" s="19"/>
      <c r="V2770" s="19"/>
    </row>
    <row r="2771" spans="1:22" x14ac:dyDescent="0.3">
      <c r="A2771" s="1" t="s">
        <v>8062</v>
      </c>
      <c r="B2771" s="102">
        <v>46200</v>
      </c>
      <c r="C2771" s="6">
        <v>0.54166666666666663</v>
      </c>
      <c r="D2771" s="1" t="s">
        <v>12</v>
      </c>
      <c r="E2771" s="1" t="s">
        <v>4601</v>
      </c>
      <c r="F2771" s="1" t="s">
        <v>8063</v>
      </c>
      <c r="G2771" s="39" t="s">
        <v>4664</v>
      </c>
      <c r="H2771" s="1">
        <v>2</v>
      </c>
      <c r="I2771" s="1">
        <v>2</v>
      </c>
      <c r="J2771" s="39" t="s">
        <v>4633</v>
      </c>
      <c r="K2771" s="1">
        <v>2</v>
      </c>
      <c r="L2771" s="1">
        <v>2</v>
      </c>
      <c r="S2771" s="1" t="s">
        <v>8064</v>
      </c>
      <c r="T2771" s="1">
        <v>1</v>
      </c>
      <c r="U2771" s="19"/>
      <c r="V2771" s="19"/>
    </row>
    <row r="2772" spans="1:22" x14ac:dyDescent="0.3">
      <c r="A2772" s="1" t="s">
        <v>8065</v>
      </c>
      <c r="B2772" s="102">
        <v>46203</v>
      </c>
      <c r="C2772" s="6">
        <v>0.85416666666666663</v>
      </c>
      <c r="D2772" s="1" t="s">
        <v>12</v>
      </c>
      <c r="E2772" s="1" t="s">
        <v>4601</v>
      </c>
      <c r="F2772" s="1" t="s">
        <v>8066</v>
      </c>
      <c r="G2772" s="39" t="s">
        <v>4630</v>
      </c>
      <c r="H2772" s="1">
        <v>2</v>
      </c>
      <c r="I2772" s="1">
        <v>0</v>
      </c>
      <c r="J2772" s="39" t="s">
        <v>4615</v>
      </c>
      <c r="K2772" s="1">
        <v>0</v>
      </c>
      <c r="L2772" s="1">
        <v>2</v>
      </c>
      <c r="S2772" s="1" t="s">
        <v>8067</v>
      </c>
      <c r="T2772" s="1">
        <v>1</v>
      </c>
      <c r="U2772" s="19"/>
      <c r="V2772" s="19"/>
    </row>
    <row r="2773" spans="1:22" x14ac:dyDescent="0.3">
      <c r="A2773" s="1" t="s">
        <v>8068</v>
      </c>
      <c r="B2773" s="102">
        <v>46207</v>
      </c>
      <c r="C2773" s="6">
        <v>0.79166666666666663</v>
      </c>
      <c r="D2773" s="1" t="s">
        <v>12</v>
      </c>
      <c r="E2773" s="1" t="s">
        <v>4601</v>
      </c>
      <c r="F2773" s="1" t="s">
        <v>8069</v>
      </c>
      <c r="G2773" s="39" t="s">
        <v>4618</v>
      </c>
      <c r="H2773" s="1">
        <v>0</v>
      </c>
      <c r="I2773" s="1">
        <v>1</v>
      </c>
      <c r="J2773" s="39" t="s">
        <v>4664</v>
      </c>
      <c r="K2773" s="1">
        <v>1</v>
      </c>
      <c r="L2773" s="1">
        <v>0</v>
      </c>
      <c r="S2773" s="1" t="s">
        <v>8070</v>
      </c>
      <c r="T2773" s="1">
        <v>1</v>
      </c>
      <c r="U2773" s="19"/>
      <c r="V2773" s="19"/>
    </row>
    <row r="2774" spans="1:22" x14ac:dyDescent="0.3">
      <c r="A2774" s="1" t="s">
        <v>8071</v>
      </c>
      <c r="B2774" s="102">
        <v>46209</v>
      </c>
      <c r="C2774" s="6">
        <v>0.79166666666666663</v>
      </c>
      <c r="D2774" s="1" t="s">
        <v>12</v>
      </c>
      <c r="E2774" s="1" t="s">
        <v>4601</v>
      </c>
      <c r="F2774" s="1" t="s">
        <v>8072</v>
      </c>
      <c r="G2774" s="39" t="s">
        <v>4615</v>
      </c>
      <c r="H2774" s="1">
        <v>3</v>
      </c>
      <c r="I2774" s="1">
        <v>1</v>
      </c>
      <c r="J2774" s="39" t="s">
        <v>4603</v>
      </c>
      <c r="K2774" s="1">
        <v>1</v>
      </c>
      <c r="L2774" s="1">
        <v>3</v>
      </c>
      <c r="S2774" s="1" t="s">
        <v>8073</v>
      </c>
      <c r="T2774" s="1">
        <v>1</v>
      </c>
      <c r="U2774" s="19"/>
      <c r="V2774" s="19"/>
    </row>
    <row r="2775" spans="1:22" x14ac:dyDescent="0.3">
      <c r="A2775" s="1" t="s">
        <v>8074</v>
      </c>
      <c r="B2775" s="102">
        <v>46215</v>
      </c>
      <c r="C2775" s="6">
        <v>0.54166666666666663</v>
      </c>
      <c r="D2775" s="1" t="s">
        <v>12</v>
      </c>
      <c r="E2775" s="1" t="s">
        <v>4601</v>
      </c>
      <c r="F2775" s="1" t="s">
        <v>8075</v>
      </c>
      <c r="G2775" s="39" t="s">
        <v>4664</v>
      </c>
      <c r="H2775" s="1">
        <v>1</v>
      </c>
      <c r="I2775" s="1">
        <v>0</v>
      </c>
      <c r="J2775" s="39" t="s">
        <v>4621</v>
      </c>
      <c r="K2775" s="1">
        <v>0</v>
      </c>
      <c r="L2775" s="1">
        <v>1</v>
      </c>
      <c r="S2775" s="1" t="s">
        <v>8076</v>
      </c>
      <c r="T2775" s="1">
        <v>1</v>
      </c>
      <c r="U2775" s="19"/>
      <c r="V2775" s="19"/>
    </row>
    <row r="2776" spans="1:22" x14ac:dyDescent="0.3">
      <c r="A2776" s="1" t="s">
        <v>8077</v>
      </c>
      <c r="B2776" s="102">
        <v>46216</v>
      </c>
      <c r="C2776" s="6">
        <v>0.77083333333333337</v>
      </c>
      <c r="D2776" s="1" t="s">
        <v>12</v>
      </c>
      <c r="E2776" s="1" t="s">
        <v>4601</v>
      </c>
      <c r="F2776" s="1" t="s">
        <v>8078</v>
      </c>
      <c r="G2776" s="39" t="s">
        <v>4624</v>
      </c>
      <c r="H2776" s="1">
        <v>1</v>
      </c>
      <c r="I2776" s="1">
        <v>0</v>
      </c>
      <c r="J2776" s="39" t="s">
        <v>4615</v>
      </c>
      <c r="K2776" s="1">
        <v>0</v>
      </c>
      <c r="L2776" s="1">
        <v>1</v>
      </c>
      <c r="S2776" s="1" t="s">
        <v>8079</v>
      </c>
      <c r="T2776" s="1">
        <v>1</v>
      </c>
      <c r="U2776" s="19"/>
      <c r="V2776" s="19"/>
    </row>
    <row r="2777" spans="1:22" x14ac:dyDescent="0.3">
      <c r="A2777" s="1" t="s">
        <v>8080</v>
      </c>
      <c r="B2777" s="102">
        <v>46229</v>
      </c>
      <c r="C2777" s="6">
        <v>0.66666666666666663</v>
      </c>
      <c r="D2777" s="1" t="s">
        <v>12</v>
      </c>
      <c r="E2777" s="1" t="s">
        <v>4601</v>
      </c>
      <c r="F2777" s="1" t="s">
        <v>8081</v>
      </c>
      <c r="G2777" s="39" t="s">
        <v>4615</v>
      </c>
      <c r="H2777" s="1">
        <v>1</v>
      </c>
      <c r="I2777" s="1">
        <v>0</v>
      </c>
      <c r="J2777" s="39" t="s">
        <v>4645</v>
      </c>
      <c r="K2777" s="1">
        <v>0</v>
      </c>
      <c r="L2777" s="1">
        <v>1</v>
      </c>
      <c r="S2777" s="1" t="s">
        <v>8082</v>
      </c>
      <c r="T2777" s="1">
        <v>1</v>
      </c>
      <c r="U2777" s="19"/>
      <c r="V2777" s="19"/>
    </row>
    <row r="2778" spans="1:22" x14ac:dyDescent="0.3">
      <c r="A2778" s="1" t="s">
        <v>8083</v>
      </c>
      <c r="B2778" s="102">
        <v>46229</v>
      </c>
      <c r="C2778" s="6">
        <v>0.77083333333333337</v>
      </c>
      <c r="D2778" s="1" t="s">
        <v>12</v>
      </c>
      <c r="E2778" s="1" t="s">
        <v>4601</v>
      </c>
      <c r="F2778" s="1" t="s">
        <v>8084</v>
      </c>
      <c r="G2778" s="39" t="s">
        <v>4627</v>
      </c>
      <c r="H2778" s="1">
        <v>1</v>
      </c>
      <c r="I2778" s="1">
        <v>2</v>
      </c>
      <c r="J2778" s="39" t="s">
        <v>4630</v>
      </c>
      <c r="K2778" s="1">
        <v>2</v>
      </c>
      <c r="L2778" s="1">
        <v>1</v>
      </c>
      <c r="S2778" s="1" t="s">
        <v>8085</v>
      </c>
      <c r="T2778" s="1">
        <v>1</v>
      </c>
      <c r="U2778" s="19"/>
      <c r="V2778" s="19"/>
    </row>
    <row r="2779" spans="1:22" x14ac:dyDescent="0.3">
      <c r="A2779" s="1" t="s">
        <v>8086</v>
      </c>
      <c r="B2779" s="102">
        <v>46242</v>
      </c>
      <c r="C2779" s="6">
        <v>0.70833333333333337</v>
      </c>
      <c r="D2779" s="1" t="s">
        <v>12</v>
      </c>
      <c r="E2779" s="1" t="s">
        <v>4601</v>
      </c>
      <c r="F2779" s="1" t="s">
        <v>8087</v>
      </c>
      <c r="G2779" s="39" t="s">
        <v>4630</v>
      </c>
      <c r="H2779" s="1">
        <v>2</v>
      </c>
      <c r="I2779" s="1">
        <v>2</v>
      </c>
      <c r="J2779" s="39" t="s">
        <v>4640</v>
      </c>
      <c r="K2779" s="1">
        <v>2</v>
      </c>
      <c r="L2779" s="1">
        <v>2</v>
      </c>
      <c r="S2779" s="1" t="s">
        <v>8088</v>
      </c>
      <c r="T2779" s="1">
        <v>1</v>
      </c>
      <c r="U2779" s="19"/>
      <c r="V2779" s="19"/>
    </row>
    <row r="2780" spans="1:22" x14ac:dyDescent="0.3">
      <c r="A2780" s="1" t="s">
        <v>8089</v>
      </c>
      <c r="B2780" s="102">
        <v>46242</v>
      </c>
      <c r="C2780" s="6">
        <v>0.89583333333333337</v>
      </c>
      <c r="D2780" s="1" t="s">
        <v>12</v>
      </c>
      <c r="E2780" s="1" t="s">
        <v>4601</v>
      </c>
      <c r="F2780" s="1" t="s">
        <v>8090</v>
      </c>
      <c r="G2780" s="39" t="s">
        <v>4664</v>
      </c>
      <c r="H2780" s="1">
        <v>2</v>
      </c>
      <c r="I2780" s="1">
        <v>0</v>
      </c>
      <c r="J2780" s="39" t="s">
        <v>4636</v>
      </c>
      <c r="K2780" s="1">
        <v>0</v>
      </c>
      <c r="L2780" s="1">
        <v>2</v>
      </c>
      <c r="S2780" s="1" t="s">
        <v>8091</v>
      </c>
      <c r="T2780" s="1">
        <v>1</v>
      </c>
      <c r="U2780" s="19"/>
      <c r="V2780" s="19"/>
    </row>
    <row r="2781" spans="1:22" x14ac:dyDescent="0.3">
      <c r="A2781" s="1" t="s">
        <v>8092</v>
      </c>
      <c r="B2781" s="102">
        <v>46243</v>
      </c>
      <c r="C2781" s="6">
        <v>0.85416666666666663</v>
      </c>
      <c r="D2781" s="1" t="s">
        <v>12</v>
      </c>
      <c r="E2781" s="1" t="s">
        <v>4601</v>
      </c>
      <c r="F2781" s="1" t="s">
        <v>8093</v>
      </c>
      <c r="G2781" s="39" t="s">
        <v>4618</v>
      </c>
      <c r="H2781" s="1">
        <v>2</v>
      </c>
      <c r="I2781" s="1">
        <v>1</v>
      </c>
      <c r="J2781" s="39" t="s">
        <v>4615</v>
      </c>
      <c r="K2781" s="1">
        <v>1</v>
      </c>
      <c r="L2781" s="1">
        <v>2</v>
      </c>
      <c r="S2781" s="1" t="s">
        <v>8094</v>
      </c>
      <c r="T2781" s="1">
        <v>1</v>
      </c>
      <c r="U2781" s="19"/>
      <c r="V2781" s="19"/>
    </row>
    <row r="2782" spans="1:22" x14ac:dyDescent="0.3">
      <c r="A2782" s="1" t="s">
        <v>8095</v>
      </c>
      <c r="B2782" s="102">
        <v>46244</v>
      </c>
      <c r="C2782" s="6">
        <v>0.91666666666666663</v>
      </c>
      <c r="D2782" s="1" t="s">
        <v>12</v>
      </c>
      <c r="E2782" s="1" t="s">
        <v>4601</v>
      </c>
      <c r="F2782" s="1" t="s">
        <v>8096</v>
      </c>
      <c r="G2782" s="39" t="s">
        <v>4602</v>
      </c>
      <c r="H2782" s="1">
        <v>2</v>
      </c>
      <c r="I2782" s="1">
        <v>1</v>
      </c>
      <c r="J2782" s="39" t="s">
        <v>4637</v>
      </c>
      <c r="K2782" s="1">
        <v>1</v>
      </c>
      <c r="L2782" s="1">
        <v>2</v>
      </c>
      <c r="S2782" s="1" t="s">
        <v>8097</v>
      </c>
      <c r="T2782" s="1">
        <v>1</v>
      </c>
      <c r="U2782" s="19"/>
      <c r="V2782" s="19"/>
    </row>
    <row r="2783" spans="1:22" x14ac:dyDescent="0.3">
      <c r="A2783" s="1" t="s">
        <v>8098</v>
      </c>
      <c r="B2783" s="102">
        <v>46145</v>
      </c>
      <c r="C2783" s="6">
        <v>0.79166666666666663</v>
      </c>
      <c r="D2783" s="1" t="s">
        <v>12</v>
      </c>
      <c r="E2783" s="1" t="s">
        <v>4601</v>
      </c>
      <c r="F2783" s="1" t="s">
        <v>8099</v>
      </c>
      <c r="G2783" s="39" t="s">
        <v>4621</v>
      </c>
      <c r="H2783" s="1">
        <v>1</v>
      </c>
      <c r="I2783" s="1">
        <v>1</v>
      </c>
      <c r="J2783" s="39" t="s">
        <v>4627</v>
      </c>
      <c r="K2783" s="1">
        <v>1</v>
      </c>
      <c r="L2783" s="1">
        <v>1</v>
      </c>
      <c r="S2783" s="1" t="s">
        <v>8100</v>
      </c>
      <c r="T2783" s="1">
        <v>1</v>
      </c>
      <c r="U2783" s="19"/>
      <c r="V2783" s="19"/>
    </row>
    <row r="2784" spans="1:22" x14ac:dyDescent="0.3">
      <c r="A2784" s="1" t="s">
        <v>8101</v>
      </c>
      <c r="B2784" s="102">
        <v>46152</v>
      </c>
      <c r="C2784" s="6">
        <v>0.70833333333333337</v>
      </c>
      <c r="D2784" s="1" t="s">
        <v>12</v>
      </c>
      <c r="E2784" s="1" t="s">
        <v>4601</v>
      </c>
      <c r="F2784" s="1" t="s">
        <v>8102</v>
      </c>
      <c r="G2784" s="39" t="s">
        <v>4612</v>
      </c>
      <c r="H2784" s="1">
        <v>0</v>
      </c>
      <c r="I2784" s="1">
        <v>0</v>
      </c>
      <c r="J2784" s="39" t="s">
        <v>4627</v>
      </c>
      <c r="K2784" s="1">
        <v>0</v>
      </c>
      <c r="L2784" s="1">
        <v>0</v>
      </c>
      <c r="S2784" s="1" t="s">
        <v>8103</v>
      </c>
      <c r="T2784" s="1">
        <v>1</v>
      </c>
      <c r="U2784" s="19"/>
      <c r="V2784" s="19"/>
    </row>
    <row r="2785" spans="1:22" x14ac:dyDescent="0.3">
      <c r="A2785" s="1" t="s">
        <v>8104</v>
      </c>
      <c r="B2785" s="102">
        <v>46152</v>
      </c>
      <c r="C2785" s="6">
        <v>0.70833333333333337</v>
      </c>
      <c r="D2785" s="1" t="s">
        <v>12</v>
      </c>
      <c r="E2785" s="1" t="s">
        <v>4601</v>
      </c>
      <c r="F2785" s="1" t="s">
        <v>8105</v>
      </c>
      <c r="G2785" s="39" t="s">
        <v>4636</v>
      </c>
      <c r="H2785" s="1">
        <v>0</v>
      </c>
      <c r="I2785" s="1">
        <v>0</v>
      </c>
      <c r="J2785" s="39" t="s">
        <v>4606</v>
      </c>
      <c r="K2785" s="1">
        <v>0</v>
      </c>
      <c r="L2785" s="1">
        <v>0</v>
      </c>
      <c r="S2785" s="1" t="s">
        <v>8106</v>
      </c>
      <c r="T2785" s="1">
        <v>1</v>
      </c>
      <c r="U2785" s="19"/>
      <c r="V2785" s="19"/>
    </row>
    <row r="2786" spans="1:22" x14ac:dyDescent="0.3">
      <c r="A2786" s="1" t="s">
        <v>8107</v>
      </c>
      <c r="B2786" s="102">
        <v>46158</v>
      </c>
      <c r="C2786" s="6">
        <v>0.70833333333333337</v>
      </c>
      <c r="D2786" s="1" t="s">
        <v>12</v>
      </c>
      <c r="E2786" s="1" t="s">
        <v>4601</v>
      </c>
      <c r="F2786" s="1" t="s">
        <v>8108</v>
      </c>
      <c r="G2786" s="39" t="s">
        <v>4640</v>
      </c>
      <c r="H2786" s="1">
        <v>2</v>
      </c>
      <c r="I2786" s="1">
        <v>0</v>
      </c>
      <c r="J2786" s="39" t="s">
        <v>4636</v>
      </c>
      <c r="K2786" s="1">
        <v>0</v>
      </c>
      <c r="L2786" s="1">
        <v>2</v>
      </c>
      <c r="S2786" s="1" t="s">
        <v>8109</v>
      </c>
      <c r="T2786" s="1">
        <v>1</v>
      </c>
      <c r="U2786" s="19"/>
      <c r="V2786" s="19"/>
    </row>
    <row r="2787" spans="1:22" x14ac:dyDescent="0.3">
      <c r="A2787" s="1" t="s">
        <v>8110</v>
      </c>
      <c r="B2787" s="102">
        <v>46158</v>
      </c>
      <c r="C2787" s="6">
        <v>0.70833333333333337</v>
      </c>
      <c r="D2787" s="1" t="s">
        <v>12</v>
      </c>
      <c r="E2787" s="1" t="s">
        <v>4601</v>
      </c>
      <c r="F2787" s="1" t="s">
        <v>8111</v>
      </c>
      <c r="G2787" s="39" t="s">
        <v>4681</v>
      </c>
      <c r="H2787" s="1">
        <v>1</v>
      </c>
      <c r="I2787" s="1">
        <v>4</v>
      </c>
      <c r="J2787" s="39" t="s">
        <v>4633</v>
      </c>
      <c r="K2787" s="1">
        <v>4</v>
      </c>
      <c r="L2787" s="1">
        <v>1</v>
      </c>
      <c r="S2787" s="1" t="s">
        <v>8112</v>
      </c>
      <c r="T2787" s="1">
        <v>1</v>
      </c>
      <c r="U2787" s="19"/>
      <c r="V2787" s="19"/>
    </row>
    <row r="2788" spans="1:22" x14ac:dyDescent="0.3">
      <c r="A2788" s="1" t="s">
        <v>8113</v>
      </c>
      <c r="B2788" s="102">
        <v>46165</v>
      </c>
      <c r="C2788" s="6">
        <v>0.8125</v>
      </c>
      <c r="D2788" s="1" t="s">
        <v>12</v>
      </c>
      <c r="E2788" s="1" t="s">
        <v>4601</v>
      </c>
      <c r="F2788" s="1" t="s">
        <v>8114</v>
      </c>
      <c r="G2788" s="39" t="s">
        <v>4618</v>
      </c>
      <c r="H2788" s="1">
        <v>0</v>
      </c>
      <c r="I2788" s="1">
        <v>0</v>
      </c>
      <c r="J2788" s="39" t="s">
        <v>4627</v>
      </c>
      <c r="K2788" s="1">
        <v>0</v>
      </c>
      <c r="L2788" s="1">
        <v>0</v>
      </c>
      <c r="S2788" s="1" t="s">
        <v>8115</v>
      </c>
      <c r="T2788" s="1">
        <v>1</v>
      </c>
      <c r="U2788" s="19"/>
      <c r="V2788" s="19"/>
    </row>
    <row r="2789" spans="1:22" x14ac:dyDescent="0.3">
      <c r="A2789" s="1" t="s">
        <v>8116</v>
      </c>
      <c r="B2789" s="102">
        <v>46165</v>
      </c>
      <c r="C2789" s="6">
        <v>0.8125</v>
      </c>
      <c r="D2789" s="1" t="s">
        <v>12</v>
      </c>
      <c r="E2789" s="1" t="s">
        <v>4601</v>
      </c>
      <c r="F2789" s="1" t="s">
        <v>8117</v>
      </c>
      <c r="G2789" s="39" t="s">
        <v>4633</v>
      </c>
      <c r="H2789" s="1">
        <v>1</v>
      </c>
      <c r="I2789" s="1">
        <v>1</v>
      </c>
      <c r="J2789" s="39" t="s">
        <v>4640</v>
      </c>
      <c r="K2789" s="1">
        <v>1</v>
      </c>
      <c r="L2789" s="1">
        <v>1</v>
      </c>
      <c r="S2789" s="1" t="s">
        <v>8118</v>
      </c>
      <c r="T2789" s="1">
        <v>1</v>
      </c>
      <c r="U2789" s="19"/>
      <c r="V2789" s="19"/>
    </row>
    <row r="2790" spans="1:22" x14ac:dyDescent="0.3">
      <c r="A2790" s="1" t="s">
        <v>8119</v>
      </c>
      <c r="B2790" s="102">
        <v>46166</v>
      </c>
      <c r="C2790" s="6">
        <v>0.6875</v>
      </c>
      <c r="D2790" s="1" t="s">
        <v>12</v>
      </c>
      <c r="E2790" s="1" t="s">
        <v>4601</v>
      </c>
      <c r="F2790" s="1" t="s">
        <v>8120</v>
      </c>
      <c r="G2790" s="39" t="s">
        <v>4621</v>
      </c>
      <c r="H2790" s="1">
        <v>1</v>
      </c>
      <c r="I2790" s="1">
        <v>2</v>
      </c>
      <c r="J2790" s="39" t="s">
        <v>4606</v>
      </c>
      <c r="K2790" s="1">
        <v>2</v>
      </c>
      <c r="L2790" s="1">
        <v>1</v>
      </c>
      <c r="S2790" s="1" t="s">
        <v>8121</v>
      </c>
      <c r="T2790" s="1">
        <v>1</v>
      </c>
      <c r="U2790" s="19"/>
      <c r="V2790" s="19"/>
    </row>
    <row r="2791" spans="1:22" x14ac:dyDescent="0.3">
      <c r="A2791" s="1" t="s">
        <v>8122</v>
      </c>
      <c r="B2791" s="102">
        <v>46166</v>
      </c>
      <c r="C2791" s="6">
        <v>0.79166666666666663</v>
      </c>
      <c r="D2791" s="1" t="s">
        <v>12</v>
      </c>
      <c r="E2791" s="1" t="s">
        <v>4601</v>
      </c>
      <c r="F2791" s="1" t="s">
        <v>8123</v>
      </c>
      <c r="G2791" s="39" t="s">
        <v>4636</v>
      </c>
      <c r="H2791" s="1">
        <v>2</v>
      </c>
      <c r="I2791" s="1">
        <v>1</v>
      </c>
      <c r="J2791" s="39" t="s">
        <v>4681</v>
      </c>
      <c r="K2791" s="1">
        <v>1</v>
      </c>
      <c r="L2791" s="1">
        <v>2</v>
      </c>
      <c r="S2791" s="1" t="s">
        <v>8124</v>
      </c>
      <c r="T2791" s="1">
        <v>1</v>
      </c>
      <c r="U2791" s="19"/>
      <c r="V2791" s="19"/>
    </row>
    <row r="2792" spans="1:22" x14ac:dyDescent="0.3">
      <c r="A2792" s="1" t="s">
        <v>8125</v>
      </c>
      <c r="B2792" s="102">
        <v>46172</v>
      </c>
      <c r="C2792" s="6">
        <v>0.8125</v>
      </c>
      <c r="D2792" s="1" t="s">
        <v>12</v>
      </c>
      <c r="E2792" s="1" t="s">
        <v>4601</v>
      </c>
      <c r="F2792" s="1" t="s">
        <v>8126</v>
      </c>
      <c r="G2792" s="39" t="s">
        <v>4627</v>
      </c>
      <c r="H2792" s="1">
        <v>2</v>
      </c>
      <c r="I2792" s="1">
        <v>1</v>
      </c>
      <c r="J2792" s="39" t="s">
        <v>4645</v>
      </c>
      <c r="K2792" s="1">
        <v>1</v>
      </c>
      <c r="L2792" s="1">
        <v>2</v>
      </c>
      <c r="S2792" s="1" t="s">
        <v>8127</v>
      </c>
      <c r="T2792" s="1">
        <v>1</v>
      </c>
      <c r="U2792" s="19"/>
      <c r="V2792" s="19"/>
    </row>
    <row r="2793" spans="1:22" x14ac:dyDescent="0.3">
      <c r="A2793" s="1" t="s">
        <v>8128</v>
      </c>
      <c r="B2793" s="102">
        <v>46173</v>
      </c>
      <c r="C2793" s="6">
        <v>0.66666666666666663</v>
      </c>
      <c r="D2793" s="1" t="s">
        <v>12</v>
      </c>
      <c r="E2793" s="1" t="s">
        <v>4601</v>
      </c>
      <c r="F2793" s="1" t="s">
        <v>8129</v>
      </c>
      <c r="G2793" s="39" t="s">
        <v>4640</v>
      </c>
      <c r="H2793" s="1">
        <v>1</v>
      </c>
      <c r="I2793" s="1">
        <v>1</v>
      </c>
      <c r="J2793" s="39" t="s">
        <v>4606</v>
      </c>
      <c r="K2793" s="1">
        <v>1</v>
      </c>
      <c r="L2793" s="1">
        <v>1</v>
      </c>
      <c r="S2793" s="1" t="s">
        <v>8130</v>
      </c>
      <c r="T2793" s="1">
        <v>1</v>
      </c>
      <c r="U2793" s="19"/>
      <c r="V2793" s="19"/>
    </row>
    <row r="2794" spans="1:22" x14ac:dyDescent="0.3">
      <c r="A2794" s="1" t="s">
        <v>8131</v>
      </c>
      <c r="B2794" s="102">
        <v>46188</v>
      </c>
      <c r="C2794" s="6">
        <v>0.85416666666666663</v>
      </c>
      <c r="D2794" s="1" t="s">
        <v>12</v>
      </c>
      <c r="E2794" s="1" t="s">
        <v>4601</v>
      </c>
      <c r="F2794" s="1" t="s">
        <v>8132</v>
      </c>
      <c r="G2794" s="39" t="s">
        <v>4606</v>
      </c>
      <c r="H2794" s="1">
        <v>1</v>
      </c>
      <c r="I2794" s="1">
        <v>0</v>
      </c>
      <c r="J2794" s="39" t="s">
        <v>4612</v>
      </c>
      <c r="K2794" s="1">
        <v>0</v>
      </c>
      <c r="L2794" s="1">
        <v>1</v>
      </c>
      <c r="S2794" s="1" t="s">
        <v>8133</v>
      </c>
      <c r="T2794" s="1">
        <v>1</v>
      </c>
      <c r="U2794" s="19"/>
      <c r="V2794" s="19"/>
    </row>
    <row r="2795" spans="1:22" x14ac:dyDescent="0.3">
      <c r="A2795" s="1" t="s">
        <v>8134</v>
      </c>
      <c r="B2795" s="102">
        <v>46193</v>
      </c>
      <c r="C2795" s="6">
        <v>0.79166666666666663</v>
      </c>
      <c r="D2795" s="1" t="s">
        <v>12</v>
      </c>
      <c r="E2795" s="1" t="s">
        <v>4601</v>
      </c>
      <c r="F2795" s="1" t="s">
        <v>8135</v>
      </c>
      <c r="G2795" s="39" t="s">
        <v>4640</v>
      </c>
      <c r="H2795" s="1">
        <v>0</v>
      </c>
      <c r="I2795" s="1">
        <v>1</v>
      </c>
      <c r="J2795" s="39" t="s">
        <v>4681</v>
      </c>
      <c r="K2795" s="1">
        <v>1</v>
      </c>
      <c r="L2795" s="1">
        <v>0</v>
      </c>
      <c r="S2795" s="1" t="s">
        <v>8136</v>
      </c>
      <c r="T2795" s="1">
        <v>1</v>
      </c>
      <c r="U2795" s="19"/>
      <c r="V2795" s="19"/>
    </row>
    <row r="2796" spans="1:22" x14ac:dyDescent="0.3">
      <c r="A2796" s="1" t="s">
        <v>8137</v>
      </c>
      <c r="B2796" s="102">
        <v>46194</v>
      </c>
      <c r="C2796" s="6">
        <v>0.45833333333333331</v>
      </c>
      <c r="D2796" s="1" t="s">
        <v>12</v>
      </c>
      <c r="E2796" s="1" t="s">
        <v>4601</v>
      </c>
      <c r="F2796" s="1" t="s">
        <v>8138</v>
      </c>
      <c r="G2796" s="39" t="s">
        <v>4627</v>
      </c>
      <c r="H2796" s="1">
        <v>1</v>
      </c>
      <c r="I2796" s="1">
        <v>1</v>
      </c>
      <c r="J2796" s="39" t="s">
        <v>4633</v>
      </c>
      <c r="K2796" s="1">
        <v>1</v>
      </c>
      <c r="L2796" s="1">
        <v>1</v>
      </c>
      <c r="S2796" s="1" t="s">
        <v>8139</v>
      </c>
      <c r="T2796" s="1">
        <v>1</v>
      </c>
      <c r="U2796" s="19"/>
      <c r="V2796" s="19"/>
    </row>
    <row r="2797" spans="1:22" x14ac:dyDescent="0.3">
      <c r="A2797" s="1" t="s">
        <v>8140</v>
      </c>
      <c r="B2797" s="102">
        <v>46200</v>
      </c>
      <c r="C2797" s="6">
        <v>0.79166666666666663</v>
      </c>
      <c r="D2797" s="1" t="s">
        <v>12</v>
      </c>
      <c r="E2797" s="1" t="s">
        <v>4601</v>
      </c>
      <c r="F2797" s="1" t="s">
        <v>8141</v>
      </c>
      <c r="G2797" s="39" t="s">
        <v>4624</v>
      </c>
      <c r="H2797" s="1">
        <v>1</v>
      </c>
      <c r="I2797" s="1">
        <v>0</v>
      </c>
      <c r="J2797" s="39" t="s">
        <v>4606</v>
      </c>
      <c r="K2797" s="1">
        <v>0</v>
      </c>
      <c r="L2797" s="1">
        <v>1</v>
      </c>
      <c r="S2797" s="1" t="s">
        <v>8142</v>
      </c>
      <c r="T2797" s="1">
        <v>1</v>
      </c>
      <c r="U2797" s="19"/>
      <c r="V2797" s="19"/>
    </row>
    <row r="2798" spans="1:22" x14ac:dyDescent="0.3">
      <c r="A2798" s="1" t="s">
        <v>8143</v>
      </c>
      <c r="B2798" s="102">
        <v>46207</v>
      </c>
      <c r="C2798" s="6">
        <v>0.8125</v>
      </c>
      <c r="D2798" s="1" t="s">
        <v>12</v>
      </c>
      <c r="E2798" s="1" t="s">
        <v>4601</v>
      </c>
      <c r="F2798" s="1" t="s">
        <v>8144</v>
      </c>
      <c r="G2798" s="39" t="s">
        <v>4640</v>
      </c>
      <c r="H2798" s="1">
        <v>1</v>
      </c>
      <c r="I2798" s="1">
        <v>0</v>
      </c>
      <c r="J2798" s="39" t="s">
        <v>4645</v>
      </c>
      <c r="K2798" s="1">
        <v>0</v>
      </c>
      <c r="L2798" s="1">
        <v>1</v>
      </c>
      <c r="S2798" s="1" t="s">
        <v>8145</v>
      </c>
      <c r="T2798" s="1">
        <v>1</v>
      </c>
      <c r="U2798" s="19"/>
      <c r="V2798" s="19"/>
    </row>
    <row r="2799" spans="1:22" x14ac:dyDescent="0.3">
      <c r="A2799" s="1" t="s">
        <v>8146</v>
      </c>
      <c r="B2799" s="102">
        <v>46207</v>
      </c>
      <c r="C2799" s="6">
        <v>0.85416666666666663</v>
      </c>
      <c r="D2799" s="1" t="s">
        <v>12</v>
      </c>
      <c r="E2799" s="1" t="s">
        <v>4601</v>
      </c>
      <c r="F2799" s="1" t="s">
        <v>8147</v>
      </c>
      <c r="G2799" s="39" t="s">
        <v>4606</v>
      </c>
      <c r="H2799" s="1">
        <v>0</v>
      </c>
      <c r="I2799" s="1">
        <v>1</v>
      </c>
      <c r="J2799" s="39" t="s">
        <v>4627</v>
      </c>
      <c r="K2799" s="1">
        <v>1</v>
      </c>
      <c r="L2799" s="1">
        <v>0</v>
      </c>
      <c r="S2799" s="1" t="s">
        <v>8148</v>
      </c>
      <c r="T2799" s="1">
        <v>1</v>
      </c>
      <c r="U2799" s="19"/>
      <c r="V2799" s="19"/>
    </row>
    <row r="2800" spans="1:22" x14ac:dyDescent="0.3">
      <c r="A2800" s="1" t="s">
        <v>8149</v>
      </c>
      <c r="B2800" s="102">
        <v>46214</v>
      </c>
      <c r="C2800" s="6">
        <v>0.45833333333333331</v>
      </c>
      <c r="D2800" s="1" t="s">
        <v>12</v>
      </c>
      <c r="E2800" s="1" t="s">
        <v>4601</v>
      </c>
      <c r="F2800" s="1" t="s">
        <v>8150</v>
      </c>
      <c r="G2800" s="39" t="s">
        <v>4627</v>
      </c>
      <c r="H2800" s="1">
        <v>0</v>
      </c>
      <c r="I2800" s="1">
        <v>0</v>
      </c>
      <c r="J2800" s="39" t="s">
        <v>4659</v>
      </c>
      <c r="K2800" s="1">
        <v>0</v>
      </c>
      <c r="L2800" s="1">
        <v>0</v>
      </c>
      <c r="S2800" s="1" t="s">
        <v>8151</v>
      </c>
      <c r="T2800" s="1">
        <v>1</v>
      </c>
      <c r="U2800" s="19"/>
      <c r="V2800" s="19"/>
    </row>
    <row r="2801" spans="1:22" x14ac:dyDescent="0.3">
      <c r="A2801" s="1" t="s">
        <v>8152</v>
      </c>
      <c r="B2801" s="102">
        <v>46215</v>
      </c>
      <c r="C2801" s="6">
        <v>0.45833333333333331</v>
      </c>
      <c r="D2801" s="1" t="s">
        <v>12</v>
      </c>
      <c r="E2801" s="1" t="s">
        <v>4601</v>
      </c>
      <c r="F2801" s="1" t="s">
        <v>8153</v>
      </c>
      <c r="G2801" s="39" t="s">
        <v>4612</v>
      </c>
      <c r="H2801" s="1">
        <v>1</v>
      </c>
      <c r="I2801" s="1">
        <v>2</v>
      </c>
      <c r="J2801" s="39" t="s">
        <v>4640</v>
      </c>
      <c r="K2801" s="1">
        <v>2</v>
      </c>
      <c r="L2801" s="1">
        <v>1</v>
      </c>
      <c r="S2801" s="1" t="s">
        <v>8154</v>
      </c>
      <c r="T2801" s="1">
        <v>1</v>
      </c>
      <c r="U2801" s="19"/>
      <c r="V2801" s="19"/>
    </row>
    <row r="2802" spans="1:22" x14ac:dyDescent="0.3">
      <c r="A2802" s="1" t="s">
        <v>8155</v>
      </c>
      <c r="B2802" s="102">
        <v>46215</v>
      </c>
      <c r="C2802" s="6">
        <v>0.66666666666666663</v>
      </c>
      <c r="D2802" s="1" t="s">
        <v>12</v>
      </c>
      <c r="E2802" s="1" t="s">
        <v>4601</v>
      </c>
      <c r="F2802" s="1" t="s">
        <v>8156</v>
      </c>
      <c r="G2802" s="39" t="s">
        <v>4645</v>
      </c>
      <c r="H2802" s="1">
        <v>1</v>
      </c>
      <c r="I2802" s="1">
        <v>3</v>
      </c>
      <c r="J2802" s="39" t="s">
        <v>4606</v>
      </c>
      <c r="K2802" s="1">
        <v>3</v>
      </c>
      <c r="L2802" s="1">
        <v>1</v>
      </c>
      <c r="S2802" s="1" t="s">
        <v>8157</v>
      </c>
      <c r="T2802" s="1">
        <v>1</v>
      </c>
      <c r="U2802" s="19"/>
      <c r="V2802" s="19"/>
    </row>
    <row r="2803" spans="1:22" x14ac:dyDescent="0.3">
      <c r="A2803" s="1" t="s">
        <v>8158</v>
      </c>
      <c r="B2803" s="102">
        <v>46215</v>
      </c>
      <c r="C2803" s="6">
        <v>0.66666666666666663</v>
      </c>
      <c r="D2803" s="1" t="s">
        <v>12</v>
      </c>
      <c r="E2803" s="1" t="s">
        <v>4601</v>
      </c>
      <c r="F2803" s="1" t="s">
        <v>8159</v>
      </c>
      <c r="G2803" s="39" t="s">
        <v>4618</v>
      </c>
      <c r="H2803" s="1">
        <v>2</v>
      </c>
      <c r="I2803" s="1">
        <v>1</v>
      </c>
      <c r="J2803" s="39" t="s">
        <v>4681</v>
      </c>
      <c r="K2803" s="1">
        <v>1</v>
      </c>
      <c r="L2803" s="1">
        <v>2</v>
      </c>
      <c r="S2803" s="1" t="s">
        <v>8160</v>
      </c>
      <c r="T2803" s="1">
        <v>1</v>
      </c>
      <c r="U2803" s="19"/>
      <c r="V2803" s="19"/>
    </row>
    <row r="2804" spans="1:22" x14ac:dyDescent="0.3">
      <c r="A2804" s="1" t="s">
        <v>8161</v>
      </c>
      <c r="B2804" s="102">
        <v>46228</v>
      </c>
      <c r="C2804" s="6">
        <v>0.70833333333333337</v>
      </c>
      <c r="D2804" s="1" t="s">
        <v>12</v>
      </c>
      <c r="E2804" s="1" t="s">
        <v>4601</v>
      </c>
      <c r="F2804" s="1" t="s">
        <v>8162</v>
      </c>
      <c r="G2804" s="39" t="s">
        <v>4606</v>
      </c>
      <c r="H2804" s="1">
        <v>0</v>
      </c>
      <c r="I2804" s="1">
        <v>0</v>
      </c>
      <c r="J2804" s="39" t="s">
        <v>4618</v>
      </c>
      <c r="K2804" s="1">
        <v>0</v>
      </c>
      <c r="L2804" s="1">
        <v>0</v>
      </c>
      <c r="S2804" s="1" t="s">
        <v>8163</v>
      </c>
      <c r="T2804" s="1">
        <v>1</v>
      </c>
      <c r="U2804" s="19"/>
      <c r="V2804" s="19"/>
    </row>
    <row r="2805" spans="1:22" x14ac:dyDescent="0.3">
      <c r="A2805" s="1" t="s">
        <v>8164</v>
      </c>
      <c r="B2805" s="102">
        <v>46228</v>
      </c>
      <c r="C2805" s="6">
        <v>0.70833333333333337</v>
      </c>
      <c r="D2805" s="1" t="s">
        <v>12</v>
      </c>
      <c r="E2805" s="1" t="s">
        <v>4601</v>
      </c>
      <c r="F2805" s="1" t="s">
        <v>8165</v>
      </c>
      <c r="G2805" s="39" t="s">
        <v>4640</v>
      </c>
      <c r="H2805" s="1">
        <v>0</v>
      </c>
      <c r="I2805" s="1">
        <v>1</v>
      </c>
      <c r="J2805" s="39" t="s">
        <v>4603</v>
      </c>
      <c r="K2805" s="1">
        <v>1</v>
      </c>
      <c r="L2805" s="1">
        <v>0</v>
      </c>
      <c r="S2805" s="1" t="s">
        <v>8166</v>
      </c>
      <c r="T2805" s="1">
        <v>1</v>
      </c>
      <c r="U2805" s="19"/>
      <c r="V2805" s="19"/>
    </row>
    <row r="2806" spans="1:22" x14ac:dyDescent="0.3">
      <c r="A2806" s="1" t="s">
        <v>8167</v>
      </c>
      <c r="B2806" s="102">
        <v>46229</v>
      </c>
      <c r="C2806" s="6">
        <v>0.66666666666666663</v>
      </c>
      <c r="D2806" s="1" t="s">
        <v>12</v>
      </c>
      <c r="E2806" s="1" t="s">
        <v>4601</v>
      </c>
      <c r="F2806" s="1" t="s">
        <v>8168</v>
      </c>
      <c r="G2806" s="39" t="s">
        <v>4681</v>
      </c>
      <c r="H2806" s="1">
        <v>1</v>
      </c>
      <c r="I2806" s="1">
        <v>0</v>
      </c>
      <c r="J2806" s="39" t="s">
        <v>4612</v>
      </c>
      <c r="K2806" s="1">
        <v>0</v>
      </c>
      <c r="L2806" s="1">
        <v>1</v>
      </c>
      <c r="S2806" s="1" t="s">
        <v>8169</v>
      </c>
      <c r="T2806" s="1">
        <v>1</v>
      </c>
      <c r="U2806" s="19"/>
      <c r="V2806" s="19"/>
    </row>
    <row r="2807" spans="1:22" x14ac:dyDescent="0.3">
      <c r="A2807" s="1" t="s">
        <v>8170</v>
      </c>
      <c r="B2807" s="102">
        <v>46242</v>
      </c>
      <c r="C2807" s="6">
        <v>0.70833333333333337</v>
      </c>
      <c r="D2807" s="1" t="s">
        <v>12</v>
      </c>
      <c r="E2807" s="1" t="s">
        <v>4601</v>
      </c>
      <c r="F2807" s="1" t="s">
        <v>8171</v>
      </c>
      <c r="G2807" s="39" t="s">
        <v>4603</v>
      </c>
      <c r="H2807" s="1">
        <v>2</v>
      </c>
      <c r="I2807" s="1">
        <v>2</v>
      </c>
      <c r="J2807" s="39" t="s">
        <v>4606</v>
      </c>
      <c r="K2807" s="1">
        <v>2</v>
      </c>
      <c r="L2807" s="1">
        <v>2</v>
      </c>
      <c r="S2807" s="1" t="s">
        <v>8172</v>
      </c>
      <c r="T2807" s="1">
        <v>1</v>
      </c>
      <c r="U2807" s="19"/>
      <c r="V2807" s="19"/>
    </row>
    <row r="2808" spans="1:22" x14ac:dyDescent="0.3">
      <c r="A2808" s="1" t="s">
        <v>8173</v>
      </c>
      <c r="B2808" s="102">
        <v>46243</v>
      </c>
      <c r="C2808" s="6">
        <v>0.66666666666666663</v>
      </c>
      <c r="D2808" s="1" t="s">
        <v>12</v>
      </c>
      <c r="E2808" s="1" t="s">
        <v>4601</v>
      </c>
      <c r="F2808" s="1" t="s">
        <v>8174</v>
      </c>
      <c r="G2808" s="39" t="s">
        <v>4681</v>
      </c>
      <c r="H2808" s="1">
        <v>4</v>
      </c>
      <c r="I2808" s="1">
        <v>1</v>
      </c>
      <c r="J2808" s="39" t="s">
        <v>4659</v>
      </c>
      <c r="K2808" s="1">
        <v>1</v>
      </c>
      <c r="L2808" s="1">
        <v>4</v>
      </c>
      <c r="S2808" s="1" t="s">
        <v>8175</v>
      </c>
      <c r="T2808" s="1">
        <v>1</v>
      </c>
      <c r="U2808" s="19"/>
      <c r="V2808" s="19"/>
    </row>
    <row r="2809" spans="1:22" x14ac:dyDescent="0.3">
      <c r="A2809" s="1" t="s">
        <v>8176</v>
      </c>
      <c r="B2809" s="102">
        <v>46243</v>
      </c>
      <c r="C2809" s="6">
        <v>0.77083333333333337</v>
      </c>
      <c r="D2809" s="1" t="s">
        <v>12</v>
      </c>
      <c r="E2809" s="1" t="s">
        <v>4601</v>
      </c>
      <c r="F2809" s="1" t="s">
        <v>8177</v>
      </c>
      <c r="G2809" s="39" t="s">
        <v>4624</v>
      </c>
      <c r="H2809" s="1">
        <v>0</v>
      </c>
      <c r="I2809" s="1">
        <v>2</v>
      </c>
      <c r="J2809" s="39" t="s">
        <v>4627</v>
      </c>
      <c r="K2809" s="1">
        <v>2</v>
      </c>
      <c r="L2809" s="1">
        <v>0</v>
      </c>
      <c r="S2809" s="1" t="s">
        <v>8178</v>
      </c>
      <c r="T2809" s="1">
        <v>1</v>
      </c>
      <c r="U2809" s="19"/>
      <c r="V2809" s="19"/>
    </row>
    <row r="2810" spans="1:22" x14ac:dyDescent="0.3">
      <c r="A2810" s="1" t="s">
        <v>8179</v>
      </c>
      <c r="B2810" s="5">
        <v>46146</v>
      </c>
      <c r="C2810" s="6">
        <v>0.875</v>
      </c>
      <c r="D2810" s="1" t="s">
        <v>12</v>
      </c>
      <c r="E2810" s="1" t="s">
        <v>4601</v>
      </c>
      <c r="F2810" s="1" t="s">
        <v>8180</v>
      </c>
      <c r="G2810" s="39" t="s">
        <v>4633</v>
      </c>
      <c r="H2810" s="1">
        <v>4</v>
      </c>
      <c r="I2810" s="1">
        <v>2</v>
      </c>
      <c r="J2810" s="39" t="s">
        <v>4624</v>
      </c>
      <c r="K2810" s="1">
        <v>2</v>
      </c>
      <c r="L2810" s="1">
        <v>4</v>
      </c>
      <c r="S2810" s="1" t="s">
        <v>8181</v>
      </c>
      <c r="T2810" s="1">
        <v>1</v>
      </c>
      <c r="U2810" s="19"/>
      <c r="V2810" s="19"/>
    </row>
    <row r="2811" spans="1:22" x14ac:dyDescent="0.3">
      <c r="A2811" s="1" t="s">
        <v>8182</v>
      </c>
      <c r="B2811" s="5">
        <v>46147</v>
      </c>
      <c r="C2811" s="6">
        <v>0.83333333333333337</v>
      </c>
      <c r="D2811" s="1" t="s">
        <v>12</v>
      </c>
      <c r="E2811" s="1" t="s">
        <v>4601</v>
      </c>
      <c r="F2811" s="1" t="s">
        <v>8183</v>
      </c>
      <c r="G2811" s="39" t="s">
        <v>4681</v>
      </c>
      <c r="H2811" s="1">
        <v>2</v>
      </c>
      <c r="I2811" s="1">
        <v>0</v>
      </c>
      <c r="J2811" s="39" t="s">
        <v>4645</v>
      </c>
      <c r="K2811" s="1">
        <v>0</v>
      </c>
      <c r="L2811" s="1">
        <v>2</v>
      </c>
      <c r="S2811" s="1" t="s">
        <v>8184</v>
      </c>
      <c r="T2811" s="1">
        <v>1</v>
      </c>
      <c r="U2811" s="19"/>
      <c r="V2811" s="19"/>
    </row>
    <row r="2812" spans="1:22" x14ac:dyDescent="0.3">
      <c r="A2812" s="1" t="s">
        <v>8185</v>
      </c>
      <c r="B2812" s="5">
        <v>46152</v>
      </c>
      <c r="C2812" s="6">
        <v>0.70833333333333337</v>
      </c>
      <c r="D2812" s="1" t="s">
        <v>12</v>
      </c>
      <c r="E2812" s="1" t="s">
        <v>4601</v>
      </c>
      <c r="F2812" s="1" t="s">
        <v>8186</v>
      </c>
      <c r="G2812" s="39" t="s">
        <v>4621</v>
      </c>
      <c r="H2812" s="1">
        <v>0</v>
      </c>
      <c r="I2812" s="1">
        <v>1</v>
      </c>
      <c r="J2812" s="39" t="s">
        <v>4603</v>
      </c>
      <c r="K2812" s="1">
        <v>1</v>
      </c>
      <c r="L2812" s="1">
        <v>0</v>
      </c>
      <c r="S2812" s="1" t="s">
        <v>8187</v>
      </c>
      <c r="T2812" s="1">
        <v>1</v>
      </c>
      <c r="U2812" s="19"/>
      <c r="V2812" s="19"/>
    </row>
    <row r="2813" spans="1:22" x14ac:dyDescent="0.3">
      <c r="A2813" s="1" t="s">
        <v>8188</v>
      </c>
      <c r="B2813" s="5">
        <v>46158</v>
      </c>
      <c r="C2813" s="6">
        <v>0.8125</v>
      </c>
      <c r="D2813" s="1" t="s">
        <v>12</v>
      </c>
      <c r="E2813" s="1" t="s">
        <v>4601</v>
      </c>
      <c r="F2813" s="1" t="s">
        <v>8189</v>
      </c>
      <c r="G2813" s="39" t="s">
        <v>4659</v>
      </c>
      <c r="H2813" s="1">
        <v>3</v>
      </c>
      <c r="I2813" s="1">
        <v>2</v>
      </c>
      <c r="J2813" s="39" t="s">
        <v>4621</v>
      </c>
      <c r="K2813" s="1">
        <v>2</v>
      </c>
      <c r="L2813" s="1">
        <v>3</v>
      </c>
      <c r="S2813" s="1" t="s">
        <v>8190</v>
      </c>
      <c r="T2813" s="1">
        <v>1</v>
      </c>
      <c r="U2813" s="19"/>
      <c r="V2813" s="19"/>
    </row>
    <row r="2814" spans="1:22" x14ac:dyDescent="0.3">
      <c r="A2814" s="1" t="s">
        <v>8191</v>
      </c>
      <c r="B2814" s="5">
        <v>46188</v>
      </c>
      <c r="C2814" s="6">
        <v>0.8125</v>
      </c>
      <c r="D2814" s="1" t="s">
        <v>12</v>
      </c>
      <c r="E2814" s="1" t="s">
        <v>4601</v>
      </c>
      <c r="F2814" s="1" t="s">
        <v>8192</v>
      </c>
      <c r="G2814" s="39" t="s">
        <v>4633</v>
      </c>
      <c r="H2814" s="1">
        <v>0</v>
      </c>
      <c r="I2814" s="1">
        <v>0</v>
      </c>
      <c r="J2814" s="39" t="s">
        <v>4618</v>
      </c>
      <c r="K2814" s="1">
        <v>0</v>
      </c>
      <c r="L2814" s="1">
        <v>0</v>
      </c>
      <c r="S2814" s="1" t="s">
        <v>8193</v>
      </c>
      <c r="T2814" s="1">
        <v>1</v>
      </c>
      <c r="U2814" s="19"/>
      <c r="V2814" s="19"/>
    </row>
    <row r="2815" spans="1:22" x14ac:dyDescent="0.3">
      <c r="A2815" s="1" t="s">
        <v>8194</v>
      </c>
      <c r="B2815" s="5">
        <v>46187</v>
      </c>
      <c r="C2815" s="6">
        <v>0.6875</v>
      </c>
      <c r="D2815" s="1" t="s">
        <v>12</v>
      </c>
      <c r="E2815" s="1" t="s">
        <v>4601</v>
      </c>
      <c r="F2815" s="1" t="s">
        <v>8195</v>
      </c>
      <c r="G2815" s="39" t="s">
        <v>4624</v>
      </c>
      <c r="H2815" s="1">
        <v>2</v>
      </c>
      <c r="I2815" s="1">
        <v>2</v>
      </c>
      <c r="J2815" s="39" t="s">
        <v>4645</v>
      </c>
      <c r="K2815" s="1">
        <v>2</v>
      </c>
      <c r="L2815" s="1">
        <v>2</v>
      </c>
      <c r="S2815" s="1" t="s">
        <v>8196</v>
      </c>
      <c r="T2815" s="1">
        <v>1</v>
      </c>
      <c r="U2815" s="19"/>
      <c r="V2815" s="19"/>
    </row>
    <row r="2816" spans="1:22" x14ac:dyDescent="0.3">
      <c r="A2816" s="1" t="s">
        <v>8197</v>
      </c>
      <c r="B2816" s="5">
        <v>46193</v>
      </c>
      <c r="C2816" s="6">
        <v>0.95833333333333337</v>
      </c>
      <c r="D2816" s="1" t="s">
        <v>12</v>
      </c>
      <c r="E2816" s="1" t="s">
        <v>4601</v>
      </c>
      <c r="F2816" s="1" t="s">
        <v>4676</v>
      </c>
      <c r="G2816" s="39" t="s">
        <v>4618</v>
      </c>
      <c r="H2816" s="1">
        <v>0</v>
      </c>
      <c r="I2816" s="1">
        <v>1</v>
      </c>
      <c r="J2816" s="39" t="s">
        <v>4609</v>
      </c>
      <c r="K2816" s="1">
        <v>1</v>
      </c>
      <c r="L2816" s="1">
        <v>0</v>
      </c>
      <c r="S2816" s="1" t="s">
        <v>8198</v>
      </c>
      <c r="T2816" s="1">
        <v>1</v>
      </c>
      <c r="U2816" s="19"/>
      <c r="V2816" s="19"/>
    </row>
    <row r="2817" spans="1:22" x14ac:dyDescent="0.3">
      <c r="A2817" s="1" t="s">
        <v>8199</v>
      </c>
      <c r="B2817" s="5">
        <v>46194</v>
      </c>
      <c r="C2817" s="6">
        <v>0.72916666666666663</v>
      </c>
      <c r="D2817" s="1" t="s">
        <v>12</v>
      </c>
      <c r="E2817" s="1" t="s">
        <v>4601</v>
      </c>
      <c r="F2817" s="1" t="s">
        <v>8200</v>
      </c>
      <c r="G2817" s="39" t="s">
        <v>4612</v>
      </c>
      <c r="H2817" s="1">
        <v>1</v>
      </c>
      <c r="I2817" s="1">
        <v>1</v>
      </c>
      <c r="J2817" s="39" t="s">
        <v>4621</v>
      </c>
      <c r="K2817" s="1">
        <v>1</v>
      </c>
      <c r="L2817" s="1">
        <v>1</v>
      </c>
      <c r="S2817" s="1" t="s">
        <v>8201</v>
      </c>
      <c r="T2817" s="1">
        <v>1</v>
      </c>
      <c r="U2817" s="19"/>
      <c r="V2817" s="19"/>
    </row>
    <row r="2818" spans="1:22" x14ac:dyDescent="0.3">
      <c r="A2818" s="1" t="s">
        <v>8202</v>
      </c>
      <c r="B2818" s="5">
        <v>46193</v>
      </c>
      <c r="C2818" s="6">
        <v>0.9375</v>
      </c>
      <c r="D2818" s="1" t="s">
        <v>12</v>
      </c>
      <c r="E2818" s="1" t="s">
        <v>4601</v>
      </c>
      <c r="F2818" s="1" t="s">
        <v>8203</v>
      </c>
      <c r="G2818" s="39" t="s">
        <v>4645</v>
      </c>
      <c r="H2818" s="1">
        <v>0</v>
      </c>
      <c r="I2818" s="1">
        <v>0</v>
      </c>
      <c r="J2818" s="39" t="s">
        <v>4603</v>
      </c>
      <c r="K2818" s="1">
        <v>0</v>
      </c>
      <c r="L2818" s="1">
        <v>0</v>
      </c>
      <c r="S2818" s="1" t="s">
        <v>8204</v>
      </c>
      <c r="T2818" s="1">
        <v>1</v>
      </c>
      <c r="U2818" s="19"/>
      <c r="V2818" s="19"/>
    </row>
    <row r="2819" spans="1:22" x14ac:dyDescent="0.3">
      <c r="A2819" s="1" t="s">
        <v>8205</v>
      </c>
      <c r="B2819" s="5">
        <v>46203</v>
      </c>
      <c r="C2819" s="6">
        <v>0.85416666666666663</v>
      </c>
      <c r="D2819" s="1" t="s">
        <v>12</v>
      </c>
      <c r="E2819" s="1" t="s">
        <v>4601</v>
      </c>
      <c r="F2819" s="1" t="s">
        <v>8206</v>
      </c>
      <c r="G2819" s="39" t="s">
        <v>4636</v>
      </c>
      <c r="H2819" s="1">
        <v>3</v>
      </c>
      <c r="I2819" s="1">
        <v>0</v>
      </c>
      <c r="J2819" s="39" t="s">
        <v>4621</v>
      </c>
      <c r="K2819" s="1">
        <v>0</v>
      </c>
      <c r="L2819" s="1">
        <v>3</v>
      </c>
      <c r="S2819" s="1" t="s">
        <v>8207</v>
      </c>
      <c r="T2819" s="1">
        <v>1</v>
      </c>
      <c r="U2819" s="19"/>
      <c r="V2819" s="19"/>
    </row>
    <row r="2820" spans="1:22" x14ac:dyDescent="0.3">
      <c r="A2820" s="1" t="s">
        <v>8208</v>
      </c>
      <c r="B2820" s="5">
        <v>46201</v>
      </c>
      <c r="C2820" s="6">
        <v>0.85416666666666663</v>
      </c>
      <c r="D2820" s="1" t="s">
        <v>12</v>
      </c>
      <c r="E2820" s="1" t="s">
        <v>4601</v>
      </c>
      <c r="F2820" s="1" t="s">
        <v>8209</v>
      </c>
      <c r="G2820" s="39" t="s">
        <v>4645</v>
      </c>
      <c r="H2820" s="1">
        <v>0</v>
      </c>
      <c r="I2820" s="1">
        <v>0</v>
      </c>
      <c r="J2820" s="39" t="s">
        <v>4618</v>
      </c>
      <c r="K2820" s="1">
        <v>0</v>
      </c>
      <c r="L2820" s="1">
        <v>0</v>
      </c>
      <c r="S2820" s="1" t="s">
        <v>8210</v>
      </c>
      <c r="T2820" s="1">
        <v>1</v>
      </c>
      <c r="U2820" s="19"/>
      <c r="V2820" s="19"/>
    </row>
    <row r="2821" spans="1:22" x14ac:dyDescent="0.3">
      <c r="A2821" s="1" t="s">
        <v>8211</v>
      </c>
      <c r="B2821" s="5">
        <v>46209</v>
      </c>
      <c r="C2821" s="6">
        <v>0.95833333333333337</v>
      </c>
      <c r="D2821" s="1" t="s">
        <v>12</v>
      </c>
      <c r="E2821" s="1" t="s">
        <v>4601</v>
      </c>
      <c r="F2821" s="1" t="s">
        <v>8212</v>
      </c>
      <c r="G2821" s="39" t="s">
        <v>4621</v>
      </c>
      <c r="H2821" s="1">
        <v>0</v>
      </c>
      <c r="I2821" s="1">
        <v>2</v>
      </c>
      <c r="J2821" s="39" t="s">
        <v>4624</v>
      </c>
      <c r="K2821" s="1">
        <v>2</v>
      </c>
      <c r="L2821" s="1">
        <v>0</v>
      </c>
      <c r="S2821" s="1" t="s">
        <v>8213</v>
      </c>
      <c r="T2821" s="1">
        <v>1</v>
      </c>
      <c r="U2821" s="19"/>
      <c r="V2821" s="19"/>
    </row>
    <row r="2822" spans="1:22" x14ac:dyDescent="0.3">
      <c r="A2822" s="1" t="s">
        <v>8214</v>
      </c>
      <c r="B2822" s="5">
        <v>46207</v>
      </c>
      <c r="C2822" s="6">
        <v>0.83333333333333337</v>
      </c>
      <c r="D2822" s="1" t="s">
        <v>12</v>
      </c>
      <c r="E2822" s="1" t="s">
        <v>4601</v>
      </c>
      <c r="F2822" s="1" t="s">
        <v>8215</v>
      </c>
      <c r="G2822" s="39" t="s">
        <v>4633</v>
      </c>
      <c r="H2822" s="1">
        <v>4</v>
      </c>
      <c r="I2822" s="1">
        <v>0</v>
      </c>
      <c r="J2822" s="39" t="s">
        <v>4636</v>
      </c>
      <c r="K2822" s="1">
        <v>0</v>
      </c>
      <c r="L2822" s="1">
        <v>4</v>
      </c>
      <c r="S2822" s="1" t="s">
        <v>8216</v>
      </c>
      <c r="T2822" s="1">
        <v>1</v>
      </c>
      <c r="U2822" s="19"/>
      <c r="V2822" s="19"/>
    </row>
    <row r="2823" spans="1:22" x14ac:dyDescent="0.3">
      <c r="A2823" s="1" t="s">
        <v>8217</v>
      </c>
      <c r="B2823" s="5">
        <v>46230</v>
      </c>
      <c r="C2823" s="6">
        <v>0.91666666666666663</v>
      </c>
      <c r="D2823" s="1" t="s">
        <v>12</v>
      </c>
      <c r="E2823" s="1" t="s">
        <v>4601</v>
      </c>
      <c r="F2823" s="1" t="s">
        <v>8218</v>
      </c>
      <c r="G2823" s="39" t="s">
        <v>4659</v>
      </c>
      <c r="H2823" s="1">
        <v>1</v>
      </c>
      <c r="I2823" s="1">
        <v>1</v>
      </c>
      <c r="J2823" s="39" t="s">
        <v>4633</v>
      </c>
      <c r="K2823" s="1">
        <v>1</v>
      </c>
      <c r="L2823" s="1">
        <v>1</v>
      </c>
      <c r="S2823" s="1" t="s">
        <v>8219</v>
      </c>
      <c r="T2823" s="1">
        <v>1</v>
      </c>
      <c r="U2823" s="19"/>
      <c r="V2823" s="19"/>
    </row>
    <row r="2824" spans="1:22" x14ac:dyDescent="0.3">
      <c r="A2824" s="1" t="s">
        <v>8220</v>
      </c>
      <c r="B2824" s="5">
        <v>46244</v>
      </c>
      <c r="C2824" s="6">
        <v>0.91666666666666663</v>
      </c>
      <c r="D2824" s="1" t="s">
        <v>12</v>
      </c>
      <c r="E2824" s="1" t="s">
        <v>4601</v>
      </c>
      <c r="F2824" s="1" t="s">
        <v>8221</v>
      </c>
      <c r="G2824" s="39" t="s">
        <v>4609</v>
      </c>
      <c r="H2824" s="1">
        <v>2</v>
      </c>
      <c r="I2824" s="1">
        <v>1</v>
      </c>
      <c r="J2824" s="39" t="s">
        <v>4654</v>
      </c>
      <c r="K2824" s="1">
        <v>1</v>
      </c>
      <c r="L2824" s="1">
        <v>2</v>
      </c>
      <c r="S2824" s="1" t="s">
        <v>8222</v>
      </c>
      <c r="T2824" s="1">
        <v>1</v>
      </c>
      <c r="U2824" s="19"/>
      <c r="V2824" s="19"/>
    </row>
    <row r="2825" spans="1:22" x14ac:dyDescent="0.3">
      <c r="A2825" s="1" t="s">
        <v>8223</v>
      </c>
      <c r="B2825" s="5">
        <v>46243</v>
      </c>
      <c r="C2825" s="6">
        <v>0.75</v>
      </c>
      <c r="D2825" s="1" t="s">
        <v>12</v>
      </c>
      <c r="E2825" s="1" t="s">
        <v>4601</v>
      </c>
      <c r="F2825" s="1" t="s">
        <v>8224</v>
      </c>
      <c r="G2825" s="39" t="s">
        <v>4633</v>
      </c>
      <c r="H2825" s="1">
        <v>0</v>
      </c>
      <c r="I2825" s="1">
        <v>3</v>
      </c>
      <c r="J2825" s="39" t="s">
        <v>4621</v>
      </c>
      <c r="K2825" s="1">
        <v>3</v>
      </c>
      <c r="L2825" s="1">
        <v>0</v>
      </c>
      <c r="S2825" s="1" t="s">
        <v>8225</v>
      </c>
      <c r="T2825" s="1">
        <v>1</v>
      </c>
      <c r="U2825" s="19"/>
      <c r="V2825" s="19"/>
    </row>
    <row r="2826" spans="1:22" x14ac:dyDescent="0.3">
      <c r="A2826" s="1" t="s">
        <v>8226</v>
      </c>
      <c r="B2826" s="5">
        <v>46242</v>
      </c>
      <c r="C2826" s="6">
        <v>0.89583333333333337</v>
      </c>
      <c r="D2826" s="1" t="s">
        <v>12</v>
      </c>
      <c r="E2826" s="1" t="s">
        <v>4601</v>
      </c>
      <c r="F2826" s="1" t="s">
        <v>8227</v>
      </c>
      <c r="G2826" s="39" t="s">
        <v>4645</v>
      </c>
      <c r="H2826" s="1">
        <v>2</v>
      </c>
      <c r="I2826" s="1">
        <v>0</v>
      </c>
      <c r="J2826" s="39" t="s">
        <v>4612</v>
      </c>
      <c r="K2826" s="1">
        <v>0</v>
      </c>
      <c r="L2826" s="1">
        <v>2</v>
      </c>
      <c r="S2826" s="1" t="s">
        <v>8228</v>
      </c>
      <c r="T2826" s="1">
        <v>1</v>
      </c>
      <c r="U2826" s="19"/>
      <c r="V2826" s="19"/>
    </row>
    <row r="2827" spans="1:22" x14ac:dyDescent="0.3">
      <c r="A2827" s="1" t="s">
        <v>8229</v>
      </c>
      <c r="B2827" s="5">
        <v>46147</v>
      </c>
      <c r="C2827" s="6">
        <v>0.83333333333333337</v>
      </c>
      <c r="D2827" s="1" t="s">
        <v>12</v>
      </c>
      <c r="E2827" s="1" t="s">
        <v>4601</v>
      </c>
      <c r="F2827" s="1" t="s">
        <v>8230</v>
      </c>
      <c r="G2827" s="39" t="s">
        <v>4659</v>
      </c>
      <c r="H2827" s="1">
        <v>0</v>
      </c>
      <c r="I2827" s="1">
        <v>2</v>
      </c>
      <c r="J2827" s="39" t="s">
        <v>4618</v>
      </c>
      <c r="K2827" s="1">
        <v>2</v>
      </c>
      <c r="L2827" s="1">
        <v>0</v>
      </c>
      <c r="S2827" s="1" t="s">
        <v>8231</v>
      </c>
      <c r="T2827" s="1">
        <v>1</v>
      </c>
      <c r="U2827" s="19"/>
      <c r="V2827" s="19"/>
    </row>
    <row r="2828" spans="1:22" x14ac:dyDescent="0.3">
      <c r="A2828" s="1" t="s">
        <v>8232</v>
      </c>
      <c r="B2828" s="5">
        <v>46151</v>
      </c>
      <c r="C2828" s="6">
        <v>0.75</v>
      </c>
      <c r="D2828" s="1" t="s">
        <v>12</v>
      </c>
      <c r="E2828" s="1" t="s">
        <v>4601</v>
      </c>
      <c r="F2828" s="1" t="s">
        <v>8233</v>
      </c>
      <c r="G2828" s="39" t="s">
        <v>4624</v>
      </c>
      <c r="H2828" s="1">
        <v>0</v>
      </c>
      <c r="I2828" s="1">
        <v>0</v>
      </c>
      <c r="J2828" s="39" t="s">
        <v>4659</v>
      </c>
      <c r="K2828" s="1">
        <v>0</v>
      </c>
      <c r="L2828" s="1">
        <v>0</v>
      </c>
      <c r="S2828" s="1" t="s">
        <v>8234</v>
      </c>
      <c r="T2828" s="1">
        <v>1</v>
      </c>
      <c r="U2828" s="19"/>
      <c r="V2828" s="19"/>
    </row>
    <row r="2829" spans="1:22" x14ac:dyDescent="0.3">
      <c r="A2829" s="1" t="s">
        <v>8235</v>
      </c>
      <c r="B2829" s="5">
        <v>46187</v>
      </c>
      <c r="C2829" s="6">
        <v>0.8125</v>
      </c>
      <c r="D2829" s="1" t="s">
        <v>12</v>
      </c>
      <c r="E2829" s="1" t="s">
        <v>4601</v>
      </c>
      <c r="F2829" s="1" t="s">
        <v>8236</v>
      </c>
      <c r="G2829" s="39" t="s">
        <v>4659</v>
      </c>
      <c r="H2829" s="1">
        <v>1</v>
      </c>
      <c r="I2829" s="1">
        <v>2</v>
      </c>
      <c r="J2829" s="39" t="s">
        <v>4603</v>
      </c>
      <c r="K2829" s="1">
        <v>2</v>
      </c>
      <c r="L2829" s="1">
        <v>1</v>
      </c>
      <c r="S2829" s="1" t="s">
        <v>8237</v>
      </c>
      <c r="T2829" s="1">
        <v>1</v>
      </c>
      <c r="U2829" s="19"/>
      <c r="V2829" s="19"/>
    </row>
    <row r="2830" spans="1:22" x14ac:dyDescent="0.3">
      <c r="A2830" s="1" t="s">
        <v>8238</v>
      </c>
      <c r="B2830" s="5">
        <v>46200</v>
      </c>
      <c r="C2830" s="6">
        <v>0.66666666666666663</v>
      </c>
      <c r="D2830" s="1" t="s">
        <v>12</v>
      </c>
      <c r="E2830" s="1" t="s">
        <v>4601</v>
      </c>
      <c r="F2830" s="1" t="s">
        <v>8239</v>
      </c>
      <c r="G2830" s="39" t="s">
        <v>4659</v>
      </c>
      <c r="H2830" s="1">
        <v>2</v>
      </c>
      <c r="I2830" s="1">
        <v>1</v>
      </c>
      <c r="J2830" s="39" t="s">
        <v>4612</v>
      </c>
      <c r="K2830" s="1">
        <v>1</v>
      </c>
      <c r="L2830" s="1">
        <v>2</v>
      </c>
      <c r="S2830" s="1" t="s">
        <v>8240</v>
      </c>
      <c r="T2830" s="1">
        <v>1</v>
      </c>
      <c r="U2830" s="19"/>
      <c r="V2830" s="19"/>
    </row>
    <row r="2831" spans="1:22" x14ac:dyDescent="0.3">
      <c r="A2831" s="1" t="s">
        <v>8241</v>
      </c>
      <c r="B2831" s="5">
        <v>46146</v>
      </c>
      <c r="C2831" s="6">
        <v>0.875</v>
      </c>
      <c r="D2831" s="1" t="s">
        <v>12</v>
      </c>
      <c r="E2831" s="1" t="s">
        <v>4601</v>
      </c>
      <c r="F2831" s="1" t="s">
        <v>8242</v>
      </c>
      <c r="G2831" s="39" t="s">
        <v>4603</v>
      </c>
      <c r="H2831" s="1">
        <v>0</v>
      </c>
      <c r="I2831" s="1">
        <v>3</v>
      </c>
      <c r="J2831" s="39" t="s">
        <v>4612</v>
      </c>
      <c r="K2831" s="1">
        <v>3</v>
      </c>
      <c r="L2831" s="1">
        <v>0</v>
      </c>
      <c r="S2831" s="1" t="s">
        <v>8243</v>
      </c>
      <c r="T2831" s="1">
        <v>1</v>
      </c>
      <c r="U2831" s="19"/>
      <c r="V2831" s="19"/>
    </row>
    <row r="2832" spans="1:22" x14ac:dyDescent="0.3">
      <c r="A2832" s="1" t="s">
        <v>8244</v>
      </c>
      <c r="B2832" s="5">
        <v>46158</v>
      </c>
      <c r="C2832" s="6">
        <v>0.8125</v>
      </c>
      <c r="D2832" s="1" t="s">
        <v>12</v>
      </c>
      <c r="E2832" s="1" t="s">
        <v>4601</v>
      </c>
      <c r="F2832" s="1" t="s">
        <v>8245</v>
      </c>
      <c r="G2832" s="39" t="s">
        <v>4603</v>
      </c>
      <c r="H2832" s="1">
        <v>0</v>
      </c>
      <c r="I2832" s="1">
        <v>1</v>
      </c>
      <c r="J2832" s="39" t="s">
        <v>4624</v>
      </c>
      <c r="K2832" s="1">
        <v>1</v>
      </c>
      <c r="L2832" s="1">
        <v>0</v>
      </c>
      <c r="S2832" s="1" t="s">
        <v>8246</v>
      </c>
      <c r="T2832" s="1">
        <v>1</v>
      </c>
      <c r="U2832" s="19"/>
      <c r="V2832" s="19"/>
    </row>
    <row r="2833" spans="1:22" x14ac:dyDescent="0.3">
      <c r="A2833" s="1" t="s">
        <v>8247</v>
      </c>
      <c r="B2833" s="5">
        <v>46216</v>
      </c>
      <c r="C2833" s="6">
        <v>0.85416666666666663</v>
      </c>
      <c r="D2833" s="1" t="s">
        <v>12</v>
      </c>
      <c r="E2833" s="1" t="s">
        <v>4601</v>
      </c>
      <c r="F2833" s="1" t="s">
        <v>8248</v>
      </c>
      <c r="G2833" s="39" t="s">
        <v>4603</v>
      </c>
      <c r="H2833" s="1">
        <v>0</v>
      </c>
      <c r="I2833" s="1">
        <v>0</v>
      </c>
      <c r="J2833" s="39" t="s">
        <v>4636</v>
      </c>
      <c r="K2833" s="1">
        <v>0</v>
      </c>
      <c r="L2833" s="1">
        <v>0</v>
      </c>
      <c r="S2833" s="1" t="s">
        <v>8249</v>
      </c>
      <c r="T2833" s="1">
        <v>1</v>
      </c>
      <c r="U2833" s="19"/>
      <c r="V2833" s="19"/>
    </row>
    <row r="2834" spans="1:22" x14ac:dyDescent="0.3">
      <c r="A2834" s="1" t="s">
        <v>8250</v>
      </c>
      <c r="B2834" s="5">
        <v>46172</v>
      </c>
      <c r="C2834" s="6">
        <v>0.70833333333333337</v>
      </c>
      <c r="D2834" s="1" t="s">
        <v>12</v>
      </c>
      <c r="E2834" s="1" t="s">
        <v>4601</v>
      </c>
      <c r="F2834" s="1" t="s">
        <v>8251</v>
      </c>
      <c r="G2834" s="39" t="s">
        <v>4624</v>
      </c>
      <c r="H2834" s="1">
        <v>0</v>
      </c>
      <c r="I2834" s="1">
        <v>1</v>
      </c>
      <c r="J2834" s="39" t="s">
        <v>4636</v>
      </c>
      <c r="K2834" s="1">
        <v>1</v>
      </c>
      <c r="L2834" s="1">
        <v>0</v>
      </c>
      <c r="S2834" s="1" t="s">
        <v>8252</v>
      </c>
      <c r="T2834" s="1">
        <v>1</v>
      </c>
      <c r="U2834" s="19"/>
      <c r="V2834" s="19"/>
    </row>
  </sheetData>
  <dataValidations count="7">
    <dataValidation type="custom" errorStyle="warning" allowBlank="1" showInputMessage="1" showErrorMessage="1" errorTitle="Equipe não cadastrada" error="Confira a grafia e consulte a sugestão na coluna V. Se for uma equipe nova, o valor pode ser mantido." promptTitle="Equipe visitante" prompt="Digite o nome conforme o cadastro." sqref="J3517:J12559" xr:uid="{9BF92B31-40E6-4366-9402-97239221F287}">
      <formula1>OR(J3517="",COUNTIF(CadastroEquipes,TRIM(J3517))&gt;0)</formula1>
    </dataValidation>
    <dataValidation type="custom" errorStyle="warning" allowBlank="1" showInputMessage="1" showErrorMessage="1" errorTitle="Equipe não cadastrada" error="Confira a grafia e consulte a sugestão na coluna U. Se for uma equipe nova, o valor pode ser mantido." promptTitle="Equipe mandante" prompt="Digite o nome conforme o cadastro." sqref="G3517:G12559" xr:uid="{24D25CC6-D7E5-40A7-8D90-9A09D3C11855}">
      <formula1>OR(G3517="",COUNTIF(CadastroEquipes,TRIM(G3517))&gt;0)</formula1>
    </dataValidation>
    <dataValidation type="custom" errorStyle="warning" allowBlank="1" showErrorMessage="1" errorTitle="Equipe não cadastrada" error="Confira a grafia e consulte a sugestão na coluna U. Se for uma equipe nova, o valor pode ser mantido." promptTitle="Equipe mandante" prompt="Digite o nome conforme o cadastro." sqref="G244:G253 G508:G915 G2835:G3516 G306:G492" xr:uid="{C4EE7B09-9AF4-45B8-9D8D-1C4FFAF9C480}">
      <formula1>OR(G244="",COUNTIF(CadastroEquipes,TRIM(G244))&gt;0)</formula1>
    </dataValidation>
    <dataValidation type="custom" errorStyle="warning" allowBlank="1" showErrorMessage="1" errorTitle="Equipe não cadastrada" error="Confira a grafia e consulte a sugestão na coluna V. Se for uma equipe nova, o valor pode ser mantido." promptTitle="Equipe visitante" prompt="Digite o nome conforme o cadastro." sqref="J244:J253 J508:J915 J2835:J3516 J306:J492" xr:uid="{B33E613D-C17E-4B1D-A2A0-27621AAE83F2}">
      <formula1>OR(J244="",COUNTIF(CadastroEquipes,TRIM(J244))&gt;0)</formula1>
    </dataValidation>
    <dataValidation type="custom" allowBlank="1" showInputMessage="1" showErrorMessage="1" errorTitle="Equipe não cadastrada" error="Selecione uma equipe cadastrada na aba Ligas." sqref="G916:G938 J916:J938" xr:uid="{B771356C-7726-4443-864B-2AAC31DDADE3}">
      <formula1>OR(G916="",COUNTIF(CadastroEquipes,TRIM(G916))&gt;0)</formula1>
    </dataValidation>
    <dataValidation type="custom" allowBlank="1" showInputMessage="1" showErrorMessage="1" sqref="G939:G2834 J939:J2834" xr:uid="{275C85C3-C2B9-483C-A411-AE223F25BED1}">
      <formula1>OR(G939="",COUNTIF(CadastroEquipes,TRIM(G939))&gt;0)</formula1>
    </dataValidation>
    <dataValidation allowBlank="1" showErrorMessage="1" sqref="G2:G243 J2:J243" xr:uid="{49E16424-5B14-413C-9A01-5028F10B1597}"/>
  </dataValidations>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99"/>
  <sheetViews>
    <sheetView zoomScaleNormal="100" workbookViewId="0">
      <pane ySplit="1" topLeftCell="A2" activePane="bottomLeft" state="frozen"/>
      <selection pane="bottomLeft" activeCell="M10" sqref="M10"/>
    </sheetView>
  </sheetViews>
  <sheetFormatPr defaultColWidth="8.5546875" defaultRowHeight="14.4" x14ac:dyDescent="0.3"/>
  <cols>
    <col min="1" max="1" width="26" style="1" customWidth="1"/>
    <col min="2" max="2" width="15.21875" style="1" customWidth="1"/>
    <col min="3" max="3" width="8.33203125" style="1" customWidth="1"/>
    <col min="4" max="5" width="18.5546875" style="1" customWidth="1"/>
    <col min="6" max="6" width="15" style="1" bestFit="1" customWidth="1"/>
    <col min="8" max="9" width="0" style="1" hidden="1" customWidth="1"/>
    <col min="10" max="11" width="13" hidden="1" customWidth="1"/>
    <col min="12" max="16384" width="8.5546875" style="1"/>
  </cols>
  <sheetData>
    <row r="1" spans="1:9" ht="30" customHeight="1" x14ac:dyDescent="0.3">
      <c r="A1" s="22" t="s">
        <v>0</v>
      </c>
      <c r="B1" s="21" t="s">
        <v>1367</v>
      </c>
      <c r="C1" s="22" t="s">
        <v>1937</v>
      </c>
      <c r="D1" s="21" t="s">
        <v>431</v>
      </c>
      <c r="E1" s="171" t="s">
        <v>1938</v>
      </c>
      <c r="F1" s="21" t="s">
        <v>1</v>
      </c>
      <c r="H1" s="21" t="s">
        <v>2</v>
      </c>
      <c r="I1" s="21" t="s">
        <v>3</v>
      </c>
    </row>
    <row r="2" spans="1:9" ht="15" customHeight="1" x14ac:dyDescent="0.3">
      <c r="A2" s="30" t="s">
        <v>1372</v>
      </c>
      <c r="B2" s="79" t="s">
        <v>1368</v>
      </c>
      <c r="C2" s="15">
        <f>IF(A2="","",COUNTIFS(tblDados[País],H2,tblDados[Liga],I2,tblDados[Primeira_Ocorrencia],1))</f>
        <v>4</v>
      </c>
      <c r="D2" s="36">
        <v>2.0499999999999998</v>
      </c>
      <c r="E2" s="172" t="str">
        <f>IF(A2="","",IF(AND(I2&lt;&gt;"MLS-Cross",C2&lt;30),"Insuficiente",IF(C2=0,"Insuficiente",(SUMIFS(tblDados[GM_M],tblDados[País],H2,tblDados[Liga],I2,tblDados[Primeira_Ocorrencia],1)+SUMIFS(tblDados[GS_M],tblDados[País],H2,tblDados[Liga],I2,tblDados[Primeira_Ocorrencia],1))/C2)))</f>
        <v>Insuficiente</v>
      </c>
      <c r="F2" s="31" t="s">
        <v>1373</v>
      </c>
      <c r="H2" s="32" t="str">
        <f>IF(A2="","",LEFT(A2,3))</f>
        <v>ARG</v>
      </c>
      <c r="I2" s="32" t="str">
        <f>IF(A2="","",_xlfn.TEXTAFTER(A2," - "))</f>
        <v>Liga Profesional</v>
      </c>
    </row>
    <row r="3" spans="1:9" ht="15" customHeight="1" x14ac:dyDescent="0.3">
      <c r="A3" s="30" t="s">
        <v>1374</v>
      </c>
      <c r="B3" s="79" t="s">
        <v>1369</v>
      </c>
      <c r="C3" s="15">
        <f>IF(A3="","",COUNTIFS(tblDados[País],H3,tblDados[Liga],I3,tblDados[Primeira_Ocorrencia],1))</f>
        <v>2</v>
      </c>
      <c r="D3" s="36">
        <v>1.92</v>
      </c>
      <c r="E3" s="172" t="str">
        <f>IF(A3="","",IF(AND(I3&lt;&gt;"MLS-Cross",C3&lt;30),"Insuficiente",IF(C3=0,"Insuficiente",(SUMIFS(tblDados[GM_M],tblDados[País],H3,tblDados[Liga],I3,tblDados[Primeira_Ocorrencia],1)+SUMIFS(tblDados[GS_M],tblDados[País],H3,tblDados[Liga],I3,tblDados[Primeira_Ocorrencia],1))/C3)))</f>
        <v>Insuficiente</v>
      </c>
      <c r="F3" s="31" t="s">
        <v>1373</v>
      </c>
      <c r="H3" s="32" t="str">
        <f t="shared" ref="H3:H39" si="0">IF(A3="","",LEFT(A3,3))</f>
        <v>ARG</v>
      </c>
      <c r="I3" s="32" t="str">
        <f t="shared" ref="I3:I39" si="1">IF(A3="","",_xlfn.TEXTAFTER(A3," - "))</f>
        <v>Primera Nacional</v>
      </c>
    </row>
    <row r="4" spans="1:9" ht="15" customHeight="1" x14ac:dyDescent="0.3">
      <c r="A4" s="30" t="s">
        <v>1377</v>
      </c>
      <c r="B4" s="79" t="s">
        <v>1370</v>
      </c>
      <c r="C4" s="15">
        <f>IF(A4="","",COUNTIFS(tblDados[País],H4,tblDados[Liga],I4,tblDados[Primeira_Ocorrencia],1))</f>
        <v>105</v>
      </c>
      <c r="D4" s="36">
        <v>3.62</v>
      </c>
      <c r="E4" s="172">
        <f>IF(A4="","",IF(AND(I4&lt;&gt;"MLS-Cross",C4&lt;30),"Insuficiente",IF(C4=0,"Insuficiente",(SUMIFS(tblDados[GM_M],tblDados[País],H4,tblDados[Liga],I4,tblDados[Primeira_Ocorrencia],1)+SUMIFS(tblDados[GS_M],tblDados[País],H4,tblDados[Liga],I4,tblDados[Primeira_Ocorrencia],1))/C4)))</f>
        <v>2.9714285714285715</v>
      </c>
      <c r="F4" s="31" t="s">
        <v>1366</v>
      </c>
      <c r="H4" s="32" t="str">
        <f t="shared" si="0"/>
        <v>BOL</v>
      </c>
      <c r="I4" s="32" t="str">
        <f t="shared" si="1"/>
        <v>Div. Profesional</v>
      </c>
    </row>
    <row r="5" spans="1:9" ht="15" customHeight="1" x14ac:dyDescent="0.3">
      <c r="A5" s="30" t="s">
        <v>1378</v>
      </c>
      <c r="B5" s="79" t="s">
        <v>1370</v>
      </c>
      <c r="C5" s="15">
        <f>IF(A5="","",COUNTIFS(tblDados[País],H5,tblDados[Liga],I5,tblDados[Primeira_Ocorrencia],1))</f>
        <v>124</v>
      </c>
      <c r="D5" s="36">
        <v>2.59</v>
      </c>
      <c r="E5" s="172">
        <f>IF(A5="","",IF(AND(I5&lt;&gt;"MLS-Cross",C5&lt;30),"Insuficiente",IF(C5=0,"Insuficiente",(SUMIFS(tblDados[GM_M],tblDados[País],H5,tblDados[Liga],I5,tblDados[Primeira_Ocorrencia],1)+SUMIFS(tblDados[GS_M],tblDados[País],H5,tblDados[Liga],I5,tblDados[Primeira_Ocorrencia],1))/C5)))</f>
        <v>2.524193548387097</v>
      </c>
      <c r="F5" s="31" t="s">
        <v>1376</v>
      </c>
      <c r="H5" s="110" t="str">
        <f t="shared" si="0"/>
        <v>BRA</v>
      </c>
      <c r="I5" s="110" t="str">
        <f t="shared" si="1"/>
        <v>Série A</v>
      </c>
    </row>
    <row r="6" spans="1:9" ht="15" customHeight="1" x14ac:dyDescent="0.3">
      <c r="A6" s="30" t="s">
        <v>1379</v>
      </c>
      <c r="B6" s="79" t="s">
        <v>1370</v>
      </c>
      <c r="C6" s="15">
        <f>IF(A6="","",COUNTIFS(tblDados[País],H6,tblDados[Liga],I6,tblDados[Primeira_Ocorrencia],1))</f>
        <v>139</v>
      </c>
      <c r="D6" s="36">
        <v>2.31</v>
      </c>
      <c r="E6" s="172">
        <f>IF(A6="","",IF(AND(I6&lt;&gt;"MLS-Cross",C6&lt;30),"Insuficiente",IF(C6=0,"Insuficiente",(SUMIFS(tblDados[GM_M],tblDados[País],H6,tblDados[Liga],I6,tblDados[Primeira_Ocorrencia],1)+SUMIFS(tblDados[GS_M],tblDados[País],H6,tblDados[Liga],I6,tblDados[Primeira_Ocorrencia],1))/C6)))</f>
        <v>2.4028776978417268</v>
      </c>
      <c r="F6" s="31" t="s">
        <v>1373</v>
      </c>
      <c r="H6" s="110" t="str">
        <f t="shared" si="0"/>
        <v>BRA</v>
      </c>
      <c r="I6" s="110" t="str">
        <f t="shared" si="1"/>
        <v>Série B</v>
      </c>
    </row>
    <row r="7" spans="1:9" ht="15" customHeight="1" x14ac:dyDescent="0.3">
      <c r="A7" s="30" t="s">
        <v>4703</v>
      </c>
      <c r="B7" s="79" t="s">
        <v>1370</v>
      </c>
      <c r="C7" s="15">
        <f>IF(A7="","",COUNTIFS(tblDados[País],H7,tblDados[Liga],I7,tblDados[Primeira_Ocorrencia],1))</f>
        <v>121</v>
      </c>
      <c r="D7" s="36">
        <v>2.09</v>
      </c>
      <c r="E7" s="172">
        <f>IF(A7="","",IF(AND(I7&lt;&gt;"MLS-Cross",C7&lt;30),"Insuficiente",IF(C7=0,"Insuficiente",(SUMIFS(tblDados[GM_M],tblDados[País],H7,tblDados[Liga],I7,tblDados[Primeira_Ocorrencia],1)+SUMIFS(tblDados[GS_M],tblDados[País],H7,tblDados[Liga],I7,tblDados[Primeira_Ocorrencia],1))/C7)))</f>
        <v>2.2727272727272729</v>
      </c>
      <c r="F7" s="31" t="s">
        <v>1373</v>
      </c>
      <c r="H7" s="110" t="str">
        <f>IF(A7="","",LEFT(A7,3))</f>
        <v>BRA</v>
      </c>
      <c r="I7" s="110" t="str">
        <f>IF(A7="","",_xlfn.TEXTAFTER(A7," - "))</f>
        <v>Série C</v>
      </c>
    </row>
    <row r="8" spans="1:9" ht="15" customHeight="1" x14ac:dyDescent="0.3">
      <c r="A8" s="30" t="s">
        <v>2619</v>
      </c>
      <c r="B8" s="79" t="s">
        <v>1370</v>
      </c>
      <c r="C8" s="15">
        <f>IF(A8="","",COUNTIFS(tblDados[País],H8,tblDados[Liga],I8,tblDados[Primeira_Ocorrencia],1))</f>
        <v>49</v>
      </c>
      <c r="D8" s="36">
        <v>2.5</v>
      </c>
      <c r="E8" s="172">
        <f>IF(A8="","",IF(AND(I8&lt;&gt;"MLS-Cross",C8&lt;30),"Insuficiente",IF(C8=0,"Insuficiente",(SUMIFS(tblDados[GM_M],tblDados[País],H8,tblDados[Liga],I8,tblDados[Primeira_Ocorrencia],1)+SUMIFS(tblDados[GS_M],tblDados[País],H8,tblDados[Liga],I8,tblDados[Primeira_Ocorrencia],1))/C8)))</f>
        <v>3.0612244897959182</v>
      </c>
      <c r="F8" s="31" t="s">
        <v>1376</v>
      </c>
      <c r="H8" s="32" t="str">
        <f t="shared" si="0"/>
        <v>CAN</v>
      </c>
      <c r="I8" s="32" t="str">
        <f t="shared" si="1"/>
        <v>Premier League</v>
      </c>
    </row>
    <row r="9" spans="1:9" ht="15" customHeight="1" x14ac:dyDescent="0.3">
      <c r="A9" s="30" t="s">
        <v>3472</v>
      </c>
      <c r="B9" s="79" t="s">
        <v>1370</v>
      </c>
      <c r="C9" s="15">
        <f>IF(A9="","",COUNTIFS(tblDados[País],H9,tblDados[Liga],I9,tblDados[Primeira_Ocorrencia],1))</f>
        <v>100</v>
      </c>
      <c r="D9" s="36">
        <v>2.5</v>
      </c>
      <c r="E9" s="172">
        <f>IF(A9="","",IF(AND(I9&lt;&gt;"MLS-Cross",C9&lt;30),"Insuficiente",IF(C9=0,"Insuficiente",(SUMIFS(tblDados[GM_M],tblDados[País],H9,tblDados[Liga],I9,tblDados[Primeira_Ocorrencia],1)+SUMIFS(tblDados[GS_M],tblDados[País],H9,tblDados[Liga],I9,tblDados[Primeira_Ocorrencia],1))/C9)))</f>
        <v>3.04</v>
      </c>
      <c r="F9" s="31" t="s">
        <v>1376</v>
      </c>
      <c r="H9" s="110" t="str">
        <f t="shared" si="0"/>
        <v>CHI</v>
      </c>
      <c r="I9" s="110" t="str">
        <f t="shared" si="1"/>
        <v>Liga de Primera</v>
      </c>
    </row>
    <row r="10" spans="1:9" ht="15" customHeight="1" x14ac:dyDescent="0.3">
      <c r="A10" s="30" t="s">
        <v>4101</v>
      </c>
      <c r="B10" s="79" t="s">
        <v>1368</v>
      </c>
      <c r="C10" s="15">
        <f>IF(A10="","",COUNTIFS(tblDados[País],H10,tblDados[Liga],I10,tblDados[Primeira_Ocorrencia],1))</f>
        <v>99</v>
      </c>
      <c r="D10" s="36">
        <v>2.5</v>
      </c>
      <c r="E10" s="172">
        <f>IF(A10="","",IF(AND(I10&lt;&gt;"MLS-Cross",C10&lt;30),"Insuficiente",IF(C10=0,"Insuficiente",(SUMIFS(tblDados[GM_M],tblDados[País],H10,tblDados[Liga],I10,tblDados[Primeira_Ocorrencia],1)+SUMIFS(tblDados[GS_M],tblDados[País],H10,tblDados[Liga],I10,tblDados[Primeira_Ocorrencia],1))/C10)))</f>
        <v>2.3636363636363638</v>
      </c>
      <c r="F10" s="31" t="s">
        <v>1376</v>
      </c>
      <c r="H10" s="32" t="str">
        <f t="shared" si="0"/>
        <v>ECU</v>
      </c>
      <c r="I10" s="32" t="str">
        <f t="shared" si="1"/>
        <v>LigaPro Serie A</v>
      </c>
    </row>
    <row r="11" spans="1:9" ht="15" customHeight="1" x14ac:dyDescent="0.3">
      <c r="A11" s="30" t="s">
        <v>997</v>
      </c>
      <c r="B11" s="79" t="s">
        <v>1369</v>
      </c>
      <c r="C11" s="15">
        <f>IF(A11="","",COUNTIFS(tblDados[País],H11,tblDados[Liga],I11,tblDados[Primeira_Ocorrencia],1))</f>
        <v>73</v>
      </c>
      <c r="D11" s="36">
        <v>2.6</v>
      </c>
      <c r="E11" s="172">
        <f>IF(A11="","",IF(AND(I11&lt;&gt;"MLS-Cross",C11&lt;30),"Insuficiente",IF(C11=0,"Insuficiente",(SUMIFS(tblDados[GM_M],tblDados[País],H11,tblDados[Liga],I11,tblDados[Primeira_Ocorrencia],1)+SUMIFS(tblDados[GS_M],tblDados[País],H11,tblDados[Liga],I11,tblDados[Primeira_Ocorrencia],1))/C11)))</f>
        <v>2.7397260273972601</v>
      </c>
      <c r="F11" s="31" t="s">
        <v>1376</v>
      </c>
      <c r="H11" s="32" t="str">
        <f t="shared" si="0"/>
        <v>FIN</v>
      </c>
      <c r="I11" s="32" t="str">
        <f t="shared" si="1"/>
        <v>Veikkausliiga</v>
      </c>
    </row>
    <row r="12" spans="1:9" ht="15" customHeight="1" x14ac:dyDescent="0.3">
      <c r="A12" s="30" t="s">
        <v>1380</v>
      </c>
      <c r="B12" s="79" t="s">
        <v>1368</v>
      </c>
      <c r="C12" s="15">
        <f>IF(A12="","",COUNTIFS(tblDados[País],H12,tblDados[Liga],I12,tblDados[Primeira_Ocorrencia],1))</f>
        <v>63</v>
      </c>
      <c r="D12" s="36">
        <v>2.5099999999999998</v>
      </c>
      <c r="E12" s="172">
        <f>IF(A12="","",IF(AND(I12&lt;&gt;"MLS-Cross",C12&lt;30),"Insuficiente",IF(C12=0,"Insuficiente",(SUMIFS(tblDados[GM_M],tblDados[País],H12,tblDados[Liga],I12,tblDados[Primeira_Ocorrencia],1)+SUMIFS(tblDados[GS_M],tblDados[País],H12,tblDados[Liga],I12,tblDados[Primeira_Ocorrencia],1))/C12)))</f>
        <v>2.5555555555555554</v>
      </c>
      <c r="F12" s="31" t="s">
        <v>1376</v>
      </c>
      <c r="H12" s="32" t="str">
        <f t="shared" si="0"/>
        <v>FIN</v>
      </c>
      <c r="I12" s="32" t="str">
        <f t="shared" si="1"/>
        <v>Ykkösliiga</v>
      </c>
    </row>
    <row r="13" spans="1:9" ht="15" customHeight="1" x14ac:dyDescent="0.3">
      <c r="A13" s="30" t="s">
        <v>847</v>
      </c>
      <c r="B13" s="79" t="s">
        <v>1368</v>
      </c>
      <c r="C13" s="15">
        <f>IF(A13="","",COUNTIFS(tblDados[País],H13,tblDados[Liga],I13,tblDados[Primeira_Ocorrencia],1))</f>
        <v>79</v>
      </c>
      <c r="D13" s="36">
        <v>3.57</v>
      </c>
      <c r="E13" s="172">
        <f>IF(A13="","",IF(AND(I13&lt;&gt;"MLS-Cross",C13&lt;30),"Insuficiente",IF(C13=0,"Insuficiente",(SUMIFS(tblDados[GM_M],tblDados[País],H13,tblDados[Liga],I13,tblDados[Primeira_Ocorrencia],1)+SUMIFS(tblDados[GS_M],tblDados[País],H13,tblDados[Liga],I13,tblDados[Primeira_Ocorrencia],1))/C13)))</f>
        <v>3.6835443037974684</v>
      </c>
      <c r="F13" s="31" t="s">
        <v>1366</v>
      </c>
      <c r="H13" s="32" t="str">
        <f t="shared" si="0"/>
        <v>FIN</v>
      </c>
      <c r="I13" s="32" t="str">
        <f t="shared" si="1"/>
        <v>Ykkönen</v>
      </c>
    </row>
    <row r="14" spans="1:9" ht="15" customHeight="1" x14ac:dyDescent="0.3">
      <c r="A14" s="30" t="s">
        <v>1381</v>
      </c>
      <c r="B14" s="79" t="s">
        <v>1368</v>
      </c>
      <c r="C14" s="15">
        <f>IF(A14="","",COUNTIFS(tblDados[País],H14,tblDados[Liga],I14,tblDados[Primeira_Ocorrencia],1))</f>
        <v>65</v>
      </c>
      <c r="D14" s="36">
        <v>3.79</v>
      </c>
      <c r="E14" s="172">
        <f>IF(A14="","",IF(AND(I14&lt;&gt;"MLS-Cross",C14&lt;30),"Insuficiente",IF(C14=0,"Insuficiente",(SUMIFS(tblDados[GM_M],tblDados[País],H14,tblDados[Liga],I14,tblDados[Primeira_Ocorrencia],1)+SUMIFS(tblDados[GS_M],tblDados[País],H14,tblDados[Liga],I14,tblDados[Primeira_Ocorrencia],1))/C14)))</f>
        <v>3.8307692307692309</v>
      </c>
      <c r="F14" s="31" t="s">
        <v>1366</v>
      </c>
      <c r="H14" s="32" t="str">
        <f t="shared" si="0"/>
        <v>FIN</v>
      </c>
      <c r="I14" s="32" t="str">
        <f t="shared" si="1"/>
        <v>Kakkonen A</v>
      </c>
    </row>
    <row r="15" spans="1:9" ht="15" customHeight="1" x14ac:dyDescent="0.3">
      <c r="A15" s="30" t="s">
        <v>885</v>
      </c>
      <c r="B15" s="79" t="s">
        <v>1368</v>
      </c>
      <c r="C15" s="15">
        <f>IF(A15="","",COUNTIFS(tblDados[País],H15,tblDados[Liga],I15,tblDados[Primeira_Ocorrencia],1))</f>
        <v>47</v>
      </c>
      <c r="D15" s="36">
        <v>3.56</v>
      </c>
      <c r="E15" s="172">
        <f>IF(A15="","",IF(AND(I15&lt;&gt;"MLS-Cross",C15&lt;30),"Insuficiente",IF(C15=0,"Insuficiente",(SUMIFS(tblDados[GM_M],tblDados[País],H15,tblDados[Liga],I15,tblDados[Primeira_Ocorrencia],1)+SUMIFS(tblDados[GS_M],tblDados[País],H15,tblDados[Liga],I15,tblDados[Primeira_Ocorrencia],1))/C15)))</f>
        <v>3.7234042553191489</v>
      </c>
      <c r="F15" s="31" t="s">
        <v>1366</v>
      </c>
      <c r="H15" s="32" t="str">
        <f t="shared" si="0"/>
        <v>FIN</v>
      </c>
      <c r="I15" s="32" t="str">
        <f t="shared" si="1"/>
        <v>Kakkonen B</v>
      </c>
    </row>
    <row r="16" spans="1:9" ht="15" customHeight="1" x14ac:dyDescent="0.3">
      <c r="A16" s="30" t="s">
        <v>848</v>
      </c>
      <c r="B16" s="79" t="s">
        <v>1368</v>
      </c>
      <c r="C16" s="15">
        <f>IF(A16="","",COUNTIFS(tblDados[País],H16,tblDados[Liga],I16,tblDados[Primeira_Ocorrencia],1))</f>
        <v>66</v>
      </c>
      <c r="D16" s="36">
        <v>4.32</v>
      </c>
      <c r="E16" s="172">
        <f>IF(A16="","",IF(AND(I16&lt;&gt;"MLS-Cross",C16&lt;30),"Insuficiente",IF(C16=0,"Insuficiente",(SUMIFS(tblDados[GM_M],tblDados[País],H16,tblDados[Liga],I16,tblDados[Primeira_Ocorrencia],1)+SUMIFS(tblDados[GS_M],tblDados[País],H16,tblDados[Liga],I16,tblDados[Primeira_Ocorrencia],1))/C16)))</f>
        <v>4.4242424242424239</v>
      </c>
      <c r="F16" s="31" t="s">
        <v>1366</v>
      </c>
      <c r="H16" s="32" t="str">
        <f t="shared" si="0"/>
        <v>FIN</v>
      </c>
      <c r="I16" s="32" t="str">
        <f t="shared" si="1"/>
        <v>Kakkonen C</v>
      </c>
    </row>
    <row r="17" spans="1:9" ht="15" customHeight="1" x14ac:dyDescent="0.3">
      <c r="A17" s="30" t="s">
        <v>4336</v>
      </c>
      <c r="B17" s="79" t="s">
        <v>1368</v>
      </c>
      <c r="C17" s="15">
        <f>IF(A17="","",COUNTIFS(tblDados[País],H17,tblDados[Liga],I17,tblDados[Primeira_Ocorrencia],1))</f>
        <v>73</v>
      </c>
      <c r="D17" s="36">
        <v>2.5</v>
      </c>
      <c r="E17" s="172">
        <f>IF(A17="","",IF(AND(I17&lt;&gt;"MLS-Cross",C17&lt;30),"Insuficiente",IF(C17=0,"Insuficiente",(SUMIFS(tblDados[GM_M],tblDados[País],H17,tblDados[Liga],I17,tblDados[Primeira_Ocorrencia],1)+SUMIFS(tblDados[GS_M],tblDados[País],H17,tblDados[Liga],I17,tblDados[Primeira_Ocorrencia],1))/C17)))</f>
        <v>3.7945205479452055</v>
      </c>
      <c r="F17" s="31" t="s">
        <v>1376</v>
      </c>
      <c r="H17" s="32" t="str">
        <f t="shared" si="0"/>
        <v>ISL</v>
      </c>
      <c r="I17" s="32" t="str">
        <f t="shared" si="1"/>
        <v>Besta-deild karla (PL)</v>
      </c>
    </row>
    <row r="18" spans="1:9" ht="15" customHeight="1" x14ac:dyDescent="0.3">
      <c r="A18" s="30" t="s">
        <v>4337</v>
      </c>
      <c r="B18" s="79" t="s">
        <v>1369</v>
      </c>
      <c r="C18" s="15">
        <f>IF(A18="","",COUNTIFS(tblDados[País],H18,tblDados[Liga],I18,tblDados[Primeira_Ocorrencia],1))</f>
        <v>80</v>
      </c>
      <c r="D18" s="36">
        <v>3.55</v>
      </c>
      <c r="E18" s="172">
        <f>IF(A18="","",IF(AND(I18&lt;&gt;"MLS-Cross",C18&lt;30),"Insuficiente",IF(C18=0,"Insuficiente",(SUMIFS(tblDados[GM_M],tblDados[País],H18,tblDados[Liga],I18,tblDados[Primeira_Ocorrencia],1)+SUMIFS(tblDados[GS_M],tblDados[País],H18,tblDados[Liga],I18,tblDados[Primeira_Ocorrencia],1))/C18)))</f>
        <v>3.8250000000000002</v>
      </c>
      <c r="F18" s="31" t="s">
        <v>1366</v>
      </c>
      <c r="H18" s="32" t="str">
        <f t="shared" si="0"/>
        <v>ISL</v>
      </c>
      <c r="I18" s="32" t="str">
        <f t="shared" si="1"/>
        <v>Lengjudeildin (1ªD)</v>
      </c>
    </row>
    <row r="19" spans="1:9" ht="15" customHeight="1" x14ac:dyDescent="0.3">
      <c r="A19" s="30" t="s">
        <v>1382</v>
      </c>
      <c r="B19" s="79" t="s">
        <v>1371</v>
      </c>
      <c r="C19" s="15">
        <f>IF(A19="","",COUNTIFS(tblDados[País],H19,tblDados[Liga],I19,tblDados[Primeira_Ocorrencia],1))</f>
        <v>2</v>
      </c>
      <c r="D19" s="36">
        <v>3.91</v>
      </c>
      <c r="E19" s="172" t="str">
        <f>IF(A19="","",IF(AND(I19&lt;&gt;"MLS-Cross",C19&lt;30),"Insuficiente",IF(C19=0,"Insuficiente",(SUMIFS(tblDados[GM_M],tblDados[País],H19,tblDados[Liga],I19,tblDados[Primeira_Ocorrencia],1)+SUMIFS(tblDados[GS_M],tblDados[País],H19,tblDados[Liga],I19,tblDados[Primeira_Ocorrencia],1))/C19)))</f>
        <v>Insuficiente</v>
      </c>
      <c r="F19" s="31" t="s">
        <v>1366</v>
      </c>
      <c r="H19" s="32" t="str">
        <f t="shared" si="0"/>
        <v>MEX</v>
      </c>
      <c r="I19" s="32" t="str">
        <f t="shared" si="1"/>
        <v>Liga MX</v>
      </c>
    </row>
    <row r="20" spans="1:9" ht="15" customHeight="1" x14ac:dyDescent="0.3">
      <c r="A20" s="30" t="s">
        <v>1383</v>
      </c>
      <c r="B20" s="79" t="s">
        <v>1368</v>
      </c>
      <c r="C20" s="15">
        <f>IF(A20="","",COUNTIFS(tblDados[País],H20,tblDados[Liga],I20,tblDados[Primeira_Ocorrencia],1))</f>
        <v>99</v>
      </c>
      <c r="D20" s="36">
        <v>2.5</v>
      </c>
      <c r="E20" s="172">
        <f>IF(A20="","",IF(AND(I20&lt;&gt;"MLS-Cross",C20&lt;30),"Insuficiente",IF(C20=0,"Insuficiente",(SUMIFS(tblDados[GM_M],tblDados[País],H20,tblDados[Liga],I20,tblDados[Primeira_Ocorrencia],1)+SUMIFS(tblDados[GS_M],tblDados[País],H20,tblDados[Liga],I20,tblDados[Primeira_Ocorrencia],1))/C20)))</f>
        <v>3.0101010101010099</v>
      </c>
      <c r="F20" s="31" t="s">
        <v>1376</v>
      </c>
      <c r="H20" s="32" t="str">
        <f t="shared" si="0"/>
        <v>NOR</v>
      </c>
      <c r="I20" s="32" t="str">
        <f t="shared" si="1"/>
        <v>Eliteserien</v>
      </c>
    </row>
    <row r="21" spans="1:9" ht="15" customHeight="1" x14ac:dyDescent="0.3">
      <c r="A21" s="30" t="s">
        <v>990</v>
      </c>
      <c r="B21" s="79" t="s">
        <v>1369</v>
      </c>
      <c r="C21" s="15">
        <f>IF(A21="","",COUNTIFS(tblDados[País],H21,tblDados[Liga],I21,tblDados[Primeira_Ocorrencia],1))</f>
        <v>96</v>
      </c>
      <c r="D21" s="36">
        <v>2.5</v>
      </c>
      <c r="E21" s="172">
        <f>IF(A21="","",IF(AND(I21&lt;&gt;"MLS-Cross",C21&lt;30),"Insuficiente",IF(C21=0,"Insuficiente",(SUMIFS(tblDados[GM_M],tblDados[País],H21,tblDados[Liga],I21,tblDados[Primeira_Ocorrencia],1)+SUMIFS(tblDados[GS_M],tblDados[País],H21,tblDados[Liga],I21,tblDados[Primeira_Ocorrencia],1))/C21)))</f>
        <v>4</v>
      </c>
      <c r="F21" s="31" t="s">
        <v>1376</v>
      </c>
      <c r="H21" s="32" t="str">
        <f t="shared" si="0"/>
        <v>NOR</v>
      </c>
      <c r="I21" s="32" t="str">
        <f t="shared" si="1"/>
        <v>OBOS-ligaen</v>
      </c>
    </row>
    <row r="22" spans="1:9" ht="15" customHeight="1" x14ac:dyDescent="0.3">
      <c r="A22" s="30" t="s">
        <v>1003</v>
      </c>
      <c r="B22" s="79" t="s">
        <v>1368</v>
      </c>
      <c r="C22" s="15">
        <f>IF(A22="","",COUNTIFS(tblDados[País],H22,tblDados[Liga],I22,tblDados[Primeira_Ocorrencia],1))</f>
        <v>98</v>
      </c>
      <c r="D22" s="36">
        <v>2.5</v>
      </c>
      <c r="E22" s="172">
        <f>IF(A22="","",IF(AND(I22&lt;&gt;"MLS-Cross",C22&lt;30),"Insuficiente",IF(C22=0,"Insuficiente",(SUMIFS(tblDados[GM_M],tblDados[País],H22,tblDados[Liga],I22,tblDados[Primeira_Ocorrencia],1)+SUMIFS(tblDados[GS_M],tblDados[País],H22,tblDados[Liga],I22,tblDados[Primeira_Ocorrencia],1))/C22)))</f>
        <v>3.0714285714285716</v>
      </c>
      <c r="F22" s="31" t="s">
        <v>1376</v>
      </c>
      <c r="H22" s="32" t="str">
        <f t="shared" si="0"/>
        <v>SWE</v>
      </c>
      <c r="I22" s="32" t="str">
        <f t="shared" si="1"/>
        <v>Allsvenskan</v>
      </c>
    </row>
    <row r="23" spans="1:9" ht="15" customHeight="1" x14ac:dyDescent="0.3">
      <c r="A23" s="30" t="s">
        <v>957</v>
      </c>
      <c r="B23" s="79" t="s">
        <v>1369</v>
      </c>
      <c r="C23" s="15">
        <f>IF(A23="","",COUNTIFS(tblDados[País],H23,tblDados[Liga],I23,tblDados[Primeira_Ocorrencia],1))</f>
        <v>98</v>
      </c>
      <c r="D23" s="36">
        <v>2.5</v>
      </c>
      <c r="E23" s="172">
        <f>IF(A23="","",IF(AND(I23&lt;&gt;"MLS-Cross",C23&lt;30),"Insuficiente",IF(C23=0,"Insuficiente",(SUMIFS(tblDados[GM_M],tblDados[País],H23,tblDados[Liga],I23,tblDados[Primeira_Ocorrencia],1)+SUMIFS(tblDados[GS_M],tblDados[País],H23,tblDados[Liga],I23,tblDados[Primeira_Ocorrencia],1))/C23)))</f>
        <v>2.9285714285714284</v>
      </c>
      <c r="F23" s="31" t="s">
        <v>1376</v>
      </c>
      <c r="H23" s="32" t="str">
        <f t="shared" si="0"/>
        <v>SWE</v>
      </c>
      <c r="I23" s="32" t="str">
        <f t="shared" si="1"/>
        <v>Superettan</v>
      </c>
    </row>
    <row r="24" spans="1:9" ht="15" customHeight="1" x14ac:dyDescent="0.3">
      <c r="A24" s="30" t="s">
        <v>969</v>
      </c>
      <c r="B24" s="79" t="s">
        <v>1370</v>
      </c>
      <c r="C24" s="15">
        <f>IF(A24="","",COUNTIFS(tblDados[País],H24,tblDados[Liga],I24,tblDados[Primeira_Ocorrencia],1))</f>
        <v>97</v>
      </c>
      <c r="D24" s="36">
        <v>2.5</v>
      </c>
      <c r="E24" s="172">
        <f>IF(A24="","",IF(AND(I24&lt;&gt;"MLS-Cross",C24&lt;30),"Insuficiente",IF(C24=0,"Insuficiente",(SUMIFS(tblDados[GM_M],tblDados[País],H24,tblDados[Liga],I24,tblDados[Primeira_Ocorrencia],1)+SUMIFS(tblDados[GS_M],tblDados[País],H24,tblDados[Liga],I24,tblDados[Primeira_Ocorrencia],1))/C24)))</f>
        <v>3.0927835051546393</v>
      </c>
      <c r="F24" s="31" t="s">
        <v>1376</v>
      </c>
      <c r="H24" s="32" t="str">
        <f t="shared" si="0"/>
        <v>SWE</v>
      </c>
      <c r="I24" s="32" t="str">
        <f t="shared" si="1"/>
        <v>1ª D Norra</v>
      </c>
    </row>
    <row r="25" spans="1:9" ht="15" customHeight="1" x14ac:dyDescent="0.3">
      <c r="A25" s="30" t="s">
        <v>1384</v>
      </c>
      <c r="B25" s="79" t="s">
        <v>1370</v>
      </c>
      <c r="C25" s="15">
        <f>IF(A25="","",COUNTIFS(tblDados[País],H25,tblDados[Liga],I25,tblDados[Primeira_Ocorrencia],1))</f>
        <v>96</v>
      </c>
      <c r="D25" s="36">
        <v>2.5</v>
      </c>
      <c r="E25" s="172">
        <f>IF(A25="","",IF(AND(I25&lt;&gt;"MLS-Cross",C25&lt;30),"Insuficiente",IF(C25=0,"Insuficiente",(SUMIFS(tblDados[GM_M],tblDados[País],H25,tblDados[Liga],I25,tblDados[Primeira_Ocorrencia],1)+SUMIFS(tblDados[GS_M],tblDados[País],H25,tblDados[Liga],I25,tblDados[Primeira_Ocorrencia],1))/C25)))</f>
        <v>3.125</v>
      </c>
      <c r="F25" s="31" t="s">
        <v>1376</v>
      </c>
      <c r="H25" s="32" t="str">
        <f t="shared" si="0"/>
        <v>SWE</v>
      </c>
      <c r="I25" s="32" t="str">
        <f t="shared" si="1"/>
        <v>1ª D Södra</v>
      </c>
    </row>
    <row r="26" spans="1:9" ht="15" customHeight="1" x14ac:dyDescent="0.3">
      <c r="A26" s="30" t="s">
        <v>1385</v>
      </c>
      <c r="B26" s="79" t="s">
        <v>1371</v>
      </c>
      <c r="C26" s="15">
        <f>IF(A26="","",COUNTIFS(tblDados[País],H26,tblDados[Liga],I26,tblDados[Primeira_Ocorrencia],1))</f>
        <v>85</v>
      </c>
      <c r="D26" s="36">
        <v>2.5</v>
      </c>
      <c r="E26" s="172">
        <f>IF(A26="","",IF(AND(I26&lt;&gt;"MLS-Cross",C26&lt;30),"Insuficiente",IF(C26=0,"Insuficiente",(SUMIFS(tblDados[GM_M],tblDados[País],H26,tblDados[Liga],I26,tblDados[Primeira_Ocorrencia],1)+SUMIFS(tblDados[GS_M],tblDados[País],H26,tblDados[Liga],I26,tblDados[Primeira_Ocorrencia],1))/C26)))</f>
        <v>3.2705882352941176</v>
      </c>
      <c r="F26" s="31" t="s">
        <v>1376</v>
      </c>
      <c r="H26" s="32" t="str">
        <f t="shared" si="0"/>
        <v>SWE</v>
      </c>
      <c r="I26" s="32" t="str">
        <f t="shared" si="1"/>
        <v>2ª D Södra Götaland</v>
      </c>
    </row>
    <row r="27" spans="1:9" ht="15" customHeight="1" x14ac:dyDescent="0.3">
      <c r="A27" s="30" t="s">
        <v>6185</v>
      </c>
      <c r="B27" s="79" t="s">
        <v>1371</v>
      </c>
      <c r="C27" s="15">
        <f>IF(A27="","",COUNTIFS(tblDados[País],H27,tblDados[Liga],I27,tblDados[Primeira_Ocorrencia],1))</f>
        <v>84</v>
      </c>
      <c r="D27" s="36">
        <v>2.5</v>
      </c>
      <c r="E27" s="172">
        <f>IF(A27="","",IF(AND(I27&lt;&gt;"MLS-Cross",C27&lt;30),"Insuficiente",IF(C27=0,"Insuficiente",(SUMIFS(tblDados[GM_M],tblDados[País],H27,tblDados[Liga],I27,tblDados[Primeira_Ocorrencia],1)+SUMIFS(tblDados[GS_M],tblDados[País],H27,tblDados[Liga],I27,tblDados[Primeira_Ocorrencia],1))/C27)))</f>
        <v>3.1071428571428572</v>
      </c>
      <c r="F27" s="31" t="s">
        <v>1376</v>
      </c>
      <c r="H27" s="32" t="str">
        <f t="shared" ref="H27" si="2">IF(A27="","",LEFT(A27,3))</f>
        <v>SWE</v>
      </c>
      <c r="I27" s="32" t="str">
        <f t="shared" ref="I27" si="3">IF(A27="","",_xlfn.TEXTAFTER(A27," - "))</f>
        <v>2ª D Norra Götaland</v>
      </c>
    </row>
    <row r="28" spans="1:9" ht="15" customHeight="1" x14ac:dyDescent="0.3">
      <c r="A28" s="30" t="s">
        <v>963</v>
      </c>
      <c r="B28" s="79" t="s">
        <v>1371</v>
      </c>
      <c r="C28" s="15">
        <f>IF(A28="","",COUNTIFS(tblDados[País],H28,tblDados[Liga],I28,tblDados[Primeira_Ocorrencia],1))</f>
        <v>84</v>
      </c>
      <c r="D28" s="36">
        <v>2.5</v>
      </c>
      <c r="E28" s="172">
        <f>IF(A28="","",IF(AND(I28&lt;&gt;"MLS-Cross",C28&lt;30),"Insuficiente",IF(C28=0,"Insuficiente",(SUMIFS(tblDados[GM_M],tblDados[País],H28,tblDados[Liga],I28,tblDados[Primeira_Ocorrencia],1)+SUMIFS(tblDados[GS_M],tblDados[País],H28,tblDados[Liga],I28,tblDados[Primeira_Ocorrencia],1))/C28)))</f>
        <v>3.2142857142857144</v>
      </c>
      <c r="F28" s="31" t="s">
        <v>1376</v>
      </c>
      <c r="H28" s="32" t="str">
        <f t="shared" si="0"/>
        <v>SWE</v>
      </c>
      <c r="I28" s="32" t="str">
        <f t="shared" si="1"/>
        <v>2ª D Västra Götaland</v>
      </c>
    </row>
    <row r="29" spans="1:9" ht="15" customHeight="1" x14ac:dyDescent="0.3">
      <c r="A29" s="30" t="s">
        <v>1386</v>
      </c>
      <c r="B29" s="79" t="s">
        <v>1369</v>
      </c>
      <c r="C29" s="15">
        <f>IF(A29="","",COUNTIFS(tblDados[País],H29,tblDados[Liga],I29,tblDados[Primeira_Ocorrencia],1))</f>
        <v>1</v>
      </c>
      <c r="D29" s="36">
        <v>2.5</v>
      </c>
      <c r="E29" s="172" t="str">
        <f>IF(A29="","",IF(AND(I29&lt;&gt;"MLS-Cross",C29&lt;30),"Insuficiente",IF(C29=0,"Insuficiente",(SUMIFS(tblDados[GM_M],tblDados[País],H29,tblDados[Liga],I29,tblDados[Primeira_Ocorrencia],1)+SUMIFS(tblDados[GS_M],tblDados[País],H29,tblDados[Liga],I29,tblDados[Primeira_Ocorrencia],1))/C29)))</f>
        <v>Insuficiente</v>
      </c>
      <c r="F29" s="31" t="s">
        <v>1376</v>
      </c>
      <c r="H29" s="32" t="str">
        <f t="shared" si="0"/>
        <v>URU</v>
      </c>
      <c r="I29" s="32" t="str">
        <f t="shared" si="1"/>
        <v>Liga AUF</v>
      </c>
    </row>
    <row r="30" spans="1:9" ht="15" customHeight="1" x14ac:dyDescent="0.3">
      <c r="A30" s="30" t="s">
        <v>3708</v>
      </c>
      <c r="B30" s="79" t="s">
        <v>1370</v>
      </c>
      <c r="C30" s="15">
        <f>IF(A30="","",COUNTIFS(tblDados[País],H30,tblDados[Liga],I30,tblDados[Primeira_Ocorrencia],1))</f>
        <v>79</v>
      </c>
      <c r="D30" s="36">
        <v>3.3</v>
      </c>
      <c r="E30" s="172">
        <f>IF(A30="","",IF(AND(I30&lt;&gt;"MLS-Cross",C30&lt;30),"Insuficiente",IF(C30=0,"Insuficiente",(SUMIFS(tblDados[GM_M],tblDados[País],H30,tblDados[Liga],I30,tblDados[Primeira_Ocorrencia],1)+SUMIFS(tblDados[GS_M],tblDados[País],H30,tblDados[Liga],I30,tblDados[Primeira_Ocorrencia],1))/C30)))</f>
        <v>3.4303797468354431</v>
      </c>
      <c r="F30" s="31" t="s">
        <v>1376</v>
      </c>
      <c r="H30" s="32" t="str">
        <f>IF(A30="","",LEFT(A30,3))</f>
        <v>USA</v>
      </c>
      <c r="I30" s="32" t="str">
        <f>IF(A30="","",_xlfn.TEXTAFTER(A30," - "))</f>
        <v>MLS-East</v>
      </c>
    </row>
    <row r="31" spans="1:9" ht="15" customHeight="1" x14ac:dyDescent="0.3">
      <c r="A31" s="30" t="s">
        <v>3709</v>
      </c>
      <c r="B31" s="79" t="s">
        <v>1370</v>
      </c>
      <c r="C31" s="15">
        <f>IF(A31="","",COUNTIFS(tblDados[País],H31,tblDados[Liga],I31,tblDados[Primeira_Ocorrencia],1))</f>
        <v>80</v>
      </c>
      <c r="D31" s="36">
        <v>3.3</v>
      </c>
      <c r="E31" s="172">
        <f>IF(A31="","",IF(AND(I31&lt;&gt;"MLS-Cross",C31&lt;30),"Insuficiente",IF(C31=0,"Insuficiente",(SUMIFS(tblDados[GM_M],tblDados[País],H31,tblDados[Liga],I31,tblDados[Primeira_Ocorrencia],1)+SUMIFS(tblDados[GS_M],tblDados[País],H31,tblDados[Liga],I31,tblDados[Primeira_Ocorrencia],1))/C31)))</f>
        <v>3.0249999999999999</v>
      </c>
      <c r="F31" s="31" t="s">
        <v>1376</v>
      </c>
      <c r="H31" s="32" t="str">
        <f>IF(A31="","",LEFT(A31,3))</f>
        <v>USA</v>
      </c>
      <c r="I31" s="32" t="str">
        <f>IF(A31="","",_xlfn.TEXTAFTER(A31," - "))</f>
        <v>MLS-West</v>
      </c>
    </row>
    <row r="32" spans="1:9" ht="15" customHeight="1" x14ac:dyDescent="0.3">
      <c r="A32" s="30" t="s">
        <v>3710</v>
      </c>
      <c r="B32" s="79" t="s">
        <v>1370</v>
      </c>
      <c r="C32" s="15">
        <f>IF(A32="","",COUNTIFS(tblDados[País],H32,tblDados[Liga],I32,tblDados[Primeira_Ocorrencia],1))</f>
        <v>25</v>
      </c>
      <c r="D32" s="36">
        <v>3.3</v>
      </c>
      <c r="E32" s="172">
        <f>IF(A32="","",IF(AND(I32&lt;&gt;"MLS-Cross",C32&lt;30),"Insuficiente",IF(C32=0,"Insuficiente",(SUMIFS(tblDados[GM_M],tblDados[País],H32,tblDados[Liga],I32,tblDados[Primeira_Ocorrencia],1)+SUMIFS(tblDados[GS_M],tblDados[País],H32,tblDados[Liga],I32,tblDados[Primeira_Ocorrencia],1))/C32)))</f>
        <v>3.48</v>
      </c>
      <c r="F32" s="31" t="s">
        <v>1376</v>
      </c>
      <c r="H32" s="32" t="str">
        <f>IF(A32="","",LEFT(A32,3))</f>
        <v>USA</v>
      </c>
      <c r="I32" s="32" t="str">
        <f>IF(A32="","",_xlfn.TEXTAFTER(A32," - "))</f>
        <v>MLS-Cross</v>
      </c>
    </row>
    <row r="33" spans="1:9" ht="15" customHeight="1" x14ac:dyDescent="0.3">
      <c r="A33" s="30" t="s">
        <v>850</v>
      </c>
      <c r="B33" s="79" t="s">
        <v>1368</v>
      </c>
      <c r="C33" s="15">
        <f>IF(A33="","",COUNTIFS(tblDados[País],H33,tblDados[Liga],I33,tblDados[Primeira_Ocorrencia],1))</f>
        <v>100</v>
      </c>
      <c r="D33" s="36">
        <v>2.5</v>
      </c>
      <c r="E33" s="172">
        <f>IF(A33="","",IF(AND(I33&lt;&gt;"MLS-Cross",C33&lt;30),"Insuficiente",IF(C33=0,"Insuficiente",(SUMIFS(tblDados[GM_M],tblDados[País],H33,tblDados[Liga],I33,tblDados[Primeira_Ocorrencia],1)+SUMIFS(tblDados[GS_M],tblDados[País],H33,tblDados[Liga],I33,tblDados[Primeira_Ocorrencia],1))/C33)))</f>
        <v>3.11</v>
      </c>
      <c r="F33" s="31" t="s">
        <v>1376</v>
      </c>
      <c r="H33" s="32" t="str">
        <f t="shared" si="0"/>
        <v>CHN</v>
      </c>
      <c r="I33" s="32" t="str">
        <f t="shared" si="1"/>
        <v>Super League</v>
      </c>
    </row>
    <row r="34" spans="1:9" ht="15" customHeight="1" x14ac:dyDescent="0.3">
      <c r="A34" s="30" t="s">
        <v>7975</v>
      </c>
      <c r="B34" s="79" t="s">
        <v>1369</v>
      </c>
      <c r="C34" s="15">
        <f>IF(A34="","",COUNTIFS(tblDados[País],H34,tblDados[Liga],I34,tblDados[Primeira_Ocorrencia],1))</f>
        <v>99</v>
      </c>
      <c r="D34" s="36">
        <v>2.5</v>
      </c>
      <c r="E34" s="172">
        <f>IF(A34="","",IF(AND(I34&lt;&gt;"MLS-Cross",C34&lt;30),"Insuficiente",IF(C34=0,"Insuficiente",(SUMIFS(tblDados[GM_M],tblDados[País],H34,tblDados[Liga],I34,tblDados[Primeira_Ocorrencia],1)+SUMIFS(tblDados[GS_M],tblDados[País],H34,tblDados[Liga],I34,tblDados[Primeira_Ocorrencia],1))/C34)))</f>
        <v>2.8484848484848486</v>
      </c>
      <c r="F34" s="31" t="s">
        <v>1376</v>
      </c>
      <c r="H34" s="32" t="str">
        <f>IF(A34="","",LEFT(A34,3))</f>
        <v>CHN</v>
      </c>
      <c r="I34" s="32" t="str">
        <f>IF(A34="","",_xlfn.TEXTAFTER(A34," - "))</f>
        <v>League One</v>
      </c>
    </row>
    <row r="35" spans="1:9" ht="15" customHeight="1" x14ac:dyDescent="0.3">
      <c r="A35" s="30" t="s">
        <v>2275</v>
      </c>
      <c r="B35" s="79" t="s">
        <v>1368</v>
      </c>
      <c r="C35" s="15">
        <f>IF(A35="","",COUNTIFS(tblDados[País],H35,tblDados[Liga],I35,tblDados[Primeira_Ocorrencia],1))</f>
        <v>97</v>
      </c>
      <c r="D35" s="36">
        <v>3.61</v>
      </c>
      <c r="E35" s="172">
        <f>IF(A35="","",IF(AND(I35&lt;&gt;"MLS-Cross",C35&lt;30),"Insuficiente",IF(C35=0,"Insuficiente",(SUMIFS(tblDados[GM_M],tblDados[País],H35,tblDados[Liga],I35,tblDados[Primeira_Ocorrencia],1)+SUMIFS(tblDados[GS_M],tblDados[País],H35,tblDados[Liga],I35,tblDados[Primeira_Ocorrencia],1))/C35)))</f>
        <v>2.7216494845360826</v>
      </c>
      <c r="F35" s="31" t="s">
        <v>1366</v>
      </c>
      <c r="H35" s="32" t="str">
        <f t="shared" si="0"/>
        <v>AUS</v>
      </c>
      <c r="I35" s="32" t="str">
        <f t="shared" si="1"/>
        <v>NPL New South Wales</v>
      </c>
    </row>
    <row r="36" spans="1:9" ht="15" customHeight="1" x14ac:dyDescent="0.3">
      <c r="A36" s="107" t="s">
        <v>854</v>
      </c>
      <c r="B36" s="79" t="s">
        <v>1368</v>
      </c>
      <c r="C36" s="15">
        <f>IF(A36="","",COUNTIFS(tblDados[País],H36,tblDados[Liga],I36,tblDados[Primeira_Ocorrencia],1))</f>
        <v>99</v>
      </c>
      <c r="D36" s="108">
        <v>3.76</v>
      </c>
      <c r="E36" s="173">
        <f>IF(A36="","",IF(AND(I36&lt;&gt;"MLS-Cross",C36&lt;30),"Insuficiente",IF(C36=0,"Insuficiente",(SUMIFS(tblDados[GM_M],tblDados[País],H36,tblDados[Liga],I36,tblDados[Primeira_Ocorrencia],1)+SUMIFS(tblDados[GS_M],tblDados[País],H36,tblDados[Liga],I36,tblDados[Primeira_Ocorrencia],1))/C36)))</f>
        <v>3.8181818181818183</v>
      </c>
      <c r="F36" s="109" t="s">
        <v>1366</v>
      </c>
      <c r="H36" s="32" t="str">
        <f t="shared" si="0"/>
        <v>AUS</v>
      </c>
      <c r="I36" s="32" t="str">
        <f t="shared" si="1"/>
        <v>NPL Queensland</v>
      </c>
    </row>
    <row r="37" spans="1:9" ht="15" customHeight="1" x14ac:dyDescent="0.3">
      <c r="A37" s="107" t="s">
        <v>976</v>
      </c>
      <c r="B37" s="79" t="s">
        <v>1368</v>
      </c>
      <c r="C37" s="15">
        <f>IF(A37="","",COUNTIFS(tblDados[País],H37,tblDados[Liga],I37,tblDados[Primeira_Ocorrencia],1))</f>
        <v>22</v>
      </c>
      <c r="D37" s="108">
        <v>3.49</v>
      </c>
      <c r="E37" s="173" t="str">
        <f>IF(A37="","",IF(AND(I37&lt;&gt;"MLS-Cross",C37&lt;30),"Insuficiente",IF(C37=0,"Insuficiente",(SUMIFS(tblDados[GM_M],tblDados[País],H37,tblDados[Liga],I37,tblDados[Primeira_Ocorrencia],1)+SUMIFS(tblDados[GS_M],tblDados[País],H37,tblDados[Liga],I37,tblDados[Primeira_Ocorrencia],1))/C37)))</f>
        <v>Insuficiente</v>
      </c>
      <c r="F37" s="109" t="s">
        <v>1366</v>
      </c>
      <c r="H37" s="32" t="str">
        <f t="shared" si="0"/>
        <v>AUS</v>
      </c>
      <c r="I37" s="32" t="str">
        <f t="shared" si="1"/>
        <v>NPL South Australia</v>
      </c>
    </row>
    <row r="38" spans="1:9" ht="15" customHeight="1" x14ac:dyDescent="0.3">
      <c r="A38" s="30" t="s">
        <v>1375</v>
      </c>
      <c r="B38" s="79" t="s">
        <v>1368</v>
      </c>
      <c r="C38" s="15">
        <f>IF(A38="","",COUNTIFS(tblDados[País],H38,tblDados[Liga],I38,tblDados[Primeira_Ocorrencia],1))</f>
        <v>86</v>
      </c>
      <c r="D38" s="36">
        <v>2.89</v>
      </c>
      <c r="E38" s="172">
        <f>IF(A38="","",IF(AND(I38&lt;&gt;"MLS-Cross",C38&lt;30),"Insuficiente",IF(C38=0,"Insuficiente",(SUMIFS(tblDados[GM_M],tblDados[País],H38,tblDados[Liga],I38,tblDados[Primeira_Ocorrencia],1)+SUMIFS(tblDados[GS_M],tblDados[País],H38,tblDados[Liga],I38,tblDados[Primeira_Ocorrencia],1))/C38)))</f>
        <v>2.86046511627907</v>
      </c>
      <c r="F38" s="31" t="s">
        <v>1376</v>
      </c>
      <c r="H38" s="32" t="str">
        <f t="shared" si="0"/>
        <v>AUS</v>
      </c>
      <c r="I38" s="32" t="str">
        <f t="shared" si="1"/>
        <v>NPL Victoria</v>
      </c>
    </row>
    <row r="39" spans="1:9" ht="15" customHeight="1" x14ac:dyDescent="0.3">
      <c r="A39" s="107" t="s">
        <v>1450</v>
      </c>
      <c r="B39" s="79" t="s">
        <v>1368</v>
      </c>
      <c r="C39" s="15">
        <f>IF(A39="","",COUNTIFS(tblDados[País],H39,tblDados[Liga],I39,tblDados[Primeira_Ocorrencia],1))</f>
        <v>17</v>
      </c>
      <c r="D39" s="108">
        <v>3.56</v>
      </c>
      <c r="E39" s="173" t="str">
        <f>IF(A39="","",IF(AND(I39&lt;&gt;"MLS-Cross",C39&lt;30),"Insuficiente",IF(C39=0,"Insuficiente",(SUMIFS(tblDados[GM_M],tblDados[País],H39,tblDados[Liga],I39,tblDados[Primeira_Ocorrencia],1)+SUMIFS(tblDados[GS_M],tblDados[País],H39,tblDados[Liga],I39,tblDados[Primeira_Ocorrencia],1))/C39)))</f>
        <v>Insuficiente</v>
      </c>
      <c r="F39" s="109" t="s">
        <v>1366</v>
      </c>
      <c r="H39" s="33" t="str">
        <f t="shared" si="0"/>
        <v>AUS</v>
      </c>
      <c r="I39" s="33" t="str">
        <f t="shared" si="1"/>
        <v>NPL Western Australia</v>
      </c>
    </row>
    <row r="40" spans="1:9" ht="15" customHeight="1" x14ac:dyDescent="0.3">
      <c r="A40" s="107"/>
      <c r="B40" s="79"/>
      <c r="C40" s="15"/>
      <c r="D40" s="108"/>
      <c r="E40" s="173"/>
      <c r="F40" s="109"/>
      <c r="H40" s="33"/>
      <c r="I40" s="33"/>
    </row>
    <row r="41" spans="1:9" ht="15" customHeight="1" x14ac:dyDescent="0.3">
      <c r="A41" s="35"/>
      <c r="B41" s="79"/>
      <c r="D41" s="34"/>
      <c r="E41" s="34"/>
      <c r="F41" s="33"/>
      <c r="H41" s="33"/>
      <c r="I41" s="33"/>
    </row>
    <row r="42" spans="1:9" ht="15" customHeight="1" x14ac:dyDescent="0.3">
      <c r="A42" s="35"/>
      <c r="B42" s="79"/>
      <c r="D42" s="34"/>
      <c r="E42" s="34"/>
      <c r="F42" s="33"/>
      <c r="H42" s="33"/>
      <c r="I42" s="33"/>
    </row>
    <row r="43" spans="1:9" ht="15" customHeight="1" x14ac:dyDescent="0.3">
      <c r="A43" s="35"/>
      <c r="B43" s="79"/>
      <c r="D43" s="34"/>
      <c r="E43" s="34"/>
      <c r="F43" s="33"/>
      <c r="H43" s="33"/>
      <c r="I43" s="33"/>
    </row>
    <row r="44" spans="1:9" ht="15" customHeight="1" x14ac:dyDescent="0.3">
      <c r="A44" s="33"/>
      <c r="B44" s="79"/>
      <c r="D44" s="34"/>
      <c r="E44" s="34"/>
      <c r="F44" s="33"/>
      <c r="H44" s="33"/>
      <c r="I44" s="33"/>
    </row>
    <row r="45" spans="1:9" ht="15" customHeight="1" x14ac:dyDescent="0.3">
      <c r="A45" s="33"/>
      <c r="B45" s="79"/>
      <c r="D45" s="34"/>
      <c r="E45" s="34"/>
      <c r="F45" s="33"/>
      <c r="H45" s="33"/>
      <c r="I45" s="33"/>
    </row>
    <row r="46" spans="1:9" ht="15" customHeight="1" x14ac:dyDescent="0.3">
      <c r="A46" s="33"/>
      <c r="B46" s="79"/>
      <c r="D46" s="34"/>
      <c r="E46" s="34"/>
      <c r="F46" s="33"/>
      <c r="H46" s="33"/>
      <c r="I46" s="33"/>
    </row>
    <row r="47" spans="1:9" ht="15" customHeight="1" x14ac:dyDescent="0.3">
      <c r="A47" s="33"/>
      <c r="B47" s="79"/>
      <c r="D47" s="34"/>
      <c r="E47" s="34"/>
      <c r="F47" s="33"/>
      <c r="H47" s="33"/>
      <c r="I47" s="33"/>
    </row>
    <row r="48" spans="1:9" ht="15" customHeight="1" x14ac:dyDescent="0.3">
      <c r="A48" s="33"/>
      <c r="B48" s="79"/>
      <c r="D48" s="34"/>
      <c r="E48" s="34"/>
      <c r="F48" s="33"/>
      <c r="H48" s="33"/>
      <c r="I48" s="33"/>
    </row>
    <row r="49" spans="1:9" ht="15" customHeight="1" x14ac:dyDescent="0.3">
      <c r="A49" s="33"/>
      <c r="B49" s="79"/>
      <c r="D49" s="34"/>
      <c r="E49" s="34"/>
      <c r="F49" s="33"/>
      <c r="H49" s="33"/>
      <c r="I49" s="33"/>
    </row>
    <row r="50" spans="1:9" ht="15" customHeight="1" x14ac:dyDescent="0.3">
      <c r="A50" s="33"/>
      <c r="B50" s="79"/>
      <c r="D50" s="34"/>
      <c r="E50" s="34"/>
      <c r="F50" s="33"/>
      <c r="H50" s="33"/>
      <c r="I50" s="33"/>
    </row>
    <row r="51" spans="1:9" ht="15" customHeight="1" x14ac:dyDescent="0.3">
      <c r="A51" s="33"/>
      <c r="B51" s="79"/>
      <c r="D51" s="34"/>
      <c r="E51" s="34"/>
      <c r="F51" s="33"/>
      <c r="H51" s="33"/>
      <c r="I51" s="33"/>
    </row>
    <row r="52" spans="1:9" ht="15" customHeight="1" x14ac:dyDescent="0.3">
      <c r="A52" s="33"/>
      <c r="B52" s="79"/>
      <c r="D52" s="34"/>
      <c r="E52" s="34"/>
      <c r="F52" s="33"/>
      <c r="H52" s="33"/>
      <c r="I52" s="33"/>
    </row>
    <row r="53" spans="1:9" ht="15" customHeight="1" x14ac:dyDescent="0.3">
      <c r="A53" s="33"/>
      <c r="B53" s="79"/>
      <c r="D53" s="34"/>
      <c r="E53" s="34"/>
      <c r="F53" s="33"/>
      <c r="H53" s="33"/>
      <c r="I53" s="33"/>
    </row>
    <row r="54" spans="1:9" ht="15" customHeight="1" x14ac:dyDescent="0.3">
      <c r="A54" s="33"/>
      <c r="B54" s="79"/>
      <c r="D54" s="34"/>
      <c r="E54" s="34"/>
      <c r="F54" s="33"/>
      <c r="H54" s="33"/>
      <c r="I54" s="33"/>
    </row>
    <row r="55" spans="1:9" ht="15" customHeight="1" x14ac:dyDescent="0.3">
      <c r="A55" s="33"/>
      <c r="B55" s="79"/>
      <c r="D55" s="34"/>
      <c r="E55" s="34"/>
      <c r="F55" s="33"/>
      <c r="H55" s="33"/>
      <c r="I55" s="33"/>
    </row>
    <row r="56" spans="1:9" ht="15" customHeight="1" x14ac:dyDescent="0.3">
      <c r="A56" s="33"/>
      <c r="B56" s="79"/>
      <c r="D56" s="34"/>
      <c r="E56" s="34"/>
      <c r="F56" s="33"/>
      <c r="H56" s="33"/>
      <c r="I56" s="33"/>
    </row>
    <row r="57" spans="1:9" ht="15" customHeight="1" x14ac:dyDescent="0.3">
      <c r="A57" s="33"/>
      <c r="B57" s="79"/>
      <c r="D57" s="34"/>
      <c r="E57" s="34"/>
      <c r="F57" s="33"/>
      <c r="H57" s="33"/>
      <c r="I57" s="33"/>
    </row>
    <row r="58" spans="1:9" ht="15" customHeight="1" x14ac:dyDescent="0.3">
      <c r="A58" s="33"/>
      <c r="B58" s="79"/>
      <c r="D58" s="34"/>
      <c r="E58" s="34"/>
      <c r="F58" s="33"/>
      <c r="H58" s="33"/>
      <c r="I58" s="33"/>
    </row>
    <row r="59" spans="1:9" ht="15" customHeight="1" x14ac:dyDescent="0.3">
      <c r="A59" s="33"/>
      <c r="B59" s="79"/>
      <c r="D59" s="34"/>
      <c r="E59" s="34"/>
      <c r="F59" s="33"/>
      <c r="H59" s="33"/>
      <c r="I59" s="33"/>
    </row>
    <row r="60" spans="1:9" ht="15" customHeight="1" x14ac:dyDescent="0.3">
      <c r="A60" s="33"/>
      <c r="B60" s="79"/>
      <c r="D60" s="34"/>
      <c r="E60" s="34"/>
      <c r="F60" s="33"/>
      <c r="H60" s="33"/>
      <c r="I60" s="33"/>
    </row>
    <row r="61" spans="1:9" ht="15" customHeight="1" x14ac:dyDescent="0.3">
      <c r="A61" s="33"/>
      <c r="B61" s="79"/>
      <c r="D61" s="34"/>
      <c r="E61" s="34"/>
      <c r="F61" s="33"/>
      <c r="H61" s="33"/>
      <c r="I61" s="33"/>
    </row>
    <row r="62" spans="1:9" ht="15" customHeight="1" x14ac:dyDescent="0.3">
      <c r="A62" s="33"/>
      <c r="B62" s="79"/>
      <c r="D62" s="34"/>
      <c r="E62" s="34"/>
      <c r="F62" s="33"/>
      <c r="H62" s="33"/>
      <c r="I62" s="33"/>
    </row>
    <row r="63" spans="1:9" ht="15" customHeight="1" x14ac:dyDescent="0.3">
      <c r="A63" s="33"/>
      <c r="B63" s="79"/>
      <c r="D63" s="34"/>
      <c r="E63" s="34"/>
      <c r="F63" s="33"/>
      <c r="H63" s="33"/>
      <c r="I63" s="33"/>
    </row>
    <row r="64" spans="1:9" ht="15" customHeight="1" x14ac:dyDescent="0.3">
      <c r="A64" s="33"/>
      <c r="B64" s="79"/>
      <c r="D64" s="34"/>
      <c r="E64" s="34"/>
      <c r="F64" s="33"/>
      <c r="H64" s="33"/>
      <c r="I64" s="33"/>
    </row>
    <row r="65" spans="1:9" ht="15" customHeight="1" x14ac:dyDescent="0.3">
      <c r="A65" s="33"/>
      <c r="B65" s="79"/>
      <c r="D65" s="34"/>
      <c r="E65" s="34"/>
      <c r="F65" s="33"/>
      <c r="H65" s="33"/>
      <c r="I65" s="33"/>
    </row>
    <row r="66" spans="1:9" ht="15" customHeight="1" x14ac:dyDescent="0.3">
      <c r="A66" s="33"/>
      <c r="B66" s="79"/>
      <c r="D66" s="34"/>
      <c r="E66" s="34"/>
      <c r="F66" s="33"/>
      <c r="H66" s="33"/>
      <c r="I66" s="33"/>
    </row>
    <row r="67" spans="1:9" ht="15" customHeight="1" x14ac:dyDescent="0.3">
      <c r="A67" s="33"/>
      <c r="B67" s="79"/>
      <c r="D67" s="34"/>
      <c r="E67" s="34"/>
      <c r="F67" s="33"/>
      <c r="H67" s="33"/>
      <c r="I67" s="33"/>
    </row>
    <row r="68" spans="1:9" ht="15" customHeight="1" x14ac:dyDescent="0.3">
      <c r="A68" s="33"/>
      <c r="B68" s="79"/>
      <c r="D68" s="34"/>
      <c r="E68" s="34"/>
      <c r="F68" s="33"/>
      <c r="H68" s="33"/>
      <c r="I68" s="33"/>
    </row>
    <row r="69" spans="1:9" ht="15" customHeight="1" x14ac:dyDescent="0.3">
      <c r="A69" s="33"/>
      <c r="B69" s="79"/>
      <c r="D69" s="34"/>
      <c r="E69" s="34"/>
      <c r="F69" s="33"/>
      <c r="H69" s="33"/>
      <c r="I69" s="33"/>
    </row>
    <row r="70" spans="1:9" ht="15" customHeight="1" x14ac:dyDescent="0.3">
      <c r="A70" s="33"/>
      <c r="B70" s="79"/>
      <c r="D70" s="34"/>
      <c r="E70" s="34"/>
      <c r="F70" s="33"/>
      <c r="H70" s="33"/>
      <c r="I70" s="33"/>
    </row>
    <row r="71" spans="1:9" ht="15" customHeight="1" x14ac:dyDescent="0.3">
      <c r="A71" s="33"/>
      <c r="B71" s="79"/>
      <c r="D71" s="34"/>
      <c r="E71" s="34"/>
      <c r="F71" s="33"/>
      <c r="H71" s="33"/>
      <c r="I71" s="33"/>
    </row>
    <row r="72" spans="1:9" ht="15" customHeight="1" x14ac:dyDescent="0.3">
      <c r="A72" s="33"/>
      <c r="B72" s="79"/>
      <c r="D72" s="34"/>
      <c r="E72" s="34"/>
      <c r="F72" s="33"/>
      <c r="H72" s="33"/>
      <c r="I72" s="33"/>
    </row>
    <row r="73" spans="1:9" ht="15" customHeight="1" x14ac:dyDescent="0.3">
      <c r="A73" s="33"/>
      <c r="B73" s="79"/>
      <c r="D73" s="34"/>
      <c r="E73" s="34"/>
      <c r="F73" s="33"/>
      <c r="H73" s="33"/>
      <c r="I73" s="33"/>
    </row>
    <row r="74" spans="1:9" ht="15" customHeight="1" x14ac:dyDescent="0.3">
      <c r="A74" s="33"/>
      <c r="B74" s="79"/>
      <c r="D74" s="34"/>
      <c r="E74" s="34"/>
      <c r="F74" s="33"/>
      <c r="H74" s="33"/>
      <c r="I74" s="33"/>
    </row>
    <row r="75" spans="1:9" ht="15" customHeight="1" x14ac:dyDescent="0.3">
      <c r="A75" s="33"/>
      <c r="B75" s="79"/>
      <c r="D75" s="34"/>
      <c r="E75" s="34"/>
      <c r="F75" s="33"/>
      <c r="H75" s="33"/>
      <c r="I75" s="33"/>
    </row>
    <row r="76" spans="1:9" ht="15" customHeight="1" x14ac:dyDescent="0.3">
      <c r="A76" s="33"/>
      <c r="B76" s="79"/>
      <c r="D76" s="34"/>
      <c r="E76" s="34"/>
      <c r="F76" s="33"/>
      <c r="H76" s="33"/>
      <c r="I76" s="33"/>
    </row>
    <row r="77" spans="1:9" ht="15" customHeight="1" x14ac:dyDescent="0.3">
      <c r="A77" s="33"/>
      <c r="B77" s="79"/>
      <c r="D77" s="34"/>
      <c r="E77" s="34"/>
      <c r="F77" s="33"/>
      <c r="H77" s="33"/>
      <c r="I77" s="33"/>
    </row>
    <row r="78" spans="1:9" ht="15" customHeight="1" x14ac:dyDescent="0.3">
      <c r="A78" s="33"/>
      <c r="B78" s="79"/>
      <c r="D78" s="34"/>
      <c r="E78" s="34"/>
      <c r="F78" s="33"/>
      <c r="H78" s="33"/>
      <c r="I78" s="33"/>
    </row>
    <row r="79" spans="1:9" ht="15" customHeight="1" x14ac:dyDescent="0.3">
      <c r="A79" s="33"/>
      <c r="B79" s="79"/>
      <c r="D79" s="34"/>
      <c r="E79" s="34"/>
      <c r="F79" s="33"/>
      <c r="H79" s="33"/>
      <c r="I79" s="33"/>
    </row>
    <row r="80" spans="1:9" ht="15" customHeight="1" x14ac:dyDescent="0.3">
      <c r="A80" s="33"/>
      <c r="B80" s="79"/>
      <c r="D80" s="34"/>
      <c r="E80" s="34"/>
      <c r="F80" s="33"/>
      <c r="H80" s="33"/>
      <c r="I80" s="33"/>
    </row>
    <row r="81" spans="1:9" ht="15" customHeight="1" x14ac:dyDescent="0.3">
      <c r="A81" s="33"/>
      <c r="B81" s="79"/>
      <c r="D81" s="34"/>
      <c r="E81" s="34"/>
      <c r="F81" s="33"/>
      <c r="H81" s="33"/>
      <c r="I81" s="33"/>
    </row>
    <row r="82" spans="1:9" ht="15" customHeight="1" x14ac:dyDescent="0.3">
      <c r="A82" s="33"/>
      <c r="B82" s="79"/>
      <c r="D82" s="34"/>
      <c r="E82" s="34"/>
      <c r="F82" s="33"/>
      <c r="H82" s="33"/>
      <c r="I82" s="33"/>
    </row>
    <row r="83" spans="1:9" ht="15" customHeight="1" x14ac:dyDescent="0.3">
      <c r="A83" s="33"/>
      <c r="B83" s="79"/>
      <c r="D83" s="34"/>
      <c r="E83" s="34"/>
      <c r="F83" s="33"/>
      <c r="H83" s="33"/>
      <c r="I83" s="33"/>
    </row>
    <row r="84" spans="1:9" ht="15" customHeight="1" x14ac:dyDescent="0.3">
      <c r="A84" s="33"/>
      <c r="B84" s="79"/>
      <c r="D84" s="34"/>
      <c r="E84" s="34"/>
      <c r="F84" s="33"/>
      <c r="H84" s="33"/>
      <c r="I84" s="33"/>
    </row>
    <row r="85" spans="1:9" ht="15" customHeight="1" x14ac:dyDescent="0.3">
      <c r="A85" s="33"/>
      <c r="B85" s="79"/>
      <c r="D85" s="34"/>
      <c r="E85" s="34"/>
      <c r="F85" s="33"/>
      <c r="H85" s="33"/>
      <c r="I85" s="33"/>
    </row>
    <row r="86" spans="1:9" ht="15" customHeight="1" x14ac:dyDescent="0.3">
      <c r="A86" s="33"/>
      <c r="B86" s="79"/>
      <c r="D86" s="34"/>
      <c r="E86" s="34"/>
      <c r="F86" s="33"/>
      <c r="H86" s="33"/>
      <c r="I86" s="33"/>
    </row>
    <row r="87" spans="1:9" ht="15" customHeight="1" x14ac:dyDescent="0.3">
      <c r="A87" s="33"/>
      <c r="B87" s="79"/>
      <c r="D87" s="34"/>
      <c r="E87" s="34"/>
      <c r="F87" s="33"/>
      <c r="H87" s="33"/>
      <c r="I87" s="33"/>
    </row>
    <row r="88" spans="1:9" ht="15" customHeight="1" x14ac:dyDescent="0.3">
      <c r="A88" s="33"/>
      <c r="B88" s="79"/>
      <c r="D88" s="34"/>
      <c r="E88" s="34"/>
      <c r="F88" s="33"/>
      <c r="H88" s="33"/>
      <c r="I88" s="33"/>
    </row>
    <row r="89" spans="1:9" ht="15" customHeight="1" x14ac:dyDescent="0.3">
      <c r="A89" s="33"/>
      <c r="B89" s="79"/>
      <c r="D89" s="34"/>
      <c r="E89" s="34"/>
      <c r="F89" s="33"/>
      <c r="H89" s="33"/>
      <c r="I89" s="33"/>
    </row>
    <row r="90" spans="1:9" ht="15" customHeight="1" x14ac:dyDescent="0.3">
      <c r="A90" s="33"/>
      <c r="B90" s="79"/>
      <c r="D90" s="34"/>
      <c r="E90" s="34"/>
      <c r="F90" s="33"/>
      <c r="H90" s="33"/>
      <c r="I90" s="33"/>
    </row>
    <row r="91" spans="1:9" ht="15" customHeight="1" x14ac:dyDescent="0.3">
      <c r="A91" s="33"/>
      <c r="B91" s="79"/>
      <c r="D91" s="34"/>
      <c r="E91" s="34"/>
      <c r="F91" s="33"/>
      <c r="H91" s="33"/>
      <c r="I91" s="33"/>
    </row>
    <row r="92" spans="1:9" ht="15" customHeight="1" x14ac:dyDescent="0.3">
      <c r="A92" s="33"/>
      <c r="B92" s="79"/>
      <c r="D92" s="34"/>
      <c r="E92" s="34"/>
      <c r="F92" s="33"/>
      <c r="H92" s="33"/>
      <c r="I92" s="33"/>
    </row>
    <row r="93" spans="1:9" ht="15" customHeight="1" x14ac:dyDescent="0.3">
      <c r="A93" s="33"/>
      <c r="B93" s="79"/>
      <c r="D93" s="34"/>
      <c r="E93" s="34"/>
      <c r="F93" s="33"/>
      <c r="H93" s="33"/>
      <c r="I93" s="33"/>
    </row>
    <row r="94" spans="1:9" ht="15" customHeight="1" x14ac:dyDescent="0.3">
      <c r="A94" s="33"/>
      <c r="B94" s="79"/>
      <c r="D94" s="34"/>
      <c r="E94" s="34"/>
      <c r="F94" s="33"/>
      <c r="H94" s="33"/>
      <c r="I94" s="33"/>
    </row>
    <row r="95" spans="1:9" ht="15" customHeight="1" x14ac:dyDescent="0.3">
      <c r="A95" s="33"/>
      <c r="B95" s="79"/>
      <c r="D95" s="34"/>
      <c r="E95" s="34"/>
      <c r="F95" s="33"/>
      <c r="H95" s="33"/>
      <c r="I95" s="33"/>
    </row>
    <row r="96" spans="1:9" ht="15" customHeight="1" x14ac:dyDescent="0.3">
      <c r="A96" s="33"/>
      <c r="B96" s="79"/>
      <c r="D96" s="34"/>
      <c r="E96" s="34"/>
      <c r="F96" s="33"/>
      <c r="H96" s="33"/>
      <c r="I96" s="33"/>
    </row>
    <row r="97" spans="1:9" ht="15" customHeight="1" x14ac:dyDescent="0.3">
      <c r="A97" s="33"/>
      <c r="B97" s="79"/>
      <c r="D97" s="34"/>
      <c r="E97" s="34"/>
      <c r="F97" s="33"/>
      <c r="H97" s="33"/>
      <c r="I97" s="33"/>
    </row>
    <row r="98" spans="1:9" ht="15" customHeight="1" x14ac:dyDescent="0.3">
      <c r="A98" s="33"/>
      <c r="B98" s="79"/>
      <c r="D98" s="34"/>
      <c r="E98" s="34"/>
      <c r="F98" s="33"/>
      <c r="H98" s="33"/>
      <c r="I98" s="33"/>
    </row>
    <row r="99" spans="1:9" ht="15" customHeight="1" x14ac:dyDescent="0.3">
      <c r="A99" s="33"/>
      <c r="B99" s="79"/>
      <c r="D99" s="34"/>
      <c r="E99" s="34"/>
      <c r="F99" s="33"/>
      <c r="H99" s="33"/>
      <c r="I99" s="33"/>
    </row>
    <row r="100" spans="1:9" ht="15" customHeight="1" x14ac:dyDescent="0.3">
      <c r="A100" s="33"/>
      <c r="B100" s="79"/>
      <c r="D100" s="34"/>
      <c r="E100" s="34"/>
      <c r="F100" s="33"/>
      <c r="H100" s="33"/>
      <c r="I100" s="33"/>
    </row>
    <row r="101" spans="1:9" ht="15" customHeight="1" x14ac:dyDescent="0.3">
      <c r="A101" s="33"/>
      <c r="B101" s="79"/>
      <c r="D101" s="34"/>
      <c r="E101" s="34"/>
      <c r="F101" s="33"/>
      <c r="H101" s="33"/>
      <c r="I101" s="33"/>
    </row>
    <row r="102" spans="1:9" ht="15" customHeight="1" x14ac:dyDescent="0.3">
      <c r="A102" s="33"/>
      <c r="B102" s="79"/>
      <c r="D102" s="34"/>
      <c r="E102" s="34"/>
      <c r="F102" s="33"/>
      <c r="H102" s="33"/>
      <c r="I102" s="33"/>
    </row>
    <row r="103" spans="1:9" ht="15" customHeight="1" x14ac:dyDescent="0.3">
      <c r="A103" s="33"/>
      <c r="B103" s="79"/>
      <c r="D103" s="34"/>
      <c r="E103" s="34"/>
      <c r="F103" s="33"/>
      <c r="H103" s="33"/>
      <c r="I103" s="33"/>
    </row>
    <row r="104" spans="1:9" ht="15" customHeight="1" x14ac:dyDescent="0.3">
      <c r="A104" s="33"/>
      <c r="B104" s="79"/>
      <c r="D104" s="34"/>
      <c r="E104" s="34"/>
      <c r="F104" s="33"/>
      <c r="H104" s="33"/>
      <c r="I104" s="33"/>
    </row>
    <row r="105" spans="1:9" ht="15" customHeight="1" x14ac:dyDescent="0.3">
      <c r="A105" s="33"/>
      <c r="B105" s="79"/>
      <c r="D105" s="34"/>
      <c r="E105" s="34"/>
      <c r="F105" s="33"/>
      <c r="H105" s="33"/>
      <c r="I105" s="33"/>
    </row>
    <row r="106" spans="1:9" ht="15" customHeight="1" x14ac:dyDescent="0.3">
      <c r="A106" s="33"/>
      <c r="B106" s="79"/>
      <c r="D106" s="34"/>
      <c r="E106" s="34"/>
      <c r="F106" s="33"/>
      <c r="H106" s="33"/>
      <c r="I106" s="33"/>
    </row>
    <row r="107" spans="1:9" ht="15" customHeight="1" x14ac:dyDescent="0.3">
      <c r="A107" s="33"/>
      <c r="B107" s="79"/>
      <c r="D107" s="34"/>
      <c r="E107" s="34"/>
      <c r="F107" s="33"/>
      <c r="H107" s="33"/>
      <c r="I107" s="33"/>
    </row>
    <row r="108" spans="1:9" ht="15" customHeight="1" x14ac:dyDescent="0.3">
      <c r="A108" s="33"/>
      <c r="B108" s="79"/>
      <c r="D108" s="34"/>
      <c r="E108" s="34"/>
      <c r="F108" s="33"/>
      <c r="H108" s="33"/>
      <c r="I108" s="33"/>
    </row>
    <row r="109" spans="1:9" ht="15" customHeight="1" x14ac:dyDescent="0.3">
      <c r="A109" s="33"/>
      <c r="B109" s="79"/>
      <c r="D109" s="34"/>
      <c r="E109" s="34"/>
      <c r="F109" s="33"/>
      <c r="H109" s="33"/>
      <c r="I109" s="33"/>
    </row>
    <row r="110" spans="1:9" ht="15" customHeight="1" x14ac:dyDescent="0.3">
      <c r="A110" s="33"/>
      <c r="B110" s="79"/>
      <c r="D110" s="34"/>
      <c r="E110" s="34"/>
      <c r="F110" s="33"/>
      <c r="H110" s="33"/>
      <c r="I110" s="33"/>
    </row>
    <row r="111" spans="1:9" ht="15" customHeight="1" x14ac:dyDescent="0.3">
      <c r="A111" s="33"/>
      <c r="B111" s="79"/>
      <c r="D111" s="34"/>
      <c r="E111" s="34"/>
      <c r="F111" s="33"/>
      <c r="H111" s="33"/>
      <c r="I111" s="33"/>
    </row>
    <row r="112" spans="1:9" ht="15" customHeight="1" x14ac:dyDescent="0.3">
      <c r="A112" s="33"/>
      <c r="B112" s="79"/>
      <c r="D112" s="34"/>
      <c r="E112" s="34"/>
      <c r="F112" s="33"/>
      <c r="H112" s="33"/>
      <c r="I112" s="33"/>
    </row>
    <row r="113" spans="1:9" ht="15" customHeight="1" x14ac:dyDescent="0.3">
      <c r="A113" s="33"/>
      <c r="B113" s="79"/>
      <c r="D113" s="34"/>
      <c r="E113" s="34"/>
      <c r="F113" s="33"/>
      <c r="H113" s="33"/>
      <c r="I113" s="33"/>
    </row>
    <row r="114" spans="1:9" ht="15" customHeight="1" x14ac:dyDescent="0.3">
      <c r="A114" s="33"/>
      <c r="B114" s="79"/>
      <c r="D114" s="34"/>
      <c r="E114" s="34"/>
      <c r="F114" s="33"/>
      <c r="H114" s="33"/>
      <c r="I114" s="33"/>
    </row>
    <row r="115" spans="1:9" ht="15" customHeight="1" x14ac:dyDescent="0.3">
      <c r="A115" s="33"/>
      <c r="B115" s="79"/>
      <c r="D115" s="34"/>
      <c r="E115" s="34"/>
      <c r="F115" s="33"/>
      <c r="H115" s="33"/>
      <c r="I115" s="33"/>
    </row>
    <row r="116" spans="1:9" ht="15" customHeight="1" x14ac:dyDescent="0.3">
      <c r="A116" s="33"/>
      <c r="B116" s="79"/>
      <c r="D116" s="34"/>
      <c r="E116" s="34"/>
      <c r="F116" s="33"/>
      <c r="H116" s="33"/>
      <c r="I116" s="33"/>
    </row>
    <row r="117" spans="1:9" ht="15" customHeight="1" x14ac:dyDescent="0.3">
      <c r="A117" s="33"/>
      <c r="B117" s="79"/>
      <c r="D117" s="34"/>
      <c r="E117" s="34"/>
      <c r="F117" s="33"/>
      <c r="H117" s="33"/>
      <c r="I117" s="33"/>
    </row>
    <row r="118" spans="1:9" ht="15" customHeight="1" x14ac:dyDescent="0.3">
      <c r="A118" s="33"/>
      <c r="B118" s="79"/>
      <c r="D118" s="34"/>
      <c r="E118" s="34"/>
      <c r="F118" s="33"/>
      <c r="H118" s="33"/>
      <c r="I118" s="33"/>
    </row>
    <row r="119" spans="1:9" ht="15" customHeight="1" x14ac:dyDescent="0.3">
      <c r="A119" s="33"/>
      <c r="B119" s="79"/>
      <c r="D119" s="34"/>
      <c r="E119" s="34"/>
      <c r="F119" s="33"/>
      <c r="H119" s="33"/>
      <c r="I119" s="33"/>
    </row>
    <row r="120" spans="1:9" ht="15" customHeight="1" x14ac:dyDescent="0.3">
      <c r="A120" s="33"/>
      <c r="B120" s="79"/>
      <c r="D120" s="34"/>
      <c r="E120" s="34"/>
      <c r="F120" s="33"/>
      <c r="H120" s="33"/>
      <c r="I120" s="33"/>
    </row>
    <row r="121" spans="1:9" ht="15" customHeight="1" x14ac:dyDescent="0.3">
      <c r="A121" s="33"/>
      <c r="B121" s="79"/>
      <c r="D121" s="34"/>
      <c r="E121" s="34"/>
      <c r="F121" s="33"/>
      <c r="H121" s="33"/>
      <c r="I121" s="33"/>
    </row>
    <row r="122" spans="1:9" ht="15" customHeight="1" x14ac:dyDescent="0.3">
      <c r="A122" s="33"/>
      <c r="B122" s="79"/>
      <c r="D122" s="34"/>
      <c r="E122" s="34"/>
      <c r="F122" s="33"/>
      <c r="H122" s="33"/>
      <c r="I122" s="33"/>
    </row>
    <row r="123" spans="1:9" ht="15" customHeight="1" x14ac:dyDescent="0.3">
      <c r="A123" s="33"/>
      <c r="B123" s="79"/>
      <c r="D123" s="34"/>
      <c r="E123" s="34"/>
      <c r="F123" s="33"/>
      <c r="H123" s="33"/>
      <c r="I123" s="33"/>
    </row>
    <row r="124" spans="1:9" ht="15" customHeight="1" x14ac:dyDescent="0.3">
      <c r="A124" s="33"/>
      <c r="B124" s="79"/>
      <c r="D124" s="34"/>
      <c r="E124" s="34"/>
      <c r="F124" s="33"/>
      <c r="H124" s="33"/>
      <c r="I124" s="33"/>
    </row>
    <row r="125" spans="1:9" ht="15" customHeight="1" x14ac:dyDescent="0.3">
      <c r="A125" s="33"/>
      <c r="B125" s="79"/>
      <c r="D125" s="34"/>
      <c r="E125" s="34"/>
      <c r="F125" s="33"/>
      <c r="H125" s="33"/>
      <c r="I125" s="33"/>
    </row>
    <row r="126" spans="1:9" ht="15" customHeight="1" x14ac:dyDescent="0.3">
      <c r="A126" s="33"/>
      <c r="B126" s="79"/>
      <c r="D126" s="34"/>
      <c r="E126" s="34"/>
      <c r="F126" s="33"/>
      <c r="H126" s="33"/>
      <c r="I126" s="33"/>
    </row>
    <row r="127" spans="1:9" ht="15" customHeight="1" x14ac:dyDescent="0.3">
      <c r="A127" s="33"/>
      <c r="B127" s="79"/>
      <c r="D127" s="34"/>
      <c r="E127" s="34"/>
      <c r="F127" s="33"/>
      <c r="H127" s="33"/>
      <c r="I127" s="33"/>
    </row>
    <row r="128" spans="1:9" ht="15" customHeight="1" x14ac:dyDescent="0.3">
      <c r="A128" s="33"/>
      <c r="B128" s="79"/>
      <c r="D128" s="34"/>
      <c r="E128" s="34"/>
      <c r="F128" s="33"/>
      <c r="H128" s="33"/>
      <c r="I128" s="33"/>
    </row>
    <row r="129" spans="1:9" ht="15" customHeight="1" x14ac:dyDescent="0.3">
      <c r="A129" s="33"/>
      <c r="B129" s="79"/>
      <c r="D129" s="34"/>
      <c r="E129" s="34"/>
      <c r="F129" s="33"/>
      <c r="H129" s="33"/>
      <c r="I129" s="33"/>
    </row>
    <row r="130" spans="1:9" ht="15" customHeight="1" x14ac:dyDescent="0.3">
      <c r="A130" s="33"/>
      <c r="B130" s="79"/>
      <c r="D130" s="34"/>
      <c r="E130" s="34"/>
      <c r="F130" s="33"/>
      <c r="H130" s="33"/>
      <c r="I130" s="33"/>
    </row>
    <row r="131" spans="1:9" ht="15" customHeight="1" x14ac:dyDescent="0.3">
      <c r="A131" s="33"/>
      <c r="B131" s="79"/>
      <c r="D131" s="34"/>
      <c r="E131" s="34"/>
      <c r="F131" s="33"/>
      <c r="H131" s="33"/>
      <c r="I131" s="33"/>
    </row>
    <row r="132" spans="1:9" ht="15" customHeight="1" x14ac:dyDescent="0.3">
      <c r="A132" s="33"/>
      <c r="B132" s="79"/>
      <c r="D132" s="34"/>
      <c r="E132" s="34"/>
      <c r="F132" s="33"/>
      <c r="H132" s="33"/>
      <c r="I132" s="33"/>
    </row>
    <row r="133" spans="1:9" ht="15" customHeight="1" x14ac:dyDescent="0.3">
      <c r="A133" s="33"/>
      <c r="B133" s="79"/>
      <c r="D133" s="34"/>
      <c r="E133" s="34"/>
      <c r="F133" s="33"/>
      <c r="H133" s="33"/>
      <c r="I133" s="33"/>
    </row>
    <row r="134" spans="1:9" ht="15" customHeight="1" x14ac:dyDescent="0.3">
      <c r="A134" s="33"/>
      <c r="B134" s="79"/>
      <c r="D134" s="34"/>
      <c r="E134" s="34"/>
      <c r="F134" s="33"/>
      <c r="H134" s="33"/>
      <c r="I134" s="33"/>
    </row>
    <row r="135" spans="1:9" ht="15" customHeight="1" x14ac:dyDescent="0.3">
      <c r="A135" s="33"/>
      <c r="B135" s="79"/>
      <c r="D135" s="34"/>
      <c r="E135" s="34"/>
      <c r="F135" s="33"/>
      <c r="H135" s="33"/>
      <c r="I135" s="33"/>
    </row>
    <row r="136" spans="1:9" ht="15" customHeight="1" x14ac:dyDescent="0.3">
      <c r="A136" s="33"/>
      <c r="B136" s="79"/>
      <c r="D136" s="34"/>
      <c r="E136" s="34"/>
      <c r="F136" s="33"/>
      <c r="H136" s="33"/>
      <c r="I136" s="33"/>
    </row>
    <row r="137" spans="1:9" ht="15" customHeight="1" x14ac:dyDescent="0.3">
      <c r="A137" s="33"/>
      <c r="B137" s="79"/>
      <c r="D137" s="34"/>
      <c r="E137" s="34"/>
      <c r="F137" s="33"/>
      <c r="H137" s="33"/>
      <c r="I137" s="33"/>
    </row>
    <row r="138" spans="1:9" ht="15" customHeight="1" x14ac:dyDescent="0.3">
      <c r="A138" s="33"/>
      <c r="B138" s="79"/>
      <c r="D138" s="34"/>
      <c r="E138" s="34"/>
      <c r="F138" s="33"/>
      <c r="H138" s="33"/>
      <c r="I138" s="33"/>
    </row>
    <row r="139" spans="1:9" ht="15" customHeight="1" x14ac:dyDescent="0.3">
      <c r="A139" s="33"/>
      <c r="B139" s="79"/>
      <c r="D139" s="34"/>
      <c r="E139" s="34"/>
      <c r="F139" s="33"/>
      <c r="H139" s="33"/>
      <c r="I139" s="33"/>
    </row>
    <row r="140" spans="1:9" ht="15" customHeight="1" x14ac:dyDescent="0.3">
      <c r="A140" s="33"/>
      <c r="B140" s="79"/>
      <c r="D140" s="34"/>
      <c r="E140" s="34"/>
      <c r="F140" s="33"/>
      <c r="H140" s="33"/>
      <c r="I140" s="33"/>
    </row>
    <row r="141" spans="1:9" ht="15" customHeight="1" x14ac:dyDescent="0.3">
      <c r="A141" s="33"/>
      <c r="B141" s="79"/>
      <c r="D141" s="34"/>
      <c r="E141" s="34"/>
      <c r="F141" s="33"/>
      <c r="H141" s="33"/>
      <c r="I141" s="33"/>
    </row>
    <row r="142" spans="1:9" ht="15" customHeight="1" x14ac:dyDescent="0.3">
      <c r="A142" s="33"/>
      <c r="B142" s="79"/>
      <c r="D142" s="34"/>
      <c r="E142" s="34"/>
      <c r="F142" s="33"/>
      <c r="H142" s="33"/>
      <c r="I142" s="33"/>
    </row>
    <row r="143" spans="1:9" ht="15" customHeight="1" x14ac:dyDescent="0.3">
      <c r="A143" s="33"/>
      <c r="B143" s="79"/>
      <c r="D143" s="34"/>
      <c r="E143" s="34"/>
      <c r="F143" s="33"/>
      <c r="H143" s="33"/>
      <c r="I143" s="33"/>
    </row>
    <row r="144" spans="1:9" ht="15" customHeight="1" x14ac:dyDescent="0.3">
      <c r="A144" s="33"/>
      <c r="B144" s="79"/>
      <c r="D144" s="34"/>
      <c r="E144" s="34"/>
      <c r="F144" s="33"/>
      <c r="H144" s="33"/>
      <c r="I144" s="33"/>
    </row>
    <row r="145" spans="1:9" ht="15" customHeight="1" x14ac:dyDescent="0.3">
      <c r="A145" s="33"/>
      <c r="B145" s="79"/>
      <c r="D145" s="34"/>
      <c r="E145" s="34"/>
      <c r="F145" s="33"/>
      <c r="H145" s="33"/>
      <c r="I145" s="33"/>
    </row>
    <row r="146" spans="1:9" ht="15" customHeight="1" x14ac:dyDescent="0.3">
      <c r="A146" s="33"/>
      <c r="B146" s="79"/>
      <c r="D146" s="34"/>
      <c r="E146" s="34"/>
      <c r="F146" s="33"/>
      <c r="H146" s="33"/>
      <c r="I146" s="33"/>
    </row>
    <row r="147" spans="1:9" ht="15" customHeight="1" x14ac:dyDescent="0.3">
      <c r="A147" s="33"/>
      <c r="B147" s="79"/>
      <c r="D147" s="34"/>
      <c r="E147" s="34"/>
      <c r="F147" s="33"/>
      <c r="H147" s="33"/>
      <c r="I147" s="33"/>
    </row>
    <row r="148" spans="1:9" ht="15" customHeight="1" x14ac:dyDescent="0.3">
      <c r="A148" s="33"/>
      <c r="B148" s="79"/>
      <c r="D148" s="34"/>
      <c r="E148" s="34"/>
      <c r="F148" s="33"/>
      <c r="H148" s="33"/>
      <c r="I148" s="33"/>
    </row>
    <row r="149" spans="1:9" ht="15" customHeight="1" x14ac:dyDescent="0.3">
      <c r="A149" s="33"/>
      <c r="B149" s="79"/>
      <c r="D149" s="34"/>
      <c r="E149" s="34"/>
      <c r="F149" s="33"/>
      <c r="H149" s="33"/>
      <c r="I149" s="33"/>
    </row>
    <row r="150" spans="1:9" ht="15" customHeight="1" x14ac:dyDescent="0.3">
      <c r="A150" s="33"/>
      <c r="B150" s="79"/>
      <c r="D150" s="34"/>
      <c r="E150" s="34"/>
      <c r="F150" s="33"/>
      <c r="H150" s="33"/>
      <c r="I150" s="33"/>
    </row>
    <row r="151" spans="1:9" ht="15" customHeight="1" x14ac:dyDescent="0.3">
      <c r="A151" s="33"/>
      <c r="B151" s="79"/>
      <c r="D151" s="34"/>
      <c r="E151" s="34"/>
      <c r="F151" s="33"/>
      <c r="H151" s="33"/>
      <c r="I151" s="33"/>
    </row>
    <row r="152" spans="1:9" ht="15" customHeight="1" x14ac:dyDescent="0.3">
      <c r="A152" s="33"/>
      <c r="B152" s="79"/>
      <c r="D152" s="34"/>
      <c r="E152" s="34"/>
      <c r="F152" s="33"/>
      <c r="H152" s="33"/>
      <c r="I152" s="33"/>
    </row>
    <row r="153" spans="1:9" ht="15" customHeight="1" x14ac:dyDescent="0.3">
      <c r="A153" s="33"/>
      <c r="B153" s="79"/>
      <c r="D153" s="34"/>
      <c r="E153" s="34"/>
      <c r="F153" s="33"/>
      <c r="H153" s="33"/>
      <c r="I153" s="33"/>
    </row>
    <row r="154" spans="1:9" ht="15" customHeight="1" x14ac:dyDescent="0.3">
      <c r="A154" s="33"/>
      <c r="B154" s="79"/>
      <c r="D154" s="34"/>
      <c r="E154" s="34"/>
      <c r="F154" s="33"/>
      <c r="H154" s="33"/>
      <c r="I154" s="33"/>
    </row>
    <row r="155" spans="1:9" ht="15" customHeight="1" x14ac:dyDescent="0.3">
      <c r="A155" s="33"/>
      <c r="B155" s="79"/>
      <c r="D155" s="34"/>
      <c r="E155" s="34"/>
      <c r="F155" s="33"/>
      <c r="H155" s="33"/>
      <c r="I155" s="33"/>
    </row>
    <row r="156" spans="1:9" ht="15" customHeight="1" x14ac:dyDescent="0.3">
      <c r="A156" s="33"/>
      <c r="B156" s="79"/>
      <c r="D156" s="34"/>
      <c r="E156" s="34"/>
      <c r="F156" s="33"/>
      <c r="H156" s="33"/>
      <c r="I156" s="33"/>
    </row>
    <row r="157" spans="1:9" ht="15" customHeight="1" x14ac:dyDescent="0.3">
      <c r="A157" s="33"/>
      <c r="B157" s="79"/>
      <c r="D157" s="34"/>
      <c r="E157" s="34"/>
      <c r="F157" s="33"/>
      <c r="H157" s="33"/>
      <c r="I157" s="33"/>
    </row>
    <row r="158" spans="1:9" ht="15" customHeight="1" x14ac:dyDescent="0.3">
      <c r="A158" s="33"/>
      <c r="B158" s="79"/>
      <c r="D158" s="34"/>
      <c r="E158" s="34"/>
      <c r="F158" s="33"/>
      <c r="H158" s="33"/>
      <c r="I158" s="33"/>
    </row>
    <row r="159" spans="1:9" ht="15" customHeight="1" x14ac:dyDescent="0.3">
      <c r="A159" s="33"/>
      <c r="B159" s="79"/>
      <c r="D159" s="34"/>
      <c r="E159" s="34"/>
      <c r="F159" s="33"/>
      <c r="H159" s="33"/>
      <c r="I159" s="33"/>
    </row>
    <row r="160" spans="1:9" ht="15" customHeight="1" x14ac:dyDescent="0.3">
      <c r="A160" s="33"/>
      <c r="B160" s="79"/>
      <c r="D160" s="34"/>
      <c r="E160" s="34"/>
      <c r="F160" s="33"/>
      <c r="H160" s="33"/>
      <c r="I160" s="33"/>
    </row>
    <row r="161" spans="1:9" ht="15" customHeight="1" x14ac:dyDescent="0.3">
      <c r="A161" s="33"/>
      <c r="B161" s="79"/>
      <c r="D161" s="34"/>
      <c r="E161" s="34"/>
      <c r="F161" s="33"/>
      <c r="H161" s="33"/>
      <c r="I161" s="33"/>
    </row>
    <row r="162" spans="1:9" ht="15" customHeight="1" x14ac:dyDescent="0.3">
      <c r="A162" s="33"/>
      <c r="B162" s="79"/>
      <c r="D162" s="34"/>
      <c r="E162" s="34"/>
      <c r="F162" s="33"/>
      <c r="H162" s="33"/>
      <c r="I162" s="33"/>
    </row>
    <row r="163" spans="1:9" ht="15" customHeight="1" x14ac:dyDescent="0.3">
      <c r="A163" s="33"/>
      <c r="B163" s="79"/>
      <c r="D163" s="34"/>
      <c r="E163" s="34"/>
      <c r="F163" s="33"/>
      <c r="H163" s="33"/>
      <c r="I163" s="33"/>
    </row>
    <row r="164" spans="1:9" ht="15" customHeight="1" x14ac:dyDescent="0.3">
      <c r="A164" s="33"/>
      <c r="B164" s="79"/>
      <c r="D164" s="34"/>
      <c r="E164" s="34"/>
      <c r="F164" s="33"/>
      <c r="H164" s="33"/>
      <c r="I164" s="33"/>
    </row>
    <row r="165" spans="1:9" ht="15" customHeight="1" x14ac:dyDescent="0.3">
      <c r="A165" s="33"/>
      <c r="B165" s="79"/>
      <c r="D165" s="34"/>
      <c r="E165" s="34"/>
      <c r="F165" s="33"/>
      <c r="H165" s="33"/>
      <c r="I165" s="33"/>
    </row>
    <row r="166" spans="1:9" ht="15" customHeight="1" x14ac:dyDescent="0.3">
      <c r="A166" s="33"/>
      <c r="B166" s="79"/>
      <c r="D166" s="34"/>
      <c r="E166" s="34"/>
      <c r="F166" s="33"/>
      <c r="H166" s="33"/>
      <c r="I166" s="33"/>
    </row>
    <row r="167" spans="1:9" ht="15" customHeight="1" x14ac:dyDescent="0.3">
      <c r="A167" s="33"/>
      <c r="B167" s="79"/>
      <c r="D167" s="34"/>
      <c r="E167" s="34"/>
      <c r="F167" s="33"/>
      <c r="H167" s="33"/>
      <c r="I167" s="33"/>
    </row>
    <row r="168" spans="1:9" ht="15" customHeight="1" x14ac:dyDescent="0.3">
      <c r="A168" s="33"/>
      <c r="B168" s="79"/>
      <c r="D168" s="34"/>
      <c r="E168" s="34"/>
      <c r="F168" s="33"/>
      <c r="H168" s="33"/>
      <c r="I168" s="33"/>
    </row>
    <row r="169" spans="1:9" ht="15" customHeight="1" x14ac:dyDescent="0.3">
      <c r="A169" s="33"/>
      <c r="B169" s="79"/>
      <c r="D169" s="34"/>
      <c r="E169" s="34"/>
      <c r="F169" s="33"/>
      <c r="H169" s="33"/>
      <c r="I169" s="33"/>
    </row>
    <row r="170" spans="1:9" ht="15" customHeight="1" x14ac:dyDescent="0.3">
      <c r="A170" s="33"/>
      <c r="B170" s="79"/>
      <c r="D170" s="34"/>
      <c r="E170" s="34"/>
      <c r="F170" s="33"/>
      <c r="H170" s="33"/>
      <c r="I170" s="33"/>
    </row>
    <row r="171" spans="1:9" ht="15" customHeight="1" x14ac:dyDescent="0.3">
      <c r="A171" s="33"/>
      <c r="B171" s="79"/>
      <c r="D171" s="34"/>
      <c r="E171" s="34"/>
      <c r="F171" s="33"/>
      <c r="H171" s="33"/>
      <c r="I171" s="33"/>
    </row>
    <row r="172" spans="1:9" ht="15" customHeight="1" x14ac:dyDescent="0.3">
      <c r="A172" s="33"/>
      <c r="B172" s="79"/>
      <c r="D172" s="34"/>
      <c r="E172" s="34"/>
      <c r="F172" s="33"/>
      <c r="H172" s="33"/>
      <c r="I172" s="33"/>
    </row>
    <row r="173" spans="1:9" ht="15" customHeight="1" x14ac:dyDescent="0.3">
      <c r="A173" s="33"/>
      <c r="B173" s="79"/>
      <c r="D173" s="34"/>
      <c r="E173" s="34"/>
      <c r="F173" s="33"/>
      <c r="H173" s="33"/>
      <c r="I173" s="33"/>
    </row>
    <row r="174" spans="1:9" ht="15" customHeight="1" x14ac:dyDescent="0.3">
      <c r="A174" s="33"/>
      <c r="B174" s="79"/>
      <c r="D174" s="34"/>
      <c r="E174" s="34"/>
      <c r="F174" s="33"/>
      <c r="H174" s="33"/>
      <c r="I174" s="33"/>
    </row>
    <row r="175" spans="1:9" ht="15" customHeight="1" x14ac:dyDescent="0.3">
      <c r="A175" s="33"/>
      <c r="B175" s="79"/>
      <c r="D175" s="34"/>
      <c r="E175" s="34"/>
      <c r="F175" s="33"/>
      <c r="H175" s="33"/>
      <c r="I175" s="33"/>
    </row>
    <row r="176" spans="1:9" ht="15" customHeight="1" x14ac:dyDescent="0.3">
      <c r="A176" s="33"/>
      <c r="B176" s="79"/>
      <c r="D176" s="34"/>
      <c r="E176" s="34"/>
      <c r="F176" s="33"/>
      <c r="H176" s="33"/>
      <c r="I176" s="33"/>
    </row>
    <row r="177" spans="1:9" ht="15" customHeight="1" x14ac:dyDescent="0.3">
      <c r="A177" s="33"/>
      <c r="B177" s="79"/>
      <c r="D177" s="34"/>
      <c r="E177" s="34"/>
      <c r="F177" s="33"/>
      <c r="H177" s="33"/>
      <c r="I177" s="33"/>
    </row>
    <row r="178" spans="1:9" ht="15" customHeight="1" x14ac:dyDescent="0.3">
      <c r="A178" s="33"/>
      <c r="B178" s="79"/>
      <c r="D178" s="34"/>
      <c r="E178" s="34"/>
      <c r="F178" s="33"/>
      <c r="H178" s="33"/>
      <c r="I178" s="33"/>
    </row>
    <row r="179" spans="1:9" ht="15" customHeight="1" x14ac:dyDescent="0.3">
      <c r="A179" s="33"/>
      <c r="B179" s="79"/>
      <c r="D179" s="34"/>
      <c r="E179" s="34"/>
      <c r="F179" s="33"/>
      <c r="H179" s="33"/>
      <c r="I179" s="33"/>
    </row>
    <row r="180" spans="1:9" ht="15" customHeight="1" x14ac:dyDescent="0.3">
      <c r="A180" s="33"/>
      <c r="B180" s="79"/>
      <c r="D180" s="34"/>
      <c r="E180" s="34"/>
      <c r="F180" s="33"/>
      <c r="H180" s="33"/>
      <c r="I180" s="33"/>
    </row>
    <row r="181" spans="1:9" ht="15" customHeight="1" x14ac:dyDescent="0.3">
      <c r="A181" s="33"/>
      <c r="B181" s="79"/>
      <c r="D181" s="34"/>
      <c r="E181" s="34"/>
      <c r="F181" s="33"/>
      <c r="H181" s="33"/>
      <c r="I181" s="33"/>
    </row>
    <row r="182" spans="1:9" ht="15" customHeight="1" x14ac:dyDescent="0.3">
      <c r="A182" s="33"/>
      <c r="B182" s="79"/>
      <c r="D182" s="34"/>
      <c r="E182" s="34"/>
      <c r="F182" s="33"/>
      <c r="H182" s="33"/>
      <c r="I182" s="33"/>
    </row>
    <row r="183" spans="1:9" ht="15" customHeight="1" x14ac:dyDescent="0.3">
      <c r="A183" s="33"/>
      <c r="B183" s="79"/>
      <c r="D183" s="34"/>
      <c r="E183" s="34"/>
      <c r="F183" s="33"/>
      <c r="H183" s="33"/>
      <c r="I183" s="33"/>
    </row>
    <row r="184" spans="1:9" ht="15" customHeight="1" x14ac:dyDescent="0.3">
      <c r="A184" s="33"/>
      <c r="B184" s="79"/>
      <c r="D184" s="34"/>
      <c r="E184" s="34"/>
      <c r="F184" s="33"/>
      <c r="H184" s="33"/>
      <c r="I184" s="33"/>
    </row>
    <row r="185" spans="1:9" ht="15" customHeight="1" x14ac:dyDescent="0.3">
      <c r="A185" s="33"/>
      <c r="B185" s="79"/>
      <c r="D185" s="34"/>
      <c r="E185" s="34"/>
      <c r="F185" s="33"/>
      <c r="H185" s="33"/>
      <c r="I185" s="33"/>
    </row>
    <row r="186" spans="1:9" ht="15" customHeight="1" x14ac:dyDescent="0.3">
      <c r="A186" s="33"/>
      <c r="B186" s="79"/>
      <c r="D186" s="34"/>
      <c r="E186" s="34"/>
      <c r="F186" s="33"/>
      <c r="H186" s="33"/>
      <c r="I186" s="33"/>
    </row>
    <row r="187" spans="1:9" ht="15" customHeight="1" x14ac:dyDescent="0.3">
      <c r="A187" s="33"/>
      <c r="B187" s="79"/>
      <c r="D187" s="34"/>
      <c r="E187" s="34"/>
      <c r="F187" s="33"/>
      <c r="H187" s="33"/>
      <c r="I187" s="33"/>
    </row>
    <row r="188" spans="1:9" ht="15" customHeight="1" x14ac:dyDescent="0.3">
      <c r="A188" s="33"/>
      <c r="B188" s="79"/>
      <c r="D188" s="34"/>
      <c r="E188" s="34"/>
      <c r="F188" s="33"/>
      <c r="H188" s="33"/>
      <c r="I188" s="33"/>
    </row>
    <row r="189" spans="1:9" ht="15" customHeight="1" x14ac:dyDescent="0.3">
      <c r="A189" s="33"/>
      <c r="B189" s="79"/>
      <c r="D189" s="34"/>
      <c r="E189" s="34"/>
      <c r="F189" s="33"/>
      <c r="H189" s="33"/>
      <c r="I189" s="33"/>
    </row>
    <row r="190" spans="1:9" ht="15" customHeight="1" x14ac:dyDescent="0.3">
      <c r="A190" s="33"/>
      <c r="B190" s="79"/>
      <c r="D190" s="34"/>
      <c r="E190" s="34"/>
      <c r="F190" s="33"/>
      <c r="H190" s="33"/>
      <c r="I190" s="33"/>
    </row>
    <row r="191" spans="1:9" ht="15" customHeight="1" x14ac:dyDescent="0.3">
      <c r="A191" s="33"/>
      <c r="B191" s="79"/>
      <c r="D191" s="34"/>
      <c r="E191" s="34"/>
      <c r="F191" s="33"/>
      <c r="H191" s="33"/>
      <c r="I191" s="33"/>
    </row>
    <row r="192" spans="1:9" ht="15" customHeight="1" x14ac:dyDescent="0.3">
      <c r="A192" s="33"/>
      <c r="B192" s="79"/>
      <c r="D192" s="34"/>
      <c r="E192" s="34"/>
      <c r="F192" s="33"/>
      <c r="H192" s="33"/>
      <c r="I192" s="33"/>
    </row>
    <row r="193" spans="1:9" ht="15" customHeight="1" x14ac:dyDescent="0.3">
      <c r="A193" s="33"/>
      <c r="B193" s="79"/>
      <c r="D193" s="34"/>
      <c r="E193" s="34"/>
      <c r="F193" s="33"/>
      <c r="H193" s="33"/>
      <c r="I193" s="33"/>
    </row>
    <row r="194" spans="1:9" ht="15" customHeight="1" x14ac:dyDescent="0.3">
      <c r="A194" s="33"/>
      <c r="B194" s="79"/>
      <c r="D194" s="34"/>
      <c r="E194" s="34"/>
      <c r="F194" s="33"/>
      <c r="H194" s="33"/>
      <c r="I194" s="33"/>
    </row>
    <row r="195" spans="1:9" ht="15" customHeight="1" x14ac:dyDescent="0.3">
      <c r="A195" s="33"/>
      <c r="B195" s="79"/>
      <c r="D195" s="34"/>
      <c r="E195" s="34"/>
      <c r="F195" s="33"/>
      <c r="H195" s="33"/>
      <c r="I195" s="33"/>
    </row>
    <row r="196" spans="1:9" ht="15" customHeight="1" x14ac:dyDescent="0.3">
      <c r="A196" s="33"/>
      <c r="B196" s="79"/>
      <c r="D196" s="34"/>
      <c r="E196" s="34"/>
      <c r="F196" s="33"/>
      <c r="H196" s="33"/>
      <c r="I196" s="33"/>
    </row>
    <row r="197" spans="1:9" ht="15" customHeight="1" x14ac:dyDescent="0.3">
      <c r="A197" s="33"/>
      <c r="B197" s="79"/>
      <c r="D197" s="34"/>
      <c r="E197" s="34"/>
      <c r="F197" s="33"/>
      <c r="H197" s="33"/>
      <c r="I197" s="33"/>
    </row>
    <row r="198" spans="1:9" ht="15" customHeight="1" x14ac:dyDescent="0.3">
      <c r="A198" s="33"/>
      <c r="B198" s="79"/>
      <c r="D198" s="34"/>
      <c r="E198" s="34"/>
      <c r="F198" s="33"/>
      <c r="H198" s="33"/>
      <c r="I198" s="33"/>
    </row>
    <row r="199" spans="1:9" ht="15" customHeight="1" x14ac:dyDescent="0.3">
      <c r="A199" s="33"/>
      <c r="B199" s="79"/>
      <c r="D199" s="34"/>
      <c r="E199" s="34"/>
      <c r="F199" s="33"/>
      <c r="H199" s="33"/>
      <c r="I199" s="33"/>
    </row>
    <row r="200" spans="1:9" ht="15" customHeight="1" x14ac:dyDescent="0.3">
      <c r="A200" s="33"/>
      <c r="B200" s="79"/>
      <c r="D200" s="34"/>
      <c r="E200" s="34"/>
      <c r="F200" s="33"/>
      <c r="H200" s="33"/>
      <c r="I200" s="33"/>
    </row>
    <row r="201" spans="1:9" ht="15" customHeight="1" x14ac:dyDescent="0.3">
      <c r="A201" s="33"/>
      <c r="B201" s="79"/>
      <c r="D201" s="34"/>
      <c r="E201" s="34"/>
      <c r="F201" s="33"/>
      <c r="H201" s="33"/>
      <c r="I201" s="33"/>
    </row>
    <row r="202" spans="1:9" ht="15" customHeight="1" x14ac:dyDescent="0.3">
      <c r="A202" s="33"/>
      <c r="B202" s="79"/>
      <c r="D202" s="34"/>
      <c r="E202" s="34"/>
      <c r="F202" s="33"/>
      <c r="H202" s="33"/>
      <c r="I202" s="33"/>
    </row>
    <row r="203" spans="1:9" ht="15" customHeight="1" x14ac:dyDescent="0.3">
      <c r="A203" s="33"/>
      <c r="B203" s="79"/>
      <c r="D203" s="34"/>
      <c r="E203" s="34"/>
      <c r="F203" s="33"/>
      <c r="H203" s="33"/>
      <c r="I203" s="33"/>
    </row>
    <row r="204" spans="1:9" ht="15" customHeight="1" x14ac:dyDescent="0.3">
      <c r="A204" s="33"/>
      <c r="B204" s="79"/>
      <c r="D204" s="34"/>
      <c r="E204" s="34"/>
      <c r="F204" s="33"/>
      <c r="H204" s="33"/>
      <c r="I204" s="33"/>
    </row>
    <row r="205" spans="1:9" ht="15" customHeight="1" x14ac:dyDescent="0.3">
      <c r="A205" s="33"/>
      <c r="B205" s="79"/>
      <c r="D205" s="34"/>
      <c r="E205" s="34"/>
      <c r="F205" s="33"/>
      <c r="H205" s="33"/>
      <c r="I205" s="33"/>
    </row>
    <row r="206" spans="1:9" ht="15" customHeight="1" x14ac:dyDescent="0.3">
      <c r="A206" s="33"/>
      <c r="B206" s="79"/>
      <c r="D206" s="34"/>
      <c r="E206" s="34"/>
      <c r="F206" s="33"/>
      <c r="H206" s="33"/>
      <c r="I206" s="33"/>
    </row>
    <row r="207" spans="1:9" ht="15" customHeight="1" x14ac:dyDescent="0.3">
      <c r="A207" s="33"/>
      <c r="B207" s="79"/>
      <c r="D207" s="34"/>
      <c r="E207" s="34"/>
      <c r="F207" s="33"/>
      <c r="H207" s="33"/>
      <c r="I207" s="33"/>
    </row>
    <row r="208" spans="1:9" ht="15" customHeight="1" x14ac:dyDescent="0.3">
      <c r="A208" s="33"/>
      <c r="B208" s="79"/>
      <c r="D208" s="34"/>
      <c r="E208" s="34"/>
      <c r="F208" s="33"/>
      <c r="H208" s="33"/>
      <c r="I208" s="33"/>
    </row>
    <row r="209" spans="1:9" ht="15" customHeight="1" x14ac:dyDescent="0.3">
      <c r="A209" s="33"/>
      <c r="B209" s="79"/>
      <c r="D209" s="34"/>
      <c r="E209" s="34"/>
      <c r="F209" s="33"/>
      <c r="H209" s="33"/>
      <c r="I209" s="33"/>
    </row>
    <row r="210" spans="1:9" ht="15" customHeight="1" x14ac:dyDescent="0.3">
      <c r="A210" s="33"/>
      <c r="B210" s="79"/>
      <c r="D210" s="34"/>
      <c r="E210" s="34"/>
      <c r="F210" s="33"/>
      <c r="H210" s="33"/>
      <c r="I210" s="33"/>
    </row>
    <row r="211" spans="1:9" ht="15" customHeight="1" x14ac:dyDescent="0.3">
      <c r="A211" s="33"/>
      <c r="B211" s="79"/>
      <c r="D211" s="34"/>
      <c r="E211" s="34"/>
      <c r="F211" s="33"/>
      <c r="H211" s="33"/>
      <c r="I211" s="33"/>
    </row>
    <row r="212" spans="1:9" ht="15" customHeight="1" x14ac:dyDescent="0.3">
      <c r="A212" s="33"/>
      <c r="B212" s="79"/>
      <c r="D212" s="34"/>
      <c r="E212" s="34"/>
      <c r="F212" s="33"/>
      <c r="H212" s="33"/>
      <c r="I212" s="33"/>
    </row>
    <row r="213" spans="1:9" ht="15" customHeight="1" x14ac:dyDescent="0.3">
      <c r="A213" s="33"/>
      <c r="B213" s="79"/>
      <c r="D213" s="34"/>
      <c r="E213" s="34"/>
      <c r="F213" s="33"/>
      <c r="H213" s="33"/>
      <c r="I213" s="33"/>
    </row>
    <row r="214" spans="1:9" ht="15" customHeight="1" x14ac:dyDescent="0.3">
      <c r="A214" s="33"/>
      <c r="B214" s="79"/>
      <c r="D214" s="34"/>
      <c r="E214" s="34"/>
      <c r="F214" s="33"/>
      <c r="H214" s="33"/>
      <c r="I214" s="33"/>
    </row>
    <row r="215" spans="1:9" ht="15" customHeight="1" x14ac:dyDescent="0.3">
      <c r="A215" s="33"/>
      <c r="B215" s="79"/>
      <c r="D215" s="34"/>
      <c r="E215" s="34"/>
      <c r="F215" s="33"/>
      <c r="H215" s="33"/>
      <c r="I215" s="33"/>
    </row>
    <row r="216" spans="1:9" ht="15" customHeight="1" x14ac:dyDescent="0.3">
      <c r="A216" s="33"/>
      <c r="B216" s="79"/>
      <c r="D216" s="34"/>
      <c r="E216" s="34"/>
      <c r="F216" s="33"/>
      <c r="H216" s="33"/>
      <c r="I216" s="33"/>
    </row>
    <row r="217" spans="1:9" ht="15" customHeight="1" x14ac:dyDescent="0.3">
      <c r="A217" s="33"/>
      <c r="B217" s="79"/>
      <c r="D217" s="34"/>
      <c r="E217" s="34"/>
      <c r="F217" s="33"/>
      <c r="H217" s="33"/>
      <c r="I217" s="33"/>
    </row>
    <row r="218" spans="1:9" ht="15" customHeight="1" x14ac:dyDescent="0.3">
      <c r="A218" s="33"/>
      <c r="B218" s="79"/>
      <c r="D218" s="34"/>
      <c r="E218" s="34"/>
      <c r="F218" s="33"/>
      <c r="H218" s="33"/>
      <c r="I218" s="33"/>
    </row>
    <row r="219" spans="1:9" ht="15" customHeight="1" x14ac:dyDescent="0.3">
      <c r="A219" s="33"/>
      <c r="B219" s="79"/>
      <c r="D219" s="34"/>
      <c r="E219" s="34"/>
      <c r="F219" s="33"/>
      <c r="H219" s="33"/>
      <c r="I219" s="33"/>
    </row>
    <row r="220" spans="1:9" ht="15" customHeight="1" x14ac:dyDescent="0.3">
      <c r="A220" s="33"/>
      <c r="B220" s="79"/>
      <c r="D220" s="34"/>
      <c r="E220" s="34"/>
      <c r="F220" s="33"/>
      <c r="H220" s="33"/>
      <c r="I220" s="33"/>
    </row>
    <row r="221" spans="1:9" ht="15" customHeight="1" x14ac:dyDescent="0.3">
      <c r="A221" s="33"/>
      <c r="B221" s="79"/>
      <c r="D221" s="34"/>
      <c r="E221" s="34"/>
      <c r="F221" s="33"/>
      <c r="H221" s="33"/>
      <c r="I221" s="33"/>
    </row>
    <row r="222" spans="1:9" ht="15" customHeight="1" x14ac:dyDescent="0.3">
      <c r="A222" s="33"/>
      <c r="B222" s="79"/>
      <c r="D222" s="34"/>
      <c r="E222" s="34"/>
      <c r="F222" s="33"/>
      <c r="H222" s="33"/>
      <c r="I222" s="33"/>
    </row>
    <row r="223" spans="1:9" ht="15" customHeight="1" x14ac:dyDescent="0.3">
      <c r="A223" s="33"/>
      <c r="B223" s="79"/>
      <c r="D223" s="34"/>
      <c r="E223" s="34"/>
      <c r="F223" s="33"/>
      <c r="H223" s="33"/>
      <c r="I223" s="33"/>
    </row>
    <row r="224" spans="1:9" ht="15" customHeight="1" x14ac:dyDescent="0.3">
      <c r="A224" s="33"/>
      <c r="B224" s="79"/>
      <c r="D224" s="34"/>
      <c r="E224" s="34"/>
      <c r="F224" s="33"/>
      <c r="H224" s="33"/>
      <c r="I224" s="33"/>
    </row>
    <row r="225" spans="1:9" ht="15" customHeight="1" x14ac:dyDescent="0.3">
      <c r="A225" s="33"/>
      <c r="B225" s="79"/>
      <c r="D225" s="34"/>
      <c r="E225" s="34"/>
      <c r="F225" s="33"/>
      <c r="H225" s="33"/>
      <c r="I225" s="33"/>
    </row>
    <row r="226" spans="1:9" ht="15" customHeight="1" x14ac:dyDescent="0.3">
      <c r="A226" s="33"/>
      <c r="B226" s="79"/>
      <c r="D226" s="34"/>
      <c r="E226" s="34"/>
      <c r="F226" s="33"/>
      <c r="H226" s="33"/>
      <c r="I226" s="33"/>
    </row>
    <row r="227" spans="1:9" ht="15" customHeight="1" x14ac:dyDescent="0.3">
      <c r="A227" s="33"/>
      <c r="B227" s="79"/>
      <c r="D227" s="34"/>
      <c r="E227" s="34"/>
      <c r="F227" s="33"/>
      <c r="H227" s="33"/>
      <c r="I227" s="33"/>
    </row>
    <row r="228" spans="1:9" ht="15" customHeight="1" x14ac:dyDescent="0.3">
      <c r="A228" s="33"/>
      <c r="B228" s="79"/>
      <c r="D228" s="34"/>
      <c r="E228" s="34"/>
      <c r="F228" s="33"/>
      <c r="H228" s="33"/>
      <c r="I228" s="33"/>
    </row>
    <row r="229" spans="1:9" ht="15" customHeight="1" x14ac:dyDescent="0.3">
      <c r="A229" s="33"/>
      <c r="B229" s="79"/>
      <c r="D229" s="34"/>
      <c r="E229" s="34"/>
      <c r="F229" s="33"/>
      <c r="H229" s="33"/>
      <c r="I229" s="33"/>
    </row>
    <row r="230" spans="1:9" ht="15" customHeight="1" x14ac:dyDescent="0.3">
      <c r="A230" s="33"/>
      <c r="B230" s="79"/>
      <c r="D230" s="34"/>
      <c r="E230" s="34"/>
      <c r="F230" s="33"/>
      <c r="H230" s="33"/>
      <c r="I230" s="33"/>
    </row>
    <row r="231" spans="1:9" ht="15" customHeight="1" x14ac:dyDescent="0.3">
      <c r="A231" s="33"/>
      <c r="B231" s="79"/>
      <c r="D231" s="34"/>
      <c r="E231" s="34"/>
      <c r="F231" s="33"/>
      <c r="H231" s="33"/>
      <c r="I231" s="33"/>
    </row>
    <row r="232" spans="1:9" ht="15" customHeight="1" x14ac:dyDescent="0.3">
      <c r="A232" s="33"/>
      <c r="B232" s="79"/>
      <c r="D232" s="34"/>
      <c r="E232" s="34"/>
      <c r="F232" s="33"/>
      <c r="H232" s="33"/>
      <c r="I232" s="33"/>
    </row>
    <row r="233" spans="1:9" ht="15" customHeight="1" x14ac:dyDescent="0.3">
      <c r="A233" s="33"/>
      <c r="B233" s="79"/>
      <c r="D233" s="34"/>
      <c r="E233" s="34"/>
      <c r="F233" s="33"/>
      <c r="H233" s="33"/>
      <c r="I233" s="33"/>
    </row>
    <row r="234" spans="1:9" ht="15" customHeight="1" x14ac:dyDescent="0.3">
      <c r="A234" s="33"/>
      <c r="B234" s="79"/>
      <c r="D234" s="34"/>
      <c r="E234" s="34"/>
      <c r="F234" s="33"/>
      <c r="H234" s="33"/>
      <c r="I234" s="33"/>
    </row>
    <row r="235" spans="1:9" ht="15" customHeight="1" x14ac:dyDescent="0.3">
      <c r="A235" s="33"/>
      <c r="B235" s="79"/>
      <c r="D235" s="34"/>
      <c r="E235" s="34"/>
      <c r="F235" s="33"/>
      <c r="H235" s="33"/>
      <c r="I235" s="33"/>
    </row>
    <row r="236" spans="1:9" ht="15" customHeight="1" x14ac:dyDescent="0.3">
      <c r="A236" s="33"/>
      <c r="B236" s="79"/>
      <c r="D236" s="34"/>
      <c r="E236" s="34"/>
      <c r="F236" s="33"/>
      <c r="H236" s="33"/>
      <c r="I236" s="33"/>
    </row>
    <row r="237" spans="1:9" ht="15" customHeight="1" x14ac:dyDescent="0.3">
      <c r="A237" s="33"/>
      <c r="D237" s="34"/>
      <c r="E237" s="34"/>
      <c r="F237" s="33"/>
      <c r="H237" s="33"/>
      <c r="I237" s="33"/>
    </row>
    <row r="238" spans="1:9" ht="15" customHeight="1" x14ac:dyDescent="0.3">
      <c r="A238" s="33"/>
      <c r="D238" s="34"/>
      <c r="E238" s="34"/>
      <c r="F238" s="33"/>
      <c r="H238" s="33"/>
      <c r="I238" s="33"/>
    </row>
    <row r="239" spans="1:9" ht="15" customHeight="1" x14ac:dyDescent="0.3">
      <c r="A239" s="33"/>
      <c r="D239" s="34"/>
      <c r="E239" s="34"/>
      <c r="F239" s="33"/>
      <c r="H239" s="33"/>
      <c r="I239" s="33"/>
    </row>
    <row r="240" spans="1:9" ht="15" customHeight="1" x14ac:dyDescent="0.3">
      <c r="A240" s="33"/>
      <c r="D240" s="34"/>
      <c r="E240" s="34"/>
      <c r="F240" s="33"/>
      <c r="H240" s="33"/>
      <c r="I240" s="33"/>
    </row>
    <row r="241" spans="1:9" ht="15" customHeight="1" x14ac:dyDescent="0.3">
      <c r="A241" s="33"/>
      <c r="D241" s="34"/>
      <c r="E241" s="34"/>
      <c r="F241" s="33"/>
      <c r="H241" s="33"/>
      <c r="I241" s="33"/>
    </row>
    <row r="242" spans="1:9" ht="15" customHeight="1" x14ac:dyDescent="0.3">
      <c r="A242" s="33"/>
      <c r="D242" s="34"/>
      <c r="E242" s="34"/>
      <c r="F242" s="33"/>
      <c r="H242" s="33"/>
      <c r="I242" s="33"/>
    </row>
    <row r="243" spans="1:9" ht="15" customHeight="1" x14ac:dyDescent="0.3">
      <c r="A243" s="33"/>
      <c r="D243" s="34"/>
      <c r="E243" s="34"/>
      <c r="F243" s="33"/>
      <c r="H243" s="33"/>
      <c r="I243" s="33"/>
    </row>
    <row r="244" spans="1:9" ht="15" customHeight="1" x14ac:dyDescent="0.3">
      <c r="A244" s="33"/>
      <c r="D244" s="34"/>
      <c r="E244" s="34"/>
      <c r="F244" s="33"/>
      <c r="H244" s="33"/>
      <c r="I244" s="33"/>
    </row>
    <row r="245" spans="1:9" ht="15" customHeight="1" x14ac:dyDescent="0.3">
      <c r="A245" s="33"/>
      <c r="D245" s="34"/>
      <c r="E245" s="34"/>
      <c r="F245" s="33"/>
      <c r="H245" s="33"/>
      <c r="I245" s="33"/>
    </row>
    <row r="246" spans="1:9" ht="15" customHeight="1" x14ac:dyDescent="0.3">
      <c r="A246" s="33"/>
      <c r="D246" s="34"/>
      <c r="E246" s="34"/>
      <c r="F246" s="33"/>
      <c r="H246" s="33"/>
      <c r="I246" s="33"/>
    </row>
    <row r="247" spans="1:9" ht="15" customHeight="1" x14ac:dyDescent="0.3">
      <c r="A247" s="33"/>
      <c r="D247" s="34"/>
      <c r="E247" s="34"/>
      <c r="F247" s="33"/>
      <c r="H247" s="33"/>
      <c r="I247" s="33"/>
    </row>
    <row r="248" spans="1:9" ht="15" customHeight="1" x14ac:dyDescent="0.3">
      <c r="A248" s="33"/>
      <c r="D248" s="34"/>
      <c r="E248" s="34"/>
      <c r="F248" s="33"/>
      <c r="H248" s="33"/>
      <c r="I248" s="33"/>
    </row>
    <row r="249" spans="1:9" ht="15" customHeight="1" x14ac:dyDescent="0.3">
      <c r="A249" s="33"/>
      <c r="D249" s="34"/>
      <c r="E249" s="34"/>
      <c r="F249" s="33"/>
      <c r="H249" s="33"/>
      <c r="I249" s="33"/>
    </row>
    <row r="250" spans="1:9" ht="15" customHeight="1" x14ac:dyDescent="0.3">
      <c r="A250" s="33"/>
      <c r="D250" s="34"/>
      <c r="E250" s="34"/>
      <c r="F250" s="33"/>
      <c r="H250" s="33"/>
      <c r="I250" s="33"/>
    </row>
    <row r="251" spans="1:9" ht="15" customHeight="1" x14ac:dyDescent="0.3">
      <c r="A251" s="33"/>
      <c r="D251" s="34"/>
      <c r="E251" s="34"/>
      <c r="F251" s="33"/>
      <c r="H251" s="33"/>
      <c r="I251" s="33"/>
    </row>
    <row r="252" spans="1:9" ht="15" customHeight="1" x14ac:dyDescent="0.3">
      <c r="A252" s="33"/>
      <c r="D252" s="34"/>
      <c r="E252" s="34"/>
      <c r="F252" s="33"/>
      <c r="H252" s="33"/>
      <c r="I252" s="33"/>
    </row>
    <row r="253" spans="1:9" ht="15" customHeight="1" x14ac:dyDescent="0.3">
      <c r="A253" s="33"/>
      <c r="D253" s="34"/>
      <c r="E253" s="34"/>
      <c r="F253" s="33"/>
      <c r="H253" s="33"/>
      <c r="I253" s="33"/>
    </row>
    <row r="254" spans="1:9" ht="15" customHeight="1" x14ac:dyDescent="0.3">
      <c r="A254" s="33"/>
      <c r="D254" s="34"/>
      <c r="E254" s="34"/>
      <c r="F254" s="33"/>
      <c r="H254" s="33"/>
      <c r="I254" s="33"/>
    </row>
    <row r="255" spans="1:9" ht="15" customHeight="1" x14ac:dyDescent="0.3">
      <c r="A255" s="33"/>
      <c r="D255" s="34"/>
      <c r="E255" s="34"/>
      <c r="F255" s="33"/>
      <c r="H255" s="33"/>
      <c r="I255" s="33"/>
    </row>
    <row r="256" spans="1:9" ht="15" customHeight="1" x14ac:dyDescent="0.3">
      <c r="A256" s="33"/>
      <c r="D256" s="34"/>
      <c r="E256" s="34"/>
      <c r="F256" s="33"/>
      <c r="H256" s="33"/>
      <c r="I256" s="33"/>
    </row>
    <row r="257" spans="1:9" ht="15" customHeight="1" x14ac:dyDescent="0.3">
      <c r="A257" s="33"/>
      <c r="D257" s="34"/>
      <c r="E257" s="34"/>
      <c r="F257" s="33"/>
      <c r="H257" s="33"/>
      <c r="I257" s="33"/>
    </row>
    <row r="258" spans="1:9" ht="15" customHeight="1" x14ac:dyDescent="0.3">
      <c r="A258" s="33"/>
      <c r="D258" s="34"/>
      <c r="E258" s="34"/>
      <c r="F258" s="33"/>
      <c r="H258" s="33"/>
      <c r="I258" s="33"/>
    </row>
    <row r="259" spans="1:9" ht="15" customHeight="1" x14ac:dyDescent="0.3">
      <c r="A259" s="33"/>
      <c r="D259" s="34"/>
      <c r="E259" s="34"/>
      <c r="F259" s="33"/>
      <c r="H259" s="33"/>
      <c r="I259" s="33"/>
    </row>
    <row r="260" spans="1:9" ht="15" customHeight="1" x14ac:dyDescent="0.3">
      <c r="A260" s="33"/>
      <c r="D260" s="34"/>
      <c r="E260" s="34"/>
      <c r="F260" s="33"/>
      <c r="H260" s="33"/>
      <c r="I260" s="33"/>
    </row>
    <row r="261" spans="1:9" ht="15" customHeight="1" x14ac:dyDescent="0.3">
      <c r="A261" s="33"/>
      <c r="D261" s="34"/>
      <c r="E261" s="34"/>
      <c r="F261" s="33"/>
      <c r="H261" s="33"/>
      <c r="I261" s="33"/>
    </row>
    <row r="262" spans="1:9" ht="15" customHeight="1" x14ac:dyDescent="0.3">
      <c r="A262" s="33"/>
      <c r="D262" s="34"/>
      <c r="E262" s="34"/>
      <c r="F262" s="33"/>
      <c r="H262" s="33"/>
      <c r="I262" s="33"/>
    </row>
    <row r="263" spans="1:9" ht="15" customHeight="1" x14ac:dyDescent="0.3">
      <c r="A263" s="33"/>
      <c r="D263" s="34"/>
      <c r="E263" s="34"/>
      <c r="F263" s="33"/>
      <c r="H263" s="33"/>
      <c r="I263" s="33"/>
    </row>
    <row r="264" spans="1:9" ht="15" customHeight="1" x14ac:dyDescent="0.3">
      <c r="A264" s="33"/>
      <c r="D264" s="34"/>
      <c r="E264" s="34"/>
      <c r="F264" s="33"/>
      <c r="H264" s="33"/>
      <c r="I264" s="33"/>
    </row>
    <row r="265" spans="1:9" ht="15" customHeight="1" x14ac:dyDescent="0.3">
      <c r="A265" s="33"/>
      <c r="D265" s="34"/>
      <c r="E265" s="34"/>
      <c r="F265" s="33"/>
      <c r="H265" s="33"/>
      <c r="I265" s="33"/>
    </row>
    <row r="266" spans="1:9" ht="15" customHeight="1" x14ac:dyDescent="0.3">
      <c r="A266" s="33"/>
      <c r="D266" s="34"/>
      <c r="E266" s="34"/>
      <c r="F266" s="33"/>
      <c r="H266" s="33"/>
      <c r="I266" s="33"/>
    </row>
    <row r="267" spans="1:9" ht="15" customHeight="1" x14ac:dyDescent="0.3">
      <c r="A267" s="33"/>
      <c r="D267" s="34"/>
      <c r="E267" s="34"/>
      <c r="F267" s="33"/>
      <c r="H267" s="33"/>
      <c r="I267" s="33"/>
    </row>
    <row r="268" spans="1:9" ht="15" customHeight="1" x14ac:dyDescent="0.3">
      <c r="A268" s="33"/>
      <c r="D268" s="34"/>
      <c r="E268" s="34"/>
      <c r="F268" s="33"/>
      <c r="H268" s="33"/>
      <c r="I268" s="33"/>
    </row>
    <row r="269" spans="1:9" ht="15" customHeight="1" x14ac:dyDescent="0.3">
      <c r="A269" s="33"/>
      <c r="D269" s="34"/>
      <c r="E269" s="34"/>
      <c r="F269" s="33"/>
      <c r="H269" s="33"/>
      <c r="I269" s="33"/>
    </row>
    <row r="270" spans="1:9" ht="15" customHeight="1" x14ac:dyDescent="0.3">
      <c r="A270" s="33"/>
      <c r="D270" s="34"/>
      <c r="E270" s="34"/>
      <c r="F270" s="33"/>
      <c r="H270" s="33"/>
      <c r="I270" s="33"/>
    </row>
    <row r="271" spans="1:9" ht="15" customHeight="1" x14ac:dyDescent="0.3">
      <c r="A271" s="33"/>
      <c r="D271" s="34"/>
      <c r="E271" s="34"/>
      <c r="F271" s="33"/>
      <c r="H271" s="33"/>
      <c r="I271" s="33"/>
    </row>
    <row r="272" spans="1:9" ht="15" customHeight="1" x14ac:dyDescent="0.3">
      <c r="A272" s="33"/>
      <c r="D272" s="34"/>
      <c r="E272" s="34"/>
      <c r="F272" s="33"/>
      <c r="H272" s="33"/>
      <c r="I272" s="33"/>
    </row>
    <row r="273" spans="1:9" ht="15" customHeight="1" x14ac:dyDescent="0.3">
      <c r="A273" s="33"/>
      <c r="D273" s="34"/>
      <c r="E273" s="34"/>
      <c r="F273" s="33"/>
      <c r="H273" s="33"/>
      <c r="I273" s="33"/>
    </row>
    <row r="274" spans="1:9" ht="15" customHeight="1" x14ac:dyDescent="0.3">
      <c r="A274" s="33"/>
      <c r="D274" s="34"/>
      <c r="E274" s="34"/>
      <c r="F274" s="33"/>
      <c r="H274" s="33"/>
      <c r="I274" s="33"/>
    </row>
    <row r="275" spans="1:9" ht="15" customHeight="1" x14ac:dyDescent="0.3">
      <c r="A275" s="33"/>
      <c r="D275" s="34"/>
      <c r="E275" s="34"/>
      <c r="F275" s="33"/>
      <c r="H275" s="33"/>
      <c r="I275" s="33"/>
    </row>
    <row r="276" spans="1:9" ht="15" customHeight="1" x14ac:dyDescent="0.3">
      <c r="A276" s="33"/>
      <c r="D276" s="34"/>
      <c r="E276" s="34"/>
      <c r="F276" s="33"/>
      <c r="H276" s="33"/>
      <c r="I276" s="33"/>
    </row>
    <row r="277" spans="1:9" ht="15" customHeight="1" x14ac:dyDescent="0.3">
      <c r="A277" s="33"/>
      <c r="D277" s="34"/>
      <c r="E277" s="34"/>
      <c r="F277" s="33"/>
      <c r="H277" s="33"/>
      <c r="I277" s="33"/>
    </row>
    <row r="278" spans="1:9" ht="15" customHeight="1" x14ac:dyDescent="0.3">
      <c r="A278" s="33"/>
      <c r="D278" s="34"/>
      <c r="E278" s="34"/>
      <c r="F278" s="33"/>
      <c r="H278" s="33"/>
      <c r="I278" s="33"/>
    </row>
    <row r="279" spans="1:9" ht="15" customHeight="1" x14ac:dyDescent="0.3">
      <c r="A279" s="33"/>
      <c r="D279" s="34"/>
      <c r="E279" s="34"/>
      <c r="F279" s="33"/>
      <c r="H279" s="33"/>
      <c r="I279" s="33"/>
    </row>
    <row r="280" spans="1:9" ht="15" customHeight="1" x14ac:dyDescent="0.3">
      <c r="A280" s="33"/>
      <c r="D280" s="34"/>
      <c r="E280" s="34"/>
      <c r="F280" s="33"/>
      <c r="H280" s="33"/>
      <c r="I280" s="33"/>
    </row>
    <row r="281" spans="1:9" ht="15" customHeight="1" x14ac:dyDescent="0.3">
      <c r="A281" s="33"/>
      <c r="D281" s="34"/>
      <c r="E281" s="34"/>
      <c r="F281" s="33"/>
      <c r="H281" s="33"/>
      <c r="I281" s="33"/>
    </row>
    <row r="282" spans="1:9" ht="15" customHeight="1" x14ac:dyDescent="0.3">
      <c r="A282" s="33"/>
      <c r="D282" s="34"/>
      <c r="E282" s="34"/>
      <c r="F282" s="33"/>
      <c r="H282" s="33"/>
      <c r="I282" s="33"/>
    </row>
    <row r="283" spans="1:9" ht="15" customHeight="1" x14ac:dyDescent="0.3">
      <c r="A283" s="33"/>
      <c r="D283" s="34"/>
      <c r="E283" s="34"/>
      <c r="F283" s="33"/>
      <c r="H283" s="33"/>
      <c r="I283" s="33"/>
    </row>
    <row r="284" spans="1:9" ht="15" customHeight="1" x14ac:dyDescent="0.3">
      <c r="A284" s="33"/>
      <c r="D284" s="34"/>
      <c r="E284" s="34"/>
      <c r="F284" s="33"/>
      <c r="H284" s="33"/>
      <c r="I284" s="33"/>
    </row>
    <row r="285" spans="1:9" ht="15" customHeight="1" x14ac:dyDescent="0.3">
      <c r="A285" s="33"/>
      <c r="D285" s="34"/>
      <c r="E285" s="34"/>
      <c r="F285" s="33"/>
      <c r="H285" s="33"/>
      <c r="I285" s="33"/>
    </row>
    <row r="286" spans="1:9" ht="15" customHeight="1" x14ac:dyDescent="0.3">
      <c r="A286" s="33"/>
      <c r="D286" s="34"/>
      <c r="E286" s="34"/>
      <c r="F286" s="33"/>
      <c r="H286" s="33"/>
      <c r="I286" s="33"/>
    </row>
    <row r="287" spans="1:9" ht="15" customHeight="1" x14ac:dyDescent="0.3">
      <c r="A287" s="33"/>
      <c r="D287" s="34"/>
      <c r="E287" s="34"/>
      <c r="F287" s="33"/>
      <c r="H287" s="33"/>
      <c r="I287" s="33"/>
    </row>
    <row r="288" spans="1:9" ht="15" customHeight="1" x14ac:dyDescent="0.3">
      <c r="A288" s="33"/>
      <c r="D288" s="34"/>
      <c r="E288" s="34"/>
      <c r="F288" s="33"/>
      <c r="H288" s="33"/>
      <c r="I288" s="33"/>
    </row>
    <row r="289" spans="1:9" ht="15" customHeight="1" x14ac:dyDescent="0.3">
      <c r="A289" s="33"/>
      <c r="D289" s="34"/>
      <c r="E289" s="34"/>
      <c r="F289" s="33"/>
      <c r="H289" s="33"/>
      <c r="I289" s="33"/>
    </row>
    <row r="290" spans="1:9" ht="15" customHeight="1" x14ac:dyDescent="0.3">
      <c r="A290" s="33"/>
      <c r="D290" s="34"/>
      <c r="E290" s="34"/>
      <c r="F290" s="33"/>
      <c r="H290" s="33"/>
      <c r="I290" s="33"/>
    </row>
    <row r="291" spans="1:9" ht="15" customHeight="1" x14ac:dyDescent="0.3">
      <c r="A291" s="33"/>
      <c r="D291" s="34"/>
      <c r="E291" s="34"/>
      <c r="F291" s="33"/>
      <c r="H291" s="33"/>
      <c r="I291" s="33"/>
    </row>
    <row r="292" spans="1:9" ht="15" customHeight="1" x14ac:dyDescent="0.3">
      <c r="A292" s="33"/>
      <c r="D292" s="34"/>
      <c r="E292" s="34"/>
      <c r="F292" s="33"/>
      <c r="H292" s="33"/>
      <c r="I292" s="33"/>
    </row>
    <row r="293" spans="1:9" ht="15" customHeight="1" x14ac:dyDescent="0.3">
      <c r="A293" s="33"/>
      <c r="D293" s="34"/>
      <c r="E293" s="34"/>
      <c r="F293" s="33"/>
      <c r="H293" s="33"/>
      <c r="I293" s="33"/>
    </row>
    <row r="294" spans="1:9" ht="15" customHeight="1" x14ac:dyDescent="0.3">
      <c r="A294" s="33"/>
      <c r="D294" s="34"/>
      <c r="E294" s="34"/>
      <c r="F294" s="33"/>
      <c r="H294" s="33"/>
      <c r="I294" s="33"/>
    </row>
    <row r="295" spans="1:9" ht="15" customHeight="1" x14ac:dyDescent="0.3">
      <c r="A295" s="33"/>
      <c r="D295" s="34"/>
      <c r="E295" s="34"/>
      <c r="F295" s="33"/>
      <c r="H295" s="33"/>
      <c r="I295" s="33"/>
    </row>
    <row r="296" spans="1:9" ht="15" customHeight="1" x14ac:dyDescent="0.3">
      <c r="A296" s="33"/>
      <c r="D296" s="34"/>
      <c r="E296" s="34"/>
      <c r="F296" s="33"/>
      <c r="H296" s="33"/>
      <c r="I296" s="33"/>
    </row>
    <row r="297" spans="1:9" ht="15" customHeight="1" x14ac:dyDescent="0.3">
      <c r="A297" s="33"/>
      <c r="D297" s="34"/>
      <c r="E297" s="34"/>
      <c r="F297" s="33"/>
      <c r="H297" s="33"/>
      <c r="I297" s="33"/>
    </row>
    <row r="298" spans="1:9" ht="15" customHeight="1" x14ac:dyDescent="0.3">
      <c r="A298" s="33"/>
      <c r="D298" s="34"/>
      <c r="E298" s="34"/>
      <c r="F298" s="33"/>
      <c r="H298" s="33"/>
      <c r="I298" s="33"/>
    </row>
    <row r="299" spans="1:9" ht="15" customHeight="1" x14ac:dyDescent="0.3">
      <c r="A299" s="33"/>
      <c r="D299" s="34"/>
      <c r="E299" s="34"/>
      <c r="F299" s="33"/>
      <c r="H299" s="33"/>
      <c r="I299" s="33"/>
    </row>
    <row r="300" spans="1:9" ht="15" customHeight="1" x14ac:dyDescent="0.3">
      <c r="A300" s="33"/>
      <c r="D300" s="34"/>
      <c r="E300" s="34"/>
      <c r="F300" s="33"/>
      <c r="H300" s="33"/>
      <c r="I300" s="33"/>
    </row>
    <row r="301" spans="1:9" ht="15" customHeight="1" x14ac:dyDescent="0.3">
      <c r="A301" s="33"/>
      <c r="D301" s="34"/>
      <c r="E301" s="34"/>
      <c r="F301" s="33"/>
      <c r="H301" s="33"/>
      <c r="I301" s="33"/>
    </row>
    <row r="302" spans="1:9" ht="15" customHeight="1" x14ac:dyDescent="0.3">
      <c r="A302" s="33"/>
      <c r="D302" s="34"/>
      <c r="E302" s="34"/>
      <c r="F302" s="33"/>
      <c r="H302" s="33"/>
      <c r="I302" s="33"/>
    </row>
    <row r="303" spans="1:9" ht="15" customHeight="1" x14ac:dyDescent="0.3">
      <c r="A303" s="33"/>
      <c r="D303" s="34"/>
      <c r="E303" s="34"/>
      <c r="F303" s="33"/>
      <c r="H303" s="33"/>
      <c r="I303" s="33"/>
    </row>
    <row r="304" spans="1:9" ht="15" customHeight="1" x14ac:dyDescent="0.3">
      <c r="A304" s="33"/>
      <c r="D304" s="34"/>
      <c r="E304" s="34"/>
      <c r="F304" s="33"/>
      <c r="H304" s="33"/>
      <c r="I304" s="33"/>
    </row>
    <row r="305" spans="1:9" ht="15" customHeight="1" x14ac:dyDescent="0.3">
      <c r="A305" s="33"/>
      <c r="D305" s="34"/>
      <c r="E305" s="34"/>
      <c r="F305" s="33"/>
      <c r="H305" s="33"/>
      <c r="I305" s="33"/>
    </row>
    <row r="306" spans="1:9" ht="15" customHeight="1" x14ac:dyDescent="0.3">
      <c r="A306" s="33"/>
      <c r="D306" s="34"/>
      <c r="E306" s="34"/>
      <c r="F306" s="33"/>
      <c r="H306" s="33"/>
      <c r="I306" s="33"/>
    </row>
    <row r="307" spans="1:9" ht="15" customHeight="1" x14ac:dyDescent="0.3">
      <c r="A307" s="33"/>
      <c r="D307" s="34"/>
      <c r="E307" s="34"/>
      <c r="F307" s="33"/>
      <c r="H307" s="33"/>
      <c r="I307" s="33"/>
    </row>
    <row r="308" spans="1:9" ht="15" customHeight="1" x14ac:dyDescent="0.3">
      <c r="A308" s="33"/>
      <c r="D308" s="34"/>
      <c r="E308" s="34"/>
      <c r="F308" s="33"/>
      <c r="H308" s="33"/>
      <c r="I308" s="33"/>
    </row>
    <row r="309" spans="1:9" ht="15" customHeight="1" x14ac:dyDescent="0.3">
      <c r="A309" s="33"/>
      <c r="D309" s="34"/>
      <c r="E309" s="34"/>
      <c r="F309" s="33"/>
      <c r="H309" s="33"/>
      <c r="I309" s="33"/>
    </row>
    <row r="310" spans="1:9" ht="15" customHeight="1" x14ac:dyDescent="0.3">
      <c r="A310" s="33"/>
      <c r="D310" s="34"/>
      <c r="E310" s="34"/>
      <c r="F310" s="33"/>
      <c r="H310" s="33"/>
      <c r="I310" s="33"/>
    </row>
    <row r="311" spans="1:9" ht="15" customHeight="1" x14ac:dyDescent="0.3">
      <c r="A311" s="33"/>
      <c r="D311" s="34"/>
      <c r="E311" s="34"/>
      <c r="F311" s="33"/>
      <c r="H311" s="33"/>
      <c r="I311" s="33"/>
    </row>
    <row r="312" spans="1:9" ht="15" customHeight="1" x14ac:dyDescent="0.3">
      <c r="A312" s="33"/>
      <c r="D312" s="34"/>
      <c r="E312" s="34"/>
      <c r="F312" s="33"/>
      <c r="H312" s="33"/>
      <c r="I312" s="33"/>
    </row>
    <row r="313" spans="1:9" ht="15" customHeight="1" x14ac:dyDescent="0.3">
      <c r="A313" s="33"/>
      <c r="D313" s="34"/>
      <c r="E313" s="34"/>
      <c r="F313" s="33"/>
      <c r="H313" s="33"/>
      <c r="I313" s="33"/>
    </row>
    <row r="314" spans="1:9" ht="15" customHeight="1" x14ac:dyDescent="0.3">
      <c r="A314" s="33"/>
      <c r="D314" s="34"/>
      <c r="E314" s="34"/>
      <c r="F314" s="33"/>
      <c r="H314" s="33"/>
      <c r="I314" s="33"/>
    </row>
    <row r="315" spans="1:9" ht="15" customHeight="1" x14ac:dyDescent="0.3">
      <c r="A315" s="33"/>
      <c r="D315" s="34"/>
      <c r="E315" s="34"/>
      <c r="F315" s="33"/>
    </row>
    <row r="316" spans="1:9" ht="15" customHeight="1" x14ac:dyDescent="0.3">
      <c r="A316" s="33"/>
      <c r="D316" s="34"/>
      <c r="E316" s="34"/>
      <c r="F316" s="33"/>
    </row>
    <row r="317" spans="1:9" ht="15" customHeight="1" x14ac:dyDescent="0.3">
      <c r="A317" s="33"/>
      <c r="D317" s="34"/>
      <c r="E317" s="34"/>
      <c r="F317" s="33"/>
    </row>
    <row r="318" spans="1:9" ht="15" customHeight="1" x14ac:dyDescent="0.3">
      <c r="A318" s="33"/>
      <c r="D318" s="34"/>
      <c r="E318" s="34"/>
      <c r="F318" s="33"/>
    </row>
    <row r="319" spans="1:9" ht="15" customHeight="1" x14ac:dyDescent="0.3">
      <c r="A319" s="33"/>
      <c r="D319" s="34"/>
      <c r="E319" s="34"/>
      <c r="F319" s="33"/>
    </row>
    <row r="320" spans="1:9" ht="15" customHeight="1" x14ac:dyDescent="0.3">
      <c r="A320" s="33"/>
      <c r="D320" s="34"/>
      <c r="E320" s="34"/>
      <c r="F320" s="33"/>
    </row>
    <row r="321" spans="1:6" ht="15" customHeight="1" x14ac:dyDescent="0.3">
      <c r="A321" s="33"/>
      <c r="D321" s="34"/>
      <c r="E321" s="34"/>
      <c r="F321" s="33"/>
    </row>
    <row r="322" spans="1:6" ht="15" customHeight="1" x14ac:dyDescent="0.3">
      <c r="A322" s="33"/>
      <c r="D322" s="34"/>
      <c r="E322" s="34"/>
      <c r="F322" s="33"/>
    </row>
    <row r="323" spans="1:6" ht="15" customHeight="1" x14ac:dyDescent="0.3">
      <c r="A323" s="33"/>
      <c r="D323" s="34"/>
      <c r="E323" s="34"/>
      <c r="F323" s="33"/>
    </row>
    <row r="324" spans="1:6" ht="15" customHeight="1" x14ac:dyDescent="0.3">
      <c r="A324" s="33"/>
      <c r="D324" s="34"/>
      <c r="E324" s="34"/>
      <c r="F324" s="33"/>
    </row>
    <row r="325" spans="1:6" ht="15" customHeight="1" x14ac:dyDescent="0.3">
      <c r="A325" s="33"/>
      <c r="D325" s="34"/>
      <c r="E325" s="34"/>
      <c r="F325" s="33"/>
    </row>
    <row r="326" spans="1:6" ht="15" customHeight="1" x14ac:dyDescent="0.3">
      <c r="A326" s="33"/>
      <c r="D326" s="34"/>
      <c r="E326" s="34"/>
      <c r="F326" s="33"/>
    </row>
    <row r="327" spans="1:6" ht="15" customHeight="1" x14ac:dyDescent="0.3">
      <c r="A327" s="33"/>
      <c r="D327" s="34"/>
      <c r="E327" s="34"/>
      <c r="F327" s="33"/>
    </row>
    <row r="328" spans="1:6" ht="15" customHeight="1" x14ac:dyDescent="0.3">
      <c r="A328" s="33"/>
      <c r="D328" s="34"/>
      <c r="E328" s="34"/>
      <c r="F328" s="33"/>
    </row>
    <row r="329" spans="1:6" ht="15" customHeight="1" x14ac:dyDescent="0.3">
      <c r="A329" s="33"/>
      <c r="D329" s="34"/>
      <c r="E329" s="34"/>
      <c r="F329" s="33"/>
    </row>
    <row r="330" spans="1:6" ht="15" customHeight="1" x14ac:dyDescent="0.3">
      <c r="A330" s="33"/>
      <c r="D330" s="34"/>
      <c r="E330" s="34"/>
      <c r="F330" s="33"/>
    </row>
    <row r="331" spans="1:6" ht="15" customHeight="1" x14ac:dyDescent="0.3">
      <c r="A331" s="33"/>
      <c r="D331" s="34"/>
      <c r="E331" s="34"/>
      <c r="F331" s="33"/>
    </row>
    <row r="332" spans="1:6" ht="15" customHeight="1" x14ac:dyDescent="0.3">
      <c r="A332" s="33"/>
      <c r="D332" s="34"/>
      <c r="E332" s="34"/>
      <c r="F332" s="33"/>
    </row>
    <row r="333" spans="1:6" ht="15" customHeight="1" x14ac:dyDescent="0.3">
      <c r="A333" s="33"/>
      <c r="D333" s="34"/>
      <c r="E333" s="34"/>
      <c r="F333" s="33"/>
    </row>
    <row r="334" spans="1:6" ht="15" customHeight="1" x14ac:dyDescent="0.3">
      <c r="A334" s="33"/>
      <c r="D334" s="34"/>
      <c r="E334" s="34"/>
      <c r="F334" s="33"/>
    </row>
    <row r="335" spans="1:6" ht="15" customHeight="1" x14ac:dyDescent="0.3">
      <c r="A335" s="33"/>
      <c r="D335" s="34"/>
      <c r="E335" s="34"/>
      <c r="F335" s="33"/>
    </row>
    <row r="336" spans="1:6" ht="15" customHeight="1" x14ac:dyDescent="0.3">
      <c r="A336" s="33"/>
      <c r="D336" s="34"/>
      <c r="E336" s="34"/>
      <c r="F336" s="33"/>
    </row>
    <row r="337" spans="1:6" ht="15" customHeight="1" x14ac:dyDescent="0.3">
      <c r="A337" s="33"/>
      <c r="D337" s="34"/>
      <c r="E337" s="34"/>
      <c r="F337" s="33"/>
    </row>
    <row r="338" spans="1:6" ht="15" customHeight="1" x14ac:dyDescent="0.3">
      <c r="A338" s="33"/>
      <c r="D338" s="34"/>
      <c r="E338" s="34"/>
      <c r="F338" s="33"/>
    </row>
    <row r="339" spans="1:6" ht="15" customHeight="1" x14ac:dyDescent="0.3">
      <c r="A339" s="33"/>
      <c r="D339" s="34"/>
      <c r="E339" s="34"/>
      <c r="F339" s="33"/>
    </row>
    <row r="340" spans="1:6" ht="15" customHeight="1" x14ac:dyDescent="0.3">
      <c r="A340" s="33"/>
      <c r="D340" s="34"/>
      <c r="E340" s="34"/>
      <c r="F340" s="33"/>
    </row>
    <row r="341" spans="1:6" ht="15" customHeight="1" x14ac:dyDescent="0.3">
      <c r="A341" s="33"/>
      <c r="D341" s="34"/>
      <c r="E341" s="34"/>
      <c r="F341" s="33"/>
    </row>
    <row r="342" spans="1:6" ht="15" customHeight="1" x14ac:dyDescent="0.3">
      <c r="A342" s="33"/>
      <c r="D342" s="34"/>
      <c r="E342" s="34"/>
      <c r="F342" s="33"/>
    </row>
    <row r="343" spans="1:6" ht="15" customHeight="1" x14ac:dyDescent="0.3">
      <c r="A343" s="33"/>
      <c r="D343" s="34"/>
      <c r="E343" s="34"/>
      <c r="F343" s="33"/>
    </row>
    <row r="344" spans="1:6" ht="15" customHeight="1" x14ac:dyDescent="0.3">
      <c r="A344" s="33"/>
      <c r="D344" s="34"/>
      <c r="E344" s="34"/>
      <c r="F344" s="33"/>
    </row>
    <row r="345" spans="1:6" ht="15" customHeight="1" x14ac:dyDescent="0.3">
      <c r="A345" s="33"/>
      <c r="D345" s="34"/>
      <c r="E345" s="34"/>
      <c r="F345" s="33"/>
    </row>
    <row r="346" spans="1:6" ht="15" customHeight="1" x14ac:dyDescent="0.3">
      <c r="A346" s="33"/>
      <c r="D346" s="34"/>
      <c r="E346" s="34"/>
      <c r="F346" s="33"/>
    </row>
    <row r="347" spans="1:6" ht="15" customHeight="1" x14ac:dyDescent="0.3">
      <c r="A347" s="33"/>
      <c r="D347" s="34"/>
      <c r="E347" s="34"/>
      <c r="F347" s="33"/>
    </row>
    <row r="348" spans="1:6" ht="15" customHeight="1" x14ac:dyDescent="0.3">
      <c r="A348" s="33"/>
      <c r="D348" s="34"/>
      <c r="E348" s="34"/>
      <c r="F348" s="33"/>
    </row>
    <row r="349" spans="1:6" ht="15" customHeight="1" x14ac:dyDescent="0.3">
      <c r="A349" s="33"/>
      <c r="D349" s="34"/>
      <c r="E349" s="34"/>
      <c r="F349" s="33"/>
    </row>
    <row r="350" spans="1:6" ht="15" customHeight="1" x14ac:dyDescent="0.3">
      <c r="A350" s="33"/>
      <c r="D350" s="34"/>
      <c r="E350" s="34"/>
      <c r="F350" s="33"/>
    </row>
    <row r="351" spans="1:6" ht="15" customHeight="1" x14ac:dyDescent="0.3">
      <c r="A351" s="33"/>
      <c r="D351" s="34"/>
      <c r="E351" s="34"/>
      <c r="F351" s="33"/>
    </row>
    <row r="352" spans="1:6" ht="15" customHeight="1" x14ac:dyDescent="0.3">
      <c r="A352" s="33"/>
      <c r="D352" s="34"/>
      <c r="E352" s="34"/>
      <c r="F352" s="33"/>
    </row>
    <row r="353" spans="1:6" ht="15" customHeight="1" x14ac:dyDescent="0.3">
      <c r="A353" s="33"/>
      <c r="D353" s="34"/>
      <c r="E353" s="34"/>
      <c r="F353" s="33"/>
    </row>
    <row r="354" spans="1:6" ht="15" customHeight="1" x14ac:dyDescent="0.3">
      <c r="A354" s="33"/>
      <c r="D354" s="34"/>
      <c r="E354" s="34"/>
      <c r="F354" s="33"/>
    </row>
    <row r="355" spans="1:6" ht="15" customHeight="1" x14ac:dyDescent="0.3">
      <c r="A355" s="33"/>
      <c r="D355" s="34"/>
      <c r="E355" s="34"/>
      <c r="F355" s="33"/>
    </row>
    <row r="356" spans="1:6" ht="15" customHeight="1" x14ac:dyDescent="0.3">
      <c r="A356" s="33"/>
      <c r="D356" s="34"/>
      <c r="E356" s="34"/>
      <c r="F356" s="33"/>
    </row>
    <row r="357" spans="1:6" ht="15" customHeight="1" x14ac:dyDescent="0.3">
      <c r="A357" s="33"/>
      <c r="D357" s="34"/>
      <c r="E357" s="34"/>
      <c r="F357" s="33"/>
    </row>
    <row r="358" spans="1:6" ht="15" customHeight="1" x14ac:dyDescent="0.3">
      <c r="A358" s="33"/>
      <c r="D358" s="34"/>
      <c r="E358" s="34"/>
      <c r="F358" s="33"/>
    </row>
    <row r="359" spans="1:6" ht="15" customHeight="1" x14ac:dyDescent="0.3">
      <c r="A359" s="33"/>
      <c r="D359" s="34"/>
      <c r="E359" s="34"/>
      <c r="F359" s="33"/>
    </row>
    <row r="360" spans="1:6" ht="15" customHeight="1" x14ac:dyDescent="0.3">
      <c r="A360" s="33"/>
      <c r="D360" s="34"/>
      <c r="E360" s="34"/>
      <c r="F360" s="33"/>
    </row>
    <row r="361" spans="1:6" ht="15" customHeight="1" x14ac:dyDescent="0.3">
      <c r="A361" s="33"/>
      <c r="D361" s="34"/>
      <c r="E361" s="34"/>
      <c r="F361" s="33"/>
    </row>
    <row r="362" spans="1:6" ht="15" customHeight="1" x14ac:dyDescent="0.3">
      <c r="A362" s="33"/>
      <c r="D362" s="34"/>
      <c r="E362" s="34"/>
      <c r="F362" s="33"/>
    </row>
    <row r="363" spans="1:6" ht="15" customHeight="1" x14ac:dyDescent="0.3">
      <c r="A363" s="33"/>
      <c r="D363" s="34"/>
      <c r="E363" s="34"/>
      <c r="F363" s="33"/>
    </row>
    <row r="364" spans="1:6" ht="15" customHeight="1" x14ac:dyDescent="0.3">
      <c r="A364" s="33"/>
      <c r="D364" s="34"/>
      <c r="E364" s="34"/>
      <c r="F364" s="33"/>
    </row>
    <row r="365" spans="1:6" ht="15" customHeight="1" x14ac:dyDescent="0.3">
      <c r="A365" s="33"/>
      <c r="D365" s="34"/>
      <c r="E365" s="34"/>
      <c r="F365" s="33"/>
    </row>
    <row r="366" spans="1:6" ht="15" customHeight="1" x14ac:dyDescent="0.3">
      <c r="A366" s="33"/>
      <c r="D366" s="34"/>
      <c r="E366" s="34"/>
      <c r="F366" s="33"/>
    </row>
    <row r="367" spans="1:6" ht="15" customHeight="1" x14ac:dyDescent="0.3">
      <c r="A367" s="33"/>
      <c r="D367" s="34"/>
      <c r="E367" s="34"/>
      <c r="F367" s="33"/>
    </row>
    <row r="368" spans="1:6" ht="15" customHeight="1" x14ac:dyDescent="0.3">
      <c r="A368" s="33"/>
      <c r="D368" s="34"/>
      <c r="E368" s="34"/>
      <c r="F368" s="33"/>
    </row>
    <row r="369" spans="1:6" ht="15" customHeight="1" x14ac:dyDescent="0.3">
      <c r="A369" s="33"/>
      <c r="D369" s="34"/>
      <c r="E369" s="34"/>
      <c r="F369" s="33"/>
    </row>
    <row r="370" spans="1:6" ht="15" customHeight="1" x14ac:dyDescent="0.3">
      <c r="A370" s="33"/>
      <c r="D370" s="34"/>
      <c r="E370" s="34"/>
      <c r="F370" s="33"/>
    </row>
    <row r="371" spans="1:6" ht="15" customHeight="1" x14ac:dyDescent="0.3">
      <c r="A371" s="33"/>
      <c r="D371" s="34"/>
      <c r="E371" s="34"/>
      <c r="F371" s="33"/>
    </row>
    <row r="372" spans="1:6" ht="15" customHeight="1" x14ac:dyDescent="0.3">
      <c r="A372" s="33"/>
      <c r="D372" s="34"/>
      <c r="E372" s="34"/>
      <c r="F372" s="33"/>
    </row>
    <row r="373" spans="1:6" ht="15" customHeight="1" x14ac:dyDescent="0.3">
      <c r="A373" s="33"/>
      <c r="D373" s="34"/>
      <c r="E373" s="34"/>
      <c r="F373" s="33"/>
    </row>
    <row r="374" spans="1:6" ht="15" customHeight="1" x14ac:dyDescent="0.3">
      <c r="A374" s="33"/>
      <c r="D374" s="34"/>
      <c r="E374" s="34"/>
      <c r="F374" s="33"/>
    </row>
    <row r="375" spans="1:6" ht="15" customHeight="1" x14ac:dyDescent="0.3">
      <c r="A375" s="33"/>
      <c r="D375" s="34"/>
      <c r="E375" s="34"/>
      <c r="F375" s="33"/>
    </row>
    <row r="376" spans="1:6" ht="15" customHeight="1" x14ac:dyDescent="0.3">
      <c r="A376" s="33"/>
      <c r="D376" s="34"/>
      <c r="E376" s="34"/>
      <c r="F376" s="33"/>
    </row>
    <row r="377" spans="1:6" ht="15" customHeight="1" x14ac:dyDescent="0.3">
      <c r="A377" s="33"/>
      <c r="D377" s="34"/>
      <c r="E377" s="34"/>
      <c r="F377" s="33"/>
    </row>
    <row r="378" spans="1:6" ht="15" customHeight="1" x14ac:dyDescent="0.3">
      <c r="A378" s="33"/>
      <c r="D378" s="34"/>
      <c r="E378" s="34"/>
      <c r="F378" s="33"/>
    </row>
    <row r="379" spans="1:6" ht="15" customHeight="1" x14ac:dyDescent="0.3">
      <c r="A379" s="33"/>
      <c r="D379" s="34"/>
      <c r="E379" s="34"/>
      <c r="F379" s="33"/>
    </row>
    <row r="380" spans="1:6" ht="15" customHeight="1" x14ac:dyDescent="0.3">
      <c r="A380" s="33"/>
      <c r="D380" s="34"/>
      <c r="E380" s="34"/>
      <c r="F380" s="33"/>
    </row>
    <row r="381" spans="1:6" ht="15" customHeight="1" x14ac:dyDescent="0.3">
      <c r="A381" s="33"/>
      <c r="D381" s="34"/>
      <c r="E381" s="34"/>
      <c r="F381" s="33"/>
    </row>
    <row r="382" spans="1:6" ht="15" customHeight="1" x14ac:dyDescent="0.3">
      <c r="A382" s="33"/>
      <c r="D382" s="34"/>
      <c r="E382" s="34"/>
      <c r="F382" s="33"/>
    </row>
    <row r="383" spans="1:6" ht="15" customHeight="1" x14ac:dyDescent="0.3">
      <c r="A383" s="33"/>
      <c r="D383" s="34"/>
      <c r="E383" s="34"/>
      <c r="F383" s="33"/>
    </row>
    <row r="384" spans="1:6" ht="15" customHeight="1" x14ac:dyDescent="0.3">
      <c r="A384" s="33"/>
      <c r="D384" s="34"/>
      <c r="E384" s="34"/>
      <c r="F384" s="33"/>
    </row>
    <row r="385" spans="1:6" ht="15" customHeight="1" x14ac:dyDescent="0.3">
      <c r="A385" s="33"/>
      <c r="D385" s="34"/>
      <c r="E385" s="34"/>
      <c r="F385" s="33"/>
    </row>
    <row r="386" spans="1:6" ht="15" customHeight="1" x14ac:dyDescent="0.3">
      <c r="A386" s="33"/>
      <c r="D386" s="34"/>
      <c r="E386" s="34"/>
      <c r="F386" s="33"/>
    </row>
    <row r="387" spans="1:6" ht="15" customHeight="1" x14ac:dyDescent="0.3">
      <c r="A387" s="33"/>
      <c r="D387" s="34"/>
      <c r="E387" s="34"/>
      <c r="F387" s="33"/>
    </row>
    <row r="388" spans="1:6" ht="15" customHeight="1" x14ac:dyDescent="0.3">
      <c r="A388" s="33"/>
      <c r="D388" s="34"/>
      <c r="E388" s="34"/>
      <c r="F388" s="33"/>
    </row>
    <row r="389" spans="1:6" ht="15" customHeight="1" x14ac:dyDescent="0.3">
      <c r="A389" s="33"/>
      <c r="D389" s="34"/>
      <c r="E389" s="34"/>
      <c r="F389" s="33"/>
    </row>
    <row r="390" spans="1:6" ht="15" customHeight="1" x14ac:dyDescent="0.3">
      <c r="A390" s="33"/>
      <c r="D390" s="34"/>
      <c r="E390" s="34"/>
      <c r="F390" s="33"/>
    </row>
    <row r="391" spans="1:6" ht="15" customHeight="1" x14ac:dyDescent="0.3">
      <c r="A391" s="33"/>
      <c r="D391" s="34"/>
      <c r="E391" s="34"/>
      <c r="F391" s="33"/>
    </row>
    <row r="392" spans="1:6" ht="15" customHeight="1" x14ac:dyDescent="0.3">
      <c r="A392" s="33"/>
      <c r="D392" s="34"/>
      <c r="E392" s="34"/>
      <c r="F392" s="33"/>
    </row>
    <row r="393" spans="1:6" ht="15" customHeight="1" x14ac:dyDescent="0.3">
      <c r="A393" s="33"/>
      <c r="D393" s="34"/>
      <c r="E393" s="34"/>
      <c r="F393" s="33"/>
    </row>
    <row r="394" spans="1:6" ht="15" customHeight="1" x14ac:dyDescent="0.3">
      <c r="A394" s="33"/>
      <c r="D394" s="34"/>
      <c r="E394" s="34"/>
      <c r="F394" s="33"/>
    </row>
    <row r="395" spans="1:6" ht="15" customHeight="1" x14ac:dyDescent="0.3">
      <c r="A395" s="33"/>
      <c r="D395" s="34"/>
      <c r="E395" s="34"/>
      <c r="F395" s="33"/>
    </row>
    <row r="396" spans="1:6" ht="15" customHeight="1" x14ac:dyDescent="0.3">
      <c r="A396" s="33"/>
      <c r="D396" s="34"/>
      <c r="E396" s="34"/>
      <c r="F396" s="33"/>
    </row>
    <row r="397" spans="1:6" ht="15" customHeight="1" x14ac:dyDescent="0.3">
      <c r="A397" s="33"/>
      <c r="D397" s="34"/>
      <c r="E397" s="34"/>
      <c r="F397" s="33"/>
    </row>
    <row r="398" spans="1:6" ht="15" customHeight="1" x14ac:dyDescent="0.3">
      <c r="A398" s="33"/>
      <c r="D398" s="34"/>
      <c r="E398" s="34"/>
      <c r="F398" s="33"/>
    </row>
    <row r="399" spans="1:6" ht="15" customHeight="1" x14ac:dyDescent="0.3">
      <c r="A399" s="33"/>
      <c r="D399" s="34"/>
      <c r="E399" s="34"/>
      <c r="F399" s="33"/>
    </row>
    <row r="400" spans="1:6" ht="15" customHeight="1" x14ac:dyDescent="0.3">
      <c r="A400" s="33"/>
      <c r="D400" s="34"/>
      <c r="E400" s="34"/>
      <c r="F400" s="33"/>
    </row>
    <row r="401" spans="1:6" ht="15" customHeight="1" x14ac:dyDescent="0.3">
      <c r="A401" s="33"/>
      <c r="D401" s="34"/>
      <c r="E401" s="34"/>
      <c r="F401" s="33"/>
    </row>
    <row r="402" spans="1:6" ht="15" customHeight="1" x14ac:dyDescent="0.3">
      <c r="A402" s="33"/>
      <c r="D402" s="34"/>
      <c r="E402" s="34"/>
      <c r="F402" s="33"/>
    </row>
    <row r="403" spans="1:6" ht="15" customHeight="1" x14ac:dyDescent="0.3">
      <c r="A403" s="33"/>
      <c r="D403" s="34"/>
      <c r="E403" s="34"/>
      <c r="F403" s="33"/>
    </row>
    <row r="404" spans="1:6" ht="15" customHeight="1" x14ac:dyDescent="0.3">
      <c r="A404" s="33"/>
      <c r="D404" s="34"/>
      <c r="E404" s="34"/>
      <c r="F404" s="33"/>
    </row>
    <row r="405" spans="1:6" ht="15" customHeight="1" x14ac:dyDescent="0.3">
      <c r="A405" s="33"/>
      <c r="D405" s="34"/>
      <c r="E405" s="34"/>
      <c r="F405" s="33"/>
    </row>
    <row r="406" spans="1:6" ht="15" customHeight="1" x14ac:dyDescent="0.3">
      <c r="A406" s="33"/>
      <c r="D406" s="34"/>
      <c r="E406" s="34"/>
      <c r="F406" s="33"/>
    </row>
    <row r="407" spans="1:6" ht="15" customHeight="1" x14ac:dyDescent="0.3">
      <c r="A407" s="33"/>
      <c r="D407" s="34"/>
      <c r="E407" s="34"/>
      <c r="F407" s="33"/>
    </row>
    <row r="408" spans="1:6" ht="15" customHeight="1" x14ac:dyDescent="0.3">
      <c r="A408" s="33"/>
      <c r="D408" s="34"/>
      <c r="E408" s="34"/>
      <c r="F408" s="33"/>
    </row>
    <row r="409" spans="1:6" ht="15" customHeight="1" x14ac:dyDescent="0.3">
      <c r="A409" s="33"/>
      <c r="D409" s="34"/>
      <c r="E409" s="34"/>
      <c r="F409" s="33"/>
    </row>
    <row r="410" spans="1:6" ht="15" customHeight="1" x14ac:dyDescent="0.3">
      <c r="A410" s="33"/>
      <c r="D410" s="34"/>
      <c r="E410" s="34"/>
      <c r="F410" s="33"/>
    </row>
    <row r="411" spans="1:6" ht="15" customHeight="1" x14ac:dyDescent="0.3">
      <c r="A411" s="33"/>
      <c r="D411" s="34"/>
      <c r="E411" s="34"/>
      <c r="F411" s="33"/>
    </row>
    <row r="412" spans="1:6" ht="15" customHeight="1" x14ac:dyDescent="0.3">
      <c r="A412" s="33"/>
      <c r="D412" s="34"/>
      <c r="E412" s="34"/>
      <c r="F412" s="33"/>
    </row>
    <row r="413" spans="1:6" ht="15" customHeight="1" x14ac:dyDescent="0.3">
      <c r="A413" s="33"/>
      <c r="D413" s="34"/>
      <c r="E413" s="34"/>
      <c r="F413" s="33"/>
    </row>
    <row r="414" spans="1:6" ht="15" customHeight="1" x14ac:dyDescent="0.3">
      <c r="A414" s="33"/>
      <c r="D414" s="34"/>
      <c r="E414" s="34"/>
      <c r="F414" s="33"/>
    </row>
    <row r="415" spans="1:6" ht="15" customHeight="1" x14ac:dyDescent="0.3">
      <c r="A415" s="33"/>
      <c r="D415" s="34"/>
      <c r="E415" s="34"/>
      <c r="F415" s="33"/>
    </row>
    <row r="416" spans="1:6" ht="15" customHeight="1" x14ac:dyDescent="0.3">
      <c r="A416" s="33"/>
      <c r="D416" s="34"/>
      <c r="E416" s="34"/>
      <c r="F416" s="33"/>
    </row>
    <row r="417" spans="1:6" ht="15" customHeight="1" x14ac:dyDescent="0.3">
      <c r="A417" s="33"/>
      <c r="D417" s="34"/>
      <c r="E417" s="34"/>
      <c r="F417" s="33"/>
    </row>
    <row r="418" spans="1:6" ht="15" customHeight="1" x14ac:dyDescent="0.3">
      <c r="A418" s="33"/>
      <c r="D418" s="34"/>
      <c r="E418" s="34"/>
      <c r="F418" s="33"/>
    </row>
    <row r="419" spans="1:6" ht="15" customHeight="1" x14ac:dyDescent="0.3">
      <c r="A419" s="33"/>
      <c r="D419" s="34"/>
      <c r="E419" s="34"/>
      <c r="F419" s="33"/>
    </row>
    <row r="420" spans="1:6" ht="15" customHeight="1" x14ac:dyDescent="0.3">
      <c r="A420" s="33"/>
      <c r="D420" s="34"/>
      <c r="E420" s="34"/>
      <c r="F420" s="33"/>
    </row>
    <row r="421" spans="1:6" ht="15" customHeight="1" x14ac:dyDescent="0.3">
      <c r="A421" s="33"/>
      <c r="D421" s="34"/>
      <c r="E421" s="34"/>
      <c r="F421" s="33"/>
    </row>
    <row r="422" spans="1:6" ht="15" customHeight="1" x14ac:dyDescent="0.3">
      <c r="A422" s="33"/>
      <c r="D422" s="34"/>
      <c r="E422" s="34"/>
      <c r="F422" s="33"/>
    </row>
    <row r="423" spans="1:6" ht="15" customHeight="1" x14ac:dyDescent="0.3">
      <c r="A423" s="33"/>
      <c r="D423" s="34"/>
      <c r="E423" s="34"/>
      <c r="F423" s="33"/>
    </row>
    <row r="424" spans="1:6" ht="15" customHeight="1" x14ac:dyDescent="0.3">
      <c r="A424" s="33"/>
      <c r="D424" s="34"/>
      <c r="E424" s="34"/>
      <c r="F424" s="33"/>
    </row>
    <row r="425" spans="1:6" ht="15" customHeight="1" x14ac:dyDescent="0.3">
      <c r="A425" s="33"/>
      <c r="D425" s="34"/>
      <c r="E425" s="34"/>
      <c r="F425" s="33"/>
    </row>
    <row r="426" spans="1:6" ht="15" customHeight="1" x14ac:dyDescent="0.3">
      <c r="A426" s="33"/>
      <c r="D426" s="34"/>
      <c r="E426" s="34"/>
      <c r="F426" s="33"/>
    </row>
    <row r="427" spans="1:6" ht="15" customHeight="1" x14ac:dyDescent="0.3">
      <c r="A427" s="33"/>
      <c r="D427" s="34"/>
      <c r="E427" s="34"/>
      <c r="F427" s="33"/>
    </row>
    <row r="428" spans="1:6" ht="15" customHeight="1" x14ac:dyDescent="0.3">
      <c r="A428" s="33"/>
      <c r="D428" s="34"/>
      <c r="E428" s="34"/>
      <c r="F428" s="33"/>
    </row>
    <row r="429" spans="1:6" ht="15" customHeight="1" x14ac:dyDescent="0.3">
      <c r="A429" s="33"/>
      <c r="D429" s="34"/>
      <c r="E429" s="34"/>
      <c r="F429" s="33"/>
    </row>
    <row r="430" spans="1:6" ht="15" customHeight="1" x14ac:dyDescent="0.3">
      <c r="A430" s="33"/>
      <c r="D430" s="34"/>
      <c r="E430" s="34"/>
      <c r="F430" s="33"/>
    </row>
    <row r="431" spans="1:6" ht="15" customHeight="1" x14ac:dyDescent="0.3">
      <c r="A431" s="33"/>
      <c r="D431" s="34"/>
      <c r="E431" s="34"/>
      <c r="F431" s="33"/>
    </row>
    <row r="432" spans="1:6" ht="15" customHeight="1" x14ac:dyDescent="0.3">
      <c r="A432" s="33"/>
      <c r="D432" s="34"/>
      <c r="E432" s="34"/>
      <c r="F432" s="33"/>
    </row>
    <row r="433" spans="1:6" ht="15" customHeight="1" x14ac:dyDescent="0.3">
      <c r="A433" s="33"/>
      <c r="D433" s="34"/>
      <c r="E433" s="34"/>
      <c r="F433" s="33"/>
    </row>
    <row r="434" spans="1:6" ht="15" customHeight="1" x14ac:dyDescent="0.3">
      <c r="A434" s="33"/>
      <c r="D434" s="34"/>
      <c r="E434" s="34"/>
      <c r="F434" s="33"/>
    </row>
    <row r="435" spans="1:6" ht="15" customHeight="1" x14ac:dyDescent="0.3">
      <c r="A435" s="33"/>
      <c r="D435" s="34"/>
      <c r="E435" s="34"/>
      <c r="F435" s="33"/>
    </row>
    <row r="436" spans="1:6" ht="15" customHeight="1" x14ac:dyDescent="0.3">
      <c r="A436" s="33"/>
      <c r="D436" s="34"/>
      <c r="E436" s="34"/>
      <c r="F436" s="33"/>
    </row>
    <row r="437" spans="1:6" ht="15" customHeight="1" x14ac:dyDescent="0.3">
      <c r="A437" s="33"/>
      <c r="D437" s="34"/>
      <c r="E437" s="34"/>
      <c r="F437" s="33"/>
    </row>
    <row r="438" spans="1:6" ht="15" customHeight="1" x14ac:dyDescent="0.3">
      <c r="A438" s="33"/>
      <c r="D438" s="34"/>
      <c r="E438" s="34"/>
      <c r="F438" s="33"/>
    </row>
    <row r="439" spans="1:6" ht="15" customHeight="1" x14ac:dyDescent="0.3">
      <c r="A439" s="33"/>
      <c r="D439" s="34"/>
      <c r="E439" s="34"/>
      <c r="F439" s="33"/>
    </row>
    <row r="440" spans="1:6" ht="15" customHeight="1" x14ac:dyDescent="0.3">
      <c r="A440" s="33"/>
      <c r="D440" s="34"/>
      <c r="E440" s="34"/>
      <c r="F440" s="33"/>
    </row>
    <row r="441" spans="1:6" ht="15" customHeight="1" x14ac:dyDescent="0.3">
      <c r="A441" s="33"/>
      <c r="D441" s="34"/>
      <c r="E441" s="34"/>
      <c r="F441" s="33"/>
    </row>
    <row r="442" spans="1:6" ht="15" customHeight="1" x14ac:dyDescent="0.3">
      <c r="A442" s="33"/>
      <c r="D442" s="34"/>
      <c r="E442" s="34"/>
      <c r="F442" s="33"/>
    </row>
    <row r="443" spans="1:6" ht="15" customHeight="1" x14ac:dyDescent="0.3">
      <c r="A443" s="33"/>
      <c r="D443" s="34"/>
      <c r="E443" s="34"/>
      <c r="F443" s="33"/>
    </row>
    <row r="444" spans="1:6" ht="15" customHeight="1" x14ac:dyDescent="0.3">
      <c r="A444" s="33"/>
      <c r="D444" s="34"/>
      <c r="E444" s="34"/>
      <c r="F444" s="33"/>
    </row>
    <row r="445" spans="1:6" ht="15" customHeight="1" x14ac:dyDescent="0.3">
      <c r="A445" s="33"/>
      <c r="D445" s="34"/>
      <c r="E445" s="34"/>
      <c r="F445" s="33"/>
    </row>
    <row r="446" spans="1:6" ht="15" customHeight="1" x14ac:dyDescent="0.3">
      <c r="A446" s="33"/>
      <c r="D446" s="34"/>
      <c r="E446" s="34"/>
      <c r="F446" s="33"/>
    </row>
    <row r="447" spans="1:6" ht="15" customHeight="1" x14ac:dyDescent="0.3">
      <c r="A447" s="33"/>
      <c r="D447" s="34"/>
      <c r="E447" s="34"/>
      <c r="F447" s="33"/>
    </row>
    <row r="448" spans="1:6" ht="15" customHeight="1" x14ac:dyDescent="0.3">
      <c r="A448" s="33"/>
      <c r="D448" s="34"/>
      <c r="E448" s="34"/>
      <c r="F448" s="33"/>
    </row>
    <row r="449" spans="1:6" ht="15" customHeight="1" x14ac:dyDescent="0.3">
      <c r="A449" s="33"/>
      <c r="D449" s="34"/>
      <c r="E449" s="34"/>
      <c r="F449" s="33"/>
    </row>
    <row r="450" spans="1:6" ht="15" customHeight="1" x14ac:dyDescent="0.3">
      <c r="A450" s="33"/>
      <c r="D450" s="34"/>
      <c r="E450" s="34"/>
      <c r="F450" s="33"/>
    </row>
    <row r="451" spans="1:6" ht="15" customHeight="1" x14ac:dyDescent="0.3">
      <c r="A451" s="33"/>
      <c r="D451" s="34"/>
      <c r="E451" s="34"/>
      <c r="F451" s="33"/>
    </row>
    <row r="452" spans="1:6" ht="15" customHeight="1" x14ac:dyDescent="0.3">
      <c r="A452" s="33"/>
      <c r="D452" s="34"/>
      <c r="E452" s="34"/>
      <c r="F452" s="33"/>
    </row>
    <row r="453" spans="1:6" ht="15" customHeight="1" x14ac:dyDescent="0.3">
      <c r="A453" s="33"/>
      <c r="D453" s="34"/>
      <c r="E453" s="34"/>
      <c r="F453" s="33"/>
    </row>
    <row r="454" spans="1:6" ht="15" customHeight="1" x14ac:dyDescent="0.3">
      <c r="A454" s="33"/>
      <c r="D454" s="34"/>
      <c r="E454" s="34"/>
      <c r="F454" s="33"/>
    </row>
    <row r="455" spans="1:6" ht="15" customHeight="1" x14ac:dyDescent="0.3">
      <c r="A455" s="33"/>
      <c r="D455" s="34"/>
      <c r="E455" s="34"/>
      <c r="F455" s="33"/>
    </row>
    <row r="456" spans="1:6" ht="15" customHeight="1" x14ac:dyDescent="0.3">
      <c r="A456" s="33"/>
      <c r="D456" s="34"/>
      <c r="E456" s="34"/>
      <c r="F456" s="33"/>
    </row>
    <row r="457" spans="1:6" ht="15" customHeight="1" x14ac:dyDescent="0.3">
      <c r="A457" s="33"/>
      <c r="D457" s="34"/>
      <c r="E457" s="34"/>
      <c r="F457" s="33"/>
    </row>
    <row r="458" spans="1:6" ht="15" customHeight="1" x14ac:dyDescent="0.3">
      <c r="A458" s="33"/>
      <c r="D458" s="34"/>
      <c r="E458" s="34"/>
      <c r="F458" s="33"/>
    </row>
    <row r="459" spans="1:6" ht="15" customHeight="1" x14ac:dyDescent="0.3">
      <c r="A459" s="33"/>
      <c r="D459" s="34"/>
      <c r="E459" s="34"/>
      <c r="F459" s="33"/>
    </row>
    <row r="460" spans="1:6" ht="15" customHeight="1" x14ac:dyDescent="0.3">
      <c r="A460" s="33"/>
      <c r="D460" s="34"/>
      <c r="E460" s="34"/>
      <c r="F460" s="33"/>
    </row>
    <row r="461" spans="1:6" ht="15" customHeight="1" x14ac:dyDescent="0.3">
      <c r="A461" s="33"/>
      <c r="D461" s="34"/>
      <c r="E461" s="34"/>
      <c r="F461" s="33"/>
    </row>
    <row r="462" spans="1:6" ht="15" customHeight="1" x14ac:dyDescent="0.3">
      <c r="A462" s="33"/>
      <c r="D462" s="34"/>
      <c r="E462" s="34"/>
      <c r="F462" s="33"/>
    </row>
    <row r="463" spans="1:6" ht="15" customHeight="1" x14ac:dyDescent="0.3">
      <c r="A463" s="33"/>
      <c r="D463" s="34"/>
      <c r="E463" s="34"/>
      <c r="F463" s="33"/>
    </row>
    <row r="464" spans="1:6" ht="15" customHeight="1" x14ac:dyDescent="0.3">
      <c r="A464" s="33"/>
      <c r="D464" s="34"/>
      <c r="E464" s="34"/>
      <c r="F464" s="33"/>
    </row>
    <row r="465" spans="1:6" ht="15" customHeight="1" x14ac:dyDescent="0.3">
      <c r="A465" s="33"/>
      <c r="D465" s="34"/>
      <c r="E465" s="34"/>
      <c r="F465" s="33"/>
    </row>
    <row r="466" spans="1:6" ht="15" customHeight="1" x14ac:dyDescent="0.3">
      <c r="A466" s="33"/>
      <c r="D466" s="34"/>
      <c r="E466" s="34"/>
      <c r="F466" s="33"/>
    </row>
    <row r="467" spans="1:6" ht="15" customHeight="1" x14ac:dyDescent="0.3">
      <c r="A467" s="33"/>
      <c r="D467" s="34"/>
      <c r="E467" s="34"/>
      <c r="F467" s="33"/>
    </row>
    <row r="468" spans="1:6" ht="15" customHeight="1" x14ac:dyDescent="0.3">
      <c r="A468" s="33"/>
      <c r="D468" s="34"/>
      <c r="E468" s="34"/>
      <c r="F468" s="33"/>
    </row>
    <row r="469" spans="1:6" ht="15" customHeight="1" x14ac:dyDescent="0.3">
      <c r="A469" s="33"/>
      <c r="D469" s="34"/>
      <c r="E469" s="34"/>
      <c r="F469" s="33"/>
    </row>
    <row r="470" spans="1:6" ht="15" customHeight="1" x14ac:dyDescent="0.3">
      <c r="A470" s="33"/>
      <c r="D470" s="34"/>
      <c r="E470" s="34"/>
      <c r="F470" s="33"/>
    </row>
    <row r="471" spans="1:6" ht="15" customHeight="1" x14ac:dyDescent="0.3">
      <c r="A471" s="33"/>
      <c r="D471" s="34"/>
      <c r="E471" s="34"/>
      <c r="F471" s="33"/>
    </row>
    <row r="472" spans="1:6" ht="15" customHeight="1" x14ac:dyDescent="0.3">
      <c r="A472" s="33"/>
      <c r="D472" s="34"/>
      <c r="E472" s="34"/>
      <c r="F472" s="33"/>
    </row>
    <row r="473" spans="1:6" ht="15" customHeight="1" x14ac:dyDescent="0.3">
      <c r="A473" s="33"/>
      <c r="D473" s="34"/>
      <c r="E473" s="34"/>
      <c r="F473" s="33"/>
    </row>
    <row r="474" spans="1:6" ht="15" customHeight="1" x14ac:dyDescent="0.3">
      <c r="A474" s="33"/>
      <c r="D474" s="34"/>
      <c r="E474" s="34"/>
      <c r="F474" s="33"/>
    </row>
    <row r="475" spans="1:6" ht="15" customHeight="1" x14ac:dyDescent="0.3">
      <c r="A475" s="33"/>
      <c r="D475" s="34"/>
      <c r="E475" s="34"/>
      <c r="F475" s="33"/>
    </row>
    <row r="476" spans="1:6" ht="15" customHeight="1" x14ac:dyDescent="0.3">
      <c r="A476" s="33"/>
      <c r="D476" s="34"/>
      <c r="E476" s="34"/>
      <c r="F476" s="33"/>
    </row>
    <row r="477" spans="1:6" ht="15" customHeight="1" x14ac:dyDescent="0.3">
      <c r="A477" s="33"/>
      <c r="D477" s="34"/>
      <c r="E477" s="34"/>
      <c r="F477" s="33"/>
    </row>
    <row r="478" spans="1:6" ht="15" customHeight="1" x14ac:dyDescent="0.3">
      <c r="A478" s="33"/>
      <c r="D478" s="34"/>
      <c r="E478" s="34"/>
      <c r="F478" s="33"/>
    </row>
    <row r="479" spans="1:6" ht="15" customHeight="1" x14ac:dyDescent="0.3">
      <c r="A479" s="33"/>
      <c r="D479" s="34"/>
      <c r="E479" s="34"/>
      <c r="F479" s="33"/>
    </row>
    <row r="480" spans="1:6" ht="15" customHeight="1" x14ac:dyDescent="0.3">
      <c r="A480" s="33"/>
      <c r="D480" s="34"/>
      <c r="E480" s="34"/>
      <c r="F480" s="33"/>
    </row>
    <row r="481" spans="1:6" ht="15" customHeight="1" x14ac:dyDescent="0.3">
      <c r="A481" s="33"/>
      <c r="D481" s="34"/>
      <c r="E481" s="34"/>
      <c r="F481" s="33"/>
    </row>
    <row r="482" spans="1:6" ht="15" customHeight="1" x14ac:dyDescent="0.3">
      <c r="A482" s="33"/>
      <c r="D482" s="34"/>
      <c r="E482" s="34"/>
      <c r="F482" s="33"/>
    </row>
    <row r="483" spans="1:6" ht="15" customHeight="1" x14ac:dyDescent="0.3">
      <c r="A483" s="33"/>
      <c r="D483" s="34"/>
      <c r="E483" s="34"/>
      <c r="F483" s="33"/>
    </row>
    <row r="484" spans="1:6" ht="15" customHeight="1" x14ac:dyDescent="0.3">
      <c r="A484" s="33"/>
      <c r="D484" s="34"/>
      <c r="E484" s="34"/>
      <c r="F484" s="33"/>
    </row>
    <row r="485" spans="1:6" ht="15" customHeight="1" x14ac:dyDescent="0.3">
      <c r="A485" s="33"/>
      <c r="D485" s="34"/>
      <c r="E485" s="34"/>
      <c r="F485" s="33"/>
    </row>
    <row r="486" spans="1:6" ht="15" customHeight="1" x14ac:dyDescent="0.3">
      <c r="A486" s="33"/>
      <c r="D486" s="34"/>
      <c r="E486" s="34"/>
      <c r="F486" s="33"/>
    </row>
    <row r="487" spans="1:6" ht="15" customHeight="1" x14ac:dyDescent="0.3">
      <c r="A487" s="33"/>
      <c r="D487" s="34"/>
      <c r="E487" s="34"/>
      <c r="F487" s="33"/>
    </row>
    <row r="488" spans="1:6" ht="15" customHeight="1" x14ac:dyDescent="0.3">
      <c r="A488" s="33"/>
      <c r="D488" s="34"/>
      <c r="E488" s="34"/>
      <c r="F488" s="33"/>
    </row>
    <row r="489" spans="1:6" ht="15" customHeight="1" x14ac:dyDescent="0.3">
      <c r="A489" s="33"/>
      <c r="D489" s="34"/>
      <c r="E489" s="34"/>
      <c r="F489" s="33"/>
    </row>
    <row r="490" spans="1:6" ht="15" customHeight="1" x14ac:dyDescent="0.3">
      <c r="A490" s="33"/>
      <c r="D490" s="34"/>
      <c r="E490" s="34"/>
      <c r="F490" s="33"/>
    </row>
    <row r="491" spans="1:6" ht="15" customHeight="1" x14ac:dyDescent="0.3">
      <c r="A491" s="33"/>
      <c r="D491" s="34"/>
      <c r="E491" s="34"/>
      <c r="F491" s="33"/>
    </row>
    <row r="492" spans="1:6" ht="15" customHeight="1" x14ac:dyDescent="0.3">
      <c r="A492" s="33"/>
      <c r="D492" s="34"/>
      <c r="E492" s="34"/>
      <c r="F492" s="33"/>
    </row>
    <row r="493" spans="1:6" ht="15" customHeight="1" x14ac:dyDescent="0.3">
      <c r="A493" s="33"/>
      <c r="D493" s="34"/>
      <c r="E493" s="34"/>
      <c r="F493" s="33"/>
    </row>
    <row r="494" spans="1:6" ht="15" customHeight="1" x14ac:dyDescent="0.3">
      <c r="A494" s="33"/>
      <c r="D494" s="34"/>
      <c r="E494" s="34"/>
      <c r="F494" s="33"/>
    </row>
    <row r="495" spans="1:6" ht="15" customHeight="1" x14ac:dyDescent="0.3">
      <c r="A495" s="33"/>
      <c r="D495" s="34"/>
      <c r="E495" s="34"/>
      <c r="F495" s="33"/>
    </row>
    <row r="496" spans="1:6" ht="15" customHeight="1" x14ac:dyDescent="0.3">
      <c r="A496" s="33"/>
      <c r="D496" s="34"/>
      <c r="E496" s="34"/>
      <c r="F496" s="33"/>
    </row>
    <row r="497" spans="1:6" ht="15" customHeight="1" x14ac:dyDescent="0.3">
      <c r="A497" s="33"/>
      <c r="D497" s="34"/>
      <c r="E497" s="34"/>
      <c r="F497" s="33"/>
    </row>
    <row r="498" spans="1:6" ht="15" customHeight="1" x14ac:dyDescent="0.3">
      <c r="A498" s="33"/>
      <c r="D498" s="34"/>
      <c r="E498" s="34"/>
      <c r="F498" s="33"/>
    </row>
    <row r="499" spans="1:6" ht="15" customHeight="1" x14ac:dyDescent="0.3">
      <c r="A499" s="33"/>
      <c r="D499" s="34"/>
      <c r="E499" s="34"/>
      <c r="F499" s="33"/>
    </row>
    <row r="500" spans="1:6" ht="15" customHeight="1" x14ac:dyDescent="0.3">
      <c r="A500" s="33"/>
      <c r="D500" s="34"/>
      <c r="E500" s="34"/>
      <c r="F500" s="33"/>
    </row>
    <row r="501" spans="1:6" ht="15" customHeight="1" x14ac:dyDescent="0.3">
      <c r="A501" s="33"/>
      <c r="D501" s="34"/>
      <c r="E501" s="34"/>
      <c r="F501" s="33"/>
    </row>
    <row r="502" spans="1:6" ht="15" customHeight="1" x14ac:dyDescent="0.3">
      <c r="A502" s="33"/>
      <c r="D502" s="34"/>
      <c r="E502" s="34"/>
      <c r="F502" s="33"/>
    </row>
    <row r="503" spans="1:6" ht="15" customHeight="1" x14ac:dyDescent="0.3">
      <c r="A503" s="33"/>
      <c r="D503" s="34"/>
      <c r="E503" s="34"/>
      <c r="F503" s="33"/>
    </row>
    <row r="504" spans="1:6" ht="15" customHeight="1" x14ac:dyDescent="0.3">
      <c r="A504" s="33"/>
      <c r="D504" s="34"/>
      <c r="E504" s="34"/>
      <c r="F504" s="33"/>
    </row>
    <row r="505" spans="1:6" ht="15" customHeight="1" x14ac:dyDescent="0.3">
      <c r="A505" s="33"/>
      <c r="D505" s="34"/>
      <c r="E505" s="34"/>
      <c r="F505" s="33"/>
    </row>
    <row r="506" spans="1:6" ht="15" customHeight="1" x14ac:dyDescent="0.3">
      <c r="A506" s="33"/>
      <c r="D506" s="34"/>
      <c r="E506" s="34"/>
      <c r="F506" s="33"/>
    </row>
    <row r="507" spans="1:6" ht="15" customHeight="1" x14ac:dyDescent="0.3">
      <c r="A507" s="33"/>
      <c r="D507" s="34"/>
      <c r="E507" s="34"/>
      <c r="F507" s="33"/>
    </row>
    <row r="508" spans="1:6" ht="15" customHeight="1" x14ac:dyDescent="0.3">
      <c r="A508" s="33"/>
      <c r="D508" s="34"/>
      <c r="E508" s="34"/>
      <c r="F508" s="33"/>
    </row>
    <row r="509" spans="1:6" ht="15" customHeight="1" x14ac:dyDescent="0.3">
      <c r="A509" s="33"/>
      <c r="D509" s="34"/>
      <c r="E509" s="34"/>
      <c r="F509" s="33"/>
    </row>
    <row r="510" spans="1:6" ht="15" customHeight="1" x14ac:dyDescent="0.3">
      <c r="A510" s="33"/>
      <c r="D510" s="34"/>
      <c r="E510" s="34"/>
      <c r="F510" s="33"/>
    </row>
    <row r="511" spans="1:6" ht="15" customHeight="1" x14ac:dyDescent="0.3">
      <c r="A511" s="33"/>
      <c r="D511" s="34"/>
      <c r="E511" s="34"/>
      <c r="F511" s="33"/>
    </row>
    <row r="512" spans="1:6" ht="15" customHeight="1" x14ac:dyDescent="0.3">
      <c r="A512" s="33"/>
      <c r="D512" s="34"/>
      <c r="E512" s="34"/>
      <c r="F512" s="33"/>
    </row>
    <row r="513" spans="1:6" ht="15" customHeight="1" x14ac:dyDescent="0.3">
      <c r="A513" s="33"/>
      <c r="D513" s="34"/>
      <c r="E513" s="34"/>
      <c r="F513" s="33"/>
    </row>
    <row r="514" spans="1:6" ht="15" customHeight="1" x14ac:dyDescent="0.3">
      <c r="A514" s="33"/>
      <c r="D514" s="34"/>
      <c r="E514" s="34"/>
      <c r="F514" s="33"/>
    </row>
    <row r="515" spans="1:6" ht="15" customHeight="1" x14ac:dyDescent="0.3">
      <c r="A515" s="33"/>
      <c r="D515" s="34"/>
      <c r="E515" s="34"/>
      <c r="F515" s="33"/>
    </row>
    <row r="516" spans="1:6" ht="15" customHeight="1" x14ac:dyDescent="0.3">
      <c r="A516" s="33"/>
      <c r="D516" s="34"/>
      <c r="E516" s="34"/>
      <c r="F516" s="33"/>
    </row>
    <row r="517" spans="1:6" ht="15" customHeight="1" x14ac:dyDescent="0.3">
      <c r="A517" s="33"/>
      <c r="D517" s="34"/>
      <c r="E517" s="34"/>
      <c r="F517" s="33"/>
    </row>
    <row r="518" spans="1:6" ht="15" customHeight="1" x14ac:dyDescent="0.3">
      <c r="A518" s="33"/>
      <c r="D518" s="34"/>
      <c r="E518" s="34"/>
      <c r="F518" s="33"/>
    </row>
    <row r="519" spans="1:6" ht="15" customHeight="1" x14ac:dyDescent="0.3">
      <c r="A519" s="33"/>
      <c r="D519" s="34"/>
      <c r="E519" s="34"/>
      <c r="F519" s="33"/>
    </row>
    <row r="520" spans="1:6" ht="15" customHeight="1" x14ac:dyDescent="0.3">
      <c r="A520" s="33"/>
      <c r="D520" s="34"/>
      <c r="E520" s="34"/>
      <c r="F520" s="33"/>
    </row>
    <row r="521" spans="1:6" ht="15" customHeight="1" x14ac:dyDescent="0.3">
      <c r="A521" s="33"/>
      <c r="D521" s="34"/>
      <c r="E521" s="34"/>
      <c r="F521" s="33"/>
    </row>
    <row r="522" spans="1:6" ht="15" customHeight="1" x14ac:dyDescent="0.3">
      <c r="A522" s="33"/>
      <c r="D522" s="34"/>
      <c r="E522" s="34"/>
      <c r="F522" s="33"/>
    </row>
    <row r="523" spans="1:6" ht="15" customHeight="1" x14ac:dyDescent="0.3">
      <c r="A523" s="33"/>
      <c r="D523" s="34"/>
      <c r="E523" s="34"/>
      <c r="F523" s="33"/>
    </row>
    <row r="524" spans="1:6" ht="15" customHeight="1" x14ac:dyDescent="0.3">
      <c r="A524" s="33"/>
      <c r="D524" s="34"/>
      <c r="E524" s="34"/>
      <c r="F524" s="33"/>
    </row>
    <row r="525" spans="1:6" ht="15" customHeight="1" x14ac:dyDescent="0.3">
      <c r="A525" s="33"/>
      <c r="D525" s="34"/>
      <c r="E525" s="34"/>
      <c r="F525" s="33"/>
    </row>
    <row r="526" spans="1:6" ht="15" customHeight="1" x14ac:dyDescent="0.3">
      <c r="A526" s="33"/>
      <c r="D526" s="34"/>
      <c r="E526" s="34"/>
      <c r="F526" s="33"/>
    </row>
    <row r="527" spans="1:6" ht="15" customHeight="1" x14ac:dyDescent="0.3">
      <c r="A527" s="33"/>
      <c r="D527" s="34"/>
      <c r="E527" s="34"/>
      <c r="F527" s="33"/>
    </row>
    <row r="528" spans="1:6" ht="15" customHeight="1" x14ac:dyDescent="0.3">
      <c r="A528" s="33"/>
      <c r="D528" s="34"/>
      <c r="E528" s="34"/>
      <c r="F528" s="33"/>
    </row>
    <row r="529" spans="1:6" ht="15" customHeight="1" x14ac:dyDescent="0.3">
      <c r="A529" s="33"/>
      <c r="D529" s="34"/>
      <c r="E529" s="34"/>
      <c r="F529" s="33"/>
    </row>
    <row r="530" spans="1:6" ht="15" customHeight="1" x14ac:dyDescent="0.3">
      <c r="A530" s="33"/>
      <c r="D530" s="34"/>
      <c r="E530" s="34"/>
      <c r="F530" s="33"/>
    </row>
    <row r="531" spans="1:6" ht="15" customHeight="1" x14ac:dyDescent="0.3">
      <c r="A531" s="33"/>
      <c r="D531" s="34"/>
      <c r="E531" s="34"/>
      <c r="F531" s="33"/>
    </row>
    <row r="532" spans="1:6" ht="15" customHeight="1" x14ac:dyDescent="0.3">
      <c r="A532" s="33"/>
      <c r="D532" s="34"/>
      <c r="E532" s="34"/>
      <c r="F532" s="33"/>
    </row>
    <row r="533" spans="1:6" ht="15" customHeight="1" x14ac:dyDescent="0.3">
      <c r="A533" s="33"/>
      <c r="D533" s="34"/>
      <c r="E533" s="34"/>
      <c r="F533" s="33"/>
    </row>
    <row r="534" spans="1:6" ht="15" customHeight="1" x14ac:dyDescent="0.3">
      <c r="A534" s="33"/>
      <c r="D534" s="34"/>
      <c r="E534" s="34"/>
      <c r="F534" s="33"/>
    </row>
    <row r="535" spans="1:6" ht="15" customHeight="1" x14ac:dyDescent="0.3">
      <c r="A535" s="33"/>
      <c r="D535" s="34"/>
      <c r="E535" s="34"/>
      <c r="F535" s="33"/>
    </row>
    <row r="536" spans="1:6" ht="15" customHeight="1" x14ac:dyDescent="0.3">
      <c r="A536" s="33"/>
      <c r="D536" s="34"/>
      <c r="E536" s="34"/>
      <c r="F536" s="33"/>
    </row>
    <row r="537" spans="1:6" ht="15" customHeight="1" x14ac:dyDescent="0.3">
      <c r="A537" s="33"/>
      <c r="D537" s="34"/>
      <c r="E537" s="34"/>
      <c r="F537" s="33"/>
    </row>
    <row r="538" spans="1:6" ht="15" customHeight="1" x14ac:dyDescent="0.3">
      <c r="A538" s="33"/>
      <c r="D538" s="34"/>
      <c r="E538" s="34"/>
      <c r="F538" s="33"/>
    </row>
    <row r="539" spans="1:6" ht="15" customHeight="1" x14ac:dyDescent="0.3">
      <c r="A539" s="33"/>
      <c r="D539" s="34"/>
      <c r="E539" s="34"/>
      <c r="F539" s="33"/>
    </row>
    <row r="540" spans="1:6" ht="15" customHeight="1" x14ac:dyDescent="0.3">
      <c r="A540" s="33"/>
      <c r="D540" s="34"/>
      <c r="E540" s="34"/>
      <c r="F540" s="33"/>
    </row>
    <row r="541" spans="1:6" ht="15" customHeight="1" x14ac:dyDescent="0.3">
      <c r="A541" s="33"/>
      <c r="D541" s="34"/>
      <c r="E541" s="34"/>
      <c r="F541" s="33"/>
    </row>
    <row r="542" spans="1:6" ht="15" customHeight="1" x14ac:dyDescent="0.3">
      <c r="A542" s="33"/>
      <c r="D542" s="34"/>
      <c r="E542" s="34"/>
      <c r="F542" s="33"/>
    </row>
    <row r="543" spans="1:6" ht="15" customHeight="1" x14ac:dyDescent="0.3">
      <c r="A543" s="33"/>
      <c r="D543" s="34"/>
      <c r="E543" s="34"/>
      <c r="F543" s="33"/>
    </row>
    <row r="544" spans="1:6" ht="15" customHeight="1" x14ac:dyDescent="0.3">
      <c r="A544" s="33"/>
      <c r="D544" s="34"/>
      <c r="E544" s="34"/>
      <c r="F544" s="33"/>
    </row>
    <row r="545" spans="1:6" ht="15" customHeight="1" x14ac:dyDescent="0.3">
      <c r="A545" s="33"/>
      <c r="D545" s="34"/>
      <c r="E545" s="34"/>
      <c r="F545" s="33"/>
    </row>
    <row r="546" spans="1:6" ht="15" customHeight="1" x14ac:dyDescent="0.3">
      <c r="A546" s="33"/>
      <c r="D546" s="34"/>
      <c r="E546" s="34"/>
      <c r="F546" s="33"/>
    </row>
    <row r="547" spans="1:6" ht="15" customHeight="1" x14ac:dyDescent="0.3">
      <c r="A547" s="33"/>
      <c r="D547" s="34"/>
      <c r="E547" s="34"/>
      <c r="F547" s="33"/>
    </row>
    <row r="548" spans="1:6" ht="15" customHeight="1" x14ac:dyDescent="0.3">
      <c r="A548" s="33"/>
      <c r="D548" s="34"/>
      <c r="E548" s="34"/>
      <c r="F548" s="33"/>
    </row>
    <row r="549" spans="1:6" ht="15" customHeight="1" x14ac:dyDescent="0.3">
      <c r="A549" s="33"/>
      <c r="D549" s="34"/>
      <c r="E549" s="34"/>
      <c r="F549" s="33"/>
    </row>
    <row r="550" spans="1:6" ht="15" customHeight="1" x14ac:dyDescent="0.3">
      <c r="A550" s="33"/>
      <c r="D550" s="34"/>
      <c r="E550" s="34"/>
      <c r="F550" s="33"/>
    </row>
    <row r="551" spans="1:6" ht="15" customHeight="1" x14ac:dyDescent="0.3">
      <c r="A551" s="33"/>
      <c r="D551" s="34"/>
      <c r="E551" s="34"/>
      <c r="F551" s="33"/>
    </row>
    <row r="552" spans="1:6" ht="15" customHeight="1" x14ac:dyDescent="0.3">
      <c r="A552" s="33"/>
      <c r="D552" s="34"/>
      <c r="E552" s="34"/>
      <c r="F552" s="33"/>
    </row>
    <row r="553" spans="1:6" ht="15" customHeight="1" x14ac:dyDescent="0.3">
      <c r="A553" s="33"/>
      <c r="D553" s="34"/>
      <c r="E553" s="34"/>
      <c r="F553" s="33"/>
    </row>
    <row r="554" spans="1:6" ht="15" customHeight="1" x14ac:dyDescent="0.3">
      <c r="A554" s="33"/>
      <c r="D554" s="34"/>
      <c r="E554" s="34"/>
      <c r="F554" s="33"/>
    </row>
    <row r="555" spans="1:6" ht="15" customHeight="1" x14ac:dyDescent="0.3">
      <c r="A555" s="33"/>
      <c r="D555" s="34"/>
      <c r="E555" s="34"/>
      <c r="F555" s="33"/>
    </row>
    <row r="556" spans="1:6" ht="15" customHeight="1" x14ac:dyDescent="0.3">
      <c r="A556" s="33"/>
      <c r="D556" s="34"/>
      <c r="E556" s="34"/>
      <c r="F556" s="33"/>
    </row>
    <row r="557" spans="1:6" ht="15" customHeight="1" x14ac:dyDescent="0.3">
      <c r="A557" s="33"/>
      <c r="D557" s="34"/>
      <c r="E557" s="34"/>
      <c r="F557" s="33"/>
    </row>
    <row r="558" spans="1:6" ht="15" customHeight="1" x14ac:dyDescent="0.3">
      <c r="A558" s="33"/>
      <c r="D558" s="34"/>
      <c r="E558" s="34"/>
      <c r="F558" s="33"/>
    </row>
    <row r="559" spans="1:6" ht="15" customHeight="1" x14ac:dyDescent="0.3">
      <c r="A559" s="33"/>
      <c r="D559" s="34"/>
      <c r="E559" s="34"/>
      <c r="F559" s="33"/>
    </row>
    <row r="560" spans="1:6" ht="15" customHeight="1" x14ac:dyDescent="0.3">
      <c r="A560" s="33"/>
      <c r="D560" s="34"/>
      <c r="E560" s="34"/>
      <c r="F560" s="33"/>
    </row>
    <row r="561" spans="1:6" ht="15" customHeight="1" x14ac:dyDescent="0.3">
      <c r="A561" s="33"/>
      <c r="D561" s="34"/>
      <c r="E561" s="34"/>
      <c r="F561" s="33"/>
    </row>
    <row r="562" spans="1:6" ht="15" customHeight="1" x14ac:dyDescent="0.3">
      <c r="A562" s="33"/>
      <c r="D562" s="34"/>
      <c r="E562" s="34"/>
      <c r="F562" s="33"/>
    </row>
    <row r="563" spans="1:6" ht="15" customHeight="1" x14ac:dyDescent="0.3">
      <c r="A563" s="33"/>
      <c r="D563" s="34"/>
      <c r="E563" s="34"/>
      <c r="F563" s="33"/>
    </row>
    <row r="564" spans="1:6" ht="15" customHeight="1" x14ac:dyDescent="0.3">
      <c r="A564" s="33"/>
      <c r="D564" s="34"/>
      <c r="E564" s="34"/>
      <c r="F564" s="33"/>
    </row>
    <row r="565" spans="1:6" ht="15" customHeight="1" x14ac:dyDescent="0.3">
      <c r="A565" s="33"/>
      <c r="D565" s="34"/>
      <c r="E565" s="34"/>
      <c r="F565" s="33"/>
    </row>
    <row r="566" spans="1:6" ht="15" customHeight="1" x14ac:dyDescent="0.3">
      <c r="A566" s="33"/>
      <c r="D566" s="34"/>
      <c r="E566" s="34"/>
      <c r="F566" s="33"/>
    </row>
    <row r="567" spans="1:6" ht="15" customHeight="1" x14ac:dyDescent="0.3">
      <c r="A567" s="33"/>
      <c r="D567" s="34"/>
      <c r="E567" s="34"/>
      <c r="F567" s="33"/>
    </row>
    <row r="568" spans="1:6" ht="15" customHeight="1" x14ac:dyDescent="0.3">
      <c r="A568" s="33"/>
      <c r="D568" s="34"/>
      <c r="E568" s="34"/>
      <c r="F568" s="33"/>
    </row>
    <row r="569" spans="1:6" ht="15" customHeight="1" x14ac:dyDescent="0.3">
      <c r="A569" s="33"/>
      <c r="D569" s="34"/>
      <c r="E569" s="34"/>
      <c r="F569" s="33"/>
    </row>
    <row r="570" spans="1:6" ht="15" customHeight="1" x14ac:dyDescent="0.3">
      <c r="A570" s="33"/>
      <c r="D570" s="34"/>
      <c r="E570" s="34"/>
      <c r="F570" s="33"/>
    </row>
    <row r="571" spans="1:6" ht="15" customHeight="1" x14ac:dyDescent="0.3">
      <c r="A571" s="33"/>
      <c r="D571" s="34"/>
      <c r="E571" s="34"/>
      <c r="F571" s="33"/>
    </row>
    <row r="572" spans="1:6" ht="15" customHeight="1" x14ac:dyDescent="0.3">
      <c r="A572" s="33"/>
      <c r="D572" s="34"/>
      <c r="E572" s="34"/>
      <c r="F572" s="33"/>
    </row>
    <row r="573" spans="1:6" ht="15" customHeight="1" x14ac:dyDescent="0.3">
      <c r="A573" s="33"/>
      <c r="D573" s="34"/>
      <c r="E573" s="34"/>
      <c r="F573" s="33"/>
    </row>
    <row r="574" spans="1:6" ht="15" customHeight="1" x14ac:dyDescent="0.3">
      <c r="A574" s="33"/>
      <c r="D574" s="34"/>
      <c r="E574" s="34"/>
      <c r="F574" s="33"/>
    </row>
    <row r="575" spans="1:6" ht="15" customHeight="1" x14ac:dyDescent="0.3">
      <c r="A575" s="33"/>
      <c r="D575" s="34"/>
      <c r="E575" s="34"/>
      <c r="F575" s="33"/>
    </row>
    <row r="576" spans="1:6" ht="15" customHeight="1" x14ac:dyDescent="0.3">
      <c r="A576" s="33"/>
      <c r="D576" s="34"/>
      <c r="E576" s="34"/>
      <c r="F576" s="33"/>
    </row>
    <row r="577" spans="1:6" ht="15" customHeight="1" x14ac:dyDescent="0.3">
      <c r="A577" s="33"/>
      <c r="D577" s="34"/>
      <c r="E577" s="34"/>
      <c r="F577" s="33"/>
    </row>
    <row r="578" spans="1:6" ht="15" customHeight="1" x14ac:dyDescent="0.3">
      <c r="A578" s="33"/>
      <c r="D578" s="34"/>
      <c r="E578" s="34"/>
      <c r="F578" s="33"/>
    </row>
    <row r="579" spans="1:6" ht="15" customHeight="1" x14ac:dyDescent="0.3">
      <c r="A579" s="33"/>
      <c r="D579" s="34"/>
      <c r="E579" s="34"/>
      <c r="F579" s="33"/>
    </row>
    <row r="580" spans="1:6" ht="15" customHeight="1" x14ac:dyDescent="0.3">
      <c r="A580" s="33"/>
      <c r="D580" s="34"/>
      <c r="E580" s="34"/>
      <c r="F580" s="33"/>
    </row>
    <row r="581" spans="1:6" ht="15" customHeight="1" x14ac:dyDescent="0.3">
      <c r="A581" s="33"/>
      <c r="D581" s="34"/>
      <c r="E581" s="34"/>
      <c r="F581" s="33"/>
    </row>
    <row r="582" spans="1:6" ht="15" customHeight="1" x14ac:dyDescent="0.3">
      <c r="A582" s="33"/>
      <c r="D582" s="34"/>
      <c r="E582" s="34"/>
      <c r="F582" s="33"/>
    </row>
    <row r="583" spans="1:6" ht="15" customHeight="1" x14ac:dyDescent="0.3">
      <c r="A583" s="33"/>
      <c r="D583" s="34"/>
      <c r="E583" s="34"/>
      <c r="F583" s="33"/>
    </row>
    <row r="584" spans="1:6" ht="15" customHeight="1" x14ac:dyDescent="0.3">
      <c r="A584" s="33"/>
      <c r="D584" s="34"/>
      <c r="E584" s="34"/>
      <c r="F584" s="33"/>
    </row>
    <row r="585" spans="1:6" ht="15" customHeight="1" x14ac:dyDescent="0.3">
      <c r="A585" s="33"/>
      <c r="D585" s="34"/>
      <c r="E585" s="34"/>
      <c r="F585" s="33"/>
    </row>
    <row r="586" spans="1:6" ht="15" customHeight="1" x14ac:dyDescent="0.3">
      <c r="A586" s="33"/>
      <c r="D586" s="34"/>
      <c r="E586" s="34"/>
      <c r="F586" s="33"/>
    </row>
    <row r="587" spans="1:6" ht="15" customHeight="1" x14ac:dyDescent="0.3">
      <c r="A587" s="33"/>
      <c r="D587" s="34"/>
      <c r="E587" s="34"/>
      <c r="F587" s="33"/>
    </row>
    <row r="588" spans="1:6" ht="15" customHeight="1" x14ac:dyDescent="0.3">
      <c r="A588" s="33"/>
      <c r="D588" s="34"/>
      <c r="E588" s="34"/>
      <c r="F588" s="33"/>
    </row>
    <row r="589" spans="1:6" ht="15" customHeight="1" x14ac:dyDescent="0.3">
      <c r="A589" s="33"/>
      <c r="D589" s="34"/>
      <c r="E589" s="34"/>
      <c r="F589" s="33"/>
    </row>
    <row r="590" spans="1:6" ht="15" customHeight="1" x14ac:dyDescent="0.3">
      <c r="A590" s="33"/>
      <c r="D590" s="34"/>
      <c r="E590" s="34"/>
      <c r="F590" s="33"/>
    </row>
    <row r="591" spans="1:6" ht="15" customHeight="1" x14ac:dyDescent="0.3">
      <c r="A591" s="33"/>
      <c r="D591" s="34"/>
      <c r="E591" s="34"/>
      <c r="F591" s="33"/>
    </row>
    <row r="592" spans="1:6" ht="15" customHeight="1" x14ac:dyDescent="0.3">
      <c r="A592" s="33"/>
      <c r="D592" s="34"/>
      <c r="E592" s="34"/>
      <c r="F592" s="33"/>
    </row>
    <row r="593" spans="1:6" ht="15" customHeight="1" x14ac:dyDescent="0.3">
      <c r="A593" s="33"/>
      <c r="D593" s="34"/>
      <c r="E593" s="34"/>
      <c r="F593" s="33"/>
    </row>
    <row r="594" spans="1:6" ht="15" customHeight="1" x14ac:dyDescent="0.3">
      <c r="A594" s="33"/>
      <c r="D594" s="34"/>
      <c r="E594" s="34"/>
      <c r="F594" s="33"/>
    </row>
    <row r="595" spans="1:6" ht="15" customHeight="1" x14ac:dyDescent="0.3">
      <c r="A595" s="33"/>
      <c r="D595" s="34"/>
      <c r="E595" s="34"/>
      <c r="F595" s="33"/>
    </row>
    <row r="596" spans="1:6" ht="15" customHeight="1" x14ac:dyDescent="0.3">
      <c r="A596" s="33"/>
      <c r="D596" s="34"/>
      <c r="E596" s="34"/>
      <c r="F596" s="33"/>
    </row>
    <row r="597" spans="1:6" ht="15" customHeight="1" x14ac:dyDescent="0.3">
      <c r="A597" s="33"/>
      <c r="D597" s="34"/>
      <c r="E597" s="34"/>
      <c r="F597" s="33"/>
    </row>
    <row r="598" spans="1:6" ht="15" customHeight="1" x14ac:dyDescent="0.3">
      <c r="A598" s="33"/>
      <c r="D598" s="34"/>
      <c r="E598" s="34"/>
      <c r="F598" s="33"/>
    </row>
    <row r="599" spans="1:6" ht="15" customHeight="1" x14ac:dyDescent="0.3">
      <c r="A599" s="33"/>
      <c r="D599" s="34"/>
      <c r="E599" s="34"/>
      <c r="F599" s="33"/>
    </row>
    <row r="600" spans="1:6" ht="15" customHeight="1" x14ac:dyDescent="0.3">
      <c r="A600" s="33"/>
      <c r="D600" s="34"/>
      <c r="E600" s="34"/>
      <c r="F600" s="33"/>
    </row>
    <row r="601" spans="1:6" ht="15" customHeight="1" x14ac:dyDescent="0.3">
      <c r="A601" s="33"/>
      <c r="D601" s="34"/>
      <c r="E601" s="34"/>
      <c r="F601" s="33"/>
    </row>
    <row r="602" spans="1:6" ht="15" customHeight="1" x14ac:dyDescent="0.3">
      <c r="A602" s="33"/>
      <c r="D602" s="34"/>
      <c r="E602" s="34"/>
      <c r="F602" s="33"/>
    </row>
    <row r="603" spans="1:6" ht="15" customHeight="1" x14ac:dyDescent="0.3">
      <c r="A603" s="33"/>
      <c r="D603" s="34"/>
      <c r="E603" s="34"/>
      <c r="F603" s="33"/>
    </row>
    <row r="604" spans="1:6" ht="15" customHeight="1" x14ac:dyDescent="0.3">
      <c r="A604" s="33"/>
      <c r="D604" s="34"/>
      <c r="E604" s="34"/>
      <c r="F604" s="33"/>
    </row>
    <row r="605" spans="1:6" ht="15" customHeight="1" x14ac:dyDescent="0.3">
      <c r="A605" s="33"/>
      <c r="D605" s="34"/>
      <c r="E605" s="34"/>
      <c r="F605" s="33"/>
    </row>
    <row r="606" spans="1:6" ht="15" customHeight="1" x14ac:dyDescent="0.3">
      <c r="A606" s="33"/>
      <c r="D606" s="34"/>
      <c r="E606" s="34"/>
      <c r="F606" s="33"/>
    </row>
    <row r="607" spans="1:6" ht="15" customHeight="1" x14ac:dyDescent="0.3">
      <c r="A607" s="33"/>
      <c r="D607" s="34"/>
      <c r="E607" s="34"/>
      <c r="F607" s="33"/>
    </row>
    <row r="608" spans="1:6" ht="15" customHeight="1" x14ac:dyDescent="0.3">
      <c r="A608" s="33"/>
      <c r="D608" s="34"/>
      <c r="E608" s="34"/>
      <c r="F608" s="33"/>
    </row>
    <row r="609" spans="1:6" ht="15" customHeight="1" x14ac:dyDescent="0.3">
      <c r="A609" s="33"/>
      <c r="D609" s="34"/>
      <c r="E609" s="34"/>
      <c r="F609" s="33"/>
    </row>
    <row r="610" spans="1:6" ht="15" customHeight="1" x14ac:dyDescent="0.3">
      <c r="A610" s="33"/>
      <c r="D610" s="34"/>
      <c r="E610" s="34"/>
      <c r="F610" s="33"/>
    </row>
    <row r="611" spans="1:6" ht="15" customHeight="1" x14ac:dyDescent="0.3">
      <c r="A611" s="33"/>
      <c r="D611" s="34"/>
      <c r="E611" s="34"/>
      <c r="F611" s="33"/>
    </row>
    <row r="612" spans="1:6" ht="15" customHeight="1" x14ac:dyDescent="0.3">
      <c r="A612" s="33"/>
      <c r="D612" s="34"/>
      <c r="E612" s="34"/>
      <c r="F612" s="33"/>
    </row>
    <row r="613" spans="1:6" ht="15" customHeight="1" x14ac:dyDescent="0.3">
      <c r="A613" s="33"/>
      <c r="D613" s="34"/>
      <c r="E613" s="34"/>
      <c r="F613" s="33"/>
    </row>
    <row r="614" spans="1:6" ht="15" customHeight="1" x14ac:dyDescent="0.3">
      <c r="A614" s="33"/>
      <c r="D614" s="34"/>
      <c r="E614" s="34"/>
      <c r="F614" s="33"/>
    </row>
    <row r="615" spans="1:6" ht="15" customHeight="1" x14ac:dyDescent="0.3">
      <c r="A615" s="33"/>
      <c r="D615" s="34"/>
      <c r="E615" s="34"/>
      <c r="F615" s="33"/>
    </row>
    <row r="616" spans="1:6" ht="15" customHeight="1" x14ac:dyDescent="0.3">
      <c r="A616" s="33"/>
      <c r="D616" s="34"/>
      <c r="E616" s="34"/>
      <c r="F616" s="33"/>
    </row>
    <row r="617" spans="1:6" ht="15" customHeight="1" x14ac:dyDescent="0.3">
      <c r="A617" s="33"/>
      <c r="D617" s="34"/>
      <c r="E617" s="34"/>
      <c r="F617" s="33"/>
    </row>
    <row r="618" spans="1:6" ht="15" customHeight="1" x14ac:dyDescent="0.3">
      <c r="A618" s="33"/>
      <c r="D618" s="34"/>
      <c r="E618" s="34"/>
      <c r="F618" s="33"/>
    </row>
    <row r="619" spans="1:6" ht="15" customHeight="1" x14ac:dyDescent="0.3">
      <c r="A619" s="33"/>
      <c r="D619" s="34"/>
      <c r="E619" s="34"/>
      <c r="F619" s="33"/>
    </row>
    <row r="620" spans="1:6" ht="15" customHeight="1" x14ac:dyDescent="0.3">
      <c r="A620" s="33"/>
      <c r="D620" s="34"/>
      <c r="E620" s="34"/>
      <c r="F620" s="33"/>
    </row>
    <row r="621" spans="1:6" ht="15" customHeight="1" x14ac:dyDescent="0.3">
      <c r="A621" s="33"/>
      <c r="D621" s="34"/>
      <c r="E621" s="34"/>
      <c r="F621" s="33"/>
    </row>
    <row r="622" spans="1:6" ht="15" customHeight="1" x14ac:dyDescent="0.3">
      <c r="A622" s="33"/>
      <c r="D622" s="34"/>
      <c r="E622" s="34"/>
      <c r="F622" s="33"/>
    </row>
    <row r="623" spans="1:6" ht="15" customHeight="1" x14ac:dyDescent="0.3">
      <c r="A623" s="33"/>
      <c r="D623" s="34"/>
      <c r="E623" s="34"/>
      <c r="F623" s="33"/>
    </row>
    <row r="624" spans="1:6" ht="15" customHeight="1" x14ac:dyDescent="0.3">
      <c r="A624" s="33"/>
      <c r="D624" s="34"/>
      <c r="E624" s="34"/>
      <c r="F624" s="33"/>
    </row>
    <row r="625" spans="1:6" ht="15" customHeight="1" x14ac:dyDescent="0.3">
      <c r="A625" s="33"/>
      <c r="D625" s="34"/>
      <c r="E625" s="34"/>
      <c r="F625" s="33"/>
    </row>
    <row r="626" spans="1:6" ht="15" customHeight="1" x14ac:dyDescent="0.3">
      <c r="A626" s="33"/>
      <c r="D626" s="34"/>
      <c r="E626" s="34"/>
      <c r="F626" s="33"/>
    </row>
    <row r="627" spans="1:6" ht="15" customHeight="1" x14ac:dyDescent="0.3">
      <c r="A627" s="33"/>
      <c r="D627" s="34"/>
      <c r="E627" s="34"/>
      <c r="F627" s="33"/>
    </row>
    <row r="628" spans="1:6" ht="15" customHeight="1" x14ac:dyDescent="0.3">
      <c r="A628" s="33"/>
      <c r="D628" s="34"/>
      <c r="E628" s="34"/>
      <c r="F628" s="33"/>
    </row>
    <row r="629" spans="1:6" ht="15" customHeight="1" x14ac:dyDescent="0.3">
      <c r="A629" s="33"/>
      <c r="D629" s="34"/>
      <c r="E629" s="34"/>
      <c r="F629" s="33"/>
    </row>
    <row r="630" spans="1:6" ht="15" customHeight="1" x14ac:dyDescent="0.3">
      <c r="A630" s="33"/>
      <c r="D630" s="34"/>
      <c r="E630" s="34"/>
      <c r="F630" s="33"/>
    </row>
    <row r="631" spans="1:6" ht="15" customHeight="1" x14ac:dyDescent="0.3">
      <c r="A631" s="33"/>
      <c r="D631" s="34"/>
      <c r="E631" s="34"/>
      <c r="F631" s="33"/>
    </row>
    <row r="632" spans="1:6" ht="15" customHeight="1" x14ac:dyDescent="0.3">
      <c r="A632" s="33"/>
      <c r="D632" s="34"/>
      <c r="E632" s="34"/>
      <c r="F632" s="33"/>
    </row>
    <row r="633" spans="1:6" ht="15" customHeight="1" x14ac:dyDescent="0.3">
      <c r="A633" s="33"/>
      <c r="D633" s="34"/>
      <c r="E633" s="34"/>
      <c r="F633" s="33"/>
    </row>
    <row r="634" spans="1:6" ht="15" customHeight="1" x14ac:dyDescent="0.3">
      <c r="A634" s="33"/>
      <c r="D634" s="34"/>
      <c r="E634" s="34"/>
      <c r="F634" s="33"/>
    </row>
    <row r="635" spans="1:6" ht="15" customHeight="1" x14ac:dyDescent="0.3">
      <c r="A635" s="33"/>
      <c r="D635" s="34"/>
      <c r="E635" s="34"/>
      <c r="F635" s="33"/>
    </row>
    <row r="636" spans="1:6" ht="15" customHeight="1" x14ac:dyDescent="0.3">
      <c r="A636" s="33"/>
      <c r="D636" s="34"/>
      <c r="E636" s="34"/>
      <c r="F636" s="33"/>
    </row>
    <row r="637" spans="1:6" ht="15" customHeight="1" x14ac:dyDescent="0.3">
      <c r="A637" s="33"/>
      <c r="D637" s="34"/>
      <c r="E637" s="34"/>
      <c r="F637" s="33"/>
    </row>
    <row r="638" spans="1:6" ht="15" customHeight="1" x14ac:dyDescent="0.3">
      <c r="A638" s="33"/>
      <c r="D638" s="34"/>
      <c r="E638" s="34"/>
      <c r="F638" s="33"/>
    </row>
    <row r="639" spans="1:6" ht="15" customHeight="1" x14ac:dyDescent="0.3">
      <c r="A639" s="33"/>
      <c r="D639" s="34"/>
      <c r="E639" s="34"/>
      <c r="F639" s="33"/>
    </row>
    <row r="640" spans="1:6" ht="15" customHeight="1" x14ac:dyDescent="0.3">
      <c r="A640" s="33"/>
      <c r="D640" s="34"/>
      <c r="E640" s="34"/>
      <c r="F640" s="33"/>
    </row>
    <row r="641" spans="1:6" ht="15" customHeight="1" x14ac:dyDescent="0.3">
      <c r="A641" s="33"/>
      <c r="D641" s="34"/>
      <c r="E641" s="34"/>
      <c r="F641" s="33"/>
    </row>
    <row r="642" spans="1:6" ht="15" customHeight="1" x14ac:dyDescent="0.3">
      <c r="A642" s="33"/>
      <c r="D642" s="34"/>
      <c r="E642" s="34"/>
      <c r="F642" s="33"/>
    </row>
    <row r="643" spans="1:6" ht="15" customHeight="1" x14ac:dyDescent="0.3">
      <c r="A643" s="33"/>
      <c r="D643" s="34"/>
      <c r="E643" s="34"/>
      <c r="F643" s="33"/>
    </row>
    <row r="644" spans="1:6" ht="15" customHeight="1" x14ac:dyDescent="0.3">
      <c r="A644" s="33"/>
      <c r="D644" s="34"/>
      <c r="E644" s="34"/>
      <c r="F644" s="33"/>
    </row>
    <row r="645" spans="1:6" ht="15" customHeight="1" x14ac:dyDescent="0.3">
      <c r="A645" s="33"/>
      <c r="D645" s="34"/>
      <c r="E645" s="34"/>
      <c r="F645" s="33"/>
    </row>
    <row r="646" spans="1:6" ht="15" customHeight="1" x14ac:dyDescent="0.3">
      <c r="A646" s="33"/>
      <c r="D646" s="34"/>
      <c r="E646" s="34"/>
      <c r="F646" s="33"/>
    </row>
    <row r="647" spans="1:6" ht="15" customHeight="1" x14ac:dyDescent="0.3">
      <c r="A647" s="33"/>
      <c r="D647" s="34"/>
      <c r="E647" s="34"/>
      <c r="F647" s="33"/>
    </row>
    <row r="648" spans="1:6" ht="15" customHeight="1" x14ac:dyDescent="0.3">
      <c r="A648" s="33"/>
      <c r="D648" s="34"/>
      <c r="E648" s="34"/>
      <c r="F648" s="33"/>
    </row>
    <row r="649" spans="1:6" ht="15" customHeight="1" x14ac:dyDescent="0.3">
      <c r="A649" s="33"/>
      <c r="D649" s="34"/>
      <c r="E649" s="34"/>
      <c r="F649" s="33"/>
    </row>
    <row r="650" spans="1:6" ht="15" customHeight="1" x14ac:dyDescent="0.3">
      <c r="A650" s="33"/>
      <c r="D650" s="34"/>
      <c r="E650" s="34"/>
      <c r="F650" s="33"/>
    </row>
    <row r="651" spans="1:6" ht="15" customHeight="1" x14ac:dyDescent="0.3">
      <c r="A651" s="33"/>
      <c r="D651" s="34"/>
      <c r="E651" s="34"/>
      <c r="F651" s="33"/>
    </row>
    <row r="652" spans="1:6" ht="15" customHeight="1" x14ac:dyDescent="0.3">
      <c r="A652" s="33"/>
      <c r="D652" s="34"/>
      <c r="E652" s="34"/>
      <c r="F652" s="33"/>
    </row>
    <row r="653" spans="1:6" ht="15" customHeight="1" x14ac:dyDescent="0.3">
      <c r="A653" s="33"/>
      <c r="D653" s="34"/>
      <c r="E653" s="34"/>
      <c r="F653" s="33"/>
    </row>
    <row r="654" spans="1:6" ht="15" customHeight="1" x14ac:dyDescent="0.3">
      <c r="A654" s="33"/>
      <c r="D654" s="34"/>
      <c r="E654" s="34"/>
      <c r="F654" s="33"/>
    </row>
    <row r="655" spans="1:6" ht="15" customHeight="1" x14ac:dyDescent="0.3">
      <c r="A655" s="33"/>
      <c r="D655" s="34"/>
      <c r="E655" s="34"/>
      <c r="F655" s="33"/>
    </row>
    <row r="656" spans="1:6" ht="15" customHeight="1" x14ac:dyDescent="0.3">
      <c r="A656" s="33"/>
      <c r="D656" s="34"/>
      <c r="E656" s="34"/>
      <c r="F656" s="33"/>
    </row>
    <row r="657" spans="1:6" ht="15" customHeight="1" x14ac:dyDescent="0.3">
      <c r="A657" s="33"/>
      <c r="D657" s="34"/>
      <c r="E657" s="34"/>
      <c r="F657" s="33"/>
    </row>
    <row r="658" spans="1:6" ht="15" customHeight="1" x14ac:dyDescent="0.3">
      <c r="A658" s="33"/>
      <c r="D658" s="34"/>
      <c r="E658" s="34"/>
      <c r="F658" s="33"/>
    </row>
    <row r="659" spans="1:6" ht="15" customHeight="1" x14ac:dyDescent="0.3">
      <c r="A659" s="33"/>
      <c r="D659" s="34"/>
      <c r="E659" s="34"/>
      <c r="F659" s="33"/>
    </row>
    <row r="660" spans="1:6" ht="15" customHeight="1" x14ac:dyDescent="0.3">
      <c r="A660" s="33"/>
      <c r="D660" s="34"/>
      <c r="E660" s="34"/>
      <c r="F660" s="33"/>
    </row>
    <row r="661" spans="1:6" ht="15" customHeight="1" x14ac:dyDescent="0.3">
      <c r="A661" s="33"/>
      <c r="D661" s="34"/>
      <c r="E661" s="34"/>
      <c r="F661" s="33"/>
    </row>
    <row r="662" spans="1:6" ht="15" customHeight="1" x14ac:dyDescent="0.3">
      <c r="A662" s="33"/>
      <c r="D662" s="34"/>
      <c r="E662" s="34"/>
      <c r="F662" s="33"/>
    </row>
    <row r="663" spans="1:6" ht="15" customHeight="1" x14ac:dyDescent="0.3">
      <c r="A663" s="33"/>
      <c r="D663" s="34"/>
      <c r="E663" s="34"/>
      <c r="F663" s="33"/>
    </row>
    <row r="664" spans="1:6" ht="15" customHeight="1" x14ac:dyDescent="0.3">
      <c r="A664" s="33"/>
      <c r="D664" s="34"/>
      <c r="E664" s="34"/>
      <c r="F664" s="33"/>
    </row>
    <row r="665" spans="1:6" ht="15" customHeight="1" x14ac:dyDescent="0.3">
      <c r="A665" s="33"/>
      <c r="D665" s="34"/>
      <c r="E665" s="34"/>
      <c r="F665" s="33"/>
    </row>
    <row r="666" spans="1:6" ht="15" customHeight="1" x14ac:dyDescent="0.3">
      <c r="A666" s="33"/>
      <c r="D666" s="34"/>
      <c r="E666" s="34"/>
      <c r="F666" s="33"/>
    </row>
    <row r="667" spans="1:6" ht="15" customHeight="1" x14ac:dyDescent="0.3">
      <c r="A667" s="33"/>
      <c r="D667" s="34"/>
      <c r="E667" s="34"/>
      <c r="F667" s="33"/>
    </row>
    <row r="668" spans="1:6" ht="15" customHeight="1" x14ac:dyDescent="0.3">
      <c r="A668" s="33"/>
      <c r="D668" s="34"/>
      <c r="E668" s="34"/>
      <c r="F668" s="33"/>
    </row>
    <row r="669" spans="1:6" ht="15" customHeight="1" x14ac:dyDescent="0.3">
      <c r="A669" s="33"/>
      <c r="D669" s="34"/>
      <c r="E669" s="34"/>
      <c r="F669" s="33"/>
    </row>
    <row r="670" spans="1:6" ht="15" customHeight="1" x14ac:dyDescent="0.3">
      <c r="A670" s="33"/>
      <c r="D670" s="34"/>
      <c r="E670" s="34"/>
      <c r="F670" s="33"/>
    </row>
    <row r="671" spans="1:6" ht="15" customHeight="1" x14ac:dyDescent="0.3">
      <c r="A671" s="33"/>
      <c r="D671" s="34"/>
      <c r="E671" s="34"/>
      <c r="F671" s="33"/>
    </row>
    <row r="672" spans="1:6" ht="15" customHeight="1" x14ac:dyDescent="0.3">
      <c r="A672" s="33"/>
      <c r="D672" s="34"/>
      <c r="E672" s="34"/>
      <c r="F672" s="33"/>
    </row>
    <row r="673" spans="1:6" ht="15" customHeight="1" x14ac:dyDescent="0.3">
      <c r="A673" s="33"/>
      <c r="D673" s="34"/>
      <c r="E673" s="34"/>
      <c r="F673" s="33"/>
    </row>
    <row r="674" spans="1:6" ht="15" customHeight="1" x14ac:dyDescent="0.3">
      <c r="A674" s="33"/>
      <c r="D674" s="34"/>
      <c r="E674" s="34"/>
      <c r="F674" s="33"/>
    </row>
    <row r="675" spans="1:6" ht="15" customHeight="1" x14ac:dyDescent="0.3">
      <c r="A675" s="33"/>
      <c r="D675" s="34"/>
      <c r="E675" s="34"/>
      <c r="F675" s="33"/>
    </row>
    <row r="676" spans="1:6" ht="15" customHeight="1" x14ac:dyDescent="0.3">
      <c r="A676" s="33"/>
      <c r="D676" s="34"/>
      <c r="E676" s="34"/>
      <c r="F676" s="33"/>
    </row>
    <row r="677" spans="1:6" ht="15" customHeight="1" x14ac:dyDescent="0.3">
      <c r="A677" s="33"/>
      <c r="D677" s="34"/>
      <c r="E677" s="34"/>
      <c r="F677" s="33"/>
    </row>
    <row r="678" spans="1:6" ht="15" customHeight="1" x14ac:dyDescent="0.3">
      <c r="A678" s="33"/>
      <c r="D678" s="34"/>
      <c r="E678" s="34"/>
      <c r="F678" s="33"/>
    </row>
    <row r="679" spans="1:6" ht="15" customHeight="1" x14ac:dyDescent="0.3">
      <c r="A679" s="33"/>
      <c r="D679" s="34"/>
      <c r="E679" s="34"/>
      <c r="F679" s="33"/>
    </row>
    <row r="680" spans="1:6" ht="15" customHeight="1" x14ac:dyDescent="0.3">
      <c r="A680" s="33"/>
      <c r="D680" s="34"/>
      <c r="E680" s="34"/>
      <c r="F680" s="33"/>
    </row>
    <row r="681" spans="1:6" ht="15" customHeight="1" x14ac:dyDescent="0.3">
      <c r="A681" s="33"/>
      <c r="D681" s="34"/>
      <c r="E681" s="34"/>
      <c r="F681" s="33"/>
    </row>
    <row r="682" spans="1:6" ht="15" customHeight="1" x14ac:dyDescent="0.3">
      <c r="A682" s="33"/>
      <c r="D682" s="34"/>
      <c r="E682" s="34"/>
      <c r="F682" s="33"/>
    </row>
    <row r="683" spans="1:6" ht="15" customHeight="1" x14ac:dyDescent="0.3">
      <c r="A683" s="33"/>
      <c r="D683" s="34"/>
      <c r="E683" s="34"/>
      <c r="F683" s="33"/>
    </row>
    <row r="684" spans="1:6" ht="15" customHeight="1" x14ac:dyDescent="0.3">
      <c r="A684" s="33"/>
      <c r="D684" s="34"/>
      <c r="E684" s="34"/>
      <c r="F684" s="33"/>
    </row>
    <row r="685" spans="1:6" ht="15" customHeight="1" x14ac:dyDescent="0.3">
      <c r="A685" s="33"/>
      <c r="D685" s="34"/>
      <c r="E685" s="34"/>
      <c r="F685" s="33"/>
    </row>
    <row r="686" spans="1:6" ht="15" customHeight="1" x14ac:dyDescent="0.3">
      <c r="A686" s="33"/>
      <c r="D686" s="34"/>
      <c r="E686" s="34"/>
      <c r="F686" s="33"/>
    </row>
    <row r="687" spans="1:6" ht="15" customHeight="1" x14ac:dyDescent="0.3">
      <c r="A687" s="33"/>
      <c r="D687" s="34"/>
      <c r="E687" s="34"/>
      <c r="F687" s="33"/>
    </row>
    <row r="688" spans="1:6" ht="15" customHeight="1" x14ac:dyDescent="0.3">
      <c r="A688" s="33"/>
      <c r="D688" s="34"/>
      <c r="E688" s="34"/>
      <c r="F688" s="33"/>
    </row>
    <row r="689" spans="1:6" ht="15" customHeight="1" x14ac:dyDescent="0.3">
      <c r="A689" s="33"/>
      <c r="D689" s="34"/>
      <c r="E689" s="34"/>
      <c r="F689" s="33"/>
    </row>
    <row r="690" spans="1:6" ht="15" customHeight="1" x14ac:dyDescent="0.3">
      <c r="A690" s="33"/>
      <c r="D690" s="34"/>
      <c r="E690" s="34"/>
      <c r="F690" s="33"/>
    </row>
    <row r="691" spans="1:6" ht="15" customHeight="1" x14ac:dyDescent="0.3">
      <c r="A691" s="33"/>
      <c r="D691" s="34"/>
      <c r="E691" s="34"/>
      <c r="F691" s="33"/>
    </row>
    <row r="692" spans="1:6" ht="15" customHeight="1" x14ac:dyDescent="0.3">
      <c r="A692" s="33"/>
      <c r="D692" s="34"/>
      <c r="E692" s="34"/>
      <c r="F692" s="33"/>
    </row>
    <row r="693" spans="1:6" ht="15" customHeight="1" x14ac:dyDescent="0.3">
      <c r="A693" s="33"/>
      <c r="D693" s="34"/>
      <c r="E693" s="34"/>
      <c r="F693" s="33"/>
    </row>
    <row r="694" spans="1:6" ht="15" customHeight="1" x14ac:dyDescent="0.3">
      <c r="A694" s="33"/>
      <c r="D694" s="34"/>
      <c r="E694" s="34"/>
      <c r="F694" s="33"/>
    </row>
    <row r="695" spans="1:6" ht="15" customHeight="1" x14ac:dyDescent="0.3">
      <c r="A695" s="33"/>
      <c r="D695" s="34"/>
      <c r="E695" s="34"/>
      <c r="F695" s="33"/>
    </row>
    <row r="696" spans="1:6" ht="15" customHeight="1" x14ac:dyDescent="0.3">
      <c r="A696" s="33"/>
      <c r="D696" s="34"/>
      <c r="E696" s="34"/>
      <c r="F696" s="33"/>
    </row>
    <row r="697" spans="1:6" ht="15" customHeight="1" x14ac:dyDescent="0.3">
      <c r="A697" s="33"/>
      <c r="D697" s="34"/>
      <c r="E697" s="34"/>
      <c r="F697" s="33"/>
    </row>
    <row r="698" spans="1:6" ht="15" customHeight="1" x14ac:dyDescent="0.3">
      <c r="A698" s="33"/>
      <c r="D698" s="34"/>
      <c r="E698" s="34"/>
      <c r="F698" s="33"/>
    </row>
    <row r="699" spans="1:6" ht="15" customHeight="1" x14ac:dyDescent="0.3">
      <c r="A699" s="33"/>
      <c r="D699" s="34"/>
      <c r="E699" s="34"/>
      <c r="F699" s="33"/>
    </row>
    <row r="700" spans="1:6" ht="15" customHeight="1" x14ac:dyDescent="0.3">
      <c r="A700" s="33"/>
      <c r="D700" s="34"/>
      <c r="E700" s="34"/>
      <c r="F700" s="33"/>
    </row>
    <row r="701" spans="1:6" ht="15" customHeight="1" x14ac:dyDescent="0.3">
      <c r="A701" s="33"/>
      <c r="D701" s="34"/>
      <c r="E701" s="34"/>
      <c r="F701" s="33"/>
    </row>
    <row r="702" spans="1:6" ht="15" customHeight="1" x14ac:dyDescent="0.3">
      <c r="A702" s="33"/>
      <c r="D702" s="34"/>
      <c r="E702" s="34"/>
      <c r="F702" s="33"/>
    </row>
    <row r="703" spans="1:6" ht="15" customHeight="1" x14ac:dyDescent="0.3">
      <c r="A703" s="33"/>
      <c r="D703" s="34"/>
      <c r="E703" s="34"/>
      <c r="F703" s="33"/>
    </row>
    <row r="704" spans="1:6" ht="15" customHeight="1" x14ac:dyDescent="0.3">
      <c r="A704" s="33"/>
      <c r="D704" s="34"/>
      <c r="E704" s="34"/>
      <c r="F704" s="33"/>
    </row>
    <row r="705" spans="1:6" ht="15" customHeight="1" x14ac:dyDescent="0.3">
      <c r="A705" s="33"/>
      <c r="D705" s="34"/>
      <c r="E705" s="34"/>
      <c r="F705" s="33"/>
    </row>
    <row r="706" spans="1:6" ht="15" customHeight="1" x14ac:dyDescent="0.3">
      <c r="A706" s="33"/>
      <c r="D706" s="34"/>
      <c r="E706" s="34"/>
      <c r="F706" s="33"/>
    </row>
    <row r="707" spans="1:6" ht="15" customHeight="1" x14ac:dyDescent="0.3">
      <c r="A707" s="33"/>
      <c r="D707" s="34"/>
      <c r="E707" s="34"/>
      <c r="F707" s="33"/>
    </row>
    <row r="708" spans="1:6" ht="15" customHeight="1" x14ac:dyDescent="0.3">
      <c r="A708" s="33"/>
      <c r="D708" s="34"/>
      <c r="E708" s="34"/>
      <c r="F708" s="33"/>
    </row>
    <row r="709" spans="1:6" ht="15" customHeight="1" x14ac:dyDescent="0.3">
      <c r="A709" s="33"/>
      <c r="D709" s="34"/>
      <c r="E709" s="34"/>
      <c r="F709" s="33"/>
    </row>
    <row r="710" spans="1:6" ht="15" customHeight="1" x14ac:dyDescent="0.3">
      <c r="A710" s="33"/>
      <c r="D710" s="34"/>
      <c r="E710" s="34"/>
      <c r="F710" s="33"/>
    </row>
    <row r="711" spans="1:6" ht="15" customHeight="1" x14ac:dyDescent="0.3">
      <c r="A711" s="33"/>
      <c r="D711" s="34"/>
      <c r="E711" s="34"/>
      <c r="F711" s="33"/>
    </row>
    <row r="712" spans="1:6" ht="15" customHeight="1" x14ac:dyDescent="0.3">
      <c r="A712" s="33"/>
      <c r="D712" s="34"/>
      <c r="E712" s="34"/>
      <c r="F712" s="33"/>
    </row>
    <row r="713" spans="1:6" ht="15" customHeight="1" x14ac:dyDescent="0.3">
      <c r="A713" s="33"/>
      <c r="D713" s="34"/>
      <c r="E713" s="34"/>
      <c r="F713" s="33"/>
    </row>
    <row r="714" spans="1:6" ht="15" customHeight="1" x14ac:dyDescent="0.3">
      <c r="A714" s="33"/>
      <c r="D714" s="34"/>
      <c r="E714" s="34"/>
      <c r="F714" s="33"/>
    </row>
    <row r="715" spans="1:6" ht="15" customHeight="1" x14ac:dyDescent="0.3">
      <c r="A715" s="33"/>
      <c r="D715" s="34"/>
      <c r="E715" s="34"/>
      <c r="F715" s="33"/>
    </row>
    <row r="716" spans="1:6" ht="15" customHeight="1" x14ac:dyDescent="0.3">
      <c r="A716" s="33"/>
      <c r="D716" s="34"/>
      <c r="E716" s="34"/>
      <c r="F716" s="33"/>
    </row>
    <row r="717" spans="1:6" ht="15" customHeight="1" x14ac:dyDescent="0.3">
      <c r="A717" s="33"/>
      <c r="D717" s="34"/>
      <c r="E717" s="34"/>
      <c r="F717" s="33"/>
    </row>
    <row r="718" spans="1:6" ht="15" customHeight="1" x14ac:dyDescent="0.3">
      <c r="A718" s="33"/>
      <c r="D718" s="34"/>
      <c r="E718" s="34"/>
      <c r="F718" s="33"/>
    </row>
    <row r="719" spans="1:6" ht="15" customHeight="1" x14ac:dyDescent="0.3">
      <c r="A719" s="33"/>
      <c r="D719" s="34"/>
      <c r="E719" s="34"/>
      <c r="F719" s="33"/>
    </row>
    <row r="720" spans="1:6" ht="15" customHeight="1" x14ac:dyDescent="0.3">
      <c r="A720" s="33"/>
      <c r="D720" s="34"/>
      <c r="E720" s="34"/>
      <c r="F720" s="33"/>
    </row>
    <row r="721" spans="1:6" ht="15" customHeight="1" x14ac:dyDescent="0.3">
      <c r="A721" s="33"/>
      <c r="D721" s="34"/>
      <c r="E721" s="34"/>
      <c r="F721" s="33"/>
    </row>
    <row r="722" spans="1:6" ht="15" customHeight="1" x14ac:dyDescent="0.3">
      <c r="A722" s="33"/>
      <c r="D722" s="34"/>
      <c r="E722" s="34"/>
      <c r="F722" s="33"/>
    </row>
    <row r="723" spans="1:6" ht="15" customHeight="1" x14ac:dyDescent="0.3">
      <c r="A723" s="33"/>
      <c r="D723" s="34"/>
      <c r="E723" s="34"/>
      <c r="F723" s="33"/>
    </row>
    <row r="724" spans="1:6" ht="15" customHeight="1" x14ac:dyDescent="0.3">
      <c r="A724" s="33"/>
      <c r="D724" s="34"/>
      <c r="E724" s="34"/>
      <c r="F724" s="33"/>
    </row>
    <row r="725" spans="1:6" ht="15" customHeight="1" x14ac:dyDescent="0.3">
      <c r="A725" s="33"/>
      <c r="D725" s="34"/>
      <c r="E725" s="34"/>
      <c r="F725" s="33"/>
    </row>
    <row r="726" spans="1:6" ht="15" customHeight="1" x14ac:dyDescent="0.3">
      <c r="A726" s="33"/>
      <c r="D726" s="34"/>
      <c r="E726" s="34"/>
      <c r="F726" s="33"/>
    </row>
    <row r="727" spans="1:6" ht="15" customHeight="1" x14ac:dyDescent="0.3">
      <c r="A727" s="33"/>
      <c r="D727" s="34"/>
      <c r="E727" s="34"/>
      <c r="F727" s="33"/>
    </row>
    <row r="728" spans="1:6" ht="15" customHeight="1" x14ac:dyDescent="0.3">
      <c r="A728" s="33"/>
      <c r="D728" s="34"/>
      <c r="E728" s="34"/>
      <c r="F728" s="33"/>
    </row>
    <row r="729" spans="1:6" ht="15" customHeight="1" x14ac:dyDescent="0.3">
      <c r="A729" s="33"/>
      <c r="D729" s="34"/>
      <c r="E729" s="34"/>
      <c r="F729" s="33"/>
    </row>
    <row r="730" spans="1:6" ht="15" customHeight="1" x14ac:dyDescent="0.3">
      <c r="A730" s="33"/>
      <c r="D730" s="34"/>
      <c r="E730" s="34"/>
      <c r="F730" s="33"/>
    </row>
    <row r="731" spans="1:6" ht="15" customHeight="1" x14ac:dyDescent="0.3">
      <c r="A731" s="33"/>
      <c r="D731" s="34"/>
      <c r="E731" s="34"/>
      <c r="F731" s="33"/>
    </row>
    <row r="732" spans="1:6" ht="15" customHeight="1" x14ac:dyDescent="0.3">
      <c r="A732" s="33"/>
      <c r="D732" s="34"/>
      <c r="E732" s="34"/>
      <c r="F732" s="33"/>
    </row>
    <row r="733" spans="1:6" ht="15" customHeight="1" x14ac:dyDescent="0.3">
      <c r="A733" s="33"/>
      <c r="D733" s="34"/>
      <c r="E733" s="34"/>
      <c r="F733" s="33"/>
    </row>
    <row r="734" spans="1:6" ht="15" customHeight="1" x14ac:dyDescent="0.3">
      <c r="A734" s="33"/>
      <c r="D734" s="34"/>
      <c r="E734" s="34"/>
      <c r="F734" s="33"/>
    </row>
    <row r="735" spans="1:6" ht="15" customHeight="1" x14ac:dyDescent="0.3">
      <c r="A735" s="33"/>
      <c r="D735" s="34"/>
      <c r="E735" s="34"/>
      <c r="F735" s="33"/>
    </row>
    <row r="736" spans="1:6" ht="15" customHeight="1" x14ac:dyDescent="0.3">
      <c r="A736" s="33"/>
      <c r="D736" s="34"/>
      <c r="E736" s="34"/>
      <c r="F736" s="33"/>
    </row>
    <row r="737" spans="1:6" ht="15" customHeight="1" x14ac:dyDescent="0.3">
      <c r="A737" s="33"/>
      <c r="D737" s="34"/>
      <c r="E737" s="34"/>
      <c r="F737" s="33"/>
    </row>
    <row r="738" spans="1:6" ht="15" customHeight="1" x14ac:dyDescent="0.3">
      <c r="A738" s="33"/>
      <c r="D738" s="34"/>
      <c r="E738" s="34"/>
      <c r="F738" s="33"/>
    </row>
    <row r="739" spans="1:6" ht="15" customHeight="1" x14ac:dyDescent="0.3">
      <c r="A739" s="33"/>
      <c r="D739" s="34"/>
      <c r="E739" s="34"/>
      <c r="F739" s="33"/>
    </row>
    <row r="740" spans="1:6" ht="15" customHeight="1" x14ac:dyDescent="0.3">
      <c r="A740" s="33"/>
      <c r="D740" s="34"/>
      <c r="E740" s="34"/>
      <c r="F740" s="33"/>
    </row>
    <row r="741" spans="1:6" ht="15" customHeight="1" x14ac:dyDescent="0.3">
      <c r="A741" s="33"/>
      <c r="D741" s="34"/>
      <c r="E741" s="34"/>
      <c r="F741" s="33"/>
    </row>
    <row r="742" spans="1:6" ht="15" customHeight="1" x14ac:dyDescent="0.3">
      <c r="A742" s="33"/>
      <c r="D742" s="34"/>
      <c r="E742" s="34"/>
      <c r="F742" s="33"/>
    </row>
    <row r="743" spans="1:6" ht="15" customHeight="1" x14ac:dyDescent="0.3">
      <c r="A743" s="33"/>
      <c r="D743" s="34"/>
      <c r="E743" s="34"/>
      <c r="F743" s="33"/>
    </row>
    <row r="744" spans="1:6" ht="15" customHeight="1" x14ac:dyDescent="0.3">
      <c r="A744" s="33"/>
      <c r="D744" s="34"/>
      <c r="E744" s="34"/>
      <c r="F744" s="33"/>
    </row>
    <row r="745" spans="1:6" ht="15" customHeight="1" x14ac:dyDescent="0.3">
      <c r="A745" s="33"/>
      <c r="D745" s="34"/>
      <c r="E745" s="34"/>
      <c r="F745" s="33"/>
    </row>
    <row r="746" spans="1:6" ht="15" customHeight="1" x14ac:dyDescent="0.3">
      <c r="A746" s="33"/>
      <c r="D746" s="34"/>
      <c r="E746" s="34"/>
      <c r="F746" s="33"/>
    </row>
    <row r="747" spans="1:6" ht="15" customHeight="1" x14ac:dyDescent="0.3">
      <c r="A747" s="33"/>
      <c r="D747" s="34"/>
      <c r="E747" s="34"/>
      <c r="F747" s="33"/>
    </row>
    <row r="748" spans="1:6" ht="15" customHeight="1" x14ac:dyDescent="0.3">
      <c r="A748" s="33"/>
      <c r="D748" s="34"/>
      <c r="E748" s="34"/>
      <c r="F748" s="33"/>
    </row>
    <row r="749" spans="1:6" ht="15" customHeight="1" x14ac:dyDescent="0.3">
      <c r="A749" s="33"/>
      <c r="D749" s="34"/>
      <c r="E749" s="34"/>
      <c r="F749" s="33"/>
    </row>
    <row r="750" spans="1:6" ht="15" customHeight="1" x14ac:dyDescent="0.3">
      <c r="A750" s="33"/>
      <c r="D750" s="34"/>
      <c r="E750" s="34"/>
      <c r="F750" s="33"/>
    </row>
    <row r="751" spans="1:6" ht="15" customHeight="1" x14ac:dyDescent="0.3">
      <c r="A751" s="33"/>
      <c r="D751" s="34"/>
      <c r="E751" s="34"/>
      <c r="F751" s="33"/>
    </row>
    <row r="752" spans="1:6" ht="15" customHeight="1" x14ac:dyDescent="0.3">
      <c r="A752" s="33"/>
      <c r="D752" s="34"/>
      <c r="E752" s="34"/>
      <c r="F752" s="33"/>
    </row>
    <row r="753" spans="1:6" ht="15" customHeight="1" x14ac:dyDescent="0.3">
      <c r="A753" s="33"/>
      <c r="D753" s="34"/>
      <c r="E753" s="34"/>
      <c r="F753" s="33"/>
    </row>
    <row r="754" spans="1:6" ht="15" customHeight="1" x14ac:dyDescent="0.3">
      <c r="A754" s="33"/>
      <c r="D754" s="34"/>
      <c r="E754" s="34"/>
      <c r="F754" s="33"/>
    </row>
    <row r="755" spans="1:6" ht="15" customHeight="1" x14ac:dyDescent="0.3">
      <c r="A755" s="33"/>
      <c r="D755" s="34"/>
      <c r="E755" s="34"/>
      <c r="F755" s="33"/>
    </row>
    <row r="756" spans="1:6" ht="15" customHeight="1" x14ac:dyDescent="0.3">
      <c r="A756" s="33"/>
      <c r="D756" s="34"/>
      <c r="E756" s="34"/>
      <c r="F756" s="33"/>
    </row>
    <row r="757" spans="1:6" ht="15" customHeight="1" x14ac:dyDescent="0.3">
      <c r="A757" s="33"/>
      <c r="D757" s="34"/>
      <c r="E757" s="34"/>
      <c r="F757" s="33"/>
    </row>
    <row r="758" spans="1:6" ht="15" customHeight="1" x14ac:dyDescent="0.3">
      <c r="A758" s="33"/>
      <c r="D758" s="34"/>
      <c r="E758" s="34"/>
      <c r="F758" s="33"/>
    </row>
    <row r="759" spans="1:6" ht="15" customHeight="1" x14ac:dyDescent="0.3">
      <c r="A759" s="33"/>
      <c r="D759" s="34"/>
      <c r="E759" s="34"/>
      <c r="F759" s="33"/>
    </row>
    <row r="760" spans="1:6" ht="15" customHeight="1" x14ac:dyDescent="0.3">
      <c r="A760" s="33"/>
      <c r="D760" s="34"/>
      <c r="E760" s="34"/>
      <c r="F760" s="33"/>
    </row>
    <row r="761" spans="1:6" ht="15" customHeight="1" x14ac:dyDescent="0.3">
      <c r="A761" s="33"/>
      <c r="D761" s="34"/>
      <c r="E761" s="34"/>
      <c r="F761" s="33"/>
    </row>
    <row r="762" spans="1:6" ht="15" customHeight="1" x14ac:dyDescent="0.3">
      <c r="A762" s="33"/>
      <c r="D762" s="34"/>
      <c r="E762" s="34"/>
      <c r="F762" s="33"/>
    </row>
    <row r="763" spans="1:6" ht="15" customHeight="1" x14ac:dyDescent="0.3">
      <c r="A763" s="33"/>
      <c r="D763" s="34"/>
      <c r="E763" s="34"/>
      <c r="F763" s="33"/>
    </row>
    <row r="764" spans="1:6" ht="15" customHeight="1" x14ac:dyDescent="0.3">
      <c r="A764" s="33"/>
      <c r="D764" s="34"/>
      <c r="E764" s="34"/>
      <c r="F764" s="33"/>
    </row>
    <row r="765" spans="1:6" ht="15" customHeight="1" x14ac:dyDescent="0.3">
      <c r="A765" s="33"/>
      <c r="D765" s="34"/>
      <c r="E765" s="34"/>
      <c r="F765" s="33"/>
    </row>
    <row r="766" spans="1:6" ht="15" customHeight="1" x14ac:dyDescent="0.3">
      <c r="A766" s="33"/>
      <c r="D766" s="34"/>
      <c r="E766" s="34"/>
      <c r="F766" s="33"/>
    </row>
    <row r="767" spans="1:6" ht="15" customHeight="1" x14ac:dyDescent="0.3">
      <c r="A767" s="33"/>
      <c r="D767" s="34"/>
      <c r="E767" s="34"/>
      <c r="F767" s="33"/>
    </row>
    <row r="768" spans="1:6" ht="15" customHeight="1" x14ac:dyDescent="0.3">
      <c r="A768" s="33"/>
      <c r="D768" s="34"/>
      <c r="E768" s="34"/>
      <c r="F768" s="33"/>
    </row>
    <row r="769" spans="1:6" ht="15" customHeight="1" x14ac:dyDescent="0.3">
      <c r="A769" s="33"/>
      <c r="D769" s="34"/>
      <c r="E769" s="34"/>
      <c r="F769" s="33"/>
    </row>
    <row r="770" spans="1:6" ht="15" customHeight="1" x14ac:dyDescent="0.3">
      <c r="A770" s="33"/>
      <c r="D770" s="34"/>
      <c r="E770" s="34"/>
      <c r="F770" s="33"/>
    </row>
    <row r="771" spans="1:6" ht="15" customHeight="1" x14ac:dyDescent="0.3">
      <c r="A771" s="33"/>
      <c r="D771" s="34"/>
      <c r="E771" s="34"/>
      <c r="F771" s="33"/>
    </row>
    <row r="772" spans="1:6" ht="15" customHeight="1" x14ac:dyDescent="0.3">
      <c r="A772" s="33"/>
      <c r="D772" s="34"/>
      <c r="E772" s="34"/>
      <c r="F772" s="33"/>
    </row>
    <row r="773" spans="1:6" ht="15" customHeight="1" x14ac:dyDescent="0.3">
      <c r="A773" s="33"/>
      <c r="D773" s="34"/>
      <c r="E773" s="34"/>
      <c r="F773" s="33"/>
    </row>
    <row r="774" spans="1:6" ht="15" customHeight="1" x14ac:dyDescent="0.3">
      <c r="A774" s="33"/>
      <c r="D774" s="34"/>
      <c r="E774" s="34"/>
      <c r="F774" s="33"/>
    </row>
    <row r="775" spans="1:6" ht="15" customHeight="1" x14ac:dyDescent="0.3">
      <c r="A775" s="33"/>
      <c r="D775" s="34"/>
      <c r="E775" s="34"/>
      <c r="F775" s="33"/>
    </row>
    <row r="776" spans="1:6" ht="15" customHeight="1" x14ac:dyDescent="0.3">
      <c r="A776" s="33"/>
      <c r="D776" s="34"/>
      <c r="E776" s="34"/>
      <c r="F776" s="33"/>
    </row>
    <row r="777" spans="1:6" ht="15" customHeight="1" x14ac:dyDescent="0.3">
      <c r="A777" s="33"/>
      <c r="D777" s="34"/>
      <c r="E777" s="34"/>
      <c r="F777" s="33"/>
    </row>
    <row r="778" spans="1:6" ht="15" customHeight="1" x14ac:dyDescent="0.3">
      <c r="A778" s="33"/>
      <c r="D778" s="34"/>
      <c r="E778" s="34"/>
      <c r="F778" s="33"/>
    </row>
    <row r="779" spans="1:6" ht="15" customHeight="1" x14ac:dyDescent="0.3">
      <c r="A779" s="33"/>
      <c r="D779" s="34"/>
      <c r="E779" s="34"/>
      <c r="F779" s="33"/>
    </row>
    <row r="780" spans="1:6" ht="15" customHeight="1" x14ac:dyDescent="0.3">
      <c r="A780" s="33"/>
      <c r="D780" s="34"/>
      <c r="E780" s="34"/>
      <c r="F780" s="33"/>
    </row>
    <row r="781" spans="1:6" ht="15" customHeight="1" x14ac:dyDescent="0.3">
      <c r="A781" s="33"/>
      <c r="D781" s="34"/>
      <c r="E781" s="34"/>
      <c r="F781" s="33"/>
    </row>
    <row r="782" spans="1:6" ht="15" customHeight="1" x14ac:dyDescent="0.3">
      <c r="A782" s="33"/>
      <c r="D782" s="34"/>
      <c r="E782" s="34"/>
      <c r="F782" s="33"/>
    </row>
    <row r="783" spans="1:6" ht="15" customHeight="1" x14ac:dyDescent="0.3">
      <c r="A783" s="33"/>
      <c r="D783" s="34"/>
      <c r="E783" s="34"/>
      <c r="F783" s="33"/>
    </row>
    <row r="784" spans="1:6" ht="15" customHeight="1" x14ac:dyDescent="0.3">
      <c r="A784" s="33"/>
      <c r="D784" s="34"/>
      <c r="E784" s="34"/>
      <c r="F784" s="33"/>
    </row>
    <row r="785" spans="1:6" ht="15" customHeight="1" x14ac:dyDescent="0.3">
      <c r="A785" s="33"/>
      <c r="D785" s="34"/>
      <c r="E785" s="34"/>
      <c r="F785" s="33"/>
    </row>
    <row r="786" spans="1:6" ht="15" customHeight="1" x14ac:dyDescent="0.3">
      <c r="A786" s="33"/>
      <c r="D786" s="34"/>
      <c r="E786" s="34"/>
      <c r="F786" s="33"/>
    </row>
    <row r="787" spans="1:6" ht="15" customHeight="1" x14ac:dyDescent="0.3">
      <c r="A787" s="33"/>
      <c r="D787" s="34"/>
      <c r="E787" s="34"/>
      <c r="F787" s="33"/>
    </row>
    <row r="788" spans="1:6" ht="15" customHeight="1" x14ac:dyDescent="0.3">
      <c r="A788" s="33"/>
      <c r="D788" s="34"/>
      <c r="E788" s="34"/>
      <c r="F788" s="33"/>
    </row>
    <row r="789" spans="1:6" ht="15" customHeight="1" x14ac:dyDescent="0.3">
      <c r="A789" s="33"/>
      <c r="D789" s="34"/>
      <c r="E789" s="34"/>
      <c r="F789" s="33"/>
    </row>
    <row r="790" spans="1:6" ht="15" customHeight="1" x14ac:dyDescent="0.3">
      <c r="A790" s="33"/>
      <c r="D790" s="34"/>
      <c r="E790" s="34"/>
      <c r="F790" s="33"/>
    </row>
    <row r="791" spans="1:6" ht="15" customHeight="1" x14ac:dyDescent="0.3">
      <c r="A791" s="33"/>
      <c r="D791" s="34"/>
      <c r="E791" s="34"/>
      <c r="F791" s="33"/>
    </row>
    <row r="792" spans="1:6" ht="15" customHeight="1" x14ac:dyDescent="0.3">
      <c r="A792" s="33"/>
      <c r="D792" s="34"/>
      <c r="E792" s="34"/>
      <c r="F792" s="33"/>
    </row>
    <row r="793" spans="1:6" ht="15" customHeight="1" x14ac:dyDescent="0.3">
      <c r="A793" s="33"/>
      <c r="D793" s="34"/>
      <c r="E793" s="34"/>
      <c r="F793" s="33"/>
    </row>
    <row r="794" spans="1:6" ht="15" customHeight="1" x14ac:dyDescent="0.3">
      <c r="A794" s="33"/>
      <c r="D794" s="34"/>
      <c r="E794" s="34"/>
      <c r="F794" s="33"/>
    </row>
    <row r="795" spans="1:6" ht="15" customHeight="1" x14ac:dyDescent="0.3">
      <c r="A795" s="33"/>
      <c r="D795" s="34"/>
      <c r="E795" s="34"/>
      <c r="F795" s="33"/>
    </row>
    <row r="796" spans="1:6" ht="15" customHeight="1" x14ac:dyDescent="0.3">
      <c r="A796" s="33"/>
      <c r="D796" s="34"/>
      <c r="E796" s="34"/>
      <c r="F796" s="33"/>
    </row>
    <row r="797" spans="1:6" ht="15" customHeight="1" x14ac:dyDescent="0.3">
      <c r="A797" s="33"/>
      <c r="D797" s="34"/>
      <c r="E797" s="34"/>
      <c r="F797" s="33"/>
    </row>
    <row r="798" spans="1:6" ht="15" customHeight="1" x14ac:dyDescent="0.3">
      <c r="A798" s="33"/>
      <c r="D798" s="34"/>
      <c r="E798" s="34"/>
      <c r="F798" s="33"/>
    </row>
    <row r="799" spans="1:6" ht="15" customHeight="1" x14ac:dyDescent="0.3">
      <c r="A799" s="33"/>
      <c r="D799" s="34"/>
      <c r="E799" s="34"/>
      <c r="F799" s="33"/>
    </row>
    <row r="800" spans="1:6" ht="15" customHeight="1" x14ac:dyDescent="0.3">
      <c r="A800" s="33"/>
      <c r="D800" s="34"/>
      <c r="E800" s="34"/>
      <c r="F800" s="33"/>
    </row>
    <row r="801" spans="1:6" ht="15" customHeight="1" x14ac:dyDescent="0.3">
      <c r="A801" s="33"/>
      <c r="D801" s="34"/>
      <c r="E801" s="34"/>
      <c r="F801" s="33"/>
    </row>
    <row r="802" spans="1:6" ht="15" customHeight="1" x14ac:dyDescent="0.3">
      <c r="A802" s="33"/>
      <c r="D802" s="34"/>
      <c r="E802" s="34"/>
      <c r="F802" s="33"/>
    </row>
    <row r="803" spans="1:6" ht="15" customHeight="1" x14ac:dyDescent="0.3">
      <c r="A803" s="33"/>
      <c r="D803" s="34"/>
      <c r="E803" s="34"/>
      <c r="F803" s="33"/>
    </row>
    <row r="804" spans="1:6" ht="15" customHeight="1" x14ac:dyDescent="0.3">
      <c r="A804" s="33"/>
      <c r="D804" s="34"/>
      <c r="E804" s="34"/>
      <c r="F804" s="33"/>
    </row>
    <row r="805" spans="1:6" ht="15" customHeight="1" x14ac:dyDescent="0.3">
      <c r="A805" s="33"/>
      <c r="D805" s="34"/>
      <c r="E805" s="34"/>
      <c r="F805" s="33"/>
    </row>
    <row r="806" spans="1:6" ht="15" customHeight="1" x14ac:dyDescent="0.3">
      <c r="A806" s="33"/>
      <c r="D806" s="34"/>
      <c r="E806" s="34"/>
      <c r="F806" s="33"/>
    </row>
    <row r="807" spans="1:6" ht="15" customHeight="1" x14ac:dyDescent="0.3">
      <c r="A807" s="33"/>
      <c r="D807" s="34"/>
      <c r="E807" s="34"/>
      <c r="F807" s="33"/>
    </row>
    <row r="808" spans="1:6" ht="15" customHeight="1" x14ac:dyDescent="0.3">
      <c r="A808" s="33"/>
      <c r="D808" s="34"/>
      <c r="E808" s="34"/>
      <c r="F808" s="33"/>
    </row>
    <row r="809" spans="1:6" ht="15" customHeight="1" x14ac:dyDescent="0.3">
      <c r="A809" s="33"/>
      <c r="D809" s="34"/>
      <c r="E809" s="34"/>
      <c r="F809" s="33"/>
    </row>
    <row r="810" spans="1:6" ht="15" customHeight="1" x14ac:dyDescent="0.3">
      <c r="A810" s="33"/>
      <c r="D810" s="34"/>
      <c r="E810" s="34"/>
      <c r="F810" s="33"/>
    </row>
    <row r="811" spans="1:6" ht="15" customHeight="1" x14ac:dyDescent="0.3">
      <c r="A811" s="33"/>
      <c r="D811" s="34"/>
      <c r="E811" s="34"/>
      <c r="F811" s="33"/>
    </row>
    <row r="812" spans="1:6" ht="15" customHeight="1" x14ac:dyDescent="0.3">
      <c r="A812" s="33"/>
      <c r="D812" s="34"/>
      <c r="E812" s="34"/>
      <c r="F812" s="33"/>
    </row>
    <row r="813" spans="1:6" ht="15" customHeight="1" x14ac:dyDescent="0.3">
      <c r="A813" s="33"/>
      <c r="D813" s="34"/>
      <c r="E813" s="34"/>
      <c r="F813" s="33"/>
    </row>
    <row r="814" spans="1:6" ht="15" customHeight="1" x14ac:dyDescent="0.3">
      <c r="A814" s="33"/>
      <c r="D814" s="34"/>
      <c r="E814" s="34"/>
      <c r="F814" s="33"/>
    </row>
    <row r="815" spans="1:6" ht="15" customHeight="1" x14ac:dyDescent="0.3">
      <c r="A815" s="33"/>
      <c r="D815" s="34"/>
      <c r="E815" s="34"/>
      <c r="F815" s="33"/>
    </row>
    <row r="816" spans="1:6" ht="15" customHeight="1" x14ac:dyDescent="0.3">
      <c r="A816" s="33"/>
      <c r="D816" s="34"/>
      <c r="E816" s="34"/>
      <c r="F816" s="33"/>
    </row>
    <row r="817" spans="1:6" ht="15" customHeight="1" x14ac:dyDescent="0.3">
      <c r="A817" s="33"/>
      <c r="D817" s="34"/>
      <c r="E817" s="34"/>
      <c r="F817" s="33"/>
    </row>
    <row r="818" spans="1:6" ht="15" customHeight="1" x14ac:dyDescent="0.3">
      <c r="A818" s="33"/>
      <c r="D818" s="34"/>
      <c r="E818" s="34"/>
      <c r="F818" s="33"/>
    </row>
    <row r="819" spans="1:6" ht="15" customHeight="1" x14ac:dyDescent="0.3">
      <c r="A819" s="33"/>
      <c r="D819" s="34"/>
      <c r="E819" s="34"/>
      <c r="F819" s="33"/>
    </row>
    <row r="820" spans="1:6" ht="15" customHeight="1" x14ac:dyDescent="0.3">
      <c r="A820" s="33"/>
      <c r="D820" s="34"/>
      <c r="E820" s="34"/>
      <c r="F820" s="33"/>
    </row>
    <row r="821" spans="1:6" ht="15" customHeight="1" x14ac:dyDescent="0.3">
      <c r="A821" s="33"/>
      <c r="D821" s="34"/>
      <c r="E821" s="34"/>
      <c r="F821" s="33"/>
    </row>
    <row r="822" spans="1:6" ht="15" customHeight="1" x14ac:dyDescent="0.3">
      <c r="A822" s="33"/>
      <c r="D822" s="34"/>
      <c r="E822" s="34"/>
      <c r="F822" s="33"/>
    </row>
    <row r="823" spans="1:6" ht="15" customHeight="1" x14ac:dyDescent="0.3">
      <c r="A823" s="33"/>
      <c r="D823" s="34"/>
      <c r="E823" s="34"/>
      <c r="F823" s="33"/>
    </row>
    <row r="824" spans="1:6" ht="15" customHeight="1" x14ac:dyDescent="0.3">
      <c r="A824" s="33"/>
      <c r="D824" s="34"/>
      <c r="E824" s="34"/>
      <c r="F824" s="33"/>
    </row>
    <row r="825" spans="1:6" ht="15" customHeight="1" x14ac:dyDescent="0.3">
      <c r="A825" s="33"/>
      <c r="D825" s="34"/>
      <c r="E825" s="34"/>
      <c r="F825" s="33"/>
    </row>
    <row r="826" spans="1:6" ht="15" customHeight="1" x14ac:dyDescent="0.3">
      <c r="A826" s="33"/>
      <c r="D826" s="34"/>
      <c r="E826" s="34"/>
      <c r="F826" s="33"/>
    </row>
    <row r="827" spans="1:6" ht="15" customHeight="1" x14ac:dyDescent="0.3">
      <c r="A827" s="33"/>
      <c r="D827" s="34"/>
      <c r="E827" s="34"/>
      <c r="F827" s="33"/>
    </row>
    <row r="828" spans="1:6" ht="15" customHeight="1" x14ac:dyDescent="0.3">
      <c r="A828" s="33"/>
      <c r="D828" s="34"/>
      <c r="E828" s="34"/>
      <c r="F828" s="33"/>
    </row>
    <row r="829" spans="1:6" ht="15" customHeight="1" x14ac:dyDescent="0.3">
      <c r="A829" s="33"/>
      <c r="D829" s="34"/>
      <c r="E829" s="34"/>
      <c r="F829" s="33"/>
    </row>
    <row r="830" spans="1:6" ht="15" customHeight="1" x14ac:dyDescent="0.3">
      <c r="A830" s="33"/>
      <c r="D830" s="34"/>
      <c r="E830" s="34"/>
      <c r="F830" s="33"/>
    </row>
    <row r="831" spans="1:6" ht="15" customHeight="1" x14ac:dyDescent="0.3">
      <c r="A831" s="33"/>
      <c r="D831" s="34"/>
      <c r="E831" s="34"/>
      <c r="F831" s="33"/>
    </row>
    <row r="832" spans="1:6" ht="15" customHeight="1" x14ac:dyDescent="0.3">
      <c r="A832" s="33"/>
      <c r="D832" s="34"/>
      <c r="E832" s="34"/>
      <c r="F832" s="33"/>
    </row>
    <row r="833" spans="1:6" ht="15" customHeight="1" x14ac:dyDescent="0.3">
      <c r="A833" s="33"/>
      <c r="D833" s="34"/>
      <c r="E833" s="34"/>
      <c r="F833" s="33"/>
    </row>
    <row r="834" spans="1:6" ht="15" customHeight="1" x14ac:dyDescent="0.3">
      <c r="A834" s="33"/>
      <c r="D834" s="34"/>
      <c r="E834" s="34"/>
      <c r="F834" s="33"/>
    </row>
    <row r="835" spans="1:6" ht="15" customHeight="1" x14ac:dyDescent="0.3">
      <c r="A835" s="33"/>
      <c r="D835" s="34"/>
      <c r="E835" s="34"/>
      <c r="F835" s="33"/>
    </row>
    <row r="836" spans="1:6" ht="15" customHeight="1" x14ac:dyDescent="0.3">
      <c r="A836" s="33"/>
      <c r="D836" s="34"/>
      <c r="E836" s="34"/>
      <c r="F836" s="33"/>
    </row>
    <row r="837" spans="1:6" ht="15" customHeight="1" x14ac:dyDescent="0.3">
      <c r="A837" s="33"/>
      <c r="D837" s="34"/>
      <c r="E837" s="34"/>
      <c r="F837" s="33"/>
    </row>
    <row r="838" spans="1:6" ht="15" customHeight="1" x14ac:dyDescent="0.3">
      <c r="A838" s="33"/>
      <c r="D838" s="34"/>
      <c r="E838" s="34"/>
      <c r="F838" s="33"/>
    </row>
    <row r="839" spans="1:6" ht="15" customHeight="1" x14ac:dyDescent="0.3">
      <c r="A839" s="33"/>
      <c r="D839" s="34"/>
      <c r="E839" s="34"/>
      <c r="F839" s="33"/>
    </row>
    <row r="840" spans="1:6" ht="15" customHeight="1" x14ac:dyDescent="0.3">
      <c r="A840" s="33"/>
      <c r="D840" s="34"/>
      <c r="E840" s="34"/>
      <c r="F840" s="33"/>
    </row>
    <row r="841" spans="1:6" ht="15" customHeight="1" x14ac:dyDescent="0.3">
      <c r="A841" s="33"/>
      <c r="D841" s="34"/>
      <c r="E841" s="34"/>
      <c r="F841" s="33"/>
    </row>
    <row r="842" spans="1:6" ht="15" customHeight="1" x14ac:dyDescent="0.3">
      <c r="A842" s="33"/>
      <c r="D842" s="34"/>
      <c r="E842" s="34"/>
      <c r="F842" s="33"/>
    </row>
    <row r="843" spans="1:6" ht="15" customHeight="1" x14ac:dyDescent="0.3">
      <c r="A843" s="33"/>
      <c r="D843" s="34"/>
      <c r="E843" s="34"/>
      <c r="F843" s="33"/>
    </row>
    <row r="844" spans="1:6" ht="15" customHeight="1" x14ac:dyDescent="0.3">
      <c r="A844" s="33"/>
      <c r="D844" s="34"/>
      <c r="E844" s="34"/>
      <c r="F844" s="33"/>
    </row>
    <row r="845" spans="1:6" ht="15" customHeight="1" x14ac:dyDescent="0.3">
      <c r="A845" s="33"/>
      <c r="D845" s="34"/>
      <c r="E845" s="34"/>
      <c r="F845" s="33"/>
    </row>
    <row r="846" spans="1:6" ht="15" customHeight="1" x14ac:dyDescent="0.3">
      <c r="A846" s="33"/>
      <c r="D846" s="34"/>
      <c r="E846" s="34"/>
      <c r="F846" s="33"/>
    </row>
    <row r="847" spans="1:6" ht="15" customHeight="1" x14ac:dyDescent="0.3">
      <c r="A847" s="33"/>
      <c r="D847" s="34"/>
      <c r="E847" s="34"/>
      <c r="F847" s="33"/>
    </row>
    <row r="848" spans="1:6" ht="15" customHeight="1" x14ac:dyDescent="0.3">
      <c r="A848" s="33"/>
      <c r="D848" s="34"/>
      <c r="E848" s="34"/>
      <c r="F848" s="33"/>
    </row>
    <row r="849" spans="1:6" ht="15" customHeight="1" x14ac:dyDescent="0.3">
      <c r="A849" s="33"/>
      <c r="D849" s="34"/>
      <c r="E849" s="34"/>
      <c r="F849" s="33"/>
    </row>
    <row r="850" spans="1:6" ht="15" customHeight="1" x14ac:dyDescent="0.3">
      <c r="A850" s="33"/>
      <c r="D850" s="34"/>
      <c r="E850" s="34"/>
      <c r="F850" s="33"/>
    </row>
    <row r="851" spans="1:6" ht="15" customHeight="1" x14ac:dyDescent="0.3">
      <c r="A851" s="33"/>
      <c r="D851" s="34"/>
      <c r="E851" s="34"/>
      <c r="F851" s="33"/>
    </row>
    <row r="852" spans="1:6" ht="15" customHeight="1" x14ac:dyDescent="0.3">
      <c r="A852" s="33"/>
      <c r="D852" s="34"/>
      <c r="E852" s="34"/>
      <c r="F852" s="33"/>
    </row>
    <row r="853" spans="1:6" ht="15" customHeight="1" x14ac:dyDescent="0.3">
      <c r="A853" s="33"/>
      <c r="D853" s="34"/>
      <c r="E853" s="34"/>
      <c r="F853" s="33"/>
    </row>
    <row r="854" spans="1:6" ht="15" customHeight="1" x14ac:dyDescent="0.3">
      <c r="A854" s="33"/>
      <c r="D854" s="34"/>
      <c r="E854" s="34"/>
      <c r="F854" s="33"/>
    </row>
    <row r="855" spans="1:6" ht="15" customHeight="1" x14ac:dyDescent="0.3">
      <c r="A855" s="33"/>
      <c r="D855" s="34"/>
      <c r="E855" s="34"/>
      <c r="F855" s="33"/>
    </row>
    <row r="856" spans="1:6" ht="15" customHeight="1" x14ac:dyDescent="0.3">
      <c r="A856" s="33"/>
      <c r="D856" s="34"/>
      <c r="E856" s="34"/>
      <c r="F856" s="33"/>
    </row>
    <row r="857" spans="1:6" ht="15" customHeight="1" x14ac:dyDescent="0.3">
      <c r="A857" s="33"/>
      <c r="D857" s="34"/>
      <c r="E857" s="34"/>
      <c r="F857" s="33"/>
    </row>
    <row r="858" spans="1:6" ht="15" customHeight="1" x14ac:dyDescent="0.3">
      <c r="A858" s="33"/>
      <c r="D858" s="34"/>
      <c r="E858" s="34"/>
      <c r="F858" s="33"/>
    </row>
    <row r="859" spans="1:6" ht="15" customHeight="1" x14ac:dyDescent="0.3">
      <c r="A859" s="33"/>
      <c r="D859" s="34"/>
      <c r="E859" s="34"/>
      <c r="F859" s="33"/>
    </row>
    <row r="860" spans="1:6" ht="15" customHeight="1" x14ac:dyDescent="0.3">
      <c r="A860" s="33"/>
      <c r="D860" s="34"/>
      <c r="E860" s="34"/>
      <c r="F860" s="33"/>
    </row>
    <row r="861" spans="1:6" ht="15" customHeight="1" x14ac:dyDescent="0.3">
      <c r="A861" s="33"/>
      <c r="D861" s="34"/>
      <c r="E861" s="34"/>
      <c r="F861" s="33"/>
    </row>
    <row r="862" spans="1:6" ht="15" customHeight="1" x14ac:dyDescent="0.3">
      <c r="A862" s="33"/>
      <c r="D862" s="34"/>
      <c r="E862" s="34"/>
      <c r="F862" s="33"/>
    </row>
    <row r="863" spans="1:6" ht="15" customHeight="1" x14ac:dyDescent="0.3">
      <c r="A863" s="33"/>
      <c r="D863" s="34"/>
      <c r="E863" s="34"/>
      <c r="F863" s="33"/>
    </row>
    <row r="864" spans="1:6" ht="15" customHeight="1" x14ac:dyDescent="0.3">
      <c r="A864" s="33"/>
      <c r="D864" s="34"/>
      <c r="E864" s="34"/>
      <c r="F864" s="33"/>
    </row>
    <row r="865" spans="1:6" ht="15" customHeight="1" x14ac:dyDescent="0.3">
      <c r="A865" s="33"/>
      <c r="D865" s="34"/>
      <c r="E865" s="34"/>
      <c r="F865" s="33"/>
    </row>
    <row r="866" spans="1:6" ht="15" customHeight="1" x14ac:dyDescent="0.3">
      <c r="A866" s="33"/>
      <c r="D866" s="34"/>
      <c r="E866" s="34"/>
      <c r="F866" s="33"/>
    </row>
    <row r="867" spans="1:6" ht="15" customHeight="1" x14ac:dyDescent="0.3">
      <c r="A867" s="33"/>
      <c r="D867" s="34"/>
      <c r="E867" s="34"/>
      <c r="F867" s="33"/>
    </row>
    <row r="868" spans="1:6" ht="15" customHeight="1" x14ac:dyDescent="0.3">
      <c r="A868" s="33"/>
      <c r="D868" s="34"/>
      <c r="E868" s="34"/>
      <c r="F868" s="33"/>
    </row>
    <row r="869" spans="1:6" ht="15" customHeight="1" x14ac:dyDescent="0.3">
      <c r="A869" s="33"/>
      <c r="D869" s="34"/>
      <c r="E869" s="34"/>
      <c r="F869" s="33"/>
    </row>
    <row r="870" spans="1:6" ht="15" customHeight="1" x14ac:dyDescent="0.3">
      <c r="A870" s="33"/>
      <c r="D870" s="34"/>
      <c r="E870" s="34"/>
      <c r="F870" s="33"/>
    </row>
    <row r="871" spans="1:6" ht="15" customHeight="1" x14ac:dyDescent="0.3">
      <c r="A871" s="33"/>
      <c r="D871" s="34"/>
      <c r="E871" s="34"/>
      <c r="F871" s="33"/>
    </row>
    <row r="872" spans="1:6" ht="15" customHeight="1" x14ac:dyDescent="0.3">
      <c r="A872" s="33"/>
      <c r="D872" s="34"/>
      <c r="E872" s="34"/>
      <c r="F872" s="33"/>
    </row>
    <row r="873" spans="1:6" ht="15" customHeight="1" x14ac:dyDescent="0.3">
      <c r="A873" s="33"/>
      <c r="D873" s="34"/>
      <c r="E873" s="34"/>
      <c r="F873" s="33"/>
    </row>
    <row r="874" spans="1:6" ht="15" customHeight="1" x14ac:dyDescent="0.3">
      <c r="A874" s="33"/>
      <c r="D874" s="34"/>
      <c r="E874" s="34"/>
      <c r="F874" s="33"/>
    </row>
    <row r="875" spans="1:6" ht="15" customHeight="1" x14ac:dyDescent="0.3">
      <c r="A875" s="33"/>
      <c r="D875" s="34"/>
      <c r="E875" s="34"/>
      <c r="F875" s="33"/>
    </row>
    <row r="876" spans="1:6" ht="15" customHeight="1" x14ac:dyDescent="0.3">
      <c r="A876" s="33"/>
      <c r="D876" s="34"/>
      <c r="E876" s="34"/>
      <c r="F876" s="33"/>
    </row>
    <row r="877" spans="1:6" ht="15" customHeight="1" x14ac:dyDescent="0.3">
      <c r="A877" s="33"/>
      <c r="D877" s="34"/>
      <c r="E877" s="34"/>
      <c r="F877" s="33"/>
    </row>
    <row r="878" spans="1:6" ht="15" customHeight="1" x14ac:dyDescent="0.3">
      <c r="A878" s="33"/>
      <c r="D878" s="34"/>
      <c r="E878" s="34"/>
      <c r="F878" s="33"/>
    </row>
    <row r="879" spans="1:6" ht="15" customHeight="1" x14ac:dyDescent="0.3">
      <c r="A879" s="33"/>
      <c r="D879" s="34"/>
      <c r="E879" s="34"/>
      <c r="F879" s="33"/>
    </row>
    <row r="880" spans="1:6" ht="15" customHeight="1" x14ac:dyDescent="0.3">
      <c r="A880" s="33"/>
      <c r="D880" s="34"/>
      <c r="E880" s="34"/>
      <c r="F880" s="33"/>
    </row>
    <row r="881" spans="1:6" ht="15" customHeight="1" x14ac:dyDescent="0.3">
      <c r="A881" s="33"/>
      <c r="D881" s="34"/>
      <c r="E881" s="34"/>
      <c r="F881" s="33"/>
    </row>
    <row r="882" spans="1:6" ht="15" customHeight="1" x14ac:dyDescent="0.3">
      <c r="A882" s="33"/>
      <c r="D882" s="34"/>
      <c r="E882" s="34"/>
      <c r="F882" s="33"/>
    </row>
    <row r="883" spans="1:6" ht="15" customHeight="1" x14ac:dyDescent="0.3">
      <c r="A883" s="33"/>
      <c r="D883" s="34"/>
      <c r="E883" s="34"/>
      <c r="F883" s="33"/>
    </row>
    <row r="884" spans="1:6" ht="15" customHeight="1" x14ac:dyDescent="0.3">
      <c r="A884" s="33"/>
      <c r="D884" s="34"/>
      <c r="E884" s="34"/>
      <c r="F884" s="33"/>
    </row>
    <row r="885" spans="1:6" ht="15" customHeight="1" x14ac:dyDescent="0.3">
      <c r="A885" s="33"/>
      <c r="D885" s="34"/>
      <c r="E885" s="34"/>
      <c r="F885" s="33"/>
    </row>
    <row r="886" spans="1:6" ht="15" customHeight="1" x14ac:dyDescent="0.3">
      <c r="A886" s="33"/>
      <c r="D886" s="34"/>
      <c r="E886" s="34"/>
      <c r="F886" s="33"/>
    </row>
    <row r="887" spans="1:6" ht="15" customHeight="1" x14ac:dyDescent="0.3">
      <c r="A887" s="33"/>
      <c r="D887" s="34"/>
      <c r="E887" s="34"/>
      <c r="F887" s="33"/>
    </row>
    <row r="888" spans="1:6" ht="15" customHeight="1" x14ac:dyDescent="0.3">
      <c r="A888" s="33"/>
      <c r="D888" s="34"/>
      <c r="E888" s="34"/>
      <c r="F888" s="33"/>
    </row>
    <row r="889" spans="1:6" ht="15" customHeight="1" x14ac:dyDescent="0.3">
      <c r="A889" s="33"/>
      <c r="D889" s="34"/>
      <c r="E889" s="34"/>
      <c r="F889" s="33"/>
    </row>
    <row r="890" spans="1:6" ht="15" customHeight="1" x14ac:dyDescent="0.3">
      <c r="A890" s="33"/>
      <c r="D890" s="34"/>
      <c r="E890" s="34"/>
      <c r="F890" s="33"/>
    </row>
    <row r="891" spans="1:6" ht="15" customHeight="1" x14ac:dyDescent="0.3">
      <c r="A891" s="33"/>
      <c r="D891" s="34"/>
      <c r="E891" s="34"/>
      <c r="F891" s="33"/>
    </row>
    <row r="892" spans="1:6" ht="15" customHeight="1" x14ac:dyDescent="0.3">
      <c r="A892" s="33"/>
      <c r="D892" s="34"/>
      <c r="E892" s="34"/>
      <c r="F892" s="33"/>
    </row>
    <row r="893" spans="1:6" ht="15" customHeight="1" x14ac:dyDescent="0.3">
      <c r="A893" s="33"/>
      <c r="D893" s="34"/>
      <c r="E893" s="34"/>
      <c r="F893" s="33"/>
    </row>
    <row r="894" spans="1:6" ht="15" customHeight="1" x14ac:dyDescent="0.3">
      <c r="A894" s="33"/>
      <c r="D894" s="34"/>
      <c r="E894" s="34"/>
      <c r="F894" s="33"/>
    </row>
    <row r="895" spans="1:6" ht="15" customHeight="1" x14ac:dyDescent="0.3">
      <c r="A895" s="33"/>
      <c r="D895" s="34"/>
      <c r="E895" s="34"/>
      <c r="F895" s="33"/>
    </row>
    <row r="896" spans="1:6" ht="15" customHeight="1" x14ac:dyDescent="0.3">
      <c r="A896" s="33"/>
      <c r="D896" s="34"/>
      <c r="E896" s="34"/>
      <c r="F896" s="33"/>
    </row>
    <row r="897" spans="1:6" ht="15" customHeight="1" x14ac:dyDescent="0.3">
      <c r="A897" s="33"/>
      <c r="D897" s="34"/>
      <c r="E897" s="34"/>
      <c r="F897" s="33"/>
    </row>
    <row r="898" spans="1:6" ht="15" customHeight="1" x14ac:dyDescent="0.3">
      <c r="A898" s="33"/>
      <c r="D898" s="34"/>
      <c r="E898" s="34"/>
      <c r="F898" s="33"/>
    </row>
    <row r="899" spans="1:6" ht="15" customHeight="1" x14ac:dyDescent="0.3">
      <c r="A899" s="33"/>
      <c r="D899" s="34"/>
      <c r="E899" s="34"/>
      <c r="F899" s="33"/>
    </row>
    <row r="900" spans="1:6" ht="15" customHeight="1" x14ac:dyDescent="0.3">
      <c r="A900" s="33"/>
      <c r="D900" s="34"/>
      <c r="E900" s="34"/>
      <c r="F900" s="33"/>
    </row>
    <row r="901" spans="1:6" ht="15" customHeight="1" x14ac:dyDescent="0.3">
      <c r="A901" s="33"/>
      <c r="D901" s="34"/>
      <c r="E901" s="34"/>
      <c r="F901" s="33"/>
    </row>
    <row r="902" spans="1:6" ht="15" customHeight="1" x14ac:dyDescent="0.3">
      <c r="A902" s="33"/>
      <c r="D902" s="34"/>
      <c r="E902" s="34"/>
      <c r="F902" s="33"/>
    </row>
    <row r="903" spans="1:6" ht="15" customHeight="1" x14ac:dyDescent="0.3">
      <c r="A903" s="33"/>
      <c r="D903" s="34"/>
      <c r="E903" s="34"/>
      <c r="F903" s="33"/>
    </row>
    <row r="904" spans="1:6" ht="15" customHeight="1" x14ac:dyDescent="0.3">
      <c r="A904" s="33"/>
      <c r="D904" s="34"/>
      <c r="E904" s="34"/>
      <c r="F904" s="33"/>
    </row>
    <row r="905" spans="1:6" ht="15" customHeight="1" x14ac:dyDescent="0.3">
      <c r="A905" s="33"/>
      <c r="D905" s="34"/>
      <c r="E905" s="34"/>
      <c r="F905" s="33"/>
    </row>
    <row r="906" spans="1:6" ht="15" customHeight="1" x14ac:dyDescent="0.3">
      <c r="A906" s="33"/>
      <c r="D906" s="34"/>
      <c r="E906" s="34"/>
      <c r="F906" s="33"/>
    </row>
    <row r="907" spans="1:6" ht="15" customHeight="1" x14ac:dyDescent="0.3">
      <c r="A907" s="33"/>
      <c r="D907" s="34"/>
      <c r="E907" s="34"/>
      <c r="F907" s="33"/>
    </row>
    <row r="908" spans="1:6" ht="15" customHeight="1" x14ac:dyDescent="0.3">
      <c r="A908" s="33"/>
      <c r="D908" s="34"/>
      <c r="E908" s="34"/>
      <c r="F908" s="33"/>
    </row>
    <row r="909" spans="1:6" ht="15" customHeight="1" x14ac:dyDescent="0.3">
      <c r="A909" s="33"/>
      <c r="D909" s="34"/>
      <c r="E909" s="34"/>
      <c r="F909" s="33"/>
    </row>
    <row r="910" spans="1:6" ht="15" customHeight="1" x14ac:dyDescent="0.3">
      <c r="A910" s="33"/>
      <c r="D910" s="34"/>
      <c r="E910" s="34"/>
      <c r="F910" s="33"/>
    </row>
    <row r="911" spans="1:6" ht="15" customHeight="1" x14ac:dyDescent="0.3">
      <c r="A911" s="33"/>
      <c r="D911" s="34"/>
      <c r="E911" s="34"/>
      <c r="F911" s="33"/>
    </row>
    <row r="912" spans="1:6" ht="15" customHeight="1" x14ac:dyDescent="0.3">
      <c r="A912" s="33"/>
      <c r="D912" s="34"/>
      <c r="E912" s="34"/>
      <c r="F912" s="33"/>
    </row>
    <row r="913" spans="1:6" ht="15" customHeight="1" x14ac:dyDescent="0.3">
      <c r="A913" s="33"/>
      <c r="D913" s="34"/>
      <c r="E913" s="34"/>
      <c r="F913" s="33"/>
    </row>
    <row r="914" spans="1:6" ht="15" customHeight="1" x14ac:dyDescent="0.3">
      <c r="A914" s="33"/>
      <c r="D914" s="34"/>
      <c r="E914" s="34"/>
      <c r="F914" s="33"/>
    </row>
    <row r="915" spans="1:6" ht="15" customHeight="1" x14ac:dyDescent="0.3">
      <c r="A915" s="33"/>
      <c r="D915" s="34"/>
      <c r="E915" s="34"/>
      <c r="F915" s="33"/>
    </row>
    <row r="916" spans="1:6" ht="15" customHeight="1" x14ac:dyDescent="0.3">
      <c r="A916" s="33"/>
      <c r="D916" s="34"/>
      <c r="E916" s="34"/>
      <c r="F916" s="33"/>
    </row>
    <row r="917" spans="1:6" ht="15" customHeight="1" x14ac:dyDescent="0.3">
      <c r="A917" s="33"/>
      <c r="D917" s="34"/>
      <c r="E917" s="34"/>
      <c r="F917" s="33"/>
    </row>
    <row r="918" spans="1:6" ht="15" customHeight="1" x14ac:dyDescent="0.3">
      <c r="A918" s="33"/>
      <c r="D918" s="34"/>
      <c r="E918" s="34"/>
      <c r="F918" s="33"/>
    </row>
    <row r="919" spans="1:6" ht="15" customHeight="1" x14ac:dyDescent="0.3">
      <c r="A919" s="33"/>
      <c r="D919" s="34"/>
      <c r="E919" s="34"/>
      <c r="F919" s="33"/>
    </row>
    <row r="920" spans="1:6" ht="15" customHeight="1" x14ac:dyDescent="0.3">
      <c r="A920" s="33"/>
      <c r="D920" s="34"/>
      <c r="E920" s="34"/>
      <c r="F920" s="33"/>
    </row>
    <row r="921" spans="1:6" ht="15" customHeight="1" x14ac:dyDescent="0.3">
      <c r="A921" s="33"/>
      <c r="D921" s="34"/>
      <c r="E921" s="34"/>
      <c r="F921" s="33"/>
    </row>
    <row r="922" spans="1:6" ht="15" customHeight="1" x14ac:dyDescent="0.3">
      <c r="A922" s="33"/>
      <c r="D922" s="34"/>
      <c r="E922" s="34"/>
      <c r="F922" s="33"/>
    </row>
    <row r="923" spans="1:6" ht="15" customHeight="1" x14ac:dyDescent="0.3">
      <c r="A923" s="33"/>
      <c r="D923" s="34"/>
      <c r="E923" s="34"/>
      <c r="F923" s="33"/>
    </row>
    <row r="924" spans="1:6" ht="15" customHeight="1" x14ac:dyDescent="0.3">
      <c r="A924" s="33"/>
      <c r="D924" s="34"/>
      <c r="E924" s="34"/>
      <c r="F924" s="33"/>
    </row>
    <row r="925" spans="1:6" ht="15" customHeight="1" x14ac:dyDescent="0.3">
      <c r="A925" s="33"/>
      <c r="D925" s="34"/>
      <c r="E925" s="34"/>
      <c r="F925" s="33"/>
    </row>
    <row r="926" spans="1:6" ht="15" customHeight="1" x14ac:dyDescent="0.3">
      <c r="A926" s="33"/>
      <c r="D926" s="34"/>
      <c r="E926" s="34"/>
      <c r="F926" s="33"/>
    </row>
    <row r="927" spans="1:6" ht="15" customHeight="1" x14ac:dyDescent="0.3">
      <c r="A927" s="33"/>
      <c r="D927" s="34"/>
      <c r="E927" s="34"/>
      <c r="F927" s="33"/>
    </row>
    <row r="928" spans="1:6" ht="15" customHeight="1" x14ac:dyDescent="0.3">
      <c r="A928" s="33"/>
      <c r="D928" s="34"/>
      <c r="E928" s="34"/>
      <c r="F928" s="33"/>
    </row>
    <row r="929" spans="1:6" ht="15" customHeight="1" x14ac:dyDescent="0.3">
      <c r="A929" s="33"/>
      <c r="D929" s="34"/>
      <c r="E929" s="34"/>
      <c r="F929" s="33"/>
    </row>
    <row r="930" spans="1:6" ht="15" customHeight="1" x14ac:dyDescent="0.3">
      <c r="A930" s="33"/>
      <c r="D930" s="34"/>
      <c r="E930" s="34"/>
      <c r="F930" s="33"/>
    </row>
    <row r="931" spans="1:6" ht="15" customHeight="1" x14ac:dyDescent="0.3">
      <c r="A931" s="33"/>
      <c r="D931" s="34"/>
      <c r="E931" s="34"/>
      <c r="F931" s="33"/>
    </row>
    <row r="932" spans="1:6" ht="15" customHeight="1" x14ac:dyDescent="0.3">
      <c r="A932" s="33"/>
      <c r="D932" s="34"/>
      <c r="E932" s="34"/>
      <c r="F932" s="33"/>
    </row>
    <row r="933" spans="1:6" ht="15" customHeight="1" x14ac:dyDescent="0.3">
      <c r="A933" s="33"/>
      <c r="D933" s="34"/>
      <c r="E933" s="34"/>
      <c r="F933" s="33"/>
    </row>
    <row r="934" spans="1:6" ht="15" customHeight="1" x14ac:dyDescent="0.3">
      <c r="A934" s="33"/>
      <c r="D934" s="34"/>
      <c r="E934" s="34"/>
      <c r="F934" s="33"/>
    </row>
    <row r="935" spans="1:6" ht="15" customHeight="1" x14ac:dyDescent="0.3">
      <c r="A935" s="33"/>
      <c r="D935" s="34"/>
      <c r="E935" s="34"/>
      <c r="F935" s="33"/>
    </row>
    <row r="936" spans="1:6" ht="15" customHeight="1" x14ac:dyDescent="0.3">
      <c r="A936" s="33"/>
      <c r="D936" s="34"/>
      <c r="E936" s="34"/>
      <c r="F936" s="33"/>
    </row>
    <row r="937" spans="1:6" ht="15" customHeight="1" x14ac:dyDescent="0.3">
      <c r="A937" s="33"/>
      <c r="D937" s="34"/>
      <c r="E937" s="34"/>
      <c r="F937" s="33"/>
    </row>
    <row r="938" spans="1:6" ht="15" customHeight="1" x14ac:dyDescent="0.3">
      <c r="A938" s="33"/>
      <c r="D938" s="34"/>
      <c r="E938" s="34"/>
      <c r="F938" s="33"/>
    </row>
    <row r="939" spans="1:6" ht="15" customHeight="1" x14ac:dyDescent="0.3">
      <c r="A939" s="33"/>
      <c r="D939" s="34"/>
      <c r="E939" s="34"/>
      <c r="F939" s="33"/>
    </row>
    <row r="940" spans="1:6" ht="15" customHeight="1" x14ac:dyDescent="0.3">
      <c r="A940" s="33"/>
      <c r="D940" s="34"/>
      <c r="E940" s="34"/>
      <c r="F940" s="33"/>
    </row>
    <row r="941" spans="1:6" ht="15" customHeight="1" x14ac:dyDescent="0.3">
      <c r="A941" s="33"/>
      <c r="D941" s="34"/>
      <c r="E941" s="34"/>
      <c r="F941" s="33"/>
    </row>
    <row r="942" spans="1:6" ht="15" customHeight="1" x14ac:dyDescent="0.3">
      <c r="A942" s="33"/>
      <c r="D942" s="34"/>
      <c r="E942" s="34"/>
      <c r="F942" s="33"/>
    </row>
    <row r="943" spans="1:6" ht="15" customHeight="1" x14ac:dyDescent="0.3">
      <c r="A943" s="33"/>
      <c r="D943" s="34"/>
      <c r="E943" s="34"/>
      <c r="F943" s="33"/>
    </row>
    <row r="944" spans="1:6" ht="15" customHeight="1" x14ac:dyDescent="0.3">
      <c r="A944" s="33"/>
      <c r="D944" s="34"/>
      <c r="E944" s="34"/>
      <c r="F944" s="33"/>
    </row>
    <row r="945" spans="1:6" ht="15" customHeight="1" x14ac:dyDescent="0.3">
      <c r="A945" s="33"/>
      <c r="D945" s="34"/>
      <c r="E945" s="34"/>
      <c r="F945" s="33"/>
    </row>
    <row r="946" spans="1:6" ht="15" customHeight="1" x14ac:dyDescent="0.3">
      <c r="A946" s="33"/>
      <c r="D946" s="34"/>
      <c r="E946" s="34"/>
      <c r="F946" s="33"/>
    </row>
    <row r="947" spans="1:6" ht="15" customHeight="1" x14ac:dyDescent="0.3">
      <c r="A947" s="33"/>
      <c r="D947" s="34"/>
      <c r="E947" s="34"/>
      <c r="F947" s="33"/>
    </row>
    <row r="948" spans="1:6" ht="15" customHeight="1" x14ac:dyDescent="0.3">
      <c r="A948" s="33"/>
      <c r="D948" s="34"/>
      <c r="E948" s="34"/>
      <c r="F948" s="33"/>
    </row>
    <row r="949" spans="1:6" ht="15" customHeight="1" x14ac:dyDescent="0.3">
      <c r="A949" s="33"/>
      <c r="D949" s="34"/>
      <c r="E949" s="34"/>
      <c r="F949" s="33"/>
    </row>
    <row r="950" spans="1:6" ht="15" customHeight="1" x14ac:dyDescent="0.3">
      <c r="A950" s="33"/>
      <c r="D950" s="34"/>
      <c r="E950" s="34"/>
      <c r="F950" s="33"/>
    </row>
    <row r="951" spans="1:6" ht="15" customHeight="1" x14ac:dyDescent="0.3">
      <c r="A951" s="33"/>
      <c r="D951" s="34"/>
      <c r="E951" s="34"/>
      <c r="F951" s="33"/>
    </row>
    <row r="952" spans="1:6" ht="15" customHeight="1" x14ac:dyDescent="0.3">
      <c r="A952" s="33"/>
      <c r="D952" s="34"/>
      <c r="E952" s="34"/>
      <c r="F952" s="33"/>
    </row>
    <row r="953" spans="1:6" ht="15" customHeight="1" x14ac:dyDescent="0.3">
      <c r="A953" s="33"/>
      <c r="D953" s="34"/>
      <c r="E953" s="34"/>
      <c r="F953" s="33"/>
    </row>
    <row r="954" spans="1:6" ht="15" customHeight="1" x14ac:dyDescent="0.3">
      <c r="A954" s="33"/>
      <c r="D954" s="34"/>
      <c r="E954" s="34"/>
      <c r="F954" s="33"/>
    </row>
    <row r="955" spans="1:6" ht="15" customHeight="1" x14ac:dyDescent="0.3">
      <c r="A955" s="33"/>
      <c r="D955" s="34"/>
      <c r="E955" s="34"/>
      <c r="F955" s="33"/>
    </row>
    <row r="956" spans="1:6" ht="15" customHeight="1" x14ac:dyDescent="0.3">
      <c r="A956" s="33"/>
      <c r="D956" s="34"/>
      <c r="E956" s="34"/>
      <c r="F956" s="33"/>
    </row>
    <row r="957" spans="1:6" ht="15" customHeight="1" x14ac:dyDescent="0.3">
      <c r="A957" s="33"/>
      <c r="D957" s="34"/>
      <c r="E957" s="34"/>
      <c r="F957" s="33"/>
    </row>
    <row r="958" spans="1:6" ht="15" customHeight="1" x14ac:dyDescent="0.3">
      <c r="A958" s="33"/>
      <c r="D958" s="34"/>
      <c r="E958" s="34"/>
      <c r="F958" s="33"/>
    </row>
    <row r="959" spans="1:6" ht="15" customHeight="1" x14ac:dyDescent="0.3">
      <c r="A959" s="33"/>
      <c r="D959" s="34"/>
      <c r="E959" s="34"/>
      <c r="F959" s="33"/>
    </row>
    <row r="960" spans="1:6" ht="15" customHeight="1" x14ac:dyDescent="0.3">
      <c r="A960" s="33"/>
      <c r="D960" s="34"/>
      <c r="E960" s="34"/>
      <c r="F960" s="33"/>
    </row>
    <row r="961" spans="1:6" ht="15" customHeight="1" x14ac:dyDescent="0.3">
      <c r="A961" s="33"/>
      <c r="D961" s="34"/>
      <c r="E961" s="34"/>
      <c r="F961" s="33"/>
    </row>
    <row r="962" spans="1:6" ht="15" customHeight="1" x14ac:dyDescent="0.3">
      <c r="A962" s="33"/>
      <c r="D962" s="34"/>
      <c r="E962" s="34"/>
      <c r="F962" s="33"/>
    </row>
    <row r="963" spans="1:6" ht="15" customHeight="1" x14ac:dyDescent="0.3">
      <c r="A963" s="33"/>
      <c r="D963" s="34"/>
      <c r="E963" s="34"/>
      <c r="F963" s="33"/>
    </row>
    <row r="964" spans="1:6" ht="15" customHeight="1" x14ac:dyDescent="0.3">
      <c r="A964" s="33"/>
      <c r="D964" s="34"/>
      <c r="E964" s="34"/>
      <c r="F964" s="33"/>
    </row>
    <row r="965" spans="1:6" ht="15" customHeight="1" x14ac:dyDescent="0.3">
      <c r="A965" s="33"/>
      <c r="D965" s="34"/>
      <c r="E965" s="34"/>
      <c r="F965" s="33"/>
    </row>
    <row r="966" spans="1:6" ht="15" customHeight="1" x14ac:dyDescent="0.3">
      <c r="A966" s="33"/>
      <c r="D966" s="34"/>
      <c r="E966" s="34"/>
      <c r="F966" s="33"/>
    </row>
    <row r="967" spans="1:6" ht="15" customHeight="1" x14ac:dyDescent="0.3">
      <c r="A967" s="33"/>
      <c r="D967" s="34"/>
      <c r="E967" s="34"/>
      <c r="F967" s="33"/>
    </row>
    <row r="968" spans="1:6" ht="15" customHeight="1" x14ac:dyDescent="0.3">
      <c r="A968" s="33"/>
      <c r="D968" s="34"/>
      <c r="E968" s="34"/>
      <c r="F968" s="33"/>
    </row>
    <row r="969" spans="1:6" ht="15" customHeight="1" x14ac:dyDescent="0.3">
      <c r="A969" s="33"/>
      <c r="D969" s="34"/>
      <c r="E969" s="34"/>
      <c r="F969" s="33"/>
    </row>
    <row r="970" spans="1:6" ht="15" customHeight="1" x14ac:dyDescent="0.3">
      <c r="A970" s="33"/>
      <c r="D970" s="34"/>
      <c r="E970" s="34"/>
      <c r="F970" s="33"/>
    </row>
    <row r="971" spans="1:6" ht="15" customHeight="1" x14ac:dyDescent="0.3">
      <c r="A971" s="33"/>
      <c r="D971" s="34"/>
      <c r="E971" s="34"/>
      <c r="F971" s="33"/>
    </row>
    <row r="972" spans="1:6" ht="15" customHeight="1" x14ac:dyDescent="0.3">
      <c r="A972" s="33"/>
      <c r="D972" s="34"/>
      <c r="E972" s="34"/>
      <c r="F972" s="33"/>
    </row>
    <row r="973" spans="1:6" ht="15" customHeight="1" x14ac:dyDescent="0.3">
      <c r="A973" s="33"/>
      <c r="D973" s="34"/>
      <c r="E973" s="34"/>
      <c r="F973" s="33"/>
    </row>
    <row r="974" spans="1:6" ht="15" customHeight="1" x14ac:dyDescent="0.3">
      <c r="A974" s="33"/>
      <c r="D974" s="34"/>
      <c r="E974" s="34"/>
      <c r="F974" s="33"/>
    </row>
    <row r="975" spans="1:6" ht="15" customHeight="1" x14ac:dyDescent="0.3">
      <c r="A975" s="33"/>
      <c r="D975" s="34"/>
      <c r="E975" s="34"/>
      <c r="F975" s="33"/>
    </row>
    <row r="976" spans="1:6" ht="15" customHeight="1" x14ac:dyDescent="0.3">
      <c r="A976" s="33"/>
      <c r="D976" s="34"/>
      <c r="E976" s="34"/>
      <c r="F976" s="33"/>
    </row>
    <row r="977" spans="1:6" ht="15" customHeight="1" x14ac:dyDescent="0.3">
      <c r="A977" s="33"/>
      <c r="D977" s="34"/>
      <c r="E977" s="34"/>
      <c r="F977" s="33"/>
    </row>
    <row r="978" spans="1:6" ht="15" customHeight="1" x14ac:dyDescent="0.3">
      <c r="A978" s="33"/>
      <c r="D978" s="34"/>
      <c r="E978" s="34"/>
      <c r="F978" s="33"/>
    </row>
    <row r="979" spans="1:6" ht="15" customHeight="1" x14ac:dyDescent="0.3">
      <c r="A979" s="33"/>
      <c r="D979" s="34"/>
      <c r="E979" s="34"/>
      <c r="F979" s="33"/>
    </row>
    <row r="980" spans="1:6" ht="15" customHeight="1" x14ac:dyDescent="0.3">
      <c r="A980" s="33"/>
      <c r="D980" s="34"/>
      <c r="E980" s="34"/>
      <c r="F980" s="33"/>
    </row>
    <row r="981" spans="1:6" ht="15" customHeight="1" x14ac:dyDescent="0.3">
      <c r="A981" s="33"/>
      <c r="D981" s="34"/>
      <c r="E981" s="34"/>
      <c r="F981" s="33"/>
    </row>
    <row r="982" spans="1:6" ht="15" customHeight="1" x14ac:dyDescent="0.3">
      <c r="A982" s="33"/>
      <c r="D982" s="34"/>
      <c r="E982" s="34"/>
      <c r="F982" s="33"/>
    </row>
    <row r="983" spans="1:6" ht="15" customHeight="1" x14ac:dyDescent="0.3">
      <c r="A983" s="33"/>
      <c r="D983" s="34"/>
      <c r="E983" s="34"/>
      <c r="F983" s="33"/>
    </row>
    <row r="984" spans="1:6" ht="15" customHeight="1" x14ac:dyDescent="0.3">
      <c r="A984" s="33"/>
      <c r="D984" s="34"/>
      <c r="E984" s="34"/>
      <c r="F984" s="33"/>
    </row>
    <row r="985" spans="1:6" ht="15" customHeight="1" x14ac:dyDescent="0.3">
      <c r="A985" s="33"/>
      <c r="D985" s="34"/>
      <c r="E985" s="34"/>
      <c r="F985" s="33"/>
    </row>
    <row r="986" spans="1:6" ht="15" customHeight="1" x14ac:dyDescent="0.3">
      <c r="A986" s="33"/>
      <c r="D986" s="34"/>
      <c r="E986" s="34"/>
      <c r="F986" s="33"/>
    </row>
    <row r="987" spans="1:6" ht="15" customHeight="1" x14ac:dyDescent="0.3">
      <c r="A987" s="33"/>
      <c r="D987" s="34"/>
      <c r="E987" s="34"/>
      <c r="F987" s="33"/>
    </row>
    <row r="988" spans="1:6" ht="15" customHeight="1" x14ac:dyDescent="0.3">
      <c r="A988" s="33"/>
      <c r="D988" s="34"/>
      <c r="E988" s="34"/>
      <c r="F988" s="33"/>
    </row>
    <row r="989" spans="1:6" ht="15" customHeight="1" x14ac:dyDescent="0.3">
      <c r="A989" s="33"/>
      <c r="D989" s="34"/>
      <c r="E989" s="34"/>
      <c r="F989" s="33"/>
    </row>
    <row r="990" spans="1:6" ht="15" customHeight="1" x14ac:dyDescent="0.3">
      <c r="A990" s="33"/>
      <c r="D990" s="34"/>
      <c r="E990" s="34"/>
      <c r="F990" s="33"/>
    </row>
    <row r="991" spans="1:6" ht="15" customHeight="1" x14ac:dyDescent="0.3">
      <c r="A991" s="33"/>
      <c r="D991" s="34"/>
      <c r="E991" s="34"/>
      <c r="F991" s="33"/>
    </row>
    <row r="992" spans="1:6" ht="15" customHeight="1" x14ac:dyDescent="0.3">
      <c r="A992" s="33"/>
      <c r="D992" s="34"/>
      <c r="E992" s="34"/>
      <c r="F992" s="33"/>
    </row>
    <row r="993" spans="1:6" ht="15" customHeight="1" x14ac:dyDescent="0.3">
      <c r="A993" s="33"/>
      <c r="D993" s="34"/>
      <c r="E993" s="34"/>
      <c r="F993" s="33"/>
    </row>
    <row r="994" spans="1:6" ht="15" customHeight="1" x14ac:dyDescent="0.3">
      <c r="A994" s="33"/>
      <c r="D994" s="34"/>
      <c r="E994" s="34"/>
      <c r="F994" s="33"/>
    </row>
    <row r="995" spans="1:6" ht="15" customHeight="1" x14ac:dyDescent="0.3">
      <c r="A995" s="33"/>
      <c r="D995" s="34"/>
      <c r="E995" s="34"/>
      <c r="F995" s="33"/>
    </row>
    <row r="996" spans="1:6" ht="15" customHeight="1" x14ac:dyDescent="0.3"/>
    <row r="997" spans="1:6" ht="15" customHeight="1" x14ac:dyDescent="0.3"/>
    <row r="998" spans="1:6" ht="15" customHeight="1" x14ac:dyDescent="0.3"/>
    <row r="999" spans="1:6" ht="15" customHeight="1" x14ac:dyDescent="0.3"/>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1000"/>
  <sheetViews>
    <sheetView workbookViewId="0">
      <pane ySplit="1" topLeftCell="A143" activePane="bottomLeft" state="frozen"/>
      <selection pane="bottomLeft" activeCell="B131" sqref="B131"/>
    </sheetView>
  </sheetViews>
  <sheetFormatPr defaultRowHeight="13.8" x14ac:dyDescent="0.3"/>
  <cols>
    <col min="1" max="1" width="24.33203125" style="1" bestFit="1" customWidth="1"/>
    <col min="2" max="2" width="23.21875" style="13" bestFit="1" customWidth="1"/>
    <col min="3" max="3" width="5.5546875" style="1" bestFit="1" customWidth="1"/>
    <col min="4" max="4" width="4.5546875" style="1" bestFit="1" customWidth="1"/>
    <col min="5" max="6" width="4.5546875" style="13" bestFit="1" customWidth="1"/>
    <col min="7" max="7" width="4.88671875" style="1" customWidth="1"/>
    <col min="8" max="8" width="21.33203125" style="1" customWidth="1"/>
    <col min="9" max="9" width="19.109375" style="1" customWidth="1"/>
    <col min="10" max="10" width="15.21875" style="1" customWidth="1"/>
    <col min="11" max="14" width="14.44140625" style="1" customWidth="1"/>
    <col min="15" max="17" width="13.33203125" style="1" customWidth="1"/>
    <col min="18" max="18" width="22.21875" style="1" customWidth="1"/>
    <col min="19" max="30" width="10.21875" style="1" customWidth="1"/>
    <col min="31" max="16384" width="8.88671875" style="1"/>
  </cols>
  <sheetData>
    <row r="1" spans="1:30" ht="24" customHeight="1" x14ac:dyDescent="0.3">
      <c r="A1" s="20" t="s">
        <v>345</v>
      </c>
      <c r="B1" s="20" t="s">
        <v>346</v>
      </c>
      <c r="C1" s="20" t="s">
        <v>656</v>
      </c>
      <c r="D1" s="20" t="s">
        <v>657</v>
      </c>
      <c r="E1" s="20" t="s">
        <v>402</v>
      </c>
      <c r="F1" s="20" t="s">
        <v>399</v>
      </c>
      <c r="G1" s="20" t="s">
        <v>403</v>
      </c>
      <c r="H1" s="20" t="s">
        <v>479</v>
      </c>
      <c r="I1" s="20" t="s">
        <v>406</v>
      </c>
      <c r="J1" s="20" t="s">
        <v>348</v>
      </c>
      <c r="K1" s="20" t="s">
        <v>349</v>
      </c>
      <c r="L1" s="20" t="s">
        <v>350</v>
      </c>
      <c r="M1" s="20" t="s">
        <v>351</v>
      </c>
      <c r="N1" s="20" t="s">
        <v>352</v>
      </c>
      <c r="O1" s="20" t="s">
        <v>353</v>
      </c>
      <c r="P1" s="20" t="s">
        <v>354</v>
      </c>
      <c r="Q1" s="20" t="s">
        <v>355</v>
      </c>
      <c r="R1" s="20" t="s">
        <v>356</v>
      </c>
      <c r="S1" s="20" t="s">
        <v>357</v>
      </c>
      <c r="T1" s="20" t="s">
        <v>358</v>
      </c>
      <c r="U1" s="20" t="s">
        <v>359</v>
      </c>
      <c r="V1" s="20" t="s">
        <v>360</v>
      </c>
      <c r="W1" s="20" t="s">
        <v>361</v>
      </c>
      <c r="X1" s="20" t="s">
        <v>362</v>
      </c>
      <c r="Y1" s="20" t="s">
        <v>363</v>
      </c>
      <c r="Z1" s="20" t="s">
        <v>364</v>
      </c>
      <c r="AA1" s="20" t="s">
        <v>400</v>
      </c>
      <c r="AB1" s="20" t="s">
        <v>404</v>
      </c>
      <c r="AC1" s="20" t="s">
        <v>401</v>
      </c>
      <c r="AD1" s="20" t="s">
        <v>405</v>
      </c>
    </row>
    <row r="2" spans="1:30" x14ac:dyDescent="0.3">
      <c r="A2" s="7" t="str" cm="1">
        <f t="array" ref="A2:A492">_xlfn.LET(_xlpm.e,_xlfn.UNIQUE(_xlfn._xlws.FILTER(_xlfn.VSTACK(TRIM(tblDados[Mandante]),TRIM(tblDados[Visitante])),_xlfn.VSTACK(TRIM(tblDados[Mandante]),TRIM(tblDados[Visitante]))&lt;&gt;"")),_xlpm.j,_xlfn.MAP(_xlpm.e,_xlfn.LAMBDA(_xlpm.x,SUMPRODUCT((TRIM(tblDados[Mandante])=_xlpm.x)*tblDados[Primeira_Ocorrencia])+SUMPRODUCT((TRIM(tblDados[Visitante])=_xlpm.x)*tblDados[Primeira_Ocorrencia]))),_xlfn.SORTBY(_xlpm.e,_xlpm.j,-1,_xlpm.e,1))</f>
        <v>Magic United</v>
      </c>
      <c r="B2" s="12" t="str" cm="1">
        <f t="array" ref="B2">IF($A2="","",_xlfn.LET(_xlpm.p,IFERROR(INDEX(tblDados[País],MATCH($A2,TRIM(tblDados[Mandante]),0)),INDEX(tblDados[País],MATCH($A2,TRIM(tblDados[Visitante]),0))),_xlpm.l,IFERROR(INDEX(tblDados[Liga],MATCH($A2,TRIM(tblDados[Mandante]),0)),INDEX(tblDados[Liga],MATCH($A2,TRIM(tblDados[Visitante]),0))),_xlpm.p&amp;" - "&amp;_xlpm.l))</f>
        <v>AUS - NPL Queensland</v>
      </c>
      <c r="C2" s="10">
        <f>IF($A2="","",IF($E2=0,"",$AA2+$AB2))</f>
        <v>4.7777777777777777</v>
      </c>
      <c r="D2" s="10">
        <f>IF($A2="","",IF($F2=0,"",$AC2+$AD2))</f>
        <v>3.9</v>
      </c>
      <c r="E2" s="9" cm="1">
        <f t="array" ref="E2">IF($A2="","",SUMPRODUCT((TRIM(tblDados[Mandante])=$A2)*tblDados[Primeira_Ocorrencia]))</f>
        <v>9</v>
      </c>
      <c r="F2" s="9" cm="1">
        <f t="array" ref="F2">IF($A2="","",SUMPRODUCT((TRIM(tblDados[Visitante])=$A2)*tblDados[Primeira_Ocorrencia]))</f>
        <v>10</v>
      </c>
      <c r="G2" s="9" cm="1">
        <f t="array" ref="G2">IF($A2="","",SUMPRODUCT((TRIM(tblDados[Mandante])=$A2)*tblDados[Primeira_Ocorrencia])+SUMPRODUCT((TRIM(tblDados[Visitante])=$A2)*tblDados[Primeira_Ocorrencia]))</f>
        <v>19</v>
      </c>
      <c r="H2" s="10">
        <f>IF($A2="","",IFERROR($U2/$G2,0))</f>
        <v>1.3157894736842106</v>
      </c>
      <c r="I2" s="10" cm="1">
        <f t="array" ref="I2">IF($A2="","",_xlfn.LET(_xlpm.p,IFERROR(INDEX(tblDados[País],MATCH($A2,TRIM(tblDados[Mandante]),0)),INDEX(tblDados[País],MATCH($A2,TRIM(tblDados[Visitante]),0))),_xlpm.l,IFERROR(INDEX(tblDados[Liga],MATCH($A2,TRIM(tblDados[Mandante]),0)),INDEX(tblDados[Liga],MATCH($A2,TRIM(tblDados[Visitante]),0))),IFERROR(SUMIFS(Ligas!$D$2:$D$39,Ligas!$H$2:$H$39,_xlpm.p,Ligas!$I$2:$I$39,_xlpm.l),0)))</f>
        <v>3.76</v>
      </c>
      <c r="J2" s="11" cm="1">
        <f t="array" ref="J2">IF($A2="","",IFERROR((SUMPRODUCT((TRIM(tblDados[Mandante])=$A2)*tblDados[Primeira_Ocorrencia]*(tblDados[GM_M]=0))+SUMPRODUCT((TRIM(tblDados[Visitante])=$A2)*tblDados[Primeira_Ocorrencia]*(tblDados[GM_V]=0)))/G2,0))</f>
        <v>0.42105263157894735</v>
      </c>
      <c r="K2" s="11" cm="1">
        <f t="array" ref="K2">IF($A2="","",IFERROR((SUMPRODUCT((TRIM(tblDados[Mandante])=$A2)*tblDados[Primeira_Ocorrencia]*((tblDados[GM_M]+tblDados[GS_M])&gt;0.5))+SUMPRODUCT((TRIM(tblDados[Visitante])=$A2)*tblDados[Primeira_Ocorrencia]*((tblDados[GM_V]+tblDados[GS_V])&gt;0.5)))/G2,0))</f>
        <v>1</v>
      </c>
      <c r="L2" s="11" cm="1">
        <f t="array" ref="L2">IF($A2="","",IFERROR((SUMPRODUCT((TRIM(tblDados[Mandante])=$A2)*tblDados[Primeira_Ocorrencia]*((tblDados[GM_M]+tblDados[GS_M])&gt;1.5))+SUMPRODUCT((TRIM(tblDados[Visitante])=$A2)*tblDados[Primeira_Ocorrencia]*((tblDados[GM_V]+tblDados[GS_V])&gt;1.5)))/G2,0))</f>
        <v>0.94736842105263153</v>
      </c>
      <c r="M2" s="11" cm="1">
        <f t="array" ref="M2">IF($A2="","",IFERROR((SUMPRODUCT((TRIM(tblDados[Mandante])=$A2)*tblDados[Primeira_Ocorrencia]*((tblDados[GM_M]+tblDados[GS_M])&gt;2.5))+SUMPRODUCT((TRIM(tblDados[Visitante])=$A2)*tblDados[Primeira_Ocorrencia]*((tblDados[GM_V]+tblDados[GS_V])&gt;2.5)))/G2,0))</f>
        <v>0.84210526315789469</v>
      </c>
      <c r="N2" s="11" cm="1">
        <f t="array" ref="N2">IF($A2="","",IFERROR((SUMPRODUCT((TRIM(tblDados[Mandante])=$A2)*tblDados[Primeira_Ocorrencia]*((tblDados[GM_M]+tblDados[GS_M])&gt;3.5))+SUMPRODUCT((TRIM(tblDados[Visitante])=$A2)*tblDados[Primeira_Ocorrencia]*((tblDados[GM_V]+tblDados[GS_V])&gt;3.5)))/G2,0))</f>
        <v>0.63157894736842102</v>
      </c>
      <c r="O2" s="11" cm="1">
        <f t="array" ref="O2">IF($A2="","",IFERROR((SUMPRODUCT((TRIM(tblDados[Mandante])=$A2)*tblDados[Primeira_Ocorrencia]*(tblDados[GM_M]&gt;0)*(tblDados[GS_M]&gt;0))+SUMPRODUCT((TRIM(tblDados[Visitante])=$A2)*tblDados[Primeira_Ocorrencia]*(tblDados[GM_V]&gt;0)*(tblDados[GS_V]&gt;0)))/G2,0))</f>
        <v>0.52631578947368418</v>
      </c>
      <c r="P2" s="10" cm="1">
        <f t="array" ref="P2">IF($A2="","",IFERROR((SUMPRODUCT((TRIM(tblDados[Mandante])=$A2)*tblDados[Primeira_Ocorrencia]*tblDados[GM_M]^2)+SUMPRODUCT((TRIM(tblDados[Visitante])=$A2)*tblDados[Primeira_Ocorrencia]*tblDados[GM_V]^2))/G2-H2^2,0))</f>
        <v>1.795013850415512</v>
      </c>
      <c r="Q2" s="10">
        <f>IF($A2="","",IFERROR(SQRT(MAX(P2,0)),0))</f>
        <v>1.3397812696166163</v>
      </c>
      <c r="R2" s="8" t="str">
        <f>IF(A2="","",IF(OR(G2&lt;5,H2=0),"Amostra Insuficiente",IF(_xlfn.CHISQ.DIST.RT(G2*P2/H2,G2-1)&lt;0.05,"Binomial Negativa","Poisson")))</f>
        <v>Poisson</v>
      </c>
      <c r="S2" s="10" cm="1">
        <f t="array" ref="S2">IF($A2="","",SUMPRODUCT((TRIM(tblDados[Mandante])=$A2)*tblDados[Primeira_Ocorrencia]*tblDados[GM_M]))</f>
        <v>9</v>
      </c>
      <c r="T2" s="10" cm="1">
        <f t="array" ref="T2">IF($A2="","",SUMPRODUCT((TRIM(tblDados[Visitante])=$A2)*tblDados[Primeira_Ocorrencia]*tblDados[GM_V]))</f>
        <v>16</v>
      </c>
      <c r="U2" s="10">
        <f>IF($A2="","",S2+T2)</f>
        <v>25</v>
      </c>
      <c r="V2" s="10">
        <f t="shared" ref="V2:V65" si="0">IF($A2="","",IFERROR(U2/G2,0))</f>
        <v>1.3157894736842106</v>
      </c>
      <c r="W2" s="10" cm="1">
        <f t="array" ref="W2">IF($A2="","",SUMPRODUCT((TRIM(tblDados[Mandante])=$A2)*tblDados[Primeira_Ocorrencia]*tblDados[GS_M]))</f>
        <v>34</v>
      </c>
      <c r="X2" s="10" cm="1">
        <f t="array" ref="X2">IF($A2="","",SUMPRODUCT((TRIM(tblDados[Visitante])=$A2)*tblDados[Primeira_Ocorrencia]*tblDados[GS_V]))</f>
        <v>23</v>
      </c>
      <c r="Y2" s="10">
        <f>IF($A2="","",W2+X2)</f>
        <v>57</v>
      </c>
      <c r="Z2" s="10">
        <f t="shared" ref="Z2:Z65" si="1">IF($A2="","",IFERROR(Y2/G2,0))</f>
        <v>3</v>
      </c>
      <c r="AA2" s="10">
        <f t="shared" ref="AA2:AA65" si="2">IF($A2="","",IF($E2=0,"",$S2/$E2))</f>
        <v>1</v>
      </c>
      <c r="AB2" s="10">
        <f t="shared" ref="AB2:AB65" si="3">IF($A2="","",IF($E2=0,"",$W2/$E2))</f>
        <v>3.7777777777777777</v>
      </c>
      <c r="AC2" s="10">
        <f t="shared" ref="AC2:AC65" si="4">IF($A2="","",IF($F2=0,"",$T2/$F2))</f>
        <v>1.6</v>
      </c>
      <c r="AD2" s="10">
        <f t="shared" ref="AD2:AD65" si="5">IF($A2="","",IF($F2=0,"",$X2/$F2))</f>
        <v>2.2999999999999998</v>
      </c>
    </row>
    <row r="3" spans="1:30" x14ac:dyDescent="0.3">
      <c r="A3" s="7" t="str">
        <v>Brisbane Olympic FC</v>
      </c>
      <c r="B3" s="12" t="str" cm="1">
        <f t="array" ref="B3">IF($A3="","",_xlfn.LET(_xlpm.p,IFERROR(INDEX(tblDados[País],MATCH($A3,TRIM(tblDados[Mandante]),0)),INDEX(tblDados[País],MATCH($A3,TRIM(tblDados[Visitante]),0))),_xlpm.l,IFERROR(INDEX(tblDados[Liga],MATCH($A3,TRIM(tblDados[Mandante]),0)),INDEX(tblDados[Liga],MATCH($A3,TRIM(tblDados[Visitante]),0))),_xlpm.p&amp;" - "&amp;_xlpm.l))</f>
        <v>AUS - NPL Queensland</v>
      </c>
      <c r="C3" s="10">
        <f t="shared" ref="C3:C66" si="6">IF($A3="","",IF($E3=0,"",$AA3+$AB3))</f>
        <v>3.125</v>
      </c>
      <c r="D3" s="10">
        <f t="shared" ref="D3:D66" si="7">IF($A3="","",IF($F3=0,"",$AC3+$AD3))</f>
        <v>4.5999999999999996</v>
      </c>
      <c r="E3" s="9" cm="1">
        <f t="array" ref="E3">IF($A3="","",SUMPRODUCT((TRIM(tblDados[Mandante])=$A3)*tblDados[Primeira_Ocorrencia]))</f>
        <v>8</v>
      </c>
      <c r="F3" s="9" cm="1">
        <f t="array" ref="F3">IF($A3="","",SUMPRODUCT((TRIM(tblDados[Visitante])=$A3)*tblDados[Primeira_Ocorrencia]))</f>
        <v>10</v>
      </c>
      <c r="G3" s="9" cm="1">
        <f t="array" ref="G3">IF($A3="","",SUMPRODUCT((TRIM(tblDados[Mandante])=$A3)*tblDados[Primeira_Ocorrencia])+SUMPRODUCT((TRIM(tblDados[Visitante])=$A3)*tblDados[Primeira_Ocorrencia]))</f>
        <v>18</v>
      </c>
      <c r="H3" s="10">
        <f t="shared" ref="H3:H66" si="8">IF($A3="","",IFERROR($U3/$G3,0))</f>
        <v>1.8888888888888888</v>
      </c>
      <c r="I3" s="10" cm="1">
        <f t="array" ref="I3">IF($A3="","",_xlfn.LET(_xlpm.p,IFERROR(INDEX(tblDados[País],MATCH($A3,TRIM(tblDados[Mandante]),0)),INDEX(tblDados[País],MATCH($A3,TRIM(tblDados[Visitante]),0))),_xlpm.l,IFERROR(INDEX(tblDados[Liga],MATCH($A3,TRIM(tblDados[Mandante]),0)),INDEX(tblDados[Liga],MATCH($A3,TRIM(tblDados[Visitante]),0))),IFERROR(SUMIFS(Ligas!$D$2:$D$39,Ligas!$H$2:$H$39,_xlpm.p,Ligas!$I$2:$I$39,_xlpm.l),0)))</f>
        <v>3.76</v>
      </c>
      <c r="J3" s="11" cm="1">
        <f t="array" ref="J3">IF($A3="","",IFERROR((SUMPRODUCT((TRIM(tblDados[Mandante])=$A3)*tblDados[Primeira_Ocorrencia]*(tblDados[GM_M]=0))+SUMPRODUCT((TRIM(tblDados[Visitante])=$A3)*tblDados[Primeira_Ocorrencia]*(tblDados[GM_V]=0)))/G3,0))</f>
        <v>0.1111111111111111</v>
      </c>
      <c r="K3" s="11" cm="1">
        <f t="array" ref="K3">IF($A3="","",IFERROR((SUMPRODUCT((TRIM(tblDados[Mandante])=$A3)*tblDados[Primeira_Ocorrencia]*((tblDados[GM_M]+tblDados[GS_M])&gt;0.5))+SUMPRODUCT((TRIM(tblDados[Visitante])=$A3)*tblDados[Primeira_Ocorrencia]*((tblDados[GM_V]+tblDados[GS_V])&gt;0.5)))/G3,0))</f>
        <v>1</v>
      </c>
      <c r="L3" s="11" cm="1">
        <f t="array" ref="L3">IF($A3="","",IFERROR((SUMPRODUCT((TRIM(tblDados[Mandante])=$A3)*tblDados[Primeira_Ocorrencia]*((tblDados[GM_M]+tblDados[GS_M])&gt;1.5))+SUMPRODUCT((TRIM(tblDados[Visitante])=$A3)*tblDados[Primeira_Ocorrencia]*((tblDados[GM_V]+tblDados[GS_V])&gt;1.5)))/G3,0))</f>
        <v>0.94444444444444442</v>
      </c>
      <c r="M3" s="11" cm="1">
        <f t="array" ref="M3">IF($A3="","",IFERROR((SUMPRODUCT((TRIM(tblDados[Mandante])=$A3)*tblDados[Primeira_Ocorrencia]*((tblDados[GM_M]+tblDados[GS_M])&gt;2.5))+SUMPRODUCT((TRIM(tblDados[Visitante])=$A3)*tblDados[Primeira_Ocorrencia]*((tblDados[GM_V]+tblDados[GS_V])&gt;2.5)))/G3,0))</f>
        <v>0.77777777777777779</v>
      </c>
      <c r="N3" s="11" cm="1">
        <f t="array" ref="N3">IF($A3="","",IFERROR((SUMPRODUCT((TRIM(tblDados[Mandante])=$A3)*tblDados[Primeira_Ocorrencia]*((tblDados[GM_M]+tblDados[GS_M])&gt;3.5))+SUMPRODUCT((TRIM(tblDados[Visitante])=$A3)*tblDados[Primeira_Ocorrencia]*((tblDados[GM_V]+tblDados[GS_V])&gt;3.5)))/G3,0))</f>
        <v>0.5</v>
      </c>
      <c r="O3" s="11" cm="1">
        <f t="array" ref="O3">IF($A3="","",IFERROR((SUMPRODUCT((TRIM(tblDados[Mandante])=$A3)*tblDados[Primeira_Ocorrencia]*(tblDados[GM_M]&gt;0)*(tblDados[GS_M]&gt;0))+SUMPRODUCT((TRIM(tblDados[Visitante])=$A3)*tblDados[Primeira_Ocorrencia]*(tblDados[GM_V]&gt;0)*(tblDados[GS_V]&gt;0)))/G3,0))</f>
        <v>0.66666666666666663</v>
      </c>
      <c r="P3" s="10" cm="1">
        <f t="array" ref="P3">IF($A3="","",IFERROR((SUMPRODUCT((TRIM(tblDados[Mandante])=$A3)*tblDados[Primeira_Ocorrencia]*tblDados[GM_M]^2)+SUMPRODUCT((TRIM(tblDados[Visitante])=$A3)*tblDados[Primeira_Ocorrencia]*tblDados[GM_V]^2))/G3-H3^2,0))</f>
        <v>1.6543209876543212</v>
      </c>
      <c r="Q3" s="10">
        <f t="shared" ref="Q3:Q66" si="9">IF($A3="","",IFERROR(SQRT(MAX(P3,0)),0))</f>
        <v>1.2862041003100251</v>
      </c>
      <c r="R3" s="8" t="str">
        <f t="shared" ref="R3:R66" si="10">IF(A3="","",IF(OR(G3&lt;5,H3=0),"Amostra Insuficiente",IF(_xlfn.CHISQ.DIST.RT(G3*P3/H3,G3-1)&lt;0.05,"Binomial Negativa","Poisson")))</f>
        <v>Poisson</v>
      </c>
      <c r="S3" s="10" cm="1">
        <f t="array" ref="S3">IF($A3="","",SUMPRODUCT((TRIM(tblDados[Mandante])=$A3)*tblDados[Primeira_Ocorrencia]*tblDados[GM_M]))</f>
        <v>13</v>
      </c>
      <c r="T3" s="10" cm="1">
        <f t="array" ref="T3">IF($A3="","",SUMPRODUCT((TRIM(tblDados[Visitante])=$A3)*tblDados[Primeira_Ocorrencia]*tblDados[GM_V]))</f>
        <v>21</v>
      </c>
      <c r="U3" s="10">
        <f t="shared" ref="U3:U66" si="11">IF($A3="","",S3+T3)</f>
        <v>34</v>
      </c>
      <c r="V3" s="10">
        <f t="shared" si="0"/>
        <v>1.8888888888888888</v>
      </c>
      <c r="W3" s="10" cm="1">
        <f t="array" ref="W3">IF($A3="","",SUMPRODUCT((TRIM(tblDados[Mandante])=$A3)*tblDados[Primeira_Ocorrencia]*tblDados[GS_M]))</f>
        <v>12</v>
      </c>
      <c r="X3" s="10" cm="1">
        <f t="array" ref="X3">IF($A3="","",SUMPRODUCT((TRIM(tblDados[Visitante])=$A3)*tblDados[Primeira_Ocorrencia]*tblDados[GS_V]))</f>
        <v>25</v>
      </c>
      <c r="Y3" s="10">
        <f t="shared" ref="Y3:Y66" si="12">IF($A3="","",W3+X3)</f>
        <v>37</v>
      </c>
      <c r="Z3" s="10">
        <f t="shared" si="1"/>
        <v>2.0555555555555554</v>
      </c>
      <c r="AA3" s="10">
        <f t="shared" si="2"/>
        <v>1.625</v>
      </c>
      <c r="AB3" s="10">
        <f t="shared" si="3"/>
        <v>1.5</v>
      </c>
      <c r="AC3" s="10">
        <f t="shared" si="4"/>
        <v>2.1</v>
      </c>
      <c r="AD3" s="10">
        <f t="shared" si="5"/>
        <v>2.5</v>
      </c>
    </row>
    <row r="4" spans="1:30" x14ac:dyDescent="0.3">
      <c r="A4" s="7" t="str">
        <v>Moreton City Excelsior</v>
      </c>
      <c r="B4" s="12" t="str" cm="1">
        <f t="array" ref="B4">IF($A4="","",_xlfn.LET(_xlpm.p,IFERROR(INDEX(tblDados[País],MATCH($A4,TRIM(tblDados[Mandante]),0)),INDEX(tblDados[País],MATCH($A4,TRIM(tblDados[Visitante]),0))),_xlpm.l,IFERROR(INDEX(tblDados[Liga],MATCH($A4,TRIM(tblDados[Mandante]),0)),INDEX(tblDados[Liga],MATCH($A4,TRIM(tblDados[Visitante]),0))),_xlpm.p&amp;" - "&amp;_xlpm.l))</f>
        <v>AUS - NPL Queensland</v>
      </c>
      <c r="C4" s="10">
        <f t="shared" si="6"/>
        <v>5</v>
      </c>
      <c r="D4" s="10">
        <f t="shared" si="7"/>
        <v>3.1111111111111107</v>
      </c>
      <c r="E4" s="9" cm="1">
        <f t="array" ref="E4">IF($A4="","",SUMPRODUCT((TRIM(tblDados[Mandante])=$A4)*tblDados[Primeira_Ocorrencia]))</f>
        <v>9</v>
      </c>
      <c r="F4" s="9" cm="1">
        <f t="array" ref="F4">IF($A4="","",SUMPRODUCT((TRIM(tblDados[Visitante])=$A4)*tblDados[Primeira_Ocorrencia]))</f>
        <v>9</v>
      </c>
      <c r="G4" s="9" cm="1">
        <f t="array" ref="G4">IF($A4="","",SUMPRODUCT((TRIM(tblDados[Mandante])=$A4)*tblDados[Primeira_Ocorrencia])+SUMPRODUCT((TRIM(tblDados[Visitante])=$A4)*tblDados[Primeira_Ocorrencia]))</f>
        <v>18</v>
      </c>
      <c r="H4" s="10">
        <f t="shared" si="8"/>
        <v>2.4444444444444446</v>
      </c>
      <c r="I4" s="10" cm="1">
        <f t="array" ref="I4">IF($A4="","",_xlfn.LET(_xlpm.p,IFERROR(INDEX(tblDados[País],MATCH($A4,TRIM(tblDados[Mandante]),0)),INDEX(tblDados[País],MATCH($A4,TRIM(tblDados[Visitante]),0))),_xlpm.l,IFERROR(INDEX(tblDados[Liga],MATCH($A4,TRIM(tblDados[Mandante]),0)),INDEX(tblDados[Liga],MATCH($A4,TRIM(tblDados[Visitante]),0))),IFERROR(SUMIFS(Ligas!$D$2:$D$39,Ligas!$H$2:$H$39,_xlpm.p,Ligas!$I$2:$I$39,_xlpm.l),0)))</f>
        <v>3.76</v>
      </c>
      <c r="J4" s="11" cm="1">
        <f t="array" ref="J4">IF($A4="","",IFERROR((SUMPRODUCT((TRIM(tblDados[Mandante])=$A4)*tblDados[Primeira_Ocorrencia]*(tblDados[GM_M]=0))+SUMPRODUCT((TRIM(tblDados[Visitante])=$A4)*tblDados[Primeira_Ocorrencia]*(tblDados[GM_V]=0)))/G4,0))</f>
        <v>0.22222222222222221</v>
      </c>
      <c r="K4" s="11" cm="1">
        <f t="array" ref="K4">IF($A4="","",IFERROR((SUMPRODUCT((TRIM(tblDados[Mandante])=$A4)*tblDados[Primeira_Ocorrencia]*((tblDados[GM_M]+tblDados[GS_M])&gt;0.5))+SUMPRODUCT((TRIM(tblDados[Visitante])=$A4)*tblDados[Primeira_Ocorrencia]*((tblDados[GM_V]+tblDados[GS_V])&gt;0.5)))/G4,0))</f>
        <v>0.94444444444444442</v>
      </c>
      <c r="L4" s="11" cm="1">
        <f t="array" ref="L4">IF($A4="","",IFERROR((SUMPRODUCT((TRIM(tblDados[Mandante])=$A4)*tblDados[Primeira_Ocorrencia]*((tblDados[GM_M]+tblDados[GS_M])&gt;1.5))+SUMPRODUCT((TRIM(tblDados[Visitante])=$A4)*tblDados[Primeira_Ocorrencia]*((tblDados[GM_V]+tblDados[GS_V])&gt;1.5)))/G4,0))</f>
        <v>0.88888888888888884</v>
      </c>
      <c r="M4" s="11" cm="1">
        <f t="array" ref="M4">IF($A4="","",IFERROR((SUMPRODUCT((TRIM(tblDados[Mandante])=$A4)*tblDados[Primeira_Ocorrencia]*((tblDados[GM_M]+tblDados[GS_M])&gt;2.5))+SUMPRODUCT((TRIM(tblDados[Visitante])=$A4)*tblDados[Primeira_Ocorrencia]*((tblDados[GM_V]+tblDados[GS_V])&gt;2.5)))/G4,0))</f>
        <v>0.77777777777777779</v>
      </c>
      <c r="N4" s="11" cm="1">
        <f t="array" ref="N4">IF($A4="","",IFERROR((SUMPRODUCT((TRIM(tblDados[Mandante])=$A4)*tblDados[Primeira_Ocorrencia]*((tblDados[GM_M]+tblDados[GS_M])&gt;3.5))+SUMPRODUCT((TRIM(tblDados[Visitante])=$A4)*tblDados[Primeira_Ocorrencia]*((tblDados[GM_V]+tblDados[GS_V])&gt;3.5)))/G4,0))</f>
        <v>0.55555555555555558</v>
      </c>
      <c r="O4" s="11" cm="1">
        <f t="array" ref="O4">IF($A4="","",IFERROR((SUMPRODUCT((TRIM(tblDados[Mandante])=$A4)*tblDados[Primeira_Ocorrencia]*(tblDados[GM_M]&gt;0)*(tblDados[GS_M]&gt;0))+SUMPRODUCT((TRIM(tblDados[Visitante])=$A4)*tblDados[Primeira_Ocorrencia]*(tblDados[GM_V]&gt;0)*(tblDados[GS_V]&gt;0)))/G4,0))</f>
        <v>0.55555555555555558</v>
      </c>
      <c r="P4" s="10" cm="1">
        <f t="array" ref="P4">IF($A4="","",IFERROR((SUMPRODUCT((TRIM(tblDados[Mandante])=$A4)*tblDados[Primeira_Ocorrencia]*tblDados[GM_M]^2)+SUMPRODUCT((TRIM(tblDados[Visitante])=$A4)*tblDados[Primeira_Ocorrencia]*tblDados[GM_V]^2))/G4-H4^2,0))</f>
        <v>3.4691358024691352</v>
      </c>
      <c r="Q4" s="10">
        <f t="shared" si="9"/>
        <v>1.8625616238044675</v>
      </c>
      <c r="R4" s="8" t="str">
        <f t="shared" si="10"/>
        <v>Poisson</v>
      </c>
      <c r="S4" s="10" cm="1">
        <f t="array" ref="S4">IF($A4="","",SUMPRODUCT((TRIM(tblDados[Mandante])=$A4)*tblDados[Primeira_Ocorrencia]*tblDados[GM_M]))</f>
        <v>28</v>
      </c>
      <c r="T4" s="10" cm="1">
        <f t="array" ref="T4">IF($A4="","",SUMPRODUCT((TRIM(tblDados[Visitante])=$A4)*tblDados[Primeira_Ocorrencia]*tblDados[GM_V]))</f>
        <v>16</v>
      </c>
      <c r="U4" s="10">
        <f t="shared" si="11"/>
        <v>44</v>
      </c>
      <c r="V4" s="10">
        <f t="shared" si="0"/>
        <v>2.4444444444444446</v>
      </c>
      <c r="W4" s="10" cm="1">
        <f t="array" ref="W4">IF($A4="","",SUMPRODUCT((TRIM(tblDados[Mandante])=$A4)*tblDados[Primeira_Ocorrencia]*tblDados[GS_M]))</f>
        <v>17</v>
      </c>
      <c r="X4" s="10" cm="1">
        <f t="array" ref="X4">IF($A4="","",SUMPRODUCT((TRIM(tblDados[Visitante])=$A4)*tblDados[Primeira_Ocorrencia]*tblDados[GS_V]))</f>
        <v>12</v>
      </c>
      <c r="Y4" s="10">
        <f t="shared" si="12"/>
        <v>29</v>
      </c>
      <c r="Z4" s="10">
        <f t="shared" si="1"/>
        <v>1.6111111111111112</v>
      </c>
      <c r="AA4" s="10">
        <f t="shared" si="2"/>
        <v>3.1111111111111112</v>
      </c>
      <c r="AB4" s="10">
        <f t="shared" si="3"/>
        <v>1.8888888888888888</v>
      </c>
      <c r="AC4" s="10">
        <f t="shared" si="4"/>
        <v>1.7777777777777777</v>
      </c>
      <c r="AD4" s="10">
        <f t="shared" si="5"/>
        <v>1.3333333333333333</v>
      </c>
    </row>
    <row r="5" spans="1:30" x14ac:dyDescent="0.3">
      <c r="A5" s="7" t="str">
        <v>Brisbane City</v>
      </c>
      <c r="B5" s="12" t="str" cm="1">
        <f t="array" ref="B5">IF($A5="","",_xlfn.LET(_xlpm.p,IFERROR(INDEX(tblDados[País],MATCH($A5,TRIM(tblDados[Mandante]),0)),INDEX(tblDados[País],MATCH($A5,TRIM(tblDados[Visitante]),0))),_xlpm.l,IFERROR(INDEX(tblDados[Liga],MATCH($A5,TRIM(tblDados[Mandante]),0)),INDEX(tblDados[Liga],MATCH($A5,TRIM(tblDados[Visitante]),0))),_xlpm.p&amp;" - "&amp;_xlpm.l))</f>
        <v>AUS - NPL Queensland</v>
      </c>
      <c r="C5" s="10">
        <f t="shared" si="6"/>
        <v>4.5</v>
      </c>
      <c r="D5" s="10">
        <f t="shared" si="7"/>
        <v>4.6666666666666661</v>
      </c>
      <c r="E5" s="9" cm="1">
        <f t="array" ref="E5">IF($A5="","",SUMPRODUCT((TRIM(tblDados[Mandante])=$A5)*tblDados[Primeira_Ocorrencia]))</f>
        <v>8</v>
      </c>
      <c r="F5" s="9" cm="1">
        <f t="array" ref="F5">IF($A5="","",SUMPRODUCT((TRIM(tblDados[Visitante])=$A5)*tblDados[Primeira_Ocorrencia]))</f>
        <v>9</v>
      </c>
      <c r="G5" s="9" cm="1">
        <f t="array" ref="G5">IF($A5="","",SUMPRODUCT((TRIM(tblDados[Mandante])=$A5)*tblDados[Primeira_Ocorrencia])+SUMPRODUCT((TRIM(tblDados[Visitante])=$A5)*tblDados[Primeira_Ocorrencia]))</f>
        <v>17</v>
      </c>
      <c r="H5" s="10">
        <f t="shared" si="8"/>
        <v>2.2352941176470589</v>
      </c>
      <c r="I5" s="10" cm="1">
        <f t="array" ref="I5">IF($A5="","",_xlfn.LET(_xlpm.p,IFERROR(INDEX(tblDados[País],MATCH($A5,TRIM(tblDados[Mandante]),0)),INDEX(tblDados[País],MATCH($A5,TRIM(tblDados[Visitante]),0))),_xlpm.l,IFERROR(INDEX(tblDados[Liga],MATCH($A5,TRIM(tblDados[Mandante]),0)),INDEX(tblDados[Liga],MATCH($A5,TRIM(tblDados[Visitante]),0))),IFERROR(SUMIFS(Ligas!$D$2:$D$39,Ligas!$H$2:$H$39,_xlpm.p,Ligas!$I$2:$I$39,_xlpm.l),0)))</f>
        <v>3.76</v>
      </c>
      <c r="J5" s="11" cm="1">
        <f t="array" ref="J5">IF($A5="","",IFERROR((SUMPRODUCT((TRIM(tblDados[Mandante])=$A5)*tblDados[Primeira_Ocorrencia]*(tblDados[GM_M]=0))+SUMPRODUCT((TRIM(tblDados[Visitante])=$A5)*tblDados[Primeira_Ocorrencia]*(tblDados[GM_V]=0)))/G5,0))</f>
        <v>0.11764705882352941</v>
      </c>
      <c r="K5" s="11" cm="1">
        <f t="array" ref="K5">IF($A5="","",IFERROR((SUMPRODUCT((TRIM(tblDados[Mandante])=$A5)*tblDados[Primeira_Ocorrencia]*((tblDados[GM_M]+tblDados[GS_M])&gt;0.5))+SUMPRODUCT((TRIM(tblDados[Visitante])=$A5)*tblDados[Primeira_Ocorrencia]*((tblDados[GM_V]+tblDados[GS_V])&gt;0.5)))/G5,0))</f>
        <v>0.94117647058823528</v>
      </c>
      <c r="L5" s="11" cm="1">
        <f t="array" ref="L5">IF($A5="","",IFERROR((SUMPRODUCT((TRIM(tblDados[Mandante])=$A5)*tblDados[Primeira_Ocorrencia]*((tblDados[GM_M]+tblDados[GS_M])&gt;1.5))+SUMPRODUCT((TRIM(tblDados[Visitante])=$A5)*tblDados[Primeira_Ocorrencia]*((tblDados[GM_V]+tblDados[GS_V])&gt;1.5)))/G5,0))</f>
        <v>0.94117647058823528</v>
      </c>
      <c r="M5" s="11" cm="1">
        <f t="array" ref="M5">IF($A5="","",IFERROR((SUMPRODUCT((TRIM(tblDados[Mandante])=$A5)*tblDados[Primeira_Ocorrencia]*((tblDados[GM_M]+tblDados[GS_M])&gt;2.5))+SUMPRODUCT((TRIM(tblDados[Visitante])=$A5)*tblDados[Primeira_Ocorrencia]*((tblDados[GM_V]+tblDados[GS_V])&gt;2.5)))/G5,0))</f>
        <v>0.82352941176470584</v>
      </c>
      <c r="N5" s="11" cm="1">
        <f t="array" ref="N5">IF($A5="","",IFERROR((SUMPRODUCT((TRIM(tblDados[Mandante])=$A5)*tblDados[Primeira_Ocorrencia]*((tblDados[GM_M]+tblDados[GS_M])&gt;3.5))+SUMPRODUCT((TRIM(tblDados[Visitante])=$A5)*tblDados[Primeira_Ocorrencia]*((tblDados[GM_V]+tblDados[GS_V])&gt;3.5)))/G5,0))</f>
        <v>0.76470588235294112</v>
      </c>
      <c r="O5" s="11" cm="1">
        <f t="array" ref="O5">IF($A5="","",IFERROR((SUMPRODUCT((TRIM(tblDados[Mandante])=$A5)*tblDados[Primeira_Ocorrencia]*(tblDados[GM_M]&gt;0)*(tblDados[GS_M]&gt;0))+SUMPRODUCT((TRIM(tblDados[Visitante])=$A5)*tblDados[Primeira_Ocorrencia]*(tblDados[GM_V]&gt;0)*(tblDados[GS_V]&gt;0)))/G5,0))</f>
        <v>0.76470588235294112</v>
      </c>
      <c r="P5" s="10" cm="1">
        <f t="array" ref="P5">IF($A5="","",IFERROR((SUMPRODUCT((TRIM(tblDados[Mandante])=$A5)*tblDados[Primeira_Ocorrencia]*tblDados[GM_M]^2)+SUMPRODUCT((TRIM(tblDados[Visitante])=$A5)*tblDados[Primeira_Ocorrencia]*tblDados[GM_V]^2))/G5-H5^2,0))</f>
        <v>2.0622837370242211</v>
      </c>
      <c r="Q5" s="10">
        <f t="shared" si="9"/>
        <v>1.4360653665569061</v>
      </c>
      <c r="R5" s="8" t="str">
        <f t="shared" si="10"/>
        <v>Poisson</v>
      </c>
      <c r="S5" s="10" cm="1">
        <f t="array" ref="S5">IF($A5="","",SUMPRODUCT((TRIM(tblDados[Mandante])=$A5)*tblDados[Primeira_Ocorrencia]*tblDados[GM_M]))</f>
        <v>15</v>
      </c>
      <c r="T5" s="10" cm="1">
        <f t="array" ref="T5">IF($A5="","",SUMPRODUCT((TRIM(tblDados[Visitante])=$A5)*tblDados[Primeira_Ocorrencia]*tblDados[GM_V]))</f>
        <v>23</v>
      </c>
      <c r="U5" s="10">
        <f t="shared" si="11"/>
        <v>38</v>
      </c>
      <c r="V5" s="10">
        <f t="shared" si="0"/>
        <v>2.2352941176470589</v>
      </c>
      <c r="W5" s="10" cm="1">
        <f t="array" ref="W5">IF($A5="","",SUMPRODUCT((TRIM(tblDados[Mandante])=$A5)*tblDados[Primeira_Ocorrencia]*tblDados[GS_M]))</f>
        <v>21</v>
      </c>
      <c r="X5" s="10" cm="1">
        <f t="array" ref="X5">IF($A5="","",SUMPRODUCT((TRIM(tblDados[Visitante])=$A5)*tblDados[Primeira_Ocorrencia]*tblDados[GS_V]))</f>
        <v>19</v>
      </c>
      <c r="Y5" s="10">
        <f t="shared" si="12"/>
        <v>40</v>
      </c>
      <c r="Z5" s="10">
        <f t="shared" si="1"/>
        <v>2.3529411764705883</v>
      </c>
      <c r="AA5" s="10">
        <f t="shared" si="2"/>
        <v>1.875</v>
      </c>
      <c r="AB5" s="10">
        <f t="shared" si="3"/>
        <v>2.625</v>
      </c>
      <c r="AC5" s="10">
        <f t="shared" si="4"/>
        <v>2.5555555555555554</v>
      </c>
      <c r="AD5" s="10">
        <f t="shared" si="5"/>
        <v>2.1111111111111112</v>
      </c>
    </row>
    <row r="6" spans="1:30" x14ac:dyDescent="0.3">
      <c r="A6" s="7" t="str">
        <v>Gold Coast Utd</v>
      </c>
      <c r="B6" s="12" t="str" cm="1">
        <f t="array" ref="B6">IF($A6="","",_xlfn.LET(_xlpm.p,IFERROR(INDEX(tblDados[País],MATCH($A6,TRIM(tblDados[Mandante]),0)),INDEX(tblDados[País],MATCH($A6,TRIM(tblDados[Visitante]),0))),_xlpm.l,IFERROR(INDEX(tblDados[Liga],MATCH($A6,TRIM(tblDados[Mandante]),0)),INDEX(tblDados[Liga],MATCH($A6,TRIM(tblDados[Visitante]),0))),_xlpm.p&amp;" - "&amp;_xlpm.l))</f>
        <v>AUS - NPL Queensland</v>
      </c>
      <c r="C6" s="10">
        <f t="shared" si="6"/>
        <v>2.8</v>
      </c>
      <c r="D6" s="10">
        <f t="shared" si="7"/>
        <v>2.7142857142857144</v>
      </c>
      <c r="E6" s="9" cm="1">
        <f t="array" ref="E6">IF($A6="","",SUMPRODUCT((TRIM(tblDados[Mandante])=$A6)*tblDados[Primeira_Ocorrencia]))</f>
        <v>10</v>
      </c>
      <c r="F6" s="9" cm="1">
        <f t="array" ref="F6">IF($A6="","",SUMPRODUCT((TRIM(tblDados[Visitante])=$A6)*tblDados[Primeira_Ocorrencia]))</f>
        <v>7</v>
      </c>
      <c r="G6" s="9" cm="1">
        <f t="array" ref="G6">IF($A6="","",SUMPRODUCT((TRIM(tblDados[Mandante])=$A6)*tblDados[Primeira_Ocorrencia])+SUMPRODUCT((TRIM(tblDados[Visitante])=$A6)*tblDados[Primeira_Ocorrencia]))</f>
        <v>17</v>
      </c>
      <c r="H6" s="10">
        <f t="shared" si="8"/>
        <v>1</v>
      </c>
      <c r="I6" s="10" cm="1">
        <f t="array" ref="I6">IF($A6="","",_xlfn.LET(_xlpm.p,IFERROR(INDEX(tblDados[País],MATCH($A6,TRIM(tblDados[Mandante]),0)),INDEX(tblDados[País],MATCH($A6,TRIM(tblDados[Visitante]),0))),_xlpm.l,IFERROR(INDEX(tblDados[Liga],MATCH($A6,TRIM(tblDados[Mandante]),0)),INDEX(tblDados[Liga],MATCH($A6,TRIM(tblDados[Visitante]),0))),IFERROR(SUMIFS(Ligas!$D$2:$D$39,Ligas!$H$2:$H$39,_xlpm.p,Ligas!$I$2:$I$39,_xlpm.l),0)))</f>
        <v>3.76</v>
      </c>
      <c r="J6" s="11" cm="1">
        <f t="array" ref="J6">IF($A6="","",IFERROR((SUMPRODUCT((TRIM(tblDados[Mandante])=$A6)*tblDados[Primeira_Ocorrencia]*(tblDados[GM_M]=0))+SUMPRODUCT((TRIM(tblDados[Visitante])=$A6)*tblDados[Primeira_Ocorrencia]*(tblDados[GM_V]=0)))/G6,0))</f>
        <v>0.35294117647058826</v>
      </c>
      <c r="K6" s="11" cm="1">
        <f t="array" ref="K6">IF($A6="","",IFERROR((SUMPRODUCT((TRIM(tblDados[Mandante])=$A6)*tblDados[Primeira_Ocorrencia]*((tblDados[GM_M]+tblDados[GS_M])&gt;0.5))+SUMPRODUCT((TRIM(tblDados[Visitante])=$A6)*tblDados[Primeira_Ocorrencia]*((tblDados[GM_V]+tblDados[GS_V])&gt;0.5)))/G6,0))</f>
        <v>1</v>
      </c>
      <c r="L6" s="11" cm="1">
        <f t="array" ref="L6">IF($A6="","",IFERROR((SUMPRODUCT((TRIM(tblDados[Mandante])=$A6)*tblDados[Primeira_Ocorrencia]*((tblDados[GM_M]+tblDados[GS_M])&gt;1.5))+SUMPRODUCT((TRIM(tblDados[Visitante])=$A6)*tblDados[Primeira_Ocorrencia]*((tblDados[GM_V]+tblDados[GS_V])&gt;1.5)))/G6,0))</f>
        <v>0.76470588235294112</v>
      </c>
      <c r="M6" s="11" cm="1">
        <f t="array" ref="M6">IF($A6="","",IFERROR((SUMPRODUCT((TRIM(tblDados[Mandante])=$A6)*tblDados[Primeira_Ocorrencia]*((tblDados[GM_M]+tblDados[GS_M])&gt;2.5))+SUMPRODUCT((TRIM(tblDados[Visitante])=$A6)*tblDados[Primeira_Ocorrencia]*((tblDados[GM_V]+tblDados[GS_V])&gt;2.5)))/G6,0))</f>
        <v>0.52941176470588236</v>
      </c>
      <c r="N6" s="11" cm="1">
        <f t="array" ref="N6">IF($A6="","",IFERROR((SUMPRODUCT((TRIM(tblDados[Mandante])=$A6)*tblDados[Primeira_Ocorrencia]*((tblDados[GM_M]+tblDados[GS_M])&gt;3.5))+SUMPRODUCT((TRIM(tblDados[Visitante])=$A6)*tblDados[Primeira_Ocorrencia]*((tblDados[GM_V]+tblDados[GS_V])&gt;3.5)))/G6,0))</f>
        <v>0.29411764705882354</v>
      </c>
      <c r="O6" s="11" cm="1">
        <f t="array" ref="O6">IF($A6="","",IFERROR((SUMPRODUCT((TRIM(tblDados[Mandante])=$A6)*tblDados[Primeira_Ocorrencia]*(tblDados[GM_M]&gt;0)*(tblDados[GS_M]&gt;0))+SUMPRODUCT((TRIM(tblDados[Visitante])=$A6)*tblDados[Primeira_Ocorrencia]*(tblDados[GM_V]&gt;0)*(tblDados[GS_V]&gt;0)))/G6,0))</f>
        <v>0.47058823529411764</v>
      </c>
      <c r="P6" s="10" cm="1">
        <f t="array" ref="P6">IF($A6="","",IFERROR((SUMPRODUCT((TRIM(tblDados[Mandante])=$A6)*tblDados[Primeira_Ocorrencia]*tblDados[GM_M]^2)+SUMPRODUCT((TRIM(tblDados[Visitante])=$A6)*tblDados[Primeira_Ocorrencia]*tblDados[GM_V]^2))/G6-H6^2,0))</f>
        <v>1.1764705882352939</v>
      </c>
      <c r="Q6" s="10">
        <f t="shared" si="9"/>
        <v>1.0846522890932808</v>
      </c>
      <c r="R6" s="8" t="str">
        <f t="shared" si="10"/>
        <v>Poisson</v>
      </c>
      <c r="S6" s="10" cm="1">
        <f t="array" ref="S6">IF($A6="","",SUMPRODUCT((TRIM(tblDados[Mandante])=$A6)*tblDados[Primeira_Ocorrencia]*tblDados[GM_M]))</f>
        <v>11</v>
      </c>
      <c r="T6" s="10" cm="1">
        <f t="array" ref="T6">IF($A6="","",SUMPRODUCT((TRIM(tblDados[Visitante])=$A6)*tblDados[Primeira_Ocorrencia]*tblDados[GM_V]))</f>
        <v>6</v>
      </c>
      <c r="U6" s="10">
        <f t="shared" si="11"/>
        <v>17</v>
      </c>
      <c r="V6" s="10">
        <f t="shared" si="0"/>
        <v>1</v>
      </c>
      <c r="W6" s="10" cm="1">
        <f t="array" ref="W6">IF($A6="","",SUMPRODUCT((TRIM(tblDados[Mandante])=$A6)*tblDados[Primeira_Ocorrencia]*tblDados[GS_M]))</f>
        <v>17</v>
      </c>
      <c r="X6" s="10" cm="1">
        <f t="array" ref="X6">IF($A6="","",SUMPRODUCT((TRIM(tblDados[Visitante])=$A6)*tblDados[Primeira_Ocorrencia]*tblDados[GS_V]))</f>
        <v>13</v>
      </c>
      <c r="Y6" s="10">
        <f t="shared" si="12"/>
        <v>30</v>
      </c>
      <c r="Z6" s="10">
        <f t="shared" si="1"/>
        <v>1.7647058823529411</v>
      </c>
      <c r="AA6" s="10">
        <f t="shared" si="2"/>
        <v>1.1000000000000001</v>
      </c>
      <c r="AB6" s="10">
        <f t="shared" si="3"/>
        <v>1.7</v>
      </c>
      <c r="AC6" s="10">
        <f t="shared" si="4"/>
        <v>0.8571428571428571</v>
      </c>
      <c r="AD6" s="10">
        <f t="shared" si="5"/>
        <v>1.8571428571428572</v>
      </c>
    </row>
    <row r="7" spans="1:30" x14ac:dyDescent="0.3">
      <c r="A7" s="7" t="str">
        <v>Rochedale Rovers</v>
      </c>
      <c r="B7" s="12" t="str" cm="1">
        <f t="array" ref="B7">IF($A7="","",_xlfn.LET(_xlpm.p,IFERROR(INDEX(tblDados[País],MATCH($A7,TRIM(tblDados[Mandante]),0)),INDEX(tblDados[País],MATCH($A7,TRIM(tblDados[Visitante]),0))),_xlpm.l,IFERROR(INDEX(tblDados[Liga],MATCH($A7,TRIM(tblDados[Mandante]),0)),INDEX(tblDados[Liga],MATCH($A7,TRIM(tblDados[Visitante]),0))),_xlpm.p&amp;" - "&amp;_xlpm.l))</f>
        <v>AUS - NPL Queensland</v>
      </c>
      <c r="C7" s="10">
        <f t="shared" si="6"/>
        <v>4.125</v>
      </c>
      <c r="D7" s="10">
        <f t="shared" si="7"/>
        <v>3.8888888888888888</v>
      </c>
      <c r="E7" s="9" cm="1">
        <f t="array" ref="E7">IF($A7="","",SUMPRODUCT((TRIM(tblDados[Mandante])=$A7)*tblDados[Primeira_Ocorrencia]))</f>
        <v>8</v>
      </c>
      <c r="F7" s="9" cm="1">
        <f t="array" ref="F7">IF($A7="","",SUMPRODUCT((TRIM(tblDados[Visitante])=$A7)*tblDados[Primeira_Ocorrencia]))</f>
        <v>9</v>
      </c>
      <c r="G7" s="9" cm="1">
        <f t="array" ref="G7">IF($A7="","",SUMPRODUCT((TRIM(tblDados[Mandante])=$A7)*tblDados[Primeira_Ocorrencia])+SUMPRODUCT((TRIM(tblDados[Visitante])=$A7)*tblDados[Primeira_Ocorrencia]))</f>
        <v>17</v>
      </c>
      <c r="H7" s="10">
        <f t="shared" si="8"/>
        <v>1.5294117647058822</v>
      </c>
      <c r="I7" s="10" cm="1">
        <f t="array" ref="I7">IF($A7="","",_xlfn.LET(_xlpm.p,IFERROR(INDEX(tblDados[País],MATCH($A7,TRIM(tblDados[Mandante]),0)),INDEX(tblDados[País],MATCH($A7,TRIM(tblDados[Visitante]),0))),_xlpm.l,IFERROR(INDEX(tblDados[Liga],MATCH($A7,TRIM(tblDados[Mandante]),0)),INDEX(tblDados[Liga],MATCH($A7,TRIM(tblDados[Visitante]),0))),IFERROR(SUMIFS(Ligas!$D$2:$D$39,Ligas!$H$2:$H$39,_xlpm.p,Ligas!$I$2:$I$39,_xlpm.l),0)))</f>
        <v>3.76</v>
      </c>
      <c r="J7" s="11" cm="1">
        <f t="array" ref="J7">IF($A7="","",IFERROR((SUMPRODUCT((TRIM(tblDados[Mandante])=$A7)*tblDados[Primeira_Ocorrencia]*(tblDados[GM_M]=0))+SUMPRODUCT((TRIM(tblDados[Visitante])=$A7)*tblDados[Primeira_Ocorrencia]*(tblDados[GM_V]=0)))/G7,0))</f>
        <v>0.17647058823529413</v>
      </c>
      <c r="K7" s="11" cm="1">
        <f t="array" ref="K7">IF($A7="","",IFERROR((SUMPRODUCT((TRIM(tblDados[Mandante])=$A7)*tblDados[Primeira_Ocorrencia]*((tblDados[GM_M]+tblDados[GS_M])&gt;0.5))+SUMPRODUCT((TRIM(tblDados[Visitante])=$A7)*tblDados[Primeira_Ocorrencia]*((tblDados[GM_V]+tblDados[GS_V])&gt;0.5)))/G7,0))</f>
        <v>1</v>
      </c>
      <c r="L7" s="11" cm="1">
        <f t="array" ref="L7">IF($A7="","",IFERROR((SUMPRODUCT((TRIM(tblDados[Mandante])=$A7)*tblDados[Primeira_Ocorrencia]*((tblDados[GM_M]+tblDados[GS_M])&gt;1.5))+SUMPRODUCT((TRIM(tblDados[Visitante])=$A7)*tblDados[Primeira_Ocorrencia]*((tblDados[GM_V]+tblDados[GS_V])&gt;1.5)))/G7,0))</f>
        <v>1</v>
      </c>
      <c r="M7" s="11" cm="1">
        <f t="array" ref="M7">IF($A7="","",IFERROR((SUMPRODUCT((TRIM(tblDados[Mandante])=$A7)*tblDados[Primeira_Ocorrencia]*((tblDados[GM_M]+tblDados[GS_M])&gt;2.5))+SUMPRODUCT((TRIM(tblDados[Visitante])=$A7)*tblDados[Primeira_Ocorrencia]*((tblDados[GM_V]+tblDados[GS_V])&gt;2.5)))/G7,0))</f>
        <v>0.82352941176470584</v>
      </c>
      <c r="N7" s="11" cm="1">
        <f t="array" ref="N7">IF($A7="","",IFERROR((SUMPRODUCT((TRIM(tblDados[Mandante])=$A7)*tblDados[Primeira_Ocorrencia]*((tblDados[GM_M]+tblDados[GS_M])&gt;3.5))+SUMPRODUCT((TRIM(tblDados[Visitante])=$A7)*tblDados[Primeira_Ocorrencia]*((tblDados[GM_V]+tblDados[GS_V])&gt;3.5)))/G7,0))</f>
        <v>0.6470588235294118</v>
      </c>
      <c r="O7" s="11" cm="1">
        <f t="array" ref="O7">IF($A7="","",IFERROR((SUMPRODUCT((TRIM(tblDados[Mandante])=$A7)*tblDados[Primeira_Ocorrencia]*(tblDados[GM_M]&gt;0)*(tblDados[GS_M]&gt;0))+SUMPRODUCT((TRIM(tblDados[Visitante])=$A7)*tblDados[Primeira_Ocorrencia]*(tblDados[GM_V]&gt;0)*(tblDados[GS_V]&gt;0)))/G7,0))</f>
        <v>0.76470588235294112</v>
      </c>
      <c r="P7" s="10" cm="1">
        <f t="array" ref="P7">IF($A7="","",IFERROR((SUMPRODUCT((TRIM(tblDados[Mandante])=$A7)*tblDados[Primeira_Ocorrencia]*tblDados[GM_M]^2)+SUMPRODUCT((TRIM(tblDados[Visitante])=$A7)*tblDados[Primeira_Ocorrencia]*tblDados[GM_V]^2))/G7-H7^2,0))</f>
        <v>1.42560553633218</v>
      </c>
      <c r="Q7" s="10">
        <f t="shared" si="9"/>
        <v>1.193987242952026</v>
      </c>
      <c r="R7" s="8" t="str">
        <f t="shared" si="10"/>
        <v>Poisson</v>
      </c>
      <c r="S7" s="10" cm="1">
        <f t="array" ref="S7">IF($A7="","",SUMPRODUCT((TRIM(tblDados[Mandante])=$A7)*tblDados[Primeira_Ocorrencia]*tblDados[GM_M]))</f>
        <v>17</v>
      </c>
      <c r="T7" s="10" cm="1">
        <f t="array" ref="T7">IF($A7="","",SUMPRODUCT((TRIM(tblDados[Visitante])=$A7)*tblDados[Primeira_Ocorrencia]*tblDados[GM_V]))</f>
        <v>9</v>
      </c>
      <c r="U7" s="10">
        <f t="shared" si="11"/>
        <v>26</v>
      </c>
      <c r="V7" s="10">
        <f t="shared" si="0"/>
        <v>1.5294117647058822</v>
      </c>
      <c r="W7" s="10" cm="1">
        <f t="array" ref="W7">IF($A7="","",SUMPRODUCT((TRIM(tblDados[Mandante])=$A7)*tblDados[Primeira_Ocorrencia]*tblDados[GS_M]))</f>
        <v>16</v>
      </c>
      <c r="X7" s="10" cm="1">
        <f t="array" ref="X7">IF($A7="","",SUMPRODUCT((TRIM(tblDados[Visitante])=$A7)*tblDados[Primeira_Ocorrencia]*tblDados[GS_V]))</f>
        <v>26</v>
      </c>
      <c r="Y7" s="10">
        <f t="shared" si="12"/>
        <v>42</v>
      </c>
      <c r="Z7" s="10">
        <f t="shared" si="1"/>
        <v>2.4705882352941178</v>
      </c>
      <c r="AA7" s="10">
        <f t="shared" si="2"/>
        <v>2.125</v>
      </c>
      <c r="AB7" s="10">
        <f t="shared" si="3"/>
        <v>2</v>
      </c>
      <c r="AC7" s="10">
        <f t="shared" si="4"/>
        <v>1</v>
      </c>
      <c r="AD7" s="10">
        <f t="shared" si="5"/>
        <v>2.8888888888888888</v>
      </c>
    </row>
    <row r="8" spans="1:30" x14ac:dyDescent="0.3">
      <c r="A8" s="7" t="str">
        <v>Gold Coast Knights</v>
      </c>
      <c r="B8" s="12" t="str" cm="1">
        <f t="array" ref="B8">IF($A8="","",_xlfn.LET(_xlpm.p,IFERROR(INDEX(tblDados[País],MATCH($A8,TRIM(tblDados[Mandante]),0)),INDEX(tblDados[País],MATCH($A8,TRIM(tblDados[Visitante]),0))),_xlpm.l,IFERROR(INDEX(tblDados[Liga],MATCH($A8,TRIM(tblDados[Mandante]),0)),INDEX(tblDados[Liga],MATCH($A8,TRIM(tblDados[Visitante]),0))),_xlpm.p&amp;" - "&amp;_xlpm.l))</f>
        <v>AUS - NPL Queensland</v>
      </c>
      <c r="C8" s="10">
        <f t="shared" si="6"/>
        <v>3.3</v>
      </c>
      <c r="D8" s="10">
        <f t="shared" si="7"/>
        <v>3.8333333333333335</v>
      </c>
      <c r="E8" s="9" cm="1">
        <f t="array" ref="E8">IF($A8="","",SUMPRODUCT((TRIM(tblDados[Mandante])=$A8)*tblDados[Primeira_Ocorrencia]))</f>
        <v>10</v>
      </c>
      <c r="F8" s="9" cm="1">
        <f t="array" ref="F8">IF($A8="","",SUMPRODUCT((TRIM(tblDados[Visitante])=$A8)*tblDados[Primeira_Ocorrencia]))</f>
        <v>6</v>
      </c>
      <c r="G8" s="9" cm="1">
        <f t="array" ref="G8">IF($A8="","",SUMPRODUCT((TRIM(tblDados[Mandante])=$A8)*tblDados[Primeira_Ocorrencia])+SUMPRODUCT((TRIM(tblDados[Visitante])=$A8)*tblDados[Primeira_Ocorrencia]))</f>
        <v>16</v>
      </c>
      <c r="H8" s="10">
        <f t="shared" si="8"/>
        <v>2.1875</v>
      </c>
      <c r="I8" s="10" cm="1">
        <f t="array" ref="I8">IF($A8="","",_xlfn.LET(_xlpm.p,IFERROR(INDEX(tblDados[País],MATCH($A8,TRIM(tblDados[Mandante]),0)),INDEX(tblDados[País],MATCH($A8,TRIM(tblDados[Visitante]),0))),_xlpm.l,IFERROR(INDEX(tblDados[Liga],MATCH($A8,TRIM(tblDados[Mandante]),0)),INDEX(tblDados[Liga],MATCH($A8,TRIM(tblDados[Visitante]),0))),IFERROR(SUMIFS(Ligas!$D$2:$D$39,Ligas!$H$2:$H$39,_xlpm.p,Ligas!$I$2:$I$39,_xlpm.l),0)))</f>
        <v>3.76</v>
      </c>
      <c r="J8" s="11" cm="1">
        <f t="array" ref="J8">IF($A8="","",IFERROR((SUMPRODUCT((TRIM(tblDados[Mandante])=$A8)*tblDados[Primeira_Ocorrencia]*(tblDados[GM_M]=0))+SUMPRODUCT((TRIM(tblDados[Visitante])=$A8)*tblDados[Primeira_Ocorrencia]*(tblDados[GM_V]=0)))/G8,0))</f>
        <v>0.1875</v>
      </c>
      <c r="K8" s="11" cm="1">
        <f t="array" ref="K8">IF($A8="","",IFERROR((SUMPRODUCT((TRIM(tblDados[Mandante])=$A8)*tblDados[Primeira_Ocorrencia]*((tblDados[GM_M]+tblDados[GS_M])&gt;0.5))+SUMPRODUCT((TRIM(tblDados[Visitante])=$A8)*tblDados[Primeira_Ocorrencia]*((tblDados[GM_V]+tblDados[GS_V])&gt;0.5)))/G8,0))</f>
        <v>0.9375</v>
      </c>
      <c r="L8" s="11" cm="1">
        <f t="array" ref="L8">IF($A8="","",IFERROR((SUMPRODUCT((TRIM(tblDados[Mandante])=$A8)*tblDados[Primeira_Ocorrencia]*((tblDados[GM_M]+tblDados[GS_M])&gt;1.5))+SUMPRODUCT((TRIM(tblDados[Visitante])=$A8)*tblDados[Primeira_Ocorrencia]*((tblDados[GM_V]+tblDados[GS_V])&gt;1.5)))/G8,0))</f>
        <v>0.8125</v>
      </c>
      <c r="M8" s="11" cm="1">
        <f t="array" ref="M8">IF($A8="","",IFERROR((SUMPRODUCT((TRIM(tblDados[Mandante])=$A8)*tblDados[Primeira_Ocorrencia]*((tblDados[GM_M]+tblDados[GS_M])&gt;2.5))+SUMPRODUCT((TRIM(tblDados[Visitante])=$A8)*tblDados[Primeira_Ocorrencia]*((tblDados[GM_V]+tblDados[GS_V])&gt;2.5)))/G8,0))</f>
        <v>0.6875</v>
      </c>
      <c r="N8" s="11" cm="1">
        <f t="array" ref="N8">IF($A8="","",IFERROR((SUMPRODUCT((TRIM(tblDados[Mandante])=$A8)*tblDados[Primeira_Ocorrencia]*((tblDados[GM_M]+tblDados[GS_M])&gt;3.5))+SUMPRODUCT((TRIM(tblDados[Visitante])=$A8)*tblDados[Primeira_Ocorrencia]*((tblDados[GM_V]+tblDados[GS_V])&gt;3.5)))/G8,0))</f>
        <v>0.375</v>
      </c>
      <c r="O8" s="11" cm="1">
        <f t="array" ref="O8">IF($A8="","",IFERROR((SUMPRODUCT((TRIM(tblDados[Mandante])=$A8)*tblDados[Primeira_Ocorrencia]*(tblDados[GM_M]&gt;0)*(tblDados[GS_M]&gt;0))+SUMPRODUCT((TRIM(tblDados[Visitante])=$A8)*tblDados[Primeira_Ocorrencia]*(tblDados[GM_V]&gt;0)*(tblDados[GS_V]&gt;0)))/G8,0))</f>
        <v>0.75</v>
      </c>
      <c r="P8" s="10" cm="1">
        <f t="array" ref="P8">IF($A8="","",IFERROR((SUMPRODUCT((TRIM(tblDados[Mandante])=$A8)*tblDados[Primeira_Ocorrencia]*tblDados[GM_M]^2)+SUMPRODUCT((TRIM(tblDados[Visitante])=$A8)*tblDados[Primeira_Ocorrencia]*tblDados[GM_V]^2))/G8-H8^2,0))</f>
        <v>3.65234375</v>
      </c>
      <c r="Q8" s="10">
        <f t="shared" si="9"/>
        <v>1.911110606427582</v>
      </c>
      <c r="R8" s="8" t="str">
        <f t="shared" si="10"/>
        <v>Binomial Negativa</v>
      </c>
      <c r="S8" s="10" cm="1">
        <f t="array" ref="S8">IF($A8="","",SUMPRODUCT((TRIM(tblDados[Mandante])=$A8)*tblDados[Primeira_Ocorrencia]*tblDados[GM_M]))</f>
        <v>21</v>
      </c>
      <c r="T8" s="10" cm="1">
        <f t="array" ref="T8">IF($A8="","",SUMPRODUCT((TRIM(tblDados[Visitante])=$A8)*tblDados[Primeira_Ocorrencia]*tblDados[GM_V]))</f>
        <v>14</v>
      </c>
      <c r="U8" s="10">
        <f t="shared" si="11"/>
        <v>35</v>
      </c>
      <c r="V8" s="10">
        <f t="shared" si="0"/>
        <v>2.1875</v>
      </c>
      <c r="W8" s="10" cm="1">
        <f t="array" ref="W8">IF($A8="","",SUMPRODUCT((TRIM(tblDados[Mandante])=$A8)*tblDados[Primeira_Ocorrencia]*tblDados[GS_M]))</f>
        <v>12</v>
      </c>
      <c r="X8" s="10" cm="1">
        <f t="array" ref="X8">IF($A8="","",SUMPRODUCT((TRIM(tblDados[Visitante])=$A8)*tblDados[Primeira_Ocorrencia]*tblDados[GS_V]))</f>
        <v>9</v>
      </c>
      <c r="Y8" s="10">
        <f t="shared" si="12"/>
        <v>21</v>
      </c>
      <c r="Z8" s="10">
        <f t="shared" si="1"/>
        <v>1.3125</v>
      </c>
      <c r="AA8" s="10">
        <f t="shared" si="2"/>
        <v>2.1</v>
      </c>
      <c r="AB8" s="10">
        <f t="shared" si="3"/>
        <v>1.2</v>
      </c>
      <c r="AC8" s="10">
        <f t="shared" si="4"/>
        <v>2.3333333333333335</v>
      </c>
      <c r="AD8" s="10">
        <f t="shared" si="5"/>
        <v>1.5</v>
      </c>
    </row>
    <row r="9" spans="1:30" x14ac:dyDescent="0.3">
      <c r="A9" s="7" t="str">
        <v>Inter Turku 2</v>
      </c>
      <c r="B9" s="12" t="str" cm="1">
        <f t="array" ref="B9">IF($A9="","",_xlfn.LET(_xlpm.p,IFERROR(INDEX(tblDados[País],MATCH($A9,TRIM(tblDados[Mandante]),0)),INDEX(tblDados[País],MATCH($A9,TRIM(tblDados[Visitante]),0))),_xlpm.l,IFERROR(INDEX(tblDados[Liga],MATCH($A9,TRIM(tblDados[Mandante]),0)),INDEX(tblDados[Liga],MATCH($A9,TRIM(tblDados[Visitante]),0))),_xlpm.p&amp;" - "&amp;_xlpm.l))</f>
        <v>FIN - Ykkönen</v>
      </c>
      <c r="C9" s="10">
        <f t="shared" si="6"/>
        <v>2.75</v>
      </c>
      <c r="D9" s="10">
        <f t="shared" si="7"/>
        <v>4.875</v>
      </c>
      <c r="E9" s="9" cm="1">
        <f t="array" ref="E9">IF($A9="","",SUMPRODUCT((TRIM(tblDados[Mandante])=$A9)*tblDados[Primeira_Ocorrencia]))</f>
        <v>8</v>
      </c>
      <c r="F9" s="9" cm="1">
        <f t="array" ref="F9">IF($A9="","",SUMPRODUCT((TRIM(tblDados[Visitante])=$A9)*tblDados[Primeira_Ocorrencia]))</f>
        <v>8</v>
      </c>
      <c r="G9" s="9" cm="1">
        <f t="array" ref="G9">IF($A9="","",SUMPRODUCT((TRIM(tblDados[Mandante])=$A9)*tblDados[Primeira_Ocorrencia])+SUMPRODUCT((TRIM(tblDados[Visitante])=$A9)*tblDados[Primeira_Ocorrencia]))</f>
        <v>16</v>
      </c>
      <c r="H9" s="10">
        <f t="shared" si="8"/>
        <v>1.5625</v>
      </c>
      <c r="I9" s="10" cm="1">
        <f t="array" ref="I9">IF($A9="","",_xlfn.LET(_xlpm.p,IFERROR(INDEX(tblDados[País],MATCH($A9,TRIM(tblDados[Mandante]),0)),INDEX(tblDados[País],MATCH($A9,TRIM(tblDados[Visitante]),0))),_xlpm.l,IFERROR(INDEX(tblDados[Liga],MATCH($A9,TRIM(tblDados[Mandante]),0)),INDEX(tblDados[Liga],MATCH($A9,TRIM(tblDados[Visitante]),0))),IFERROR(SUMIFS(Ligas!$D$2:$D$39,Ligas!$H$2:$H$39,_xlpm.p,Ligas!$I$2:$I$39,_xlpm.l),0)))</f>
        <v>3.57</v>
      </c>
      <c r="J9" s="11" cm="1">
        <f t="array" ref="J9">IF($A9="","",IFERROR((SUMPRODUCT((TRIM(tblDados[Mandante])=$A9)*tblDados[Primeira_Ocorrencia]*(tblDados[GM_M]=0))+SUMPRODUCT((TRIM(tblDados[Visitante])=$A9)*tblDados[Primeira_Ocorrencia]*(tblDados[GM_V]=0)))/G9,0))</f>
        <v>0.125</v>
      </c>
      <c r="K9" s="11" cm="1">
        <f t="array" ref="K9">IF($A9="","",IFERROR((SUMPRODUCT((TRIM(tblDados[Mandante])=$A9)*tblDados[Primeira_Ocorrencia]*((tblDados[GM_M]+tblDados[GS_M])&gt;0.5))+SUMPRODUCT((TRIM(tblDados[Visitante])=$A9)*tblDados[Primeira_Ocorrencia]*((tblDados[GM_V]+tblDados[GS_V])&gt;0.5)))/G9,0))</f>
        <v>1</v>
      </c>
      <c r="L9" s="11" cm="1">
        <f t="array" ref="L9">IF($A9="","",IFERROR((SUMPRODUCT((TRIM(tblDados[Mandante])=$A9)*tblDados[Primeira_Ocorrencia]*((tblDados[GM_M]+tblDados[GS_M])&gt;1.5))+SUMPRODUCT((TRIM(tblDados[Visitante])=$A9)*tblDados[Primeira_Ocorrencia]*((tblDados[GM_V]+tblDados[GS_V])&gt;1.5)))/G9,0))</f>
        <v>0.9375</v>
      </c>
      <c r="M9" s="11" cm="1">
        <f t="array" ref="M9">IF($A9="","",IFERROR((SUMPRODUCT((TRIM(tblDados[Mandante])=$A9)*tblDados[Primeira_Ocorrencia]*((tblDados[GM_M]+tblDados[GS_M])&gt;2.5))+SUMPRODUCT((TRIM(tblDados[Visitante])=$A9)*tblDados[Primeira_Ocorrencia]*((tblDados[GM_V]+tblDados[GS_V])&gt;2.5)))/G9,0))</f>
        <v>0.5625</v>
      </c>
      <c r="N9" s="11" cm="1">
        <f t="array" ref="N9">IF($A9="","",IFERROR((SUMPRODUCT((TRIM(tblDados[Mandante])=$A9)*tblDados[Primeira_Ocorrencia]*((tblDados[GM_M]+tblDados[GS_M])&gt;3.5))+SUMPRODUCT((TRIM(tblDados[Visitante])=$A9)*tblDados[Primeira_Ocorrencia]*((tblDados[GM_V]+tblDados[GS_V])&gt;3.5)))/G9,0))</f>
        <v>0.4375</v>
      </c>
      <c r="O9" s="11" cm="1">
        <f t="array" ref="O9">IF($A9="","",IFERROR((SUMPRODUCT((TRIM(tblDados[Mandante])=$A9)*tblDados[Primeira_Ocorrencia]*(tblDados[GM_M]&gt;0)*(tblDados[GS_M]&gt;0))+SUMPRODUCT((TRIM(tblDados[Visitante])=$A9)*tblDados[Primeira_Ocorrencia]*(tblDados[GM_V]&gt;0)*(tblDados[GS_V]&gt;0)))/G9,0))</f>
        <v>0.8125</v>
      </c>
      <c r="P9" s="10" cm="1">
        <f t="array" ref="P9">IF($A9="","",IFERROR((SUMPRODUCT((TRIM(tblDados[Mandante])=$A9)*tblDados[Primeira_Ocorrencia]*tblDados[GM_M]^2)+SUMPRODUCT((TRIM(tblDados[Visitante])=$A9)*tblDados[Primeira_Ocorrencia]*tblDados[GM_V]^2))/G9-H9^2,0))</f>
        <v>1.12109375</v>
      </c>
      <c r="Q9" s="10">
        <f t="shared" si="9"/>
        <v>1.0588171466310885</v>
      </c>
      <c r="R9" s="8" t="str">
        <f t="shared" si="10"/>
        <v>Poisson</v>
      </c>
      <c r="S9" s="10" cm="1">
        <f t="array" ref="S9">IF($A9="","",SUMPRODUCT((TRIM(tblDados[Mandante])=$A9)*tblDados[Primeira_Ocorrencia]*tblDados[GM_M]))</f>
        <v>10</v>
      </c>
      <c r="T9" s="10" cm="1">
        <f t="array" ref="T9">IF($A9="","",SUMPRODUCT((TRIM(tblDados[Visitante])=$A9)*tblDados[Primeira_Ocorrencia]*tblDados[GM_V]))</f>
        <v>15</v>
      </c>
      <c r="U9" s="10">
        <f t="shared" si="11"/>
        <v>25</v>
      </c>
      <c r="V9" s="10">
        <f t="shared" si="0"/>
        <v>1.5625</v>
      </c>
      <c r="W9" s="10" cm="1">
        <f t="array" ref="W9">IF($A9="","",SUMPRODUCT((TRIM(tblDados[Mandante])=$A9)*tblDados[Primeira_Ocorrencia]*tblDados[GS_M]))</f>
        <v>12</v>
      </c>
      <c r="X9" s="10" cm="1">
        <f t="array" ref="X9">IF($A9="","",SUMPRODUCT((TRIM(tblDados[Visitante])=$A9)*tblDados[Primeira_Ocorrencia]*tblDados[GS_V]))</f>
        <v>24</v>
      </c>
      <c r="Y9" s="10">
        <f t="shared" si="12"/>
        <v>36</v>
      </c>
      <c r="Z9" s="10">
        <f t="shared" si="1"/>
        <v>2.25</v>
      </c>
      <c r="AA9" s="10">
        <f t="shared" si="2"/>
        <v>1.25</v>
      </c>
      <c r="AB9" s="10">
        <f t="shared" si="3"/>
        <v>1.5</v>
      </c>
      <c r="AC9" s="10">
        <f t="shared" si="4"/>
        <v>1.875</v>
      </c>
      <c r="AD9" s="10">
        <f t="shared" si="5"/>
        <v>3</v>
      </c>
    </row>
    <row r="10" spans="1:30" x14ac:dyDescent="0.3">
      <c r="A10" s="7" t="str">
        <v>IR Reykjavik</v>
      </c>
      <c r="B10" s="12" t="str" cm="1">
        <f t="array" ref="B10">IF($A10="","",_xlfn.LET(_xlpm.p,IFERROR(INDEX(tblDados[País],MATCH($A10,TRIM(tblDados[Mandante]),0)),INDEX(tblDados[País],MATCH($A10,TRIM(tblDados[Visitante]),0))),_xlpm.l,IFERROR(INDEX(tblDados[Liga],MATCH($A10,TRIM(tblDados[Mandante]),0)),INDEX(tblDados[Liga],MATCH($A10,TRIM(tblDados[Visitante]),0))),_xlpm.p&amp;" - "&amp;_xlpm.l))</f>
        <v>ISL - Lengjudeildin (1ªD)</v>
      </c>
      <c r="C10" s="10">
        <f t="shared" si="6"/>
        <v>3.333333333333333</v>
      </c>
      <c r="D10" s="10">
        <f t="shared" si="7"/>
        <v>3.8571428571428572</v>
      </c>
      <c r="E10" s="9" cm="1">
        <f t="array" ref="E10">IF($A10="","",SUMPRODUCT((TRIM(tblDados[Mandante])=$A10)*tblDados[Primeira_Ocorrencia]))</f>
        <v>9</v>
      </c>
      <c r="F10" s="9" cm="1">
        <f t="array" ref="F10">IF($A10="","",SUMPRODUCT((TRIM(tblDados[Visitante])=$A10)*tblDados[Primeira_Ocorrencia]))</f>
        <v>7</v>
      </c>
      <c r="G10" s="9" cm="1">
        <f t="array" ref="G10">IF($A10="","",SUMPRODUCT((TRIM(tblDados[Mandante])=$A10)*tblDados[Primeira_Ocorrencia])+SUMPRODUCT((TRIM(tblDados[Visitante])=$A10)*tblDados[Primeira_Ocorrencia]))</f>
        <v>16</v>
      </c>
      <c r="H10" s="10">
        <f t="shared" si="8"/>
        <v>1.4375</v>
      </c>
      <c r="I10" s="10" cm="1">
        <f t="array" ref="I10">IF($A10="","",_xlfn.LET(_xlpm.p,IFERROR(INDEX(tblDados[País],MATCH($A10,TRIM(tblDados[Mandante]),0)),INDEX(tblDados[País],MATCH($A10,TRIM(tblDados[Visitante]),0))),_xlpm.l,IFERROR(INDEX(tblDados[Liga],MATCH($A10,TRIM(tblDados[Mandante]),0)),INDEX(tblDados[Liga],MATCH($A10,TRIM(tblDados[Visitante]),0))),IFERROR(SUMIFS(Ligas!$D$2:$D$39,Ligas!$H$2:$H$39,_xlpm.p,Ligas!$I$2:$I$39,_xlpm.l),0)))</f>
        <v>3.55</v>
      </c>
      <c r="J10" s="11" cm="1">
        <f t="array" ref="J10">IF($A10="","",IFERROR((SUMPRODUCT((TRIM(tblDados[Mandante])=$A10)*tblDados[Primeira_Ocorrencia]*(tblDados[GM_M]=0))+SUMPRODUCT((TRIM(tblDados[Visitante])=$A10)*tblDados[Primeira_Ocorrencia]*(tblDados[GM_V]=0)))/G10,0))</f>
        <v>0.1875</v>
      </c>
      <c r="K10" s="11" cm="1">
        <f t="array" ref="K10">IF($A10="","",IFERROR((SUMPRODUCT((TRIM(tblDados[Mandante])=$A10)*tblDados[Primeira_Ocorrencia]*((tblDados[GM_M]+tblDados[GS_M])&gt;0.5))+SUMPRODUCT((TRIM(tblDados[Visitante])=$A10)*tblDados[Primeira_Ocorrencia]*((tblDados[GM_V]+tblDados[GS_V])&gt;0.5)))/G10,0))</f>
        <v>0.9375</v>
      </c>
      <c r="L10" s="11" cm="1">
        <f t="array" ref="L10">IF($A10="","",IFERROR((SUMPRODUCT((TRIM(tblDados[Mandante])=$A10)*tblDados[Primeira_Ocorrencia]*((tblDados[GM_M]+tblDados[GS_M])&gt;1.5))+SUMPRODUCT((TRIM(tblDados[Visitante])=$A10)*tblDados[Primeira_Ocorrencia]*((tblDados[GM_V]+tblDados[GS_V])&gt;1.5)))/G10,0))</f>
        <v>0.8125</v>
      </c>
      <c r="M10" s="11" cm="1">
        <f t="array" ref="M10">IF($A10="","",IFERROR((SUMPRODUCT((TRIM(tblDados[Mandante])=$A10)*tblDados[Primeira_Ocorrencia]*((tblDados[GM_M]+tblDados[GS_M])&gt;2.5))+SUMPRODUCT((TRIM(tblDados[Visitante])=$A10)*tblDados[Primeira_Ocorrencia]*((tblDados[GM_V]+tblDados[GS_V])&gt;2.5)))/G10,0))</f>
        <v>0.6875</v>
      </c>
      <c r="N10" s="11" cm="1">
        <f t="array" ref="N10">IF($A10="","",IFERROR((SUMPRODUCT((TRIM(tblDados[Mandante])=$A10)*tblDados[Primeira_Ocorrencia]*((tblDados[GM_M]+tblDados[GS_M])&gt;3.5))+SUMPRODUCT((TRIM(tblDados[Visitante])=$A10)*tblDados[Primeira_Ocorrencia]*((tblDados[GM_V]+tblDados[GS_V])&gt;3.5)))/G10,0))</f>
        <v>0.5</v>
      </c>
      <c r="O10" s="11" cm="1">
        <f t="array" ref="O10">IF($A10="","",IFERROR((SUMPRODUCT((TRIM(tblDados[Mandante])=$A10)*tblDados[Primeira_Ocorrencia]*(tblDados[GM_M]&gt;0)*(tblDados[GS_M]&gt;0))+SUMPRODUCT((TRIM(tblDados[Visitante])=$A10)*tblDados[Primeira_Ocorrencia]*(tblDados[GM_V]&gt;0)*(tblDados[GS_V]&gt;0)))/G10,0))</f>
        <v>0.75</v>
      </c>
      <c r="P10" s="10" cm="1">
        <f t="array" ref="P10">IF($A10="","",IFERROR((SUMPRODUCT((TRIM(tblDados[Mandante])=$A10)*tblDados[Primeira_Ocorrencia]*tblDados[GM_M]^2)+SUMPRODUCT((TRIM(tblDados[Visitante])=$A10)*tblDados[Primeira_Ocorrencia]*tblDados[GM_V]^2))/G10-H10^2,0))</f>
        <v>1.24609375</v>
      </c>
      <c r="Q10" s="10">
        <f t="shared" si="9"/>
        <v>1.1162856937182344</v>
      </c>
      <c r="R10" s="8" t="str">
        <f t="shared" si="10"/>
        <v>Poisson</v>
      </c>
      <c r="S10" s="10" cm="1">
        <f t="array" ref="S10">IF($A10="","",SUMPRODUCT((TRIM(tblDados[Mandante])=$A10)*tblDados[Primeira_Ocorrencia]*tblDados[GM_M]))</f>
        <v>17</v>
      </c>
      <c r="T10" s="10" cm="1">
        <f t="array" ref="T10">IF($A10="","",SUMPRODUCT((TRIM(tblDados[Visitante])=$A10)*tblDados[Primeira_Ocorrencia]*tblDados[GM_V]))</f>
        <v>6</v>
      </c>
      <c r="U10" s="10">
        <f t="shared" si="11"/>
        <v>23</v>
      </c>
      <c r="V10" s="10">
        <f t="shared" si="0"/>
        <v>1.4375</v>
      </c>
      <c r="W10" s="10" cm="1">
        <f t="array" ref="W10">IF($A10="","",SUMPRODUCT((TRIM(tblDados[Mandante])=$A10)*tblDados[Primeira_Ocorrencia]*tblDados[GS_M]))</f>
        <v>13</v>
      </c>
      <c r="X10" s="10" cm="1">
        <f t="array" ref="X10">IF($A10="","",SUMPRODUCT((TRIM(tblDados[Visitante])=$A10)*tblDados[Primeira_Ocorrencia]*tblDados[GS_V]))</f>
        <v>21</v>
      </c>
      <c r="Y10" s="10">
        <f t="shared" si="12"/>
        <v>34</v>
      </c>
      <c r="Z10" s="10">
        <f t="shared" si="1"/>
        <v>2.125</v>
      </c>
      <c r="AA10" s="10">
        <f t="shared" si="2"/>
        <v>1.8888888888888888</v>
      </c>
      <c r="AB10" s="10">
        <f t="shared" si="3"/>
        <v>1.4444444444444444</v>
      </c>
      <c r="AC10" s="10">
        <f t="shared" si="4"/>
        <v>0.8571428571428571</v>
      </c>
      <c r="AD10" s="10">
        <f t="shared" si="5"/>
        <v>3</v>
      </c>
    </row>
    <row r="11" spans="1:30" x14ac:dyDescent="0.3">
      <c r="A11" s="7" t="str">
        <v>OLS Oulu</v>
      </c>
      <c r="B11" s="12" t="str" cm="1">
        <f t="array" ref="B11">IF($A11="","",_xlfn.LET(_xlpm.p,IFERROR(INDEX(tblDados[País],MATCH($A11,TRIM(tblDados[Mandante]),0)),INDEX(tblDados[País],MATCH($A11,TRIM(tblDados[Visitante]),0))),_xlpm.l,IFERROR(INDEX(tblDados[Liga],MATCH($A11,TRIM(tblDados[Mandante]),0)),INDEX(tblDados[Liga],MATCH($A11,TRIM(tblDados[Visitante]),0))),_xlpm.p&amp;" - "&amp;_xlpm.l))</f>
        <v>FIN - Ykkönen</v>
      </c>
      <c r="C11" s="10">
        <f t="shared" si="6"/>
        <v>3.75</v>
      </c>
      <c r="D11" s="10">
        <f t="shared" si="7"/>
        <v>3.125</v>
      </c>
      <c r="E11" s="9" cm="1">
        <f t="array" ref="E11">IF($A11="","",SUMPRODUCT((TRIM(tblDados[Mandante])=$A11)*tblDados[Primeira_Ocorrencia]))</f>
        <v>8</v>
      </c>
      <c r="F11" s="9" cm="1">
        <f t="array" ref="F11">IF($A11="","",SUMPRODUCT((TRIM(tblDados[Visitante])=$A11)*tblDados[Primeira_Ocorrencia]))</f>
        <v>8</v>
      </c>
      <c r="G11" s="9" cm="1">
        <f t="array" ref="G11">IF($A11="","",SUMPRODUCT((TRIM(tblDados[Mandante])=$A11)*tblDados[Primeira_Ocorrencia])+SUMPRODUCT((TRIM(tblDados[Visitante])=$A11)*tblDados[Primeira_Ocorrencia]))</f>
        <v>16</v>
      </c>
      <c r="H11" s="10">
        <f t="shared" si="8"/>
        <v>1.9375</v>
      </c>
      <c r="I11" s="10" cm="1">
        <f t="array" ref="I11">IF($A11="","",_xlfn.LET(_xlpm.p,IFERROR(INDEX(tblDados[País],MATCH($A11,TRIM(tblDados[Mandante]),0)),INDEX(tblDados[País],MATCH($A11,TRIM(tblDados[Visitante]),0))),_xlpm.l,IFERROR(INDEX(tblDados[Liga],MATCH($A11,TRIM(tblDados[Mandante]),0)),INDEX(tblDados[Liga],MATCH($A11,TRIM(tblDados[Visitante]),0))),IFERROR(SUMIFS(Ligas!$D$2:$D$39,Ligas!$H$2:$H$39,_xlpm.p,Ligas!$I$2:$I$39,_xlpm.l),0)))</f>
        <v>3.57</v>
      </c>
      <c r="J11" s="11" cm="1">
        <f t="array" ref="J11">IF($A11="","",IFERROR((SUMPRODUCT((TRIM(tblDados[Mandante])=$A11)*tblDados[Primeira_Ocorrencia]*(tblDados[GM_M]=0))+SUMPRODUCT((TRIM(tblDados[Visitante])=$A11)*tblDados[Primeira_Ocorrencia]*(tblDados[GM_V]=0)))/G11,0))</f>
        <v>0.125</v>
      </c>
      <c r="K11" s="11" cm="1">
        <f t="array" ref="K11">IF($A11="","",IFERROR((SUMPRODUCT((TRIM(tblDados[Mandante])=$A11)*tblDados[Primeira_Ocorrencia]*((tblDados[GM_M]+tblDados[GS_M])&gt;0.5))+SUMPRODUCT((TRIM(tblDados[Visitante])=$A11)*tblDados[Primeira_Ocorrencia]*((tblDados[GM_V]+tblDados[GS_V])&gt;0.5)))/G11,0))</f>
        <v>1</v>
      </c>
      <c r="L11" s="11" cm="1">
        <f t="array" ref="L11">IF($A11="","",IFERROR((SUMPRODUCT((TRIM(tblDados[Mandante])=$A11)*tblDados[Primeira_Ocorrencia]*((tblDados[GM_M]+tblDados[GS_M])&gt;1.5))+SUMPRODUCT((TRIM(tblDados[Visitante])=$A11)*tblDados[Primeira_Ocorrencia]*((tblDados[GM_V]+tblDados[GS_V])&gt;1.5)))/G11,0))</f>
        <v>0.9375</v>
      </c>
      <c r="M11" s="11" cm="1">
        <f t="array" ref="M11">IF($A11="","",IFERROR((SUMPRODUCT((TRIM(tblDados[Mandante])=$A11)*tblDados[Primeira_Ocorrencia]*((tblDados[GM_M]+tblDados[GS_M])&gt;2.5))+SUMPRODUCT((TRIM(tblDados[Visitante])=$A11)*tblDados[Primeira_Ocorrencia]*((tblDados[GM_V]+tblDados[GS_V])&gt;2.5)))/G11,0))</f>
        <v>0.6875</v>
      </c>
      <c r="N11" s="11" cm="1">
        <f t="array" ref="N11">IF($A11="","",IFERROR((SUMPRODUCT((TRIM(tblDados[Mandante])=$A11)*tblDados[Primeira_Ocorrencia]*((tblDados[GM_M]+tblDados[GS_M])&gt;3.5))+SUMPRODUCT((TRIM(tblDados[Visitante])=$A11)*tblDados[Primeira_Ocorrencia]*((tblDados[GM_V]+tblDados[GS_V])&gt;3.5)))/G11,0))</f>
        <v>0.4375</v>
      </c>
      <c r="O11" s="11" cm="1">
        <f t="array" ref="O11">IF($A11="","",IFERROR((SUMPRODUCT((TRIM(tblDados[Mandante])=$A11)*tblDados[Primeira_Ocorrencia]*(tblDados[GM_M]&gt;0)*(tblDados[GS_M]&gt;0))+SUMPRODUCT((TRIM(tblDados[Visitante])=$A11)*tblDados[Primeira_Ocorrencia]*(tblDados[GM_V]&gt;0)*(tblDados[GS_V]&gt;0)))/G11,0))</f>
        <v>0.6875</v>
      </c>
      <c r="P11" s="10" cm="1">
        <f t="array" ref="P11">IF($A11="","",IFERROR((SUMPRODUCT((TRIM(tblDados[Mandante])=$A11)*tblDados[Primeira_Ocorrencia]*tblDados[GM_M]^2)+SUMPRODUCT((TRIM(tblDados[Visitante])=$A11)*tblDados[Primeira_Ocorrencia]*tblDados[GM_V]^2))/G11-H11^2,0))</f>
        <v>1.93359375</v>
      </c>
      <c r="Q11" s="10">
        <f t="shared" si="9"/>
        <v>1.3905372163304368</v>
      </c>
      <c r="R11" s="8" t="str">
        <f t="shared" si="10"/>
        <v>Poisson</v>
      </c>
      <c r="S11" s="10" cm="1">
        <f t="array" ref="S11">IF($A11="","",SUMPRODUCT((TRIM(tblDados[Mandante])=$A11)*tblDados[Primeira_Ocorrencia]*tblDados[GM_M]))</f>
        <v>19</v>
      </c>
      <c r="T11" s="10" cm="1">
        <f t="array" ref="T11">IF($A11="","",SUMPRODUCT((TRIM(tblDados[Visitante])=$A11)*tblDados[Primeira_Ocorrencia]*tblDados[GM_V]))</f>
        <v>12</v>
      </c>
      <c r="U11" s="10">
        <f t="shared" si="11"/>
        <v>31</v>
      </c>
      <c r="V11" s="10">
        <f t="shared" si="0"/>
        <v>1.9375</v>
      </c>
      <c r="W11" s="10" cm="1">
        <f t="array" ref="W11">IF($A11="","",SUMPRODUCT((TRIM(tblDados[Mandante])=$A11)*tblDados[Primeira_Ocorrencia]*tblDados[GS_M]))</f>
        <v>11</v>
      </c>
      <c r="X11" s="10" cm="1">
        <f t="array" ref="X11">IF($A11="","",SUMPRODUCT((TRIM(tblDados[Visitante])=$A11)*tblDados[Primeira_Ocorrencia]*tblDados[GS_V]))</f>
        <v>13</v>
      </c>
      <c r="Y11" s="10">
        <f t="shared" si="12"/>
        <v>24</v>
      </c>
      <c r="Z11" s="10">
        <f t="shared" si="1"/>
        <v>1.5</v>
      </c>
      <c r="AA11" s="10">
        <f t="shared" si="2"/>
        <v>2.375</v>
      </c>
      <c r="AB11" s="10">
        <f t="shared" si="3"/>
        <v>1.375</v>
      </c>
      <c r="AC11" s="10">
        <f t="shared" si="4"/>
        <v>1.5</v>
      </c>
      <c r="AD11" s="10">
        <f t="shared" si="5"/>
        <v>1.625</v>
      </c>
    </row>
    <row r="12" spans="1:30" x14ac:dyDescent="0.3">
      <c r="A12" s="7" t="str">
        <v>Peninsula Power</v>
      </c>
      <c r="B12" s="12" t="str" cm="1">
        <f t="array" ref="B12">IF($A12="","",_xlfn.LET(_xlpm.p,IFERROR(INDEX(tblDados[País],MATCH($A12,TRIM(tblDados[Mandante]),0)),INDEX(tblDados[País],MATCH($A12,TRIM(tblDados[Visitante]),0))),_xlpm.l,IFERROR(INDEX(tblDados[Liga],MATCH($A12,TRIM(tblDados[Mandante]),0)),INDEX(tblDados[Liga],MATCH($A12,TRIM(tblDados[Visitante]),0))),_xlpm.p&amp;" - "&amp;_xlpm.l))</f>
        <v>AUS - NPL Queensland</v>
      </c>
      <c r="C12" s="10">
        <f t="shared" si="6"/>
        <v>4</v>
      </c>
      <c r="D12" s="10">
        <f t="shared" si="7"/>
        <v>3.3636363636363633</v>
      </c>
      <c r="E12" s="9" cm="1">
        <f t="array" ref="E12">IF($A12="","",SUMPRODUCT((TRIM(tblDados[Mandante])=$A12)*tblDados[Primeira_Ocorrencia]))</f>
        <v>5</v>
      </c>
      <c r="F12" s="9" cm="1">
        <f t="array" ref="F12">IF($A12="","",SUMPRODUCT((TRIM(tblDados[Visitante])=$A12)*tblDados[Primeira_Ocorrencia]))</f>
        <v>11</v>
      </c>
      <c r="G12" s="9" cm="1">
        <f t="array" ref="G12">IF($A12="","",SUMPRODUCT((TRIM(tblDados[Mandante])=$A12)*tblDados[Primeira_Ocorrencia])+SUMPRODUCT((TRIM(tblDados[Visitante])=$A12)*tblDados[Primeira_Ocorrencia]))</f>
        <v>16</v>
      </c>
      <c r="H12" s="10">
        <f t="shared" si="8"/>
        <v>2.1875</v>
      </c>
      <c r="I12" s="10" cm="1">
        <f t="array" ref="I12">IF($A12="","",_xlfn.LET(_xlpm.p,IFERROR(INDEX(tblDados[País],MATCH($A12,TRIM(tblDados[Mandante]),0)),INDEX(tblDados[País],MATCH($A12,TRIM(tblDados[Visitante]),0))),_xlpm.l,IFERROR(INDEX(tblDados[Liga],MATCH($A12,TRIM(tblDados[Mandante]),0)),INDEX(tblDados[Liga],MATCH($A12,TRIM(tblDados[Visitante]),0))),IFERROR(SUMIFS(Ligas!$D$2:$D$39,Ligas!$H$2:$H$39,_xlpm.p,Ligas!$I$2:$I$39,_xlpm.l),0)))</f>
        <v>3.76</v>
      </c>
      <c r="J12" s="11" cm="1">
        <f t="array" ref="J12">IF($A12="","",IFERROR((SUMPRODUCT((TRIM(tblDados[Mandante])=$A12)*tblDados[Primeira_Ocorrencia]*(tblDados[GM_M]=0))+SUMPRODUCT((TRIM(tblDados[Visitante])=$A12)*tblDados[Primeira_Ocorrencia]*(tblDados[GM_V]=0)))/G12,0))</f>
        <v>0.1875</v>
      </c>
      <c r="K12" s="11" cm="1">
        <f t="array" ref="K12">IF($A12="","",IFERROR((SUMPRODUCT((TRIM(tblDados[Mandante])=$A12)*tblDados[Primeira_Ocorrencia]*((tblDados[GM_M]+tblDados[GS_M])&gt;0.5))+SUMPRODUCT((TRIM(tblDados[Visitante])=$A12)*tblDados[Primeira_Ocorrencia]*((tblDados[GM_V]+tblDados[GS_V])&gt;0.5)))/G12,0))</f>
        <v>0.9375</v>
      </c>
      <c r="L12" s="11" cm="1">
        <f t="array" ref="L12">IF($A12="","",IFERROR((SUMPRODUCT((TRIM(tblDados[Mandante])=$A12)*tblDados[Primeira_Ocorrencia]*((tblDados[GM_M]+tblDados[GS_M])&gt;1.5))+SUMPRODUCT((TRIM(tblDados[Visitante])=$A12)*tblDados[Primeira_Ocorrencia]*((tblDados[GM_V]+tblDados[GS_V])&gt;1.5)))/G12,0))</f>
        <v>0.875</v>
      </c>
      <c r="M12" s="11" cm="1">
        <f t="array" ref="M12">IF($A12="","",IFERROR((SUMPRODUCT((TRIM(tblDados[Mandante])=$A12)*tblDados[Primeira_Ocorrencia]*((tblDados[GM_M]+tblDados[GS_M])&gt;2.5))+SUMPRODUCT((TRIM(tblDados[Visitante])=$A12)*tblDados[Primeira_Ocorrencia]*((tblDados[GM_V]+tblDados[GS_V])&gt;2.5)))/G12,0))</f>
        <v>0.8125</v>
      </c>
      <c r="N12" s="11" cm="1">
        <f t="array" ref="N12">IF($A12="","",IFERROR((SUMPRODUCT((TRIM(tblDados[Mandante])=$A12)*tblDados[Primeira_Ocorrencia]*((tblDados[GM_M]+tblDados[GS_M])&gt;3.5))+SUMPRODUCT((TRIM(tblDados[Visitante])=$A12)*tblDados[Primeira_Ocorrencia]*((tblDados[GM_V]+tblDados[GS_V])&gt;3.5)))/G12,0))</f>
        <v>0.625</v>
      </c>
      <c r="O12" s="11" cm="1">
        <f t="array" ref="O12">IF($A12="","",IFERROR((SUMPRODUCT((TRIM(tblDados[Mandante])=$A12)*tblDados[Primeira_Ocorrencia]*(tblDados[GM_M]&gt;0)*(tblDados[GS_M]&gt;0))+SUMPRODUCT((TRIM(tblDados[Visitante])=$A12)*tblDados[Primeira_Ocorrencia]*(tblDados[GM_V]&gt;0)*(tblDados[GS_V]&gt;0)))/G12,0))</f>
        <v>0.625</v>
      </c>
      <c r="P12" s="10" cm="1">
        <f t="array" ref="P12">IF($A12="","",IFERROR((SUMPRODUCT((TRIM(tblDados[Mandante])=$A12)*tblDados[Primeira_Ocorrencia]*tblDados[GM_M]^2)+SUMPRODUCT((TRIM(tblDados[Visitante])=$A12)*tblDados[Primeira_Ocorrencia]*tblDados[GM_V]^2))/G12-H12^2,0))</f>
        <v>1.90234375</v>
      </c>
      <c r="Q12" s="10">
        <f t="shared" si="9"/>
        <v>1.3792547806696194</v>
      </c>
      <c r="R12" s="8" t="str">
        <f t="shared" si="10"/>
        <v>Poisson</v>
      </c>
      <c r="S12" s="10" cm="1">
        <f t="array" ref="S12">IF($A12="","",SUMPRODUCT((TRIM(tblDados[Mandante])=$A12)*tblDados[Primeira_Ocorrencia]*tblDados[GM_M]))</f>
        <v>11</v>
      </c>
      <c r="T12" s="10" cm="1">
        <f t="array" ref="T12">IF($A12="","",SUMPRODUCT((TRIM(tblDados[Visitante])=$A12)*tblDados[Primeira_Ocorrencia]*tblDados[GM_V]))</f>
        <v>24</v>
      </c>
      <c r="U12" s="10">
        <f t="shared" si="11"/>
        <v>35</v>
      </c>
      <c r="V12" s="10">
        <f t="shared" si="0"/>
        <v>2.1875</v>
      </c>
      <c r="W12" s="10" cm="1">
        <f t="array" ref="W12">IF($A12="","",SUMPRODUCT((TRIM(tblDados[Mandante])=$A12)*tblDados[Primeira_Ocorrencia]*tblDados[GS_M]))</f>
        <v>9</v>
      </c>
      <c r="X12" s="10" cm="1">
        <f t="array" ref="X12">IF($A12="","",SUMPRODUCT((TRIM(tblDados[Visitante])=$A12)*tblDados[Primeira_Ocorrencia]*tblDados[GS_V]))</f>
        <v>13</v>
      </c>
      <c r="Y12" s="10">
        <f t="shared" si="12"/>
        <v>22</v>
      </c>
      <c r="Z12" s="10">
        <f t="shared" si="1"/>
        <v>1.375</v>
      </c>
      <c r="AA12" s="10">
        <f t="shared" si="2"/>
        <v>2.2000000000000002</v>
      </c>
      <c r="AB12" s="10">
        <f t="shared" si="3"/>
        <v>1.8</v>
      </c>
      <c r="AC12" s="10">
        <f t="shared" si="4"/>
        <v>2.1818181818181817</v>
      </c>
      <c r="AD12" s="10">
        <f t="shared" si="5"/>
        <v>1.1818181818181819</v>
      </c>
    </row>
    <row r="13" spans="1:30" x14ac:dyDescent="0.3">
      <c r="A13" s="7" t="str">
        <v>Wynnum Wolves</v>
      </c>
      <c r="B13" s="12" t="str" cm="1">
        <f t="array" ref="B13">IF($A13="","",_xlfn.LET(_xlpm.p,IFERROR(INDEX(tblDados[País],MATCH($A13,TRIM(tblDados[Mandante]),0)),INDEX(tblDados[País],MATCH($A13,TRIM(tblDados[Visitante]),0))),_xlpm.l,IFERROR(INDEX(tblDados[Liga],MATCH($A13,TRIM(tblDados[Mandante]),0)),INDEX(tblDados[Liga],MATCH($A13,TRIM(tblDados[Visitante]),0))),_xlpm.p&amp;" - "&amp;_xlpm.l))</f>
        <v>AUS - NPL Queensland</v>
      </c>
      <c r="C13" s="10">
        <f t="shared" si="6"/>
        <v>3.5</v>
      </c>
      <c r="D13" s="10">
        <f t="shared" si="7"/>
        <v>3.7</v>
      </c>
      <c r="E13" s="9" cm="1">
        <f t="array" ref="E13">IF($A13="","",SUMPRODUCT((TRIM(tblDados[Mandante])=$A13)*tblDados[Primeira_Ocorrencia]))</f>
        <v>6</v>
      </c>
      <c r="F13" s="9" cm="1">
        <f t="array" ref="F13">IF($A13="","",SUMPRODUCT((TRIM(tblDados[Visitante])=$A13)*tblDados[Primeira_Ocorrencia]))</f>
        <v>10</v>
      </c>
      <c r="G13" s="9" cm="1">
        <f t="array" ref="G13">IF($A13="","",SUMPRODUCT((TRIM(tblDados[Mandante])=$A13)*tblDados[Primeira_Ocorrencia])+SUMPRODUCT((TRIM(tblDados[Visitante])=$A13)*tblDados[Primeira_Ocorrencia]))</f>
        <v>16</v>
      </c>
      <c r="H13" s="10">
        <f t="shared" si="8"/>
        <v>2.0625</v>
      </c>
      <c r="I13" s="10" cm="1">
        <f t="array" ref="I13">IF($A13="","",_xlfn.LET(_xlpm.p,IFERROR(INDEX(tblDados[País],MATCH($A13,TRIM(tblDados[Mandante]),0)),INDEX(tblDados[País],MATCH($A13,TRIM(tblDados[Visitante]),0))),_xlpm.l,IFERROR(INDEX(tblDados[Liga],MATCH($A13,TRIM(tblDados[Mandante]),0)),INDEX(tblDados[Liga],MATCH($A13,TRIM(tblDados[Visitante]),0))),IFERROR(SUMIFS(Ligas!$D$2:$D$39,Ligas!$H$2:$H$39,_xlpm.p,Ligas!$I$2:$I$39,_xlpm.l),0)))</f>
        <v>3.76</v>
      </c>
      <c r="J13" s="11" cm="1">
        <f t="array" ref="J13">IF($A13="","",IFERROR((SUMPRODUCT((TRIM(tblDados[Mandante])=$A13)*tblDados[Primeira_Ocorrencia]*(tblDados[GM_M]=0))+SUMPRODUCT((TRIM(tblDados[Visitante])=$A13)*tblDados[Primeira_Ocorrencia]*(tblDados[GM_V]=0)))/G13,0))</f>
        <v>0.125</v>
      </c>
      <c r="K13" s="11" cm="1">
        <f t="array" ref="K13">IF($A13="","",IFERROR((SUMPRODUCT((TRIM(tblDados[Mandante])=$A13)*tblDados[Primeira_Ocorrencia]*((tblDados[GM_M]+tblDados[GS_M])&gt;0.5))+SUMPRODUCT((TRIM(tblDados[Visitante])=$A13)*tblDados[Primeira_Ocorrencia]*((tblDados[GM_V]+tblDados[GS_V])&gt;0.5)))/G13,0))</f>
        <v>0.9375</v>
      </c>
      <c r="L13" s="11" cm="1">
        <f t="array" ref="L13">IF($A13="","",IFERROR((SUMPRODUCT((TRIM(tblDados[Mandante])=$A13)*tblDados[Primeira_Ocorrencia]*((tblDados[GM_M]+tblDados[GS_M])&gt;1.5))+SUMPRODUCT((TRIM(tblDados[Visitante])=$A13)*tblDados[Primeira_Ocorrencia]*((tblDados[GM_V]+tblDados[GS_V])&gt;1.5)))/G13,0))</f>
        <v>0.9375</v>
      </c>
      <c r="M13" s="11" cm="1">
        <f t="array" ref="M13">IF($A13="","",IFERROR((SUMPRODUCT((TRIM(tblDados[Mandante])=$A13)*tblDados[Primeira_Ocorrencia]*((tblDados[GM_M]+tblDados[GS_M])&gt;2.5))+SUMPRODUCT((TRIM(tblDados[Visitante])=$A13)*tblDados[Primeira_Ocorrencia]*((tblDados[GM_V]+tblDados[GS_V])&gt;2.5)))/G13,0))</f>
        <v>0.8125</v>
      </c>
      <c r="N13" s="11" cm="1">
        <f t="array" ref="N13">IF($A13="","",IFERROR((SUMPRODUCT((TRIM(tblDados[Mandante])=$A13)*tblDados[Primeira_Ocorrencia]*((tblDados[GM_M]+tblDados[GS_M])&gt;3.5))+SUMPRODUCT((TRIM(tblDados[Visitante])=$A13)*tblDados[Primeira_Ocorrencia]*((tblDados[GM_V]+tblDados[GS_V])&gt;3.5)))/G13,0))</f>
        <v>0.4375</v>
      </c>
      <c r="O13" s="11" cm="1">
        <f t="array" ref="O13">IF($A13="","",IFERROR((SUMPRODUCT((TRIM(tblDados[Mandante])=$A13)*tblDados[Primeira_Ocorrencia]*(tblDados[GM_M]&gt;0)*(tblDados[GS_M]&gt;0))+SUMPRODUCT((TRIM(tblDados[Visitante])=$A13)*tblDados[Primeira_Ocorrencia]*(tblDados[GM_V]&gt;0)*(tblDados[GS_V]&gt;0)))/G13,0))</f>
        <v>0.75</v>
      </c>
      <c r="P13" s="10" cm="1">
        <f t="array" ref="P13">IF($A13="","",IFERROR((SUMPRODUCT((TRIM(tblDados[Mandante])=$A13)*tblDados[Primeira_Ocorrencia]*tblDados[GM_M]^2)+SUMPRODUCT((TRIM(tblDados[Visitante])=$A13)*tblDados[Primeira_Ocorrencia]*tblDados[GM_V]^2))/G13-H13^2,0))</f>
        <v>1.43359375</v>
      </c>
      <c r="Q13" s="10">
        <f t="shared" si="9"/>
        <v>1.197327753791751</v>
      </c>
      <c r="R13" s="8" t="str">
        <f t="shared" si="10"/>
        <v>Poisson</v>
      </c>
      <c r="S13" s="10" cm="1">
        <f t="array" ref="S13">IF($A13="","",SUMPRODUCT((TRIM(tblDados[Mandante])=$A13)*tblDados[Primeira_Ocorrencia]*tblDados[GM_M]))</f>
        <v>14</v>
      </c>
      <c r="T13" s="10" cm="1">
        <f t="array" ref="T13">IF($A13="","",SUMPRODUCT((TRIM(tblDados[Visitante])=$A13)*tblDados[Primeira_Ocorrencia]*tblDados[GM_V]))</f>
        <v>19</v>
      </c>
      <c r="U13" s="10">
        <f t="shared" si="11"/>
        <v>33</v>
      </c>
      <c r="V13" s="10">
        <f t="shared" si="0"/>
        <v>2.0625</v>
      </c>
      <c r="W13" s="10" cm="1">
        <f t="array" ref="W13">IF($A13="","",SUMPRODUCT((TRIM(tblDados[Mandante])=$A13)*tblDados[Primeira_Ocorrencia]*tblDados[GS_M]))</f>
        <v>7</v>
      </c>
      <c r="X13" s="10" cm="1">
        <f t="array" ref="X13">IF($A13="","",SUMPRODUCT((TRIM(tblDados[Visitante])=$A13)*tblDados[Primeira_Ocorrencia]*tblDados[GS_V]))</f>
        <v>18</v>
      </c>
      <c r="Y13" s="10">
        <f t="shared" si="12"/>
        <v>25</v>
      </c>
      <c r="Z13" s="10">
        <f t="shared" si="1"/>
        <v>1.5625</v>
      </c>
      <c r="AA13" s="10">
        <f t="shared" si="2"/>
        <v>2.3333333333333335</v>
      </c>
      <c r="AB13" s="10">
        <f t="shared" si="3"/>
        <v>1.1666666666666667</v>
      </c>
      <c r="AC13" s="10">
        <f t="shared" si="4"/>
        <v>1.9</v>
      </c>
      <c r="AD13" s="10">
        <f t="shared" si="5"/>
        <v>1.8</v>
      </c>
    </row>
    <row r="14" spans="1:30" x14ac:dyDescent="0.3">
      <c r="A14" s="7" t="str">
        <v>Eastern Suburbs</v>
      </c>
      <c r="B14" s="12" t="str" cm="1">
        <f t="array" ref="B14">IF($A14="","",_xlfn.LET(_xlpm.p,IFERROR(INDEX(tblDados[País],MATCH($A14,TRIM(tblDados[Mandante]),0)),INDEX(tblDados[País],MATCH($A14,TRIM(tblDados[Visitante]),0))),_xlpm.l,IFERROR(INDEX(tblDados[Liga],MATCH($A14,TRIM(tblDados[Mandante]),0)),INDEX(tblDados[Liga],MATCH($A14,TRIM(tblDados[Visitante]),0))),_xlpm.p&amp;" - "&amp;_xlpm.l))</f>
        <v>AUS - NPL Queensland</v>
      </c>
      <c r="C14" s="10">
        <f t="shared" si="6"/>
        <v>3.8</v>
      </c>
      <c r="D14" s="10">
        <f t="shared" si="7"/>
        <v>3.2</v>
      </c>
      <c r="E14" s="9" cm="1">
        <f t="array" ref="E14">IF($A14="","",SUMPRODUCT((TRIM(tblDados[Mandante])=$A14)*tblDados[Primeira_Ocorrencia]))</f>
        <v>10</v>
      </c>
      <c r="F14" s="9" cm="1">
        <f t="array" ref="F14">IF($A14="","",SUMPRODUCT((TRIM(tblDados[Visitante])=$A14)*tblDados[Primeira_Ocorrencia]))</f>
        <v>5</v>
      </c>
      <c r="G14" s="9" cm="1">
        <f t="array" ref="G14">IF($A14="","",SUMPRODUCT((TRIM(tblDados[Mandante])=$A14)*tblDados[Primeira_Ocorrencia])+SUMPRODUCT((TRIM(tblDados[Visitante])=$A14)*tblDados[Primeira_Ocorrencia]))</f>
        <v>15</v>
      </c>
      <c r="H14" s="10">
        <f t="shared" si="8"/>
        <v>1.6666666666666667</v>
      </c>
      <c r="I14" s="10" cm="1">
        <f t="array" ref="I14">IF($A14="","",_xlfn.LET(_xlpm.p,IFERROR(INDEX(tblDados[País],MATCH($A14,TRIM(tblDados[Mandante]),0)),INDEX(tblDados[País],MATCH($A14,TRIM(tblDados[Visitante]),0))),_xlpm.l,IFERROR(INDEX(tblDados[Liga],MATCH($A14,TRIM(tblDados[Mandante]),0)),INDEX(tblDados[Liga],MATCH($A14,TRIM(tblDados[Visitante]),0))),IFERROR(SUMIFS(Ligas!$D$2:$D$39,Ligas!$H$2:$H$39,_xlpm.p,Ligas!$I$2:$I$39,_xlpm.l),0)))</f>
        <v>3.76</v>
      </c>
      <c r="J14" s="11" cm="1">
        <f t="array" ref="J14">IF($A14="","",IFERROR((SUMPRODUCT((TRIM(tblDados[Mandante])=$A14)*tblDados[Primeira_Ocorrencia]*(tblDados[GM_M]=0))+SUMPRODUCT((TRIM(tblDados[Visitante])=$A14)*tblDados[Primeira_Ocorrencia]*(tblDados[GM_V]=0)))/G14,0))</f>
        <v>0.13333333333333333</v>
      </c>
      <c r="K14" s="11" cm="1">
        <f t="array" ref="K14">IF($A14="","",IFERROR((SUMPRODUCT((TRIM(tblDados[Mandante])=$A14)*tblDados[Primeira_Ocorrencia]*((tblDados[GM_M]+tblDados[GS_M])&gt;0.5))+SUMPRODUCT((TRIM(tblDados[Visitante])=$A14)*tblDados[Primeira_Ocorrencia]*((tblDados[GM_V]+tblDados[GS_V])&gt;0.5)))/G14,0))</f>
        <v>0.93333333333333335</v>
      </c>
      <c r="L14" s="11" cm="1">
        <f t="array" ref="L14">IF($A14="","",IFERROR((SUMPRODUCT((TRIM(tblDados[Mandante])=$A14)*tblDados[Primeira_Ocorrencia]*((tblDados[GM_M]+tblDados[GS_M])&gt;1.5))+SUMPRODUCT((TRIM(tblDados[Visitante])=$A14)*tblDados[Primeira_Ocorrencia]*((tblDados[GM_V]+tblDados[GS_V])&gt;1.5)))/G14,0))</f>
        <v>0.93333333333333335</v>
      </c>
      <c r="M14" s="11" cm="1">
        <f t="array" ref="M14">IF($A14="","",IFERROR((SUMPRODUCT((TRIM(tblDados[Mandante])=$A14)*tblDados[Primeira_Ocorrencia]*((tblDados[GM_M]+tblDados[GS_M])&gt;2.5))+SUMPRODUCT((TRIM(tblDados[Visitante])=$A14)*tblDados[Primeira_Ocorrencia]*((tblDados[GM_V]+tblDados[GS_V])&gt;2.5)))/G14,0))</f>
        <v>0.8666666666666667</v>
      </c>
      <c r="N14" s="11" cm="1">
        <f t="array" ref="N14">IF($A14="","",IFERROR((SUMPRODUCT((TRIM(tblDados[Mandante])=$A14)*tblDados[Primeira_Ocorrencia]*((tblDados[GM_M]+tblDados[GS_M])&gt;3.5))+SUMPRODUCT((TRIM(tblDados[Visitante])=$A14)*tblDados[Primeira_Ocorrencia]*((tblDados[GM_V]+tblDados[GS_V])&gt;3.5)))/G14,0))</f>
        <v>0.46666666666666667</v>
      </c>
      <c r="O14" s="11" cm="1">
        <f t="array" ref="O14">IF($A14="","",IFERROR((SUMPRODUCT((TRIM(tblDados[Mandante])=$A14)*tblDados[Primeira_Ocorrencia]*(tblDados[GM_M]&gt;0)*(tblDados[GS_M]&gt;0))+SUMPRODUCT((TRIM(tblDados[Visitante])=$A14)*tblDados[Primeira_Ocorrencia]*(tblDados[GM_V]&gt;0)*(tblDados[GS_V]&gt;0)))/G14,0))</f>
        <v>0.8</v>
      </c>
      <c r="P14" s="10" cm="1">
        <f t="array" ref="P14">IF($A14="","",IFERROR((SUMPRODUCT((TRIM(tblDados[Mandante])=$A14)*tblDados[Primeira_Ocorrencia]*tblDados[GM_M]^2)+SUMPRODUCT((TRIM(tblDados[Visitante])=$A14)*tblDados[Primeira_Ocorrencia]*tblDados[GM_V]^2))/G14-H14^2,0))</f>
        <v>2.0888888888888881</v>
      </c>
      <c r="Q14" s="10">
        <f t="shared" si="9"/>
        <v>1.4452988925785863</v>
      </c>
      <c r="R14" s="8" t="str">
        <f t="shared" si="10"/>
        <v>Poisson</v>
      </c>
      <c r="S14" s="10" cm="1">
        <f t="array" ref="S14">IF($A14="","",SUMPRODUCT((TRIM(tblDados[Mandante])=$A14)*tblDados[Primeira_Ocorrencia]*tblDados[GM_M]))</f>
        <v>19</v>
      </c>
      <c r="T14" s="10" cm="1">
        <f t="array" ref="T14">IF($A14="","",SUMPRODUCT((TRIM(tblDados[Visitante])=$A14)*tblDados[Primeira_Ocorrencia]*tblDados[GM_V]))</f>
        <v>6</v>
      </c>
      <c r="U14" s="10">
        <f t="shared" si="11"/>
        <v>25</v>
      </c>
      <c r="V14" s="10">
        <f t="shared" si="0"/>
        <v>1.6666666666666667</v>
      </c>
      <c r="W14" s="10" cm="1">
        <f t="array" ref="W14">IF($A14="","",SUMPRODUCT((TRIM(tblDados[Mandante])=$A14)*tblDados[Primeira_Ocorrencia]*tblDados[GS_M]))</f>
        <v>19</v>
      </c>
      <c r="X14" s="10" cm="1">
        <f t="array" ref="X14">IF($A14="","",SUMPRODUCT((TRIM(tblDados[Visitante])=$A14)*tblDados[Primeira_Ocorrencia]*tblDados[GS_V]))</f>
        <v>10</v>
      </c>
      <c r="Y14" s="10">
        <f t="shared" si="12"/>
        <v>29</v>
      </c>
      <c r="Z14" s="10">
        <f t="shared" si="1"/>
        <v>1.9333333333333333</v>
      </c>
      <c r="AA14" s="10">
        <f t="shared" si="2"/>
        <v>1.9</v>
      </c>
      <c r="AB14" s="10">
        <f t="shared" si="3"/>
        <v>1.9</v>
      </c>
      <c r="AC14" s="10">
        <f t="shared" si="4"/>
        <v>1.2</v>
      </c>
      <c r="AD14" s="10">
        <f t="shared" si="5"/>
        <v>2</v>
      </c>
    </row>
    <row r="15" spans="1:30" x14ac:dyDescent="0.3">
      <c r="A15" s="7" t="str">
        <v>Huima / Urho</v>
      </c>
      <c r="B15" s="12" t="str" cm="1">
        <f t="array" ref="B15">IF($A15="","",_xlfn.LET(_xlpm.p,IFERROR(INDEX(tblDados[País],MATCH($A15,TRIM(tblDados[Mandante]),0)),INDEX(tblDados[País],MATCH($A15,TRIM(tblDados[Visitante]),0))),_xlpm.l,IFERROR(INDEX(tblDados[Liga],MATCH($A15,TRIM(tblDados[Mandante]),0)),INDEX(tblDados[Liga],MATCH($A15,TRIM(tblDados[Visitante]),0))),_xlpm.p&amp;" - "&amp;_xlpm.l))</f>
        <v>FIN - Kakkonen C</v>
      </c>
      <c r="C15" s="10">
        <f t="shared" si="6"/>
        <v>4.75</v>
      </c>
      <c r="D15" s="10">
        <f t="shared" si="7"/>
        <v>3.4285714285714288</v>
      </c>
      <c r="E15" s="9" cm="1">
        <f t="array" ref="E15">IF($A15="","",SUMPRODUCT((TRIM(tblDados[Mandante])=$A15)*tblDados[Primeira_Ocorrencia]))</f>
        <v>8</v>
      </c>
      <c r="F15" s="9" cm="1">
        <f t="array" ref="F15">IF($A15="","",SUMPRODUCT((TRIM(tblDados[Visitante])=$A15)*tblDados[Primeira_Ocorrencia]))</f>
        <v>7</v>
      </c>
      <c r="G15" s="9" cm="1">
        <f t="array" ref="G15">IF($A15="","",SUMPRODUCT((TRIM(tblDados[Mandante])=$A15)*tblDados[Primeira_Ocorrencia])+SUMPRODUCT((TRIM(tblDados[Visitante])=$A15)*tblDados[Primeira_Ocorrencia]))</f>
        <v>15</v>
      </c>
      <c r="H15" s="10">
        <f t="shared" si="8"/>
        <v>2.7333333333333334</v>
      </c>
      <c r="I15" s="10" cm="1">
        <f t="array" ref="I15">IF($A15="","",_xlfn.LET(_xlpm.p,IFERROR(INDEX(tblDados[País],MATCH($A15,TRIM(tblDados[Mandante]),0)),INDEX(tblDados[País],MATCH($A15,TRIM(tblDados[Visitante]),0))),_xlpm.l,IFERROR(INDEX(tblDados[Liga],MATCH($A15,TRIM(tblDados[Mandante]),0)),INDEX(tblDados[Liga],MATCH($A15,TRIM(tblDados[Visitante]),0))),IFERROR(SUMIFS(Ligas!$D$2:$D$39,Ligas!$H$2:$H$39,_xlpm.p,Ligas!$I$2:$I$39,_xlpm.l),0)))</f>
        <v>4.32</v>
      </c>
      <c r="J15" s="11" cm="1">
        <f t="array" ref="J15">IF($A15="","",IFERROR((SUMPRODUCT((TRIM(tblDados[Mandante])=$A15)*tblDados[Primeira_Ocorrencia]*(tblDados[GM_M]=0))+SUMPRODUCT((TRIM(tblDados[Visitante])=$A15)*tblDados[Primeira_Ocorrencia]*(tblDados[GM_V]=0)))/G15,0))</f>
        <v>6.6666666666666666E-2</v>
      </c>
      <c r="K15" s="11" cm="1">
        <f t="array" ref="K15">IF($A15="","",IFERROR((SUMPRODUCT((TRIM(tblDados[Mandante])=$A15)*tblDados[Primeira_Ocorrencia]*((tblDados[GM_M]+tblDados[GS_M])&gt;0.5))+SUMPRODUCT((TRIM(tblDados[Visitante])=$A15)*tblDados[Primeira_Ocorrencia]*((tblDados[GM_V]+tblDados[GS_V])&gt;0.5)))/G15,0))</f>
        <v>0.93333333333333335</v>
      </c>
      <c r="L15" s="11" cm="1">
        <f t="array" ref="L15">IF($A15="","",IFERROR((SUMPRODUCT((TRIM(tblDados[Mandante])=$A15)*tblDados[Primeira_Ocorrencia]*((tblDados[GM_M]+tblDados[GS_M])&gt;1.5))+SUMPRODUCT((TRIM(tblDados[Visitante])=$A15)*tblDados[Primeira_Ocorrencia]*((tblDados[GM_V]+tblDados[GS_V])&gt;1.5)))/G15,0))</f>
        <v>0.8</v>
      </c>
      <c r="M15" s="11" cm="1">
        <f t="array" ref="M15">IF($A15="","",IFERROR((SUMPRODUCT((TRIM(tblDados[Mandante])=$A15)*tblDados[Primeira_Ocorrencia]*((tblDados[GM_M]+tblDados[GS_M])&gt;2.5))+SUMPRODUCT((TRIM(tblDados[Visitante])=$A15)*tblDados[Primeira_Ocorrencia]*((tblDados[GM_V]+tblDados[GS_V])&gt;2.5)))/G15,0))</f>
        <v>0.8</v>
      </c>
      <c r="N15" s="11" cm="1">
        <f t="array" ref="N15">IF($A15="","",IFERROR((SUMPRODUCT((TRIM(tblDados[Mandante])=$A15)*tblDados[Primeira_Ocorrencia]*((tblDados[GM_M]+tblDados[GS_M])&gt;3.5))+SUMPRODUCT((TRIM(tblDados[Visitante])=$A15)*tblDados[Primeira_Ocorrencia]*((tblDados[GM_V]+tblDados[GS_V])&gt;3.5)))/G15,0))</f>
        <v>0.6</v>
      </c>
      <c r="O15" s="11" cm="1">
        <f t="array" ref="O15">IF($A15="","",IFERROR((SUMPRODUCT((TRIM(tblDados[Mandante])=$A15)*tblDados[Primeira_Ocorrencia]*(tblDados[GM_M]&gt;0)*(tblDados[GS_M]&gt;0))+SUMPRODUCT((TRIM(tblDados[Visitante])=$A15)*tblDados[Primeira_Ocorrencia]*(tblDados[GM_V]&gt;0)*(tblDados[GS_V]&gt;0)))/G15,0))</f>
        <v>0.6</v>
      </c>
      <c r="P15" s="10" cm="1">
        <f t="array" ref="P15">IF($A15="","",IFERROR((SUMPRODUCT((TRIM(tblDados[Mandante])=$A15)*tblDados[Primeira_Ocorrencia]*tblDados[GM_M]^2)+SUMPRODUCT((TRIM(tblDados[Visitante])=$A15)*tblDados[Primeira_Ocorrencia]*tblDados[GM_V]^2))/G15-H15^2,0))</f>
        <v>3.2622222222222215</v>
      </c>
      <c r="Q15" s="10">
        <f t="shared" si="9"/>
        <v>1.8061622912192086</v>
      </c>
      <c r="R15" s="8" t="str">
        <f t="shared" si="10"/>
        <v>Poisson</v>
      </c>
      <c r="S15" s="10" cm="1">
        <f t="array" ref="S15">IF($A15="","",SUMPRODUCT((TRIM(tblDados[Mandante])=$A15)*tblDados[Primeira_Ocorrencia]*tblDados[GM_M]))</f>
        <v>27</v>
      </c>
      <c r="T15" s="10" cm="1">
        <f t="array" ref="T15">IF($A15="","",SUMPRODUCT((TRIM(tblDados[Visitante])=$A15)*tblDados[Primeira_Ocorrencia]*tblDados[GM_V]))</f>
        <v>14</v>
      </c>
      <c r="U15" s="10">
        <f t="shared" si="11"/>
        <v>41</v>
      </c>
      <c r="V15" s="10">
        <f t="shared" si="0"/>
        <v>2.7333333333333334</v>
      </c>
      <c r="W15" s="10" cm="1">
        <f t="array" ref="W15">IF($A15="","",SUMPRODUCT((TRIM(tblDados[Mandante])=$A15)*tblDados[Primeira_Ocorrencia]*tblDados[GS_M]))</f>
        <v>11</v>
      </c>
      <c r="X15" s="10" cm="1">
        <f t="array" ref="X15">IF($A15="","",SUMPRODUCT((TRIM(tblDados[Visitante])=$A15)*tblDados[Primeira_Ocorrencia]*tblDados[GS_V]))</f>
        <v>10</v>
      </c>
      <c r="Y15" s="10">
        <f t="shared" si="12"/>
        <v>21</v>
      </c>
      <c r="Z15" s="10">
        <f t="shared" si="1"/>
        <v>1.4</v>
      </c>
      <c r="AA15" s="10">
        <f t="shared" si="2"/>
        <v>3.375</v>
      </c>
      <c r="AB15" s="10">
        <f t="shared" si="3"/>
        <v>1.375</v>
      </c>
      <c r="AC15" s="10">
        <f t="shared" si="4"/>
        <v>2</v>
      </c>
      <c r="AD15" s="10">
        <f t="shared" si="5"/>
        <v>1.4285714285714286</v>
      </c>
    </row>
    <row r="16" spans="1:30" x14ac:dyDescent="0.3">
      <c r="A16" s="7" t="str">
        <v>MuSa</v>
      </c>
      <c r="B16" s="12" t="str" cm="1">
        <f t="array" ref="B16">IF($A16="","",_xlfn.LET(_xlpm.p,IFERROR(INDEX(tblDados[País],MATCH($A16,TRIM(tblDados[Mandante]),0)),INDEX(tblDados[País],MATCH($A16,TRIM(tblDados[Visitante]),0))),_xlpm.l,IFERROR(INDEX(tblDados[Liga],MATCH($A16,TRIM(tblDados[Mandante]),0)),INDEX(tblDados[Liga],MATCH($A16,TRIM(tblDados[Visitante]),0))),_xlpm.p&amp;" - "&amp;_xlpm.l))</f>
        <v>FIN - Kakkonen B</v>
      </c>
      <c r="C16" s="10">
        <f t="shared" si="6"/>
        <v>3.5714285714285712</v>
      </c>
      <c r="D16" s="10">
        <f t="shared" si="7"/>
        <v>4.875</v>
      </c>
      <c r="E16" s="9" cm="1">
        <f t="array" ref="E16">IF($A16="","",SUMPRODUCT((TRIM(tblDados[Mandante])=$A16)*tblDados[Primeira_Ocorrencia]))</f>
        <v>7</v>
      </c>
      <c r="F16" s="9" cm="1">
        <f t="array" ref="F16">IF($A16="","",SUMPRODUCT((TRIM(tblDados[Visitante])=$A16)*tblDados[Primeira_Ocorrencia]))</f>
        <v>8</v>
      </c>
      <c r="G16" s="9" cm="1">
        <f t="array" ref="G16">IF($A16="","",SUMPRODUCT((TRIM(tblDados[Mandante])=$A16)*tblDados[Primeira_Ocorrencia])+SUMPRODUCT((TRIM(tblDados[Visitante])=$A16)*tblDados[Primeira_Ocorrencia]))</f>
        <v>15</v>
      </c>
      <c r="H16" s="10">
        <f t="shared" si="8"/>
        <v>1.0666666666666667</v>
      </c>
      <c r="I16" s="10" cm="1">
        <f t="array" ref="I16">IF($A16="","",_xlfn.LET(_xlpm.p,IFERROR(INDEX(tblDados[País],MATCH($A16,TRIM(tblDados[Mandante]),0)),INDEX(tblDados[País],MATCH($A16,TRIM(tblDados[Visitante]),0))),_xlpm.l,IFERROR(INDEX(tblDados[Liga],MATCH($A16,TRIM(tblDados[Mandante]),0)),INDEX(tblDados[Liga],MATCH($A16,TRIM(tblDados[Visitante]),0))),IFERROR(SUMIFS(Ligas!$D$2:$D$39,Ligas!$H$2:$H$39,_xlpm.p,Ligas!$I$2:$I$39,_xlpm.l),0)))</f>
        <v>3.56</v>
      </c>
      <c r="J16" s="11" cm="1">
        <f t="array" ref="J16">IF($A16="","",IFERROR((SUMPRODUCT((TRIM(tblDados[Mandante])=$A16)*tblDados[Primeira_Ocorrencia]*(tblDados[GM_M]=0))+SUMPRODUCT((TRIM(tblDados[Visitante])=$A16)*tblDados[Primeira_Ocorrencia]*(tblDados[GM_V]=0)))/G16,0))</f>
        <v>0.4</v>
      </c>
      <c r="K16" s="11" cm="1">
        <f t="array" ref="K16">IF($A16="","",IFERROR((SUMPRODUCT((TRIM(tblDados[Mandante])=$A16)*tblDados[Primeira_Ocorrencia]*((tblDados[GM_M]+tblDados[GS_M])&gt;0.5))+SUMPRODUCT((TRIM(tblDados[Visitante])=$A16)*tblDados[Primeira_Ocorrencia]*((tblDados[GM_V]+tblDados[GS_V])&gt;0.5)))/G16,0))</f>
        <v>0.93333333333333335</v>
      </c>
      <c r="L16" s="11" cm="1">
        <f t="array" ref="L16">IF($A16="","",IFERROR((SUMPRODUCT((TRIM(tblDados[Mandante])=$A16)*tblDados[Primeira_Ocorrencia]*((tblDados[GM_M]+tblDados[GS_M])&gt;1.5))+SUMPRODUCT((TRIM(tblDados[Visitante])=$A16)*tblDados[Primeira_Ocorrencia]*((tblDados[GM_V]+tblDados[GS_V])&gt;1.5)))/G16,0))</f>
        <v>0.93333333333333335</v>
      </c>
      <c r="M16" s="11" cm="1">
        <f t="array" ref="M16">IF($A16="","",IFERROR((SUMPRODUCT((TRIM(tblDados[Mandante])=$A16)*tblDados[Primeira_Ocorrencia]*((tblDados[GM_M]+tblDados[GS_M])&gt;2.5))+SUMPRODUCT((TRIM(tblDados[Visitante])=$A16)*tblDados[Primeira_Ocorrencia]*((tblDados[GM_V]+tblDados[GS_V])&gt;2.5)))/G16,0))</f>
        <v>0.66666666666666663</v>
      </c>
      <c r="N16" s="11" cm="1">
        <f t="array" ref="N16">IF($A16="","",IFERROR((SUMPRODUCT((TRIM(tblDados[Mandante])=$A16)*tblDados[Primeira_Ocorrencia]*((tblDados[GM_M]+tblDados[GS_M])&gt;3.5))+SUMPRODUCT((TRIM(tblDados[Visitante])=$A16)*tblDados[Primeira_Ocorrencia]*((tblDados[GM_V]+tblDados[GS_V])&gt;3.5)))/G16,0))</f>
        <v>0.6</v>
      </c>
      <c r="O16" s="11" cm="1">
        <f t="array" ref="O16">IF($A16="","",IFERROR((SUMPRODUCT((TRIM(tblDados[Mandante])=$A16)*tblDados[Primeira_Ocorrencia]*(tblDados[GM_M]&gt;0)*(tblDados[GS_M]&gt;0))+SUMPRODUCT((TRIM(tblDados[Visitante])=$A16)*tblDados[Primeira_Ocorrencia]*(tblDados[GM_V]&gt;0)*(tblDados[GS_V]&gt;0)))/G16,0))</f>
        <v>0.53333333333333333</v>
      </c>
      <c r="P16" s="10" cm="1">
        <f t="array" ref="P16">IF($A16="","",IFERROR((SUMPRODUCT((TRIM(tblDados[Mandante])=$A16)*tblDados[Primeira_Ocorrencia]*tblDados[GM_M]^2)+SUMPRODUCT((TRIM(tblDados[Visitante])=$A16)*tblDados[Primeira_Ocorrencia]*tblDados[GM_V]^2))/G16-H16^2,0))</f>
        <v>1.1288888888888888</v>
      </c>
      <c r="Q16" s="10">
        <f t="shared" si="9"/>
        <v>1.0624918300339485</v>
      </c>
      <c r="R16" s="8" t="str">
        <f t="shared" si="10"/>
        <v>Poisson</v>
      </c>
      <c r="S16" s="10" cm="1">
        <f t="array" ref="S16">IF($A16="","",SUMPRODUCT((TRIM(tblDados[Mandante])=$A16)*tblDados[Primeira_Ocorrencia]*tblDados[GM_M]))</f>
        <v>8</v>
      </c>
      <c r="T16" s="10" cm="1">
        <f t="array" ref="T16">IF($A16="","",SUMPRODUCT((TRIM(tblDados[Visitante])=$A16)*tblDados[Primeira_Ocorrencia]*tblDados[GM_V]))</f>
        <v>8</v>
      </c>
      <c r="U16" s="10">
        <f t="shared" si="11"/>
        <v>16</v>
      </c>
      <c r="V16" s="10">
        <f t="shared" si="0"/>
        <v>1.0666666666666667</v>
      </c>
      <c r="W16" s="10" cm="1">
        <f t="array" ref="W16">IF($A16="","",SUMPRODUCT((TRIM(tblDados[Mandante])=$A16)*tblDados[Primeira_Ocorrencia]*tblDados[GS_M]))</f>
        <v>17</v>
      </c>
      <c r="X16" s="10" cm="1">
        <f t="array" ref="X16">IF($A16="","",SUMPRODUCT((TRIM(tblDados[Visitante])=$A16)*tblDados[Primeira_Ocorrencia]*tblDados[GS_V]))</f>
        <v>31</v>
      </c>
      <c r="Y16" s="10">
        <f t="shared" si="12"/>
        <v>48</v>
      </c>
      <c r="Z16" s="10">
        <f t="shared" si="1"/>
        <v>3.2</v>
      </c>
      <c r="AA16" s="10">
        <f t="shared" si="2"/>
        <v>1.1428571428571428</v>
      </c>
      <c r="AB16" s="10">
        <f t="shared" si="3"/>
        <v>2.4285714285714284</v>
      </c>
      <c r="AC16" s="10">
        <f t="shared" si="4"/>
        <v>1</v>
      </c>
      <c r="AD16" s="10">
        <f t="shared" si="5"/>
        <v>3.875</v>
      </c>
    </row>
    <row r="17" spans="1:30" x14ac:dyDescent="0.3">
      <c r="A17" s="7" t="str">
        <v>Närpes Kraft</v>
      </c>
      <c r="B17" s="12" t="str" cm="1">
        <f t="array" ref="B17">IF($A17="","",_xlfn.LET(_xlpm.p,IFERROR(INDEX(tblDados[País],MATCH($A17,TRIM(tblDados[Mandante]),0)),INDEX(tblDados[País],MATCH($A17,TRIM(tblDados[Visitante]),0))),_xlpm.l,IFERROR(INDEX(tblDados[Liga],MATCH($A17,TRIM(tblDados[Mandante]),0)),INDEX(tblDados[Liga],MATCH($A17,TRIM(tblDados[Visitante]),0))),_xlpm.p&amp;" - "&amp;_xlpm.l))</f>
        <v>FIN - Kakkonen C</v>
      </c>
      <c r="C17" s="10">
        <f t="shared" si="6"/>
        <v>4.875</v>
      </c>
      <c r="D17" s="10">
        <f t="shared" si="7"/>
        <v>6.4285714285714288</v>
      </c>
      <c r="E17" s="9" cm="1">
        <f t="array" ref="E17">IF($A17="","",SUMPRODUCT((TRIM(tblDados[Mandante])=$A17)*tblDados[Primeira_Ocorrencia]))</f>
        <v>8</v>
      </c>
      <c r="F17" s="9" cm="1">
        <f t="array" ref="F17">IF($A17="","",SUMPRODUCT((TRIM(tblDados[Visitante])=$A17)*tblDados[Primeira_Ocorrencia]))</f>
        <v>7</v>
      </c>
      <c r="G17" s="9" cm="1">
        <f t="array" ref="G17">IF($A17="","",SUMPRODUCT((TRIM(tblDados[Mandante])=$A17)*tblDados[Primeira_Ocorrencia])+SUMPRODUCT((TRIM(tblDados[Visitante])=$A17)*tblDados[Primeira_Ocorrencia]))</f>
        <v>15</v>
      </c>
      <c r="H17" s="10">
        <f t="shared" si="8"/>
        <v>3.0666666666666669</v>
      </c>
      <c r="I17" s="10" cm="1">
        <f t="array" ref="I17">IF($A17="","",_xlfn.LET(_xlpm.p,IFERROR(INDEX(tblDados[País],MATCH($A17,TRIM(tblDados[Mandante]),0)),INDEX(tblDados[País],MATCH($A17,TRIM(tblDados[Visitante]),0))),_xlpm.l,IFERROR(INDEX(tblDados[Liga],MATCH($A17,TRIM(tblDados[Mandante]),0)),INDEX(tblDados[Liga],MATCH($A17,TRIM(tblDados[Visitante]),0))),IFERROR(SUMIFS(Ligas!$D$2:$D$39,Ligas!$H$2:$H$39,_xlpm.p,Ligas!$I$2:$I$39,_xlpm.l),0)))</f>
        <v>4.32</v>
      </c>
      <c r="J17" s="11" cm="1">
        <f t="array" ref="J17">IF($A17="","",IFERROR((SUMPRODUCT((TRIM(tblDados[Mandante])=$A17)*tblDados[Primeira_Ocorrencia]*(tblDados[GM_M]=0))+SUMPRODUCT((TRIM(tblDados[Visitante])=$A17)*tblDados[Primeira_Ocorrencia]*(tblDados[GM_V]=0)))/G17,0))</f>
        <v>6.6666666666666666E-2</v>
      </c>
      <c r="K17" s="11" cm="1">
        <f t="array" ref="K17">IF($A17="","",IFERROR((SUMPRODUCT((TRIM(tblDados[Mandante])=$A17)*tblDados[Primeira_Ocorrencia]*((tblDados[GM_M]+tblDados[GS_M])&gt;0.5))+SUMPRODUCT((TRIM(tblDados[Visitante])=$A17)*tblDados[Primeira_Ocorrencia]*((tblDados[GM_V]+tblDados[GS_V])&gt;0.5)))/G17,0))</f>
        <v>1</v>
      </c>
      <c r="L17" s="11" cm="1">
        <f t="array" ref="L17">IF($A17="","",IFERROR((SUMPRODUCT((TRIM(tblDados[Mandante])=$A17)*tblDados[Primeira_Ocorrencia]*((tblDados[GM_M]+tblDados[GS_M])&gt;1.5))+SUMPRODUCT((TRIM(tblDados[Visitante])=$A17)*tblDados[Primeira_Ocorrencia]*((tblDados[GM_V]+tblDados[GS_V])&gt;1.5)))/G17,0))</f>
        <v>0.93333333333333335</v>
      </c>
      <c r="M17" s="11" cm="1">
        <f t="array" ref="M17">IF($A17="","",IFERROR((SUMPRODUCT((TRIM(tblDados[Mandante])=$A17)*tblDados[Primeira_Ocorrencia]*((tblDados[GM_M]+tblDados[GS_M])&gt;2.5))+SUMPRODUCT((TRIM(tblDados[Visitante])=$A17)*tblDados[Primeira_Ocorrencia]*((tblDados[GM_V]+tblDados[GS_V])&gt;2.5)))/G17,0))</f>
        <v>0.93333333333333335</v>
      </c>
      <c r="N17" s="11" cm="1">
        <f t="array" ref="N17">IF($A17="","",IFERROR((SUMPRODUCT((TRIM(tblDados[Mandante])=$A17)*tblDados[Primeira_Ocorrencia]*((tblDados[GM_M]+tblDados[GS_M])&gt;3.5))+SUMPRODUCT((TRIM(tblDados[Visitante])=$A17)*tblDados[Primeira_Ocorrencia]*((tblDados[GM_V]+tblDados[GS_V])&gt;3.5)))/G17,0))</f>
        <v>0.8</v>
      </c>
      <c r="O17" s="11" cm="1">
        <f t="array" ref="O17">IF($A17="","",IFERROR((SUMPRODUCT((TRIM(tblDados[Mandante])=$A17)*tblDados[Primeira_Ocorrencia]*(tblDados[GM_M]&gt;0)*(tblDados[GS_M]&gt;0))+SUMPRODUCT((TRIM(tblDados[Visitante])=$A17)*tblDados[Primeira_Ocorrencia]*(tblDados[GM_V]&gt;0)*(tblDados[GS_V]&gt;0)))/G17,0))</f>
        <v>0.8</v>
      </c>
      <c r="P17" s="10" cm="1">
        <f t="array" ref="P17">IF($A17="","",IFERROR((SUMPRODUCT((TRIM(tblDados[Mandante])=$A17)*tblDados[Primeira_Ocorrencia]*tblDados[GM_M]^2)+SUMPRODUCT((TRIM(tblDados[Visitante])=$A17)*tblDados[Primeira_Ocorrencia]*tblDados[GM_V]^2))/G17-H17^2,0))</f>
        <v>4.328888888888887</v>
      </c>
      <c r="Q17" s="10">
        <f t="shared" si="9"/>
        <v>2.0805982045769644</v>
      </c>
      <c r="R17" s="8" t="str">
        <f t="shared" si="10"/>
        <v>Poisson</v>
      </c>
      <c r="S17" s="10" cm="1">
        <f t="array" ref="S17">IF($A17="","",SUMPRODUCT((TRIM(tblDados[Mandante])=$A17)*tblDados[Primeira_Ocorrencia]*tblDados[GM_M]))</f>
        <v>24</v>
      </c>
      <c r="T17" s="10" cm="1">
        <f t="array" ref="T17">IF($A17="","",SUMPRODUCT((TRIM(tblDados[Visitante])=$A17)*tblDados[Primeira_Ocorrencia]*tblDados[GM_V]))</f>
        <v>22</v>
      </c>
      <c r="U17" s="10">
        <f t="shared" si="11"/>
        <v>46</v>
      </c>
      <c r="V17" s="10">
        <f t="shared" si="0"/>
        <v>3.0666666666666669</v>
      </c>
      <c r="W17" s="10" cm="1">
        <f t="array" ref="W17">IF($A17="","",SUMPRODUCT((TRIM(tblDados[Mandante])=$A17)*tblDados[Primeira_Ocorrencia]*tblDados[GS_M]))</f>
        <v>15</v>
      </c>
      <c r="X17" s="10" cm="1">
        <f t="array" ref="X17">IF($A17="","",SUMPRODUCT((TRIM(tblDados[Visitante])=$A17)*tblDados[Primeira_Ocorrencia]*tblDados[GS_V]))</f>
        <v>23</v>
      </c>
      <c r="Y17" s="10">
        <f t="shared" si="12"/>
        <v>38</v>
      </c>
      <c r="Z17" s="10">
        <f t="shared" si="1"/>
        <v>2.5333333333333332</v>
      </c>
      <c r="AA17" s="10">
        <f t="shared" si="2"/>
        <v>3</v>
      </c>
      <c r="AB17" s="10">
        <f t="shared" si="3"/>
        <v>1.875</v>
      </c>
      <c r="AC17" s="10">
        <f t="shared" si="4"/>
        <v>3.1428571428571428</v>
      </c>
      <c r="AD17" s="10">
        <f t="shared" si="5"/>
        <v>3.2857142857142856</v>
      </c>
    </row>
    <row r="18" spans="1:30" x14ac:dyDescent="0.3">
      <c r="A18" s="7" t="str">
        <v>Operário-PR</v>
      </c>
      <c r="B18" s="12" t="str" cm="1">
        <f t="array" ref="B18">IF($A18="","",_xlfn.LET(_xlpm.p,IFERROR(INDEX(tblDados[País],MATCH($A18,TRIM(tblDados[Mandante]),0)),INDEX(tblDados[País],MATCH($A18,TRIM(tblDados[Visitante]),0))),_xlpm.l,IFERROR(INDEX(tblDados[Liga],MATCH($A18,TRIM(tblDados[Mandante]),0)),INDEX(tblDados[Liga],MATCH($A18,TRIM(tblDados[Visitante]),0))),_xlpm.p&amp;" - "&amp;_xlpm.l))</f>
        <v>BRA - Série B</v>
      </c>
      <c r="C18" s="10">
        <f t="shared" si="6"/>
        <v>3.625</v>
      </c>
      <c r="D18" s="10">
        <f t="shared" si="7"/>
        <v>3</v>
      </c>
      <c r="E18" s="9" cm="1">
        <f t="array" ref="E18">IF($A18="","",SUMPRODUCT((TRIM(tblDados[Mandante])=$A18)*tblDados[Primeira_Ocorrencia]))</f>
        <v>8</v>
      </c>
      <c r="F18" s="9" cm="1">
        <f t="array" ref="F18">IF($A18="","",SUMPRODUCT((TRIM(tblDados[Visitante])=$A18)*tblDados[Primeira_Ocorrencia]))</f>
        <v>7</v>
      </c>
      <c r="G18" s="9" cm="1">
        <f t="array" ref="G18">IF($A18="","",SUMPRODUCT((TRIM(tblDados[Mandante])=$A18)*tblDados[Primeira_Ocorrencia])+SUMPRODUCT((TRIM(tblDados[Visitante])=$A18)*tblDados[Primeira_Ocorrencia]))</f>
        <v>15</v>
      </c>
      <c r="H18" s="10">
        <f t="shared" si="8"/>
        <v>1.6666666666666667</v>
      </c>
      <c r="I18" s="10" cm="1">
        <f t="array" ref="I18">IF($A18="","",_xlfn.LET(_xlpm.p,IFERROR(INDEX(tblDados[País],MATCH($A18,TRIM(tblDados[Mandante]),0)),INDEX(tblDados[País],MATCH($A18,TRIM(tblDados[Visitante]),0))),_xlpm.l,IFERROR(INDEX(tblDados[Liga],MATCH($A18,TRIM(tblDados[Mandante]),0)),INDEX(tblDados[Liga],MATCH($A18,TRIM(tblDados[Visitante]),0))),IFERROR(SUMIFS(Ligas!$D$2:$D$39,Ligas!$H$2:$H$39,_xlpm.p,Ligas!$I$2:$I$39,_xlpm.l),0)))</f>
        <v>2.31</v>
      </c>
      <c r="J18" s="11" cm="1">
        <f t="array" ref="J18">IF($A18="","",IFERROR((SUMPRODUCT((TRIM(tblDados[Mandante])=$A18)*tblDados[Primeira_Ocorrencia]*(tblDados[GM_M]=0))+SUMPRODUCT((TRIM(tblDados[Visitante])=$A18)*tblDados[Primeira_Ocorrencia]*(tblDados[GM_V]=0)))/G18,0))</f>
        <v>6.6666666666666666E-2</v>
      </c>
      <c r="K18" s="11" cm="1">
        <f t="array" ref="K18">IF($A18="","",IFERROR((SUMPRODUCT((TRIM(tblDados[Mandante])=$A18)*tblDados[Primeira_Ocorrencia]*((tblDados[GM_M]+tblDados[GS_M])&gt;0.5))+SUMPRODUCT((TRIM(tblDados[Visitante])=$A18)*tblDados[Primeira_Ocorrencia]*((tblDados[GM_V]+tblDados[GS_V])&gt;0.5)))/G18,0))</f>
        <v>1</v>
      </c>
      <c r="L18" s="11" cm="1">
        <f t="array" ref="L18">IF($A18="","",IFERROR((SUMPRODUCT((TRIM(tblDados[Mandante])=$A18)*tblDados[Primeira_Ocorrencia]*((tblDados[GM_M]+tblDados[GS_M])&gt;1.5))+SUMPRODUCT((TRIM(tblDados[Visitante])=$A18)*tblDados[Primeira_Ocorrencia]*((tblDados[GM_V]+tblDados[GS_V])&gt;1.5)))/G18,0))</f>
        <v>0.8666666666666667</v>
      </c>
      <c r="M18" s="11" cm="1">
        <f t="array" ref="M18">IF($A18="","",IFERROR((SUMPRODUCT((TRIM(tblDados[Mandante])=$A18)*tblDados[Primeira_Ocorrencia]*((tblDados[GM_M]+tblDados[GS_M])&gt;2.5))+SUMPRODUCT((TRIM(tblDados[Visitante])=$A18)*tblDados[Primeira_Ocorrencia]*((tblDados[GM_V]+tblDados[GS_V])&gt;2.5)))/G18,0))</f>
        <v>0.8</v>
      </c>
      <c r="N18" s="11" cm="1">
        <f t="array" ref="N18">IF($A18="","",IFERROR((SUMPRODUCT((TRIM(tblDados[Mandante])=$A18)*tblDados[Primeira_Ocorrencia]*((tblDados[GM_M]+tblDados[GS_M])&gt;3.5))+SUMPRODUCT((TRIM(tblDados[Visitante])=$A18)*tblDados[Primeira_Ocorrencia]*((tblDados[GM_V]+tblDados[GS_V])&gt;3.5)))/G18,0))</f>
        <v>0.33333333333333331</v>
      </c>
      <c r="O18" s="11" cm="1">
        <f t="array" ref="O18">IF($A18="","",IFERROR((SUMPRODUCT((TRIM(tblDados[Mandante])=$A18)*tblDados[Primeira_Ocorrencia]*(tblDados[GM_M]&gt;0)*(tblDados[GS_M]&gt;0))+SUMPRODUCT((TRIM(tblDados[Visitante])=$A18)*tblDados[Primeira_Ocorrencia]*(tblDados[GM_V]&gt;0)*(tblDados[GS_V]&gt;0)))/G18,0))</f>
        <v>0.66666666666666663</v>
      </c>
      <c r="P18" s="10" cm="1">
        <f t="array" ref="P18">IF($A18="","",IFERROR((SUMPRODUCT((TRIM(tblDados[Mandante])=$A18)*tblDados[Primeira_Ocorrencia]*tblDados[GM_M]^2)+SUMPRODUCT((TRIM(tblDados[Visitante])=$A18)*tblDados[Primeira_Ocorrencia]*tblDados[GM_V]^2))/G18-H18^2,0))</f>
        <v>0.75555555555555509</v>
      </c>
      <c r="Q18" s="10">
        <f t="shared" si="9"/>
        <v>0.86922698736035287</v>
      </c>
      <c r="R18" s="8" t="str">
        <f t="shared" si="10"/>
        <v>Poisson</v>
      </c>
      <c r="S18" s="10" cm="1">
        <f t="array" ref="S18">IF($A18="","",SUMPRODUCT((TRIM(tblDados[Mandante])=$A18)*tblDados[Primeira_Ocorrencia]*tblDados[GM_M]))</f>
        <v>15</v>
      </c>
      <c r="T18" s="10" cm="1">
        <f t="array" ref="T18">IF($A18="","",SUMPRODUCT((TRIM(tblDados[Visitante])=$A18)*tblDados[Primeira_Ocorrencia]*tblDados[GM_V]))</f>
        <v>10</v>
      </c>
      <c r="U18" s="10">
        <f t="shared" si="11"/>
        <v>25</v>
      </c>
      <c r="V18" s="10">
        <f t="shared" si="0"/>
        <v>1.6666666666666667</v>
      </c>
      <c r="W18" s="10" cm="1">
        <f t="array" ref="W18">IF($A18="","",SUMPRODUCT((TRIM(tblDados[Mandante])=$A18)*tblDados[Primeira_Ocorrencia]*tblDados[GS_M]))</f>
        <v>14</v>
      </c>
      <c r="X18" s="10" cm="1">
        <f t="array" ref="X18">IF($A18="","",SUMPRODUCT((TRIM(tblDados[Visitante])=$A18)*tblDados[Primeira_Ocorrencia]*tblDados[GS_V]))</f>
        <v>11</v>
      </c>
      <c r="Y18" s="10">
        <f t="shared" si="12"/>
        <v>25</v>
      </c>
      <c r="Z18" s="10">
        <f t="shared" si="1"/>
        <v>1.6666666666666667</v>
      </c>
      <c r="AA18" s="10">
        <f t="shared" si="2"/>
        <v>1.875</v>
      </c>
      <c r="AB18" s="10">
        <f t="shared" si="3"/>
        <v>1.75</v>
      </c>
      <c r="AC18" s="10">
        <f t="shared" si="4"/>
        <v>1.4285714285714286</v>
      </c>
      <c r="AD18" s="10">
        <f t="shared" si="5"/>
        <v>1.5714285714285714</v>
      </c>
    </row>
    <row r="19" spans="1:30" x14ac:dyDescent="0.3">
      <c r="A19" s="7" t="str">
        <v>PuiU</v>
      </c>
      <c r="B19" s="12" t="str" cm="1">
        <f t="array" ref="B19">IF($A19="","",_xlfn.LET(_xlpm.p,IFERROR(INDEX(tblDados[País],MATCH($A19,TRIM(tblDados[Mandante]),0)),INDEX(tblDados[País],MATCH($A19,TRIM(tblDados[Visitante]),0))),_xlpm.l,IFERROR(INDEX(tblDados[Liga],MATCH($A19,TRIM(tblDados[Mandante]),0)),INDEX(tblDados[Liga],MATCH($A19,TRIM(tblDados[Visitante]),0))),_xlpm.p&amp;" - "&amp;_xlpm.l))</f>
        <v>FIN - Kakkonen A</v>
      </c>
      <c r="C19" s="10">
        <f t="shared" si="6"/>
        <v>3.2857142857142856</v>
      </c>
      <c r="D19" s="10">
        <f t="shared" si="7"/>
        <v>3.75</v>
      </c>
      <c r="E19" s="9" cm="1">
        <f t="array" ref="E19">IF($A19="","",SUMPRODUCT((TRIM(tblDados[Mandante])=$A19)*tblDados[Primeira_Ocorrencia]))</f>
        <v>7</v>
      </c>
      <c r="F19" s="9" cm="1">
        <f t="array" ref="F19">IF($A19="","",SUMPRODUCT((TRIM(tblDados[Visitante])=$A19)*tblDados[Primeira_Ocorrencia]))</f>
        <v>8</v>
      </c>
      <c r="G19" s="9" cm="1">
        <f t="array" ref="G19">IF($A19="","",SUMPRODUCT((TRIM(tblDados[Mandante])=$A19)*tblDados[Primeira_Ocorrencia])+SUMPRODUCT((TRIM(tblDados[Visitante])=$A19)*tblDados[Primeira_Ocorrencia]))</f>
        <v>15</v>
      </c>
      <c r="H19" s="10">
        <f t="shared" si="8"/>
        <v>1.4</v>
      </c>
      <c r="I19" s="10" cm="1">
        <f t="array" ref="I19">IF($A19="","",_xlfn.LET(_xlpm.p,IFERROR(INDEX(tblDados[País],MATCH($A19,TRIM(tblDados[Mandante]),0)),INDEX(tblDados[País],MATCH($A19,TRIM(tblDados[Visitante]),0))),_xlpm.l,IFERROR(INDEX(tblDados[Liga],MATCH($A19,TRIM(tblDados[Mandante]),0)),INDEX(tblDados[Liga],MATCH($A19,TRIM(tblDados[Visitante]),0))),IFERROR(SUMIFS(Ligas!$D$2:$D$39,Ligas!$H$2:$H$39,_xlpm.p,Ligas!$I$2:$I$39,_xlpm.l),0)))</f>
        <v>3.79</v>
      </c>
      <c r="J19" s="11" cm="1">
        <f t="array" ref="J19">IF($A19="","",IFERROR((SUMPRODUCT((TRIM(tblDados[Mandante])=$A19)*tblDados[Primeira_Ocorrencia]*(tblDados[GM_M]=0))+SUMPRODUCT((TRIM(tblDados[Visitante])=$A19)*tblDados[Primeira_Ocorrencia]*(tblDados[GM_V]=0)))/G19,0))</f>
        <v>0.33333333333333331</v>
      </c>
      <c r="K19" s="11" cm="1">
        <f t="array" ref="K19">IF($A19="","",IFERROR((SUMPRODUCT((TRIM(tblDados[Mandante])=$A19)*tblDados[Primeira_Ocorrencia]*((tblDados[GM_M]+tblDados[GS_M])&gt;0.5))+SUMPRODUCT((TRIM(tblDados[Visitante])=$A19)*tblDados[Primeira_Ocorrencia]*((tblDados[GM_V]+tblDados[GS_V])&gt;0.5)))/G19,0))</f>
        <v>0.93333333333333335</v>
      </c>
      <c r="L19" s="11" cm="1">
        <f t="array" ref="L19">IF($A19="","",IFERROR((SUMPRODUCT((TRIM(tblDados[Mandante])=$A19)*tblDados[Primeira_Ocorrencia]*((tblDados[GM_M]+tblDados[GS_M])&gt;1.5))+SUMPRODUCT((TRIM(tblDados[Visitante])=$A19)*tblDados[Primeira_Ocorrencia]*((tblDados[GM_V]+tblDados[GS_V])&gt;1.5)))/G19,0))</f>
        <v>0.93333333333333335</v>
      </c>
      <c r="M19" s="11" cm="1">
        <f t="array" ref="M19">IF($A19="","",IFERROR((SUMPRODUCT((TRIM(tblDados[Mandante])=$A19)*tblDados[Primeira_Ocorrencia]*((tblDados[GM_M]+tblDados[GS_M])&gt;2.5))+SUMPRODUCT((TRIM(tblDados[Visitante])=$A19)*tblDados[Primeira_Ocorrencia]*((tblDados[GM_V]+tblDados[GS_V])&gt;2.5)))/G19,0))</f>
        <v>0.66666666666666663</v>
      </c>
      <c r="N19" s="11" cm="1">
        <f t="array" ref="N19">IF($A19="","",IFERROR((SUMPRODUCT((TRIM(tblDados[Mandante])=$A19)*tblDados[Primeira_Ocorrencia]*((tblDados[GM_M]+tblDados[GS_M])&gt;3.5))+SUMPRODUCT((TRIM(tblDados[Visitante])=$A19)*tblDados[Primeira_Ocorrencia]*((tblDados[GM_V]+tblDados[GS_V])&gt;3.5)))/G19,0))</f>
        <v>0.53333333333333333</v>
      </c>
      <c r="O19" s="11" cm="1">
        <f t="array" ref="O19">IF($A19="","",IFERROR((SUMPRODUCT((TRIM(tblDados[Mandante])=$A19)*tblDados[Primeira_Ocorrencia]*(tblDados[GM_M]&gt;0)*(tblDados[GS_M]&gt;0))+SUMPRODUCT((TRIM(tblDados[Visitante])=$A19)*tblDados[Primeira_Ocorrencia]*(tblDados[GM_V]&gt;0)*(tblDados[GS_V]&gt;0)))/G19,0))</f>
        <v>0.66666666666666663</v>
      </c>
      <c r="P19" s="10" cm="1">
        <f t="array" ref="P19">IF($A19="","",IFERROR((SUMPRODUCT((TRIM(tblDados[Mandante])=$A19)*tblDados[Primeira_Ocorrencia]*tblDados[GM_M]^2)+SUMPRODUCT((TRIM(tblDados[Visitante])=$A19)*tblDados[Primeira_Ocorrencia]*tblDados[GM_V]^2))/G19-H19^2,0))</f>
        <v>1.84</v>
      </c>
      <c r="Q19" s="10">
        <f t="shared" si="9"/>
        <v>1.3564659966250536</v>
      </c>
      <c r="R19" s="8" t="str">
        <f t="shared" si="10"/>
        <v>Poisson</v>
      </c>
      <c r="S19" s="10" cm="1">
        <f t="array" ref="S19">IF($A19="","",SUMPRODUCT((TRIM(tblDados[Mandante])=$A19)*tblDados[Primeira_Ocorrencia]*tblDados[GM_M]))</f>
        <v>12</v>
      </c>
      <c r="T19" s="10" cm="1">
        <f t="array" ref="T19">IF($A19="","",SUMPRODUCT((TRIM(tblDados[Visitante])=$A19)*tblDados[Primeira_Ocorrencia]*tblDados[GM_V]))</f>
        <v>9</v>
      </c>
      <c r="U19" s="10">
        <f t="shared" si="11"/>
        <v>21</v>
      </c>
      <c r="V19" s="10">
        <f t="shared" si="0"/>
        <v>1.4</v>
      </c>
      <c r="W19" s="10" cm="1">
        <f t="array" ref="W19">IF($A19="","",SUMPRODUCT((TRIM(tblDados[Mandante])=$A19)*tblDados[Primeira_Ocorrencia]*tblDados[GS_M]))</f>
        <v>11</v>
      </c>
      <c r="X19" s="10" cm="1">
        <f t="array" ref="X19">IF($A19="","",SUMPRODUCT((TRIM(tblDados[Visitante])=$A19)*tblDados[Primeira_Ocorrencia]*tblDados[GS_V]))</f>
        <v>21</v>
      </c>
      <c r="Y19" s="10">
        <f t="shared" si="12"/>
        <v>32</v>
      </c>
      <c r="Z19" s="10">
        <f t="shared" si="1"/>
        <v>2.1333333333333333</v>
      </c>
      <c r="AA19" s="10">
        <f t="shared" si="2"/>
        <v>1.7142857142857142</v>
      </c>
      <c r="AB19" s="10">
        <f t="shared" si="3"/>
        <v>1.5714285714285714</v>
      </c>
      <c r="AC19" s="10">
        <f t="shared" si="4"/>
        <v>1.125</v>
      </c>
      <c r="AD19" s="10">
        <f t="shared" si="5"/>
        <v>2.625</v>
      </c>
    </row>
    <row r="20" spans="1:30" x14ac:dyDescent="0.3">
      <c r="A20" s="7" t="str">
        <v>ABB</v>
      </c>
      <c r="B20" s="12" t="str" cm="1">
        <f t="array" ref="B20">IF($A20="","",_xlfn.LET(_xlpm.p,IFERROR(INDEX(tblDados[País],MATCH($A20,TRIM(tblDados[Mandante]),0)),INDEX(tblDados[País],MATCH($A20,TRIM(tblDados[Visitante]),0))),_xlpm.l,IFERROR(INDEX(tblDados[Liga],MATCH($A20,TRIM(tblDados[Mandante]),0)),INDEX(tblDados[Liga],MATCH($A20,TRIM(tblDados[Visitante]),0))),_xlpm.p&amp;" - "&amp;_xlpm.l))</f>
        <v>BOL - Div. Profesional</v>
      </c>
      <c r="C20" s="10">
        <f t="shared" si="6"/>
        <v>3.5714285714285712</v>
      </c>
      <c r="D20" s="10">
        <f t="shared" si="7"/>
        <v>4</v>
      </c>
      <c r="E20" s="9" cm="1">
        <f t="array" ref="E20">IF($A20="","",SUMPRODUCT((TRIM(tblDados[Mandante])=$A20)*tblDados[Primeira_Ocorrencia]))</f>
        <v>7</v>
      </c>
      <c r="F20" s="9" cm="1">
        <f t="array" ref="F20">IF($A20="","",SUMPRODUCT((TRIM(tblDados[Visitante])=$A20)*tblDados[Primeira_Ocorrencia]))</f>
        <v>7</v>
      </c>
      <c r="G20" s="9" cm="1">
        <f t="array" ref="G20">IF($A20="","",SUMPRODUCT((TRIM(tblDados[Mandante])=$A20)*tblDados[Primeira_Ocorrencia])+SUMPRODUCT((TRIM(tblDados[Visitante])=$A20)*tblDados[Primeira_Ocorrencia]))</f>
        <v>14</v>
      </c>
      <c r="H20" s="10">
        <f t="shared" si="8"/>
        <v>1.7142857142857142</v>
      </c>
      <c r="I20" s="10" cm="1">
        <f t="array" ref="I20">IF($A20="","",_xlfn.LET(_xlpm.p,IFERROR(INDEX(tblDados[País],MATCH($A20,TRIM(tblDados[Mandante]),0)),INDEX(tblDados[País],MATCH($A20,TRIM(tblDados[Visitante]),0))),_xlpm.l,IFERROR(INDEX(tblDados[Liga],MATCH($A20,TRIM(tblDados[Mandante]),0)),INDEX(tblDados[Liga],MATCH($A20,TRIM(tblDados[Visitante]),0))),IFERROR(SUMIFS(Ligas!$D$2:$D$39,Ligas!$H$2:$H$39,_xlpm.p,Ligas!$I$2:$I$39,_xlpm.l),0)))</f>
        <v>3.62</v>
      </c>
      <c r="J20" s="11" cm="1">
        <f t="array" ref="J20">IF($A20="","",IFERROR((SUMPRODUCT((TRIM(tblDados[Mandante])=$A20)*tblDados[Primeira_Ocorrencia]*(tblDados[GM_M]=0))+SUMPRODUCT((TRIM(tblDados[Visitante])=$A20)*tblDados[Primeira_Ocorrencia]*(tblDados[GM_V]=0)))/G20,0))</f>
        <v>0.14285714285714285</v>
      </c>
      <c r="K20" s="11" cm="1">
        <f t="array" ref="K20">IF($A20="","",IFERROR((SUMPRODUCT((TRIM(tblDados[Mandante])=$A20)*tblDados[Primeira_Ocorrencia]*((tblDados[GM_M]+tblDados[GS_M])&gt;0.5))+SUMPRODUCT((TRIM(tblDados[Visitante])=$A20)*tblDados[Primeira_Ocorrencia]*((tblDados[GM_V]+tblDados[GS_V])&gt;0.5)))/G20,0))</f>
        <v>1</v>
      </c>
      <c r="L20" s="11" cm="1">
        <f t="array" ref="L20">IF($A20="","",IFERROR((SUMPRODUCT((TRIM(tblDados[Mandante])=$A20)*tblDados[Primeira_Ocorrencia]*((tblDados[GM_M]+tblDados[GS_M])&gt;1.5))+SUMPRODUCT((TRIM(tblDados[Visitante])=$A20)*tblDados[Primeira_Ocorrencia]*((tblDados[GM_V]+tblDados[GS_V])&gt;1.5)))/G20,0))</f>
        <v>0.9285714285714286</v>
      </c>
      <c r="M20" s="11" cm="1">
        <f t="array" ref="M20">IF($A20="","",IFERROR((SUMPRODUCT((TRIM(tblDados[Mandante])=$A20)*tblDados[Primeira_Ocorrencia]*((tblDados[GM_M]+tblDados[GS_M])&gt;2.5))+SUMPRODUCT((TRIM(tblDados[Visitante])=$A20)*tblDados[Primeira_Ocorrencia]*((tblDados[GM_V]+tblDados[GS_V])&gt;2.5)))/G20,0))</f>
        <v>0.7857142857142857</v>
      </c>
      <c r="N20" s="11" cm="1">
        <f t="array" ref="N20">IF($A20="","",IFERROR((SUMPRODUCT((TRIM(tblDados[Mandante])=$A20)*tblDados[Primeira_Ocorrencia]*((tblDados[GM_M]+tblDados[GS_M])&gt;3.5))+SUMPRODUCT((TRIM(tblDados[Visitante])=$A20)*tblDados[Primeira_Ocorrencia]*((tblDados[GM_V]+tblDados[GS_V])&gt;3.5)))/G20,0))</f>
        <v>0.6428571428571429</v>
      </c>
      <c r="O20" s="11" cm="1">
        <f t="array" ref="O20">IF($A20="","",IFERROR((SUMPRODUCT((TRIM(tblDados[Mandante])=$A20)*tblDados[Primeira_Ocorrencia]*(tblDados[GM_M]&gt;0)*(tblDados[GS_M]&gt;0))+SUMPRODUCT((TRIM(tblDados[Visitante])=$A20)*tblDados[Primeira_Ocorrencia]*(tblDados[GM_V]&gt;0)*(tblDados[GS_V]&gt;0)))/G20,0))</f>
        <v>0.8571428571428571</v>
      </c>
      <c r="P20" s="10" cm="1">
        <f t="array" ref="P20">IF($A20="","",IFERROR((SUMPRODUCT((TRIM(tblDados[Mandante])=$A20)*tblDados[Primeira_Ocorrencia]*tblDados[GM_M]^2)+SUMPRODUCT((TRIM(tblDados[Visitante])=$A20)*tblDados[Primeira_Ocorrencia]*tblDados[GM_V]^2))/G20-H20^2,0))</f>
        <v>1.3469387755102042</v>
      </c>
      <c r="Q20" s="10">
        <f t="shared" si="9"/>
        <v>1.1605769149479943</v>
      </c>
      <c r="R20" s="8" t="str">
        <f t="shared" si="10"/>
        <v>Poisson</v>
      </c>
      <c r="S20" s="10" cm="1">
        <f t="array" ref="S20">IF($A20="","",SUMPRODUCT((TRIM(tblDados[Mandante])=$A20)*tblDados[Primeira_Ocorrencia]*tblDados[GM_M]))</f>
        <v>14</v>
      </c>
      <c r="T20" s="10" cm="1">
        <f t="array" ref="T20">IF($A20="","",SUMPRODUCT((TRIM(tblDados[Visitante])=$A20)*tblDados[Primeira_Ocorrencia]*tblDados[GM_V]))</f>
        <v>10</v>
      </c>
      <c r="U20" s="10">
        <f t="shared" si="11"/>
        <v>24</v>
      </c>
      <c r="V20" s="10">
        <f t="shared" si="0"/>
        <v>1.7142857142857142</v>
      </c>
      <c r="W20" s="10" cm="1">
        <f t="array" ref="W20">IF($A20="","",SUMPRODUCT((TRIM(tblDados[Mandante])=$A20)*tblDados[Primeira_Ocorrencia]*tblDados[GS_M]))</f>
        <v>11</v>
      </c>
      <c r="X20" s="10" cm="1">
        <f t="array" ref="X20">IF($A20="","",SUMPRODUCT((TRIM(tblDados[Visitante])=$A20)*tblDados[Primeira_Ocorrencia]*tblDados[GS_V]))</f>
        <v>18</v>
      </c>
      <c r="Y20" s="10">
        <f t="shared" si="12"/>
        <v>29</v>
      </c>
      <c r="Z20" s="10">
        <f t="shared" si="1"/>
        <v>2.0714285714285716</v>
      </c>
      <c r="AA20" s="10">
        <f t="shared" si="2"/>
        <v>2</v>
      </c>
      <c r="AB20" s="10">
        <f t="shared" si="3"/>
        <v>1.5714285714285714</v>
      </c>
      <c r="AC20" s="10">
        <f t="shared" si="4"/>
        <v>1.4285714285714286</v>
      </c>
      <c r="AD20" s="10">
        <f t="shared" si="5"/>
        <v>2.5714285714285716</v>
      </c>
    </row>
    <row r="21" spans="1:30" x14ac:dyDescent="0.3">
      <c r="A21" s="7" t="str">
        <v>Aegir</v>
      </c>
      <c r="B21" s="12" t="str" cm="1">
        <f t="array" ref="B21">IF($A21="","",_xlfn.LET(_xlpm.p,IFERROR(INDEX(tblDados[País],MATCH($A21,TRIM(tblDados[Mandante]),0)),INDEX(tblDados[País],MATCH($A21,TRIM(tblDados[Visitante]),0))),_xlpm.l,IFERROR(INDEX(tblDados[Liga],MATCH($A21,TRIM(tblDados[Mandante]),0)),INDEX(tblDados[Liga],MATCH($A21,TRIM(tblDados[Visitante]),0))),_xlpm.p&amp;" - "&amp;_xlpm.l))</f>
        <v>ISL - Lengjudeildin (1ªD)</v>
      </c>
      <c r="C21" s="10">
        <f t="shared" si="6"/>
        <v>4.1428571428571432</v>
      </c>
      <c r="D21" s="10">
        <f t="shared" si="7"/>
        <v>4.4285714285714288</v>
      </c>
      <c r="E21" s="9" cm="1">
        <f t="array" ref="E21">IF($A21="","",SUMPRODUCT((TRIM(tblDados[Mandante])=$A21)*tblDados[Primeira_Ocorrencia]))</f>
        <v>7</v>
      </c>
      <c r="F21" s="9" cm="1">
        <f t="array" ref="F21">IF($A21="","",SUMPRODUCT((TRIM(tblDados[Visitante])=$A21)*tblDados[Primeira_Ocorrencia]))</f>
        <v>7</v>
      </c>
      <c r="G21" s="9" cm="1">
        <f t="array" ref="G21">IF($A21="","",SUMPRODUCT((TRIM(tblDados[Mandante])=$A21)*tblDados[Primeira_Ocorrencia])+SUMPRODUCT((TRIM(tblDados[Visitante])=$A21)*tblDados[Primeira_Ocorrencia]))</f>
        <v>14</v>
      </c>
      <c r="H21" s="10">
        <f t="shared" si="8"/>
        <v>1.4285714285714286</v>
      </c>
      <c r="I21" s="10" cm="1">
        <f t="array" ref="I21">IF($A21="","",_xlfn.LET(_xlpm.p,IFERROR(INDEX(tblDados[País],MATCH($A21,TRIM(tblDados[Mandante]),0)),INDEX(tblDados[País],MATCH($A21,TRIM(tblDados[Visitante]),0))),_xlpm.l,IFERROR(INDEX(tblDados[Liga],MATCH($A21,TRIM(tblDados[Mandante]),0)),INDEX(tblDados[Liga],MATCH($A21,TRIM(tblDados[Visitante]),0))),IFERROR(SUMIFS(Ligas!$D$2:$D$39,Ligas!$H$2:$H$39,_xlpm.p,Ligas!$I$2:$I$39,_xlpm.l),0)))</f>
        <v>3.55</v>
      </c>
      <c r="J21" s="11" cm="1">
        <f t="array" ref="J21">IF($A21="","",IFERROR((SUMPRODUCT((TRIM(tblDados[Mandante])=$A21)*tblDados[Primeira_Ocorrencia]*(tblDados[GM_M]=0))+SUMPRODUCT((TRIM(tblDados[Visitante])=$A21)*tblDados[Primeira_Ocorrencia]*(tblDados[GM_V]=0)))/G21,0))</f>
        <v>0.2857142857142857</v>
      </c>
      <c r="K21" s="11" cm="1">
        <f t="array" ref="K21">IF($A21="","",IFERROR((SUMPRODUCT((TRIM(tblDados[Mandante])=$A21)*tblDados[Primeira_Ocorrencia]*((tblDados[GM_M]+tblDados[GS_M])&gt;0.5))+SUMPRODUCT((TRIM(tblDados[Visitante])=$A21)*tblDados[Primeira_Ocorrencia]*((tblDados[GM_V]+tblDados[GS_V])&gt;0.5)))/G21,0))</f>
        <v>0.8571428571428571</v>
      </c>
      <c r="L21" s="11" cm="1">
        <f t="array" ref="L21">IF($A21="","",IFERROR((SUMPRODUCT((TRIM(tblDados[Mandante])=$A21)*tblDados[Primeira_Ocorrencia]*((tblDados[GM_M]+tblDados[GS_M])&gt;1.5))+SUMPRODUCT((TRIM(tblDados[Visitante])=$A21)*tblDados[Primeira_Ocorrencia]*((tblDados[GM_V]+tblDados[GS_V])&gt;1.5)))/G21,0))</f>
        <v>0.7857142857142857</v>
      </c>
      <c r="M21" s="11" cm="1">
        <f t="array" ref="M21">IF($A21="","",IFERROR((SUMPRODUCT((TRIM(tblDados[Mandante])=$A21)*tblDados[Primeira_Ocorrencia]*((tblDados[GM_M]+tblDados[GS_M])&gt;2.5))+SUMPRODUCT((TRIM(tblDados[Visitante])=$A21)*tblDados[Primeira_Ocorrencia]*((tblDados[GM_V]+tblDados[GS_V])&gt;2.5)))/G21,0))</f>
        <v>0.7857142857142857</v>
      </c>
      <c r="N21" s="11" cm="1">
        <f t="array" ref="N21">IF($A21="","",IFERROR((SUMPRODUCT((TRIM(tblDados[Mandante])=$A21)*tblDados[Primeira_Ocorrencia]*((tblDados[GM_M]+tblDados[GS_M])&gt;3.5))+SUMPRODUCT((TRIM(tblDados[Visitante])=$A21)*tblDados[Primeira_Ocorrencia]*((tblDados[GM_V]+tblDados[GS_V])&gt;3.5)))/G21,0))</f>
        <v>0.6428571428571429</v>
      </c>
      <c r="O21" s="11" cm="1">
        <f t="array" ref="O21">IF($A21="","",IFERROR((SUMPRODUCT((TRIM(tblDados[Mandante])=$A21)*tblDados[Primeira_Ocorrencia]*(tblDados[GM_M]&gt;0)*(tblDados[GS_M]&gt;0))+SUMPRODUCT((TRIM(tblDados[Visitante])=$A21)*tblDados[Primeira_Ocorrencia]*(tblDados[GM_V]&gt;0)*(tblDados[GS_V]&gt;0)))/G21,0))</f>
        <v>0.7142857142857143</v>
      </c>
      <c r="P21" s="10" cm="1">
        <f t="array" ref="P21">IF($A21="","",IFERROR((SUMPRODUCT((TRIM(tblDados[Mandante])=$A21)*tblDados[Primeira_Ocorrencia]*tblDados[GM_M]^2)+SUMPRODUCT((TRIM(tblDados[Visitante])=$A21)*tblDados[Primeira_Ocorrencia]*tblDados[GM_V]^2))/G21-H21^2,0))</f>
        <v>1.5306122448979593</v>
      </c>
      <c r="Q21" s="10">
        <f t="shared" si="9"/>
        <v>1.2371791482634837</v>
      </c>
      <c r="R21" s="8" t="str">
        <f t="shared" si="10"/>
        <v>Poisson</v>
      </c>
      <c r="S21" s="10" cm="1">
        <f t="array" ref="S21">IF($A21="","",SUMPRODUCT((TRIM(tblDados[Mandante])=$A21)*tblDados[Primeira_Ocorrencia]*tblDados[GM_M]))</f>
        <v>11</v>
      </c>
      <c r="T21" s="10" cm="1">
        <f t="array" ref="T21">IF($A21="","",SUMPRODUCT((TRIM(tblDados[Visitante])=$A21)*tblDados[Primeira_Ocorrencia]*tblDados[GM_V]))</f>
        <v>9</v>
      </c>
      <c r="U21" s="10">
        <f t="shared" si="11"/>
        <v>20</v>
      </c>
      <c r="V21" s="10">
        <f t="shared" si="0"/>
        <v>1.4285714285714286</v>
      </c>
      <c r="W21" s="10" cm="1">
        <f t="array" ref="W21">IF($A21="","",SUMPRODUCT((TRIM(tblDados[Mandante])=$A21)*tblDados[Primeira_Ocorrencia]*tblDados[GS_M]))</f>
        <v>18</v>
      </c>
      <c r="X21" s="10" cm="1">
        <f t="array" ref="X21">IF($A21="","",SUMPRODUCT((TRIM(tblDados[Visitante])=$A21)*tblDados[Primeira_Ocorrencia]*tblDados[GS_V]))</f>
        <v>22</v>
      </c>
      <c r="Y21" s="10">
        <f t="shared" si="12"/>
        <v>40</v>
      </c>
      <c r="Z21" s="10">
        <f t="shared" si="1"/>
        <v>2.8571428571428572</v>
      </c>
      <c r="AA21" s="10">
        <f t="shared" si="2"/>
        <v>1.5714285714285714</v>
      </c>
      <c r="AB21" s="10">
        <f t="shared" si="3"/>
        <v>2.5714285714285716</v>
      </c>
      <c r="AC21" s="10">
        <f t="shared" si="4"/>
        <v>1.2857142857142858</v>
      </c>
      <c r="AD21" s="10">
        <f t="shared" si="5"/>
        <v>3.1428571428571428</v>
      </c>
    </row>
    <row r="22" spans="1:30" x14ac:dyDescent="0.3">
      <c r="A22" s="7" t="str">
        <v>América-MG</v>
      </c>
      <c r="B22" s="12" t="str" cm="1">
        <f t="array" ref="B22">IF($A22="","",_xlfn.LET(_xlpm.p,IFERROR(INDEX(tblDados[País],MATCH($A22,TRIM(tblDados[Mandante]),0)),INDEX(tblDados[País],MATCH($A22,TRIM(tblDados[Visitante]),0))),_xlpm.l,IFERROR(INDEX(tblDados[Liga],MATCH($A22,TRIM(tblDados[Mandante]),0)),INDEX(tblDados[Liga],MATCH($A22,TRIM(tblDados[Visitante]),0))),_xlpm.p&amp;" - "&amp;_xlpm.l))</f>
        <v>BRA - Série B</v>
      </c>
      <c r="C22" s="10">
        <f t="shared" si="6"/>
        <v>2.1428571428571428</v>
      </c>
      <c r="D22" s="10">
        <f t="shared" si="7"/>
        <v>2.4285714285714284</v>
      </c>
      <c r="E22" s="9" cm="1">
        <f t="array" ref="E22">IF($A22="","",SUMPRODUCT((TRIM(tblDados[Mandante])=$A22)*tblDados[Primeira_Ocorrencia]))</f>
        <v>7</v>
      </c>
      <c r="F22" s="9" cm="1">
        <f t="array" ref="F22">IF($A22="","",SUMPRODUCT((TRIM(tblDados[Visitante])=$A22)*tblDados[Primeira_Ocorrencia]))</f>
        <v>7</v>
      </c>
      <c r="G22" s="9" cm="1">
        <f t="array" ref="G22">IF($A22="","",SUMPRODUCT((TRIM(tblDados[Mandante])=$A22)*tblDados[Primeira_Ocorrencia])+SUMPRODUCT((TRIM(tblDados[Visitante])=$A22)*tblDados[Primeira_Ocorrencia]))</f>
        <v>14</v>
      </c>
      <c r="H22" s="10">
        <f t="shared" si="8"/>
        <v>0.7857142857142857</v>
      </c>
      <c r="I22" s="10" cm="1">
        <f t="array" ref="I22">IF($A22="","",_xlfn.LET(_xlpm.p,IFERROR(INDEX(tblDados[País],MATCH($A22,TRIM(tblDados[Mandante]),0)),INDEX(tblDados[País],MATCH($A22,TRIM(tblDados[Visitante]),0))),_xlpm.l,IFERROR(INDEX(tblDados[Liga],MATCH($A22,TRIM(tblDados[Mandante]),0)),INDEX(tblDados[Liga],MATCH($A22,TRIM(tblDados[Visitante]),0))),IFERROR(SUMIFS(Ligas!$D$2:$D$39,Ligas!$H$2:$H$39,_xlpm.p,Ligas!$I$2:$I$39,_xlpm.l),0)))</f>
        <v>2.31</v>
      </c>
      <c r="J22" s="11" cm="1">
        <f t="array" ref="J22">IF($A22="","",IFERROR((SUMPRODUCT((TRIM(tblDados[Mandante])=$A22)*tblDados[Primeira_Ocorrencia]*(tblDados[GM_M]=0))+SUMPRODUCT((TRIM(tblDados[Visitante])=$A22)*tblDados[Primeira_Ocorrencia]*(tblDados[GM_V]=0)))/G22,0))</f>
        <v>0.35714285714285715</v>
      </c>
      <c r="K22" s="11" cm="1">
        <f t="array" ref="K22">IF($A22="","",IFERROR((SUMPRODUCT((TRIM(tblDados[Mandante])=$A22)*tblDados[Primeira_Ocorrencia]*((tblDados[GM_M]+tblDados[GS_M])&gt;0.5))+SUMPRODUCT((TRIM(tblDados[Visitante])=$A22)*tblDados[Primeira_Ocorrencia]*((tblDados[GM_V]+tblDados[GS_V])&gt;0.5)))/G22,0))</f>
        <v>1</v>
      </c>
      <c r="L22" s="11" cm="1">
        <f t="array" ref="L22">IF($A22="","",IFERROR((SUMPRODUCT((TRIM(tblDados[Mandante])=$A22)*tblDados[Primeira_Ocorrencia]*((tblDados[GM_M]+tblDados[GS_M])&gt;1.5))+SUMPRODUCT((TRIM(tblDados[Visitante])=$A22)*tblDados[Primeira_Ocorrencia]*((tblDados[GM_V]+tblDados[GS_V])&gt;1.5)))/G22,0))</f>
        <v>0.7142857142857143</v>
      </c>
      <c r="M22" s="11" cm="1">
        <f t="array" ref="M22">IF($A22="","",IFERROR((SUMPRODUCT((TRIM(tblDados[Mandante])=$A22)*tblDados[Primeira_Ocorrencia]*((tblDados[GM_M]+tblDados[GS_M])&gt;2.5))+SUMPRODUCT((TRIM(tblDados[Visitante])=$A22)*tblDados[Primeira_Ocorrencia]*((tblDados[GM_V]+tblDados[GS_V])&gt;2.5)))/G22,0))</f>
        <v>0.5</v>
      </c>
      <c r="N22" s="11" cm="1">
        <f t="array" ref="N22">IF($A22="","",IFERROR((SUMPRODUCT((TRIM(tblDados[Mandante])=$A22)*tblDados[Primeira_Ocorrencia]*((tblDados[GM_M]+tblDados[GS_M])&gt;3.5))+SUMPRODUCT((TRIM(tblDados[Visitante])=$A22)*tblDados[Primeira_Ocorrencia]*((tblDados[GM_V]+tblDados[GS_V])&gt;3.5)))/G22,0))</f>
        <v>7.1428571428571425E-2</v>
      </c>
      <c r="O22" s="11" cm="1">
        <f t="array" ref="O22">IF($A22="","",IFERROR((SUMPRODUCT((TRIM(tblDados[Mandante])=$A22)*tblDados[Primeira_Ocorrencia]*(tblDados[GM_M]&gt;0)*(tblDados[GS_M]&gt;0))+SUMPRODUCT((TRIM(tblDados[Visitante])=$A22)*tblDados[Primeira_Ocorrencia]*(tblDados[GM_V]&gt;0)*(tblDados[GS_V]&gt;0)))/G22,0))</f>
        <v>0.5</v>
      </c>
      <c r="P22" s="10" cm="1">
        <f t="array" ref="P22">IF($A22="","",IFERROR((SUMPRODUCT((TRIM(tblDados[Mandante])=$A22)*tblDados[Primeira_Ocorrencia]*tblDados[GM_M]^2)+SUMPRODUCT((TRIM(tblDados[Visitante])=$A22)*tblDados[Primeira_Ocorrencia]*tblDados[GM_V]^2))/G22-H22^2,0))</f>
        <v>0.59693877551020402</v>
      </c>
      <c r="Q22" s="10">
        <f t="shared" si="9"/>
        <v>0.77261813045656913</v>
      </c>
      <c r="R22" s="8" t="str">
        <f t="shared" si="10"/>
        <v>Poisson</v>
      </c>
      <c r="S22" s="10" cm="1">
        <f t="array" ref="S22">IF($A22="","",SUMPRODUCT((TRIM(tblDados[Mandante])=$A22)*tblDados[Primeira_Ocorrencia]*tblDados[GM_M]))</f>
        <v>6</v>
      </c>
      <c r="T22" s="10" cm="1">
        <f t="array" ref="T22">IF($A22="","",SUMPRODUCT((TRIM(tblDados[Visitante])=$A22)*tblDados[Primeira_Ocorrencia]*tblDados[GM_V]))</f>
        <v>5</v>
      </c>
      <c r="U22" s="10">
        <f t="shared" si="11"/>
        <v>11</v>
      </c>
      <c r="V22" s="10">
        <f t="shared" si="0"/>
        <v>0.7857142857142857</v>
      </c>
      <c r="W22" s="10" cm="1">
        <f t="array" ref="W22">IF($A22="","",SUMPRODUCT((TRIM(tblDados[Mandante])=$A22)*tblDados[Primeira_Ocorrencia]*tblDados[GS_M]))</f>
        <v>9</v>
      </c>
      <c r="X22" s="10" cm="1">
        <f t="array" ref="X22">IF($A22="","",SUMPRODUCT((TRIM(tblDados[Visitante])=$A22)*tblDados[Primeira_Ocorrencia]*tblDados[GS_V]))</f>
        <v>12</v>
      </c>
      <c r="Y22" s="10">
        <f t="shared" si="12"/>
        <v>21</v>
      </c>
      <c r="Z22" s="10">
        <f t="shared" si="1"/>
        <v>1.5</v>
      </c>
      <c r="AA22" s="10">
        <f t="shared" si="2"/>
        <v>0.8571428571428571</v>
      </c>
      <c r="AB22" s="10">
        <f t="shared" si="3"/>
        <v>1.2857142857142858</v>
      </c>
      <c r="AC22" s="10">
        <f t="shared" si="4"/>
        <v>0.7142857142857143</v>
      </c>
      <c r="AD22" s="10">
        <f t="shared" si="5"/>
        <v>1.7142857142857142</v>
      </c>
    </row>
    <row r="23" spans="1:30" x14ac:dyDescent="0.3">
      <c r="A23" s="7" t="str">
        <v>Athletic Club-MG</v>
      </c>
      <c r="B23" s="12" t="str" cm="1">
        <f t="array" ref="B23">IF($A23="","",_xlfn.LET(_xlpm.p,IFERROR(INDEX(tblDados[País],MATCH($A23,TRIM(tblDados[Mandante]),0)),INDEX(tblDados[País],MATCH($A23,TRIM(tblDados[Visitante]),0))),_xlpm.l,IFERROR(INDEX(tblDados[Liga],MATCH($A23,TRIM(tblDados[Mandante]),0)),INDEX(tblDados[Liga],MATCH($A23,TRIM(tblDados[Visitante]),0))),_xlpm.p&amp;" - "&amp;_xlpm.l))</f>
        <v>BRA - Série B</v>
      </c>
      <c r="C23" s="10">
        <f t="shared" si="6"/>
        <v>1.4285714285714284</v>
      </c>
      <c r="D23" s="10">
        <f t="shared" si="7"/>
        <v>1.5714285714285714</v>
      </c>
      <c r="E23" s="9" cm="1">
        <f t="array" ref="E23">IF($A23="","",SUMPRODUCT((TRIM(tblDados[Mandante])=$A23)*tblDados[Primeira_Ocorrencia]))</f>
        <v>7</v>
      </c>
      <c r="F23" s="9" cm="1">
        <f t="array" ref="F23">IF($A23="","",SUMPRODUCT((TRIM(tblDados[Visitante])=$A23)*tblDados[Primeira_Ocorrencia]))</f>
        <v>7</v>
      </c>
      <c r="G23" s="9" cm="1">
        <f t="array" ref="G23">IF($A23="","",SUMPRODUCT((TRIM(tblDados[Mandante])=$A23)*tblDados[Primeira_Ocorrencia])+SUMPRODUCT((TRIM(tblDados[Visitante])=$A23)*tblDados[Primeira_Ocorrencia]))</f>
        <v>14</v>
      </c>
      <c r="H23" s="10">
        <f t="shared" si="8"/>
        <v>0.7857142857142857</v>
      </c>
      <c r="I23" s="10" cm="1">
        <f t="array" ref="I23">IF($A23="","",_xlfn.LET(_xlpm.p,IFERROR(INDEX(tblDados[País],MATCH($A23,TRIM(tblDados[Mandante]),0)),INDEX(tblDados[País],MATCH($A23,TRIM(tblDados[Visitante]),0))),_xlpm.l,IFERROR(INDEX(tblDados[Liga],MATCH($A23,TRIM(tblDados[Mandante]),0)),INDEX(tblDados[Liga],MATCH($A23,TRIM(tblDados[Visitante]),0))),IFERROR(SUMIFS(Ligas!$D$2:$D$39,Ligas!$H$2:$H$39,_xlpm.p,Ligas!$I$2:$I$39,_xlpm.l),0)))</f>
        <v>2.31</v>
      </c>
      <c r="J23" s="11" cm="1">
        <f t="array" ref="J23">IF($A23="","",IFERROR((SUMPRODUCT((TRIM(tblDados[Mandante])=$A23)*tblDados[Primeira_Ocorrencia]*(tblDados[GM_M]=0))+SUMPRODUCT((TRIM(tblDados[Visitante])=$A23)*tblDados[Primeira_Ocorrencia]*(tblDados[GM_V]=0)))/G23,0))</f>
        <v>0.35714285714285715</v>
      </c>
      <c r="K23" s="11" cm="1">
        <f t="array" ref="K23">IF($A23="","",IFERROR((SUMPRODUCT((TRIM(tblDados[Mandante])=$A23)*tblDados[Primeira_Ocorrencia]*((tblDados[GM_M]+tblDados[GS_M])&gt;0.5))+SUMPRODUCT((TRIM(tblDados[Visitante])=$A23)*tblDados[Primeira_Ocorrencia]*((tblDados[GM_V]+tblDados[GS_V])&gt;0.5)))/G23,0))</f>
        <v>0.7857142857142857</v>
      </c>
      <c r="L23" s="11" cm="1">
        <f t="array" ref="L23">IF($A23="","",IFERROR((SUMPRODUCT((TRIM(tblDados[Mandante])=$A23)*tblDados[Primeira_Ocorrencia]*((tblDados[GM_M]+tblDados[GS_M])&gt;1.5))+SUMPRODUCT((TRIM(tblDados[Visitante])=$A23)*tblDados[Primeira_Ocorrencia]*((tblDados[GM_V]+tblDados[GS_V])&gt;1.5)))/G23,0))</f>
        <v>0.5714285714285714</v>
      </c>
      <c r="M23" s="11" cm="1">
        <f t="array" ref="M23">IF($A23="","",IFERROR((SUMPRODUCT((TRIM(tblDados[Mandante])=$A23)*tblDados[Primeira_Ocorrencia]*((tblDados[GM_M]+tblDados[GS_M])&gt;2.5))+SUMPRODUCT((TRIM(tblDados[Visitante])=$A23)*tblDados[Primeira_Ocorrencia]*((tblDados[GM_V]+tblDados[GS_V])&gt;2.5)))/G23,0))</f>
        <v>0.14285714285714285</v>
      </c>
      <c r="N23" s="11" cm="1">
        <f t="array" ref="N23">IF($A23="","",IFERROR((SUMPRODUCT((TRIM(tblDados[Mandante])=$A23)*tblDados[Primeira_Ocorrencia]*((tblDados[GM_M]+tblDados[GS_M])&gt;3.5))+SUMPRODUCT((TRIM(tblDados[Visitante])=$A23)*tblDados[Primeira_Ocorrencia]*((tblDados[GM_V]+tblDados[GS_V])&gt;3.5)))/G23,0))</f>
        <v>0</v>
      </c>
      <c r="O23" s="11" cm="1">
        <f t="array" ref="O23">IF($A23="","",IFERROR((SUMPRODUCT((TRIM(tblDados[Mandante])=$A23)*tblDados[Primeira_Ocorrencia]*(tblDados[GM_M]&gt;0)*(tblDados[GS_M]&gt;0))+SUMPRODUCT((TRIM(tblDados[Visitante])=$A23)*tblDados[Primeira_Ocorrencia]*(tblDados[GM_V]&gt;0)*(tblDados[GS_V]&gt;0)))/G23,0))</f>
        <v>0.5</v>
      </c>
      <c r="P23" s="10" cm="1">
        <f t="array" ref="P23">IF($A23="","",IFERROR((SUMPRODUCT((TRIM(tblDados[Mandante])=$A23)*tblDados[Primeira_Ocorrencia]*tblDados[GM_M]^2)+SUMPRODUCT((TRIM(tblDados[Visitante])=$A23)*tblDados[Primeira_Ocorrencia]*tblDados[GM_V]^2))/G23-H23^2,0))</f>
        <v>0.45408163265306123</v>
      </c>
      <c r="Q23" s="10">
        <f t="shared" si="9"/>
        <v>0.6738557951469003</v>
      </c>
      <c r="R23" s="8" t="str">
        <f t="shared" si="10"/>
        <v>Poisson</v>
      </c>
      <c r="S23" s="10" cm="1">
        <f t="array" ref="S23">IF($A23="","",SUMPRODUCT((TRIM(tblDados[Mandante])=$A23)*tblDados[Primeira_Ocorrencia]*tblDados[GM_M]))</f>
        <v>6</v>
      </c>
      <c r="T23" s="10" cm="1">
        <f t="array" ref="T23">IF($A23="","",SUMPRODUCT((TRIM(tblDados[Visitante])=$A23)*tblDados[Primeira_Ocorrencia]*tblDados[GM_V]))</f>
        <v>5</v>
      </c>
      <c r="U23" s="10">
        <f t="shared" si="11"/>
        <v>11</v>
      </c>
      <c r="V23" s="10">
        <f t="shared" si="0"/>
        <v>0.7857142857142857</v>
      </c>
      <c r="W23" s="10" cm="1">
        <f t="array" ref="W23">IF($A23="","",SUMPRODUCT((TRIM(tblDados[Mandante])=$A23)*tblDados[Primeira_Ocorrencia]*tblDados[GS_M]))</f>
        <v>4</v>
      </c>
      <c r="X23" s="10" cm="1">
        <f t="array" ref="X23">IF($A23="","",SUMPRODUCT((TRIM(tblDados[Visitante])=$A23)*tblDados[Primeira_Ocorrencia]*tblDados[GS_V]))</f>
        <v>6</v>
      </c>
      <c r="Y23" s="10">
        <f t="shared" si="12"/>
        <v>10</v>
      </c>
      <c r="Z23" s="10">
        <f t="shared" si="1"/>
        <v>0.7142857142857143</v>
      </c>
      <c r="AA23" s="10">
        <f t="shared" si="2"/>
        <v>0.8571428571428571</v>
      </c>
      <c r="AB23" s="10">
        <f t="shared" si="3"/>
        <v>0.5714285714285714</v>
      </c>
      <c r="AC23" s="10">
        <f t="shared" si="4"/>
        <v>0.7142857142857143</v>
      </c>
      <c r="AD23" s="10">
        <f t="shared" si="5"/>
        <v>0.8571428571428571</v>
      </c>
    </row>
    <row r="24" spans="1:30" x14ac:dyDescent="0.3">
      <c r="A24" s="7" t="str">
        <v>Atlético-GO</v>
      </c>
      <c r="B24" s="12" t="str" cm="1">
        <f t="array" ref="B24">IF($A24="","",_xlfn.LET(_xlpm.p,IFERROR(INDEX(tblDados[País],MATCH($A24,TRIM(tblDados[Mandante]),0)),INDEX(tblDados[País],MATCH($A24,TRIM(tblDados[Visitante]),0))),_xlpm.l,IFERROR(INDEX(tblDados[Liga],MATCH($A24,TRIM(tblDados[Mandante]),0)),INDEX(tblDados[Liga],MATCH($A24,TRIM(tblDados[Visitante]),0))),_xlpm.p&amp;" - "&amp;_xlpm.l))</f>
        <v>BRA - Série B</v>
      </c>
      <c r="C24" s="10">
        <f t="shared" si="6"/>
        <v>2</v>
      </c>
      <c r="D24" s="10">
        <f t="shared" si="7"/>
        <v>2</v>
      </c>
      <c r="E24" s="9" cm="1">
        <f t="array" ref="E24">IF($A24="","",SUMPRODUCT((TRIM(tblDados[Mandante])=$A24)*tblDados[Primeira_Ocorrencia]))</f>
        <v>8</v>
      </c>
      <c r="F24" s="9" cm="1">
        <f t="array" ref="F24">IF($A24="","",SUMPRODUCT((TRIM(tblDados[Visitante])=$A24)*tblDados[Primeira_Ocorrencia]))</f>
        <v>6</v>
      </c>
      <c r="G24" s="9" cm="1">
        <f t="array" ref="G24">IF($A24="","",SUMPRODUCT((TRIM(tblDados[Mandante])=$A24)*tblDados[Primeira_Ocorrencia])+SUMPRODUCT((TRIM(tblDados[Visitante])=$A24)*tblDados[Primeira_Ocorrencia]))</f>
        <v>14</v>
      </c>
      <c r="H24" s="10">
        <f t="shared" si="8"/>
        <v>1.1428571428571428</v>
      </c>
      <c r="I24" s="10" cm="1">
        <f t="array" ref="I24">IF($A24="","",_xlfn.LET(_xlpm.p,IFERROR(INDEX(tblDados[País],MATCH($A24,TRIM(tblDados[Mandante]),0)),INDEX(tblDados[País],MATCH($A24,TRIM(tblDados[Visitante]),0))),_xlpm.l,IFERROR(INDEX(tblDados[Liga],MATCH($A24,TRIM(tblDados[Mandante]),0)),INDEX(tblDados[Liga],MATCH($A24,TRIM(tblDados[Visitante]),0))),IFERROR(SUMIFS(Ligas!$D$2:$D$39,Ligas!$H$2:$H$39,_xlpm.p,Ligas!$I$2:$I$39,_xlpm.l),0)))</f>
        <v>2.31</v>
      </c>
      <c r="J24" s="11" cm="1">
        <f t="array" ref="J24">IF($A24="","",IFERROR((SUMPRODUCT((TRIM(tblDados[Mandante])=$A24)*tblDados[Primeira_Ocorrencia]*(tblDados[GM_M]=0))+SUMPRODUCT((TRIM(tblDados[Visitante])=$A24)*tblDados[Primeira_Ocorrencia]*(tblDados[GM_V]=0)))/G24,0))</f>
        <v>0.2857142857142857</v>
      </c>
      <c r="K24" s="11" cm="1">
        <f t="array" ref="K24">IF($A24="","",IFERROR((SUMPRODUCT((TRIM(tblDados[Mandante])=$A24)*tblDados[Primeira_Ocorrencia]*((tblDados[GM_M]+tblDados[GS_M])&gt;0.5))+SUMPRODUCT((TRIM(tblDados[Visitante])=$A24)*tblDados[Primeira_Ocorrencia]*((tblDados[GM_V]+tblDados[GS_V])&gt;0.5)))/G24,0))</f>
        <v>0.8571428571428571</v>
      </c>
      <c r="L24" s="11" cm="1">
        <f t="array" ref="L24">IF($A24="","",IFERROR((SUMPRODUCT((TRIM(tblDados[Mandante])=$A24)*tblDados[Primeira_Ocorrencia]*((tblDados[GM_M]+tblDados[GS_M])&gt;1.5))+SUMPRODUCT((TRIM(tblDados[Visitante])=$A24)*tblDados[Primeira_Ocorrencia]*((tblDados[GM_V]+tblDados[GS_V])&gt;1.5)))/G24,0))</f>
        <v>0.5714285714285714</v>
      </c>
      <c r="M24" s="11" cm="1">
        <f t="array" ref="M24">IF($A24="","",IFERROR((SUMPRODUCT((TRIM(tblDados[Mandante])=$A24)*tblDados[Primeira_Ocorrencia]*((tblDados[GM_M]+tblDados[GS_M])&gt;2.5))+SUMPRODUCT((TRIM(tblDados[Visitante])=$A24)*tblDados[Primeira_Ocorrencia]*((tblDados[GM_V]+tblDados[GS_V])&gt;2.5)))/G24,0))</f>
        <v>0.2857142857142857</v>
      </c>
      <c r="N24" s="11" cm="1">
        <f t="array" ref="N24">IF($A24="","",IFERROR((SUMPRODUCT((TRIM(tblDados[Mandante])=$A24)*tblDados[Primeira_Ocorrencia]*((tblDados[GM_M]+tblDados[GS_M])&gt;3.5))+SUMPRODUCT((TRIM(tblDados[Visitante])=$A24)*tblDados[Primeira_Ocorrencia]*((tblDados[GM_V]+tblDados[GS_V])&gt;3.5)))/G24,0))</f>
        <v>0.14285714285714285</v>
      </c>
      <c r="O24" s="11" cm="1">
        <f t="array" ref="O24">IF($A24="","",IFERROR((SUMPRODUCT((TRIM(tblDados[Mandante])=$A24)*tblDados[Primeira_Ocorrencia]*(tblDados[GM_M]&gt;0)*(tblDados[GS_M]&gt;0))+SUMPRODUCT((TRIM(tblDados[Visitante])=$A24)*tblDados[Primeira_Ocorrencia]*(tblDados[GM_V]&gt;0)*(tblDados[GS_V]&gt;0)))/G24,0))</f>
        <v>0.42857142857142855</v>
      </c>
      <c r="P24" s="10" cm="1">
        <f t="array" ref="P24">IF($A24="","",IFERROR((SUMPRODUCT((TRIM(tblDados[Mandante])=$A24)*tblDados[Primeira_Ocorrencia]*tblDados[GM_M]^2)+SUMPRODUCT((TRIM(tblDados[Visitante])=$A24)*tblDados[Primeira_Ocorrencia]*tblDados[GM_V]^2))/G24-H24^2,0))</f>
        <v>0.97959183673469385</v>
      </c>
      <c r="Q24" s="10">
        <f t="shared" si="9"/>
        <v>0.98974331861078702</v>
      </c>
      <c r="R24" s="8" t="str">
        <f t="shared" si="10"/>
        <v>Poisson</v>
      </c>
      <c r="S24" s="10" cm="1">
        <f t="array" ref="S24">IF($A24="","",SUMPRODUCT((TRIM(tblDados[Mandante])=$A24)*tblDados[Primeira_Ocorrencia]*tblDados[GM_M]))</f>
        <v>10</v>
      </c>
      <c r="T24" s="10" cm="1">
        <f t="array" ref="T24">IF($A24="","",SUMPRODUCT((TRIM(tblDados[Visitante])=$A24)*tblDados[Primeira_Ocorrencia]*tblDados[GM_V]))</f>
        <v>6</v>
      </c>
      <c r="U24" s="10">
        <f t="shared" si="11"/>
        <v>16</v>
      </c>
      <c r="V24" s="10">
        <f t="shared" si="0"/>
        <v>1.1428571428571428</v>
      </c>
      <c r="W24" s="10" cm="1">
        <f t="array" ref="W24">IF($A24="","",SUMPRODUCT((TRIM(tblDados[Mandante])=$A24)*tblDados[Primeira_Ocorrencia]*tblDados[GS_M]))</f>
        <v>6</v>
      </c>
      <c r="X24" s="10" cm="1">
        <f t="array" ref="X24">IF($A24="","",SUMPRODUCT((TRIM(tblDados[Visitante])=$A24)*tblDados[Primeira_Ocorrencia]*tblDados[GS_V]))</f>
        <v>6</v>
      </c>
      <c r="Y24" s="10">
        <f t="shared" si="12"/>
        <v>12</v>
      </c>
      <c r="Z24" s="10">
        <f t="shared" si="1"/>
        <v>0.8571428571428571</v>
      </c>
      <c r="AA24" s="10">
        <f t="shared" si="2"/>
        <v>1.25</v>
      </c>
      <c r="AB24" s="10">
        <f t="shared" si="3"/>
        <v>0.75</v>
      </c>
      <c r="AC24" s="10">
        <f t="shared" si="4"/>
        <v>1</v>
      </c>
      <c r="AD24" s="10">
        <f t="shared" si="5"/>
        <v>1</v>
      </c>
    </row>
    <row r="25" spans="1:30" x14ac:dyDescent="0.3">
      <c r="A25" s="7" t="str">
        <v>Avaí</v>
      </c>
      <c r="B25" s="12" t="str" cm="1">
        <f t="array" ref="B25">IF($A25="","",_xlfn.LET(_xlpm.p,IFERROR(INDEX(tblDados[País],MATCH($A25,TRIM(tblDados[Mandante]),0)),INDEX(tblDados[País],MATCH($A25,TRIM(tblDados[Visitante]),0))),_xlpm.l,IFERROR(INDEX(tblDados[Liga],MATCH($A25,TRIM(tblDados[Mandante]),0)),INDEX(tblDados[Liga],MATCH($A25,TRIM(tblDados[Visitante]),0))),_xlpm.p&amp;" - "&amp;_xlpm.l))</f>
        <v>BRA - Série B</v>
      </c>
      <c r="C25" s="10">
        <f t="shared" si="6"/>
        <v>2.4285714285714288</v>
      </c>
      <c r="D25" s="10">
        <f t="shared" si="7"/>
        <v>2.5714285714285716</v>
      </c>
      <c r="E25" s="9" cm="1">
        <f t="array" ref="E25">IF($A25="","",SUMPRODUCT((TRIM(tblDados[Mandante])=$A25)*tblDados[Primeira_Ocorrencia]))</f>
        <v>7</v>
      </c>
      <c r="F25" s="9" cm="1">
        <f t="array" ref="F25">IF($A25="","",SUMPRODUCT((TRIM(tblDados[Visitante])=$A25)*tblDados[Primeira_Ocorrencia]))</f>
        <v>7</v>
      </c>
      <c r="G25" s="9" cm="1">
        <f t="array" ref="G25">IF($A25="","",SUMPRODUCT((TRIM(tblDados[Mandante])=$A25)*tblDados[Primeira_Ocorrencia])+SUMPRODUCT((TRIM(tblDados[Visitante])=$A25)*tblDados[Primeira_Ocorrencia]))</f>
        <v>14</v>
      </c>
      <c r="H25" s="10">
        <f t="shared" si="8"/>
        <v>1</v>
      </c>
      <c r="I25" s="10" cm="1">
        <f t="array" ref="I25">IF($A25="","",_xlfn.LET(_xlpm.p,IFERROR(INDEX(tblDados[País],MATCH($A25,TRIM(tblDados[Mandante]),0)),INDEX(tblDados[País],MATCH($A25,TRIM(tblDados[Visitante]),0))),_xlpm.l,IFERROR(INDEX(tblDados[Liga],MATCH($A25,TRIM(tblDados[Mandante]),0)),INDEX(tblDados[Liga],MATCH($A25,TRIM(tblDados[Visitante]),0))),IFERROR(SUMIFS(Ligas!$D$2:$D$39,Ligas!$H$2:$H$39,_xlpm.p,Ligas!$I$2:$I$39,_xlpm.l),0)))</f>
        <v>2.31</v>
      </c>
      <c r="J25" s="11" cm="1">
        <f t="array" ref="J25">IF($A25="","",IFERROR((SUMPRODUCT((TRIM(tblDados[Mandante])=$A25)*tblDados[Primeira_Ocorrencia]*(tblDados[GM_M]=0))+SUMPRODUCT((TRIM(tblDados[Visitante])=$A25)*tblDados[Primeira_Ocorrencia]*(tblDados[GM_V]=0)))/G25,0))</f>
        <v>0.35714285714285715</v>
      </c>
      <c r="K25" s="11" cm="1">
        <f t="array" ref="K25">IF($A25="","",IFERROR((SUMPRODUCT((TRIM(tblDados[Mandante])=$A25)*tblDados[Primeira_Ocorrencia]*((tblDados[GM_M]+tblDados[GS_M])&gt;0.5))+SUMPRODUCT((TRIM(tblDados[Visitante])=$A25)*tblDados[Primeira_Ocorrencia]*((tblDados[GM_V]+tblDados[GS_V])&gt;0.5)))/G25,0))</f>
        <v>0.9285714285714286</v>
      </c>
      <c r="L25" s="11" cm="1">
        <f t="array" ref="L25">IF($A25="","",IFERROR((SUMPRODUCT((TRIM(tblDados[Mandante])=$A25)*tblDados[Primeira_Ocorrencia]*((tblDados[GM_M]+tblDados[GS_M])&gt;1.5))+SUMPRODUCT((TRIM(tblDados[Visitante])=$A25)*tblDados[Primeira_Ocorrencia]*((tblDados[GM_V]+tblDados[GS_V])&gt;1.5)))/G25,0))</f>
        <v>0.7142857142857143</v>
      </c>
      <c r="M25" s="11" cm="1">
        <f t="array" ref="M25">IF($A25="","",IFERROR((SUMPRODUCT((TRIM(tblDados[Mandante])=$A25)*tblDados[Primeira_Ocorrencia]*((tblDados[GM_M]+tblDados[GS_M])&gt;2.5))+SUMPRODUCT((TRIM(tblDados[Visitante])=$A25)*tblDados[Primeira_Ocorrencia]*((tblDados[GM_V]+tblDados[GS_V])&gt;2.5)))/G25,0))</f>
        <v>0.42857142857142855</v>
      </c>
      <c r="N25" s="11" cm="1">
        <f t="array" ref="N25">IF($A25="","",IFERROR((SUMPRODUCT((TRIM(tblDados[Mandante])=$A25)*tblDados[Primeira_Ocorrencia]*((tblDados[GM_M]+tblDados[GS_M])&gt;3.5))+SUMPRODUCT((TRIM(tblDados[Visitante])=$A25)*tblDados[Primeira_Ocorrencia]*((tblDados[GM_V]+tblDados[GS_V])&gt;3.5)))/G25,0))</f>
        <v>0.21428571428571427</v>
      </c>
      <c r="O25" s="11" cm="1">
        <f t="array" ref="O25">IF($A25="","",IFERROR((SUMPRODUCT((TRIM(tblDados[Mandante])=$A25)*tblDados[Primeira_Ocorrencia]*(tblDados[GM_M]&gt;0)*(tblDados[GS_M]&gt;0))+SUMPRODUCT((TRIM(tblDados[Visitante])=$A25)*tblDados[Primeira_Ocorrencia]*(tblDados[GM_V]&gt;0)*(tblDados[GS_V]&gt;0)))/G25,0))</f>
        <v>0.5</v>
      </c>
      <c r="P25" s="10" cm="1">
        <f t="array" ref="P25">IF($A25="","",IFERROR((SUMPRODUCT((TRIM(tblDados[Mandante])=$A25)*tblDados[Primeira_Ocorrencia]*tblDados[GM_M]^2)+SUMPRODUCT((TRIM(tblDados[Visitante])=$A25)*tblDados[Primeira_Ocorrencia]*tblDados[GM_V]^2))/G25-H25^2,0))</f>
        <v>0.85714285714285721</v>
      </c>
      <c r="Q25" s="10">
        <f t="shared" si="9"/>
        <v>0.92582009977255153</v>
      </c>
      <c r="R25" s="8" t="str">
        <f t="shared" si="10"/>
        <v>Poisson</v>
      </c>
      <c r="S25" s="10" cm="1">
        <f t="array" ref="S25">IF($A25="","",SUMPRODUCT((TRIM(tblDados[Mandante])=$A25)*tblDados[Primeira_Ocorrencia]*tblDados[GM_M]))</f>
        <v>9</v>
      </c>
      <c r="T25" s="10" cm="1">
        <f t="array" ref="T25">IF($A25="","",SUMPRODUCT((TRIM(tblDados[Visitante])=$A25)*tblDados[Primeira_Ocorrencia]*tblDados[GM_V]))</f>
        <v>5</v>
      </c>
      <c r="U25" s="10">
        <f t="shared" si="11"/>
        <v>14</v>
      </c>
      <c r="V25" s="10">
        <f t="shared" si="0"/>
        <v>1</v>
      </c>
      <c r="W25" s="10" cm="1">
        <f t="array" ref="W25">IF($A25="","",SUMPRODUCT((TRIM(tblDados[Mandante])=$A25)*tblDados[Primeira_Ocorrencia]*tblDados[GS_M]))</f>
        <v>8</v>
      </c>
      <c r="X25" s="10" cm="1">
        <f t="array" ref="X25">IF($A25="","",SUMPRODUCT((TRIM(tblDados[Visitante])=$A25)*tblDados[Primeira_Ocorrencia]*tblDados[GS_V]))</f>
        <v>13</v>
      </c>
      <c r="Y25" s="10">
        <f t="shared" si="12"/>
        <v>21</v>
      </c>
      <c r="Z25" s="10">
        <f t="shared" si="1"/>
        <v>1.5</v>
      </c>
      <c r="AA25" s="10">
        <f t="shared" si="2"/>
        <v>1.2857142857142858</v>
      </c>
      <c r="AB25" s="10">
        <f t="shared" si="3"/>
        <v>1.1428571428571428</v>
      </c>
      <c r="AC25" s="10">
        <f t="shared" si="4"/>
        <v>0.7142857142857143</v>
      </c>
      <c r="AD25" s="10">
        <f t="shared" si="5"/>
        <v>1.8571428571428572</v>
      </c>
    </row>
    <row r="26" spans="1:30" x14ac:dyDescent="0.3">
      <c r="A26" s="7" t="str">
        <v>Botafogo SP</v>
      </c>
      <c r="B26" s="12" t="str" cm="1">
        <f t="array" ref="B26">IF($A26="","",_xlfn.LET(_xlpm.p,IFERROR(INDEX(tblDados[País],MATCH($A26,TRIM(tblDados[Mandante]),0)),INDEX(tblDados[País],MATCH($A26,TRIM(tblDados[Visitante]),0))),_xlpm.l,IFERROR(INDEX(tblDados[Liga],MATCH($A26,TRIM(tblDados[Mandante]),0)),INDEX(tblDados[Liga],MATCH($A26,TRIM(tblDados[Visitante]),0))),_xlpm.p&amp;" - "&amp;_xlpm.l))</f>
        <v>BRA - Série B</v>
      </c>
      <c r="C26" s="10">
        <f t="shared" si="6"/>
        <v>3.1666666666666665</v>
      </c>
      <c r="D26" s="10">
        <f t="shared" si="7"/>
        <v>1.375</v>
      </c>
      <c r="E26" s="9" cm="1">
        <f t="array" ref="E26">IF($A26="","",SUMPRODUCT((TRIM(tblDados[Mandante])=$A26)*tblDados[Primeira_Ocorrencia]))</f>
        <v>6</v>
      </c>
      <c r="F26" s="9" cm="1">
        <f t="array" ref="F26">IF($A26="","",SUMPRODUCT((TRIM(tblDados[Visitante])=$A26)*tblDados[Primeira_Ocorrencia]))</f>
        <v>8</v>
      </c>
      <c r="G26" s="9" cm="1">
        <f t="array" ref="G26">IF($A26="","",SUMPRODUCT((TRIM(tblDados[Mandante])=$A26)*tblDados[Primeira_Ocorrencia])+SUMPRODUCT((TRIM(tblDados[Visitante])=$A26)*tblDados[Primeira_Ocorrencia]))</f>
        <v>14</v>
      </c>
      <c r="H26" s="10">
        <f t="shared" si="8"/>
        <v>1.0714285714285714</v>
      </c>
      <c r="I26" s="10" cm="1">
        <f t="array" ref="I26">IF($A26="","",_xlfn.LET(_xlpm.p,IFERROR(INDEX(tblDados[País],MATCH($A26,TRIM(tblDados[Mandante]),0)),INDEX(tblDados[País],MATCH($A26,TRIM(tblDados[Visitante]),0))),_xlpm.l,IFERROR(INDEX(tblDados[Liga],MATCH($A26,TRIM(tblDados[Mandante]),0)),INDEX(tblDados[Liga],MATCH($A26,TRIM(tblDados[Visitante]),0))),IFERROR(SUMIFS(Ligas!$D$2:$D$39,Ligas!$H$2:$H$39,_xlpm.p,Ligas!$I$2:$I$39,_xlpm.l),0)))</f>
        <v>2.31</v>
      </c>
      <c r="J26" s="11" cm="1">
        <f t="array" ref="J26">IF($A26="","",IFERROR((SUMPRODUCT((TRIM(tblDados[Mandante])=$A26)*tblDados[Primeira_Ocorrencia]*(tblDados[GM_M]=0))+SUMPRODUCT((TRIM(tblDados[Visitante])=$A26)*tblDados[Primeira_Ocorrencia]*(tblDados[GM_V]=0)))/G26,0))</f>
        <v>0.5</v>
      </c>
      <c r="K26" s="11" cm="1">
        <f t="array" ref="K26">IF($A26="","",IFERROR((SUMPRODUCT((TRIM(tblDados[Mandante])=$A26)*tblDados[Primeira_Ocorrencia]*((tblDados[GM_M]+tblDados[GS_M])&gt;0.5))+SUMPRODUCT((TRIM(tblDados[Visitante])=$A26)*tblDados[Primeira_Ocorrencia]*((tblDados[GM_V]+tblDados[GS_V])&gt;0.5)))/G26,0))</f>
        <v>0.8571428571428571</v>
      </c>
      <c r="L26" s="11" cm="1">
        <f t="array" ref="L26">IF($A26="","",IFERROR((SUMPRODUCT((TRIM(tblDados[Mandante])=$A26)*tblDados[Primeira_Ocorrencia]*((tblDados[GM_M]+tblDados[GS_M])&gt;1.5))+SUMPRODUCT((TRIM(tblDados[Visitante])=$A26)*tblDados[Primeira_Ocorrencia]*((tblDados[GM_V]+tblDados[GS_V])&gt;1.5)))/G26,0))</f>
        <v>0.42857142857142855</v>
      </c>
      <c r="M26" s="11" cm="1">
        <f t="array" ref="M26">IF($A26="","",IFERROR((SUMPRODUCT((TRIM(tblDados[Mandante])=$A26)*tblDados[Primeira_Ocorrencia]*((tblDados[GM_M]+tblDados[GS_M])&gt;2.5))+SUMPRODUCT((TRIM(tblDados[Visitante])=$A26)*tblDados[Primeira_Ocorrencia]*((tblDados[GM_V]+tblDados[GS_V])&gt;2.5)))/G26,0))</f>
        <v>0.35714285714285715</v>
      </c>
      <c r="N26" s="11" cm="1">
        <f t="array" ref="N26">IF($A26="","",IFERROR((SUMPRODUCT((TRIM(tblDados[Mandante])=$A26)*tblDados[Primeira_Ocorrencia]*((tblDados[GM_M]+tblDados[GS_M])&gt;3.5))+SUMPRODUCT((TRIM(tblDados[Visitante])=$A26)*tblDados[Primeira_Ocorrencia]*((tblDados[GM_V]+tblDados[GS_V])&gt;3.5)))/G26,0))</f>
        <v>0.21428571428571427</v>
      </c>
      <c r="O26" s="11" cm="1">
        <f t="array" ref="O26">IF($A26="","",IFERROR((SUMPRODUCT((TRIM(tblDados[Mandante])=$A26)*tblDados[Primeira_Ocorrencia]*(tblDados[GM_M]&gt;0)*(tblDados[GS_M]&gt;0))+SUMPRODUCT((TRIM(tblDados[Visitante])=$A26)*tblDados[Primeira_Ocorrencia]*(tblDados[GM_V]&gt;0)*(tblDados[GS_V]&gt;0)))/G26,0))</f>
        <v>0.42857142857142855</v>
      </c>
      <c r="P26" s="10" cm="1">
        <f t="array" ref="P26">IF($A26="","",IFERROR((SUMPRODUCT((TRIM(tblDados[Mandante])=$A26)*tblDados[Primeira_Ocorrencia]*tblDados[GM_M]^2)+SUMPRODUCT((TRIM(tblDados[Visitante])=$A26)*tblDados[Primeira_Ocorrencia]*tblDados[GM_V]^2))/G26-H26^2,0))</f>
        <v>1.7806122448979591</v>
      </c>
      <c r="Q26" s="10">
        <f t="shared" si="9"/>
        <v>1.3343958351621004</v>
      </c>
      <c r="R26" s="8" t="str">
        <f t="shared" si="10"/>
        <v>Binomial Negativa</v>
      </c>
      <c r="S26" s="10" cm="1">
        <f t="array" ref="S26">IF($A26="","",SUMPRODUCT((TRIM(tblDados[Mandante])=$A26)*tblDados[Primeira_Ocorrencia]*tblDados[GM_M]))</f>
        <v>11</v>
      </c>
      <c r="T26" s="10" cm="1">
        <f t="array" ref="T26">IF($A26="","",SUMPRODUCT((TRIM(tblDados[Visitante])=$A26)*tblDados[Primeira_Ocorrencia]*tblDados[GM_V]))</f>
        <v>4</v>
      </c>
      <c r="U26" s="10">
        <f t="shared" si="11"/>
        <v>15</v>
      </c>
      <c r="V26" s="10">
        <f t="shared" si="0"/>
        <v>1.0714285714285714</v>
      </c>
      <c r="W26" s="10" cm="1">
        <f t="array" ref="W26">IF($A26="","",SUMPRODUCT((TRIM(tblDados[Mandante])=$A26)*tblDados[Primeira_Ocorrencia]*tblDados[GS_M]))</f>
        <v>8</v>
      </c>
      <c r="X26" s="10" cm="1">
        <f t="array" ref="X26">IF($A26="","",SUMPRODUCT((TRIM(tblDados[Visitante])=$A26)*tblDados[Primeira_Ocorrencia]*tblDados[GS_V]))</f>
        <v>7</v>
      </c>
      <c r="Y26" s="10">
        <f t="shared" si="12"/>
        <v>15</v>
      </c>
      <c r="Z26" s="10">
        <f t="shared" si="1"/>
        <v>1.0714285714285714</v>
      </c>
      <c r="AA26" s="10">
        <f t="shared" si="2"/>
        <v>1.8333333333333333</v>
      </c>
      <c r="AB26" s="10">
        <f t="shared" si="3"/>
        <v>1.3333333333333333</v>
      </c>
      <c r="AC26" s="10">
        <f t="shared" si="4"/>
        <v>0.5</v>
      </c>
      <c r="AD26" s="10">
        <f t="shared" si="5"/>
        <v>0.875</v>
      </c>
    </row>
    <row r="27" spans="1:30" x14ac:dyDescent="0.3">
      <c r="A27" s="7" t="str">
        <v>Brisbane Roar NPL</v>
      </c>
      <c r="B27" s="12" t="str" cm="1">
        <f t="array" ref="B27">IF($A27="","",_xlfn.LET(_xlpm.p,IFERROR(INDEX(tblDados[País],MATCH($A27,TRIM(tblDados[Mandante]),0)),INDEX(tblDados[País],MATCH($A27,TRIM(tblDados[Visitante]),0))),_xlpm.l,IFERROR(INDEX(tblDados[Liga],MATCH($A27,TRIM(tblDados[Mandante]),0)),INDEX(tblDados[Liga],MATCH($A27,TRIM(tblDados[Visitante]),0))),_xlpm.p&amp;" - "&amp;_xlpm.l))</f>
        <v>AUS - NPL Queensland</v>
      </c>
      <c r="C27" s="10">
        <f t="shared" si="6"/>
        <v>3.666666666666667</v>
      </c>
      <c r="D27" s="10">
        <f t="shared" si="7"/>
        <v>4.5</v>
      </c>
      <c r="E27" s="9" cm="1">
        <f t="array" ref="E27">IF($A27="","",SUMPRODUCT((TRIM(tblDados[Mandante])=$A27)*tblDados[Primeira_Ocorrencia]))</f>
        <v>6</v>
      </c>
      <c r="F27" s="9" cm="1">
        <f t="array" ref="F27">IF($A27="","",SUMPRODUCT((TRIM(tblDados[Visitante])=$A27)*tblDados[Primeira_Ocorrencia]))</f>
        <v>8</v>
      </c>
      <c r="G27" s="9" cm="1">
        <f t="array" ref="G27">IF($A27="","",SUMPRODUCT((TRIM(tblDados[Mandante])=$A27)*tblDados[Primeira_Ocorrencia])+SUMPRODUCT((TRIM(tblDados[Visitante])=$A27)*tblDados[Primeira_Ocorrencia]))</f>
        <v>14</v>
      </c>
      <c r="H27" s="10">
        <f t="shared" si="8"/>
        <v>1.7857142857142858</v>
      </c>
      <c r="I27" s="10" cm="1">
        <f t="array" ref="I27">IF($A27="","",_xlfn.LET(_xlpm.p,IFERROR(INDEX(tblDados[País],MATCH($A27,TRIM(tblDados[Mandante]),0)),INDEX(tblDados[País],MATCH($A27,TRIM(tblDados[Visitante]),0))),_xlpm.l,IFERROR(INDEX(tblDados[Liga],MATCH($A27,TRIM(tblDados[Mandante]),0)),INDEX(tblDados[Liga],MATCH($A27,TRIM(tblDados[Visitante]),0))),IFERROR(SUMIFS(Ligas!$D$2:$D$39,Ligas!$H$2:$H$39,_xlpm.p,Ligas!$I$2:$I$39,_xlpm.l),0)))</f>
        <v>3.76</v>
      </c>
      <c r="J27" s="11" cm="1">
        <f t="array" ref="J27">IF($A27="","",IFERROR((SUMPRODUCT((TRIM(tblDados[Mandante])=$A27)*tblDados[Primeira_Ocorrencia]*(tblDados[GM_M]=0))+SUMPRODUCT((TRIM(tblDados[Visitante])=$A27)*tblDados[Primeira_Ocorrencia]*(tblDados[GM_V]=0)))/G27,0))</f>
        <v>0.14285714285714285</v>
      </c>
      <c r="K27" s="11" cm="1">
        <f t="array" ref="K27">IF($A27="","",IFERROR((SUMPRODUCT((TRIM(tblDados[Mandante])=$A27)*tblDados[Primeira_Ocorrencia]*((tblDados[GM_M]+tblDados[GS_M])&gt;0.5))+SUMPRODUCT((TRIM(tblDados[Visitante])=$A27)*tblDados[Primeira_Ocorrencia]*((tblDados[GM_V]+tblDados[GS_V])&gt;0.5)))/G27,0))</f>
        <v>1</v>
      </c>
      <c r="L27" s="11" cm="1">
        <f t="array" ref="L27">IF($A27="","",IFERROR((SUMPRODUCT((TRIM(tblDados[Mandante])=$A27)*tblDados[Primeira_Ocorrencia]*((tblDados[GM_M]+tblDados[GS_M])&gt;1.5))+SUMPRODUCT((TRIM(tblDados[Visitante])=$A27)*tblDados[Primeira_Ocorrencia]*((tblDados[GM_V]+tblDados[GS_V])&gt;1.5)))/G27,0))</f>
        <v>0.9285714285714286</v>
      </c>
      <c r="M27" s="11" cm="1">
        <f t="array" ref="M27">IF($A27="","",IFERROR((SUMPRODUCT((TRIM(tblDados[Mandante])=$A27)*tblDados[Primeira_Ocorrencia]*((tblDados[GM_M]+tblDados[GS_M])&gt;2.5))+SUMPRODUCT((TRIM(tblDados[Visitante])=$A27)*tblDados[Primeira_Ocorrencia]*((tblDados[GM_V]+tblDados[GS_V])&gt;2.5)))/G27,0))</f>
        <v>0.7857142857142857</v>
      </c>
      <c r="N27" s="11" cm="1">
        <f t="array" ref="N27">IF($A27="","",IFERROR((SUMPRODUCT((TRIM(tblDados[Mandante])=$A27)*tblDados[Primeira_Ocorrencia]*((tblDados[GM_M]+tblDados[GS_M])&gt;3.5))+SUMPRODUCT((TRIM(tblDados[Visitante])=$A27)*tblDados[Primeira_Ocorrencia]*((tblDados[GM_V]+tblDados[GS_V])&gt;3.5)))/G27,0))</f>
        <v>0.6428571428571429</v>
      </c>
      <c r="O27" s="11" cm="1">
        <f t="array" ref="O27">IF($A27="","",IFERROR((SUMPRODUCT((TRIM(tblDados[Mandante])=$A27)*tblDados[Primeira_Ocorrencia]*(tblDados[GM_M]&gt;0)*(tblDados[GS_M]&gt;0))+SUMPRODUCT((TRIM(tblDados[Visitante])=$A27)*tblDados[Primeira_Ocorrencia]*(tblDados[GM_V]&gt;0)*(tblDados[GS_V]&gt;0)))/G27,0))</f>
        <v>0.7857142857142857</v>
      </c>
      <c r="P27" s="10" cm="1">
        <f t="array" ref="P27">IF($A27="","",IFERROR((SUMPRODUCT((TRIM(tblDados[Mandante])=$A27)*tblDados[Primeira_Ocorrencia]*tblDados[GM_M]^2)+SUMPRODUCT((TRIM(tblDados[Visitante])=$A27)*tblDados[Primeira_Ocorrencia]*tblDados[GM_V]^2))/G27-H27^2,0))</f>
        <v>1.4540816326530615</v>
      </c>
      <c r="Q27" s="10">
        <f t="shared" si="9"/>
        <v>1.2058530725810095</v>
      </c>
      <c r="R27" s="8" t="str">
        <f t="shared" si="10"/>
        <v>Poisson</v>
      </c>
      <c r="S27" s="10" cm="1">
        <f t="array" ref="S27">IF($A27="","",SUMPRODUCT((TRIM(tblDados[Mandante])=$A27)*tblDados[Primeira_Ocorrencia]*tblDados[GM_M]))</f>
        <v>12</v>
      </c>
      <c r="T27" s="10" cm="1">
        <f t="array" ref="T27">IF($A27="","",SUMPRODUCT((TRIM(tblDados[Visitante])=$A27)*tblDados[Primeira_Ocorrencia]*tblDados[GM_V]))</f>
        <v>13</v>
      </c>
      <c r="U27" s="10">
        <f t="shared" si="11"/>
        <v>25</v>
      </c>
      <c r="V27" s="10">
        <f t="shared" si="0"/>
        <v>1.7857142857142858</v>
      </c>
      <c r="W27" s="10" cm="1">
        <f t="array" ref="W27">IF($A27="","",SUMPRODUCT((TRIM(tblDados[Mandante])=$A27)*tblDados[Primeira_Ocorrencia]*tblDados[GS_M]))</f>
        <v>10</v>
      </c>
      <c r="X27" s="10" cm="1">
        <f t="array" ref="X27">IF($A27="","",SUMPRODUCT((TRIM(tblDados[Visitante])=$A27)*tblDados[Primeira_Ocorrencia]*tblDados[GS_V]))</f>
        <v>23</v>
      </c>
      <c r="Y27" s="10">
        <f t="shared" si="12"/>
        <v>33</v>
      </c>
      <c r="Z27" s="10">
        <f t="shared" si="1"/>
        <v>2.3571428571428572</v>
      </c>
      <c r="AA27" s="10">
        <f t="shared" si="2"/>
        <v>2</v>
      </c>
      <c r="AB27" s="10">
        <f t="shared" si="3"/>
        <v>1.6666666666666667</v>
      </c>
      <c r="AC27" s="10">
        <f t="shared" si="4"/>
        <v>1.625</v>
      </c>
      <c r="AD27" s="10">
        <f t="shared" si="5"/>
        <v>2.875</v>
      </c>
    </row>
    <row r="28" spans="1:30" x14ac:dyDescent="0.3">
      <c r="A28" s="7" t="str">
        <v>Ceará</v>
      </c>
      <c r="B28" s="12" t="str" cm="1">
        <f t="array" ref="B28">IF($A28="","",_xlfn.LET(_xlpm.p,IFERROR(INDEX(tblDados[País],MATCH($A28,TRIM(tblDados[Mandante]),0)),INDEX(tblDados[País],MATCH($A28,TRIM(tblDados[Visitante]),0))),_xlpm.l,IFERROR(INDEX(tblDados[Liga],MATCH($A28,TRIM(tblDados[Mandante]),0)),INDEX(tblDados[Liga],MATCH($A28,TRIM(tblDados[Visitante]),0))),_xlpm.p&amp;" - "&amp;_xlpm.l))</f>
        <v>BRA - Série B</v>
      </c>
      <c r="C28" s="10">
        <f t="shared" si="6"/>
        <v>1.75</v>
      </c>
      <c r="D28" s="10">
        <f t="shared" si="7"/>
        <v>3</v>
      </c>
      <c r="E28" s="9" cm="1">
        <f t="array" ref="E28">IF($A28="","",SUMPRODUCT((TRIM(tblDados[Mandante])=$A28)*tblDados[Primeira_Ocorrencia]))</f>
        <v>8</v>
      </c>
      <c r="F28" s="9" cm="1">
        <f t="array" ref="F28">IF($A28="","",SUMPRODUCT((TRIM(tblDados[Visitante])=$A28)*tblDados[Primeira_Ocorrencia]))</f>
        <v>6</v>
      </c>
      <c r="G28" s="9" cm="1">
        <f t="array" ref="G28">IF($A28="","",SUMPRODUCT((TRIM(tblDados[Mandante])=$A28)*tblDados[Primeira_Ocorrencia])+SUMPRODUCT((TRIM(tblDados[Visitante])=$A28)*tblDados[Primeira_Ocorrencia]))</f>
        <v>14</v>
      </c>
      <c r="H28" s="10">
        <f t="shared" si="8"/>
        <v>1</v>
      </c>
      <c r="I28" s="10" cm="1">
        <f t="array" ref="I28">IF($A28="","",_xlfn.LET(_xlpm.p,IFERROR(INDEX(tblDados[País],MATCH($A28,TRIM(tblDados[Mandante]),0)),INDEX(tblDados[País],MATCH($A28,TRIM(tblDados[Visitante]),0))),_xlpm.l,IFERROR(INDEX(tblDados[Liga],MATCH($A28,TRIM(tblDados[Mandante]),0)),INDEX(tblDados[Liga],MATCH($A28,TRIM(tblDados[Visitante]),0))),IFERROR(SUMIFS(Ligas!$D$2:$D$39,Ligas!$H$2:$H$39,_xlpm.p,Ligas!$I$2:$I$39,_xlpm.l),0)))</f>
        <v>2.31</v>
      </c>
      <c r="J28" s="11" cm="1">
        <f t="array" ref="J28">IF($A28="","",IFERROR((SUMPRODUCT((TRIM(tblDados[Mandante])=$A28)*tblDados[Primeira_Ocorrencia]*(tblDados[GM_M]=0))+SUMPRODUCT((TRIM(tblDados[Visitante])=$A28)*tblDados[Primeira_Ocorrencia]*(tblDados[GM_V]=0)))/G28,0))</f>
        <v>0.42857142857142855</v>
      </c>
      <c r="K28" s="11" cm="1">
        <f t="array" ref="K28">IF($A28="","",IFERROR((SUMPRODUCT((TRIM(tblDados[Mandante])=$A28)*tblDados[Primeira_Ocorrencia]*((tblDados[GM_M]+tblDados[GS_M])&gt;0.5))+SUMPRODUCT((TRIM(tblDados[Visitante])=$A28)*tblDados[Primeira_Ocorrencia]*((tblDados[GM_V]+tblDados[GS_V])&gt;0.5)))/G28,0))</f>
        <v>0.9285714285714286</v>
      </c>
      <c r="L28" s="11" cm="1">
        <f t="array" ref="L28">IF($A28="","",IFERROR((SUMPRODUCT((TRIM(tblDados[Mandante])=$A28)*tblDados[Primeira_Ocorrencia]*((tblDados[GM_M]+tblDados[GS_M])&gt;1.5))+SUMPRODUCT((TRIM(tblDados[Visitante])=$A28)*tblDados[Primeira_Ocorrencia]*((tblDados[GM_V]+tblDados[GS_V])&gt;1.5)))/G28,0))</f>
        <v>0.7142857142857143</v>
      </c>
      <c r="M28" s="11" cm="1">
        <f t="array" ref="M28">IF($A28="","",IFERROR((SUMPRODUCT((TRIM(tblDados[Mandante])=$A28)*tblDados[Primeira_Ocorrencia]*((tblDados[GM_M]+tblDados[GS_M])&gt;2.5))+SUMPRODUCT((TRIM(tblDados[Visitante])=$A28)*tblDados[Primeira_Ocorrencia]*((tblDados[GM_V]+tblDados[GS_V])&gt;2.5)))/G28,0))</f>
        <v>0.35714285714285715</v>
      </c>
      <c r="N28" s="11" cm="1">
        <f t="array" ref="N28">IF($A28="","",IFERROR((SUMPRODUCT((TRIM(tblDados[Mandante])=$A28)*tblDados[Primeira_Ocorrencia]*((tblDados[GM_M]+tblDados[GS_M])&gt;3.5))+SUMPRODUCT((TRIM(tblDados[Visitante])=$A28)*tblDados[Primeira_Ocorrencia]*((tblDados[GM_V]+tblDados[GS_V])&gt;3.5)))/G28,0))</f>
        <v>7.1428571428571425E-2</v>
      </c>
      <c r="O28" s="11" cm="1">
        <f t="array" ref="O28">IF($A28="","",IFERROR((SUMPRODUCT((TRIM(tblDados[Mandante])=$A28)*tblDados[Primeira_Ocorrencia]*(tblDados[GM_M]&gt;0)*(tblDados[GS_M]&gt;0))+SUMPRODUCT((TRIM(tblDados[Visitante])=$A28)*tblDados[Primeira_Ocorrencia]*(tblDados[GM_V]&gt;0)*(tblDados[GS_V]&gt;0)))/G28,0))</f>
        <v>0.5</v>
      </c>
      <c r="P28" s="10" cm="1">
        <f t="array" ref="P28">IF($A28="","",IFERROR((SUMPRODUCT((TRIM(tblDados[Mandante])=$A28)*tblDados[Primeira_Ocorrencia]*tblDados[GM_M]^2)+SUMPRODUCT((TRIM(tblDados[Visitante])=$A28)*tblDados[Primeira_Ocorrencia]*tblDados[GM_V]^2))/G28-H28^2,0))</f>
        <v>1.2857142857142856</v>
      </c>
      <c r="Q28" s="10">
        <f t="shared" si="9"/>
        <v>1.1338934190276817</v>
      </c>
      <c r="R28" s="8" t="str">
        <f t="shared" si="10"/>
        <v>Poisson</v>
      </c>
      <c r="S28" s="10" cm="1">
        <f t="array" ref="S28">IF($A28="","",SUMPRODUCT((TRIM(tblDados[Mandante])=$A28)*tblDados[Primeira_Ocorrencia]*tblDados[GM_M]))</f>
        <v>7</v>
      </c>
      <c r="T28" s="10" cm="1">
        <f t="array" ref="T28">IF($A28="","",SUMPRODUCT((TRIM(tblDados[Visitante])=$A28)*tblDados[Primeira_Ocorrencia]*tblDados[GM_V]))</f>
        <v>7</v>
      </c>
      <c r="U28" s="10">
        <f t="shared" si="11"/>
        <v>14</v>
      </c>
      <c r="V28" s="10">
        <f t="shared" si="0"/>
        <v>1</v>
      </c>
      <c r="W28" s="10" cm="1">
        <f t="array" ref="W28">IF($A28="","",SUMPRODUCT((TRIM(tblDados[Mandante])=$A28)*tblDados[Primeira_Ocorrencia]*tblDados[GS_M]))</f>
        <v>7</v>
      </c>
      <c r="X28" s="10" cm="1">
        <f t="array" ref="X28">IF($A28="","",SUMPRODUCT((TRIM(tblDados[Visitante])=$A28)*tblDados[Primeira_Ocorrencia]*tblDados[GS_V]))</f>
        <v>11</v>
      </c>
      <c r="Y28" s="10">
        <f t="shared" si="12"/>
        <v>18</v>
      </c>
      <c r="Z28" s="10">
        <f t="shared" si="1"/>
        <v>1.2857142857142858</v>
      </c>
      <c r="AA28" s="10">
        <f t="shared" si="2"/>
        <v>0.875</v>
      </c>
      <c r="AB28" s="10">
        <f t="shared" si="3"/>
        <v>0.875</v>
      </c>
      <c r="AC28" s="10">
        <f t="shared" si="4"/>
        <v>1.1666666666666667</v>
      </c>
      <c r="AD28" s="10">
        <f t="shared" si="5"/>
        <v>1.8333333333333333</v>
      </c>
    </row>
    <row r="29" spans="1:30" x14ac:dyDescent="0.3">
      <c r="A29" s="7" t="str">
        <v>CRB</v>
      </c>
      <c r="B29" s="12" t="str" cm="1">
        <f t="array" ref="B29">IF($A29="","",_xlfn.LET(_xlpm.p,IFERROR(INDEX(tblDados[País],MATCH($A29,TRIM(tblDados[Mandante]),0)),INDEX(tblDados[País],MATCH($A29,TRIM(tblDados[Visitante]),0))),_xlpm.l,IFERROR(INDEX(tblDados[Liga],MATCH($A29,TRIM(tblDados[Mandante]),0)),INDEX(tblDados[Liga],MATCH($A29,TRIM(tblDados[Visitante]),0))),_xlpm.p&amp;" - "&amp;_xlpm.l))</f>
        <v>BRA - Série B</v>
      </c>
      <c r="C29" s="10">
        <f t="shared" si="6"/>
        <v>3.5714285714285712</v>
      </c>
      <c r="D29" s="10">
        <f t="shared" si="7"/>
        <v>3</v>
      </c>
      <c r="E29" s="9" cm="1">
        <f t="array" ref="E29">IF($A29="","",SUMPRODUCT((TRIM(tblDados[Mandante])=$A29)*tblDados[Primeira_Ocorrencia]))</f>
        <v>7</v>
      </c>
      <c r="F29" s="9" cm="1">
        <f t="array" ref="F29">IF($A29="","",SUMPRODUCT((TRIM(tblDados[Visitante])=$A29)*tblDados[Primeira_Ocorrencia]))</f>
        <v>7</v>
      </c>
      <c r="G29" s="9" cm="1">
        <f t="array" ref="G29">IF($A29="","",SUMPRODUCT((TRIM(tblDados[Mandante])=$A29)*tblDados[Primeira_Ocorrencia])+SUMPRODUCT((TRIM(tblDados[Visitante])=$A29)*tblDados[Primeira_Ocorrencia]))</f>
        <v>14</v>
      </c>
      <c r="H29" s="10">
        <f t="shared" si="8"/>
        <v>1.7857142857142858</v>
      </c>
      <c r="I29" s="10" cm="1">
        <f t="array" ref="I29">IF($A29="","",_xlfn.LET(_xlpm.p,IFERROR(INDEX(tblDados[País],MATCH($A29,TRIM(tblDados[Mandante]),0)),INDEX(tblDados[País],MATCH($A29,TRIM(tblDados[Visitante]),0))),_xlpm.l,IFERROR(INDEX(tblDados[Liga],MATCH($A29,TRIM(tblDados[Mandante]),0)),INDEX(tblDados[Liga],MATCH($A29,TRIM(tblDados[Visitante]),0))),IFERROR(SUMIFS(Ligas!$D$2:$D$39,Ligas!$H$2:$H$39,_xlpm.p,Ligas!$I$2:$I$39,_xlpm.l),0)))</f>
        <v>2.31</v>
      </c>
      <c r="J29" s="11" cm="1">
        <f t="array" ref="J29">IF($A29="","",IFERROR((SUMPRODUCT((TRIM(tblDados[Mandante])=$A29)*tblDados[Primeira_Ocorrencia]*(tblDados[GM_M]=0))+SUMPRODUCT((TRIM(tblDados[Visitante])=$A29)*tblDados[Primeira_Ocorrencia]*(tblDados[GM_V]=0)))/G29,0))</f>
        <v>0.14285714285714285</v>
      </c>
      <c r="K29" s="11" cm="1">
        <f t="array" ref="K29">IF($A29="","",IFERROR((SUMPRODUCT((TRIM(tblDados[Mandante])=$A29)*tblDados[Primeira_Ocorrencia]*((tblDados[GM_M]+tblDados[GS_M])&gt;0.5))+SUMPRODUCT((TRIM(tblDados[Visitante])=$A29)*tblDados[Primeira_Ocorrencia]*((tblDados[GM_V]+tblDados[GS_V])&gt;0.5)))/G29,0))</f>
        <v>1</v>
      </c>
      <c r="L29" s="11" cm="1">
        <f t="array" ref="L29">IF($A29="","",IFERROR((SUMPRODUCT((TRIM(tblDados[Mandante])=$A29)*tblDados[Primeira_Ocorrencia]*((tblDados[GM_M]+tblDados[GS_M])&gt;1.5))+SUMPRODUCT((TRIM(tblDados[Visitante])=$A29)*tblDados[Primeira_Ocorrencia]*((tblDados[GM_V]+tblDados[GS_V])&gt;1.5)))/G29,0))</f>
        <v>0.8571428571428571</v>
      </c>
      <c r="M29" s="11" cm="1">
        <f t="array" ref="M29">IF($A29="","",IFERROR((SUMPRODUCT((TRIM(tblDados[Mandante])=$A29)*tblDados[Primeira_Ocorrencia]*((tblDados[GM_M]+tblDados[GS_M])&gt;2.5))+SUMPRODUCT((TRIM(tblDados[Visitante])=$A29)*tblDados[Primeira_Ocorrencia]*((tblDados[GM_V]+tblDados[GS_V])&gt;2.5)))/G29,0))</f>
        <v>0.6428571428571429</v>
      </c>
      <c r="N29" s="11" cm="1">
        <f t="array" ref="N29">IF($A29="","",IFERROR((SUMPRODUCT((TRIM(tblDados[Mandante])=$A29)*tblDados[Primeira_Ocorrencia]*((tblDados[GM_M]+tblDados[GS_M])&gt;3.5))+SUMPRODUCT((TRIM(tblDados[Visitante])=$A29)*tblDados[Primeira_Ocorrencia]*((tblDados[GM_V]+tblDados[GS_V])&gt;3.5)))/G29,0))</f>
        <v>0.35714285714285715</v>
      </c>
      <c r="O29" s="11" cm="1">
        <f t="array" ref="O29">IF($A29="","",IFERROR((SUMPRODUCT((TRIM(tblDados[Mandante])=$A29)*tblDados[Primeira_Ocorrencia]*(tblDados[GM_M]&gt;0)*(tblDados[GS_M]&gt;0))+SUMPRODUCT((TRIM(tblDados[Visitante])=$A29)*tblDados[Primeira_Ocorrencia]*(tblDados[GM_V]&gt;0)*(tblDados[GS_V]&gt;0)))/G29,0))</f>
        <v>0.5714285714285714</v>
      </c>
      <c r="P29" s="10" cm="1">
        <f t="array" ref="P29">IF($A29="","",IFERROR((SUMPRODUCT((TRIM(tblDados[Mandante])=$A29)*tblDados[Primeira_Ocorrencia]*tblDados[GM_M]^2)+SUMPRODUCT((TRIM(tblDados[Visitante])=$A29)*tblDados[Primeira_Ocorrencia]*tblDados[GM_V]^2))/G29-H29^2,0))</f>
        <v>1.168367346938775</v>
      </c>
      <c r="Q29" s="10">
        <f t="shared" si="9"/>
        <v>1.0809104250301109</v>
      </c>
      <c r="R29" s="8" t="str">
        <f t="shared" si="10"/>
        <v>Poisson</v>
      </c>
      <c r="S29" s="10" cm="1">
        <f t="array" ref="S29">IF($A29="","",SUMPRODUCT((TRIM(tblDados[Mandante])=$A29)*tblDados[Primeira_Ocorrencia]*tblDados[GM_M]))</f>
        <v>16</v>
      </c>
      <c r="T29" s="10" cm="1">
        <f t="array" ref="T29">IF($A29="","",SUMPRODUCT((TRIM(tblDados[Visitante])=$A29)*tblDados[Primeira_Ocorrencia]*tblDados[GM_V]))</f>
        <v>9</v>
      </c>
      <c r="U29" s="10">
        <f t="shared" si="11"/>
        <v>25</v>
      </c>
      <c r="V29" s="10">
        <f t="shared" si="0"/>
        <v>1.7857142857142858</v>
      </c>
      <c r="W29" s="10" cm="1">
        <f t="array" ref="W29">IF($A29="","",SUMPRODUCT((TRIM(tblDados[Mandante])=$A29)*tblDados[Primeira_Ocorrencia]*tblDados[GS_M]))</f>
        <v>9</v>
      </c>
      <c r="X29" s="10" cm="1">
        <f t="array" ref="X29">IF($A29="","",SUMPRODUCT((TRIM(tblDados[Visitante])=$A29)*tblDados[Primeira_Ocorrencia]*tblDados[GS_V]))</f>
        <v>12</v>
      </c>
      <c r="Y29" s="10">
        <f t="shared" si="12"/>
        <v>21</v>
      </c>
      <c r="Z29" s="10">
        <f t="shared" si="1"/>
        <v>1.5</v>
      </c>
      <c r="AA29" s="10">
        <f t="shared" si="2"/>
        <v>2.2857142857142856</v>
      </c>
      <c r="AB29" s="10">
        <f t="shared" si="3"/>
        <v>1.2857142857142858</v>
      </c>
      <c r="AC29" s="10">
        <f t="shared" si="4"/>
        <v>1.2857142857142858</v>
      </c>
      <c r="AD29" s="10">
        <f t="shared" si="5"/>
        <v>1.7142857142857142</v>
      </c>
    </row>
    <row r="30" spans="1:30" x14ac:dyDescent="0.3">
      <c r="A30" s="7" t="str">
        <v>Criciúma</v>
      </c>
      <c r="B30" s="12" t="str" cm="1">
        <f t="array" ref="B30">IF($A30="","",_xlfn.LET(_xlpm.p,IFERROR(INDEX(tblDados[País],MATCH($A30,TRIM(tblDados[Mandante]),0)),INDEX(tblDados[País],MATCH($A30,TRIM(tblDados[Visitante]),0))),_xlpm.l,IFERROR(INDEX(tblDados[Liga],MATCH($A30,TRIM(tblDados[Mandante]),0)),INDEX(tblDados[Liga],MATCH($A30,TRIM(tblDados[Visitante]),0))),_xlpm.p&amp;" - "&amp;_xlpm.l))</f>
        <v>BRA - Série B</v>
      </c>
      <c r="C30" s="10">
        <f t="shared" si="6"/>
        <v>1.2857142857142856</v>
      </c>
      <c r="D30" s="10">
        <f t="shared" si="7"/>
        <v>1.7142857142857142</v>
      </c>
      <c r="E30" s="9" cm="1">
        <f t="array" ref="E30">IF($A30="","",SUMPRODUCT((TRIM(tblDados[Mandante])=$A30)*tblDados[Primeira_Ocorrencia]))</f>
        <v>7</v>
      </c>
      <c r="F30" s="9" cm="1">
        <f t="array" ref="F30">IF($A30="","",SUMPRODUCT((TRIM(tblDados[Visitante])=$A30)*tblDados[Primeira_Ocorrencia]))</f>
        <v>7</v>
      </c>
      <c r="G30" s="9" cm="1">
        <f t="array" ref="G30">IF($A30="","",SUMPRODUCT((TRIM(tblDados[Mandante])=$A30)*tblDados[Primeira_Ocorrencia])+SUMPRODUCT((TRIM(tblDados[Visitante])=$A30)*tblDados[Primeira_Ocorrencia]))</f>
        <v>14</v>
      </c>
      <c r="H30" s="10">
        <f t="shared" si="8"/>
        <v>1.0714285714285714</v>
      </c>
      <c r="I30" s="10" cm="1">
        <f t="array" ref="I30">IF($A30="","",_xlfn.LET(_xlpm.p,IFERROR(INDEX(tblDados[País],MATCH($A30,TRIM(tblDados[Mandante]),0)),INDEX(tblDados[País],MATCH($A30,TRIM(tblDados[Visitante]),0))),_xlpm.l,IFERROR(INDEX(tblDados[Liga],MATCH($A30,TRIM(tblDados[Mandante]),0)),INDEX(tblDados[Liga],MATCH($A30,TRIM(tblDados[Visitante]),0))),IFERROR(SUMIFS(Ligas!$D$2:$D$39,Ligas!$H$2:$H$39,_xlpm.p,Ligas!$I$2:$I$39,_xlpm.l),0)))</f>
        <v>2.31</v>
      </c>
      <c r="J30" s="11" cm="1">
        <f t="array" ref="J30">IF($A30="","",IFERROR((SUMPRODUCT((TRIM(tblDados[Mandante])=$A30)*tblDados[Primeira_Ocorrencia]*(tblDados[GM_M]=0))+SUMPRODUCT((TRIM(tblDados[Visitante])=$A30)*tblDados[Primeira_Ocorrencia]*(tblDados[GM_V]=0)))/G30,0))</f>
        <v>0.14285714285714285</v>
      </c>
      <c r="K30" s="11" cm="1">
        <f t="array" ref="K30">IF($A30="","",IFERROR((SUMPRODUCT((TRIM(tblDados[Mandante])=$A30)*tblDados[Primeira_Ocorrencia]*((tblDados[GM_M]+tblDados[GS_M])&gt;0.5))+SUMPRODUCT((TRIM(tblDados[Visitante])=$A30)*tblDados[Primeira_Ocorrencia]*((tblDados[GM_V]+tblDados[GS_V])&gt;0.5)))/G30,0))</f>
        <v>0.8571428571428571</v>
      </c>
      <c r="L30" s="11" cm="1">
        <f t="array" ref="L30">IF($A30="","",IFERROR((SUMPRODUCT((TRIM(tblDados[Mandante])=$A30)*tblDados[Primeira_Ocorrencia]*((tblDados[GM_M]+tblDados[GS_M])&gt;1.5))+SUMPRODUCT((TRIM(tblDados[Visitante])=$A30)*tblDados[Primeira_Ocorrencia]*((tblDados[GM_V]+tblDados[GS_V])&gt;1.5)))/G30,0))</f>
        <v>0.5</v>
      </c>
      <c r="M30" s="11" cm="1">
        <f t="array" ref="M30">IF($A30="","",IFERROR((SUMPRODUCT((TRIM(tblDados[Mandante])=$A30)*tblDados[Primeira_Ocorrencia]*((tblDados[GM_M]+tblDados[GS_M])&gt;2.5))+SUMPRODUCT((TRIM(tblDados[Visitante])=$A30)*tblDados[Primeira_Ocorrencia]*((tblDados[GM_V]+tblDados[GS_V])&gt;2.5)))/G30,0))</f>
        <v>0.14285714285714285</v>
      </c>
      <c r="N30" s="11" cm="1">
        <f t="array" ref="N30">IF($A30="","",IFERROR((SUMPRODUCT((TRIM(tblDados[Mandante])=$A30)*tblDados[Primeira_Ocorrencia]*((tblDados[GM_M]+tblDados[GS_M])&gt;3.5))+SUMPRODUCT((TRIM(tblDados[Visitante])=$A30)*tblDados[Primeira_Ocorrencia]*((tblDados[GM_V]+tblDados[GS_V])&gt;3.5)))/G30,0))</f>
        <v>0</v>
      </c>
      <c r="O30" s="11" cm="1">
        <f t="array" ref="O30">IF($A30="","",IFERROR((SUMPRODUCT((TRIM(tblDados[Mandante])=$A30)*tblDados[Primeira_Ocorrencia]*(tblDados[GM_M]&gt;0)*(tblDados[GS_M]&gt;0))+SUMPRODUCT((TRIM(tblDados[Visitante])=$A30)*tblDados[Primeira_Ocorrencia]*(tblDados[GM_V]&gt;0)*(tblDados[GS_V]&gt;0)))/G30,0))</f>
        <v>0.42857142857142855</v>
      </c>
      <c r="P30" s="10" cm="1">
        <f t="array" ref="P30">IF($A30="","",IFERROR((SUMPRODUCT((TRIM(tblDados[Mandante])=$A30)*tblDados[Primeira_Ocorrencia]*tblDados[GM_M]^2)+SUMPRODUCT((TRIM(tblDados[Visitante])=$A30)*tblDados[Primeira_Ocorrencia]*tblDados[GM_V]^2))/G30-H30^2,0))</f>
        <v>0.35204081632653073</v>
      </c>
      <c r="Q30" s="10">
        <f t="shared" si="9"/>
        <v>0.5933302759227197</v>
      </c>
      <c r="R30" s="8" t="str">
        <f t="shared" si="10"/>
        <v>Poisson</v>
      </c>
      <c r="S30" s="10" cm="1">
        <f t="array" ref="S30">IF($A30="","",SUMPRODUCT((TRIM(tblDados[Mandante])=$A30)*tblDados[Primeira_Ocorrencia]*tblDados[GM_M]))</f>
        <v>7</v>
      </c>
      <c r="T30" s="10" cm="1">
        <f t="array" ref="T30">IF($A30="","",SUMPRODUCT((TRIM(tblDados[Visitante])=$A30)*tblDados[Primeira_Ocorrencia]*tblDados[GM_V]))</f>
        <v>8</v>
      </c>
      <c r="U30" s="10">
        <f t="shared" si="11"/>
        <v>15</v>
      </c>
      <c r="V30" s="10">
        <f t="shared" si="0"/>
        <v>1.0714285714285714</v>
      </c>
      <c r="W30" s="10" cm="1">
        <f t="array" ref="W30">IF($A30="","",SUMPRODUCT((TRIM(tblDados[Mandante])=$A30)*tblDados[Primeira_Ocorrencia]*tblDados[GS_M]))</f>
        <v>2</v>
      </c>
      <c r="X30" s="10" cm="1">
        <f t="array" ref="X30">IF($A30="","",SUMPRODUCT((TRIM(tblDados[Visitante])=$A30)*tblDados[Primeira_Ocorrencia]*tblDados[GS_V]))</f>
        <v>4</v>
      </c>
      <c r="Y30" s="10">
        <f t="shared" si="12"/>
        <v>6</v>
      </c>
      <c r="Z30" s="10">
        <f t="shared" si="1"/>
        <v>0.42857142857142855</v>
      </c>
      <c r="AA30" s="10">
        <f t="shared" si="2"/>
        <v>1</v>
      </c>
      <c r="AB30" s="10">
        <f t="shared" si="3"/>
        <v>0.2857142857142857</v>
      </c>
      <c r="AC30" s="10">
        <f t="shared" si="4"/>
        <v>1.1428571428571428</v>
      </c>
      <c r="AD30" s="10">
        <f t="shared" si="5"/>
        <v>0.5714285714285714</v>
      </c>
    </row>
    <row r="31" spans="1:30" x14ac:dyDescent="0.3">
      <c r="A31" s="7" t="str">
        <v>Cuiabá</v>
      </c>
      <c r="B31" s="12" t="str" cm="1">
        <f t="array" ref="B31">IF($A31="","",_xlfn.LET(_xlpm.p,IFERROR(INDEX(tblDados[País],MATCH($A31,TRIM(tblDados[Mandante]),0)),INDEX(tblDados[País],MATCH($A31,TRIM(tblDados[Visitante]),0))),_xlpm.l,IFERROR(INDEX(tblDados[Liga],MATCH($A31,TRIM(tblDados[Mandante]),0)),INDEX(tblDados[Liga],MATCH($A31,TRIM(tblDados[Visitante]),0))),_xlpm.p&amp;" - "&amp;_xlpm.l))</f>
        <v>BRA - Série B</v>
      </c>
      <c r="C31" s="10">
        <f t="shared" si="6"/>
        <v>1.5714285714285714</v>
      </c>
      <c r="D31" s="10">
        <f t="shared" si="7"/>
        <v>1.8571428571428572</v>
      </c>
      <c r="E31" s="9" cm="1">
        <f t="array" ref="E31">IF($A31="","",SUMPRODUCT((TRIM(tblDados[Mandante])=$A31)*tblDados[Primeira_Ocorrencia]))</f>
        <v>7</v>
      </c>
      <c r="F31" s="9" cm="1">
        <f t="array" ref="F31">IF($A31="","",SUMPRODUCT((TRIM(tblDados[Visitante])=$A31)*tblDados[Primeira_Ocorrencia]))</f>
        <v>7</v>
      </c>
      <c r="G31" s="9" cm="1">
        <f t="array" ref="G31">IF($A31="","",SUMPRODUCT((TRIM(tblDados[Mandante])=$A31)*tblDados[Primeira_Ocorrencia])+SUMPRODUCT((TRIM(tblDados[Visitante])=$A31)*tblDados[Primeira_Ocorrencia]))</f>
        <v>14</v>
      </c>
      <c r="H31" s="10">
        <f t="shared" si="8"/>
        <v>0.8571428571428571</v>
      </c>
      <c r="I31" s="10" cm="1">
        <f t="array" ref="I31">IF($A31="","",_xlfn.LET(_xlpm.p,IFERROR(INDEX(tblDados[País],MATCH($A31,TRIM(tblDados[Mandante]),0)),INDEX(tblDados[País],MATCH($A31,TRIM(tblDados[Visitante]),0))),_xlpm.l,IFERROR(INDEX(tblDados[Liga],MATCH($A31,TRIM(tblDados[Mandante]),0)),INDEX(tblDados[Liga],MATCH($A31,TRIM(tblDados[Visitante]),0))),IFERROR(SUMIFS(Ligas!$D$2:$D$39,Ligas!$H$2:$H$39,_xlpm.p,Ligas!$I$2:$I$39,_xlpm.l),0)))</f>
        <v>2.31</v>
      </c>
      <c r="J31" s="11" cm="1">
        <f t="array" ref="J31">IF($A31="","",IFERROR((SUMPRODUCT((TRIM(tblDados[Mandante])=$A31)*tblDados[Primeira_Ocorrencia]*(tblDados[GM_M]=0))+SUMPRODUCT((TRIM(tblDados[Visitante])=$A31)*tblDados[Primeira_Ocorrencia]*(tblDados[GM_V]=0)))/G31,0))</f>
        <v>0.42857142857142855</v>
      </c>
      <c r="K31" s="11" cm="1">
        <f t="array" ref="K31">IF($A31="","",IFERROR((SUMPRODUCT((TRIM(tblDados[Mandante])=$A31)*tblDados[Primeira_Ocorrencia]*((tblDados[GM_M]+tblDados[GS_M])&gt;0.5))+SUMPRODUCT((TRIM(tblDados[Visitante])=$A31)*tblDados[Primeira_Ocorrencia]*((tblDados[GM_V]+tblDados[GS_V])&gt;0.5)))/G31,0))</f>
        <v>0.8571428571428571</v>
      </c>
      <c r="L31" s="11" cm="1">
        <f t="array" ref="L31">IF($A31="","",IFERROR((SUMPRODUCT((TRIM(tblDados[Mandante])=$A31)*tblDados[Primeira_Ocorrencia]*((tblDados[GM_M]+tblDados[GS_M])&gt;1.5))+SUMPRODUCT((TRIM(tblDados[Visitante])=$A31)*tblDados[Primeira_Ocorrencia]*((tblDados[GM_V]+tblDados[GS_V])&gt;1.5)))/G31,0))</f>
        <v>0.5</v>
      </c>
      <c r="M31" s="11" cm="1">
        <f t="array" ref="M31">IF($A31="","",IFERROR((SUMPRODUCT((TRIM(tblDados[Mandante])=$A31)*tblDados[Primeira_Ocorrencia]*((tblDados[GM_M]+tblDados[GS_M])&gt;2.5))+SUMPRODUCT((TRIM(tblDados[Visitante])=$A31)*tblDados[Primeira_Ocorrencia]*((tblDados[GM_V]+tblDados[GS_V])&gt;2.5)))/G31,0))</f>
        <v>0.21428571428571427</v>
      </c>
      <c r="N31" s="11" cm="1">
        <f t="array" ref="N31">IF($A31="","",IFERROR((SUMPRODUCT((TRIM(tblDados[Mandante])=$A31)*tblDados[Primeira_Ocorrencia]*((tblDados[GM_M]+tblDados[GS_M])&gt;3.5))+SUMPRODUCT((TRIM(tblDados[Visitante])=$A31)*tblDados[Primeira_Ocorrencia]*((tblDados[GM_V]+tblDados[GS_V])&gt;3.5)))/G31,0))</f>
        <v>0.14285714285714285</v>
      </c>
      <c r="O31" s="11" cm="1">
        <f t="array" ref="O31">IF($A31="","",IFERROR((SUMPRODUCT((TRIM(tblDados[Mandante])=$A31)*tblDados[Primeira_Ocorrencia]*(tblDados[GM_M]&gt;0)*(tblDados[GS_M]&gt;0))+SUMPRODUCT((TRIM(tblDados[Visitante])=$A31)*tblDados[Primeira_Ocorrencia]*(tblDados[GM_V]&gt;0)*(tblDados[GS_V]&gt;0)))/G31,0))</f>
        <v>0.35714285714285715</v>
      </c>
      <c r="P31" s="10" cm="1">
        <f t="array" ref="P31">IF($A31="","",IFERROR((SUMPRODUCT((TRIM(tblDados[Mandante])=$A31)*tblDados[Primeira_Ocorrencia]*tblDados[GM_M]^2)+SUMPRODUCT((TRIM(tblDados[Visitante])=$A31)*tblDados[Primeira_Ocorrencia]*tblDados[GM_V]^2))/G31-H31^2,0))</f>
        <v>0.69387755102040827</v>
      </c>
      <c r="Q31" s="10">
        <f t="shared" si="9"/>
        <v>0.83299312783504298</v>
      </c>
      <c r="R31" s="8" t="str">
        <f t="shared" si="10"/>
        <v>Poisson</v>
      </c>
      <c r="S31" s="10" cm="1">
        <f t="array" ref="S31">IF($A31="","",SUMPRODUCT((TRIM(tblDados[Mandante])=$A31)*tblDados[Primeira_Ocorrencia]*tblDados[GM_M]))</f>
        <v>7</v>
      </c>
      <c r="T31" s="10" cm="1">
        <f t="array" ref="T31">IF($A31="","",SUMPRODUCT((TRIM(tblDados[Visitante])=$A31)*tblDados[Primeira_Ocorrencia]*tblDados[GM_V]))</f>
        <v>5</v>
      </c>
      <c r="U31" s="10">
        <f t="shared" si="11"/>
        <v>12</v>
      </c>
      <c r="V31" s="10">
        <f t="shared" si="0"/>
        <v>0.8571428571428571</v>
      </c>
      <c r="W31" s="10" cm="1">
        <f t="array" ref="W31">IF($A31="","",SUMPRODUCT((TRIM(tblDados[Mandante])=$A31)*tblDados[Primeira_Ocorrencia]*tblDados[GS_M]))</f>
        <v>4</v>
      </c>
      <c r="X31" s="10" cm="1">
        <f t="array" ref="X31">IF($A31="","",SUMPRODUCT((TRIM(tblDados[Visitante])=$A31)*tblDados[Primeira_Ocorrencia]*tblDados[GS_V]))</f>
        <v>8</v>
      </c>
      <c r="Y31" s="10">
        <f t="shared" si="12"/>
        <v>12</v>
      </c>
      <c r="Z31" s="10">
        <f t="shared" si="1"/>
        <v>0.8571428571428571</v>
      </c>
      <c r="AA31" s="10">
        <f t="shared" si="2"/>
        <v>1</v>
      </c>
      <c r="AB31" s="10">
        <f t="shared" si="3"/>
        <v>0.5714285714285714</v>
      </c>
      <c r="AC31" s="10">
        <f t="shared" si="4"/>
        <v>0.7142857142857143</v>
      </c>
      <c r="AD31" s="10">
        <f t="shared" si="5"/>
        <v>1.1428571428571428</v>
      </c>
    </row>
    <row r="32" spans="1:30" x14ac:dyDescent="0.3">
      <c r="A32" s="7" t="str">
        <v>Dalian K'un City</v>
      </c>
      <c r="B32" s="12" t="str" cm="1">
        <f t="array" ref="B32">IF($A32="","",_xlfn.LET(_xlpm.p,IFERROR(INDEX(tblDados[País],MATCH($A32,TRIM(tblDados[Mandante]),0)),INDEX(tblDados[País],MATCH($A32,TRIM(tblDados[Visitante]),0))),_xlpm.l,IFERROR(INDEX(tblDados[Liga],MATCH($A32,TRIM(tblDados[Mandante]),0)),INDEX(tblDados[Liga],MATCH($A32,TRIM(tblDados[Visitante]),0))),_xlpm.p&amp;" - "&amp;_xlpm.l))</f>
        <v>CHN - League One</v>
      </c>
      <c r="C32" s="10">
        <f t="shared" si="6"/>
        <v>3</v>
      </c>
      <c r="D32" s="10">
        <f t="shared" si="7"/>
        <v>2.7142857142857144</v>
      </c>
      <c r="E32" s="9" cm="1">
        <f t="array" ref="E32">IF($A32="","",SUMPRODUCT((TRIM(tblDados[Mandante])=$A32)*tblDados[Primeira_Ocorrencia]))</f>
        <v>7</v>
      </c>
      <c r="F32" s="9" cm="1">
        <f t="array" ref="F32">IF($A32="","",SUMPRODUCT((TRIM(tblDados[Visitante])=$A32)*tblDados[Primeira_Ocorrencia]))</f>
        <v>7</v>
      </c>
      <c r="G32" s="9" cm="1">
        <f t="array" ref="G32">IF($A32="","",SUMPRODUCT((TRIM(tblDados[Mandante])=$A32)*tblDados[Primeira_Ocorrencia])+SUMPRODUCT((TRIM(tblDados[Visitante])=$A32)*tblDados[Primeira_Ocorrencia]))</f>
        <v>14</v>
      </c>
      <c r="H32" s="10">
        <f t="shared" si="8"/>
        <v>1.2857142857142858</v>
      </c>
      <c r="I32" s="10" cm="1">
        <f t="array" ref="I32">IF($A32="","",_xlfn.LET(_xlpm.p,IFERROR(INDEX(tblDados[País],MATCH($A32,TRIM(tblDados[Mandante]),0)),INDEX(tblDados[País],MATCH($A32,TRIM(tblDados[Visitante]),0))),_xlpm.l,IFERROR(INDEX(tblDados[Liga],MATCH($A32,TRIM(tblDados[Mandante]),0)),INDEX(tblDados[Liga],MATCH($A32,TRIM(tblDados[Visitante]),0))),IFERROR(SUMIFS(Ligas!$D$2:$D$39,Ligas!$H$2:$H$39,_xlpm.p,Ligas!$I$2:$I$39,_xlpm.l),0)))</f>
        <v>2.5</v>
      </c>
      <c r="J32" s="11" cm="1">
        <f t="array" ref="J32">IF($A32="","",IFERROR((SUMPRODUCT((TRIM(tblDados[Mandante])=$A32)*tblDados[Primeira_Ocorrencia]*(tblDados[GM_M]=0))+SUMPRODUCT((TRIM(tblDados[Visitante])=$A32)*tblDados[Primeira_Ocorrencia]*(tblDados[GM_V]=0)))/G32,0))</f>
        <v>0.35714285714285715</v>
      </c>
      <c r="K32" s="11" cm="1">
        <f t="array" ref="K32">IF($A32="","",IFERROR((SUMPRODUCT((TRIM(tblDados[Mandante])=$A32)*tblDados[Primeira_Ocorrencia]*((tblDados[GM_M]+tblDados[GS_M])&gt;0.5))+SUMPRODUCT((TRIM(tblDados[Visitante])=$A32)*tblDados[Primeira_Ocorrencia]*((tblDados[GM_V]+tblDados[GS_V])&gt;0.5)))/G32,0))</f>
        <v>0.8571428571428571</v>
      </c>
      <c r="L32" s="11" cm="1">
        <f t="array" ref="L32">IF($A32="","",IFERROR((SUMPRODUCT((TRIM(tblDados[Mandante])=$A32)*tblDados[Primeira_Ocorrencia]*((tblDados[GM_M]+tblDados[GS_M])&gt;1.5))+SUMPRODUCT((TRIM(tblDados[Visitante])=$A32)*tblDados[Primeira_Ocorrencia]*((tblDados[GM_V]+tblDados[GS_V])&gt;1.5)))/G32,0))</f>
        <v>0.7142857142857143</v>
      </c>
      <c r="M32" s="11" cm="1">
        <f t="array" ref="M32">IF($A32="","",IFERROR((SUMPRODUCT((TRIM(tblDados[Mandante])=$A32)*tblDados[Primeira_Ocorrencia]*((tblDados[GM_M]+tblDados[GS_M])&gt;2.5))+SUMPRODUCT((TRIM(tblDados[Visitante])=$A32)*tblDados[Primeira_Ocorrencia]*((tblDados[GM_V]+tblDados[GS_V])&gt;2.5)))/G32,0))</f>
        <v>0.5</v>
      </c>
      <c r="N32" s="11" cm="1">
        <f t="array" ref="N32">IF($A32="","",IFERROR((SUMPRODUCT((TRIM(tblDados[Mandante])=$A32)*tblDados[Primeira_Ocorrencia]*((tblDados[GM_M]+tblDados[GS_M])&gt;3.5))+SUMPRODUCT((TRIM(tblDados[Visitante])=$A32)*tblDados[Primeira_Ocorrencia]*((tblDados[GM_V]+tblDados[GS_V])&gt;3.5)))/G32,0))</f>
        <v>0.35714285714285715</v>
      </c>
      <c r="O32" s="11" cm="1">
        <f t="array" ref="O32">IF($A32="","",IFERROR((SUMPRODUCT((TRIM(tblDados[Mandante])=$A32)*tblDados[Primeira_Ocorrencia]*(tblDados[GM_M]&gt;0)*(tblDados[GS_M]&gt;0))+SUMPRODUCT((TRIM(tblDados[Visitante])=$A32)*tblDados[Primeira_Ocorrencia]*(tblDados[GM_V]&gt;0)*(tblDados[GS_V]&gt;0)))/G32,0))</f>
        <v>0.5714285714285714</v>
      </c>
      <c r="P32" s="10" cm="1">
        <f t="array" ref="P32">IF($A32="","",IFERROR((SUMPRODUCT((TRIM(tblDados[Mandante])=$A32)*tblDados[Primeira_Ocorrencia]*tblDados[GM_M]^2)+SUMPRODUCT((TRIM(tblDados[Visitante])=$A32)*tblDados[Primeira_Ocorrencia]*tblDados[GM_V]^2))/G32-H32^2,0))</f>
        <v>1.9183673469387754</v>
      </c>
      <c r="Q32" s="10">
        <f t="shared" si="9"/>
        <v>1.3850513878332369</v>
      </c>
      <c r="R32" s="8" t="str">
        <f t="shared" si="10"/>
        <v>Poisson</v>
      </c>
      <c r="S32" s="10" cm="1">
        <f t="array" ref="S32">IF($A32="","",SUMPRODUCT((TRIM(tblDados[Mandante])=$A32)*tblDados[Primeira_Ocorrencia]*tblDados[GM_M]))</f>
        <v>12</v>
      </c>
      <c r="T32" s="10" cm="1">
        <f t="array" ref="T32">IF($A32="","",SUMPRODUCT((TRIM(tblDados[Visitante])=$A32)*tblDados[Primeira_Ocorrencia]*tblDados[GM_V]))</f>
        <v>6</v>
      </c>
      <c r="U32" s="10">
        <f t="shared" si="11"/>
        <v>18</v>
      </c>
      <c r="V32" s="10">
        <f t="shared" si="0"/>
        <v>1.2857142857142858</v>
      </c>
      <c r="W32" s="10" cm="1">
        <f t="array" ref="W32">IF($A32="","",SUMPRODUCT((TRIM(tblDados[Mandante])=$A32)*tblDados[Primeira_Ocorrencia]*tblDados[GS_M]))</f>
        <v>9</v>
      </c>
      <c r="X32" s="10" cm="1">
        <f t="array" ref="X32">IF($A32="","",SUMPRODUCT((TRIM(tblDados[Visitante])=$A32)*tblDados[Primeira_Ocorrencia]*tblDados[GS_V]))</f>
        <v>13</v>
      </c>
      <c r="Y32" s="10">
        <f t="shared" si="12"/>
        <v>22</v>
      </c>
      <c r="Z32" s="10">
        <f t="shared" si="1"/>
        <v>1.5714285714285714</v>
      </c>
      <c r="AA32" s="10">
        <f t="shared" si="2"/>
        <v>1.7142857142857142</v>
      </c>
      <c r="AB32" s="10">
        <f t="shared" si="3"/>
        <v>1.2857142857142858</v>
      </c>
      <c r="AC32" s="10">
        <f t="shared" si="4"/>
        <v>0.8571428571428571</v>
      </c>
      <c r="AD32" s="10">
        <f t="shared" si="5"/>
        <v>1.8571428571428572</v>
      </c>
    </row>
    <row r="33" spans="1:30" x14ac:dyDescent="0.3">
      <c r="A33" s="7" t="str">
        <v>FK Bodø/Glimt</v>
      </c>
      <c r="B33" s="12" t="str" cm="1">
        <f t="array" ref="B33">IF($A33="","",_xlfn.LET(_xlpm.p,IFERROR(INDEX(tblDados[País],MATCH($A33,TRIM(tblDados[Mandante]),0)),INDEX(tblDados[País],MATCH($A33,TRIM(tblDados[Visitante]),0))),_xlpm.l,IFERROR(INDEX(tblDados[Liga],MATCH($A33,TRIM(tblDados[Mandante]),0)),INDEX(tblDados[Liga],MATCH($A33,TRIM(tblDados[Visitante]),0))),_xlpm.p&amp;" - "&amp;_xlpm.l))</f>
        <v>NOR - Eliteserien</v>
      </c>
      <c r="C33" s="10">
        <f t="shared" si="6"/>
        <v>3.25</v>
      </c>
      <c r="D33" s="10">
        <f t="shared" si="7"/>
        <v>3.1666666666666665</v>
      </c>
      <c r="E33" s="9" cm="1">
        <f t="array" ref="E33">IF($A33="","",SUMPRODUCT((TRIM(tblDados[Mandante])=$A33)*tblDados[Primeira_Ocorrencia]))</f>
        <v>8</v>
      </c>
      <c r="F33" s="9" cm="1">
        <f t="array" ref="F33">IF($A33="","",SUMPRODUCT((TRIM(tblDados[Visitante])=$A33)*tblDados[Primeira_Ocorrencia]))</f>
        <v>6</v>
      </c>
      <c r="G33" s="9" cm="1">
        <f t="array" ref="G33">IF($A33="","",SUMPRODUCT((TRIM(tblDados[Mandante])=$A33)*tblDados[Primeira_Ocorrencia])+SUMPRODUCT((TRIM(tblDados[Visitante])=$A33)*tblDados[Primeira_Ocorrencia]))</f>
        <v>14</v>
      </c>
      <c r="H33" s="10">
        <f t="shared" si="8"/>
        <v>2.7857142857142856</v>
      </c>
      <c r="I33" s="10" cm="1">
        <f t="array" ref="I33">IF($A33="","",_xlfn.LET(_xlpm.p,IFERROR(INDEX(tblDados[País],MATCH($A33,TRIM(tblDados[Mandante]),0)),INDEX(tblDados[País],MATCH($A33,TRIM(tblDados[Visitante]),0))),_xlpm.l,IFERROR(INDEX(tblDados[Liga],MATCH($A33,TRIM(tblDados[Mandante]),0)),INDEX(tblDados[Liga],MATCH($A33,TRIM(tblDados[Visitante]),0))),IFERROR(SUMIFS(Ligas!$D$2:$D$39,Ligas!$H$2:$H$39,_xlpm.p,Ligas!$I$2:$I$39,_xlpm.l),0)))</f>
        <v>2.5</v>
      </c>
      <c r="J33" s="11" cm="1">
        <f t="array" ref="J33">IF($A33="","",IFERROR((SUMPRODUCT((TRIM(tblDados[Mandante])=$A33)*tblDados[Primeira_Ocorrencia]*(tblDados[GM_M]=0))+SUMPRODUCT((TRIM(tblDados[Visitante])=$A33)*tblDados[Primeira_Ocorrencia]*(tblDados[GM_V]=0)))/G33,0))</f>
        <v>7.1428571428571425E-2</v>
      </c>
      <c r="K33" s="11" cm="1">
        <f t="array" ref="K33">IF($A33="","",IFERROR((SUMPRODUCT((TRIM(tblDados[Mandante])=$A33)*tblDados[Primeira_Ocorrencia]*((tblDados[GM_M]+tblDados[GS_M])&gt;0.5))+SUMPRODUCT((TRIM(tblDados[Visitante])=$A33)*tblDados[Primeira_Ocorrencia]*((tblDados[GM_V]+tblDados[GS_V])&gt;0.5)))/G33,0))</f>
        <v>1</v>
      </c>
      <c r="L33" s="11" cm="1">
        <f t="array" ref="L33">IF($A33="","",IFERROR((SUMPRODUCT((TRIM(tblDados[Mandante])=$A33)*tblDados[Primeira_Ocorrencia]*((tblDados[GM_M]+tblDados[GS_M])&gt;1.5))+SUMPRODUCT((TRIM(tblDados[Visitante])=$A33)*tblDados[Primeira_Ocorrencia]*((tblDados[GM_V]+tblDados[GS_V])&gt;1.5)))/G33,0))</f>
        <v>0.8571428571428571</v>
      </c>
      <c r="M33" s="11" cm="1">
        <f t="array" ref="M33">IF($A33="","",IFERROR((SUMPRODUCT((TRIM(tblDados[Mandante])=$A33)*tblDados[Primeira_Ocorrencia]*((tblDados[GM_M]+tblDados[GS_M])&gt;2.5))+SUMPRODUCT((TRIM(tblDados[Visitante])=$A33)*tblDados[Primeira_Ocorrencia]*((tblDados[GM_V]+tblDados[GS_V])&gt;2.5)))/G33,0))</f>
        <v>0.7142857142857143</v>
      </c>
      <c r="N33" s="11" cm="1">
        <f t="array" ref="N33">IF($A33="","",IFERROR((SUMPRODUCT((TRIM(tblDados[Mandante])=$A33)*tblDados[Primeira_Ocorrencia]*((tblDados[GM_M]+tblDados[GS_M])&gt;3.5))+SUMPRODUCT((TRIM(tblDados[Visitante])=$A33)*tblDados[Primeira_Ocorrencia]*((tblDados[GM_V]+tblDados[GS_V])&gt;3.5)))/G33,0))</f>
        <v>0.42857142857142855</v>
      </c>
      <c r="O33" s="11" cm="1">
        <f t="array" ref="O33">IF($A33="","",IFERROR((SUMPRODUCT((TRIM(tblDados[Mandante])=$A33)*tblDados[Primeira_Ocorrencia]*(tblDados[GM_M]&gt;0)*(tblDados[GS_M]&gt;0))+SUMPRODUCT((TRIM(tblDados[Visitante])=$A33)*tblDados[Primeira_Ocorrencia]*(tblDados[GM_V]&gt;0)*(tblDados[GS_V]&gt;0)))/G33,0))</f>
        <v>0.2857142857142857</v>
      </c>
      <c r="P33" s="10" cm="1">
        <f t="array" ref="P33">IF($A33="","",IFERROR((SUMPRODUCT((TRIM(tblDados[Mandante])=$A33)*tblDados[Primeira_Ocorrencia]*tblDados[GM_M]^2)+SUMPRODUCT((TRIM(tblDados[Visitante])=$A33)*tblDados[Primeira_Ocorrencia]*tblDados[GM_V]^2))/G33-H33^2,0))</f>
        <v>1.8826530612244898</v>
      </c>
      <c r="Q33" s="10">
        <f t="shared" si="9"/>
        <v>1.3720980508784675</v>
      </c>
      <c r="R33" s="8" t="str">
        <f t="shared" si="10"/>
        <v>Poisson</v>
      </c>
      <c r="S33" s="10" cm="1">
        <f t="array" ref="S33">IF($A33="","",SUMPRODUCT((TRIM(tblDados[Mandante])=$A33)*tblDados[Primeira_Ocorrencia]*tblDados[GM_M]))</f>
        <v>24</v>
      </c>
      <c r="T33" s="10" cm="1">
        <f t="array" ref="T33">IF($A33="","",SUMPRODUCT((TRIM(tblDados[Visitante])=$A33)*tblDados[Primeira_Ocorrencia]*tblDados[GM_V]))</f>
        <v>15</v>
      </c>
      <c r="U33" s="10">
        <f t="shared" si="11"/>
        <v>39</v>
      </c>
      <c r="V33" s="10">
        <f t="shared" si="0"/>
        <v>2.7857142857142856</v>
      </c>
      <c r="W33" s="10" cm="1">
        <f t="array" ref="W33">IF($A33="","",SUMPRODUCT((TRIM(tblDados[Mandante])=$A33)*tblDados[Primeira_Ocorrencia]*tblDados[GS_M]))</f>
        <v>2</v>
      </c>
      <c r="X33" s="10" cm="1">
        <f t="array" ref="X33">IF($A33="","",SUMPRODUCT((TRIM(tblDados[Visitante])=$A33)*tblDados[Primeira_Ocorrencia]*tblDados[GS_V]))</f>
        <v>4</v>
      </c>
      <c r="Y33" s="10">
        <f t="shared" si="12"/>
        <v>6</v>
      </c>
      <c r="Z33" s="10">
        <f t="shared" si="1"/>
        <v>0.42857142857142855</v>
      </c>
      <c r="AA33" s="10">
        <f t="shared" si="2"/>
        <v>3</v>
      </c>
      <c r="AB33" s="10">
        <f t="shared" si="3"/>
        <v>0.25</v>
      </c>
      <c r="AC33" s="10">
        <f t="shared" si="4"/>
        <v>2.5</v>
      </c>
      <c r="AD33" s="10">
        <f t="shared" si="5"/>
        <v>0.66666666666666663</v>
      </c>
    </row>
    <row r="34" spans="1:30" x14ac:dyDescent="0.3">
      <c r="A34" s="7" t="str">
        <v>Fortaleza</v>
      </c>
      <c r="B34" s="12" t="str" cm="1">
        <f t="array" ref="B34">IF($A34="","",_xlfn.LET(_xlpm.p,IFERROR(INDEX(tblDados[País],MATCH($A34,TRIM(tblDados[Mandante]),0)),INDEX(tblDados[País],MATCH($A34,TRIM(tblDados[Visitante]),0))),_xlpm.l,IFERROR(INDEX(tblDados[Liga],MATCH($A34,TRIM(tblDados[Mandante]),0)),INDEX(tblDados[Liga],MATCH($A34,TRIM(tblDados[Visitante]),0))),_xlpm.p&amp;" - "&amp;_xlpm.l))</f>
        <v>BRA - Série B</v>
      </c>
      <c r="C34" s="10">
        <f t="shared" si="6"/>
        <v>2.5714285714285716</v>
      </c>
      <c r="D34" s="10">
        <f t="shared" si="7"/>
        <v>1.5714285714285714</v>
      </c>
      <c r="E34" s="9" cm="1">
        <f t="array" ref="E34">IF($A34="","",SUMPRODUCT((TRIM(tblDados[Mandante])=$A34)*tblDados[Primeira_Ocorrencia]))</f>
        <v>7</v>
      </c>
      <c r="F34" s="9" cm="1">
        <f t="array" ref="F34">IF($A34="","",SUMPRODUCT((TRIM(tblDados[Visitante])=$A34)*tblDados[Primeira_Ocorrencia]))</f>
        <v>7</v>
      </c>
      <c r="G34" s="9" cm="1">
        <f t="array" ref="G34">IF($A34="","",SUMPRODUCT((TRIM(tblDados[Mandante])=$A34)*tblDados[Primeira_Ocorrencia])+SUMPRODUCT((TRIM(tblDados[Visitante])=$A34)*tblDados[Primeira_Ocorrencia]))</f>
        <v>14</v>
      </c>
      <c r="H34" s="10">
        <f t="shared" si="8"/>
        <v>1.2142857142857142</v>
      </c>
      <c r="I34" s="10" cm="1">
        <f t="array" ref="I34">IF($A34="","",_xlfn.LET(_xlpm.p,IFERROR(INDEX(tblDados[País],MATCH($A34,TRIM(tblDados[Mandante]),0)),INDEX(tblDados[País],MATCH($A34,TRIM(tblDados[Visitante]),0))),_xlpm.l,IFERROR(INDEX(tblDados[Liga],MATCH($A34,TRIM(tblDados[Mandante]),0)),INDEX(tblDados[Liga],MATCH($A34,TRIM(tblDados[Visitante]),0))),IFERROR(SUMIFS(Ligas!$D$2:$D$39,Ligas!$H$2:$H$39,_xlpm.p,Ligas!$I$2:$I$39,_xlpm.l),0)))</f>
        <v>2.31</v>
      </c>
      <c r="J34" s="11" cm="1">
        <f t="array" ref="J34">IF($A34="","",IFERROR((SUMPRODUCT((TRIM(tblDados[Mandante])=$A34)*tblDados[Primeira_Ocorrencia]*(tblDados[GM_M]=0))+SUMPRODUCT((TRIM(tblDados[Visitante])=$A34)*tblDados[Primeira_Ocorrencia]*(tblDados[GM_V]=0)))/G34,0))</f>
        <v>0.2857142857142857</v>
      </c>
      <c r="K34" s="11" cm="1">
        <f t="array" ref="K34">IF($A34="","",IFERROR((SUMPRODUCT((TRIM(tblDados[Mandante])=$A34)*tblDados[Primeira_Ocorrencia]*((tblDados[GM_M]+tblDados[GS_M])&gt;0.5))+SUMPRODUCT((TRIM(tblDados[Visitante])=$A34)*tblDados[Primeira_Ocorrencia]*((tblDados[GM_V]+tblDados[GS_V])&gt;0.5)))/G34,0))</f>
        <v>0.9285714285714286</v>
      </c>
      <c r="L34" s="11" cm="1">
        <f t="array" ref="L34">IF($A34="","",IFERROR((SUMPRODUCT((TRIM(tblDados[Mandante])=$A34)*tblDados[Primeira_Ocorrencia]*((tblDados[GM_M]+tblDados[GS_M])&gt;1.5))+SUMPRODUCT((TRIM(tblDados[Visitante])=$A34)*tblDados[Primeira_Ocorrencia]*((tblDados[GM_V]+tblDados[GS_V])&gt;1.5)))/G34,0))</f>
        <v>0.5714285714285714</v>
      </c>
      <c r="M34" s="11" cm="1">
        <f t="array" ref="M34">IF($A34="","",IFERROR((SUMPRODUCT((TRIM(tblDados[Mandante])=$A34)*tblDados[Primeira_Ocorrencia]*((tblDados[GM_M]+tblDados[GS_M])&gt;2.5))+SUMPRODUCT((TRIM(tblDados[Visitante])=$A34)*tblDados[Primeira_Ocorrencia]*((tblDados[GM_V]+tblDados[GS_V])&gt;2.5)))/G34,0))</f>
        <v>0.42857142857142855</v>
      </c>
      <c r="N34" s="11" cm="1">
        <f t="array" ref="N34">IF($A34="","",IFERROR((SUMPRODUCT((TRIM(tblDados[Mandante])=$A34)*tblDados[Primeira_Ocorrencia]*((tblDados[GM_M]+tblDados[GS_M])&gt;3.5))+SUMPRODUCT((TRIM(tblDados[Visitante])=$A34)*tblDados[Primeira_Ocorrencia]*((tblDados[GM_V]+tblDados[GS_V])&gt;3.5)))/G34,0))</f>
        <v>7.1428571428571425E-2</v>
      </c>
      <c r="O34" s="11" cm="1">
        <f t="array" ref="O34">IF($A34="","",IFERROR((SUMPRODUCT((TRIM(tblDados[Mandante])=$A34)*tblDados[Primeira_Ocorrencia]*(tblDados[GM_M]&gt;0)*(tblDados[GS_M]&gt;0))+SUMPRODUCT((TRIM(tblDados[Visitante])=$A34)*tblDados[Primeira_Ocorrencia]*(tblDados[GM_V]&gt;0)*(tblDados[GS_V]&gt;0)))/G34,0))</f>
        <v>0.35714285714285715</v>
      </c>
      <c r="P34" s="10" cm="1">
        <f t="array" ref="P34">IF($A34="","",IFERROR((SUMPRODUCT((TRIM(tblDados[Mandante])=$A34)*tblDados[Primeira_Ocorrencia]*tblDados[GM_M]^2)+SUMPRODUCT((TRIM(tblDados[Visitante])=$A34)*tblDados[Primeira_Ocorrencia]*tblDados[GM_V]^2))/G34-H34^2,0))</f>
        <v>1.3112244897959184</v>
      </c>
      <c r="Q34" s="10">
        <f t="shared" si="9"/>
        <v>1.1450871101343856</v>
      </c>
      <c r="R34" s="8" t="str">
        <f t="shared" si="10"/>
        <v>Poisson</v>
      </c>
      <c r="S34" s="10" cm="1">
        <f t="array" ref="S34">IF($A34="","",SUMPRODUCT((TRIM(tblDados[Mandante])=$A34)*tblDados[Primeira_Ocorrencia]*tblDados[GM_M]))</f>
        <v>13</v>
      </c>
      <c r="T34" s="10" cm="1">
        <f t="array" ref="T34">IF($A34="","",SUMPRODUCT((TRIM(tblDados[Visitante])=$A34)*tblDados[Primeira_Ocorrencia]*tblDados[GM_V]))</f>
        <v>4</v>
      </c>
      <c r="U34" s="10">
        <f t="shared" si="11"/>
        <v>17</v>
      </c>
      <c r="V34" s="10">
        <f t="shared" si="0"/>
        <v>1.2142857142857142</v>
      </c>
      <c r="W34" s="10" cm="1">
        <f t="array" ref="W34">IF($A34="","",SUMPRODUCT((TRIM(tblDados[Mandante])=$A34)*tblDados[Primeira_Ocorrencia]*tblDados[GS_M]))</f>
        <v>5</v>
      </c>
      <c r="X34" s="10" cm="1">
        <f t="array" ref="X34">IF($A34="","",SUMPRODUCT((TRIM(tblDados[Visitante])=$A34)*tblDados[Primeira_Ocorrencia]*tblDados[GS_V]))</f>
        <v>7</v>
      </c>
      <c r="Y34" s="10">
        <f t="shared" si="12"/>
        <v>12</v>
      </c>
      <c r="Z34" s="10">
        <f t="shared" si="1"/>
        <v>0.8571428571428571</v>
      </c>
      <c r="AA34" s="10">
        <f t="shared" si="2"/>
        <v>1.8571428571428572</v>
      </c>
      <c r="AB34" s="10">
        <f t="shared" si="3"/>
        <v>0.7142857142857143</v>
      </c>
      <c r="AC34" s="10">
        <f t="shared" si="4"/>
        <v>0.5714285714285714</v>
      </c>
      <c r="AD34" s="10">
        <f t="shared" si="5"/>
        <v>1</v>
      </c>
    </row>
    <row r="35" spans="1:30" x14ac:dyDescent="0.3">
      <c r="A35" s="7" t="str">
        <v>GBK Kokkola</v>
      </c>
      <c r="B35" s="12" t="str" cm="1">
        <f t="array" ref="B35">IF($A35="","",_xlfn.LET(_xlpm.p,IFERROR(INDEX(tblDados[País],MATCH($A35,TRIM(tblDados[Mandante]),0)),INDEX(tblDados[País],MATCH($A35,TRIM(tblDados[Visitante]),0))),_xlpm.l,IFERROR(INDEX(tblDados[Liga],MATCH($A35,TRIM(tblDados[Mandante]),0)),INDEX(tblDados[Liga],MATCH($A35,TRIM(tblDados[Visitante]),0))),_xlpm.p&amp;" - "&amp;_xlpm.l))</f>
        <v>FIN - Kakkonen C</v>
      </c>
      <c r="C35" s="10">
        <f t="shared" si="6"/>
        <v>3.8571428571428572</v>
      </c>
      <c r="D35" s="10">
        <f t="shared" si="7"/>
        <v>5.1428571428571423</v>
      </c>
      <c r="E35" s="9" cm="1">
        <f t="array" ref="E35">IF($A35="","",SUMPRODUCT((TRIM(tblDados[Mandante])=$A35)*tblDados[Primeira_Ocorrencia]))</f>
        <v>7</v>
      </c>
      <c r="F35" s="9" cm="1">
        <f t="array" ref="F35">IF($A35="","",SUMPRODUCT((TRIM(tblDados[Visitante])=$A35)*tblDados[Primeira_Ocorrencia]))</f>
        <v>7</v>
      </c>
      <c r="G35" s="9" cm="1">
        <f t="array" ref="G35">IF($A35="","",SUMPRODUCT((TRIM(tblDados[Mandante])=$A35)*tblDados[Primeira_Ocorrencia])+SUMPRODUCT((TRIM(tblDados[Visitante])=$A35)*tblDados[Primeira_Ocorrencia]))</f>
        <v>14</v>
      </c>
      <c r="H35" s="10">
        <f t="shared" si="8"/>
        <v>2.7142857142857144</v>
      </c>
      <c r="I35" s="10" cm="1">
        <f t="array" ref="I35">IF($A35="","",_xlfn.LET(_xlpm.p,IFERROR(INDEX(tblDados[País],MATCH($A35,TRIM(tblDados[Mandante]),0)),INDEX(tblDados[País],MATCH($A35,TRIM(tblDados[Visitante]),0))),_xlpm.l,IFERROR(INDEX(tblDados[Liga],MATCH($A35,TRIM(tblDados[Mandante]),0)),INDEX(tblDados[Liga],MATCH($A35,TRIM(tblDados[Visitante]),0))),IFERROR(SUMIFS(Ligas!$D$2:$D$39,Ligas!$H$2:$H$39,_xlpm.p,Ligas!$I$2:$I$39,_xlpm.l),0)))</f>
        <v>4.32</v>
      </c>
      <c r="J35" s="11" cm="1">
        <f t="array" ref="J35">IF($A35="","",IFERROR((SUMPRODUCT((TRIM(tblDados[Mandante])=$A35)*tblDados[Primeira_Ocorrencia]*(tblDados[GM_M]=0))+SUMPRODUCT((TRIM(tblDados[Visitante])=$A35)*tblDados[Primeira_Ocorrencia]*(tblDados[GM_V]=0)))/G35,0))</f>
        <v>0.21428571428571427</v>
      </c>
      <c r="K35" s="11" cm="1">
        <f t="array" ref="K35">IF($A35="","",IFERROR((SUMPRODUCT((TRIM(tblDados[Mandante])=$A35)*tblDados[Primeira_Ocorrencia]*((tblDados[GM_M]+tblDados[GS_M])&gt;0.5))+SUMPRODUCT((TRIM(tblDados[Visitante])=$A35)*tblDados[Primeira_Ocorrencia]*((tblDados[GM_V]+tblDados[GS_V])&gt;0.5)))/G35,0))</f>
        <v>1</v>
      </c>
      <c r="L35" s="11" cm="1">
        <f t="array" ref="L35">IF($A35="","",IFERROR((SUMPRODUCT((TRIM(tblDados[Mandante])=$A35)*tblDados[Primeira_Ocorrencia]*((tblDados[GM_M]+tblDados[GS_M])&gt;1.5))+SUMPRODUCT((TRIM(tblDados[Visitante])=$A35)*tblDados[Primeira_Ocorrencia]*((tblDados[GM_V]+tblDados[GS_V])&gt;1.5)))/G35,0))</f>
        <v>0.9285714285714286</v>
      </c>
      <c r="M35" s="11" cm="1">
        <f t="array" ref="M35">IF($A35="","",IFERROR((SUMPRODUCT((TRIM(tblDados[Mandante])=$A35)*tblDados[Primeira_Ocorrencia]*((tblDados[GM_M]+tblDados[GS_M])&gt;2.5))+SUMPRODUCT((TRIM(tblDados[Visitante])=$A35)*tblDados[Primeira_Ocorrencia]*((tblDados[GM_V]+tblDados[GS_V])&gt;2.5)))/G35,0))</f>
        <v>0.7142857142857143</v>
      </c>
      <c r="N35" s="11" cm="1">
        <f t="array" ref="N35">IF($A35="","",IFERROR((SUMPRODUCT((TRIM(tblDados[Mandante])=$A35)*tblDados[Primeira_Ocorrencia]*((tblDados[GM_M]+tblDados[GS_M])&gt;3.5))+SUMPRODUCT((TRIM(tblDados[Visitante])=$A35)*tblDados[Primeira_Ocorrencia]*((tblDados[GM_V]+tblDados[GS_V])&gt;3.5)))/G35,0))</f>
        <v>0.5</v>
      </c>
      <c r="O35" s="11" cm="1">
        <f t="array" ref="O35">IF($A35="","",IFERROR((SUMPRODUCT((TRIM(tblDados[Mandante])=$A35)*tblDados[Primeira_Ocorrencia]*(tblDados[GM_M]&gt;0)*(tblDados[GS_M]&gt;0))+SUMPRODUCT((TRIM(tblDados[Visitante])=$A35)*tblDados[Primeira_Ocorrencia]*(tblDados[GM_V]&gt;0)*(tblDados[GS_V]&gt;0)))/G35,0))</f>
        <v>0.5714285714285714</v>
      </c>
      <c r="P35" s="10" cm="1">
        <f t="array" ref="P35">IF($A35="","",IFERROR((SUMPRODUCT((TRIM(tblDados[Mandante])=$A35)*tblDados[Primeira_Ocorrencia]*tblDados[GM_M]^2)+SUMPRODUCT((TRIM(tblDados[Visitante])=$A35)*tblDados[Primeira_Ocorrencia]*tblDados[GM_V]^2))/G35-H35^2,0))</f>
        <v>4.4897959183673466</v>
      </c>
      <c r="Q35" s="10">
        <f t="shared" si="9"/>
        <v>2.1189138534559038</v>
      </c>
      <c r="R35" s="8" t="str">
        <f t="shared" si="10"/>
        <v>Binomial Negativa</v>
      </c>
      <c r="S35" s="10" cm="1">
        <f t="array" ref="S35">IF($A35="","",SUMPRODUCT((TRIM(tblDados[Mandante])=$A35)*tblDados[Primeira_Ocorrencia]*tblDados[GM_M]))</f>
        <v>19</v>
      </c>
      <c r="T35" s="10" cm="1">
        <f t="array" ref="T35">IF($A35="","",SUMPRODUCT((TRIM(tblDados[Visitante])=$A35)*tblDados[Primeira_Ocorrencia]*tblDados[GM_V]))</f>
        <v>19</v>
      </c>
      <c r="U35" s="10">
        <f t="shared" si="11"/>
        <v>38</v>
      </c>
      <c r="V35" s="10">
        <f t="shared" si="0"/>
        <v>2.7142857142857144</v>
      </c>
      <c r="W35" s="10" cm="1">
        <f t="array" ref="W35">IF($A35="","",SUMPRODUCT((TRIM(tblDados[Mandante])=$A35)*tblDados[Primeira_Ocorrencia]*tblDados[GS_M]))</f>
        <v>8</v>
      </c>
      <c r="X35" s="10" cm="1">
        <f t="array" ref="X35">IF($A35="","",SUMPRODUCT((TRIM(tblDados[Visitante])=$A35)*tblDados[Primeira_Ocorrencia]*tblDados[GS_V]))</f>
        <v>17</v>
      </c>
      <c r="Y35" s="10">
        <f t="shared" si="12"/>
        <v>25</v>
      </c>
      <c r="Z35" s="10">
        <f t="shared" si="1"/>
        <v>1.7857142857142858</v>
      </c>
      <c r="AA35" s="10">
        <f t="shared" si="2"/>
        <v>2.7142857142857144</v>
      </c>
      <c r="AB35" s="10">
        <f t="shared" si="3"/>
        <v>1.1428571428571428</v>
      </c>
      <c r="AC35" s="10">
        <f t="shared" si="4"/>
        <v>2.7142857142857144</v>
      </c>
      <c r="AD35" s="10">
        <f t="shared" si="5"/>
        <v>2.4285714285714284</v>
      </c>
    </row>
    <row r="36" spans="1:30" x14ac:dyDescent="0.3">
      <c r="A36" s="7" t="str">
        <v>Guabirá</v>
      </c>
      <c r="B36" s="12" t="str" cm="1">
        <f t="array" ref="B36">IF($A36="","",_xlfn.LET(_xlpm.p,IFERROR(INDEX(tblDados[País],MATCH($A36,TRIM(tblDados[Mandante]),0)),INDEX(tblDados[País],MATCH($A36,TRIM(tblDados[Visitante]),0))),_xlpm.l,IFERROR(INDEX(tblDados[Liga],MATCH($A36,TRIM(tblDados[Mandante]),0)),INDEX(tblDados[Liga],MATCH($A36,TRIM(tblDados[Visitante]),0))),_xlpm.p&amp;" - "&amp;_xlpm.l))</f>
        <v>BOL - Div. Profesional</v>
      </c>
      <c r="C36" s="10">
        <f t="shared" si="6"/>
        <v>3.5</v>
      </c>
      <c r="D36" s="10">
        <f t="shared" si="7"/>
        <v>3.5</v>
      </c>
      <c r="E36" s="9" cm="1">
        <f t="array" ref="E36">IF($A36="","",SUMPRODUCT((TRIM(tblDados[Mandante])=$A36)*tblDados[Primeira_Ocorrencia]))</f>
        <v>6</v>
      </c>
      <c r="F36" s="9" cm="1">
        <f t="array" ref="F36">IF($A36="","",SUMPRODUCT((TRIM(tblDados[Visitante])=$A36)*tblDados[Primeira_Ocorrencia]))</f>
        <v>8</v>
      </c>
      <c r="G36" s="9" cm="1">
        <f t="array" ref="G36">IF($A36="","",SUMPRODUCT((TRIM(tblDados[Mandante])=$A36)*tblDados[Primeira_Ocorrencia])+SUMPRODUCT((TRIM(tblDados[Visitante])=$A36)*tblDados[Primeira_Ocorrencia]))</f>
        <v>14</v>
      </c>
      <c r="H36" s="10">
        <f t="shared" si="8"/>
        <v>1.6428571428571428</v>
      </c>
      <c r="I36" s="10" cm="1">
        <f t="array" ref="I36">IF($A36="","",_xlfn.LET(_xlpm.p,IFERROR(INDEX(tblDados[País],MATCH($A36,TRIM(tblDados[Mandante]),0)),INDEX(tblDados[País],MATCH($A36,TRIM(tblDados[Visitante]),0))),_xlpm.l,IFERROR(INDEX(tblDados[Liga],MATCH($A36,TRIM(tblDados[Mandante]),0)),INDEX(tblDados[Liga],MATCH($A36,TRIM(tblDados[Visitante]),0))),IFERROR(SUMIFS(Ligas!$D$2:$D$39,Ligas!$H$2:$H$39,_xlpm.p,Ligas!$I$2:$I$39,_xlpm.l),0)))</f>
        <v>3.62</v>
      </c>
      <c r="J36" s="11" cm="1">
        <f t="array" ref="J36">IF($A36="","",IFERROR((SUMPRODUCT((TRIM(tblDados[Mandante])=$A36)*tblDados[Primeira_Ocorrencia]*(tblDados[GM_M]=0))+SUMPRODUCT((TRIM(tblDados[Visitante])=$A36)*tblDados[Primeira_Ocorrencia]*(tblDados[GM_V]=0)))/G36,0))</f>
        <v>0.21428571428571427</v>
      </c>
      <c r="K36" s="11" cm="1">
        <f t="array" ref="K36">IF($A36="","",IFERROR((SUMPRODUCT((TRIM(tblDados[Mandante])=$A36)*tblDados[Primeira_Ocorrencia]*((tblDados[GM_M]+tblDados[GS_M])&gt;0.5))+SUMPRODUCT((TRIM(tblDados[Visitante])=$A36)*tblDados[Primeira_Ocorrencia]*((tblDados[GM_V]+tblDados[GS_V])&gt;0.5)))/G36,0))</f>
        <v>1</v>
      </c>
      <c r="L36" s="11" cm="1">
        <f t="array" ref="L36">IF($A36="","",IFERROR((SUMPRODUCT((TRIM(tblDados[Mandante])=$A36)*tblDados[Primeira_Ocorrencia]*((tblDados[GM_M]+tblDados[GS_M])&gt;1.5))+SUMPRODUCT((TRIM(tblDados[Visitante])=$A36)*tblDados[Primeira_Ocorrencia]*((tblDados[GM_V]+tblDados[GS_V])&gt;1.5)))/G36,0))</f>
        <v>0.9285714285714286</v>
      </c>
      <c r="M36" s="11" cm="1">
        <f t="array" ref="M36">IF($A36="","",IFERROR((SUMPRODUCT((TRIM(tblDados[Mandante])=$A36)*tblDados[Primeira_Ocorrencia]*((tblDados[GM_M]+tblDados[GS_M])&gt;2.5))+SUMPRODUCT((TRIM(tblDados[Visitante])=$A36)*tblDados[Primeira_Ocorrencia]*((tblDados[GM_V]+tblDados[GS_V])&gt;2.5)))/G36,0))</f>
        <v>0.8571428571428571</v>
      </c>
      <c r="N36" s="11" cm="1">
        <f t="array" ref="N36">IF($A36="","",IFERROR((SUMPRODUCT((TRIM(tblDados[Mandante])=$A36)*tblDados[Primeira_Ocorrencia]*((tblDados[GM_M]+tblDados[GS_M])&gt;3.5))+SUMPRODUCT((TRIM(tblDados[Visitante])=$A36)*tblDados[Primeira_Ocorrencia]*((tblDados[GM_V]+tblDados[GS_V])&gt;3.5)))/G36,0))</f>
        <v>0.42857142857142855</v>
      </c>
      <c r="O36" s="11" cm="1">
        <f t="array" ref="O36">IF($A36="","",IFERROR((SUMPRODUCT((TRIM(tblDados[Mandante])=$A36)*tblDados[Primeira_Ocorrencia]*(tblDados[GM_M]&gt;0)*(tblDados[GS_M]&gt;0))+SUMPRODUCT((TRIM(tblDados[Visitante])=$A36)*tblDados[Primeira_Ocorrencia]*(tblDados[GM_V]&gt;0)*(tblDados[GS_V]&gt;0)))/G36,0))</f>
        <v>0.5714285714285714</v>
      </c>
      <c r="P36" s="10" cm="1">
        <f t="array" ref="P36">IF($A36="","",IFERROR((SUMPRODUCT((TRIM(tblDados[Mandante])=$A36)*tblDados[Primeira_Ocorrencia]*tblDados[GM_M]^2)+SUMPRODUCT((TRIM(tblDados[Visitante])=$A36)*tblDados[Primeira_Ocorrencia]*tblDados[GM_V]^2))/G36-H36^2,0))</f>
        <v>1.3724489795918369</v>
      </c>
      <c r="Q36" s="10">
        <f t="shared" si="9"/>
        <v>1.1715156762040519</v>
      </c>
      <c r="R36" s="8" t="str">
        <f t="shared" si="10"/>
        <v>Poisson</v>
      </c>
      <c r="S36" s="10" cm="1">
        <f t="array" ref="S36">IF($A36="","",SUMPRODUCT((TRIM(tblDados[Mandante])=$A36)*tblDados[Primeira_Ocorrencia]*tblDados[GM_M]))</f>
        <v>15</v>
      </c>
      <c r="T36" s="10" cm="1">
        <f t="array" ref="T36">IF($A36="","",SUMPRODUCT((TRIM(tblDados[Visitante])=$A36)*tblDados[Primeira_Ocorrencia]*tblDados[GM_V]))</f>
        <v>8</v>
      </c>
      <c r="U36" s="10">
        <f t="shared" si="11"/>
        <v>23</v>
      </c>
      <c r="V36" s="10">
        <f t="shared" si="0"/>
        <v>1.6428571428571428</v>
      </c>
      <c r="W36" s="10" cm="1">
        <f t="array" ref="W36">IF($A36="","",SUMPRODUCT((TRIM(tblDados[Mandante])=$A36)*tblDados[Primeira_Ocorrencia]*tblDados[GS_M]))</f>
        <v>6</v>
      </c>
      <c r="X36" s="10" cm="1">
        <f t="array" ref="X36">IF($A36="","",SUMPRODUCT((TRIM(tblDados[Visitante])=$A36)*tblDados[Primeira_Ocorrencia]*tblDados[GS_V]))</f>
        <v>20</v>
      </c>
      <c r="Y36" s="10">
        <f t="shared" si="12"/>
        <v>26</v>
      </c>
      <c r="Z36" s="10">
        <f t="shared" si="1"/>
        <v>1.8571428571428572</v>
      </c>
      <c r="AA36" s="10">
        <f t="shared" si="2"/>
        <v>2.5</v>
      </c>
      <c r="AB36" s="10">
        <f t="shared" si="3"/>
        <v>1</v>
      </c>
      <c r="AC36" s="10">
        <f t="shared" si="4"/>
        <v>1</v>
      </c>
      <c r="AD36" s="10">
        <f t="shared" si="5"/>
        <v>2.5</v>
      </c>
    </row>
    <row r="37" spans="1:30" x14ac:dyDescent="0.3">
      <c r="A37" s="7" t="str">
        <v>Haka</v>
      </c>
      <c r="B37" s="12" t="str" cm="1">
        <f t="array" ref="B37">IF($A37="","",_xlfn.LET(_xlpm.p,IFERROR(INDEX(tblDados[País],MATCH($A37,TRIM(tblDados[Mandante]),0)),INDEX(tblDados[País],MATCH($A37,TRIM(tblDados[Visitante]),0))),_xlpm.l,IFERROR(INDEX(tblDados[Liga],MATCH($A37,TRIM(tblDados[Mandante]),0)),INDEX(tblDados[Liga],MATCH($A37,TRIM(tblDados[Visitante]),0))),_xlpm.p&amp;" - "&amp;_xlpm.l))</f>
        <v>FIN - Ykkösliiga</v>
      </c>
      <c r="C37" s="10">
        <f t="shared" si="6"/>
        <v>3.5</v>
      </c>
      <c r="D37" s="10">
        <f t="shared" si="7"/>
        <v>2.8333333333333335</v>
      </c>
      <c r="E37" s="9" cm="1">
        <f t="array" ref="E37">IF($A37="","",SUMPRODUCT((TRIM(tblDados[Mandante])=$A37)*tblDados[Primeira_Ocorrencia]))</f>
        <v>8</v>
      </c>
      <c r="F37" s="9" cm="1">
        <f t="array" ref="F37">IF($A37="","",SUMPRODUCT((TRIM(tblDados[Visitante])=$A37)*tblDados[Primeira_Ocorrencia]))</f>
        <v>6</v>
      </c>
      <c r="G37" s="9" cm="1">
        <f t="array" ref="G37">IF($A37="","",SUMPRODUCT((TRIM(tblDados[Mandante])=$A37)*tblDados[Primeira_Ocorrencia])+SUMPRODUCT((TRIM(tblDados[Visitante])=$A37)*tblDados[Primeira_Ocorrencia]))</f>
        <v>14</v>
      </c>
      <c r="H37" s="10">
        <f t="shared" si="8"/>
        <v>2.0714285714285716</v>
      </c>
      <c r="I37" s="10" cm="1">
        <f t="array" ref="I37">IF($A37="","",_xlfn.LET(_xlpm.p,IFERROR(INDEX(tblDados[País],MATCH($A37,TRIM(tblDados[Mandante]),0)),INDEX(tblDados[País],MATCH($A37,TRIM(tblDados[Visitante]),0))),_xlpm.l,IFERROR(INDEX(tblDados[Liga],MATCH($A37,TRIM(tblDados[Mandante]),0)),INDEX(tblDados[Liga],MATCH($A37,TRIM(tblDados[Visitante]),0))),IFERROR(SUMIFS(Ligas!$D$2:$D$39,Ligas!$H$2:$H$39,_xlpm.p,Ligas!$I$2:$I$39,_xlpm.l),0)))</f>
        <v>2.5099999999999998</v>
      </c>
      <c r="J37" s="11" cm="1">
        <f t="array" ref="J37">IF($A37="","",IFERROR((SUMPRODUCT((TRIM(tblDados[Mandante])=$A37)*tblDados[Primeira_Ocorrencia]*(tblDados[GM_M]=0))+SUMPRODUCT((TRIM(tblDados[Visitante])=$A37)*tblDados[Primeira_Ocorrencia]*(tblDados[GM_V]=0)))/G37,0))</f>
        <v>7.1428571428571425E-2</v>
      </c>
      <c r="K37" s="11" cm="1">
        <f t="array" ref="K37">IF($A37="","",IFERROR((SUMPRODUCT((TRIM(tblDados[Mandante])=$A37)*tblDados[Primeira_Ocorrencia]*((tblDados[GM_M]+tblDados[GS_M])&gt;0.5))+SUMPRODUCT((TRIM(tblDados[Visitante])=$A37)*tblDados[Primeira_Ocorrencia]*((tblDados[GM_V]+tblDados[GS_V])&gt;0.5)))/G37,0))</f>
        <v>1</v>
      </c>
      <c r="L37" s="11" cm="1">
        <f t="array" ref="L37">IF($A37="","",IFERROR((SUMPRODUCT((TRIM(tblDados[Mandante])=$A37)*tblDados[Primeira_Ocorrencia]*((tblDados[GM_M]+tblDados[GS_M])&gt;1.5))+SUMPRODUCT((TRIM(tblDados[Visitante])=$A37)*tblDados[Primeira_Ocorrencia]*((tblDados[GM_V]+tblDados[GS_V])&gt;1.5)))/G37,0))</f>
        <v>0.9285714285714286</v>
      </c>
      <c r="M37" s="11" cm="1">
        <f t="array" ref="M37">IF($A37="","",IFERROR((SUMPRODUCT((TRIM(tblDados[Mandante])=$A37)*tblDados[Primeira_Ocorrencia]*((tblDados[GM_M]+tblDados[GS_M])&gt;2.5))+SUMPRODUCT((TRIM(tblDados[Visitante])=$A37)*tblDados[Primeira_Ocorrencia]*((tblDados[GM_V]+tblDados[GS_V])&gt;2.5)))/G37,0))</f>
        <v>0.6428571428571429</v>
      </c>
      <c r="N37" s="11" cm="1">
        <f t="array" ref="N37">IF($A37="","",IFERROR((SUMPRODUCT((TRIM(tblDados[Mandante])=$A37)*tblDados[Primeira_Ocorrencia]*((tblDados[GM_M]+tblDados[GS_M])&gt;3.5))+SUMPRODUCT((TRIM(tblDados[Visitante])=$A37)*tblDados[Primeira_Ocorrencia]*((tblDados[GM_V]+tblDados[GS_V])&gt;3.5)))/G37,0))</f>
        <v>0.35714285714285715</v>
      </c>
      <c r="O37" s="11" cm="1">
        <f t="array" ref="O37">IF($A37="","",IFERROR((SUMPRODUCT((TRIM(tblDados[Mandante])=$A37)*tblDados[Primeira_Ocorrencia]*(tblDados[GM_M]&gt;0)*(tblDados[GS_M]&gt;0))+SUMPRODUCT((TRIM(tblDados[Visitante])=$A37)*tblDados[Primeira_Ocorrencia]*(tblDados[GM_V]&gt;0)*(tblDados[GS_V]&gt;0)))/G37,0))</f>
        <v>0.6428571428571429</v>
      </c>
      <c r="P37" s="10" cm="1">
        <f t="array" ref="P37">IF($A37="","",IFERROR((SUMPRODUCT((TRIM(tblDados[Mandante])=$A37)*tblDados[Primeira_Ocorrencia]*tblDados[GM_M]^2)+SUMPRODUCT((TRIM(tblDados[Visitante])=$A37)*tblDados[Primeira_Ocorrencia]*tblDados[GM_V]^2))/G37-H37^2,0))</f>
        <v>1.3520408163265305</v>
      </c>
      <c r="Q37" s="10">
        <f t="shared" si="9"/>
        <v>1.1627728997214075</v>
      </c>
      <c r="R37" s="8" t="str">
        <f t="shared" si="10"/>
        <v>Poisson</v>
      </c>
      <c r="S37" s="10" cm="1">
        <f t="array" ref="S37">IF($A37="","",SUMPRODUCT((TRIM(tblDados[Mandante])=$A37)*tblDados[Primeira_Ocorrencia]*tblDados[GM_M]))</f>
        <v>17</v>
      </c>
      <c r="T37" s="10" cm="1">
        <f t="array" ref="T37">IF($A37="","",SUMPRODUCT((TRIM(tblDados[Visitante])=$A37)*tblDados[Primeira_Ocorrencia]*tblDados[GM_V]))</f>
        <v>12</v>
      </c>
      <c r="U37" s="10">
        <f t="shared" si="11"/>
        <v>29</v>
      </c>
      <c r="V37" s="10">
        <f t="shared" si="0"/>
        <v>2.0714285714285716</v>
      </c>
      <c r="W37" s="10" cm="1">
        <f t="array" ref="W37">IF($A37="","",SUMPRODUCT((TRIM(tblDados[Mandante])=$A37)*tblDados[Primeira_Ocorrencia]*tblDados[GS_M]))</f>
        <v>11</v>
      </c>
      <c r="X37" s="10" cm="1">
        <f t="array" ref="X37">IF($A37="","",SUMPRODUCT((TRIM(tblDados[Visitante])=$A37)*tblDados[Primeira_Ocorrencia]*tblDados[GS_V]))</f>
        <v>5</v>
      </c>
      <c r="Y37" s="10">
        <f t="shared" si="12"/>
        <v>16</v>
      </c>
      <c r="Z37" s="10">
        <f t="shared" si="1"/>
        <v>1.1428571428571428</v>
      </c>
      <c r="AA37" s="10">
        <f t="shared" si="2"/>
        <v>2.125</v>
      </c>
      <c r="AB37" s="10">
        <f t="shared" si="3"/>
        <v>1.375</v>
      </c>
      <c r="AC37" s="10">
        <f t="shared" si="4"/>
        <v>2</v>
      </c>
      <c r="AD37" s="10">
        <f t="shared" si="5"/>
        <v>0.83333333333333337</v>
      </c>
    </row>
    <row r="38" spans="1:30" x14ac:dyDescent="0.3">
      <c r="A38" s="7" t="str">
        <v>HFX Wanderers</v>
      </c>
      <c r="B38" s="12" t="str" cm="1">
        <f t="array" ref="B38">IF($A38="","",_xlfn.LET(_xlpm.p,IFERROR(INDEX(tblDados[País],MATCH($A38,TRIM(tblDados[Mandante]),0)),INDEX(tblDados[País],MATCH($A38,TRIM(tblDados[Visitante]),0))),_xlpm.l,IFERROR(INDEX(tblDados[Liga],MATCH($A38,TRIM(tblDados[Mandante]),0)),INDEX(tblDados[Liga],MATCH($A38,TRIM(tblDados[Visitante]),0))),_xlpm.p&amp;" - "&amp;_xlpm.l))</f>
        <v>CAN - Premier League</v>
      </c>
      <c r="C38" s="10">
        <f t="shared" si="6"/>
        <v>3.2857142857142856</v>
      </c>
      <c r="D38" s="10">
        <f t="shared" si="7"/>
        <v>2.1428571428571428</v>
      </c>
      <c r="E38" s="9" cm="1">
        <f t="array" ref="E38">IF($A38="","",SUMPRODUCT((TRIM(tblDados[Mandante])=$A38)*tblDados[Primeira_Ocorrencia]))</f>
        <v>7</v>
      </c>
      <c r="F38" s="9" cm="1">
        <f t="array" ref="F38">IF($A38="","",SUMPRODUCT((TRIM(tblDados[Visitante])=$A38)*tblDados[Primeira_Ocorrencia]))</f>
        <v>7</v>
      </c>
      <c r="G38" s="9" cm="1">
        <f t="array" ref="G38">IF($A38="","",SUMPRODUCT((TRIM(tblDados[Mandante])=$A38)*tblDados[Primeira_Ocorrencia])+SUMPRODUCT((TRIM(tblDados[Visitante])=$A38)*tblDados[Primeira_Ocorrencia]))</f>
        <v>14</v>
      </c>
      <c r="H38" s="10">
        <f t="shared" si="8"/>
        <v>1.1428571428571428</v>
      </c>
      <c r="I38" s="10" cm="1">
        <f t="array" ref="I38">IF($A38="","",_xlfn.LET(_xlpm.p,IFERROR(INDEX(tblDados[País],MATCH($A38,TRIM(tblDados[Mandante]),0)),INDEX(tblDados[País],MATCH($A38,TRIM(tblDados[Visitante]),0))),_xlpm.l,IFERROR(INDEX(tblDados[Liga],MATCH($A38,TRIM(tblDados[Mandante]),0)),INDEX(tblDados[Liga],MATCH($A38,TRIM(tblDados[Visitante]),0))),IFERROR(SUMIFS(Ligas!$D$2:$D$39,Ligas!$H$2:$H$39,_xlpm.p,Ligas!$I$2:$I$39,_xlpm.l),0)))</f>
        <v>2.5</v>
      </c>
      <c r="J38" s="11" cm="1">
        <f t="array" ref="J38">IF($A38="","",IFERROR((SUMPRODUCT((TRIM(tblDados[Mandante])=$A38)*tblDados[Primeira_Ocorrencia]*(tblDados[GM_M]=0))+SUMPRODUCT((TRIM(tblDados[Visitante])=$A38)*tblDados[Primeira_Ocorrencia]*(tblDados[GM_V]=0)))/G38,0))</f>
        <v>0.2857142857142857</v>
      </c>
      <c r="K38" s="11" cm="1">
        <f t="array" ref="K38">IF($A38="","",IFERROR((SUMPRODUCT((TRIM(tblDados[Mandante])=$A38)*tblDados[Primeira_Ocorrencia]*((tblDados[GM_M]+tblDados[GS_M])&gt;0.5))+SUMPRODUCT((TRIM(tblDados[Visitante])=$A38)*tblDados[Primeira_Ocorrencia]*((tblDados[GM_V]+tblDados[GS_V])&gt;0.5)))/G38,0))</f>
        <v>0.9285714285714286</v>
      </c>
      <c r="L38" s="11" cm="1">
        <f t="array" ref="L38">IF($A38="","",IFERROR((SUMPRODUCT((TRIM(tblDados[Mandante])=$A38)*tblDados[Primeira_Ocorrencia]*((tblDados[GM_M]+tblDados[GS_M])&gt;1.5))+SUMPRODUCT((TRIM(tblDados[Visitante])=$A38)*tblDados[Primeira_Ocorrencia]*((tblDados[GM_V]+tblDados[GS_V])&gt;1.5)))/G38,0))</f>
        <v>0.7142857142857143</v>
      </c>
      <c r="M38" s="11" cm="1">
        <f t="array" ref="M38">IF($A38="","",IFERROR((SUMPRODUCT((TRIM(tblDados[Mandante])=$A38)*tblDados[Primeira_Ocorrencia]*((tblDados[GM_M]+tblDados[GS_M])&gt;2.5))+SUMPRODUCT((TRIM(tblDados[Visitante])=$A38)*tblDados[Primeira_Ocorrencia]*((tblDados[GM_V]+tblDados[GS_V])&gt;2.5)))/G38,0))</f>
        <v>0.5</v>
      </c>
      <c r="N38" s="11" cm="1">
        <f t="array" ref="N38">IF($A38="","",IFERROR((SUMPRODUCT((TRIM(tblDados[Mandante])=$A38)*tblDados[Primeira_Ocorrencia]*((tblDados[GM_M]+tblDados[GS_M])&gt;3.5))+SUMPRODUCT((TRIM(tblDados[Visitante])=$A38)*tblDados[Primeira_Ocorrencia]*((tblDados[GM_V]+tblDados[GS_V])&gt;3.5)))/G38,0))</f>
        <v>0.2857142857142857</v>
      </c>
      <c r="O38" s="11" cm="1">
        <f t="array" ref="O38">IF($A38="","",IFERROR((SUMPRODUCT((TRIM(tblDados[Mandante])=$A38)*tblDados[Primeira_Ocorrencia]*(tblDados[GM_M]&gt;0)*(tblDados[GS_M]&gt;0))+SUMPRODUCT((TRIM(tblDados[Visitante])=$A38)*tblDados[Primeira_Ocorrencia]*(tblDados[GM_V]&gt;0)*(tblDados[GS_V]&gt;0)))/G38,0))</f>
        <v>0.6428571428571429</v>
      </c>
      <c r="P38" s="10" cm="1">
        <f t="array" ref="P38">IF($A38="","",IFERROR((SUMPRODUCT((TRIM(tblDados[Mandante])=$A38)*tblDados[Primeira_Ocorrencia]*tblDados[GM_M]^2)+SUMPRODUCT((TRIM(tblDados[Visitante])=$A38)*tblDados[Primeira_Ocorrencia]*tblDados[GM_V]^2))/G38-H38^2,0))</f>
        <v>1.5510204081632655</v>
      </c>
      <c r="Q38" s="10">
        <f t="shared" si="9"/>
        <v>1.2453996981544782</v>
      </c>
      <c r="R38" s="8" t="str">
        <f t="shared" si="10"/>
        <v>Poisson</v>
      </c>
      <c r="S38" s="10" cm="1">
        <f t="array" ref="S38">IF($A38="","",SUMPRODUCT((TRIM(tblDados[Mandante])=$A38)*tblDados[Primeira_Ocorrencia]*tblDados[GM_M]))</f>
        <v>11</v>
      </c>
      <c r="T38" s="10" cm="1">
        <f t="array" ref="T38">IF($A38="","",SUMPRODUCT((TRIM(tblDados[Visitante])=$A38)*tblDados[Primeira_Ocorrencia]*tblDados[GM_V]))</f>
        <v>5</v>
      </c>
      <c r="U38" s="10">
        <f t="shared" si="11"/>
        <v>16</v>
      </c>
      <c r="V38" s="10">
        <f t="shared" si="0"/>
        <v>1.1428571428571428</v>
      </c>
      <c r="W38" s="10" cm="1">
        <f t="array" ref="W38">IF($A38="","",SUMPRODUCT((TRIM(tblDados[Mandante])=$A38)*tblDados[Primeira_Ocorrencia]*tblDados[GS_M]))</f>
        <v>12</v>
      </c>
      <c r="X38" s="10" cm="1">
        <f t="array" ref="X38">IF($A38="","",SUMPRODUCT((TRIM(tblDados[Visitante])=$A38)*tblDados[Primeira_Ocorrencia]*tblDados[GS_V]))</f>
        <v>10</v>
      </c>
      <c r="Y38" s="10">
        <f t="shared" si="12"/>
        <v>22</v>
      </c>
      <c r="Z38" s="10">
        <f t="shared" si="1"/>
        <v>1.5714285714285714</v>
      </c>
      <c r="AA38" s="10">
        <f t="shared" si="2"/>
        <v>1.5714285714285714</v>
      </c>
      <c r="AB38" s="10">
        <f t="shared" si="3"/>
        <v>1.7142857142857142</v>
      </c>
      <c r="AC38" s="10">
        <f t="shared" si="4"/>
        <v>0.7142857142857143</v>
      </c>
      <c r="AD38" s="10">
        <f t="shared" si="5"/>
        <v>1.4285714285714286</v>
      </c>
    </row>
    <row r="39" spans="1:30" x14ac:dyDescent="0.3">
      <c r="A39" s="7" t="str">
        <v>Houston Dynamo FC</v>
      </c>
      <c r="B39" s="12" t="str" cm="1">
        <f t="array" ref="B39">IF($A39="","",_xlfn.LET(_xlpm.p,IFERROR(INDEX(tblDados[País],MATCH($A39,TRIM(tblDados[Mandante]),0)),INDEX(tblDados[País],MATCH($A39,TRIM(tblDados[Visitante]),0))),_xlpm.l,IFERROR(INDEX(tblDados[Liga],MATCH($A39,TRIM(tblDados[Mandante]),0)),INDEX(tblDados[Liga],MATCH($A39,TRIM(tblDados[Visitante]),0))),_xlpm.p&amp;" - "&amp;_xlpm.l))</f>
        <v>USA - MLS-West</v>
      </c>
      <c r="C39" s="10">
        <f t="shared" si="6"/>
        <v>1.5</v>
      </c>
      <c r="D39" s="10">
        <f t="shared" si="7"/>
        <v>3.125</v>
      </c>
      <c r="E39" s="9" cm="1">
        <f t="array" ref="E39">IF($A39="","",SUMPRODUCT((TRIM(tblDados[Mandante])=$A39)*tblDados[Primeira_Ocorrencia]))</f>
        <v>6</v>
      </c>
      <c r="F39" s="9" cm="1">
        <f t="array" ref="F39">IF($A39="","",SUMPRODUCT((TRIM(tblDados[Visitante])=$A39)*tblDados[Primeira_Ocorrencia]))</f>
        <v>8</v>
      </c>
      <c r="G39" s="9" cm="1">
        <f t="array" ref="G39">IF($A39="","",SUMPRODUCT((TRIM(tblDados[Mandante])=$A39)*tblDados[Primeira_Ocorrencia])+SUMPRODUCT((TRIM(tblDados[Visitante])=$A39)*tblDados[Primeira_Ocorrencia]))</f>
        <v>14</v>
      </c>
      <c r="H39" s="10">
        <f t="shared" si="8"/>
        <v>1.3571428571428572</v>
      </c>
      <c r="I39" s="10" cm="1">
        <f t="array" ref="I39">IF($A39="","",_xlfn.LET(_xlpm.p,IFERROR(INDEX(tblDados[País],MATCH($A39,TRIM(tblDados[Mandante]),0)),INDEX(tblDados[País],MATCH($A39,TRIM(tblDados[Visitante]),0))),_xlpm.l,IFERROR(INDEX(tblDados[Liga],MATCH($A39,TRIM(tblDados[Mandante]),0)),INDEX(tblDados[Liga],MATCH($A39,TRIM(tblDados[Visitante]),0))),IFERROR(SUMIFS(Ligas!$D$2:$D$39,Ligas!$H$2:$H$39,_xlpm.p,Ligas!$I$2:$I$39,_xlpm.l),0)))</f>
        <v>3.3</v>
      </c>
      <c r="J39" s="11" cm="1">
        <f t="array" ref="J39">IF($A39="","",IFERROR((SUMPRODUCT((TRIM(tblDados[Mandante])=$A39)*tblDados[Primeira_Ocorrencia]*(tblDados[GM_M]=0))+SUMPRODUCT((TRIM(tblDados[Visitante])=$A39)*tblDados[Primeira_Ocorrencia]*(tblDados[GM_V]=0)))/G39,0))</f>
        <v>0.21428571428571427</v>
      </c>
      <c r="K39" s="11" cm="1">
        <f t="array" ref="K39">IF($A39="","",IFERROR((SUMPRODUCT((TRIM(tblDados[Mandante])=$A39)*tblDados[Primeira_Ocorrencia]*((tblDados[GM_M]+tblDados[GS_M])&gt;0.5))+SUMPRODUCT((TRIM(tblDados[Visitante])=$A39)*tblDados[Primeira_Ocorrencia]*((tblDados[GM_V]+tblDados[GS_V])&gt;0.5)))/G39,0))</f>
        <v>1</v>
      </c>
      <c r="L39" s="11" cm="1">
        <f t="array" ref="L39">IF($A39="","",IFERROR((SUMPRODUCT((TRIM(tblDados[Mandante])=$A39)*tblDados[Primeira_Ocorrencia]*((tblDados[GM_M]+tblDados[GS_M])&gt;1.5))+SUMPRODUCT((TRIM(tblDados[Visitante])=$A39)*tblDados[Primeira_Ocorrencia]*((tblDados[GM_V]+tblDados[GS_V])&gt;1.5)))/G39,0))</f>
        <v>0.6428571428571429</v>
      </c>
      <c r="M39" s="11" cm="1">
        <f t="array" ref="M39">IF($A39="","",IFERROR((SUMPRODUCT((TRIM(tblDados[Mandante])=$A39)*tblDados[Primeira_Ocorrencia]*((tblDados[GM_M]+tblDados[GS_M])&gt;2.5))+SUMPRODUCT((TRIM(tblDados[Visitante])=$A39)*tblDados[Primeira_Ocorrencia]*((tblDados[GM_V]+tblDados[GS_V])&gt;2.5)))/G39,0))</f>
        <v>0.2857142857142857</v>
      </c>
      <c r="N39" s="11" cm="1">
        <f t="array" ref="N39">IF($A39="","",IFERROR((SUMPRODUCT((TRIM(tblDados[Mandante])=$A39)*tblDados[Primeira_Ocorrencia]*((tblDados[GM_M]+tblDados[GS_M])&gt;3.5))+SUMPRODUCT((TRIM(tblDados[Visitante])=$A39)*tblDados[Primeira_Ocorrencia]*((tblDados[GM_V]+tblDados[GS_V])&gt;3.5)))/G39,0))</f>
        <v>0.14285714285714285</v>
      </c>
      <c r="O39" s="11" cm="1">
        <f t="array" ref="O39">IF($A39="","",IFERROR((SUMPRODUCT((TRIM(tblDados[Mandante])=$A39)*tblDados[Primeira_Ocorrencia]*(tblDados[GM_M]&gt;0)*(tblDados[GS_M]&gt;0))+SUMPRODUCT((TRIM(tblDados[Visitante])=$A39)*tblDados[Primeira_Ocorrencia]*(tblDados[GM_V]&gt;0)*(tblDados[GS_V]&gt;0)))/G39,0))</f>
        <v>0.2857142857142857</v>
      </c>
      <c r="P39" s="10" cm="1">
        <f t="array" ref="P39">IF($A39="","",IFERROR((SUMPRODUCT((TRIM(tblDados[Mandante])=$A39)*tblDados[Primeira_Ocorrencia]*tblDados[GM_M]^2)+SUMPRODUCT((TRIM(tblDados[Visitante])=$A39)*tblDados[Primeira_Ocorrencia]*tblDados[GM_V]^2))/G39-H39^2,0))</f>
        <v>1.2295918367346939</v>
      </c>
      <c r="Q39" s="10">
        <f t="shared" si="9"/>
        <v>1.1088696211614302</v>
      </c>
      <c r="R39" s="8" t="str">
        <f t="shared" si="10"/>
        <v>Poisson</v>
      </c>
      <c r="S39" s="10" cm="1">
        <f t="array" ref="S39">IF($A39="","",SUMPRODUCT((TRIM(tblDados[Mandante])=$A39)*tblDados[Primeira_Ocorrencia]*tblDados[GM_M]))</f>
        <v>7</v>
      </c>
      <c r="T39" s="10" cm="1">
        <f t="array" ref="T39">IF($A39="","",SUMPRODUCT((TRIM(tblDados[Visitante])=$A39)*tblDados[Primeira_Ocorrencia]*tblDados[GM_V]))</f>
        <v>12</v>
      </c>
      <c r="U39" s="10">
        <f t="shared" si="11"/>
        <v>19</v>
      </c>
      <c r="V39" s="10">
        <f t="shared" si="0"/>
        <v>1.3571428571428572</v>
      </c>
      <c r="W39" s="10" cm="1">
        <f t="array" ref="W39">IF($A39="","",SUMPRODUCT((TRIM(tblDados[Mandante])=$A39)*tblDados[Primeira_Ocorrencia]*tblDados[GS_M]))</f>
        <v>2</v>
      </c>
      <c r="X39" s="10" cm="1">
        <f t="array" ref="X39">IF($A39="","",SUMPRODUCT((TRIM(tblDados[Visitante])=$A39)*tblDados[Primeira_Ocorrencia]*tblDados[GS_V]))</f>
        <v>13</v>
      </c>
      <c r="Y39" s="10">
        <f t="shared" si="12"/>
        <v>15</v>
      </c>
      <c r="Z39" s="10">
        <f t="shared" si="1"/>
        <v>1.0714285714285714</v>
      </c>
      <c r="AA39" s="10">
        <f t="shared" si="2"/>
        <v>1.1666666666666667</v>
      </c>
      <c r="AB39" s="10">
        <f t="shared" si="3"/>
        <v>0.33333333333333331</v>
      </c>
      <c r="AC39" s="10">
        <f t="shared" si="4"/>
        <v>1.5</v>
      </c>
      <c r="AD39" s="10">
        <f t="shared" si="5"/>
        <v>1.625</v>
      </c>
    </row>
    <row r="40" spans="1:30" x14ac:dyDescent="0.3">
      <c r="A40" s="7" t="str">
        <v>Huachipato</v>
      </c>
      <c r="B40" s="12" t="str" cm="1">
        <f t="array" ref="B40">IF($A40="","",_xlfn.LET(_xlpm.p,IFERROR(INDEX(tblDados[País],MATCH($A40,TRIM(tblDados[Mandante]),0)),INDEX(tblDados[País],MATCH($A40,TRIM(tblDados[Visitante]),0))),_xlpm.l,IFERROR(INDEX(tblDados[Liga],MATCH($A40,TRIM(tblDados[Mandante]),0)),INDEX(tblDados[Liga],MATCH($A40,TRIM(tblDados[Visitante]),0))),_xlpm.p&amp;" - "&amp;_xlpm.l))</f>
        <v>CHI - Liga de Primera</v>
      </c>
      <c r="C40" s="10">
        <f t="shared" si="6"/>
        <v>4.7142857142857135</v>
      </c>
      <c r="D40" s="10">
        <f t="shared" si="7"/>
        <v>2.1428571428571428</v>
      </c>
      <c r="E40" s="9" cm="1">
        <f t="array" ref="E40">IF($A40="","",SUMPRODUCT((TRIM(tblDados[Mandante])=$A40)*tblDados[Primeira_Ocorrencia]))</f>
        <v>7</v>
      </c>
      <c r="F40" s="9" cm="1">
        <f t="array" ref="F40">IF($A40="","",SUMPRODUCT((TRIM(tblDados[Visitante])=$A40)*tblDados[Primeira_Ocorrencia]))</f>
        <v>7</v>
      </c>
      <c r="G40" s="9" cm="1">
        <f t="array" ref="G40">IF($A40="","",SUMPRODUCT((TRIM(tblDados[Mandante])=$A40)*tblDados[Primeira_Ocorrencia])+SUMPRODUCT((TRIM(tblDados[Visitante])=$A40)*tblDados[Primeira_Ocorrencia]))</f>
        <v>14</v>
      </c>
      <c r="H40" s="10">
        <f t="shared" si="8"/>
        <v>1.4285714285714286</v>
      </c>
      <c r="I40" s="10" cm="1">
        <f t="array" ref="I40">IF($A40="","",_xlfn.LET(_xlpm.p,IFERROR(INDEX(tblDados[País],MATCH($A40,TRIM(tblDados[Mandante]),0)),INDEX(tblDados[País],MATCH($A40,TRIM(tblDados[Visitante]),0))),_xlpm.l,IFERROR(INDEX(tblDados[Liga],MATCH($A40,TRIM(tblDados[Mandante]),0)),INDEX(tblDados[Liga],MATCH($A40,TRIM(tblDados[Visitante]),0))),IFERROR(SUMIFS(Ligas!$D$2:$D$39,Ligas!$H$2:$H$39,_xlpm.p,Ligas!$I$2:$I$39,_xlpm.l),0)))</f>
        <v>2.5</v>
      </c>
      <c r="J40" s="11" cm="1">
        <f t="array" ref="J40">IF($A40="","",IFERROR((SUMPRODUCT((TRIM(tblDados[Mandante])=$A40)*tblDados[Primeira_Ocorrencia]*(tblDados[GM_M]=0))+SUMPRODUCT((TRIM(tblDados[Visitante])=$A40)*tblDados[Primeira_Ocorrencia]*(tblDados[GM_V]=0)))/G40,0))</f>
        <v>0.42857142857142855</v>
      </c>
      <c r="K40" s="11" cm="1">
        <f t="array" ref="K40">IF($A40="","",IFERROR((SUMPRODUCT((TRIM(tblDados[Mandante])=$A40)*tblDados[Primeira_Ocorrencia]*((tblDados[GM_M]+tblDados[GS_M])&gt;0.5))+SUMPRODUCT((TRIM(tblDados[Visitante])=$A40)*tblDados[Primeira_Ocorrencia]*((tblDados[GM_V]+tblDados[GS_V])&gt;0.5)))/G40,0))</f>
        <v>0.9285714285714286</v>
      </c>
      <c r="L40" s="11" cm="1">
        <f t="array" ref="L40">IF($A40="","",IFERROR((SUMPRODUCT((TRIM(tblDados[Mandante])=$A40)*tblDados[Primeira_Ocorrencia]*((tblDados[GM_M]+tblDados[GS_M])&gt;1.5))+SUMPRODUCT((TRIM(tblDados[Visitante])=$A40)*tblDados[Primeira_Ocorrencia]*((tblDados[GM_V]+tblDados[GS_V])&gt;1.5)))/G40,0))</f>
        <v>0.9285714285714286</v>
      </c>
      <c r="M40" s="11" cm="1">
        <f t="array" ref="M40">IF($A40="","",IFERROR((SUMPRODUCT((TRIM(tblDados[Mandante])=$A40)*tblDados[Primeira_Ocorrencia]*((tblDados[GM_M]+tblDados[GS_M])&gt;2.5))+SUMPRODUCT((TRIM(tblDados[Visitante])=$A40)*tblDados[Primeira_Ocorrencia]*((tblDados[GM_V]+tblDados[GS_V])&gt;2.5)))/G40,0))</f>
        <v>0.6428571428571429</v>
      </c>
      <c r="N40" s="11" cm="1">
        <f t="array" ref="N40">IF($A40="","",IFERROR((SUMPRODUCT((TRIM(tblDados[Mandante])=$A40)*tblDados[Primeira_Ocorrencia]*((tblDados[GM_M]+tblDados[GS_M])&gt;3.5))+SUMPRODUCT((TRIM(tblDados[Visitante])=$A40)*tblDados[Primeira_Ocorrencia]*((tblDados[GM_V]+tblDados[GS_V])&gt;3.5)))/G40,0))</f>
        <v>0.5</v>
      </c>
      <c r="O40" s="11" cm="1">
        <f t="array" ref="O40">IF($A40="","",IFERROR((SUMPRODUCT((TRIM(tblDados[Mandante])=$A40)*tblDados[Primeira_Ocorrencia]*(tblDados[GM_M]&gt;0)*(tblDados[GS_M]&gt;0))+SUMPRODUCT((TRIM(tblDados[Visitante])=$A40)*tblDados[Primeira_Ocorrencia]*(tblDados[GM_V]&gt;0)*(tblDados[GS_V]&gt;0)))/G40,0))</f>
        <v>0.5</v>
      </c>
      <c r="P40" s="10" cm="1">
        <f t="array" ref="P40">IF($A40="","",IFERROR((SUMPRODUCT((TRIM(tblDados[Mandante])=$A40)*tblDados[Primeira_Ocorrencia]*tblDados[GM_M]^2)+SUMPRODUCT((TRIM(tblDados[Visitante])=$A40)*tblDados[Primeira_Ocorrencia]*tblDados[GM_V]^2))/G40-H40^2,0))</f>
        <v>2.3877551020408165</v>
      </c>
      <c r="Q40" s="10">
        <f t="shared" si="9"/>
        <v>1.5452362609131383</v>
      </c>
      <c r="R40" s="8" t="str">
        <f t="shared" si="10"/>
        <v>Binomial Negativa</v>
      </c>
      <c r="S40" s="10" cm="1">
        <f t="array" ref="S40">IF($A40="","",SUMPRODUCT((TRIM(tblDados[Mandante])=$A40)*tblDados[Primeira_Ocorrencia]*tblDados[GM_M]))</f>
        <v>16</v>
      </c>
      <c r="T40" s="10" cm="1">
        <f t="array" ref="T40">IF($A40="","",SUMPRODUCT((TRIM(tblDados[Visitante])=$A40)*tblDados[Primeira_Ocorrencia]*tblDados[GM_V]))</f>
        <v>4</v>
      </c>
      <c r="U40" s="10">
        <f t="shared" si="11"/>
        <v>20</v>
      </c>
      <c r="V40" s="10">
        <f t="shared" si="0"/>
        <v>1.4285714285714286</v>
      </c>
      <c r="W40" s="10" cm="1">
        <f t="array" ref="W40">IF($A40="","",SUMPRODUCT((TRIM(tblDados[Mandante])=$A40)*tblDados[Primeira_Ocorrencia]*tblDados[GS_M]))</f>
        <v>17</v>
      </c>
      <c r="X40" s="10" cm="1">
        <f t="array" ref="X40">IF($A40="","",SUMPRODUCT((TRIM(tblDados[Visitante])=$A40)*tblDados[Primeira_Ocorrencia]*tblDados[GS_V]))</f>
        <v>11</v>
      </c>
      <c r="Y40" s="10">
        <f t="shared" si="12"/>
        <v>28</v>
      </c>
      <c r="Z40" s="10">
        <f t="shared" si="1"/>
        <v>2</v>
      </c>
      <c r="AA40" s="10">
        <f t="shared" si="2"/>
        <v>2.2857142857142856</v>
      </c>
      <c r="AB40" s="10">
        <f t="shared" si="3"/>
        <v>2.4285714285714284</v>
      </c>
      <c r="AC40" s="10">
        <f t="shared" si="4"/>
        <v>0.5714285714285714</v>
      </c>
      <c r="AD40" s="10">
        <f t="shared" si="5"/>
        <v>1.5714285714285714</v>
      </c>
    </row>
    <row r="41" spans="1:30" x14ac:dyDescent="0.3">
      <c r="A41" s="7" t="str">
        <v>JJK Jyvaskyla</v>
      </c>
      <c r="B41" s="12" t="str" cm="1">
        <f t="array" ref="B41">IF($A41="","",_xlfn.LET(_xlpm.p,IFERROR(INDEX(tblDados[País],MATCH($A41,TRIM(tblDados[Mandante]),0)),INDEX(tblDados[País],MATCH($A41,TRIM(tblDados[Visitante]),0))),_xlpm.l,IFERROR(INDEX(tblDados[Liga],MATCH($A41,TRIM(tblDados[Mandante]),0)),INDEX(tblDados[Liga],MATCH($A41,TRIM(tblDados[Visitante]),0))),_xlpm.p&amp;" - "&amp;_xlpm.l))</f>
        <v>FIN - Ykkönen</v>
      </c>
      <c r="C41" s="10">
        <f t="shared" si="6"/>
        <v>5.375</v>
      </c>
      <c r="D41" s="10">
        <f t="shared" si="7"/>
        <v>2.8333333333333335</v>
      </c>
      <c r="E41" s="9" cm="1">
        <f t="array" ref="E41">IF($A41="","",SUMPRODUCT((TRIM(tblDados[Mandante])=$A41)*tblDados[Primeira_Ocorrencia]))</f>
        <v>8</v>
      </c>
      <c r="F41" s="9" cm="1">
        <f t="array" ref="F41">IF($A41="","",SUMPRODUCT((TRIM(tblDados[Visitante])=$A41)*tblDados[Primeira_Ocorrencia]))</f>
        <v>6</v>
      </c>
      <c r="G41" s="9" cm="1">
        <f t="array" ref="G41">IF($A41="","",SUMPRODUCT((TRIM(tblDados[Mandante])=$A41)*tblDados[Primeira_Ocorrencia])+SUMPRODUCT((TRIM(tblDados[Visitante])=$A41)*tblDados[Primeira_Ocorrencia]))</f>
        <v>14</v>
      </c>
      <c r="H41" s="10">
        <f t="shared" si="8"/>
        <v>2.1428571428571428</v>
      </c>
      <c r="I41" s="10" cm="1">
        <f t="array" ref="I41">IF($A41="","",_xlfn.LET(_xlpm.p,IFERROR(INDEX(tblDados[País],MATCH($A41,TRIM(tblDados[Mandante]),0)),INDEX(tblDados[País],MATCH($A41,TRIM(tblDados[Visitante]),0))),_xlpm.l,IFERROR(INDEX(tblDados[Liga],MATCH($A41,TRIM(tblDados[Mandante]),0)),INDEX(tblDados[Liga],MATCH($A41,TRIM(tblDados[Visitante]),0))),IFERROR(SUMIFS(Ligas!$D$2:$D$39,Ligas!$H$2:$H$39,_xlpm.p,Ligas!$I$2:$I$39,_xlpm.l),0)))</f>
        <v>3.57</v>
      </c>
      <c r="J41" s="11" cm="1">
        <f t="array" ref="J41">IF($A41="","",IFERROR((SUMPRODUCT((TRIM(tblDados[Mandante])=$A41)*tblDados[Primeira_Ocorrencia]*(tblDados[GM_M]=0))+SUMPRODUCT((TRIM(tblDados[Visitante])=$A41)*tblDados[Primeira_Ocorrencia]*(tblDados[GM_V]=0)))/G41,0))</f>
        <v>0.21428571428571427</v>
      </c>
      <c r="K41" s="11" cm="1">
        <f t="array" ref="K41">IF($A41="","",IFERROR((SUMPRODUCT((TRIM(tblDados[Mandante])=$A41)*tblDados[Primeira_Ocorrencia]*((tblDados[GM_M]+tblDados[GS_M])&gt;0.5))+SUMPRODUCT((TRIM(tblDados[Visitante])=$A41)*tblDados[Primeira_Ocorrencia]*((tblDados[GM_V]+tblDados[GS_V])&gt;0.5)))/G41,0))</f>
        <v>1</v>
      </c>
      <c r="L41" s="11" cm="1">
        <f t="array" ref="L41">IF($A41="","",IFERROR((SUMPRODUCT((TRIM(tblDados[Mandante])=$A41)*tblDados[Primeira_Ocorrencia]*((tblDados[GM_M]+tblDados[GS_M])&gt;1.5))+SUMPRODUCT((TRIM(tblDados[Visitante])=$A41)*tblDados[Primeira_Ocorrencia]*((tblDados[GM_V]+tblDados[GS_V])&gt;1.5)))/G41,0))</f>
        <v>0.7857142857142857</v>
      </c>
      <c r="M41" s="11" cm="1">
        <f t="array" ref="M41">IF($A41="","",IFERROR((SUMPRODUCT((TRIM(tblDados[Mandante])=$A41)*tblDados[Primeira_Ocorrencia]*((tblDados[GM_M]+tblDados[GS_M])&gt;2.5))+SUMPRODUCT((TRIM(tblDados[Visitante])=$A41)*tblDados[Primeira_Ocorrencia]*((tblDados[GM_V]+tblDados[GS_V])&gt;2.5)))/G41,0))</f>
        <v>0.7857142857142857</v>
      </c>
      <c r="N41" s="11" cm="1">
        <f t="array" ref="N41">IF($A41="","",IFERROR((SUMPRODUCT((TRIM(tblDados[Mandante])=$A41)*tblDados[Primeira_Ocorrencia]*((tblDados[GM_M]+tblDados[GS_M])&gt;3.5))+SUMPRODUCT((TRIM(tblDados[Visitante])=$A41)*tblDados[Primeira_Ocorrencia]*((tblDados[GM_V]+tblDados[GS_V])&gt;3.5)))/G41,0))</f>
        <v>0.6428571428571429</v>
      </c>
      <c r="O41" s="11" cm="1">
        <f t="array" ref="O41">IF($A41="","",IFERROR((SUMPRODUCT((TRIM(tblDados[Mandante])=$A41)*tblDados[Primeira_Ocorrencia]*(tblDados[GM_M]&gt;0)*(tblDados[GS_M]&gt;0))+SUMPRODUCT((TRIM(tblDados[Visitante])=$A41)*tblDados[Primeira_Ocorrencia]*(tblDados[GM_V]&gt;0)*(tblDados[GS_V]&gt;0)))/G41,0))</f>
        <v>0.7142857142857143</v>
      </c>
      <c r="P41" s="10" cm="1">
        <f t="array" ref="P41">IF($A41="","",IFERROR((SUMPRODUCT((TRIM(tblDados[Mandante])=$A41)*tblDados[Primeira_Ocorrencia]*tblDados[GM_M]^2)+SUMPRODUCT((TRIM(tblDados[Visitante])=$A41)*tblDados[Primeira_Ocorrencia]*tblDados[GM_V]^2))/G41-H41^2,0))</f>
        <v>7.4081632653061229</v>
      </c>
      <c r="Q41" s="10">
        <f t="shared" si="9"/>
        <v>2.7217941261796645</v>
      </c>
      <c r="R41" s="8" t="str">
        <f t="shared" si="10"/>
        <v>Binomial Negativa</v>
      </c>
      <c r="S41" s="10" cm="1">
        <f t="array" ref="S41">IF($A41="","",SUMPRODUCT((TRIM(tblDados[Mandante])=$A41)*tblDados[Primeira_Ocorrencia]*tblDados[GM_M]))</f>
        <v>25</v>
      </c>
      <c r="T41" s="10" cm="1">
        <f t="array" ref="T41">IF($A41="","",SUMPRODUCT((TRIM(tblDados[Visitante])=$A41)*tblDados[Primeira_Ocorrencia]*tblDados[GM_V]))</f>
        <v>5</v>
      </c>
      <c r="U41" s="10">
        <f t="shared" si="11"/>
        <v>30</v>
      </c>
      <c r="V41" s="10">
        <f t="shared" si="0"/>
        <v>2.1428571428571428</v>
      </c>
      <c r="W41" s="10" cm="1">
        <f t="array" ref="W41">IF($A41="","",SUMPRODUCT((TRIM(tblDados[Mandante])=$A41)*tblDados[Primeira_Ocorrencia]*tblDados[GS_M]))</f>
        <v>18</v>
      </c>
      <c r="X41" s="10" cm="1">
        <f t="array" ref="X41">IF($A41="","",SUMPRODUCT((TRIM(tblDados[Visitante])=$A41)*tblDados[Primeira_Ocorrencia]*tblDados[GS_V]))</f>
        <v>12</v>
      </c>
      <c r="Y41" s="10">
        <f t="shared" si="12"/>
        <v>30</v>
      </c>
      <c r="Z41" s="10">
        <f t="shared" si="1"/>
        <v>2.1428571428571428</v>
      </c>
      <c r="AA41" s="10">
        <f t="shared" si="2"/>
        <v>3.125</v>
      </c>
      <c r="AB41" s="10">
        <f t="shared" si="3"/>
        <v>2.25</v>
      </c>
      <c r="AC41" s="10">
        <f t="shared" si="4"/>
        <v>0.83333333333333337</v>
      </c>
      <c r="AD41" s="10">
        <f t="shared" si="5"/>
        <v>2</v>
      </c>
    </row>
    <row r="42" spans="1:30" x14ac:dyDescent="0.3">
      <c r="A42" s="7" t="str">
        <v>Juventude</v>
      </c>
      <c r="B42" s="12" t="str" cm="1">
        <f t="array" ref="B42">IF($A42="","",_xlfn.LET(_xlpm.p,IFERROR(INDEX(tblDados[País],MATCH($A42,TRIM(tblDados[Mandante]),0)),INDEX(tblDados[País],MATCH($A42,TRIM(tblDados[Visitante]),0))),_xlpm.l,IFERROR(INDEX(tblDados[Liga],MATCH($A42,TRIM(tblDados[Mandante]),0)),INDEX(tblDados[Liga],MATCH($A42,TRIM(tblDados[Visitante]),0))),_xlpm.p&amp;" - "&amp;_xlpm.l))</f>
        <v>BRA - Série B</v>
      </c>
      <c r="C42" s="10">
        <f t="shared" si="6"/>
        <v>1.625</v>
      </c>
      <c r="D42" s="10">
        <f t="shared" si="7"/>
        <v>2</v>
      </c>
      <c r="E42" s="9" cm="1">
        <f t="array" ref="E42">IF($A42="","",SUMPRODUCT((TRIM(tblDados[Mandante])=$A42)*tblDados[Primeira_Ocorrencia]))</f>
        <v>8</v>
      </c>
      <c r="F42" s="9" cm="1">
        <f t="array" ref="F42">IF($A42="","",SUMPRODUCT((TRIM(tblDados[Visitante])=$A42)*tblDados[Primeira_Ocorrencia]))</f>
        <v>6</v>
      </c>
      <c r="G42" s="9" cm="1">
        <f t="array" ref="G42">IF($A42="","",SUMPRODUCT((TRIM(tblDados[Mandante])=$A42)*tblDados[Primeira_Ocorrencia])+SUMPRODUCT((TRIM(tblDados[Visitante])=$A42)*tblDados[Primeira_Ocorrencia]))</f>
        <v>14</v>
      </c>
      <c r="H42" s="10">
        <f t="shared" si="8"/>
        <v>1.2142857142857142</v>
      </c>
      <c r="I42" s="10" cm="1">
        <f t="array" ref="I42">IF($A42="","",_xlfn.LET(_xlpm.p,IFERROR(INDEX(tblDados[País],MATCH($A42,TRIM(tblDados[Mandante]),0)),INDEX(tblDados[País],MATCH($A42,TRIM(tblDados[Visitante]),0))),_xlpm.l,IFERROR(INDEX(tblDados[Liga],MATCH($A42,TRIM(tblDados[Mandante]),0)),INDEX(tblDados[Liga],MATCH($A42,TRIM(tblDados[Visitante]),0))),IFERROR(SUMIFS(Ligas!$D$2:$D$39,Ligas!$H$2:$H$39,_xlpm.p,Ligas!$I$2:$I$39,_xlpm.l),0)))</f>
        <v>2.31</v>
      </c>
      <c r="J42" s="11" cm="1">
        <f t="array" ref="J42">IF($A42="","",IFERROR((SUMPRODUCT((TRIM(tblDados[Mandante])=$A42)*tblDados[Primeira_Ocorrencia]*(tblDados[GM_M]=0))+SUMPRODUCT((TRIM(tblDados[Visitante])=$A42)*tblDados[Primeira_Ocorrencia]*(tblDados[GM_V]=0)))/G42,0))</f>
        <v>0.2857142857142857</v>
      </c>
      <c r="K42" s="11" cm="1">
        <f t="array" ref="K42">IF($A42="","",IFERROR((SUMPRODUCT((TRIM(tblDados[Mandante])=$A42)*tblDados[Primeira_Ocorrencia]*((tblDados[GM_M]+tblDados[GS_M])&gt;0.5))+SUMPRODUCT((TRIM(tblDados[Visitante])=$A42)*tblDados[Primeira_Ocorrencia]*((tblDados[GM_V]+tblDados[GS_V])&gt;0.5)))/G42,0))</f>
        <v>0.7857142857142857</v>
      </c>
      <c r="L42" s="11" cm="1">
        <f t="array" ref="L42">IF($A42="","",IFERROR((SUMPRODUCT((TRIM(tblDados[Mandante])=$A42)*tblDados[Primeira_Ocorrencia]*((tblDados[GM_M]+tblDados[GS_M])&gt;1.5))+SUMPRODUCT((TRIM(tblDados[Visitante])=$A42)*tblDados[Primeira_Ocorrencia]*((tblDados[GM_V]+tblDados[GS_V])&gt;1.5)))/G42,0))</f>
        <v>0.5</v>
      </c>
      <c r="M42" s="11" cm="1">
        <f t="array" ref="M42">IF($A42="","",IFERROR((SUMPRODUCT((TRIM(tblDados[Mandante])=$A42)*tblDados[Primeira_Ocorrencia]*((tblDados[GM_M]+tblDados[GS_M])&gt;2.5))+SUMPRODUCT((TRIM(tblDados[Visitante])=$A42)*tblDados[Primeira_Ocorrencia]*((tblDados[GM_V]+tblDados[GS_V])&gt;2.5)))/G42,0))</f>
        <v>0.2857142857142857</v>
      </c>
      <c r="N42" s="11" cm="1">
        <f t="array" ref="N42">IF($A42="","",IFERROR((SUMPRODUCT((TRIM(tblDados[Mandante])=$A42)*tblDados[Primeira_Ocorrencia]*((tblDados[GM_M]+tblDados[GS_M])&gt;3.5))+SUMPRODUCT((TRIM(tblDados[Visitante])=$A42)*tblDados[Primeira_Ocorrencia]*((tblDados[GM_V]+tblDados[GS_V])&gt;3.5)))/G42,0))</f>
        <v>7.1428571428571425E-2</v>
      </c>
      <c r="O42" s="11" cm="1">
        <f t="array" ref="O42">IF($A42="","",IFERROR((SUMPRODUCT((TRIM(tblDados[Mandante])=$A42)*tblDados[Primeira_Ocorrencia]*(tblDados[GM_M]&gt;0)*(tblDados[GS_M]&gt;0))+SUMPRODUCT((TRIM(tblDados[Visitante])=$A42)*tblDados[Primeira_Ocorrencia]*(tblDados[GM_V]&gt;0)*(tblDados[GS_V]&gt;0)))/G42,0))</f>
        <v>0.21428571428571427</v>
      </c>
      <c r="P42" s="10" cm="1">
        <f t="array" ref="P42">IF($A42="","",IFERROR((SUMPRODUCT((TRIM(tblDados[Mandante])=$A42)*tblDados[Primeira_Ocorrencia]*tblDados[GM_M]^2)+SUMPRODUCT((TRIM(tblDados[Visitante])=$A42)*tblDados[Primeira_Ocorrencia]*tblDados[GM_V]^2))/G42-H42^2,0))</f>
        <v>1.0255102040816328</v>
      </c>
      <c r="Q42" s="10">
        <f t="shared" si="9"/>
        <v>1.0126747770541304</v>
      </c>
      <c r="R42" s="8" t="str">
        <f t="shared" si="10"/>
        <v>Poisson</v>
      </c>
      <c r="S42" s="10" cm="1">
        <f t="array" ref="S42">IF($A42="","",SUMPRODUCT((TRIM(tblDados[Mandante])=$A42)*tblDados[Primeira_Ocorrencia]*tblDados[GM_M]))</f>
        <v>12</v>
      </c>
      <c r="T42" s="10" cm="1">
        <f t="array" ref="T42">IF($A42="","",SUMPRODUCT((TRIM(tblDados[Visitante])=$A42)*tblDados[Primeira_Ocorrencia]*tblDados[GM_V]))</f>
        <v>5</v>
      </c>
      <c r="U42" s="10">
        <f t="shared" si="11"/>
        <v>17</v>
      </c>
      <c r="V42" s="10">
        <f t="shared" si="0"/>
        <v>1.2142857142857142</v>
      </c>
      <c r="W42" s="10" cm="1">
        <f t="array" ref="W42">IF($A42="","",SUMPRODUCT((TRIM(tblDados[Mandante])=$A42)*tblDados[Primeira_Ocorrencia]*tblDados[GS_M]))</f>
        <v>1</v>
      </c>
      <c r="X42" s="10" cm="1">
        <f t="array" ref="X42">IF($A42="","",SUMPRODUCT((TRIM(tblDados[Visitante])=$A42)*tblDados[Primeira_Ocorrencia]*tblDados[GS_V]))</f>
        <v>7</v>
      </c>
      <c r="Y42" s="10">
        <f t="shared" si="12"/>
        <v>8</v>
      </c>
      <c r="Z42" s="10">
        <f t="shared" si="1"/>
        <v>0.5714285714285714</v>
      </c>
      <c r="AA42" s="10">
        <f t="shared" si="2"/>
        <v>1.5</v>
      </c>
      <c r="AB42" s="10">
        <f t="shared" si="3"/>
        <v>0.125</v>
      </c>
      <c r="AC42" s="10">
        <f t="shared" si="4"/>
        <v>0.83333333333333337</v>
      </c>
      <c r="AD42" s="10">
        <f t="shared" si="5"/>
        <v>1.1666666666666667</v>
      </c>
    </row>
    <row r="43" spans="1:30" x14ac:dyDescent="0.3">
      <c r="A43" s="7" t="str">
        <v>Kopavogur</v>
      </c>
      <c r="B43" s="12" t="str" cm="1">
        <f t="array" ref="B43">IF($A43="","",_xlfn.LET(_xlpm.p,IFERROR(INDEX(tblDados[País],MATCH($A43,TRIM(tblDados[Mandante]),0)),INDEX(tblDados[País],MATCH($A43,TRIM(tblDados[Visitante]),0))),_xlpm.l,IFERROR(INDEX(tblDados[Liga],MATCH($A43,TRIM(tblDados[Mandante]),0)),INDEX(tblDados[Liga],MATCH($A43,TRIM(tblDados[Visitante]),0))),_xlpm.p&amp;" - "&amp;_xlpm.l))</f>
        <v>ISL - Lengjudeildin (1ªD)</v>
      </c>
      <c r="C43" s="10">
        <f t="shared" si="6"/>
        <v>4.4000000000000004</v>
      </c>
      <c r="D43" s="10">
        <f t="shared" si="7"/>
        <v>4.4444444444444446</v>
      </c>
      <c r="E43" s="9" cm="1">
        <f t="array" ref="E43">IF($A43="","",SUMPRODUCT((TRIM(tblDados[Mandante])=$A43)*tblDados[Primeira_Ocorrencia]))</f>
        <v>5</v>
      </c>
      <c r="F43" s="9" cm="1">
        <f t="array" ref="F43">IF($A43="","",SUMPRODUCT((TRIM(tblDados[Visitante])=$A43)*tblDados[Primeira_Ocorrencia]))</f>
        <v>9</v>
      </c>
      <c r="G43" s="9" cm="1">
        <f t="array" ref="G43">IF($A43="","",SUMPRODUCT((TRIM(tblDados[Mandante])=$A43)*tblDados[Primeira_Ocorrencia])+SUMPRODUCT((TRIM(tblDados[Visitante])=$A43)*tblDados[Primeira_Ocorrencia]))</f>
        <v>14</v>
      </c>
      <c r="H43" s="10">
        <f t="shared" si="8"/>
        <v>2.2857142857142856</v>
      </c>
      <c r="I43" s="10" cm="1">
        <f t="array" ref="I43">IF($A43="","",_xlfn.LET(_xlpm.p,IFERROR(INDEX(tblDados[País],MATCH($A43,TRIM(tblDados[Mandante]),0)),INDEX(tblDados[País],MATCH($A43,TRIM(tblDados[Visitante]),0))),_xlpm.l,IFERROR(INDEX(tblDados[Liga],MATCH($A43,TRIM(tblDados[Mandante]),0)),INDEX(tblDados[Liga],MATCH($A43,TRIM(tblDados[Visitante]),0))),IFERROR(SUMIFS(Ligas!$D$2:$D$39,Ligas!$H$2:$H$39,_xlpm.p,Ligas!$I$2:$I$39,_xlpm.l),0)))</f>
        <v>3.55</v>
      </c>
      <c r="J43" s="11" cm="1">
        <f t="array" ref="J43">IF($A43="","",IFERROR((SUMPRODUCT((TRIM(tblDados[Mandante])=$A43)*tblDados[Primeira_Ocorrencia]*(tblDados[GM_M]=0))+SUMPRODUCT((TRIM(tblDados[Visitante])=$A43)*tblDados[Primeira_Ocorrencia]*(tblDados[GM_V]=0)))/G43,0))</f>
        <v>7.1428571428571425E-2</v>
      </c>
      <c r="K43" s="11" cm="1">
        <f t="array" ref="K43">IF($A43="","",IFERROR((SUMPRODUCT((TRIM(tblDados[Mandante])=$A43)*tblDados[Primeira_Ocorrencia]*((tblDados[GM_M]+tblDados[GS_M])&gt;0.5))+SUMPRODUCT((TRIM(tblDados[Visitante])=$A43)*tblDados[Primeira_Ocorrencia]*((tblDados[GM_V]+tblDados[GS_V])&gt;0.5)))/G43,0))</f>
        <v>1</v>
      </c>
      <c r="L43" s="11" cm="1">
        <f t="array" ref="L43">IF($A43="","",IFERROR((SUMPRODUCT((TRIM(tblDados[Mandante])=$A43)*tblDados[Primeira_Ocorrencia]*((tblDados[GM_M]+tblDados[GS_M])&gt;1.5))+SUMPRODUCT((TRIM(tblDados[Visitante])=$A43)*tblDados[Primeira_Ocorrencia]*((tblDados[GM_V]+tblDados[GS_V])&gt;1.5)))/G43,0))</f>
        <v>0.9285714285714286</v>
      </c>
      <c r="M43" s="11" cm="1">
        <f t="array" ref="M43">IF($A43="","",IFERROR((SUMPRODUCT((TRIM(tblDados[Mandante])=$A43)*tblDados[Primeira_Ocorrencia]*((tblDados[GM_M]+tblDados[GS_M])&gt;2.5))+SUMPRODUCT((TRIM(tblDados[Visitante])=$A43)*tblDados[Primeira_Ocorrencia]*((tblDados[GM_V]+tblDados[GS_V])&gt;2.5)))/G43,0))</f>
        <v>0.7857142857142857</v>
      </c>
      <c r="N43" s="11" cm="1">
        <f t="array" ref="N43">IF($A43="","",IFERROR((SUMPRODUCT((TRIM(tblDados[Mandante])=$A43)*tblDados[Primeira_Ocorrencia]*((tblDados[GM_M]+tblDados[GS_M])&gt;3.5))+SUMPRODUCT((TRIM(tblDados[Visitante])=$A43)*tblDados[Primeira_Ocorrencia]*((tblDados[GM_V]+tblDados[GS_V])&gt;3.5)))/G43,0))</f>
        <v>0.6428571428571429</v>
      </c>
      <c r="O43" s="11" cm="1">
        <f t="array" ref="O43">IF($A43="","",IFERROR((SUMPRODUCT((TRIM(tblDados[Mandante])=$A43)*tblDados[Primeira_Ocorrencia]*(tblDados[GM_M]&gt;0)*(tblDados[GS_M]&gt;0))+SUMPRODUCT((TRIM(tblDados[Visitante])=$A43)*tblDados[Primeira_Ocorrencia]*(tblDados[GM_V]&gt;0)*(tblDados[GS_V]&gt;0)))/G43,0))</f>
        <v>0.7857142857142857</v>
      </c>
      <c r="P43" s="10" cm="1">
        <f t="array" ref="P43">IF($A43="","",IFERROR((SUMPRODUCT((TRIM(tblDados[Mandante])=$A43)*tblDados[Primeira_Ocorrencia]*tblDados[GM_M]^2)+SUMPRODUCT((TRIM(tblDados[Visitante])=$A43)*tblDados[Primeira_Ocorrencia]*tblDados[GM_V]^2))/G43-H43^2,0))</f>
        <v>2.6326530612244898</v>
      </c>
      <c r="Q43" s="10">
        <f t="shared" si="9"/>
        <v>1.622545241657221</v>
      </c>
      <c r="R43" s="8" t="str">
        <f t="shared" si="10"/>
        <v>Poisson</v>
      </c>
      <c r="S43" s="10" cm="1">
        <f t="array" ref="S43">IF($A43="","",SUMPRODUCT((TRIM(tblDados[Mandante])=$A43)*tblDados[Primeira_Ocorrencia]*tblDados[GM_M]))</f>
        <v>16</v>
      </c>
      <c r="T43" s="10" cm="1">
        <f t="array" ref="T43">IF($A43="","",SUMPRODUCT((TRIM(tblDados[Visitante])=$A43)*tblDados[Primeira_Ocorrencia]*tblDados[GM_V]))</f>
        <v>16</v>
      </c>
      <c r="U43" s="10">
        <f t="shared" si="11"/>
        <v>32</v>
      </c>
      <c r="V43" s="10">
        <f t="shared" si="0"/>
        <v>2.2857142857142856</v>
      </c>
      <c r="W43" s="10" cm="1">
        <f t="array" ref="W43">IF($A43="","",SUMPRODUCT((TRIM(tblDados[Mandante])=$A43)*tblDados[Primeira_Ocorrencia]*tblDados[GS_M]))</f>
        <v>6</v>
      </c>
      <c r="X43" s="10" cm="1">
        <f t="array" ref="X43">IF($A43="","",SUMPRODUCT((TRIM(tblDados[Visitante])=$A43)*tblDados[Primeira_Ocorrencia]*tblDados[GS_V]))</f>
        <v>24</v>
      </c>
      <c r="Y43" s="10">
        <f t="shared" si="12"/>
        <v>30</v>
      </c>
      <c r="Z43" s="10">
        <f t="shared" si="1"/>
        <v>2.1428571428571428</v>
      </c>
      <c r="AA43" s="10">
        <f t="shared" si="2"/>
        <v>3.2</v>
      </c>
      <c r="AB43" s="10">
        <f t="shared" si="3"/>
        <v>1.2</v>
      </c>
      <c r="AC43" s="10">
        <f t="shared" si="4"/>
        <v>1.7777777777777777</v>
      </c>
      <c r="AD43" s="10">
        <f t="shared" si="5"/>
        <v>2.6666666666666665</v>
      </c>
    </row>
    <row r="44" spans="1:30" x14ac:dyDescent="0.3">
      <c r="A44" s="7" t="str">
        <v>Londrina</v>
      </c>
      <c r="B44" s="12" t="str" cm="1">
        <f t="array" ref="B44">IF($A44="","",_xlfn.LET(_xlpm.p,IFERROR(INDEX(tblDados[País],MATCH($A44,TRIM(tblDados[Mandante]),0)),INDEX(tblDados[País],MATCH($A44,TRIM(tblDados[Visitante]),0))),_xlpm.l,IFERROR(INDEX(tblDados[Liga],MATCH($A44,TRIM(tblDados[Mandante]),0)),INDEX(tblDados[Liga],MATCH($A44,TRIM(tblDados[Visitante]),0))),_xlpm.p&amp;" - "&amp;_xlpm.l))</f>
        <v>BRA - Série B</v>
      </c>
      <c r="C44" s="10">
        <f t="shared" si="6"/>
        <v>3.1428571428571428</v>
      </c>
      <c r="D44" s="10">
        <f t="shared" si="7"/>
        <v>3</v>
      </c>
      <c r="E44" s="9" cm="1">
        <f t="array" ref="E44">IF($A44="","",SUMPRODUCT((TRIM(tblDados[Mandante])=$A44)*tblDados[Primeira_Ocorrencia]))</f>
        <v>7</v>
      </c>
      <c r="F44" s="9" cm="1">
        <f t="array" ref="F44">IF($A44="","",SUMPRODUCT((TRIM(tblDados[Visitante])=$A44)*tblDados[Primeira_Ocorrencia]))</f>
        <v>7</v>
      </c>
      <c r="G44" s="9" cm="1">
        <f t="array" ref="G44">IF($A44="","",SUMPRODUCT((TRIM(tblDados[Mandante])=$A44)*tblDados[Primeira_Ocorrencia])+SUMPRODUCT((TRIM(tblDados[Visitante])=$A44)*tblDados[Primeira_Ocorrencia]))</f>
        <v>14</v>
      </c>
      <c r="H44" s="10">
        <f t="shared" si="8"/>
        <v>1.4285714285714286</v>
      </c>
      <c r="I44" s="10" cm="1">
        <f t="array" ref="I44">IF($A44="","",_xlfn.LET(_xlpm.p,IFERROR(INDEX(tblDados[País],MATCH($A44,TRIM(tblDados[Mandante]),0)),INDEX(tblDados[País],MATCH($A44,TRIM(tblDados[Visitante]),0))),_xlpm.l,IFERROR(INDEX(tblDados[Liga],MATCH($A44,TRIM(tblDados[Mandante]),0)),INDEX(tblDados[Liga],MATCH($A44,TRIM(tblDados[Visitante]),0))),IFERROR(SUMIFS(Ligas!$D$2:$D$39,Ligas!$H$2:$H$39,_xlpm.p,Ligas!$I$2:$I$39,_xlpm.l),0)))</f>
        <v>2.31</v>
      </c>
      <c r="J44" s="11" cm="1">
        <f t="array" ref="J44">IF($A44="","",IFERROR((SUMPRODUCT((TRIM(tblDados[Mandante])=$A44)*tblDados[Primeira_Ocorrencia]*(tblDados[GM_M]=0))+SUMPRODUCT((TRIM(tblDados[Visitante])=$A44)*tblDados[Primeira_Ocorrencia]*(tblDados[GM_V]=0)))/G44,0))</f>
        <v>0.35714285714285715</v>
      </c>
      <c r="K44" s="11" cm="1">
        <f t="array" ref="K44">IF($A44="","",IFERROR((SUMPRODUCT((TRIM(tblDados[Mandante])=$A44)*tblDados[Primeira_Ocorrencia]*((tblDados[GM_M]+tblDados[GS_M])&gt;0.5))+SUMPRODUCT((TRIM(tblDados[Visitante])=$A44)*tblDados[Primeira_Ocorrencia]*((tblDados[GM_V]+tblDados[GS_V])&gt;0.5)))/G44,0))</f>
        <v>0.9285714285714286</v>
      </c>
      <c r="L44" s="11" cm="1">
        <f t="array" ref="L44">IF($A44="","",IFERROR((SUMPRODUCT((TRIM(tblDados[Mandante])=$A44)*tblDados[Primeira_Ocorrencia]*((tblDados[GM_M]+tblDados[GS_M])&gt;1.5))+SUMPRODUCT((TRIM(tblDados[Visitante])=$A44)*tblDados[Primeira_Ocorrencia]*((tblDados[GM_V]+tblDados[GS_V])&gt;1.5)))/G44,0))</f>
        <v>0.7857142857142857</v>
      </c>
      <c r="M44" s="11" cm="1">
        <f t="array" ref="M44">IF($A44="","",IFERROR((SUMPRODUCT((TRIM(tblDados[Mandante])=$A44)*tblDados[Primeira_Ocorrencia]*((tblDados[GM_M]+tblDados[GS_M])&gt;2.5))+SUMPRODUCT((TRIM(tblDados[Visitante])=$A44)*tblDados[Primeira_Ocorrencia]*((tblDados[GM_V]+tblDados[GS_V])&gt;2.5)))/G44,0))</f>
        <v>0.6428571428571429</v>
      </c>
      <c r="N44" s="11" cm="1">
        <f t="array" ref="N44">IF($A44="","",IFERROR((SUMPRODUCT((TRIM(tblDados[Mandante])=$A44)*tblDados[Primeira_Ocorrencia]*((tblDados[GM_M]+tblDados[GS_M])&gt;3.5))+SUMPRODUCT((TRIM(tblDados[Visitante])=$A44)*tblDados[Primeira_Ocorrencia]*((tblDados[GM_V]+tblDados[GS_V])&gt;3.5)))/G44,0))</f>
        <v>0.42857142857142855</v>
      </c>
      <c r="O44" s="11" cm="1">
        <f t="array" ref="O44">IF($A44="","",IFERROR((SUMPRODUCT((TRIM(tblDados[Mandante])=$A44)*tblDados[Primeira_Ocorrencia]*(tblDados[GM_M]&gt;0)*(tblDados[GS_M]&gt;0))+SUMPRODUCT((TRIM(tblDados[Visitante])=$A44)*tblDados[Primeira_Ocorrencia]*(tblDados[GM_V]&gt;0)*(tblDados[GS_V]&gt;0)))/G44,0))</f>
        <v>0.5</v>
      </c>
      <c r="P44" s="10" cm="1">
        <f t="array" ref="P44">IF($A44="","",IFERROR((SUMPRODUCT((TRIM(tblDados[Mandante])=$A44)*tblDados[Primeira_Ocorrencia]*tblDados[GM_M]^2)+SUMPRODUCT((TRIM(tblDados[Visitante])=$A44)*tblDados[Primeira_Ocorrencia]*tblDados[GM_V]^2))/G44-H44^2,0))</f>
        <v>2.3877551020408165</v>
      </c>
      <c r="Q44" s="10">
        <f t="shared" si="9"/>
        <v>1.5452362609131383</v>
      </c>
      <c r="R44" s="8" t="str">
        <f t="shared" si="10"/>
        <v>Binomial Negativa</v>
      </c>
      <c r="S44" s="10" cm="1">
        <f t="array" ref="S44">IF($A44="","",SUMPRODUCT((TRIM(tblDados[Mandante])=$A44)*tblDados[Primeira_Ocorrencia]*tblDados[GM_M]))</f>
        <v>12</v>
      </c>
      <c r="T44" s="10" cm="1">
        <f t="array" ref="T44">IF($A44="","",SUMPRODUCT((TRIM(tblDados[Visitante])=$A44)*tblDados[Primeira_Ocorrencia]*tblDados[GM_V]))</f>
        <v>8</v>
      </c>
      <c r="U44" s="10">
        <f t="shared" si="11"/>
        <v>20</v>
      </c>
      <c r="V44" s="10">
        <f t="shared" si="0"/>
        <v>1.4285714285714286</v>
      </c>
      <c r="W44" s="10" cm="1">
        <f t="array" ref="W44">IF($A44="","",SUMPRODUCT((TRIM(tblDados[Mandante])=$A44)*tblDados[Primeira_Ocorrencia]*tblDados[GS_M]))</f>
        <v>10</v>
      </c>
      <c r="X44" s="10" cm="1">
        <f t="array" ref="X44">IF($A44="","",SUMPRODUCT((TRIM(tblDados[Visitante])=$A44)*tblDados[Primeira_Ocorrencia]*tblDados[GS_V]))</f>
        <v>13</v>
      </c>
      <c r="Y44" s="10">
        <f t="shared" si="12"/>
        <v>23</v>
      </c>
      <c r="Z44" s="10">
        <f t="shared" si="1"/>
        <v>1.6428571428571428</v>
      </c>
      <c r="AA44" s="10">
        <f t="shared" si="2"/>
        <v>1.7142857142857142</v>
      </c>
      <c r="AB44" s="10">
        <f t="shared" si="3"/>
        <v>1.4285714285714286</v>
      </c>
      <c r="AC44" s="10">
        <f t="shared" si="4"/>
        <v>1.1428571428571428</v>
      </c>
      <c r="AD44" s="10">
        <f t="shared" si="5"/>
        <v>1.8571428571428572</v>
      </c>
    </row>
    <row r="45" spans="1:30" x14ac:dyDescent="0.3">
      <c r="A45" s="7" t="str">
        <v>Náutico</v>
      </c>
      <c r="B45" s="12" t="str" cm="1">
        <f t="array" ref="B45">IF($A45="","",_xlfn.LET(_xlpm.p,IFERROR(INDEX(tblDados[País],MATCH($A45,TRIM(tblDados[Mandante]),0)),INDEX(tblDados[País],MATCH($A45,TRIM(tblDados[Visitante]),0))),_xlpm.l,IFERROR(INDEX(tblDados[Liga],MATCH($A45,TRIM(tblDados[Mandante]),0)),INDEX(tblDados[Liga],MATCH($A45,TRIM(tblDados[Visitante]),0))),_xlpm.p&amp;" - "&amp;_xlpm.l))</f>
        <v>BRA - Série B</v>
      </c>
      <c r="C45" s="10">
        <f t="shared" si="6"/>
        <v>1.6666666666666667</v>
      </c>
      <c r="D45" s="10">
        <f t="shared" si="7"/>
        <v>3.5</v>
      </c>
      <c r="E45" s="9" cm="1">
        <f t="array" ref="E45">IF($A45="","",SUMPRODUCT((TRIM(tblDados[Mandante])=$A45)*tblDados[Primeira_Ocorrencia]))</f>
        <v>6</v>
      </c>
      <c r="F45" s="9" cm="1">
        <f t="array" ref="F45">IF($A45="","",SUMPRODUCT((TRIM(tblDados[Visitante])=$A45)*tblDados[Primeira_Ocorrencia]))</f>
        <v>8</v>
      </c>
      <c r="G45" s="9" cm="1">
        <f t="array" ref="G45">IF($A45="","",SUMPRODUCT((TRIM(tblDados[Mandante])=$A45)*tblDados[Primeira_Ocorrencia])+SUMPRODUCT((TRIM(tblDados[Visitante])=$A45)*tblDados[Primeira_Ocorrencia]))</f>
        <v>14</v>
      </c>
      <c r="H45" s="10">
        <f t="shared" si="8"/>
        <v>1.4285714285714286</v>
      </c>
      <c r="I45" s="10" cm="1">
        <f t="array" ref="I45">IF($A45="","",_xlfn.LET(_xlpm.p,IFERROR(INDEX(tblDados[País],MATCH($A45,TRIM(tblDados[Mandante]),0)),INDEX(tblDados[País],MATCH($A45,TRIM(tblDados[Visitante]),0))),_xlpm.l,IFERROR(INDEX(tblDados[Liga],MATCH($A45,TRIM(tblDados[Mandante]),0)),INDEX(tblDados[Liga],MATCH($A45,TRIM(tblDados[Visitante]),0))),IFERROR(SUMIFS(Ligas!$D$2:$D$39,Ligas!$H$2:$H$39,_xlpm.p,Ligas!$I$2:$I$39,_xlpm.l),0)))</f>
        <v>2.31</v>
      </c>
      <c r="J45" s="11" cm="1">
        <f t="array" ref="J45">IF($A45="","",IFERROR((SUMPRODUCT((TRIM(tblDados[Mandante])=$A45)*tblDados[Primeira_Ocorrencia]*(tblDados[GM_M]=0))+SUMPRODUCT((TRIM(tblDados[Visitante])=$A45)*tblDados[Primeira_Ocorrencia]*(tblDados[GM_V]=0)))/G45,0))</f>
        <v>0.42857142857142855</v>
      </c>
      <c r="K45" s="11" cm="1">
        <f t="array" ref="K45">IF($A45="","",IFERROR((SUMPRODUCT((TRIM(tblDados[Mandante])=$A45)*tblDados[Primeira_Ocorrencia]*((tblDados[GM_M]+tblDados[GS_M])&gt;0.5))+SUMPRODUCT((TRIM(tblDados[Visitante])=$A45)*tblDados[Primeira_Ocorrencia]*((tblDados[GM_V]+tblDados[GS_V])&gt;0.5)))/G45,0))</f>
        <v>0.8571428571428571</v>
      </c>
      <c r="L45" s="11" cm="1">
        <f t="array" ref="L45">IF($A45="","",IFERROR((SUMPRODUCT((TRIM(tblDados[Mandante])=$A45)*tblDados[Primeira_Ocorrencia]*((tblDados[GM_M]+tblDados[GS_M])&gt;1.5))+SUMPRODUCT((TRIM(tblDados[Visitante])=$A45)*tblDados[Primeira_Ocorrencia]*((tblDados[GM_V]+tblDados[GS_V])&gt;1.5)))/G45,0))</f>
        <v>0.6428571428571429</v>
      </c>
      <c r="M45" s="11" cm="1">
        <f t="array" ref="M45">IF($A45="","",IFERROR((SUMPRODUCT((TRIM(tblDados[Mandante])=$A45)*tblDados[Primeira_Ocorrencia]*((tblDados[GM_M]+tblDados[GS_M])&gt;2.5))+SUMPRODUCT((TRIM(tblDados[Visitante])=$A45)*tblDados[Primeira_Ocorrencia]*((tblDados[GM_V]+tblDados[GS_V])&gt;2.5)))/G45,0))</f>
        <v>0.42857142857142855</v>
      </c>
      <c r="N45" s="11" cm="1">
        <f t="array" ref="N45">IF($A45="","",IFERROR((SUMPRODUCT((TRIM(tblDados[Mandante])=$A45)*tblDados[Primeira_Ocorrencia]*((tblDados[GM_M]+tblDados[GS_M])&gt;3.5))+SUMPRODUCT((TRIM(tblDados[Visitante])=$A45)*tblDados[Primeira_Ocorrencia]*((tblDados[GM_V]+tblDados[GS_V])&gt;3.5)))/G45,0))</f>
        <v>0.2857142857142857</v>
      </c>
      <c r="O45" s="11" cm="1">
        <f t="array" ref="O45">IF($A45="","",IFERROR((SUMPRODUCT((TRIM(tblDados[Mandante])=$A45)*tblDados[Primeira_Ocorrencia]*(tblDados[GM_M]&gt;0)*(tblDados[GS_M]&gt;0))+SUMPRODUCT((TRIM(tblDados[Visitante])=$A45)*tblDados[Primeira_Ocorrencia]*(tblDados[GM_V]&gt;0)*(tblDados[GS_V]&gt;0)))/G45,0))</f>
        <v>0.42857142857142855</v>
      </c>
      <c r="P45" s="10" cm="1">
        <f t="array" ref="P45">IF($A45="","",IFERROR((SUMPRODUCT((TRIM(tblDados[Mandante])=$A45)*tblDados[Primeira_Ocorrencia]*tblDados[GM_M]^2)+SUMPRODUCT((TRIM(tblDados[Visitante])=$A45)*tblDados[Primeira_Ocorrencia]*tblDados[GM_V]^2))/G45-H45^2,0))</f>
        <v>3.1020408163265309</v>
      </c>
      <c r="Q45" s="10">
        <f t="shared" si="9"/>
        <v>1.761261143705422</v>
      </c>
      <c r="R45" s="8" t="str">
        <f t="shared" si="10"/>
        <v>Binomial Negativa</v>
      </c>
      <c r="S45" s="10" cm="1">
        <f t="array" ref="S45">IF($A45="","",SUMPRODUCT((TRIM(tblDados[Mandante])=$A45)*tblDados[Primeira_Ocorrencia]*tblDados[GM_M]))</f>
        <v>7</v>
      </c>
      <c r="T45" s="10" cm="1">
        <f t="array" ref="T45">IF($A45="","",SUMPRODUCT((TRIM(tblDados[Visitante])=$A45)*tblDados[Primeira_Ocorrencia]*tblDados[GM_V]))</f>
        <v>13</v>
      </c>
      <c r="U45" s="10">
        <f t="shared" si="11"/>
        <v>20</v>
      </c>
      <c r="V45" s="10">
        <f t="shared" si="0"/>
        <v>1.4285714285714286</v>
      </c>
      <c r="W45" s="10" cm="1">
        <f t="array" ref="W45">IF($A45="","",SUMPRODUCT((TRIM(tblDados[Mandante])=$A45)*tblDados[Primeira_Ocorrencia]*tblDados[GS_M]))</f>
        <v>3</v>
      </c>
      <c r="X45" s="10" cm="1">
        <f t="array" ref="X45">IF($A45="","",SUMPRODUCT((TRIM(tblDados[Visitante])=$A45)*tblDados[Primeira_Ocorrencia]*tblDados[GS_V]))</f>
        <v>15</v>
      </c>
      <c r="Y45" s="10">
        <f t="shared" si="12"/>
        <v>18</v>
      </c>
      <c r="Z45" s="10">
        <f t="shared" si="1"/>
        <v>1.2857142857142858</v>
      </c>
      <c r="AA45" s="10">
        <f t="shared" si="2"/>
        <v>1.1666666666666667</v>
      </c>
      <c r="AB45" s="10">
        <f t="shared" si="3"/>
        <v>0.5</v>
      </c>
      <c r="AC45" s="10">
        <f t="shared" si="4"/>
        <v>1.625</v>
      </c>
      <c r="AD45" s="10">
        <f t="shared" si="5"/>
        <v>1.875</v>
      </c>
    </row>
    <row r="46" spans="1:30" x14ac:dyDescent="0.3">
      <c r="A46" s="7" t="str">
        <v>Novorizontino</v>
      </c>
      <c r="B46" s="12" t="str" cm="1">
        <f t="array" ref="B46">IF($A46="","",_xlfn.LET(_xlpm.p,IFERROR(INDEX(tblDados[País],MATCH($A46,TRIM(tblDados[Mandante]),0)),INDEX(tblDados[País],MATCH($A46,TRIM(tblDados[Visitante]),0))),_xlpm.l,IFERROR(INDEX(tblDados[Liga],MATCH($A46,TRIM(tblDados[Mandante]),0)),INDEX(tblDados[Liga],MATCH($A46,TRIM(tblDados[Visitante]),0))),_xlpm.p&amp;" - "&amp;_xlpm.l))</f>
        <v>BRA - Série B</v>
      </c>
      <c r="C46" s="10">
        <f t="shared" si="6"/>
        <v>2.5</v>
      </c>
      <c r="D46" s="10">
        <f t="shared" si="7"/>
        <v>2.875</v>
      </c>
      <c r="E46" s="9" cm="1">
        <f t="array" ref="E46">IF($A46="","",SUMPRODUCT((TRIM(tblDados[Mandante])=$A46)*tblDados[Primeira_Ocorrencia]))</f>
        <v>6</v>
      </c>
      <c r="F46" s="9" cm="1">
        <f t="array" ref="F46">IF($A46="","",SUMPRODUCT((TRIM(tblDados[Visitante])=$A46)*tblDados[Primeira_Ocorrencia]))</f>
        <v>8</v>
      </c>
      <c r="G46" s="9" cm="1">
        <f t="array" ref="G46">IF($A46="","",SUMPRODUCT((TRIM(tblDados[Mandante])=$A46)*tblDados[Primeira_Ocorrencia])+SUMPRODUCT((TRIM(tblDados[Visitante])=$A46)*tblDados[Primeira_Ocorrencia]))</f>
        <v>14</v>
      </c>
      <c r="H46" s="10">
        <f t="shared" si="8"/>
        <v>1.7857142857142858</v>
      </c>
      <c r="I46" s="10" cm="1">
        <f t="array" ref="I46">IF($A46="","",_xlfn.LET(_xlpm.p,IFERROR(INDEX(tblDados[País],MATCH($A46,TRIM(tblDados[Mandante]),0)),INDEX(tblDados[País],MATCH($A46,TRIM(tblDados[Visitante]),0))),_xlpm.l,IFERROR(INDEX(tblDados[Liga],MATCH($A46,TRIM(tblDados[Mandante]),0)),INDEX(tblDados[Liga],MATCH($A46,TRIM(tblDados[Visitante]),0))),IFERROR(SUMIFS(Ligas!$D$2:$D$39,Ligas!$H$2:$H$39,_xlpm.p,Ligas!$I$2:$I$39,_xlpm.l),0)))</f>
        <v>2.31</v>
      </c>
      <c r="J46" s="11" cm="1">
        <f t="array" ref="J46">IF($A46="","",IFERROR((SUMPRODUCT((TRIM(tblDados[Mandante])=$A46)*tblDados[Primeira_Ocorrencia]*(tblDados[GM_M]=0))+SUMPRODUCT((TRIM(tblDados[Visitante])=$A46)*tblDados[Primeira_Ocorrencia]*(tblDados[GM_V]=0)))/G46,0))</f>
        <v>0.21428571428571427</v>
      </c>
      <c r="K46" s="11" cm="1">
        <f t="array" ref="K46">IF($A46="","",IFERROR((SUMPRODUCT((TRIM(tblDados[Mandante])=$A46)*tblDados[Primeira_Ocorrencia]*((tblDados[GM_M]+tblDados[GS_M])&gt;0.5))+SUMPRODUCT((TRIM(tblDados[Visitante])=$A46)*tblDados[Primeira_Ocorrencia]*((tblDados[GM_V]+tblDados[GS_V])&gt;0.5)))/G46,0))</f>
        <v>0.9285714285714286</v>
      </c>
      <c r="L46" s="11" cm="1">
        <f t="array" ref="L46">IF($A46="","",IFERROR((SUMPRODUCT((TRIM(tblDados[Mandante])=$A46)*tblDados[Primeira_Ocorrencia]*((tblDados[GM_M]+tblDados[GS_M])&gt;1.5))+SUMPRODUCT((TRIM(tblDados[Visitante])=$A46)*tblDados[Primeira_Ocorrencia]*((tblDados[GM_V]+tblDados[GS_V])&gt;1.5)))/G46,0))</f>
        <v>0.7142857142857143</v>
      </c>
      <c r="M46" s="11" cm="1">
        <f t="array" ref="M46">IF($A46="","",IFERROR((SUMPRODUCT((TRIM(tblDados[Mandante])=$A46)*tblDados[Primeira_Ocorrencia]*((tblDados[GM_M]+tblDados[GS_M])&gt;2.5))+SUMPRODUCT((TRIM(tblDados[Visitante])=$A46)*tblDados[Primeira_Ocorrencia]*((tblDados[GM_V]+tblDados[GS_V])&gt;2.5)))/G46,0))</f>
        <v>0.5714285714285714</v>
      </c>
      <c r="N46" s="11" cm="1">
        <f t="array" ref="N46">IF($A46="","",IFERROR((SUMPRODUCT((TRIM(tblDados[Mandante])=$A46)*tblDados[Primeira_Ocorrencia]*((tblDados[GM_M]+tblDados[GS_M])&gt;3.5))+SUMPRODUCT((TRIM(tblDados[Visitante])=$A46)*tblDados[Primeira_Ocorrencia]*((tblDados[GM_V]+tblDados[GS_V])&gt;3.5)))/G46,0))</f>
        <v>0.2857142857142857</v>
      </c>
      <c r="O46" s="11" cm="1">
        <f t="array" ref="O46">IF($A46="","",IFERROR((SUMPRODUCT((TRIM(tblDados[Mandante])=$A46)*tblDados[Primeira_Ocorrencia]*(tblDados[GM_M]&gt;0)*(tblDados[GS_M]&gt;0))+SUMPRODUCT((TRIM(tblDados[Visitante])=$A46)*tblDados[Primeira_Ocorrencia]*(tblDados[GM_V]&gt;0)*(tblDados[GS_V]&gt;0)))/G46,0))</f>
        <v>0.5</v>
      </c>
      <c r="P46" s="10" cm="1">
        <f t="array" ref="P46">IF($A46="","",IFERROR((SUMPRODUCT((TRIM(tblDados[Mandante])=$A46)*tblDados[Primeira_Ocorrencia]*tblDados[GM_M]^2)+SUMPRODUCT((TRIM(tblDados[Visitante])=$A46)*tblDados[Primeira_Ocorrencia]*tblDados[GM_V]^2))/G46-H46^2,0))</f>
        <v>1.739795918367347</v>
      </c>
      <c r="Q46" s="10">
        <f t="shared" si="9"/>
        <v>1.3190132366156706</v>
      </c>
      <c r="R46" s="8" t="str">
        <f t="shared" si="10"/>
        <v>Poisson</v>
      </c>
      <c r="S46" s="10" cm="1">
        <f t="array" ref="S46">IF($A46="","",SUMPRODUCT((TRIM(tblDados[Mandante])=$A46)*tblDados[Primeira_Ocorrencia]*tblDados[GM_M]))</f>
        <v>10</v>
      </c>
      <c r="T46" s="10" cm="1">
        <f t="array" ref="T46">IF($A46="","",SUMPRODUCT((TRIM(tblDados[Visitante])=$A46)*tblDados[Primeira_Ocorrencia]*tblDados[GM_V]))</f>
        <v>15</v>
      </c>
      <c r="U46" s="10">
        <f t="shared" si="11"/>
        <v>25</v>
      </c>
      <c r="V46" s="10">
        <f t="shared" si="0"/>
        <v>1.7857142857142858</v>
      </c>
      <c r="W46" s="10" cm="1">
        <f t="array" ref="W46">IF($A46="","",SUMPRODUCT((TRIM(tblDados[Mandante])=$A46)*tblDados[Primeira_Ocorrencia]*tblDados[GS_M]))</f>
        <v>5</v>
      </c>
      <c r="X46" s="10" cm="1">
        <f t="array" ref="X46">IF($A46="","",SUMPRODUCT((TRIM(tblDados[Visitante])=$A46)*tblDados[Primeira_Ocorrencia]*tblDados[GS_V]))</f>
        <v>8</v>
      </c>
      <c r="Y46" s="10">
        <f t="shared" si="12"/>
        <v>13</v>
      </c>
      <c r="Z46" s="10">
        <f t="shared" si="1"/>
        <v>0.9285714285714286</v>
      </c>
      <c r="AA46" s="10">
        <f t="shared" si="2"/>
        <v>1.6666666666666667</v>
      </c>
      <c r="AB46" s="10">
        <f t="shared" si="3"/>
        <v>0.83333333333333337</v>
      </c>
      <c r="AC46" s="10">
        <f t="shared" si="4"/>
        <v>1.875</v>
      </c>
      <c r="AD46" s="10">
        <f t="shared" si="5"/>
        <v>1</v>
      </c>
    </row>
    <row r="47" spans="1:30" x14ac:dyDescent="0.3">
      <c r="A47" s="7" t="str">
        <v>PK-35</v>
      </c>
      <c r="B47" s="12" t="str" cm="1">
        <f t="array" ref="B47">IF($A47="","",_xlfn.LET(_xlpm.p,IFERROR(INDEX(tblDados[País],MATCH($A47,TRIM(tblDados[Mandante]),0)),INDEX(tblDados[País],MATCH($A47,TRIM(tblDados[Visitante]),0))),_xlpm.l,IFERROR(INDEX(tblDados[Liga],MATCH($A47,TRIM(tblDados[Mandante]),0)),INDEX(tblDados[Liga],MATCH($A47,TRIM(tblDados[Visitante]),0))),_xlpm.p&amp;" - "&amp;_xlpm.l))</f>
        <v>FIN - Ykkösliiga</v>
      </c>
      <c r="C47" s="10">
        <f t="shared" si="6"/>
        <v>3.333333333333333</v>
      </c>
      <c r="D47" s="10">
        <f t="shared" si="7"/>
        <v>1.875</v>
      </c>
      <c r="E47" s="9" cm="1">
        <f t="array" ref="E47">IF($A47="","",SUMPRODUCT((TRIM(tblDados[Mandante])=$A47)*tblDados[Primeira_Ocorrencia]))</f>
        <v>6</v>
      </c>
      <c r="F47" s="9" cm="1">
        <f t="array" ref="F47">IF($A47="","",SUMPRODUCT((TRIM(tblDados[Visitante])=$A47)*tblDados[Primeira_Ocorrencia]))</f>
        <v>8</v>
      </c>
      <c r="G47" s="9" cm="1">
        <f t="array" ref="G47">IF($A47="","",SUMPRODUCT((TRIM(tblDados[Mandante])=$A47)*tblDados[Primeira_Ocorrencia])+SUMPRODUCT((TRIM(tblDados[Visitante])=$A47)*tblDados[Primeira_Ocorrencia]))</f>
        <v>14</v>
      </c>
      <c r="H47" s="10">
        <f t="shared" si="8"/>
        <v>1.7857142857142858</v>
      </c>
      <c r="I47" s="10" cm="1">
        <f t="array" ref="I47">IF($A47="","",_xlfn.LET(_xlpm.p,IFERROR(INDEX(tblDados[País],MATCH($A47,TRIM(tblDados[Mandante]),0)),INDEX(tblDados[País],MATCH($A47,TRIM(tblDados[Visitante]),0))),_xlpm.l,IFERROR(INDEX(tblDados[Liga],MATCH($A47,TRIM(tblDados[Mandante]),0)),INDEX(tblDados[Liga],MATCH($A47,TRIM(tblDados[Visitante]),0))),IFERROR(SUMIFS(Ligas!$D$2:$D$39,Ligas!$H$2:$H$39,_xlpm.p,Ligas!$I$2:$I$39,_xlpm.l),0)))</f>
        <v>2.5099999999999998</v>
      </c>
      <c r="J47" s="11" cm="1">
        <f t="array" ref="J47">IF($A47="","",IFERROR((SUMPRODUCT((TRIM(tblDados[Mandante])=$A47)*tblDados[Primeira_Ocorrencia]*(tblDados[GM_M]=0))+SUMPRODUCT((TRIM(tblDados[Visitante])=$A47)*tblDados[Primeira_Ocorrencia]*(tblDados[GM_V]=0)))/G47,0))</f>
        <v>0.14285714285714285</v>
      </c>
      <c r="K47" s="11" cm="1">
        <f t="array" ref="K47">IF($A47="","",IFERROR((SUMPRODUCT((TRIM(tblDados[Mandante])=$A47)*tblDados[Primeira_Ocorrencia]*((tblDados[GM_M]+tblDados[GS_M])&gt;0.5))+SUMPRODUCT((TRIM(tblDados[Visitante])=$A47)*tblDados[Primeira_Ocorrencia]*((tblDados[GM_V]+tblDados[GS_V])&gt;0.5)))/G47,0))</f>
        <v>0.9285714285714286</v>
      </c>
      <c r="L47" s="11" cm="1">
        <f t="array" ref="L47">IF($A47="","",IFERROR((SUMPRODUCT((TRIM(tblDados[Mandante])=$A47)*tblDados[Primeira_Ocorrencia]*((tblDados[GM_M]+tblDados[GS_M])&gt;1.5))+SUMPRODUCT((TRIM(tblDados[Visitante])=$A47)*tblDados[Primeira_Ocorrencia]*((tblDados[GM_V]+tblDados[GS_V])&gt;1.5)))/G47,0))</f>
        <v>0.6428571428571429</v>
      </c>
      <c r="M47" s="11" cm="1">
        <f t="array" ref="M47">IF($A47="","",IFERROR((SUMPRODUCT((TRIM(tblDados[Mandante])=$A47)*tblDados[Primeira_Ocorrencia]*((tblDados[GM_M]+tblDados[GS_M])&gt;2.5))+SUMPRODUCT((TRIM(tblDados[Visitante])=$A47)*tblDados[Primeira_Ocorrencia]*((tblDados[GM_V]+tblDados[GS_V])&gt;2.5)))/G47,0))</f>
        <v>0.5</v>
      </c>
      <c r="N47" s="11" cm="1">
        <f t="array" ref="N47">IF($A47="","",IFERROR((SUMPRODUCT((TRIM(tblDados[Mandante])=$A47)*tblDados[Primeira_Ocorrencia]*((tblDados[GM_M]+tblDados[GS_M])&gt;3.5))+SUMPRODUCT((TRIM(tblDados[Visitante])=$A47)*tblDados[Primeira_Ocorrencia]*((tblDados[GM_V]+tblDados[GS_V])&gt;3.5)))/G47,0))</f>
        <v>0.2857142857142857</v>
      </c>
      <c r="O47" s="11" cm="1">
        <f t="array" ref="O47">IF($A47="","",IFERROR((SUMPRODUCT((TRIM(tblDados[Mandante])=$A47)*tblDados[Primeira_Ocorrencia]*(tblDados[GM_M]&gt;0)*(tblDados[GS_M]&gt;0))+SUMPRODUCT((TRIM(tblDados[Visitante])=$A47)*tblDados[Primeira_Ocorrencia]*(tblDados[GM_V]&gt;0)*(tblDados[GS_V]&gt;0)))/G47,0))</f>
        <v>0.42857142857142855</v>
      </c>
      <c r="P47" s="10" cm="1">
        <f t="array" ref="P47">IF($A47="","",IFERROR((SUMPRODUCT((TRIM(tblDados[Mandante])=$A47)*tblDados[Primeira_Ocorrencia]*tblDados[GM_M]^2)+SUMPRODUCT((TRIM(tblDados[Visitante])=$A47)*tblDados[Primeira_Ocorrencia]*tblDados[GM_V]^2))/G47-H47^2,0))</f>
        <v>1.8826530612244894</v>
      </c>
      <c r="Q47" s="10">
        <f t="shared" si="9"/>
        <v>1.3720980508784675</v>
      </c>
      <c r="R47" s="8" t="str">
        <f t="shared" si="10"/>
        <v>Poisson</v>
      </c>
      <c r="S47" s="10" cm="1">
        <f t="array" ref="S47">IF($A47="","",SUMPRODUCT((TRIM(tblDados[Mandante])=$A47)*tblDados[Primeira_Ocorrencia]*tblDados[GM_M]))</f>
        <v>11</v>
      </c>
      <c r="T47" s="10" cm="1">
        <f t="array" ref="T47">IF($A47="","",SUMPRODUCT((TRIM(tblDados[Visitante])=$A47)*tblDados[Primeira_Ocorrencia]*tblDados[GM_V]))</f>
        <v>14</v>
      </c>
      <c r="U47" s="10">
        <f t="shared" si="11"/>
        <v>25</v>
      </c>
      <c r="V47" s="10">
        <f t="shared" si="0"/>
        <v>1.7857142857142858</v>
      </c>
      <c r="W47" s="10" cm="1">
        <f t="array" ref="W47">IF($A47="","",SUMPRODUCT((TRIM(tblDados[Mandante])=$A47)*tblDados[Primeira_Ocorrencia]*tblDados[GS_M]))</f>
        <v>9</v>
      </c>
      <c r="X47" s="10" cm="1">
        <f t="array" ref="X47">IF($A47="","",SUMPRODUCT((TRIM(tblDados[Visitante])=$A47)*tblDados[Primeira_Ocorrencia]*tblDados[GS_V]))</f>
        <v>1</v>
      </c>
      <c r="Y47" s="10">
        <f t="shared" si="12"/>
        <v>10</v>
      </c>
      <c r="Z47" s="10">
        <f t="shared" si="1"/>
        <v>0.7142857142857143</v>
      </c>
      <c r="AA47" s="10">
        <f t="shared" si="2"/>
        <v>1.8333333333333333</v>
      </c>
      <c r="AB47" s="10">
        <f t="shared" si="3"/>
        <v>1.5</v>
      </c>
      <c r="AC47" s="10">
        <f t="shared" si="4"/>
        <v>1.75</v>
      </c>
      <c r="AD47" s="10">
        <f t="shared" si="5"/>
        <v>0.125</v>
      </c>
    </row>
    <row r="48" spans="1:30" x14ac:dyDescent="0.3">
      <c r="A48" s="7" t="str">
        <v>Ponte Preta</v>
      </c>
      <c r="B48" s="12" t="str" cm="1">
        <f t="array" ref="B48">IF($A48="","",_xlfn.LET(_xlpm.p,IFERROR(INDEX(tblDados[País],MATCH($A48,TRIM(tblDados[Mandante]),0)),INDEX(tblDados[País],MATCH($A48,TRIM(tblDados[Visitante]),0))),_xlpm.l,IFERROR(INDEX(tblDados[Liga],MATCH($A48,TRIM(tblDados[Mandante]),0)),INDEX(tblDados[Liga],MATCH($A48,TRIM(tblDados[Visitante]),0))),_xlpm.p&amp;" - "&amp;_xlpm.l))</f>
        <v>BRA - Série B</v>
      </c>
      <c r="C48" s="10">
        <f t="shared" si="6"/>
        <v>2.75</v>
      </c>
      <c r="D48" s="10">
        <f t="shared" si="7"/>
        <v>3.333333333333333</v>
      </c>
      <c r="E48" s="9" cm="1">
        <f t="array" ref="E48">IF($A48="","",SUMPRODUCT((TRIM(tblDados[Mandante])=$A48)*tblDados[Primeira_Ocorrencia]))</f>
        <v>8</v>
      </c>
      <c r="F48" s="9" cm="1">
        <f t="array" ref="F48">IF($A48="","",SUMPRODUCT((TRIM(tblDados[Visitante])=$A48)*tblDados[Primeira_Ocorrencia]))</f>
        <v>6</v>
      </c>
      <c r="G48" s="9" cm="1">
        <f t="array" ref="G48">IF($A48="","",SUMPRODUCT((TRIM(tblDados[Mandante])=$A48)*tblDados[Primeira_Ocorrencia])+SUMPRODUCT((TRIM(tblDados[Visitante])=$A48)*tblDados[Primeira_Ocorrencia]))</f>
        <v>14</v>
      </c>
      <c r="H48" s="10">
        <f t="shared" si="8"/>
        <v>0.7142857142857143</v>
      </c>
      <c r="I48" s="10" cm="1">
        <f t="array" ref="I48">IF($A48="","",_xlfn.LET(_xlpm.p,IFERROR(INDEX(tblDados[País],MATCH($A48,TRIM(tblDados[Mandante]),0)),INDEX(tblDados[País],MATCH($A48,TRIM(tblDados[Visitante]),0))),_xlpm.l,IFERROR(INDEX(tblDados[Liga],MATCH($A48,TRIM(tblDados[Mandante]),0)),INDEX(tblDados[Liga],MATCH($A48,TRIM(tblDados[Visitante]),0))),IFERROR(SUMIFS(Ligas!$D$2:$D$39,Ligas!$H$2:$H$39,_xlpm.p,Ligas!$I$2:$I$39,_xlpm.l),0)))</f>
        <v>2.31</v>
      </c>
      <c r="J48" s="11" cm="1">
        <f t="array" ref="J48">IF($A48="","",IFERROR((SUMPRODUCT((TRIM(tblDados[Mandante])=$A48)*tblDados[Primeira_Ocorrencia]*(tblDados[GM_M]=0))+SUMPRODUCT((TRIM(tblDados[Visitante])=$A48)*tblDados[Primeira_Ocorrencia]*(tblDados[GM_V]=0)))/G48,0))</f>
        <v>0.42857142857142855</v>
      </c>
      <c r="K48" s="11" cm="1">
        <f t="array" ref="K48">IF($A48="","",IFERROR((SUMPRODUCT((TRIM(tblDados[Mandante])=$A48)*tblDados[Primeira_Ocorrencia]*((tblDados[GM_M]+tblDados[GS_M])&gt;0.5))+SUMPRODUCT((TRIM(tblDados[Visitante])=$A48)*tblDados[Primeira_Ocorrencia]*((tblDados[GM_V]+tblDados[GS_V])&gt;0.5)))/G48,0))</f>
        <v>0.9285714285714286</v>
      </c>
      <c r="L48" s="11" cm="1">
        <f t="array" ref="L48">IF($A48="","",IFERROR((SUMPRODUCT((TRIM(tblDados[Mandante])=$A48)*tblDados[Primeira_Ocorrencia]*((tblDados[GM_M]+tblDados[GS_M])&gt;1.5))+SUMPRODUCT((TRIM(tblDados[Visitante])=$A48)*tblDados[Primeira_Ocorrencia]*((tblDados[GM_V]+tblDados[GS_V])&gt;1.5)))/G48,0))</f>
        <v>0.9285714285714286</v>
      </c>
      <c r="M48" s="11" cm="1">
        <f t="array" ref="M48">IF($A48="","",IFERROR((SUMPRODUCT((TRIM(tblDados[Mandante])=$A48)*tblDados[Primeira_Ocorrencia]*((tblDados[GM_M]+tblDados[GS_M])&gt;2.5))+SUMPRODUCT((TRIM(tblDados[Visitante])=$A48)*tblDados[Primeira_Ocorrencia]*((tblDados[GM_V]+tblDados[GS_V])&gt;2.5)))/G48,0))</f>
        <v>0.5714285714285714</v>
      </c>
      <c r="N48" s="11" cm="1">
        <f t="array" ref="N48">IF($A48="","",IFERROR((SUMPRODUCT((TRIM(tblDados[Mandante])=$A48)*tblDados[Primeira_Ocorrencia]*((tblDados[GM_M]+tblDados[GS_M])&gt;3.5))+SUMPRODUCT((TRIM(tblDados[Visitante])=$A48)*tblDados[Primeira_Ocorrencia]*((tblDados[GM_V]+tblDados[GS_V])&gt;3.5)))/G48,0))</f>
        <v>0.2857142857142857</v>
      </c>
      <c r="O48" s="11" cm="1">
        <f t="array" ref="O48">IF($A48="","",IFERROR((SUMPRODUCT((TRIM(tblDados[Mandante])=$A48)*tblDados[Primeira_Ocorrencia]*(tblDados[GM_M]&gt;0)*(tblDados[GS_M]&gt;0))+SUMPRODUCT((TRIM(tblDados[Visitante])=$A48)*tblDados[Primeira_Ocorrencia]*(tblDados[GM_V]&gt;0)*(tblDados[GS_V]&gt;0)))/G48,0))</f>
        <v>0.5714285714285714</v>
      </c>
      <c r="P48" s="10" cm="1">
        <f t="array" ref="P48">IF($A48="","",IFERROR((SUMPRODUCT((TRIM(tblDados[Mandante])=$A48)*tblDados[Primeira_Ocorrencia]*tblDados[GM_M]^2)+SUMPRODUCT((TRIM(tblDados[Visitante])=$A48)*tblDados[Primeira_Ocorrencia]*tblDados[GM_V]^2))/G48-H48^2,0))</f>
        <v>0.48979591836734693</v>
      </c>
      <c r="Q48" s="10">
        <f t="shared" si="9"/>
        <v>0.6998542122237652</v>
      </c>
      <c r="R48" s="8" t="str">
        <f t="shared" si="10"/>
        <v>Poisson</v>
      </c>
      <c r="S48" s="10" cm="1">
        <f t="array" ref="S48">IF($A48="","",SUMPRODUCT((TRIM(tblDados[Mandante])=$A48)*tblDados[Primeira_Ocorrencia]*tblDados[GM_M]))</f>
        <v>6</v>
      </c>
      <c r="T48" s="10" cm="1">
        <f t="array" ref="T48">IF($A48="","",SUMPRODUCT((TRIM(tblDados[Visitante])=$A48)*tblDados[Primeira_Ocorrencia]*tblDados[GM_V]))</f>
        <v>4</v>
      </c>
      <c r="U48" s="10">
        <f t="shared" si="11"/>
        <v>10</v>
      </c>
      <c r="V48" s="10">
        <f t="shared" si="0"/>
        <v>0.7142857142857143</v>
      </c>
      <c r="W48" s="10" cm="1">
        <f t="array" ref="W48">IF($A48="","",SUMPRODUCT((TRIM(tblDados[Mandante])=$A48)*tblDados[Primeira_Ocorrencia]*tblDados[GS_M]))</f>
        <v>16</v>
      </c>
      <c r="X48" s="10" cm="1">
        <f t="array" ref="X48">IF($A48="","",SUMPRODUCT((TRIM(tblDados[Visitante])=$A48)*tblDados[Primeira_Ocorrencia]*tblDados[GS_V]))</f>
        <v>16</v>
      </c>
      <c r="Y48" s="10">
        <f t="shared" si="12"/>
        <v>32</v>
      </c>
      <c r="Z48" s="10">
        <f t="shared" si="1"/>
        <v>2.2857142857142856</v>
      </c>
      <c r="AA48" s="10">
        <f t="shared" si="2"/>
        <v>0.75</v>
      </c>
      <c r="AB48" s="10">
        <f t="shared" si="3"/>
        <v>2</v>
      </c>
      <c r="AC48" s="10">
        <f t="shared" si="4"/>
        <v>0.66666666666666663</v>
      </c>
      <c r="AD48" s="10">
        <f t="shared" si="5"/>
        <v>2.6666666666666665</v>
      </c>
    </row>
    <row r="49" spans="1:30" x14ac:dyDescent="0.3">
      <c r="A49" s="7" t="str">
        <v>PPJ</v>
      </c>
      <c r="B49" s="12" t="str" cm="1">
        <f t="array" ref="B49">IF($A49="","",_xlfn.LET(_xlpm.p,IFERROR(INDEX(tblDados[País],MATCH($A49,TRIM(tblDados[Mandante]),0)),INDEX(tblDados[País],MATCH($A49,TRIM(tblDados[Visitante]),0))),_xlpm.l,IFERROR(INDEX(tblDados[Liga],MATCH($A49,TRIM(tblDados[Mandante]),0)),INDEX(tblDados[Liga],MATCH($A49,TRIM(tblDados[Visitante]),0))),_xlpm.p&amp;" - "&amp;_xlpm.l))</f>
        <v>FIN - Kakkonen A</v>
      </c>
      <c r="C49" s="10">
        <f t="shared" si="6"/>
        <v>2.7142857142857144</v>
      </c>
      <c r="D49" s="10">
        <f t="shared" si="7"/>
        <v>3.8571428571428572</v>
      </c>
      <c r="E49" s="9" cm="1">
        <f t="array" ref="E49">IF($A49="","",SUMPRODUCT((TRIM(tblDados[Mandante])=$A49)*tblDados[Primeira_Ocorrencia]))</f>
        <v>7</v>
      </c>
      <c r="F49" s="9" cm="1">
        <f t="array" ref="F49">IF($A49="","",SUMPRODUCT((TRIM(tblDados[Visitante])=$A49)*tblDados[Primeira_Ocorrencia]))</f>
        <v>7</v>
      </c>
      <c r="G49" s="9" cm="1">
        <f t="array" ref="G49">IF($A49="","",SUMPRODUCT((TRIM(tblDados[Mandante])=$A49)*tblDados[Primeira_Ocorrencia])+SUMPRODUCT((TRIM(tblDados[Visitante])=$A49)*tblDados[Primeira_Ocorrencia]))</f>
        <v>14</v>
      </c>
      <c r="H49" s="10">
        <f t="shared" si="8"/>
        <v>1.6428571428571428</v>
      </c>
      <c r="I49" s="10" cm="1">
        <f t="array" ref="I49">IF($A49="","",_xlfn.LET(_xlpm.p,IFERROR(INDEX(tblDados[País],MATCH($A49,TRIM(tblDados[Mandante]),0)),INDEX(tblDados[País],MATCH($A49,TRIM(tblDados[Visitante]),0))),_xlpm.l,IFERROR(INDEX(tblDados[Liga],MATCH($A49,TRIM(tblDados[Mandante]),0)),INDEX(tblDados[Liga],MATCH($A49,TRIM(tblDados[Visitante]),0))),IFERROR(SUMIFS(Ligas!$D$2:$D$39,Ligas!$H$2:$H$39,_xlpm.p,Ligas!$I$2:$I$39,_xlpm.l),0)))</f>
        <v>3.79</v>
      </c>
      <c r="J49" s="11" cm="1">
        <f t="array" ref="J49">IF($A49="","",IFERROR((SUMPRODUCT((TRIM(tblDados[Mandante])=$A49)*tblDados[Primeira_Ocorrencia]*(tblDados[GM_M]=0))+SUMPRODUCT((TRIM(tblDados[Visitante])=$A49)*tblDados[Primeira_Ocorrencia]*(tblDados[GM_V]=0)))/G49,0))</f>
        <v>0.14285714285714285</v>
      </c>
      <c r="K49" s="11" cm="1">
        <f t="array" ref="K49">IF($A49="","",IFERROR((SUMPRODUCT((TRIM(tblDados[Mandante])=$A49)*tblDados[Primeira_Ocorrencia]*((tblDados[GM_M]+tblDados[GS_M])&gt;0.5))+SUMPRODUCT((TRIM(tblDados[Visitante])=$A49)*tblDados[Primeira_Ocorrencia]*((tblDados[GM_V]+tblDados[GS_V])&gt;0.5)))/G49,0))</f>
        <v>0.9285714285714286</v>
      </c>
      <c r="L49" s="11" cm="1">
        <f t="array" ref="L49">IF($A49="","",IFERROR((SUMPRODUCT((TRIM(tblDados[Mandante])=$A49)*tblDados[Primeira_Ocorrencia]*((tblDados[GM_M]+tblDados[GS_M])&gt;1.5))+SUMPRODUCT((TRIM(tblDados[Visitante])=$A49)*tblDados[Primeira_Ocorrencia]*((tblDados[GM_V]+tblDados[GS_V])&gt;1.5)))/G49,0))</f>
        <v>0.8571428571428571</v>
      </c>
      <c r="M49" s="11" cm="1">
        <f t="array" ref="M49">IF($A49="","",IFERROR((SUMPRODUCT((TRIM(tblDados[Mandante])=$A49)*tblDados[Primeira_Ocorrencia]*((tblDados[GM_M]+tblDados[GS_M])&gt;2.5))+SUMPRODUCT((TRIM(tblDados[Visitante])=$A49)*tblDados[Primeira_Ocorrencia]*((tblDados[GM_V]+tblDados[GS_V])&gt;2.5)))/G49,0))</f>
        <v>0.7857142857142857</v>
      </c>
      <c r="N49" s="11" cm="1">
        <f t="array" ref="N49">IF($A49="","",IFERROR((SUMPRODUCT((TRIM(tblDados[Mandante])=$A49)*tblDados[Primeira_Ocorrencia]*((tblDados[GM_M]+tblDados[GS_M])&gt;3.5))+SUMPRODUCT((TRIM(tblDados[Visitante])=$A49)*tblDados[Primeira_Ocorrencia]*((tblDados[GM_V]+tblDados[GS_V])&gt;3.5)))/G49,0))</f>
        <v>0.5</v>
      </c>
      <c r="O49" s="11" cm="1">
        <f t="array" ref="O49">IF($A49="","",IFERROR((SUMPRODUCT((TRIM(tblDados[Mandante])=$A49)*tblDados[Primeira_Ocorrencia]*(tblDados[GM_M]&gt;0)*(tblDados[GS_M]&gt;0))+SUMPRODUCT((TRIM(tblDados[Visitante])=$A49)*tblDados[Primeira_Ocorrencia]*(tblDados[GM_V]&gt;0)*(tblDados[GS_V]&gt;0)))/G49,0))</f>
        <v>0.7857142857142857</v>
      </c>
      <c r="P49" s="10" cm="1">
        <f t="array" ref="P49">IF($A49="","",IFERROR((SUMPRODUCT((TRIM(tblDados[Mandante])=$A49)*tblDados[Primeira_Ocorrencia]*tblDados[GM_M]^2)+SUMPRODUCT((TRIM(tblDados[Visitante])=$A49)*tblDados[Primeira_Ocorrencia]*tblDados[GM_V]^2))/G49-H49^2,0))</f>
        <v>0.94387755102040849</v>
      </c>
      <c r="Q49" s="10">
        <f t="shared" si="9"/>
        <v>0.97153360776681752</v>
      </c>
      <c r="R49" s="8" t="str">
        <f t="shared" si="10"/>
        <v>Poisson</v>
      </c>
      <c r="S49" s="10" cm="1">
        <f t="array" ref="S49">IF($A49="","",SUMPRODUCT((TRIM(tblDados[Mandante])=$A49)*tblDados[Primeira_Ocorrencia]*tblDados[GM_M]))</f>
        <v>10</v>
      </c>
      <c r="T49" s="10" cm="1">
        <f t="array" ref="T49">IF($A49="","",SUMPRODUCT((TRIM(tblDados[Visitante])=$A49)*tblDados[Primeira_Ocorrencia]*tblDados[GM_V]))</f>
        <v>13</v>
      </c>
      <c r="U49" s="10">
        <f t="shared" si="11"/>
        <v>23</v>
      </c>
      <c r="V49" s="10">
        <f t="shared" si="0"/>
        <v>1.6428571428571428</v>
      </c>
      <c r="W49" s="10" cm="1">
        <f t="array" ref="W49">IF($A49="","",SUMPRODUCT((TRIM(tblDados[Mandante])=$A49)*tblDados[Primeira_Ocorrencia]*tblDados[GS_M]))</f>
        <v>9</v>
      </c>
      <c r="X49" s="10" cm="1">
        <f t="array" ref="X49">IF($A49="","",SUMPRODUCT((TRIM(tblDados[Visitante])=$A49)*tblDados[Primeira_Ocorrencia]*tblDados[GS_V]))</f>
        <v>14</v>
      </c>
      <c r="Y49" s="10">
        <f t="shared" si="12"/>
        <v>23</v>
      </c>
      <c r="Z49" s="10">
        <f t="shared" si="1"/>
        <v>1.6428571428571428</v>
      </c>
      <c r="AA49" s="10">
        <f t="shared" si="2"/>
        <v>1.4285714285714286</v>
      </c>
      <c r="AB49" s="10">
        <f t="shared" si="3"/>
        <v>1.2857142857142858</v>
      </c>
      <c r="AC49" s="10">
        <f t="shared" si="4"/>
        <v>1.8571428571428572</v>
      </c>
      <c r="AD49" s="10">
        <f t="shared" si="5"/>
        <v>2</v>
      </c>
    </row>
    <row r="50" spans="1:30" x14ac:dyDescent="0.3">
      <c r="A50" s="7" t="str">
        <v>Queensland Lions</v>
      </c>
      <c r="B50" s="12" t="str" cm="1">
        <f t="array" ref="B50">IF($A50="","",_xlfn.LET(_xlpm.p,IFERROR(INDEX(tblDados[País],MATCH($A50,TRIM(tblDados[Mandante]),0)),INDEX(tblDados[País],MATCH($A50,TRIM(tblDados[Visitante]),0))),_xlpm.l,IFERROR(INDEX(tblDados[Liga],MATCH($A50,TRIM(tblDados[Mandante]),0)),INDEX(tblDados[Liga],MATCH($A50,TRIM(tblDados[Visitante]),0))),_xlpm.p&amp;" - "&amp;_xlpm.l))</f>
        <v>AUS - NPL Queensland</v>
      </c>
      <c r="C50" s="10">
        <f t="shared" si="6"/>
        <v>3.1111111111111107</v>
      </c>
      <c r="D50" s="10">
        <f t="shared" si="7"/>
        <v>4</v>
      </c>
      <c r="E50" s="9" cm="1">
        <f t="array" ref="E50">IF($A50="","",SUMPRODUCT((TRIM(tblDados[Mandante])=$A50)*tblDados[Primeira_Ocorrencia]))</f>
        <v>9</v>
      </c>
      <c r="F50" s="9" cm="1">
        <f t="array" ref="F50">IF($A50="","",SUMPRODUCT((TRIM(tblDados[Visitante])=$A50)*tblDados[Primeira_Ocorrencia]))</f>
        <v>5</v>
      </c>
      <c r="G50" s="9" cm="1">
        <f t="array" ref="G50">IF($A50="","",SUMPRODUCT((TRIM(tblDados[Mandante])=$A50)*tblDados[Primeira_Ocorrencia])+SUMPRODUCT((TRIM(tblDados[Visitante])=$A50)*tblDados[Primeira_Ocorrencia]))</f>
        <v>14</v>
      </c>
      <c r="H50" s="10">
        <f t="shared" si="8"/>
        <v>2.6428571428571428</v>
      </c>
      <c r="I50" s="10" cm="1">
        <f t="array" ref="I50">IF($A50="","",_xlfn.LET(_xlpm.p,IFERROR(INDEX(tblDados[País],MATCH($A50,TRIM(tblDados[Mandante]),0)),INDEX(tblDados[País],MATCH($A50,TRIM(tblDados[Visitante]),0))),_xlpm.l,IFERROR(INDEX(tblDados[Liga],MATCH($A50,TRIM(tblDados[Mandante]),0)),INDEX(tblDados[Liga],MATCH($A50,TRIM(tblDados[Visitante]),0))),IFERROR(SUMIFS(Ligas!$D$2:$D$39,Ligas!$H$2:$H$39,_xlpm.p,Ligas!$I$2:$I$39,_xlpm.l),0)))</f>
        <v>3.76</v>
      </c>
      <c r="J50" s="11" cm="1">
        <f t="array" ref="J50">IF($A50="","",IFERROR((SUMPRODUCT((TRIM(tblDados[Mandante])=$A50)*tblDados[Primeira_Ocorrencia]*(tblDados[GM_M]=0))+SUMPRODUCT((TRIM(tblDados[Visitante])=$A50)*tblDados[Primeira_Ocorrencia]*(tblDados[GM_V]=0)))/G50,0))</f>
        <v>0</v>
      </c>
      <c r="K50" s="11" cm="1">
        <f t="array" ref="K50">IF($A50="","",IFERROR((SUMPRODUCT((TRIM(tblDados[Mandante])=$A50)*tblDados[Primeira_Ocorrencia]*((tblDados[GM_M]+tblDados[GS_M])&gt;0.5))+SUMPRODUCT((TRIM(tblDados[Visitante])=$A50)*tblDados[Primeira_Ocorrencia]*((tblDados[GM_V]+tblDados[GS_V])&gt;0.5)))/G50,0))</f>
        <v>1</v>
      </c>
      <c r="L50" s="11" cm="1">
        <f t="array" ref="L50">IF($A50="","",IFERROR((SUMPRODUCT((TRIM(tblDados[Mandante])=$A50)*tblDados[Primeira_Ocorrencia]*((tblDados[GM_M]+tblDados[GS_M])&gt;1.5))+SUMPRODUCT((TRIM(tblDados[Visitante])=$A50)*tblDados[Primeira_Ocorrencia]*((tblDados[GM_V]+tblDados[GS_V])&gt;1.5)))/G50,0))</f>
        <v>0.7857142857142857</v>
      </c>
      <c r="M50" s="11" cm="1">
        <f t="array" ref="M50">IF($A50="","",IFERROR((SUMPRODUCT((TRIM(tblDados[Mandante])=$A50)*tblDados[Primeira_Ocorrencia]*((tblDados[GM_M]+tblDados[GS_M])&gt;2.5))+SUMPRODUCT((TRIM(tblDados[Visitante])=$A50)*tblDados[Primeira_Ocorrencia]*((tblDados[GM_V]+tblDados[GS_V])&gt;2.5)))/G50,0))</f>
        <v>0.6428571428571429</v>
      </c>
      <c r="N50" s="11" cm="1">
        <f t="array" ref="N50">IF($A50="","",IFERROR((SUMPRODUCT((TRIM(tblDados[Mandante])=$A50)*tblDados[Primeira_Ocorrencia]*((tblDados[GM_M]+tblDados[GS_M])&gt;3.5))+SUMPRODUCT((TRIM(tblDados[Visitante])=$A50)*tblDados[Primeira_Ocorrencia]*((tblDados[GM_V]+tblDados[GS_V])&gt;3.5)))/G50,0))</f>
        <v>0.42857142857142855</v>
      </c>
      <c r="O50" s="11" cm="1">
        <f t="array" ref="O50">IF($A50="","",IFERROR((SUMPRODUCT((TRIM(tblDados[Mandante])=$A50)*tblDados[Primeira_Ocorrencia]*(tblDados[GM_M]&gt;0)*(tblDados[GS_M]&gt;0))+SUMPRODUCT((TRIM(tblDados[Visitante])=$A50)*tblDados[Primeira_Ocorrencia]*(tblDados[GM_V]&gt;0)*(tblDados[GS_V]&gt;0)))/G50,0))</f>
        <v>0.42857142857142855</v>
      </c>
      <c r="P50" s="10" cm="1">
        <f t="array" ref="P50">IF($A50="","",IFERROR((SUMPRODUCT((TRIM(tblDados[Mandante])=$A50)*tblDados[Primeira_Ocorrencia]*tblDados[GM_M]^2)+SUMPRODUCT((TRIM(tblDados[Visitante])=$A50)*tblDados[Primeira_Ocorrencia]*tblDados[GM_V]^2))/G50-H50^2,0))</f>
        <v>2.3724489795918373</v>
      </c>
      <c r="Q50" s="10">
        <f t="shared" si="9"/>
        <v>1.540275618060559</v>
      </c>
      <c r="R50" s="8" t="str">
        <f t="shared" si="10"/>
        <v>Poisson</v>
      </c>
      <c r="S50" s="10" cm="1">
        <f t="array" ref="S50">IF($A50="","",SUMPRODUCT((TRIM(tblDados[Mandante])=$A50)*tblDados[Primeira_Ocorrencia]*tblDados[GM_M]))</f>
        <v>23</v>
      </c>
      <c r="T50" s="10" cm="1">
        <f t="array" ref="T50">IF($A50="","",SUMPRODUCT((TRIM(tblDados[Visitante])=$A50)*tblDados[Primeira_Ocorrencia]*tblDados[GM_V]))</f>
        <v>14</v>
      </c>
      <c r="U50" s="10">
        <f t="shared" si="11"/>
        <v>37</v>
      </c>
      <c r="V50" s="10">
        <f t="shared" si="0"/>
        <v>2.6428571428571428</v>
      </c>
      <c r="W50" s="10" cm="1">
        <f t="array" ref="W50">IF($A50="","",SUMPRODUCT((TRIM(tblDados[Mandante])=$A50)*tblDados[Primeira_Ocorrencia]*tblDados[GS_M]))</f>
        <v>5</v>
      </c>
      <c r="X50" s="10" cm="1">
        <f t="array" ref="X50">IF($A50="","",SUMPRODUCT((TRIM(tblDados[Visitante])=$A50)*tblDados[Primeira_Ocorrencia]*tblDados[GS_V]))</f>
        <v>6</v>
      </c>
      <c r="Y50" s="10">
        <f t="shared" si="12"/>
        <v>11</v>
      </c>
      <c r="Z50" s="10">
        <f t="shared" si="1"/>
        <v>0.7857142857142857</v>
      </c>
      <c r="AA50" s="10">
        <f t="shared" si="2"/>
        <v>2.5555555555555554</v>
      </c>
      <c r="AB50" s="10">
        <f t="shared" si="3"/>
        <v>0.55555555555555558</v>
      </c>
      <c r="AC50" s="10">
        <f t="shared" si="4"/>
        <v>2.8</v>
      </c>
      <c r="AD50" s="10">
        <f t="shared" si="5"/>
        <v>1.2</v>
      </c>
    </row>
    <row r="51" spans="1:30" x14ac:dyDescent="0.3">
      <c r="A51" s="7" t="str">
        <v>Real Oruro</v>
      </c>
      <c r="B51" s="12" t="str" cm="1">
        <f t="array" ref="B51">IF($A51="","",_xlfn.LET(_xlpm.p,IFERROR(INDEX(tblDados[País],MATCH($A51,TRIM(tblDados[Mandante]),0)),INDEX(tblDados[País],MATCH($A51,TRIM(tblDados[Visitante]),0))),_xlpm.l,IFERROR(INDEX(tblDados[Liga],MATCH($A51,TRIM(tblDados[Mandante]),0)),INDEX(tblDados[Liga],MATCH($A51,TRIM(tblDados[Visitante]),0))),_xlpm.p&amp;" - "&amp;_xlpm.l))</f>
        <v>BOL - Div. Profesional</v>
      </c>
      <c r="C51" s="10">
        <f t="shared" si="6"/>
        <v>4.5</v>
      </c>
      <c r="D51" s="10">
        <f t="shared" si="7"/>
        <v>4.125</v>
      </c>
      <c r="E51" s="9" cm="1">
        <f t="array" ref="E51">IF($A51="","",SUMPRODUCT((TRIM(tblDados[Mandante])=$A51)*tblDados[Primeira_Ocorrencia]))</f>
        <v>6</v>
      </c>
      <c r="F51" s="9" cm="1">
        <f t="array" ref="F51">IF($A51="","",SUMPRODUCT((TRIM(tblDados[Visitante])=$A51)*tblDados[Primeira_Ocorrencia]))</f>
        <v>8</v>
      </c>
      <c r="G51" s="9" cm="1">
        <f t="array" ref="G51">IF($A51="","",SUMPRODUCT((TRIM(tblDados[Mandante])=$A51)*tblDados[Primeira_Ocorrencia])+SUMPRODUCT((TRIM(tblDados[Visitante])=$A51)*tblDados[Primeira_Ocorrencia]))</f>
        <v>14</v>
      </c>
      <c r="H51" s="10">
        <f t="shared" si="8"/>
        <v>1.7857142857142858</v>
      </c>
      <c r="I51" s="10" cm="1">
        <f t="array" ref="I51">IF($A51="","",_xlfn.LET(_xlpm.p,IFERROR(INDEX(tblDados[País],MATCH($A51,TRIM(tblDados[Mandante]),0)),INDEX(tblDados[País],MATCH($A51,TRIM(tblDados[Visitante]),0))),_xlpm.l,IFERROR(INDEX(tblDados[Liga],MATCH($A51,TRIM(tblDados[Mandante]),0)),INDEX(tblDados[Liga],MATCH($A51,TRIM(tblDados[Visitante]),0))),IFERROR(SUMIFS(Ligas!$D$2:$D$39,Ligas!$H$2:$H$39,_xlpm.p,Ligas!$I$2:$I$39,_xlpm.l),0)))</f>
        <v>3.62</v>
      </c>
      <c r="J51" s="11" cm="1">
        <f t="array" ref="J51">IF($A51="","",IFERROR((SUMPRODUCT((TRIM(tblDados[Mandante])=$A51)*tblDados[Primeira_Ocorrencia]*(tblDados[GM_M]=0))+SUMPRODUCT((TRIM(tblDados[Visitante])=$A51)*tblDados[Primeira_Ocorrencia]*(tblDados[GM_V]=0)))/G51,0))</f>
        <v>0.14285714285714285</v>
      </c>
      <c r="K51" s="11" cm="1">
        <f t="array" ref="K51">IF($A51="","",IFERROR((SUMPRODUCT((TRIM(tblDados[Mandante])=$A51)*tblDados[Primeira_Ocorrencia]*((tblDados[GM_M]+tblDados[GS_M])&gt;0.5))+SUMPRODUCT((TRIM(tblDados[Visitante])=$A51)*tblDados[Primeira_Ocorrencia]*((tblDados[GM_V]+tblDados[GS_V])&gt;0.5)))/G51,0))</f>
        <v>1</v>
      </c>
      <c r="L51" s="11" cm="1">
        <f t="array" ref="L51">IF($A51="","",IFERROR((SUMPRODUCT((TRIM(tblDados[Mandante])=$A51)*tblDados[Primeira_Ocorrencia]*((tblDados[GM_M]+tblDados[GS_M])&gt;1.5))+SUMPRODUCT((TRIM(tblDados[Visitante])=$A51)*tblDados[Primeira_Ocorrencia]*((tblDados[GM_V]+tblDados[GS_V])&gt;1.5)))/G51,0))</f>
        <v>1</v>
      </c>
      <c r="M51" s="11" cm="1">
        <f t="array" ref="M51">IF($A51="","",IFERROR((SUMPRODUCT((TRIM(tblDados[Mandante])=$A51)*tblDados[Primeira_Ocorrencia]*((tblDados[GM_M]+tblDados[GS_M])&gt;2.5))+SUMPRODUCT((TRIM(tblDados[Visitante])=$A51)*tblDados[Primeira_Ocorrencia]*((tblDados[GM_V]+tblDados[GS_V])&gt;2.5)))/G51,0))</f>
        <v>0.9285714285714286</v>
      </c>
      <c r="N51" s="11" cm="1">
        <f t="array" ref="N51">IF($A51="","",IFERROR((SUMPRODUCT((TRIM(tblDados[Mandante])=$A51)*tblDados[Primeira_Ocorrencia]*((tblDados[GM_M]+tblDados[GS_M])&gt;3.5))+SUMPRODUCT((TRIM(tblDados[Visitante])=$A51)*tblDados[Primeira_Ocorrencia]*((tblDados[GM_V]+tblDados[GS_V])&gt;3.5)))/G51,0))</f>
        <v>0.6428571428571429</v>
      </c>
      <c r="O51" s="11" cm="1">
        <f t="array" ref="O51">IF($A51="","",IFERROR((SUMPRODUCT((TRIM(tblDados[Mandante])=$A51)*tblDados[Primeira_Ocorrencia]*(tblDados[GM_M]&gt;0)*(tblDados[GS_M]&gt;0))+SUMPRODUCT((TRIM(tblDados[Visitante])=$A51)*tblDados[Primeira_Ocorrencia]*(tblDados[GM_V]&gt;0)*(tblDados[GS_V]&gt;0)))/G51,0))</f>
        <v>0.8571428571428571</v>
      </c>
      <c r="P51" s="10" cm="1">
        <f t="array" ref="P51">IF($A51="","",IFERROR((SUMPRODUCT((TRIM(tblDados[Mandante])=$A51)*tblDados[Primeira_Ocorrencia]*tblDados[GM_M]^2)+SUMPRODUCT((TRIM(tblDados[Visitante])=$A51)*tblDados[Primeira_Ocorrencia]*tblDados[GM_V]^2))/G51-H51^2,0))</f>
        <v>1.4540816326530615</v>
      </c>
      <c r="Q51" s="10">
        <f t="shared" si="9"/>
        <v>1.2058530725810095</v>
      </c>
      <c r="R51" s="8" t="str">
        <f t="shared" si="10"/>
        <v>Poisson</v>
      </c>
      <c r="S51" s="10" cm="1">
        <f t="array" ref="S51">IF($A51="","",SUMPRODUCT((TRIM(tblDados[Mandante])=$A51)*tblDados[Primeira_Ocorrencia]*tblDados[GM_M]))</f>
        <v>11</v>
      </c>
      <c r="T51" s="10" cm="1">
        <f t="array" ref="T51">IF($A51="","",SUMPRODUCT((TRIM(tblDados[Visitante])=$A51)*tblDados[Primeira_Ocorrencia]*tblDados[GM_V]))</f>
        <v>14</v>
      </c>
      <c r="U51" s="10">
        <f t="shared" si="11"/>
        <v>25</v>
      </c>
      <c r="V51" s="10">
        <f t="shared" si="0"/>
        <v>1.7857142857142858</v>
      </c>
      <c r="W51" s="10" cm="1">
        <f t="array" ref="W51">IF($A51="","",SUMPRODUCT((TRIM(tblDados[Mandante])=$A51)*tblDados[Primeira_Ocorrencia]*tblDados[GS_M]))</f>
        <v>16</v>
      </c>
      <c r="X51" s="10" cm="1">
        <f t="array" ref="X51">IF($A51="","",SUMPRODUCT((TRIM(tblDados[Visitante])=$A51)*tblDados[Primeira_Ocorrencia]*tblDados[GS_V]))</f>
        <v>19</v>
      </c>
      <c r="Y51" s="10">
        <f t="shared" si="12"/>
        <v>35</v>
      </c>
      <c r="Z51" s="10">
        <f t="shared" si="1"/>
        <v>2.5</v>
      </c>
      <c r="AA51" s="10">
        <f t="shared" si="2"/>
        <v>1.8333333333333333</v>
      </c>
      <c r="AB51" s="10">
        <f t="shared" si="3"/>
        <v>2.6666666666666665</v>
      </c>
      <c r="AC51" s="10">
        <f t="shared" si="4"/>
        <v>1.75</v>
      </c>
      <c r="AD51" s="10">
        <f t="shared" si="5"/>
        <v>2.375</v>
      </c>
    </row>
    <row r="52" spans="1:30" x14ac:dyDescent="0.3">
      <c r="A52" s="7" t="str">
        <v>Real Tomayapo</v>
      </c>
      <c r="B52" s="12" t="str" cm="1">
        <f t="array" ref="B52">IF($A52="","",_xlfn.LET(_xlpm.p,IFERROR(INDEX(tblDados[País],MATCH($A52,TRIM(tblDados[Mandante]),0)),INDEX(tblDados[País],MATCH($A52,TRIM(tblDados[Visitante]),0))),_xlpm.l,IFERROR(INDEX(tblDados[Liga],MATCH($A52,TRIM(tblDados[Mandante]),0)),INDEX(tblDados[Liga],MATCH($A52,TRIM(tblDados[Visitante]),0))),_xlpm.p&amp;" - "&amp;_xlpm.l))</f>
        <v>BOL - Div. Profesional</v>
      </c>
      <c r="C52" s="10">
        <f t="shared" si="6"/>
        <v>1.8571428571428572</v>
      </c>
      <c r="D52" s="10">
        <f t="shared" si="7"/>
        <v>4</v>
      </c>
      <c r="E52" s="9" cm="1">
        <f t="array" ref="E52">IF($A52="","",SUMPRODUCT((TRIM(tblDados[Mandante])=$A52)*tblDados[Primeira_Ocorrencia]))</f>
        <v>7</v>
      </c>
      <c r="F52" s="9" cm="1">
        <f t="array" ref="F52">IF($A52="","",SUMPRODUCT((TRIM(tblDados[Visitante])=$A52)*tblDados[Primeira_Ocorrencia]))</f>
        <v>7</v>
      </c>
      <c r="G52" s="9" cm="1">
        <f t="array" ref="G52">IF($A52="","",SUMPRODUCT((TRIM(tblDados[Mandante])=$A52)*tblDados[Primeira_Ocorrencia])+SUMPRODUCT((TRIM(tblDados[Visitante])=$A52)*tblDados[Primeira_Ocorrencia]))</f>
        <v>14</v>
      </c>
      <c r="H52" s="10">
        <f t="shared" si="8"/>
        <v>0.7142857142857143</v>
      </c>
      <c r="I52" s="10" cm="1">
        <f t="array" ref="I52">IF($A52="","",_xlfn.LET(_xlpm.p,IFERROR(INDEX(tblDados[País],MATCH($A52,TRIM(tblDados[Mandante]),0)),INDEX(tblDados[País],MATCH($A52,TRIM(tblDados[Visitante]),0))),_xlpm.l,IFERROR(INDEX(tblDados[Liga],MATCH($A52,TRIM(tblDados[Mandante]),0)),INDEX(tblDados[Liga],MATCH($A52,TRIM(tblDados[Visitante]),0))),IFERROR(SUMIFS(Ligas!$D$2:$D$39,Ligas!$H$2:$H$39,_xlpm.p,Ligas!$I$2:$I$39,_xlpm.l),0)))</f>
        <v>3.62</v>
      </c>
      <c r="J52" s="11" cm="1">
        <f t="array" ref="J52">IF($A52="","",IFERROR((SUMPRODUCT((TRIM(tblDados[Mandante])=$A52)*tblDados[Primeira_Ocorrencia]*(tblDados[GM_M]=0))+SUMPRODUCT((TRIM(tblDados[Visitante])=$A52)*tblDados[Primeira_Ocorrencia]*(tblDados[GM_V]=0)))/G52,0))</f>
        <v>0.42857142857142855</v>
      </c>
      <c r="K52" s="11" cm="1">
        <f t="array" ref="K52">IF($A52="","",IFERROR((SUMPRODUCT((TRIM(tblDados[Mandante])=$A52)*tblDados[Primeira_Ocorrencia]*((tblDados[GM_M]+tblDados[GS_M])&gt;0.5))+SUMPRODUCT((TRIM(tblDados[Visitante])=$A52)*tblDados[Primeira_Ocorrencia]*((tblDados[GM_V]+tblDados[GS_V])&gt;0.5)))/G52,0))</f>
        <v>0.9285714285714286</v>
      </c>
      <c r="L52" s="11" cm="1">
        <f t="array" ref="L52">IF($A52="","",IFERROR((SUMPRODUCT((TRIM(tblDados[Mandante])=$A52)*tblDados[Primeira_Ocorrencia]*((tblDados[GM_M]+tblDados[GS_M])&gt;1.5))+SUMPRODUCT((TRIM(tblDados[Visitante])=$A52)*tblDados[Primeira_Ocorrencia]*((tblDados[GM_V]+tblDados[GS_V])&gt;1.5)))/G52,0))</f>
        <v>0.7857142857142857</v>
      </c>
      <c r="M52" s="11" cm="1">
        <f t="array" ref="M52">IF($A52="","",IFERROR((SUMPRODUCT((TRIM(tblDados[Mandante])=$A52)*tblDados[Primeira_Ocorrencia]*((tblDados[GM_M]+tblDados[GS_M])&gt;2.5))+SUMPRODUCT((TRIM(tblDados[Visitante])=$A52)*tblDados[Primeira_Ocorrencia]*((tblDados[GM_V]+tblDados[GS_V])&gt;2.5)))/G52,0))</f>
        <v>0.5714285714285714</v>
      </c>
      <c r="N52" s="11" cm="1">
        <f t="array" ref="N52">IF($A52="","",IFERROR((SUMPRODUCT((TRIM(tblDados[Mandante])=$A52)*tblDados[Primeira_Ocorrencia]*((tblDados[GM_M]+tblDados[GS_M])&gt;3.5))+SUMPRODUCT((TRIM(tblDados[Visitante])=$A52)*tblDados[Primeira_Ocorrencia]*((tblDados[GM_V]+tblDados[GS_V])&gt;3.5)))/G52,0))</f>
        <v>0.35714285714285715</v>
      </c>
      <c r="O52" s="11" cm="1">
        <f t="array" ref="O52">IF($A52="","",IFERROR((SUMPRODUCT((TRIM(tblDados[Mandante])=$A52)*tblDados[Primeira_Ocorrencia]*(tblDados[GM_M]&gt;0)*(tblDados[GS_M]&gt;0))+SUMPRODUCT((TRIM(tblDados[Visitante])=$A52)*tblDados[Primeira_Ocorrencia]*(tblDados[GM_V]&gt;0)*(tblDados[GS_V]&gt;0)))/G52,0))</f>
        <v>0.5</v>
      </c>
      <c r="P52" s="10" cm="1">
        <f t="array" ref="P52">IF($A52="","",IFERROR((SUMPRODUCT((TRIM(tblDados[Mandante])=$A52)*tblDados[Primeira_Ocorrencia]*tblDados[GM_M]^2)+SUMPRODUCT((TRIM(tblDados[Visitante])=$A52)*tblDados[Primeira_Ocorrencia]*tblDados[GM_V]^2))/G52-H52^2,0))</f>
        <v>0.48979591836734693</v>
      </c>
      <c r="Q52" s="10">
        <f t="shared" si="9"/>
        <v>0.6998542122237652</v>
      </c>
      <c r="R52" s="8" t="str">
        <f t="shared" si="10"/>
        <v>Poisson</v>
      </c>
      <c r="S52" s="10" cm="1">
        <f t="array" ref="S52">IF($A52="","",SUMPRODUCT((TRIM(tblDados[Mandante])=$A52)*tblDados[Primeira_Ocorrencia]*tblDados[GM_M]))</f>
        <v>6</v>
      </c>
      <c r="T52" s="10" cm="1">
        <f t="array" ref="T52">IF($A52="","",SUMPRODUCT((TRIM(tblDados[Visitante])=$A52)*tblDados[Primeira_Ocorrencia]*tblDados[GM_V]))</f>
        <v>4</v>
      </c>
      <c r="U52" s="10">
        <f t="shared" si="11"/>
        <v>10</v>
      </c>
      <c r="V52" s="10">
        <f t="shared" si="0"/>
        <v>0.7142857142857143</v>
      </c>
      <c r="W52" s="10" cm="1">
        <f t="array" ref="W52">IF($A52="","",SUMPRODUCT((TRIM(tblDados[Mandante])=$A52)*tblDados[Primeira_Ocorrencia]*tblDados[GS_M]))</f>
        <v>7</v>
      </c>
      <c r="X52" s="10" cm="1">
        <f t="array" ref="X52">IF($A52="","",SUMPRODUCT((TRIM(tblDados[Visitante])=$A52)*tblDados[Primeira_Ocorrencia]*tblDados[GS_V]))</f>
        <v>24</v>
      </c>
      <c r="Y52" s="10">
        <f t="shared" si="12"/>
        <v>31</v>
      </c>
      <c r="Z52" s="10">
        <f t="shared" si="1"/>
        <v>2.2142857142857144</v>
      </c>
      <c r="AA52" s="10">
        <f t="shared" si="2"/>
        <v>0.8571428571428571</v>
      </c>
      <c r="AB52" s="10">
        <f t="shared" si="3"/>
        <v>1</v>
      </c>
      <c r="AC52" s="10">
        <f t="shared" si="4"/>
        <v>0.5714285714285714</v>
      </c>
      <c r="AD52" s="10">
        <f t="shared" si="5"/>
        <v>3.4285714285714284</v>
      </c>
    </row>
    <row r="53" spans="1:30" x14ac:dyDescent="0.3">
      <c r="A53" s="7" t="str">
        <v>São Bernardo</v>
      </c>
      <c r="B53" s="12" t="str" cm="1">
        <f t="array" ref="B53">IF($A53="","",_xlfn.LET(_xlpm.p,IFERROR(INDEX(tblDados[País],MATCH($A53,TRIM(tblDados[Mandante]),0)),INDEX(tblDados[País],MATCH($A53,TRIM(tblDados[Visitante]),0))),_xlpm.l,IFERROR(INDEX(tblDados[Liga],MATCH($A53,TRIM(tblDados[Mandante]),0)),INDEX(tblDados[Liga],MATCH($A53,TRIM(tblDados[Visitante]),0))),_xlpm.p&amp;" - "&amp;_xlpm.l))</f>
        <v>BRA - Série B</v>
      </c>
      <c r="C53" s="10">
        <f t="shared" si="6"/>
        <v>2.5714285714285712</v>
      </c>
      <c r="D53" s="10">
        <f t="shared" si="7"/>
        <v>3</v>
      </c>
      <c r="E53" s="9" cm="1">
        <f t="array" ref="E53">IF($A53="","",SUMPRODUCT((TRIM(tblDados[Mandante])=$A53)*tblDados[Primeira_Ocorrencia]))</f>
        <v>7</v>
      </c>
      <c r="F53" s="9" cm="1">
        <f t="array" ref="F53">IF($A53="","",SUMPRODUCT((TRIM(tblDados[Visitante])=$A53)*tblDados[Primeira_Ocorrencia]))</f>
        <v>7</v>
      </c>
      <c r="G53" s="9" cm="1">
        <f t="array" ref="G53">IF($A53="","",SUMPRODUCT((TRIM(tblDados[Mandante])=$A53)*tblDados[Primeira_Ocorrencia])+SUMPRODUCT((TRIM(tblDados[Visitante])=$A53)*tblDados[Primeira_Ocorrencia]))</f>
        <v>14</v>
      </c>
      <c r="H53" s="10">
        <f t="shared" si="8"/>
        <v>1.4285714285714286</v>
      </c>
      <c r="I53" s="10" cm="1">
        <f t="array" ref="I53">IF($A53="","",_xlfn.LET(_xlpm.p,IFERROR(INDEX(tblDados[País],MATCH($A53,TRIM(tblDados[Mandante]),0)),INDEX(tblDados[País],MATCH($A53,TRIM(tblDados[Visitante]),0))),_xlpm.l,IFERROR(INDEX(tblDados[Liga],MATCH($A53,TRIM(tblDados[Mandante]),0)),INDEX(tblDados[Liga],MATCH($A53,TRIM(tblDados[Visitante]),0))),IFERROR(SUMIFS(Ligas!$D$2:$D$39,Ligas!$H$2:$H$39,_xlpm.p,Ligas!$I$2:$I$39,_xlpm.l),0)))</f>
        <v>2.31</v>
      </c>
      <c r="J53" s="11" cm="1">
        <f t="array" ref="J53">IF($A53="","",IFERROR((SUMPRODUCT((TRIM(tblDados[Mandante])=$A53)*tblDados[Primeira_Ocorrencia]*(tblDados[GM_M]=0))+SUMPRODUCT((TRIM(tblDados[Visitante])=$A53)*tblDados[Primeira_Ocorrencia]*(tblDados[GM_V]=0)))/G53,0))</f>
        <v>0.21428571428571427</v>
      </c>
      <c r="K53" s="11" cm="1">
        <f t="array" ref="K53">IF($A53="","",IFERROR((SUMPRODUCT((TRIM(tblDados[Mandante])=$A53)*tblDados[Primeira_Ocorrencia]*((tblDados[GM_M]+tblDados[GS_M])&gt;0.5))+SUMPRODUCT((TRIM(tblDados[Visitante])=$A53)*tblDados[Primeira_Ocorrencia]*((tblDados[GM_V]+tblDados[GS_V])&gt;0.5)))/G53,0))</f>
        <v>0.9285714285714286</v>
      </c>
      <c r="L53" s="11" cm="1">
        <f t="array" ref="L53">IF($A53="","",IFERROR((SUMPRODUCT((TRIM(tblDados[Mandante])=$A53)*tblDados[Primeira_Ocorrencia]*((tblDados[GM_M]+tblDados[GS_M])&gt;1.5))+SUMPRODUCT((TRIM(tblDados[Visitante])=$A53)*tblDados[Primeira_Ocorrencia]*((tblDados[GM_V]+tblDados[GS_V])&gt;1.5)))/G53,0))</f>
        <v>0.7142857142857143</v>
      </c>
      <c r="M53" s="11" cm="1">
        <f t="array" ref="M53">IF($A53="","",IFERROR((SUMPRODUCT((TRIM(tblDados[Mandante])=$A53)*tblDados[Primeira_Ocorrencia]*((tblDados[GM_M]+tblDados[GS_M])&gt;2.5))+SUMPRODUCT((TRIM(tblDados[Visitante])=$A53)*tblDados[Primeira_Ocorrencia]*((tblDados[GM_V]+tblDados[GS_V])&gt;2.5)))/G53,0))</f>
        <v>0.5</v>
      </c>
      <c r="N53" s="11" cm="1">
        <f t="array" ref="N53">IF($A53="","",IFERROR((SUMPRODUCT((TRIM(tblDados[Mandante])=$A53)*tblDados[Primeira_Ocorrencia]*((tblDados[GM_M]+tblDados[GS_M])&gt;3.5))+SUMPRODUCT((TRIM(tblDados[Visitante])=$A53)*tblDados[Primeira_Ocorrencia]*((tblDados[GM_V]+tblDados[GS_V])&gt;3.5)))/G53,0))</f>
        <v>0.35714285714285715</v>
      </c>
      <c r="O53" s="11" cm="1">
        <f t="array" ref="O53">IF($A53="","",IFERROR((SUMPRODUCT((TRIM(tblDados[Mandante])=$A53)*tblDados[Primeira_Ocorrencia]*(tblDados[GM_M]&gt;0)*(tblDados[GS_M]&gt;0))+SUMPRODUCT((TRIM(tblDados[Visitante])=$A53)*tblDados[Primeira_Ocorrencia]*(tblDados[GM_V]&gt;0)*(tblDados[GS_V]&gt;0)))/G53,0))</f>
        <v>0.7142857142857143</v>
      </c>
      <c r="P53" s="10" cm="1">
        <f t="array" ref="P53">IF($A53="","",IFERROR((SUMPRODUCT((TRIM(tblDados[Mandante])=$A53)*tblDados[Primeira_Ocorrencia]*tblDados[GM_M]^2)+SUMPRODUCT((TRIM(tblDados[Visitante])=$A53)*tblDados[Primeira_Ocorrencia]*tblDados[GM_V]^2))/G53-H53^2,0))</f>
        <v>1.2448979591836733</v>
      </c>
      <c r="Q53" s="10">
        <f t="shared" si="9"/>
        <v>1.1157499537009505</v>
      </c>
      <c r="R53" s="8" t="str">
        <f t="shared" si="10"/>
        <v>Poisson</v>
      </c>
      <c r="S53" s="10" cm="1">
        <f t="array" ref="S53">IF($A53="","",SUMPRODUCT((TRIM(tblDados[Mandante])=$A53)*tblDados[Primeira_Ocorrencia]*tblDados[GM_M]))</f>
        <v>8</v>
      </c>
      <c r="T53" s="10" cm="1">
        <f t="array" ref="T53">IF($A53="","",SUMPRODUCT((TRIM(tblDados[Visitante])=$A53)*tblDados[Primeira_Ocorrencia]*tblDados[GM_V]))</f>
        <v>12</v>
      </c>
      <c r="U53" s="10">
        <f t="shared" si="11"/>
        <v>20</v>
      </c>
      <c r="V53" s="10">
        <f t="shared" si="0"/>
        <v>1.4285714285714286</v>
      </c>
      <c r="W53" s="10" cm="1">
        <f t="array" ref="W53">IF($A53="","",SUMPRODUCT((TRIM(tblDados[Mandante])=$A53)*tblDados[Primeira_Ocorrencia]*tblDados[GS_M]))</f>
        <v>10</v>
      </c>
      <c r="X53" s="10" cm="1">
        <f t="array" ref="X53">IF($A53="","",SUMPRODUCT((TRIM(tblDados[Visitante])=$A53)*tblDados[Primeira_Ocorrencia]*tblDados[GS_V]))</f>
        <v>9</v>
      </c>
      <c r="Y53" s="10">
        <f t="shared" si="12"/>
        <v>19</v>
      </c>
      <c r="Z53" s="10">
        <f t="shared" si="1"/>
        <v>1.3571428571428572</v>
      </c>
      <c r="AA53" s="10">
        <f t="shared" si="2"/>
        <v>1.1428571428571428</v>
      </c>
      <c r="AB53" s="10">
        <f t="shared" si="3"/>
        <v>1.4285714285714286</v>
      </c>
      <c r="AC53" s="10">
        <f t="shared" si="4"/>
        <v>1.7142857142857142</v>
      </c>
      <c r="AD53" s="10">
        <f t="shared" si="5"/>
        <v>1.2857142857142858</v>
      </c>
    </row>
    <row r="54" spans="1:30" x14ac:dyDescent="0.3">
      <c r="A54" s="7" t="str">
        <v>Throttur (Þróttur)</v>
      </c>
      <c r="B54" s="12" t="str" cm="1">
        <f t="array" ref="B54">IF($A54="","",_xlfn.LET(_xlpm.p,IFERROR(INDEX(tblDados[País],MATCH($A54,TRIM(tblDados[Mandante]),0)),INDEX(tblDados[País],MATCH($A54,TRIM(tblDados[Visitante]),0))),_xlpm.l,IFERROR(INDEX(tblDados[Liga],MATCH($A54,TRIM(tblDados[Mandante]),0)),INDEX(tblDados[Liga],MATCH($A54,TRIM(tblDados[Visitante]),0))),_xlpm.p&amp;" - "&amp;_xlpm.l))</f>
        <v>ISL - Lengjudeildin (1ªD)</v>
      </c>
      <c r="C54" s="10">
        <f t="shared" si="6"/>
        <v>3</v>
      </c>
      <c r="D54" s="10">
        <f t="shared" si="7"/>
        <v>3.7142857142857144</v>
      </c>
      <c r="E54" s="9" cm="1">
        <f t="array" ref="E54">IF($A54="","",SUMPRODUCT((TRIM(tblDados[Mandante])=$A54)*tblDados[Primeira_Ocorrencia]))</f>
        <v>7</v>
      </c>
      <c r="F54" s="9" cm="1">
        <f t="array" ref="F54">IF($A54="","",SUMPRODUCT((TRIM(tblDados[Visitante])=$A54)*tblDados[Primeira_Ocorrencia]))</f>
        <v>7</v>
      </c>
      <c r="G54" s="9" cm="1">
        <f t="array" ref="G54">IF($A54="","",SUMPRODUCT((TRIM(tblDados[Mandante])=$A54)*tblDados[Primeira_Ocorrencia])+SUMPRODUCT((TRIM(tblDados[Visitante])=$A54)*tblDados[Primeira_Ocorrencia]))</f>
        <v>14</v>
      </c>
      <c r="H54" s="10">
        <f t="shared" si="8"/>
        <v>2.2142857142857144</v>
      </c>
      <c r="I54" s="10" cm="1">
        <f t="array" ref="I54">IF($A54="","",_xlfn.LET(_xlpm.p,IFERROR(INDEX(tblDados[País],MATCH($A54,TRIM(tblDados[Mandante]),0)),INDEX(tblDados[País],MATCH($A54,TRIM(tblDados[Visitante]),0))),_xlpm.l,IFERROR(INDEX(tblDados[Liga],MATCH($A54,TRIM(tblDados[Mandante]),0)),INDEX(tblDados[Liga],MATCH($A54,TRIM(tblDados[Visitante]),0))),IFERROR(SUMIFS(Ligas!$D$2:$D$39,Ligas!$H$2:$H$39,_xlpm.p,Ligas!$I$2:$I$39,_xlpm.l),0)))</f>
        <v>3.55</v>
      </c>
      <c r="J54" s="11" cm="1">
        <f t="array" ref="J54">IF($A54="","",IFERROR((SUMPRODUCT((TRIM(tblDados[Mandante])=$A54)*tblDados[Primeira_Ocorrencia]*(tblDados[GM_M]=0))+SUMPRODUCT((TRIM(tblDados[Visitante])=$A54)*tblDados[Primeira_Ocorrencia]*(tblDados[GM_V]=0)))/G54,0))</f>
        <v>7.1428571428571425E-2</v>
      </c>
      <c r="K54" s="11" cm="1">
        <f t="array" ref="K54">IF($A54="","",IFERROR((SUMPRODUCT((TRIM(tblDados[Mandante])=$A54)*tblDados[Primeira_Ocorrencia]*((tblDados[GM_M]+tblDados[GS_M])&gt;0.5))+SUMPRODUCT((TRIM(tblDados[Visitante])=$A54)*tblDados[Primeira_Ocorrencia]*((tblDados[GM_V]+tblDados[GS_V])&gt;0.5)))/G54,0))</f>
        <v>1</v>
      </c>
      <c r="L54" s="11" cm="1">
        <f t="array" ref="L54">IF($A54="","",IFERROR((SUMPRODUCT((TRIM(tblDados[Mandante])=$A54)*tblDados[Primeira_Ocorrencia]*((tblDados[GM_M]+tblDados[GS_M])&gt;1.5))+SUMPRODUCT((TRIM(tblDados[Visitante])=$A54)*tblDados[Primeira_Ocorrencia]*((tblDados[GM_V]+tblDados[GS_V])&gt;1.5)))/G54,0))</f>
        <v>0.8571428571428571</v>
      </c>
      <c r="M54" s="11" cm="1">
        <f t="array" ref="M54">IF($A54="","",IFERROR((SUMPRODUCT((TRIM(tblDados[Mandante])=$A54)*tblDados[Primeira_Ocorrencia]*((tblDados[GM_M]+tblDados[GS_M])&gt;2.5))+SUMPRODUCT((TRIM(tblDados[Visitante])=$A54)*tblDados[Primeira_Ocorrencia]*((tblDados[GM_V]+tblDados[GS_V])&gt;2.5)))/G54,0))</f>
        <v>0.5</v>
      </c>
      <c r="N54" s="11" cm="1">
        <f t="array" ref="N54">IF($A54="","",IFERROR((SUMPRODUCT((TRIM(tblDados[Mandante])=$A54)*tblDados[Primeira_Ocorrencia]*((tblDados[GM_M]+tblDados[GS_M])&gt;3.5))+SUMPRODUCT((TRIM(tblDados[Visitante])=$A54)*tblDados[Primeira_Ocorrencia]*((tblDados[GM_V]+tblDados[GS_V])&gt;3.5)))/G54,0))</f>
        <v>0.5</v>
      </c>
      <c r="O54" s="11" cm="1">
        <f t="array" ref="O54">IF($A54="","",IFERROR((SUMPRODUCT((TRIM(tblDados[Mandante])=$A54)*tblDados[Primeira_Ocorrencia]*(tblDados[GM_M]&gt;0)*(tblDados[GS_M]&gt;0))+SUMPRODUCT((TRIM(tblDados[Visitante])=$A54)*tblDados[Primeira_Ocorrencia]*(tblDados[GM_V]&gt;0)*(tblDados[GS_V]&gt;0)))/G54,0))</f>
        <v>0.7142857142857143</v>
      </c>
      <c r="P54" s="10" cm="1">
        <f t="array" ref="P54">IF($A54="","",IFERROR((SUMPRODUCT((TRIM(tblDados[Mandante])=$A54)*tblDados[Primeira_Ocorrencia]*tblDados[GM_M]^2)+SUMPRODUCT((TRIM(tblDados[Visitante])=$A54)*tblDados[Primeira_Ocorrencia]*tblDados[GM_V]^2))/G54-H54^2,0))</f>
        <v>1.7397959183673466</v>
      </c>
      <c r="Q54" s="10">
        <f t="shared" si="9"/>
        <v>1.3190132366156704</v>
      </c>
      <c r="R54" s="8" t="str">
        <f t="shared" si="10"/>
        <v>Poisson</v>
      </c>
      <c r="S54" s="10" cm="1">
        <f t="array" ref="S54">IF($A54="","",SUMPRODUCT((TRIM(tblDados[Mandante])=$A54)*tblDados[Primeira_Ocorrencia]*tblDados[GM_M]))</f>
        <v>15</v>
      </c>
      <c r="T54" s="10" cm="1">
        <f t="array" ref="T54">IF($A54="","",SUMPRODUCT((TRIM(tblDados[Visitante])=$A54)*tblDados[Primeira_Ocorrencia]*tblDados[GM_V]))</f>
        <v>16</v>
      </c>
      <c r="U54" s="10">
        <f t="shared" si="11"/>
        <v>31</v>
      </c>
      <c r="V54" s="10">
        <f t="shared" si="0"/>
        <v>2.2142857142857144</v>
      </c>
      <c r="W54" s="10" cm="1">
        <f t="array" ref="W54">IF($A54="","",SUMPRODUCT((TRIM(tblDados[Mandante])=$A54)*tblDados[Primeira_Ocorrencia]*tblDados[GS_M]))</f>
        <v>6</v>
      </c>
      <c r="X54" s="10" cm="1">
        <f t="array" ref="X54">IF($A54="","",SUMPRODUCT((TRIM(tblDados[Visitante])=$A54)*tblDados[Primeira_Ocorrencia]*tblDados[GS_V]))</f>
        <v>10</v>
      </c>
      <c r="Y54" s="10">
        <f t="shared" si="12"/>
        <v>16</v>
      </c>
      <c r="Z54" s="10">
        <f t="shared" si="1"/>
        <v>1.1428571428571428</v>
      </c>
      <c r="AA54" s="10">
        <f t="shared" si="2"/>
        <v>2.1428571428571428</v>
      </c>
      <c r="AB54" s="10">
        <f t="shared" si="3"/>
        <v>0.8571428571428571</v>
      </c>
      <c r="AC54" s="10">
        <f t="shared" si="4"/>
        <v>2.2857142857142856</v>
      </c>
      <c r="AD54" s="10">
        <f t="shared" si="5"/>
        <v>1.4285714285714286</v>
      </c>
    </row>
    <row r="55" spans="1:30" x14ac:dyDescent="0.3">
      <c r="A55" s="7" t="str">
        <v>Universidad Católica</v>
      </c>
      <c r="B55" s="12" t="str" cm="1">
        <f t="array" ref="B55">IF($A55="","",_xlfn.LET(_xlpm.p,IFERROR(INDEX(tblDados[País],MATCH($A55,TRIM(tblDados[Mandante]),0)),INDEX(tblDados[País],MATCH($A55,TRIM(tblDados[Visitante]),0))),_xlpm.l,IFERROR(INDEX(tblDados[Liga],MATCH($A55,TRIM(tblDados[Mandante]),0)),INDEX(tblDados[Liga],MATCH($A55,TRIM(tblDados[Visitante]),0))),_xlpm.p&amp;" - "&amp;_xlpm.l))</f>
        <v>CHI - Liga de Primera</v>
      </c>
      <c r="C55" s="10">
        <f t="shared" si="6"/>
        <v>4.4285714285714288</v>
      </c>
      <c r="D55" s="10">
        <f t="shared" si="7"/>
        <v>2.8571428571428572</v>
      </c>
      <c r="E55" s="9" cm="1">
        <f t="array" ref="E55">IF($A55="","",SUMPRODUCT((TRIM(tblDados[Mandante])=$A55)*tblDados[Primeira_Ocorrencia]))</f>
        <v>7</v>
      </c>
      <c r="F55" s="9" cm="1">
        <f t="array" ref="F55">IF($A55="","",SUMPRODUCT((TRIM(tblDados[Visitante])=$A55)*tblDados[Primeira_Ocorrencia]))</f>
        <v>7</v>
      </c>
      <c r="G55" s="9" cm="1">
        <f t="array" ref="G55">IF($A55="","",SUMPRODUCT((TRIM(tblDados[Mandante])=$A55)*tblDados[Primeira_Ocorrencia])+SUMPRODUCT((TRIM(tblDados[Visitante])=$A55)*tblDados[Primeira_Ocorrencia]))</f>
        <v>14</v>
      </c>
      <c r="H55" s="10">
        <f t="shared" si="8"/>
        <v>2.2142857142857144</v>
      </c>
      <c r="I55" s="10" cm="1">
        <f t="array" ref="I55">IF($A55="","",_xlfn.LET(_xlpm.p,IFERROR(INDEX(tblDados[País],MATCH($A55,TRIM(tblDados[Mandante]),0)),INDEX(tblDados[País],MATCH($A55,TRIM(tblDados[Visitante]),0))),_xlpm.l,IFERROR(INDEX(tblDados[Liga],MATCH($A55,TRIM(tblDados[Mandante]),0)),INDEX(tblDados[Liga],MATCH($A55,TRIM(tblDados[Visitante]),0))),IFERROR(SUMIFS(Ligas!$D$2:$D$39,Ligas!$H$2:$H$39,_xlpm.p,Ligas!$I$2:$I$39,_xlpm.l),0)))</f>
        <v>2.5</v>
      </c>
      <c r="J55" s="11" cm="1">
        <f t="array" ref="J55">IF($A55="","",IFERROR((SUMPRODUCT((TRIM(tblDados[Mandante])=$A55)*tblDados[Primeira_Ocorrencia]*(tblDados[GM_M]=0))+SUMPRODUCT((TRIM(tblDados[Visitante])=$A55)*tblDados[Primeira_Ocorrencia]*(tblDados[GM_V]=0)))/G55,0))</f>
        <v>0.21428571428571427</v>
      </c>
      <c r="K55" s="11" cm="1">
        <f t="array" ref="K55">IF($A55="","",IFERROR((SUMPRODUCT((TRIM(tblDados[Mandante])=$A55)*tblDados[Primeira_Ocorrencia]*((tblDados[GM_M]+tblDados[GS_M])&gt;0.5))+SUMPRODUCT((TRIM(tblDados[Visitante])=$A55)*tblDados[Primeira_Ocorrencia]*((tblDados[GM_V]+tblDados[GS_V])&gt;0.5)))/G55,0))</f>
        <v>1</v>
      </c>
      <c r="L55" s="11" cm="1">
        <f t="array" ref="L55">IF($A55="","",IFERROR((SUMPRODUCT((TRIM(tblDados[Mandante])=$A55)*tblDados[Primeira_Ocorrencia]*((tblDados[GM_M]+tblDados[GS_M])&gt;1.5))+SUMPRODUCT((TRIM(tblDados[Visitante])=$A55)*tblDados[Primeira_Ocorrencia]*((tblDados[GM_V]+tblDados[GS_V])&gt;1.5)))/G55,0))</f>
        <v>0.8571428571428571</v>
      </c>
      <c r="M55" s="11" cm="1">
        <f t="array" ref="M55">IF($A55="","",IFERROR((SUMPRODUCT((TRIM(tblDados[Mandante])=$A55)*tblDados[Primeira_Ocorrencia]*((tblDados[GM_M]+tblDados[GS_M])&gt;2.5))+SUMPRODUCT((TRIM(tblDados[Visitante])=$A55)*tblDados[Primeira_Ocorrencia]*((tblDados[GM_V]+tblDados[GS_V])&gt;2.5)))/G55,0))</f>
        <v>0.7142857142857143</v>
      </c>
      <c r="N55" s="11" cm="1">
        <f t="array" ref="N55">IF($A55="","",IFERROR((SUMPRODUCT((TRIM(tblDados[Mandante])=$A55)*tblDados[Primeira_Ocorrencia]*((tblDados[GM_M]+tblDados[GS_M])&gt;3.5))+SUMPRODUCT((TRIM(tblDados[Visitante])=$A55)*tblDados[Primeira_Ocorrencia]*((tblDados[GM_V]+tblDados[GS_V])&gt;3.5)))/G55,0))</f>
        <v>0.35714285714285715</v>
      </c>
      <c r="O55" s="11" cm="1">
        <f t="array" ref="O55">IF($A55="","",IFERROR((SUMPRODUCT((TRIM(tblDados[Mandante])=$A55)*tblDados[Primeira_Ocorrencia]*(tblDados[GM_M]&gt;0)*(tblDados[GS_M]&gt;0))+SUMPRODUCT((TRIM(tblDados[Visitante])=$A55)*tblDados[Primeira_Ocorrencia]*(tblDados[GM_V]&gt;0)*(tblDados[GS_V]&gt;0)))/G55,0))</f>
        <v>0.5714285714285714</v>
      </c>
      <c r="P55" s="10" cm="1">
        <f t="array" ref="P55">IF($A55="","",IFERROR((SUMPRODUCT((TRIM(tblDados[Mandante])=$A55)*tblDados[Primeira_Ocorrencia]*tblDados[GM_M]^2)+SUMPRODUCT((TRIM(tblDados[Visitante])=$A55)*tblDados[Primeira_Ocorrencia]*tblDados[GM_V]^2))/G55-H55^2,0))</f>
        <v>3.1683673469387745</v>
      </c>
      <c r="Q55" s="10">
        <f t="shared" si="9"/>
        <v>1.7799908277681586</v>
      </c>
      <c r="R55" s="8" t="str">
        <f t="shared" si="10"/>
        <v>Poisson</v>
      </c>
      <c r="S55" s="10" cm="1">
        <f t="array" ref="S55">IF($A55="","",SUMPRODUCT((TRIM(tblDados[Mandante])=$A55)*tblDados[Primeira_Ocorrencia]*tblDados[GM_M]))</f>
        <v>20</v>
      </c>
      <c r="T55" s="10" cm="1">
        <f t="array" ref="T55">IF($A55="","",SUMPRODUCT((TRIM(tblDados[Visitante])=$A55)*tblDados[Primeira_Ocorrencia]*tblDados[GM_V]))</f>
        <v>11</v>
      </c>
      <c r="U55" s="10">
        <f t="shared" si="11"/>
        <v>31</v>
      </c>
      <c r="V55" s="10">
        <f t="shared" si="0"/>
        <v>2.2142857142857144</v>
      </c>
      <c r="W55" s="10" cm="1">
        <f t="array" ref="W55">IF($A55="","",SUMPRODUCT((TRIM(tblDados[Mandante])=$A55)*tblDados[Primeira_Ocorrencia]*tblDados[GS_M]))</f>
        <v>11</v>
      </c>
      <c r="X55" s="10" cm="1">
        <f t="array" ref="X55">IF($A55="","",SUMPRODUCT((TRIM(tblDados[Visitante])=$A55)*tblDados[Primeira_Ocorrencia]*tblDados[GS_V]))</f>
        <v>9</v>
      </c>
      <c r="Y55" s="10">
        <f t="shared" si="12"/>
        <v>20</v>
      </c>
      <c r="Z55" s="10">
        <f t="shared" si="1"/>
        <v>1.4285714285714286</v>
      </c>
      <c r="AA55" s="10">
        <f t="shared" si="2"/>
        <v>2.8571428571428572</v>
      </c>
      <c r="AB55" s="10">
        <f t="shared" si="3"/>
        <v>1.5714285714285714</v>
      </c>
      <c r="AC55" s="10">
        <f t="shared" si="4"/>
        <v>1.5714285714285714</v>
      </c>
      <c r="AD55" s="10">
        <f t="shared" si="5"/>
        <v>1.2857142857142858</v>
      </c>
    </row>
    <row r="56" spans="1:30" x14ac:dyDescent="0.3">
      <c r="A56" s="7" t="str">
        <v>Vestri</v>
      </c>
      <c r="B56" s="12" t="str" cm="1">
        <f t="array" ref="B56">IF($A56="","",_xlfn.LET(_xlpm.p,IFERROR(INDEX(tblDados[País],MATCH($A56,TRIM(tblDados[Mandante]),0)),INDEX(tblDados[País],MATCH($A56,TRIM(tblDados[Visitante]),0))),_xlpm.l,IFERROR(INDEX(tblDados[Liga],MATCH($A56,TRIM(tblDados[Mandante]),0)),INDEX(tblDados[Liga],MATCH($A56,TRIM(tblDados[Visitante]),0))),_xlpm.p&amp;" - "&amp;_xlpm.l))</f>
        <v>ISL - Lengjudeildin (1ªD)</v>
      </c>
      <c r="C56" s="10">
        <f t="shared" si="6"/>
        <v>4.7142857142857135</v>
      </c>
      <c r="D56" s="10">
        <f t="shared" si="7"/>
        <v>3.8571428571428568</v>
      </c>
      <c r="E56" s="9" cm="1">
        <f t="array" ref="E56">IF($A56="","",SUMPRODUCT((TRIM(tblDados[Mandante])=$A56)*tblDados[Primeira_Ocorrencia]))</f>
        <v>7</v>
      </c>
      <c r="F56" s="9" cm="1">
        <f t="array" ref="F56">IF($A56="","",SUMPRODUCT((TRIM(tblDados[Visitante])=$A56)*tblDados[Primeira_Ocorrencia]))</f>
        <v>7</v>
      </c>
      <c r="G56" s="9" cm="1">
        <f t="array" ref="G56">IF($A56="","",SUMPRODUCT((TRIM(tblDados[Mandante])=$A56)*tblDados[Primeira_Ocorrencia])+SUMPRODUCT((TRIM(tblDados[Visitante])=$A56)*tblDados[Primeira_Ocorrencia]))</f>
        <v>14</v>
      </c>
      <c r="H56" s="10">
        <f t="shared" si="8"/>
        <v>1.8571428571428572</v>
      </c>
      <c r="I56" s="10" cm="1">
        <f t="array" ref="I56">IF($A56="","",_xlfn.LET(_xlpm.p,IFERROR(INDEX(tblDados[País],MATCH($A56,TRIM(tblDados[Mandante]),0)),INDEX(tblDados[País],MATCH($A56,TRIM(tblDados[Visitante]),0))),_xlpm.l,IFERROR(INDEX(tblDados[Liga],MATCH($A56,TRIM(tblDados[Mandante]),0)),INDEX(tblDados[Liga],MATCH($A56,TRIM(tblDados[Visitante]),0))),IFERROR(SUMIFS(Ligas!$D$2:$D$39,Ligas!$H$2:$H$39,_xlpm.p,Ligas!$I$2:$I$39,_xlpm.l),0)))</f>
        <v>3.55</v>
      </c>
      <c r="J56" s="11" cm="1">
        <f t="array" ref="J56">IF($A56="","",IFERROR((SUMPRODUCT((TRIM(tblDados[Mandante])=$A56)*tblDados[Primeira_Ocorrencia]*(tblDados[GM_M]=0))+SUMPRODUCT((TRIM(tblDados[Visitante])=$A56)*tblDados[Primeira_Ocorrencia]*(tblDados[GM_V]=0)))/G56,0))</f>
        <v>0.21428571428571427</v>
      </c>
      <c r="K56" s="11" cm="1">
        <f t="array" ref="K56">IF($A56="","",IFERROR((SUMPRODUCT((TRIM(tblDados[Mandante])=$A56)*tblDados[Primeira_Ocorrencia]*((tblDados[GM_M]+tblDados[GS_M])&gt;0.5))+SUMPRODUCT((TRIM(tblDados[Visitante])=$A56)*tblDados[Primeira_Ocorrencia]*((tblDados[GM_V]+tblDados[GS_V])&gt;0.5)))/G56,0))</f>
        <v>1</v>
      </c>
      <c r="L56" s="11" cm="1">
        <f t="array" ref="L56">IF($A56="","",IFERROR((SUMPRODUCT((TRIM(tblDados[Mandante])=$A56)*tblDados[Primeira_Ocorrencia]*((tblDados[GM_M]+tblDados[GS_M])&gt;1.5))+SUMPRODUCT((TRIM(tblDados[Visitante])=$A56)*tblDados[Primeira_Ocorrencia]*((tblDados[GM_V]+tblDados[GS_V])&gt;1.5)))/G56,0))</f>
        <v>0.8571428571428571</v>
      </c>
      <c r="M56" s="11" cm="1">
        <f t="array" ref="M56">IF($A56="","",IFERROR((SUMPRODUCT((TRIM(tblDados[Mandante])=$A56)*tblDados[Primeira_Ocorrencia]*((tblDados[GM_M]+tblDados[GS_M])&gt;2.5))+SUMPRODUCT((TRIM(tblDados[Visitante])=$A56)*tblDados[Primeira_Ocorrencia]*((tblDados[GM_V]+tblDados[GS_V])&gt;2.5)))/G56,0))</f>
        <v>0.7142857142857143</v>
      </c>
      <c r="N56" s="11" cm="1">
        <f t="array" ref="N56">IF($A56="","",IFERROR((SUMPRODUCT((TRIM(tblDados[Mandante])=$A56)*tblDados[Primeira_Ocorrencia]*((tblDados[GM_M]+tblDados[GS_M])&gt;3.5))+SUMPRODUCT((TRIM(tblDados[Visitante])=$A56)*tblDados[Primeira_Ocorrencia]*((tblDados[GM_V]+tblDados[GS_V])&gt;3.5)))/G56,0))</f>
        <v>0.5</v>
      </c>
      <c r="O56" s="11" cm="1">
        <f t="array" ref="O56">IF($A56="","",IFERROR((SUMPRODUCT((TRIM(tblDados[Mandante])=$A56)*tblDados[Primeira_Ocorrencia]*(tblDados[GM_M]&gt;0)*(tblDados[GS_M]&gt;0))+SUMPRODUCT((TRIM(tblDados[Visitante])=$A56)*tblDados[Primeira_Ocorrencia]*(tblDados[GM_V]&gt;0)*(tblDados[GS_V]&gt;0)))/G56,0))</f>
        <v>0.6428571428571429</v>
      </c>
      <c r="P56" s="10" cm="1">
        <f t="array" ref="P56">IF($A56="","",IFERROR((SUMPRODUCT((TRIM(tblDados[Mandante])=$A56)*tblDados[Primeira_Ocorrencia]*tblDados[GM_M]^2)+SUMPRODUCT((TRIM(tblDados[Visitante])=$A56)*tblDados[Primeira_Ocorrencia]*tblDados[GM_V]^2))/G56-H56^2,0))</f>
        <v>2.1224489795918364</v>
      </c>
      <c r="Q56" s="10">
        <f t="shared" si="9"/>
        <v>1.456862718169367</v>
      </c>
      <c r="R56" s="8" t="str">
        <f t="shared" si="10"/>
        <v>Poisson</v>
      </c>
      <c r="S56" s="10" cm="1">
        <f t="array" ref="S56">IF($A56="","",SUMPRODUCT((TRIM(tblDados[Mandante])=$A56)*tblDados[Primeira_Ocorrencia]*tblDados[GM_M]))</f>
        <v>16</v>
      </c>
      <c r="T56" s="10" cm="1">
        <f t="array" ref="T56">IF($A56="","",SUMPRODUCT((TRIM(tblDados[Visitante])=$A56)*tblDados[Primeira_Ocorrencia]*tblDados[GM_V]))</f>
        <v>10</v>
      </c>
      <c r="U56" s="10">
        <f t="shared" si="11"/>
        <v>26</v>
      </c>
      <c r="V56" s="10">
        <f t="shared" si="0"/>
        <v>1.8571428571428572</v>
      </c>
      <c r="W56" s="10" cm="1">
        <f t="array" ref="W56">IF($A56="","",SUMPRODUCT((TRIM(tblDados[Mandante])=$A56)*tblDados[Primeira_Ocorrencia]*tblDados[GS_M]))</f>
        <v>17</v>
      </c>
      <c r="X56" s="10" cm="1">
        <f t="array" ref="X56">IF($A56="","",SUMPRODUCT((TRIM(tblDados[Visitante])=$A56)*tblDados[Primeira_Ocorrencia]*tblDados[GS_V]))</f>
        <v>17</v>
      </c>
      <c r="Y56" s="10">
        <f t="shared" si="12"/>
        <v>34</v>
      </c>
      <c r="Z56" s="10">
        <f t="shared" si="1"/>
        <v>2.4285714285714284</v>
      </c>
      <c r="AA56" s="10">
        <f t="shared" si="2"/>
        <v>2.2857142857142856</v>
      </c>
      <c r="AB56" s="10">
        <f t="shared" si="3"/>
        <v>2.4285714285714284</v>
      </c>
      <c r="AC56" s="10">
        <f t="shared" si="4"/>
        <v>1.4285714285714286</v>
      </c>
      <c r="AD56" s="10">
        <f t="shared" si="5"/>
        <v>2.4285714285714284</v>
      </c>
    </row>
    <row r="57" spans="1:30" x14ac:dyDescent="0.3">
      <c r="A57" s="7" t="str">
        <v>VPS Akatemia</v>
      </c>
      <c r="B57" s="12" t="str" cm="1">
        <f t="array" ref="B57">IF($A57="","",_xlfn.LET(_xlpm.p,IFERROR(INDEX(tblDados[País],MATCH($A57,TRIM(tblDados[Mandante]),0)),INDEX(tblDados[País],MATCH($A57,TRIM(tblDados[Visitante]),0))),_xlpm.l,IFERROR(INDEX(tblDados[Liga],MATCH($A57,TRIM(tblDados[Mandante]),0)),INDEX(tblDados[Liga],MATCH($A57,TRIM(tblDados[Visitante]),0))),_xlpm.p&amp;" - "&amp;_xlpm.l))</f>
        <v>FIN - Kakkonen C</v>
      </c>
      <c r="C57" s="10">
        <f t="shared" si="6"/>
        <v>5</v>
      </c>
      <c r="D57" s="10">
        <f t="shared" si="7"/>
        <v>4.5714285714285712</v>
      </c>
      <c r="E57" s="9" cm="1">
        <f t="array" ref="E57">IF($A57="","",SUMPRODUCT((TRIM(tblDados[Mandante])=$A57)*tblDados[Primeira_Ocorrencia]))</f>
        <v>7</v>
      </c>
      <c r="F57" s="9" cm="1">
        <f t="array" ref="F57">IF($A57="","",SUMPRODUCT((TRIM(tblDados[Visitante])=$A57)*tblDados[Primeira_Ocorrencia]))</f>
        <v>7</v>
      </c>
      <c r="G57" s="9" cm="1">
        <f t="array" ref="G57">IF($A57="","",SUMPRODUCT((TRIM(tblDados[Mandante])=$A57)*tblDados[Primeira_Ocorrencia])+SUMPRODUCT((TRIM(tblDados[Visitante])=$A57)*tblDados[Primeira_Ocorrencia]))</f>
        <v>14</v>
      </c>
      <c r="H57" s="10">
        <f t="shared" si="8"/>
        <v>2.8571428571428572</v>
      </c>
      <c r="I57" s="10" cm="1">
        <f t="array" ref="I57">IF($A57="","",_xlfn.LET(_xlpm.p,IFERROR(INDEX(tblDados[País],MATCH($A57,TRIM(tblDados[Mandante]),0)),INDEX(tblDados[País],MATCH($A57,TRIM(tblDados[Visitante]),0))),_xlpm.l,IFERROR(INDEX(tblDados[Liga],MATCH($A57,TRIM(tblDados[Mandante]),0)),INDEX(tblDados[Liga],MATCH($A57,TRIM(tblDados[Visitante]),0))),IFERROR(SUMIFS(Ligas!$D$2:$D$39,Ligas!$H$2:$H$39,_xlpm.p,Ligas!$I$2:$I$39,_xlpm.l),0)))</f>
        <v>4.32</v>
      </c>
      <c r="J57" s="11" cm="1">
        <f t="array" ref="J57">IF($A57="","",IFERROR((SUMPRODUCT((TRIM(tblDados[Mandante])=$A57)*tblDados[Primeira_Ocorrencia]*(tblDados[GM_M]=0))+SUMPRODUCT((TRIM(tblDados[Visitante])=$A57)*tblDados[Primeira_Ocorrencia]*(tblDados[GM_V]=0)))/G57,0))</f>
        <v>7.1428571428571425E-2</v>
      </c>
      <c r="K57" s="11" cm="1">
        <f t="array" ref="K57">IF($A57="","",IFERROR((SUMPRODUCT((TRIM(tblDados[Mandante])=$A57)*tblDados[Primeira_Ocorrencia]*((tblDados[GM_M]+tblDados[GS_M])&gt;0.5))+SUMPRODUCT((TRIM(tblDados[Visitante])=$A57)*tblDados[Primeira_Ocorrencia]*((tblDados[GM_V]+tblDados[GS_V])&gt;0.5)))/G57,0))</f>
        <v>1</v>
      </c>
      <c r="L57" s="11" cm="1">
        <f t="array" ref="L57">IF($A57="","",IFERROR((SUMPRODUCT((TRIM(tblDados[Mandante])=$A57)*tblDados[Primeira_Ocorrencia]*((tblDados[GM_M]+tblDados[GS_M])&gt;1.5))+SUMPRODUCT((TRIM(tblDados[Visitante])=$A57)*tblDados[Primeira_Ocorrencia]*((tblDados[GM_V]+tblDados[GS_V])&gt;1.5)))/G57,0))</f>
        <v>1</v>
      </c>
      <c r="M57" s="11" cm="1">
        <f t="array" ref="M57">IF($A57="","",IFERROR((SUMPRODUCT((TRIM(tblDados[Mandante])=$A57)*tblDados[Primeira_Ocorrencia]*((tblDados[GM_M]+tblDados[GS_M])&gt;2.5))+SUMPRODUCT((TRIM(tblDados[Visitante])=$A57)*tblDados[Primeira_Ocorrencia]*((tblDados[GM_V]+tblDados[GS_V])&gt;2.5)))/G57,0))</f>
        <v>0.9285714285714286</v>
      </c>
      <c r="N57" s="11" cm="1">
        <f t="array" ref="N57">IF($A57="","",IFERROR((SUMPRODUCT((TRIM(tblDados[Mandante])=$A57)*tblDados[Primeira_Ocorrencia]*((tblDados[GM_M]+tblDados[GS_M])&gt;3.5))+SUMPRODUCT((TRIM(tblDados[Visitante])=$A57)*tblDados[Primeira_Ocorrencia]*((tblDados[GM_V]+tblDados[GS_V])&gt;3.5)))/G57,0))</f>
        <v>0.7142857142857143</v>
      </c>
      <c r="O57" s="11" cm="1">
        <f t="array" ref="O57">IF($A57="","",IFERROR((SUMPRODUCT((TRIM(tblDados[Mandante])=$A57)*tblDados[Primeira_Ocorrencia]*(tblDados[GM_M]&gt;0)*(tblDados[GS_M]&gt;0))+SUMPRODUCT((TRIM(tblDados[Visitante])=$A57)*tblDados[Primeira_Ocorrencia]*(tblDados[GM_V]&gt;0)*(tblDados[GS_V]&gt;0)))/G57,0))</f>
        <v>0.7857142857142857</v>
      </c>
      <c r="P57" s="10" cm="1">
        <f t="array" ref="P57">IF($A57="","",IFERROR((SUMPRODUCT((TRIM(tblDados[Mandante])=$A57)*tblDados[Primeira_Ocorrencia]*tblDados[GM_M]^2)+SUMPRODUCT((TRIM(tblDados[Visitante])=$A57)*tblDados[Primeira_Ocorrencia]*tblDados[GM_V]^2))/G57-H57^2,0))</f>
        <v>2.5510204081632644</v>
      </c>
      <c r="Q57" s="10">
        <f t="shared" si="9"/>
        <v>1.5971914124998494</v>
      </c>
      <c r="R57" s="8" t="str">
        <f t="shared" si="10"/>
        <v>Poisson</v>
      </c>
      <c r="S57" s="10" cm="1">
        <f t="array" ref="S57">IF($A57="","",SUMPRODUCT((TRIM(tblDados[Mandante])=$A57)*tblDados[Primeira_Ocorrencia]*tblDados[GM_M]))</f>
        <v>23</v>
      </c>
      <c r="T57" s="10" cm="1">
        <f t="array" ref="T57">IF($A57="","",SUMPRODUCT((TRIM(tblDados[Visitante])=$A57)*tblDados[Primeira_Ocorrencia]*tblDados[GM_V]))</f>
        <v>17</v>
      </c>
      <c r="U57" s="10">
        <f t="shared" si="11"/>
        <v>40</v>
      </c>
      <c r="V57" s="10">
        <f t="shared" si="0"/>
        <v>2.8571428571428572</v>
      </c>
      <c r="W57" s="10" cm="1">
        <f t="array" ref="W57">IF($A57="","",SUMPRODUCT((TRIM(tblDados[Mandante])=$A57)*tblDados[Primeira_Ocorrencia]*tblDados[GS_M]))</f>
        <v>12</v>
      </c>
      <c r="X57" s="10" cm="1">
        <f t="array" ref="X57">IF($A57="","",SUMPRODUCT((TRIM(tblDados[Visitante])=$A57)*tblDados[Primeira_Ocorrencia]*tblDados[GS_V]))</f>
        <v>15</v>
      </c>
      <c r="Y57" s="10">
        <f t="shared" si="12"/>
        <v>27</v>
      </c>
      <c r="Z57" s="10">
        <f t="shared" si="1"/>
        <v>1.9285714285714286</v>
      </c>
      <c r="AA57" s="10">
        <f t="shared" si="2"/>
        <v>3.2857142857142856</v>
      </c>
      <c r="AB57" s="10">
        <f t="shared" si="3"/>
        <v>1.7142857142857142</v>
      </c>
      <c r="AC57" s="10">
        <f t="shared" si="4"/>
        <v>2.4285714285714284</v>
      </c>
      <c r="AD57" s="10">
        <f t="shared" si="5"/>
        <v>2.1428571428571428</v>
      </c>
    </row>
    <row r="58" spans="1:30" x14ac:dyDescent="0.3">
      <c r="A58" s="7" t="str">
        <v>Always Ready</v>
      </c>
      <c r="B58" s="12" t="str" cm="1">
        <f t="array" ref="B58">IF($A58="","",_xlfn.LET(_xlpm.p,IFERROR(INDEX(tblDados[País],MATCH($A58,TRIM(tblDados[Mandante]),0)),INDEX(tblDados[País],MATCH($A58,TRIM(tblDados[Visitante]),0))),_xlpm.l,IFERROR(INDEX(tblDados[Liga],MATCH($A58,TRIM(tblDados[Mandante]),0)),INDEX(tblDados[Liga],MATCH($A58,TRIM(tblDados[Visitante]),0))),_xlpm.p&amp;" - "&amp;_xlpm.l))</f>
        <v>BOL - Div. Profesional</v>
      </c>
      <c r="C58" s="10">
        <f t="shared" si="6"/>
        <v>2.714285714285714</v>
      </c>
      <c r="D58" s="10">
        <f t="shared" si="7"/>
        <v>2.5</v>
      </c>
      <c r="E58" s="9" cm="1">
        <f t="array" ref="E58">IF($A58="","",SUMPRODUCT((TRIM(tblDados[Mandante])=$A58)*tblDados[Primeira_Ocorrencia]))</f>
        <v>7</v>
      </c>
      <c r="F58" s="9" cm="1">
        <f t="array" ref="F58">IF($A58="","",SUMPRODUCT((TRIM(tblDados[Visitante])=$A58)*tblDados[Primeira_Ocorrencia]))</f>
        <v>6</v>
      </c>
      <c r="G58" s="9" cm="1">
        <f t="array" ref="G58">IF($A58="","",SUMPRODUCT((TRIM(tblDados[Mandante])=$A58)*tblDados[Primeira_Ocorrencia])+SUMPRODUCT((TRIM(tblDados[Visitante])=$A58)*tblDados[Primeira_Ocorrencia]))</f>
        <v>13</v>
      </c>
      <c r="H58" s="10">
        <f t="shared" si="8"/>
        <v>2.1538461538461537</v>
      </c>
      <c r="I58" s="10" cm="1">
        <f t="array" ref="I58">IF($A58="","",_xlfn.LET(_xlpm.p,IFERROR(INDEX(tblDados[País],MATCH($A58,TRIM(tblDados[Mandante]),0)),INDEX(tblDados[País],MATCH($A58,TRIM(tblDados[Visitante]),0))),_xlpm.l,IFERROR(INDEX(tblDados[Liga],MATCH($A58,TRIM(tblDados[Mandante]),0)),INDEX(tblDados[Liga],MATCH($A58,TRIM(tblDados[Visitante]),0))),IFERROR(SUMIFS(Ligas!$D$2:$D$39,Ligas!$H$2:$H$39,_xlpm.p,Ligas!$I$2:$I$39,_xlpm.l),0)))</f>
        <v>3.62</v>
      </c>
      <c r="J58" s="11" cm="1">
        <f t="array" ref="J58">IF($A58="","",IFERROR((SUMPRODUCT((TRIM(tblDados[Mandante])=$A58)*tblDados[Primeira_Ocorrencia]*(tblDados[GM_M]=0))+SUMPRODUCT((TRIM(tblDados[Visitante])=$A58)*tblDados[Primeira_Ocorrencia]*(tblDados[GM_V]=0)))/G58,0))</f>
        <v>0.23076923076923078</v>
      </c>
      <c r="K58" s="11" cm="1">
        <f t="array" ref="K58">IF($A58="","",IFERROR((SUMPRODUCT((TRIM(tblDados[Mandante])=$A58)*tblDados[Primeira_Ocorrencia]*((tblDados[GM_M]+tblDados[GS_M])&gt;0.5))+SUMPRODUCT((TRIM(tblDados[Visitante])=$A58)*tblDados[Primeira_Ocorrencia]*((tblDados[GM_V]+tblDados[GS_V])&gt;0.5)))/G58,0))</f>
        <v>0.84615384615384615</v>
      </c>
      <c r="L58" s="11" cm="1">
        <f t="array" ref="L58">IF($A58="","",IFERROR((SUMPRODUCT((TRIM(tblDados[Mandante])=$A58)*tblDados[Primeira_Ocorrencia]*((tblDados[GM_M]+tblDados[GS_M])&gt;1.5))+SUMPRODUCT((TRIM(tblDados[Visitante])=$A58)*tblDados[Primeira_Ocorrencia]*((tblDados[GM_V]+tblDados[GS_V])&gt;1.5)))/G58,0))</f>
        <v>0.61538461538461542</v>
      </c>
      <c r="M58" s="11" cm="1">
        <f t="array" ref="M58">IF($A58="","",IFERROR((SUMPRODUCT((TRIM(tblDados[Mandante])=$A58)*tblDados[Primeira_Ocorrencia]*((tblDados[GM_M]+tblDados[GS_M])&gt;2.5))+SUMPRODUCT((TRIM(tblDados[Visitante])=$A58)*tblDados[Primeira_Ocorrencia]*((tblDados[GM_V]+tblDados[GS_V])&gt;2.5)))/G58,0))</f>
        <v>0.53846153846153844</v>
      </c>
      <c r="N58" s="11" cm="1">
        <f t="array" ref="N58">IF($A58="","",IFERROR((SUMPRODUCT((TRIM(tblDados[Mandante])=$A58)*tblDados[Primeira_Ocorrencia]*((tblDados[GM_M]+tblDados[GS_M])&gt;3.5))+SUMPRODUCT((TRIM(tblDados[Visitante])=$A58)*tblDados[Primeira_Ocorrencia]*((tblDados[GM_V]+tblDados[GS_V])&gt;3.5)))/G58,0))</f>
        <v>0.46153846153846156</v>
      </c>
      <c r="O58" s="11" cm="1">
        <f t="array" ref="O58">IF($A58="","",IFERROR((SUMPRODUCT((TRIM(tblDados[Mandante])=$A58)*tblDados[Primeira_Ocorrencia]*(tblDados[GM_M]&gt;0)*(tblDados[GS_M]&gt;0))+SUMPRODUCT((TRIM(tblDados[Visitante])=$A58)*tblDados[Primeira_Ocorrencia]*(tblDados[GM_V]&gt;0)*(tblDados[GS_V]&gt;0)))/G58,0))</f>
        <v>0.38461538461538464</v>
      </c>
      <c r="P58" s="10" cm="1">
        <f t="array" ref="P58">IF($A58="","",IFERROR((SUMPRODUCT((TRIM(tblDados[Mandante])=$A58)*tblDados[Primeira_Ocorrencia]*tblDados[GM_M]^2)+SUMPRODUCT((TRIM(tblDados[Visitante])=$A58)*tblDados[Primeira_Ocorrencia]*tblDados[GM_V]^2))/G58-H58^2,0))</f>
        <v>3.2071005917159763</v>
      </c>
      <c r="Q58" s="10">
        <f t="shared" si="9"/>
        <v>1.7908379579727409</v>
      </c>
      <c r="R58" s="8" t="str">
        <f t="shared" si="10"/>
        <v>Poisson</v>
      </c>
      <c r="S58" s="10" cm="1">
        <f t="array" ref="S58">IF($A58="","",SUMPRODUCT((TRIM(tblDados[Mandante])=$A58)*tblDados[Primeira_Ocorrencia]*tblDados[GM_M]))</f>
        <v>16</v>
      </c>
      <c r="T58" s="10" cm="1">
        <f t="array" ref="T58">IF($A58="","",SUMPRODUCT((TRIM(tblDados[Visitante])=$A58)*tblDados[Primeira_Ocorrencia]*tblDados[GM_V]))</f>
        <v>12</v>
      </c>
      <c r="U58" s="10">
        <f t="shared" si="11"/>
        <v>28</v>
      </c>
      <c r="V58" s="10">
        <f t="shared" si="0"/>
        <v>2.1538461538461537</v>
      </c>
      <c r="W58" s="10" cm="1">
        <f t="array" ref="W58">IF($A58="","",SUMPRODUCT((TRIM(tblDados[Mandante])=$A58)*tblDados[Primeira_Ocorrencia]*tblDados[GS_M]))</f>
        <v>3</v>
      </c>
      <c r="X58" s="10" cm="1">
        <f t="array" ref="X58">IF($A58="","",SUMPRODUCT((TRIM(tblDados[Visitante])=$A58)*tblDados[Primeira_Ocorrencia]*tblDados[GS_V]))</f>
        <v>3</v>
      </c>
      <c r="Y58" s="10">
        <f t="shared" si="12"/>
        <v>6</v>
      </c>
      <c r="Z58" s="10">
        <f t="shared" si="1"/>
        <v>0.46153846153846156</v>
      </c>
      <c r="AA58" s="10">
        <f t="shared" si="2"/>
        <v>2.2857142857142856</v>
      </c>
      <c r="AB58" s="10">
        <f t="shared" si="3"/>
        <v>0.42857142857142855</v>
      </c>
      <c r="AC58" s="10">
        <f t="shared" si="4"/>
        <v>2</v>
      </c>
      <c r="AD58" s="10">
        <f t="shared" si="5"/>
        <v>0.5</v>
      </c>
    </row>
    <row r="59" spans="1:30" x14ac:dyDescent="0.3">
      <c r="A59" s="7" t="str">
        <v>Aucas</v>
      </c>
      <c r="B59" s="12" t="str" cm="1">
        <f t="array" ref="B59">IF($A59="","",_xlfn.LET(_xlpm.p,IFERROR(INDEX(tblDados[País],MATCH($A59,TRIM(tblDados[Mandante]),0)),INDEX(tblDados[País],MATCH($A59,TRIM(tblDados[Visitante]),0))),_xlpm.l,IFERROR(INDEX(tblDados[Liga],MATCH($A59,TRIM(tblDados[Mandante]),0)),INDEX(tblDados[Liga],MATCH($A59,TRIM(tblDados[Visitante]),0))),_xlpm.p&amp;" - "&amp;_xlpm.l))</f>
        <v>ECU - LigaPro Serie A</v>
      </c>
      <c r="C59" s="10">
        <f t="shared" si="6"/>
        <v>3.166666666666667</v>
      </c>
      <c r="D59" s="10">
        <f t="shared" si="7"/>
        <v>2.1428571428571428</v>
      </c>
      <c r="E59" s="9" cm="1">
        <f t="array" ref="E59">IF($A59="","",SUMPRODUCT((TRIM(tblDados[Mandante])=$A59)*tblDados[Primeira_Ocorrencia]))</f>
        <v>6</v>
      </c>
      <c r="F59" s="9" cm="1">
        <f t="array" ref="F59">IF($A59="","",SUMPRODUCT((TRIM(tblDados[Visitante])=$A59)*tblDados[Primeira_Ocorrencia]))</f>
        <v>7</v>
      </c>
      <c r="G59" s="9" cm="1">
        <f t="array" ref="G59">IF($A59="","",SUMPRODUCT((TRIM(tblDados[Mandante])=$A59)*tblDados[Primeira_Ocorrencia])+SUMPRODUCT((TRIM(tblDados[Visitante])=$A59)*tblDados[Primeira_Ocorrencia]))</f>
        <v>13</v>
      </c>
      <c r="H59" s="10">
        <f t="shared" si="8"/>
        <v>1.3076923076923077</v>
      </c>
      <c r="I59" s="10" cm="1">
        <f t="array" ref="I59">IF($A59="","",_xlfn.LET(_xlpm.p,IFERROR(INDEX(tblDados[País],MATCH($A59,TRIM(tblDados[Mandante]),0)),INDEX(tblDados[País],MATCH($A59,TRIM(tblDados[Visitante]),0))),_xlpm.l,IFERROR(INDEX(tblDados[Liga],MATCH($A59,TRIM(tblDados[Mandante]),0)),INDEX(tblDados[Liga],MATCH($A59,TRIM(tblDados[Visitante]),0))),IFERROR(SUMIFS(Ligas!$D$2:$D$39,Ligas!$H$2:$H$39,_xlpm.p,Ligas!$I$2:$I$39,_xlpm.l),0)))</f>
        <v>2.5</v>
      </c>
      <c r="J59" s="11" cm="1">
        <f t="array" ref="J59">IF($A59="","",IFERROR((SUMPRODUCT((TRIM(tblDados[Mandante])=$A59)*tblDados[Primeira_Ocorrencia]*(tblDados[GM_M]=0))+SUMPRODUCT((TRIM(tblDados[Visitante])=$A59)*tblDados[Primeira_Ocorrencia]*(tblDados[GM_V]=0)))/G59,0))</f>
        <v>0.23076923076923078</v>
      </c>
      <c r="K59" s="11" cm="1">
        <f t="array" ref="K59">IF($A59="","",IFERROR((SUMPRODUCT((TRIM(tblDados[Mandante])=$A59)*tblDados[Primeira_Ocorrencia]*((tblDados[GM_M]+tblDados[GS_M])&gt;0.5))+SUMPRODUCT((TRIM(tblDados[Visitante])=$A59)*tblDados[Primeira_Ocorrencia]*((tblDados[GM_V]+tblDados[GS_V])&gt;0.5)))/G59,0))</f>
        <v>0.92307692307692313</v>
      </c>
      <c r="L59" s="11" cm="1">
        <f t="array" ref="L59">IF($A59="","",IFERROR((SUMPRODUCT((TRIM(tblDados[Mandante])=$A59)*tblDados[Primeira_Ocorrencia]*((tblDados[GM_M]+tblDados[GS_M])&gt;1.5))+SUMPRODUCT((TRIM(tblDados[Visitante])=$A59)*tblDados[Primeira_Ocorrencia]*((tblDados[GM_V]+tblDados[GS_V])&gt;1.5)))/G59,0))</f>
        <v>0.69230769230769229</v>
      </c>
      <c r="M59" s="11" cm="1">
        <f t="array" ref="M59">IF($A59="","",IFERROR((SUMPRODUCT((TRIM(tblDados[Mandante])=$A59)*tblDados[Primeira_Ocorrencia]*((tblDados[GM_M]+tblDados[GS_M])&gt;2.5))+SUMPRODUCT((TRIM(tblDados[Visitante])=$A59)*tblDados[Primeira_Ocorrencia]*((tblDados[GM_V]+tblDados[GS_V])&gt;2.5)))/G59,0))</f>
        <v>0.61538461538461542</v>
      </c>
      <c r="N59" s="11" cm="1">
        <f t="array" ref="N59">IF($A59="","",IFERROR((SUMPRODUCT((TRIM(tblDados[Mandante])=$A59)*tblDados[Primeira_Ocorrencia]*((tblDados[GM_M]+tblDados[GS_M])&gt;3.5))+SUMPRODUCT((TRIM(tblDados[Visitante])=$A59)*tblDados[Primeira_Ocorrencia]*((tblDados[GM_V]+tblDados[GS_V])&gt;3.5)))/G59,0))</f>
        <v>0.23076923076923078</v>
      </c>
      <c r="O59" s="11" cm="1">
        <f t="array" ref="O59">IF($A59="","",IFERROR((SUMPRODUCT((TRIM(tblDados[Mandante])=$A59)*tblDados[Primeira_Ocorrencia]*(tblDados[GM_M]&gt;0)*(tblDados[GS_M]&gt;0))+SUMPRODUCT((TRIM(tblDados[Visitante])=$A59)*tblDados[Primeira_Ocorrencia]*(tblDados[GM_V]&gt;0)*(tblDados[GS_V]&gt;0)))/G59,0))</f>
        <v>0.38461538461538464</v>
      </c>
      <c r="P59" s="10" cm="1">
        <f t="array" ref="P59">IF($A59="","",IFERROR((SUMPRODUCT((TRIM(tblDados[Mandante])=$A59)*tblDados[Primeira_Ocorrencia]*tblDados[GM_M]^2)+SUMPRODUCT((TRIM(tblDados[Visitante])=$A59)*tblDados[Primeira_Ocorrencia]*tblDados[GM_V]^2))/G59-H59^2,0))</f>
        <v>0.9822485207100593</v>
      </c>
      <c r="Q59" s="10">
        <f t="shared" si="9"/>
        <v>0.99108451744039439</v>
      </c>
      <c r="R59" s="8" t="str">
        <f t="shared" si="10"/>
        <v>Poisson</v>
      </c>
      <c r="S59" s="10" cm="1">
        <f t="array" ref="S59">IF($A59="","",SUMPRODUCT((TRIM(tblDados[Mandante])=$A59)*tblDados[Primeira_Ocorrencia]*tblDados[GM_M]))</f>
        <v>10</v>
      </c>
      <c r="T59" s="10" cm="1">
        <f t="array" ref="T59">IF($A59="","",SUMPRODUCT((TRIM(tblDados[Visitante])=$A59)*tblDados[Primeira_Ocorrencia]*tblDados[GM_V]))</f>
        <v>7</v>
      </c>
      <c r="U59" s="10">
        <f t="shared" si="11"/>
        <v>17</v>
      </c>
      <c r="V59" s="10">
        <f t="shared" si="0"/>
        <v>1.3076923076923077</v>
      </c>
      <c r="W59" s="10" cm="1">
        <f t="array" ref="W59">IF($A59="","",SUMPRODUCT((TRIM(tblDados[Mandante])=$A59)*tblDados[Primeira_Ocorrencia]*tblDados[GS_M]))</f>
        <v>9</v>
      </c>
      <c r="X59" s="10" cm="1">
        <f t="array" ref="X59">IF($A59="","",SUMPRODUCT((TRIM(tblDados[Visitante])=$A59)*tblDados[Primeira_Ocorrencia]*tblDados[GS_V]))</f>
        <v>8</v>
      </c>
      <c r="Y59" s="10">
        <f t="shared" si="12"/>
        <v>17</v>
      </c>
      <c r="Z59" s="10">
        <f t="shared" si="1"/>
        <v>1.3076923076923077</v>
      </c>
      <c r="AA59" s="10">
        <f t="shared" si="2"/>
        <v>1.6666666666666667</v>
      </c>
      <c r="AB59" s="10">
        <f t="shared" si="3"/>
        <v>1.5</v>
      </c>
      <c r="AC59" s="10">
        <f t="shared" si="4"/>
        <v>1</v>
      </c>
      <c r="AD59" s="10">
        <f t="shared" si="5"/>
        <v>1.1428571428571428</v>
      </c>
    </row>
    <row r="60" spans="1:30" x14ac:dyDescent="0.3">
      <c r="A60" s="7" t="str">
        <v>Bahia</v>
      </c>
      <c r="B60" s="12" t="str" cm="1">
        <f t="array" ref="B60">IF($A60="","",_xlfn.LET(_xlpm.p,IFERROR(INDEX(tblDados[País],MATCH($A60,TRIM(tblDados[Mandante]),0)),INDEX(tblDados[País],MATCH($A60,TRIM(tblDados[Visitante]),0))),_xlpm.l,IFERROR(INDEX(tblDados[Liga],MATCH($A60,TRIM(tblDados[Mandante]),0)),INDEX(tblDados[Liga],MATCH($A60,TRIM(tblDados[Visitante]),0))),_xlpm.p&amp;" - "&amp;_xlpm.l))</f>
        <v>BRA - Série A</v>
      </c>
      <c r="C60" s="10">
        <f t="shared" si="6"/>
        <v>2.7142857142857144</v>
      </c>
      <c r="D60" s="10">
        <f t="shared" si="7"/>
        <v>2.666666666666667</v>
      </c>
      <c r="E60" s="9" cm="1">
        <f t="array" ref="E60">IF($A60="","",SUMPRODUCT((TRIM(tblDados[Mandante])=$A60)*tblDados[Primeira_Ocorrencia]))</f>
        <v>7</v>
      </c>
      <c r="F60" s="9" cm="1">
        <f t="array" ref="F60">IF($A60="","",SUMPRODUCT((TRIM(tblDados[Visitante])=$A60)*tblDados[Primeira_Ocorrencia]))</f>
        <v>6</v>
      </c>
      <c r="G60" s="9" cm="1">
        <f t="array" ref="G60">IF($A60="","",SUMPRODUCT((TRIM(tblDados[Mandante])=$A60)*tblDados[Primeira_Ocorrencia])+SUMPRODUCT((TRIM(tblDados[Visitante])=$A60)*tblDados[Primeira_Ocorrencia]))</f>
        <v>13</v>
      </c>
      <c r="H60" s="10">
        <f t="shared" si="8"/>
        <v>1.3076923076923077</v>
      </c>
      <c r="I60" s="10" cm="1">
        <f t="array" ref="I60">IF($A60="","",_xlfn.LET(_xlpm.p,IFERROR(INDEX(tblDados[País],MATCH($A60,TRIM(tblDados[Mandante]),0)),INDEX(tblDados[País],MATCH($A60,TRIM(tblDados[Visitante]),0))),_xlpm.l,IFERROR(INDEX(tblDados[Liga],MATCH($A60,TRIM(tblDados[Mandante]),0)),INDEX(tblDados[Liga],MATCH($A60,TRIM(tblDados[Visitante]),0))),IFERROR(SUMIFS(Ligas!$D$2:$D$39,Ligas!$H$2:$H$39,_xlpm.p,Ligas!$I$2:$I$39,_xlpm.l),0)))</f>
        <v>2.59</v>
      </c>
      <c r="J60" s="11" cm="1">
        <f t="array" ref="J60">IF($A60="","",IFERROR((SUMPRODUCT((TRIM(tblDados[Mandante])=$A60)*tblDados[Primeira_Ocorrencia]*(tblDados[GM_M]=0))+SUMPRODUCT((TRIM(tblDados[Visitante])=$A60)*tblDados[Primeira_Ocorrencia]*(tblDados[GM_V]=0)))/G60,0))</f>
        <v>0.15384615384615385</v>
      </c>
      <c r="K60" s="11" cm="1">
        <f t="array" ref="K60">IF($A60="","",IFERROR((SUMPRODUCT((TRIM(tblDados[Mandante])=$A60)*tblDados[Primeira_Ocorrencia]*((tblDados[GM_M]+tblDados[GS_M])&gt;0.5))+SUMPRODUCT((TRIM(tblDados[Visitante])=$A60)*tblDados[Primeira_Ocorrencia]*((tblDados[GM_V]+tblDados[GS_V])&gt;0.5)))/G60,0))</f>
        <v>0.92307692307692313</v>
      </c>
      <c r="L60" s="11" cm="1">
        <f t="array" ref="L60">IF($A60="","",IFERROR((SUMPRODUCT((TRIM(tblDados[Mandante])=$A60)*tblDados[Primeira_Ocorrencia]*((tblDados[GM_M]+tblDados[GS_M])&gt;1.5))+SUMPRODUCT((TRIM(tblDados[Visitante])=$A60)*tblDados[Primeira_Ocorrencia]*((tblDados[GM_V]+tblDados[GS_V])&gt;1.5)))/G60,0))</f>
        <v>0.92307692307692313</v>
      </c>
      <c r="M60" s="11" cm="1">
        <f t="array" ref="M60">IF($A60="","",IFERROR((SUMPRODUCT((TRIM(tblDados[Mandante])=$A60)*tblDados[Primeira_Ocorrencia]*((tblDados[GM_M]+tblDados[GS_M])&gt;2.5))+SUMPRODUCT((TRIM(tblDados[Visitante])=$A60)*tblDados[Primeira_Ocorrencia]*((tblDados[GM_V]+tblDados[GS_V])&gt;2.5)))/G60,0))</f>
        <v>0.53846153846153844</v>
      </c>
      <c r="N60" s="11" cm="1">
        <f t="array" ref="N60">IF($A60="","",IFERROR((SUMPRODUCT((TRIM(tblDados[Mandante])=$A60)*tblDados[Primeira_Ocorrencia]*((tblDados[GM_M]+tblDados[GS_M])&gt;3.5))+SUMPRODUCT((TRIM(tblDados[Visitante])=$A60)*tblDados[Primeira_Ocorrencia]*((tblDados[GM_V]+tblDados[GS_V])&gt;3.5)))/G60,0))</f>
        <v>0.23076923076923078</v>
      </c>
      <c r="O60" s="11" cm="1">
        <f t="array" ref="O60">IF($A60="","",IFERROR((SUMPRODUCT((TRIM(tblDados[Mandante])=$A60)*tblDados[Primeira_Ocorrencia]*(tblDados[GM_M]&gt;0)*(tblDados[GS_M]&gt;0))+SUMPRODUCT((TRIM(tblDados[Visitante])=$A60)*tblDados[Primeira_Ocorrencia]*(tblDados[GM_V]&gt;0)*(tblDados[GS_V]&gt;0)))/G60,0))</f>
        <v>0.76923076923076927</v>
      </c>
      <c r="P60" s="10" cm="1">
        <f t="array" ref="P60">IF($A60="","",IFERROR((SUMPRODUCT((TRIM(tblDados[Mandante])=$A60)*tblDados[Primeira_Ocorrencia]*tblDados[GM_M]^2)+SUMPRODUCT((TRIM(tblDados[Visitante])=$A60)*tblDados[Primeira_Ocorrencia]*tblDados[GM_V]^2))/G60-H60^2,0))</f>
        <v>0.52071005917159763</v>
      </c>
      <c r="Q60" s="10">
        <f t="shared" si="9"/>
        <v>0.72160242458821988</v>
      </c>
      <c r="R60" s="8" t="str">
        <f t="shared" si="10"/>
        <v>Poisson</v>
      </c>
      <c r="S60" s="10" cm="1">
        <f t="array" ref="S60">IF($A60="","",SUMPRODUCT((TRIM(tblDados[Mandante])=$A60)*tblDados[Primeira_Ocorrencia]*tblDados[GM_M]))</f>
        <v>10</v>
      </c>
      <c r="T60" s="10" cm="1">
        <f t="array" ref="T60">IF($A60="","",SUMPRODUCT((TRIM(tblDados[Visitante])=$A60)*tblDados[Primeira_Ocorrencia]*tblDados[GM_V]))</f>
        <v>7</v>
      </c>
      <c r="U60" s="10">
        <f t="shared" si="11"/>
        <v>17</v>
      </c>
      <c r="V60" s="10">
        <f t="shared" si="0"/>
        <v>1.3076923076923077</v>
      </c>
      <c r="W60" s="10" cm="1">
        <f t="array" ref="W60">IF($A60="","",SUMPRODUCT((TRIM(tblDados[Mandante])=$A60)*tblDados[Primeira_Ocorrencia]*tblDados[GS_M]))</f>
        <v>9</v>
      </c>
      <c r="X60" s="10" cm="1">
        <f t="array" ref="X60">IF($A60="","",SUMPRODUCT((TRIM(tblDados[Visitante])=$A60)*tblDados[Primeira_Ocorrencia]*tblDados[GS_V]))</f>
        <v>9</v>
      </c>
      <c r="Y60" s="10">
        <f t="shared" si="12"/>
        <v>18</v>
      </c>
      <c r="Z60" s="10">
        <f t="shared" si="1"/>
        <v>1.3846153846153846</v>
      </c>
      <c r="AA60" s="10">
        <f t="shared" si="2"/>
        <v>1.4285714285714286</v>
      </c>
      <c r="AB60" s="10">
        <f t="shared" si="3"/>
        <v>1.2857142857142858</v>
      </c>
      <c r="AC60" s="10">
        <f t="shared" si="4"/>
        <v>1.1666666666666667</v>
      </c>
      <c r="AD60" s="10">
        <f t="shared" si="5"/>
        <v>1.5</v>
      </c>
    </row>
    <row r="61" spans="1:30" x14ac:dyDescent="0.3">
      <c r="A61" s="7" t="str">
        <v>Barcelona SC</v>
      </c>
      <c r="B61" s="12" t="str" cm="1">
        <f t="array" ref="B61">IF($A61="","",_xlfn.LET(_xlpm.p,IFERROR(INDEX(tblDados[País],MATCH($A61,TRIM(tblDados[Mandante]),0)),INDEX(tblDados[País],MATCH($A61,TRIM(tblDados[Visitante]),0))),_xlpm.l,IFERROR(INDEX(tblDados[Liga],MATCH($A61,TRIM(tblDados[Mandante]),0)),INDEX(tblDados[Liga],MATCH($A61,TRIM(tblDados[Visitante]),0))),_xlpm.p&amp;" - "&amp;_xlpm.l))</f>
        <v>ECU - LigaPro Serie A</v>
      </c>
      <c r="C61" s="10">
        <f t="shared" si="6"/>
        <v>2</v>
      </c>
      <c r="D61" s="10">
        <f t="shared" si="7"/>
        <v>1.6666666666666665</v>
      </c>
      <c r="E61" s="9" cm="1">
        <f t="array" ref="E61">IF($A61="","",SUMPRODUCT((TRIM(tblDados[Mandante])=$A61)*tblDados[Primeira_Ocorrencia]))</f>
        <v>7</v>
      </c>
      <c r="F61" s="9" cm="1">
        <f t="array" ref="F61">IF($A61="","",SUMPRODUCT((TRIM(tblDados[Visitante])=$A61)*tblDados[Primeira_Ocorrencia]))</f>
        <v>6</v>
      </c>
      <c r="G61" s="9" cm="1">
        <f t="array" ref="G61">IF($A61="","",SUMPRODUCT((TRIM(tblDados[Mandante])=$A61)*tblDados[Primeira_Ocorrencia])+SUMPRODUCT((TRIM(tblDados[Visitante])=$A61)*tblDados[Primeira_Ocorrencia]))</f>
        <v>13</v>
      </c>
      <c r="H61" s="10">
        <f t="shared" si="8"/>
        <v>1</v>
      </c>
      <c r="I61" s="10" cm="1">
        <f t="array" ref="I61">IF($A61="","",_xlfn.LET(_xlpm.p,IFERROR(INDEX(tblDados[País],MATCH($A61,TRIM(tblDados[Mandante]),0)),INDEX(tblDados[País],MATCH($A61,TRIM(tblDados[Visitante]),0))),_xlpm.l,IFERROR(INDEX(tblDados[Liga],MATCH($A61,TRIM(tblDados[Mandante]),0)),INDEX(tblDados[Liga],MATCH($A61,TRIM(tblDados[Visitante]),0))),IFERROR(SUMIFS(Ligas!$D$2:$D$39,Ligas!$H$2:$H$39,_xlpm.p,Ligas!$I$2:$I$39,_xlpm.l),0)))</f>
        <v>2.5</v>
      </c>
      <c r="J61" s="11" cm="1">
        <f t="array" ref="J61">IF($A61="","",IFERROR((SUMPRODUCT((TRIM(tblDados[Mandante])=$A61)*tblDados[Primeira_Ocorrencia]*(tblDados[GM_M]=0))+SUMPRODUCT((TRIM(tblDados[Visitante])=$A61)*tblDados[Primeira_Ocorrencia]*(tblDados[GM_V]=0)))/G61,0))</f>
        <v>0.30769230769230771</v>
      </c>
      <c r="K61" s="11" cm="1">
        <f t="array" ref="K61">IF($A61="","",IFERROR((SUMPRODUCT((TRIM(tblDados[Mandante])=$A61)*tblDados[Primeira_Ocorrencia]*((tblDados[GM_M]+tblDados[GS_M])&gt;0.5))+SUMPRODUCT((TRIM(tblDados[Visitante])=$A61)*tblDados[Primeira_Ocorrencia]*((tblDados[GM_V]+tblDados[GS_V])&gt;0.5)))/G61,0))</f>
        <v>0.92307692307692313</v>
      </c>
      <c r="L61" s="11" cm="1">
        <f t="array" ref="L61">IF($A61="","",IFERROR((SUMPRODUCT((TRIM(tblDados[Mandante])=$A61)*tblDados[Primeira_Ocorrencia]*((tblDados[GM_M]+tblDados[GS_M])&gt;1.5))+SUMPRODUCT((TRIM(tblDados[Visitante])=$A61)*tblDados[Primeira_Ocorrencia]*((tblDados[GM_V]+tblDados[GS_V])&gt;1.5)))/G61,0))</f>
        <v>0.61538461538461542</v>
      </c>
      <c r="M61" s="11" cm="1">
        <f t="array" ref="M61">IF($A61="","",IFERROR((SUMPRODUCT((TRIM(tblDados[Mandante])=$A61)*tblDados[Primeira_Ocorrencia]*((tblDados[GM_M]+tblDados[GS_M])&gt;2.5))+SUMPRODUCT((TRIM(tblDados[Visitante])=$A61)*tblDados[Primeira_Ocorrencia]*((tblDados[GM_V]+tblDados[GS_V])&gt;2.5)))/G61,0))</f>
        <v>0.30769230769230771</v>
      </c>
      <c r="N61" s="11" cm="1">
        <f t="array" ref="N61">IF($A61="","",IFERROR((SUMPRODUCT((TRIM(tblDados[Mandante])=$A61)*tblDados[Primeira_Ocorrencia]*((tblDados[GM_M]+tblDados[GS_M])&gt;3.5))+SUMPRODUCT((TRIM(tblDados[Visitante])=$A61)*tblDados[Primeira_Ocorrencia]*((tblDados[GM_V]+tblDados[GS_V])&gt;3.5)))/G61,0))</f>
        <v>0</v>
      </c>
      <c r="O61" s="11" cm="1">
        <f t="array" ref="O61">IF($A61="","",IFERROR((SUMPRODUCT((TRIM(tblDados[Mandante])=$A61)*tblDados[Primeira_Ocorrencia]*(tblDados[GM_M]&gt;0)*(tblDados[GS_M]&gt;0))+SUMPRODUCT((TRIM(tblDados[Visitante])=$A61)*tblDados[Primeira_Ocorrencia]*(tblDados[GM_V]&gt;0)*(tblDados[GS_V]&gt;0)))/G61,0))</f>
        <v>0.46153846153846156</v>
      </c>
      <c r="P61" s="10" cm="1">
        <f t="array" ref="P61">IF($A61="","",IFERROR((SUMPRODUCT((TRIM(tblDados[Mandante])=$A61)*tblDados[Primeira_Ocorrencia]*tblDados[GM_M]^2)+SUMPRODUCT((TRIM(tblDados[Visitante])=$A61)*tblDados[Primeira_Ocorrencia]*tblDados[GM_V]^2))/G61-H61^2,0))</f>
        <v>0.76923076923076916</v>
      </c>
      <c r="Q61" s="10">
        <f t="shared" si="9"/>
        <v>0.8770580193070292</v>
      </c>
      <c r="R61" s="8" t="str">
        <f t="shared" si="10"/>
        <v>Poisson</v>
      </c>
      <c r="S61" s="10" cm="1">
        <f t="array" ref="S61">IF($A61="","",SUMPRODUCT((TRIM(tblDados[Mandante])=$A61)*tblDados[Primeira_Ocorrencia]*tblDados[GM_M]))</f>
        <v>9</v>
      </c>
      <c r="T61" s="10" cm="1">
        <f t="array" ref="T61">IF($A61="","",SUMPRODUCT((TRIM(tblDados[Visitante])=$A61)*tblDados[Primeira_Ocorrencia]*tblDados[GM_V]))</f>
        <v>4</v>
      </c>
      <c r="U61" s="10">
        <f t="shared" si="11"/>
        <v>13</v>
      </c>
      <c r="V61" s="10">
        <f t="shared" si="0"/>
        <v>1</v>
      </c>
      <c r="W61" s="10" cm="1">
        <f t="array" ref="W61">IF($A61="","",SUMPRODUCT((TRIM(tblDados[Mandante])=$A61)*tblDados[Primeira_Ocorrencia]*tblDados[GS_M]))</f>
        <v>5</v>
      </c>
      <c r="X61" s="10" cm="1">
        <f t="array" ref="X61">IF($A61="","",SUMPRODUCT((TRIM(tblDados[Visitante])=$A61)*tblDados[Primeira_Ocorrencia]*tblDados[GS_V]))</f>
        <v>6</v>
      </c>
      <c r="Y61" s="10">
        <f t="shared" si="12"/>
        <v>11</v>
      </c>
      <c r="Z61" s="10">
        <f t="shared" si="1"/>
        <v>0.84615384615384615</v>
      </c>
      <c r="AA61" s="10">
        <f t="shared" si="2"/>
        <v>1.2857142857142858</v>
      </c>
      <c r="AB61" s="10">
        <f t="shared" si="3"/>
        <v>0.7142857142857143</v>
      </c>
      <c r="AC61" s="10">
        <f t="shared" si="4"/>
        <v>0.66666666666666663</v>
      </c>
      <c r="AD61" s="10">
        <f t="shared" si="5"/>
        <v>1</v>
      </c>
    </row>
    <row r="62" spans="1:30" x14ac:dyDescent="0.3">
      <c r="A62" s="7" t="str">
        <v>Blooming</v>
      </c>
      <c r="B62" s="12" t="str" cm="1">
        <f t="array" ref="B62">IF($A62="","",_xlfn.LET(_xlpm.p,IFERROR(INDEX(tblDados[País],MATCH($A62,TRIM(tblDados[Mandante]),0)),INDEX(tblDados[País],MATCH($A62,TRIM(tblDados[Visitante]),0))),_xlpm.l,IFERROR(INDEX(tblDados[Liga],MATCH($A62,TRIM(tblDados[Mandante]),0)),INDEX(tblDados[Liga],MATCH($A62,TRIM(tblDados[Visitante]),0))),_xlpm.p&amp;" - "&amp;_xlpm.l))</f>
        <v>BOL - Div. Profesional</v>
      </c>
      <c r="C62" s="10">
        <f t="shared" si="6"/>
        <v>1.8571428571428572</v>
      </c>
      <c r="D62" s="10">
        <f t="shared" si="7"/>
        <v>3</v>
      </c>
      <c r="E62" s="9" cm="1">
        <f t="array" ref="E62">IF($A62="","",SUMPRODUCT((TRIM(tblDados[Mandante])=$A62)*tblDados[Primeira_Ocorrencia]))</f>
        <v>7</v>
      </c>
      <c r="F62" s="9" cm="1">
        <f t="array" ref="F62">IF($A62="","",SUMPRODUCT((TRIM(tblDados[Visitante])=$A62)*tblDados[Primeira_Ocorrencia]))</f>
        <v>6</v>
      </c>
      <c r="G62" s="9" cm="1">
        <f t="array" ref="G62">IF($A62="","",SUMPRODUCT((TRIM(tblDados[Mandante])=$A62)*tblDados[Primeira_Ocorrencia])+SUMPRODUCT((TRIM(tblDados[Visitante])=$A62)*tblDados[Primeira_Ocorrencia]))</f>
        <v>13</v>
      </c>
      <c r="H62" s="10">
        <f t="shared" si="8"/>
        <v>1.3076923076923077</v>
      </c>
      <c r="I62" s="10" cm="1">
        <f t="array" ref="I62">IF($A62="","",_xlfn.LET(_xlpm.p,IFERROR(INDEX(tblDados[País],MATCH($A62,TRIM(tblDados[Mandante]),0)),INDEX(tblDados[País],MATCH($A62,TRIM(tblDados[Visitante]),0))),_xlpm.l,IFERROR(INDEX(tblDados[Liga],MATCH($A62,TRIM(tblDados[Mandante]),0)),INDEX(tblDados[Liga],MATCH($A62,TRIM(tblDados[Visitante]),0))),IFERROR(SUMIFS(Ligas!$D$2:$D$39,Ligas!$H$2:$H$39,_xlpm.p,Ligas!$I$2:$I$39,_xlpm.l),0)))</f>
        <v>3.62</v>
      </c>
      <c r="J62" s="11" cm="1">
        <f t="array" ref="J62">IF($A62="","",IFERROR((SUMPRODUCT((TRIM(tblDados[Mandante])=$A62)*tblDados[Primeira_Ocorrencia]*(tblDados[GM_M]=0))+SUMPRODUCT((TRIM(tblDados[Visitante])=$A62)*tblDados[Primeira_Ocorrencia]*(tblDados[GM_V]=0)))/G62,0))</f>
        <v>0.23076923076923078</v>
      </c>
      <c r="K62" s="11" cm="1">
        <f t="array" ref="K62">IF($A62="","",IFERROR((SUMPRODUCT((TRIM(tblDados[Mandante])=$A62)*tblDados[Primeira_Ocorrencia]*((tblDados[GM_M]+tblDados[GS_M])&gt;0.5))+SUMPRODUCT((TRIM(tblDados[Visitante])=$A62)*tblDados[Primeira_Ocorrencia]*((tblDados[GM_V]+tblDados[GS_V])&gt;0.5)))/G62,0))</f>
        <v>0.84615384615384615</v>
      </c>
      <c r="L62" s="11" cm="1">
        <f t="array" ref="L62">IF($A62="","",IFERROR((SUMPRODUCT((TRIM(tblDados[Mandante])=$A62)*tblDados[Primeira_Ocorrencia]*((tblDados[GM_M]+tblDados[GS_M])&gt;1.5))+SUMPRODUCT((TRIM(tblDados[Visitante])=$A62)*tblDados[Primeira_Ocorrencia]*((tblDados[GM_V]+tblDados[GS_V])&gt;1.5)))/G62,0))</f>
        <v>0.69230769230769229</v>
      </c>
      <c r="M62" s="11" cm="1">
        <f t="array" ref="M62">IF($A62="","",IFERROR((SUMPRODUCT((TRIM(tblDados[Mandante])=$A62)*tblDados[Primeira_Ocorrencia]*((tblDados[GM_M]+tblDados[GS_M])&gt;2.5))+SUMPRODUCT((TRIM(tblDados[Visitante])=$A62)*tblDados[Primeira_Ocorrencia]*((tblDados[GM_V]+tblDados[GS_V])&gt;2.5)))/G62,0))</f>
        <v>0.38461538461538464</v>
      </c>
      <c r="N62" s="11" cm="1">
        <f t="array" ref="N62">IF($A62="","",IFERROR((SUMPRODUCT((TRIM(tblDados[Mandante])=$A62)*tblDados[Primeira_Ocorrencia]*((tblDados[GM_M]+tblDados[GS_M])&gt;3.5))+SUMPRODUCT((TRIM(tblDados[Visitante])=$A62)*tblDados[Primeira_Ocorrencia]*((tblDados[GM_V]+tblDados[GS_V])&gt;3.5)))/G62,0))</f>
        <v>0.30769230769230771</v>
      </c>
      <c r="O62" s="11" cm="1">
        <f t="array" ref="O62">IF($A62="","",IFERROR((SUMPRODUCT((TRIM(tblDados[Mandante])=$A62)*tblDados[Primeira_Ocorrencia]*(tblDados[GM_M]&gt;0)*(tblDados[GS_M]&gt;0))+SUMPRODUCT((TRIM(tblDados[Visitante])=$A62)*tblDados[Primeira_Ocorrencia]*(tblDados[GM_V]&gt;0)*(tblDados[GS_V]&gt;0)))/G62,0))</f>
        <v>0.53846153846153844</v>
      </c>
      <c r="P62" s="10" cm="1">
        <f t="array" ref="P62">IF($A62="","",IFERROR((SUMPRODUCT((TRIM(tblDados[Mandante])=$A62)*tblDados[Primeira_Ocorrencia]*tblDados[GM_M]^2)+SUMPRODUCT((TRIM(tblDados[Visitante])=$A62)*tblDados[Primeira_Ocorrencia]*tblDados[GM_V]^2))/G62-H62^2,0))</f>
        <v>1.5976331360946743</v>
      </c>
      <c r="Q62" s="10">
        <f t="shared" si="9"/>
        <v>1.2639751327042295</v>
      </c>
      <c r="R62" s="8" t="str">
        <f t="shared" si="10"/>
        <v>Poisson</v>
      </c>
      <c r="S62" s="10" cm="1">
        <f t="array" ref="S62">IF($A62="","",SUMPRODUCT((TRIM(tblDados[Mandante])=$A62)*tblDados[Primeira_Ocorrencia]*tblDados[GM_M]))</f>
        <v>10</v>
      </c>
      <c r="T62" s="10" cm="1">
        <f t="array" ref="T62">IF($A62="","",SUMPRODUCT((TRIM(tblDados[Visitante])=$A62)*tblDados[Primeira_Ocorrencia]*tblDados[GM_V]))</f>
        <v>7</v>
      </c>
      <c r="U62" s="10">
        <f t="shared" si="11"/>
        <v>17</v>
      </c>
      <c r="V62" s="10">
        <f t="shared" si="0"/>
        <v>1.3076923076923077</v>
      </c>
      <c r="W62" s="10" cm="1">
        <f t="array" ref="W62">IF($A62="","",SUMPRODUCT((TRIM(tblDados[Mandante])=$A62)*tblDados[Primeira_Ocorrencia]*tblDados[GS_M]))</f>
        <v>3</v>
      </c>
      <c r="X62" s="10" cm="1">
        <f t="array" ref="X62">IF($A62="","",SUMPRODUCT((TRIM(tblDados[Visitante])=$A62)*tblDados[Primeira_Ocorrencia]*tblDados[GS_V]))</f>
        <v>11</v>
      </c>
      <c r="Y62" s="10">
        <f t="shared" si="12"/>
        <v>14</v>
      </c>
      <c r="Z62" s="10">
        <f t="shared" si="1"/>
        <v>1.0769230769230769</v>
      </c>
      <c r="AA62" s="10">
        <f t="shared" si="2"/>
        <v>1.4285714285714286</v>
      </c>
      <c r="AB62" s="10">
        <f t="shared" si="3"/>
        <v>0.42857142857142855</v>
      </c>
      <c r="AC62" s="10">
        <f t="shared" si="4"/>
        <v>1.1666666666666667</v>
      </c>
      <c r="AD62" s="10">
        <f t="shared" si="5"/>
        <v>1.8333333333333333</v>
      </c>
    </row>
    <row r="63" spans="1:30" x14ac:dyDescent="0.3">
      <c r="A63" s="7" t="str">
        <v>Bolívar</v>
      </c>
      <c r="B63" s="12" t="str" cm="1">
        <f t="array" ref="B63">IF($A63="","",_xlfn.LET(_xlpm.p,IFERROR(INDEX(tblDados[País],MATCH($A63,TRIM(tblDados[Mandante]),0)),INDEX(tblDados[País],MATCH($A63,TRIM(tblDados[Visitante]),0))),_xlpm.l,IFERROR(INDEX(tblDados[Liga],MATCH($A63,TRIM(tblDados[Mandante]),0)),INDEX(tblDados[Liga],MATCH($A63,TRIM(tblDados[Visitante]),0))),_xlpm.p&amp;" - "&amp;_xlpm.l))</f>
        <v>BOL - Div. Profesional</v>
      </c>
      <c r="C63" s="10">
        <f t="shared" si="6"/>
        <v>4</v>
      </c>
      <c r="D63" s="10">
        <f t="shared" si="7"/>
        <v>2.166666666666667</v>
      </c>
      <c r="E63" s="9" cm="1">
        <f t="array" ref="E63">IF($A63="","",SUMPRODUCT((TRIM(tblDados[Mandante])=$A63)*tblDados[Primeira_Ocorrencia]))</f>
        <v>7</v>
      </c>
      <c r="F63" s="9" cm="1">
        <f t="array" ref="F63">IF($A63="","",SUMPRODUCT((TRIM(tblDados[Visitante])=$A63)*tblDados[Primeira_Ocorrencia]))</f>
        <v>6</v>
      </c>
      <c r="G63" s="9" cm="1">
        <f t="array" ref="G63">IF($A63="","",SUMPRODUCT((TRIM(tblDados[Mandante])=$A63)*tblDados[Primeira_Ocorrencia])+SUMPRODUCT((TRIM(tblDados[Visitante])=$A63)*tblDados[Primeira_Ocorrencia]))</f>
        <v>13</v>
      </c>
      <c r="H63" s="10">
        <f t="shared" si="8"/>
        <v>2.1538461538461537</v>
      </c>
      <c r="I63" s="10" cm="1">
        <f t="array" ref="I63">IF($A63="","",_xlfn.LET(_xlpm.p,IFERROR(INDEX(tblDados[País],MATCH($A63,TRIM(tblDados[Mandante]),0)),INDEX(tblDados[País],MATCH($A63,TRIM(tblDados[Visitante]),0))),_xlpm.l,IFERROR(INDEX(tblDados[Liga],MATCH($A63,TRIM(tblDados[Mandante]),0)),INDEX(tblDados[Liga],MATCH($A63,TRIM(tblDados[Visitante]),0))),IFERROR(SUMIFS(Ligas!$D$2:$D$39,Ligas!$H$2:$H$39,_xlpm.p,Ligas!$I$2:$I$39,_xlpm.l),0)))</f>
        <v>3.62</v>
      </c>
      <c r="J63" s="11" cm="1">
        <f t="array" ref="J63">IF($A63="","",IFERROR((SUMPRODUCT((TRIM(tblDados[Mandante])=$A63)*tblDados[Primeira_Ocorrencia]*(tblDados[GM_M]=0))+SUMPRODUCT((TRIM(tblDados[Visitante])=$A63)*tblDados[Primeira_Ocorrencia]*(tblDados[GM_V]=0)))/G63,0))</f>
        <v>0.15384615384615385</v>
      </c>
      <c r="K63" s="11" cm="1">
        <f t="array" ref="K63">IF($A63="","",IFERROR((SUMPRODUCT((TRIM(tblDados[Mandante])=$A63)*tblDados[Primeira_Ocorrencia]*((tblDados[GM_M]+tblDados[GS_M])&gt;0.5))+SUMPRODUCT((TRIM(tblDados[Visitante])=$A63)*tblDados[Primeira_Ocorrencia]*((tblDados[GM_V]+tblDados[GS_V])&gt;0.5)))/G63,0))</f>
        <v>0.92307692307692313</v>
      </c>
      <c r="L63" s="11" cm="1">
        <f t="array" ref="L63">IF($A63="","",IFERROR((SUMPRODUCT((TRIM(tblDados[Mandante])=$A63)*tblDados[Primeira_Ocorrencia]*((tblDados[GM_M]+tblDados[GS_M])&gt;1.5))+SUMPRODUCT((TRIM(tblDados[Visitante])=$A63)*tblDados[Primeira_Ocorrencia]*((tblDados[GM_V]+tblDados[GS_V])&gt;1.5)))/G63,0))</f>
        <v>0.84615384615384615</v>
      </c>
      <c r="M63" s="11" cm="1">
        <f t="array" ref="M63">IF($A63="","",IFERROR((SUMPRODUCT((TRIM(tblDados[Mandante])=$A63)*tblDados[Primeira_Ocorrencia]*((tblDados[GM_M]+tblDados[GS_M])&gt;2.5))+SUMPRODUCT((TRIM(tblDados[Visitante])=$A63)*tblDados[Primeira_Ocorrencia]*((tblDados[GM_V]+tblDados[GS_V])&gt;2.5)))/G63,0))</f>
        <v>0.61538461538461542</v>
      </c>
      <c r="N63" s="11" cm="1">
        <f t="array" ref="N63">IF($A63="","",IFERROR((SUMPRODUCT((TRIM(tblDados[Mandante])=$A63)*tblDados[Primeira_Ocorrencia]*((tblDados[GM_M]+tblDados[GS_M])&gt;3.5))+SUMPRODUCT((TRIM(tblDados[Visitante])=$A63)*tblDados[Primeira_Ocorrencia]*((tblDados[GM_V]+tblDados[GS_V])&gt;3.5)))/G63,0))</f>
        <v>0.30769230769230771</v>
      </c>
      <c r="O63" s="11" cm="1">
        <f t="array" ref="O63">IF($A63="","",IFERROR((SUMPRODUCT((TRIM(tblDados[Mandante])=$A63)*tblDados[Primeira_Ocorrencia]*(tblDados[GM_M]&gt;0)*(tblDados[GS_M]&gt;0))+SUMPRODUCT((TRIM(tblDados[Visitante])=$A63)*tblDados[Primeira_Ocorrencia]*(tblDados[GM_V]&gt;0)*(tblDados[GS_V]&gt;0)))/G63,0))</f>
        <v>0.61538461538461542</v>
      </c>
      <c r="P63" s="10" cm="1">
        <f t="array" ref="P63">IF($A63="","",IFERROR((SUMPRODUCT((TRIM(tblDados[Mandante])=$A63)*tblDados[Primeira_Ocorrencia]*tblDados[GM_M]^2)+SUMPRODUCT((TRIM(tblDados[Visitante])=$A63)*tblDados[Primeira_Ocorrencia]*tblDados[GM_V]^2))/G63-H63^2,0))</f>
        <v>3.053254437869823</v>
      </c>
      <c r="Q63" s="10">
        <f t="shared" si="9"/>
        <v>1.7473564140923921</v>
      </c>
      <c r="R63" s="8" t="str">
        <f t="shared" si="10"/>
        <v>Poisson</v>
      </c>
      <c r="S63" s="10" cm="1">
        <f t="array" ref="S63">IF($A63="","",SUMPRODUCT((TRIM(tblDados[Mandante])=$A63)*tblDados[Primeira_Ocorrencia]*tblDados[GM_M]))</f>
        <v>21</v>
      </c>
      <c r="T63" s="10" cm="1">
        <f t="array" ref="T63">IF($A63="","",SUMPRODUCT((TRIM(tblDados[Visitante])=$A63)*tblDados[Primeira_Ocorrencia]*tblDados[GM_V]))</f>
        <v>7</v>
      </c>
      <c r="U63" s="10">
        <f t="shared" si="11"/>
        <v>28</v>
      </c>
      <c r="V63" s="10">
        <f t="shared" si="0"/>
        <v>2.1538461538461537</v>
      </c>
      <c r="W63" s="10" cm="1">
        <f t="array" ref="W63">IF($A63="","",SUMPRODUCT((TRIM(tblDados[Mandante])=$A63)*tblDados[Primeira_Ocorrencia]*tblDados[GS_M]))</f>
        <v>7</v>
      </c>
      <c r="X63" s="10" cm="1">
        <f t="array" ref="X63">IF($A63="","",SUMPRODUCT((TRIM(tblDados[Visitante])=$A63)*tblDados[Primeira_Ocorrencia]*tblDados[GS_V]))</f>
        <v>6</v>
      </c>
      <c r="Y63" s="10">
        <f t="shared" si="12"/>
        <v>13</v>
      </c>
      <c r="Z63" s="10">
        <f t="shared" si="1"/>
        <v>1</v>
      </c>
      <c r="AA63" s="10">
        <f t="shared" si="2"/>
        <v>3</v>
      </c>
      <c r="AB63" s="10">
        <f t="shared" si="3"/>
        <v>1</v>
      </c>
      <c r="AC63" s="10">
        <f t="shared" si="4"/>
        <v>1.1666666666666667</v>
      </c>
      <c r="AD63" s="10">
        <f t="shared" si="5"/>
        <v>1</v>
      </c>
    </row>
    <row r="64" spans="1:30" x14ac:dyDescent="0.3">
      <c r="A64" s="7" t="str">
        <v>Chapecoense</v>
      </c>
      <c r="B64" s="12" t="str" cm="1">
        <f t="array" ref="B64">IF($A64="","",_xlfn.LET(_xlpm.p,IFERROR(INDEX(tblDados[País],MATCH($A64,TRIM(tblDados[Mandante]),0)),INDEX(tblDados[País],MATCH($A64,TRIM(tblDados[Visitante]),0))),_xlpm.l,IFERROR(INDEX(tblDados[Liga],MATCH($A64,TRIM(tblDados[Mandante]),0)),INDEX(tblDados[Liga],MATCH($A64,TRIM(tblDados[Visitante]),0))),_xlpm.p&amp;" - "&amp;_xlpm.l))</f>
        <v>BRA - Série A</v>
      </c>
      <c r="C64" s="10">
        <f t="shared" si="6"/>
        <v>3.8333333333333335</v>
      </c>
      <c r="D64" s="10">
        <f t="shared" si="7"/>
        <v>2.4285714285714284</v>
      </c>
      <c r="E64" s="9" cm="1">
        <f t="array" ref="E64">IF($A64="","",SUMPRODUCT((TRIM(tblDados[Mandante])=$A64)*tblDados[Primeira_Ocorrencia]))</f>
        <v>6</v>
      </c>
      <c r="F64" s="9" cm="1">
        <f t="array" ref="F64">IF($A64="","",SUMPRODUCT((TRIM(tblDados[Visitante])=$A64)*tblDados[Primeira_Ocorrencia]))</f>
        <v>7</v>
      </c>
      <c r="G64" s="9" cm="1">
        <f t="array" ref="G64">IF($A64="","",SUMPRODUCT((TRIM(tblDados[Mandante])=$A64)*tblDados[Primeira_Ocorrencia])+SUMPRODUCT((TRIM(tblDados[Visitante])=$A64)*tblDados[Primeira_Ocorrencia]))</f>
        <v>13</v>
      </c>
      <c r="H64" s="10">
        <f t="shared" si="8"/>
        <v>0.76923076923076927</v>
      </c>
      <c r="I64" s="10" cm="1">
        <f t="array" ref="I64">IF($A64="","",_xlfn.LET(_xlpm.p,IFERROR(INDEX(tblDados[País],MATCH($A64,TRIM(tblDados[Mandante]),0)),INDEX(tblDados[País],MATCH($A64,TRIM(tblDados[Visitante]),0))),_xlpm.l,IFERROR(INDEX(tblDados[Liga],MATCH($A64,TRIM(tblDados[Mandante]),0)),INDEX(tblDados[Liga],MATCH($A64,TRIM(tblDados[Visitante]),0))),IFERROR(SUMIFS(Ligas!$D$2:$D$39,Ligas!$H$2:$H$39,_xlpm.p,Ligas!$I$2:$I$39,_xlpm.l),0)))</f>
        <v>2.59</v>
      </c>
      <c r="J64" s="11" cm="1">
        <f t="array" ref="J64">IF($A64="","",IFERROR((SUMPRODUCT((TRIM(tblDados[Mandante])=$A64)*tblDados[Primeira_Ocorrencia]*(tblDados[GM_M]=0))+SUMPRODUCT((TRIM(tblDados[Visitante])=$A64)*tblDados[Primeira_Ocorrencia]*(tblDados[GM_V]=0)))/G64,0))</f>
        <v>0.38461538461538464</v>
      </c>
      <c r="K64" s="11" cm="1">
        <f t="array" ref="K64">IF($A64="","",IFERROR((SUMPRODUCT((TRIM(tblDados[Mandante])=$A64)*tblDados[Primeira_Ocorrencia]*((tblDados[GM_M]+tblDados[GS_M])&gt;0.5))+SUMPRODUCT((TRIM(tblDados[Visitante])=$A64)*tblDados[Primeira_Ocorrencia]*((tblDados[GM_V]+tblDados[GS_V])&gt;0.5)))/G64,0))</f>
        <v>1</v>
      </c>
      <c r="L64" s="11" cm="1">
        <f t="array" ref="L64">IF($A64="","",IFERROR((SUMPRODUCT((TRIM(tblDados[Mandante])=$A64)*tblDados[Primeira_Ocorrencia]*((tblDados[GM_M]+tblDados[GS_M])&gt;1.5))+SUMPRODUCT((TRIM(tblDados[Visitante])=$A64)*tblDados[Primeira_Ocorrencia]*((tblDados[GM_V]+tblDados[GS_V])&gt;1.5)))/G64,0))</f>
        <v>0.92307692307692313</v>
      </c>
      <c r="M64" s="11" cm="1">
        <f t="array" ref="M64">IF($A64="","",IFERROR((SUMPRODUCT((TRIM(tblDados[Mandante])=$A64)*tblDados[Primeira_Ocorrencia]*((tblDados[GM_M]+tblDados[GS_M])&gt;2.5))+SUMPRODUCT((TRIM(tblDados[Visitante])=$A64)*tblDados[Primeira_Ocorrencia]*((tblDados[GM_V]+tblDados[GS_V])&gt;2.5)))/G64,0))</f>
        <v>0.61538461538461542</v>
      </c>
      <c r="N64" s="11" cm="1">
        <f t="array" ref="N64">IF($A64="","",IFERROR((SUMPRODUCT((TRIM(tblDados[Mandante])=$A64)*tblDados[Primeira_Ocorrencia]*((tblDados[GM_M]+tblDados[GS_M])&gt;3.5))+SUMPRODUCT((TRIM(tblDados[Visitante])=$A64)*tblDados[Primeira_Ocorrencia]*((tblDados[GM_V]+tblDados[GS_V])&gt;3.5)))/G64,0))</f>
        <v>0.38461538461538464</v>
      </c>
      <c r="O64" s="11" cm="1">
        <f t="array" ref="O64">IF($A64="","",IFERROR((SUMPRODUCT((TRIM(tblDados[Mandante])=$A64)*tblDados[Primeira_Ocorrencia]*(tblDados[GM_M]&gt;0)*(tblDados[GS_M]&gt;0))+SUMPRODUCT((TRIM(tblDados[Visitante])=$A64)*tblDados[Primeira_Ocorrencia]*(tblDados[GM_V]&gt;0)*(tblDados[GS_V]&gt;0)))/G64,0))</f>
        <v>0.61538461538461542</v>
      </c>
      <c r="P64" s="10" cm="1">
        <f t="array" ref="P64">IF($A64="","",IFERROR((SUMPRODUCT((TRIM(tblDados[Mandante])=$A64)*tblDados[Primeira_Ocorrencia]*tblDados[GM_M]^2)+SUMPRODUCT((TRIM(tblDados[Visitante])=$A64)*tblDados[Primeira_Ocorrencia]*tblDados[GM_V]^2))/G64-H64^2,0))</f>
        <v>0.4852071005917159</v>
      </c>
      <c r="Q64" s="10">
        <f t="shared" si="9"/>
        <v>0.69656808754903199</v>
      </c>
      <c r="R64" s="8" t="str">
        <f t="shared" si="10"/>
        <v>Poisson</v>
      </c>
      <c r="S64" s="10" cm="1">
        <f t="array" ref="S64">IF($A64="","",SUMPRODUCT((TRIM(tblDados[Mandante])=$A64)*tblDados[Primeira_Ocorrencia]*tblDados[GM_M]))</f>
        <v>5</v>
      </c>
      <c r="T64" s="10" cm="1">
        <f t="array" ref="T64">IF($A64="","",SUMPRODUCT((TRIM(tblDados[Visitante])=$A64)*tblDados[Primeira_Ocorrencia]*tblDados[GM_V]))</f>
        <v>5</v>
      </c>
      <c r="U64" s="10">
        <f t="shared" si="11"/>
        <v>10</v>
      </c>
      <c r="V64" s="10">
        <f t="shared" si="0"/>
        <v>0.76923076923076927</v>
      </c>
      <c r="W64" s="10" cm="1">
        <f t="array" ref="W64">IF($A64="","",SUMPRODUCT((TRIM(tblDados[Mandante])=$A64)*tblDados[Primeira_Ocorrencia]*tblDados[GS_M]))</f>
        <v>18</v>
      </c>
      <c r="X64" s="10" cm="1">
        <f t="array" ref="X64">IF($A64="","",SUMPRODUCT((TRIM(tblDados[Visitante])=$A64)*tblDados[Primeira_Ocorrencia]*tblDados[GS_V]))</f>
        <v>12</v>
      </c>
      <c r="Y64" s="10">
        <f t="shared" si="12"/>
        <v>30</v>
      </c>
      <c r="Z64" s="10">
        <f t="shared" si="1"/>
        <v>2.3076923076923075</v>
      </c>
      <c r="AA64" s="10">
        <f t="shared" si="2"/>
        <v>0.83333333333333337</v>
      </c>
      <c r="AB64" s="10">
        <f t="shared" si="3"/>
        <v>3</v>
      </c>
      <c r="AC64" s="10">
        <f t="shared" si="4"/>
        <v>0.7142857142857143</v>
      </c>
      <c r="AD64" s="10">
        <f t="shared" si="5"/>
        <v>1.7142857142857142</v>
      </c>
    </row>
    <row r="65" spans="1:30" x14ac:dyDescent="0.3">
      <c r="A65" s="7" t="str">
        <v>Chengdu Rongcheng</v>
      </c>
      <c r="B65" s="12" t="str" cm="1">
        <f t="array" ref="B65">IF($A65="","",_xlfn.LET(_xlpm.p,IFERROR(INDEX(tblDados[País],MATCH($A65,TRIM(tblDados[Mandante]),0)),INDEX(tblDados[País],MATCH($A65,TRIM(tblDados[Visitante]),0))),_xlpm.l,IFERROR(INDEX(tblDados[Liga],MATCH($A65,TRIM(tblDados[Mandante]),0)),INDEX(tblDados[Liga],MATCH($A65,TRIM(tblDados[Visitante]),0))),_xlpm.p&amp;" - "&amp;_xlpm.l))</f>
        <v>CHN - Super League</v>
      </c>
      <c r="C65" s="10">
        <f t="shared" si="6"/>
        <v>2.1666666666666665</v>
      </c>
      <c r="D65" s="10">
        <f t="shared" si="7"/>
        <v>2.2857142857142856</v>
      </c>
      <c r="E65" s="9" cm="1">
        <f t="array" ref="E65">IF($A65="","",SUMPRODUCT((TRIM(tblDados[Mandante])=$A65)*tblDados[Primeira_Ocorrencia]))</f>
        <v>6</v>
      </c>
      <c r="F65" s="9" cm="1">
        <f t="array" ref="F65">IF($A65="","",SUMPRODUCT((TRIM(tblDados[Visitante])=$A65)*tblDados[Primeira_Ocorrencia]))</f>
        <v>7</v>
      </c>
      <c r="G65" s="9" cm="1">
        <f t="array" ref="G65">IF($A65="","",SUMPRODUCT((TRIM(tblDados[Mandante])=$A65)*tblDados[Primeira_Ocorrencia])+SUMPRODUCT((TRIM(tblDados[Visitante])=$A65)*tblDados[Primeira_Ocorrencia]))</f>
        <v>13</v>
      </c>
      <c r="H65" s="10">
        <f t="shared" si="8"/>
        <v>1.2307692307692308</v>
      </c>
      <c r="I65" s="10" cm="1">
        <f t="array" ref="I65">IF($A65="","",_xlfn.LET(_xlpm.p,IFERROR(INDEX(tblDados[País],MATCH($A65,TRIM(tblDados[Mandante]),0)),INDEX(tblDados[País],MATCH($A65,TRIM(tblDados[Visitante]),0))),_xlpm.l,IFERROR(INDEX(tblDados[Liga],MATCH($A65,TRIM(tblDados[Mandante]),0)),INDEX(tblDados[Liga],MATCH($A65,TRIM(tblDados[Visitante]),0))),IFERROR(SUMIFS(Ligas!$D$2:$D$39,Ligas!$H$2:$H$39,_xlpm.p,Ligas!$I$2:$I$39,_xlpm.l),0)))</f>
        <v>2.5</v>
      </c>
      <c r="J65" s="11" cm="1">
        <f t="array" ref="J65">IF($A65="","",IFERROR((SUMPRODUCT((TRIM(tblDados[Mandante])=$A65)*tblDados[Primeira_Ocorrencia]*(tblDados[GM_M]=0))+SUMPRODUCT((TRIM(tblDados[Visitante])=$A65)*tblDados[Primeira_Ocorrencia]*(tblDados[GM_V]=0)))/G65,0))</f>
        <v>0.23076923076923078</v>
      </c>
      <c r="K65" s="11" cm="1">
        <f t="array" ref="K65">IF($A65="","",IFERROR((SUMPRODUCT((TRIM(tblDados[Mandante])=$A65)*tblDados[Primeira_Ocorrencia]*((tblDados[GM_M]+tblDados[GS_M])&gt;0.5))+SUMPRODUCT((TRIM(tblDados[Visitante])=$A65)*tblDados[Primeira_Ocorrencia]*((tblDados[GM_V]+tblDados[GS_V])&gt;0.5)))/G65,0))</f>
        <v>1</v>
      </c>
      <c r="L65" s="11" cm="1">
        <f t="array" ref="L65">IF($A65="","",IFERROR((SUMPRODUCT((TRIM(tblDados[Mandante])=$A65)*tblDados[Primeira_Ocorrencia]*((tblDados[GM_M]+tblDados[GS_M])&gt;1.5))+SUMPRODUCT((TRIM(tblDados[Visitante])=$A65)*tblDados[Primeira_Ocorrencia]*((tblDados[GM_V]+tblDados[GS_V])&gt;1.5)))/G65,0))</f>
        <v>0.69230769230769229</v>
      </c>
      <c r="M65" s="11" cm="1">
        <f t="array" ref="M65">IF($A65="","",IFERROR((SUMPRODUCT((TRIM(tblDados[Mandante])=$A65)*tblDados[Primeira_Ocorrencia]*((tblDados[GM_M]+tblDados[GS_M])&gt;2.5))+SUMPRODUCT((TRIM(tblDados[Visitante])=$A65)*tblDados[Primeira_Ocorrencia]*((tblDados[GM_V]+tblDados[GS_V])&gt;2.5)))/G65,0))</f>
        <v>0.30769230769230771</v>
      </c>
      <c r="N65" s="11" cm="1">
        <f t="array" ref="N65">IF($A65="","",IFERROR((SUMPRODUCT((TRIM(tblDados[Mandante])=$A65)*tblDados[Primeira_Ocorrencia]*((tblDados[GM_M]+tblDados[GS_M])&gt;3.5))+SUMPRODUCT((TRIM(tblDados[Visitante])=$A65)*tblDados[Primeira_Ocorrencia]*((tblDados[GM_V]+tblDados[GS_V])&gt;3.5)))/G65,0))</f>
        <v>0.15384615384615385</v>
      </c>
      <c r="O65" s="11" cm="1">
        <f t="array" ref="O65">IF($A65="","",IFERROR((SUMPRODUCT((TRIM(tblDados[Mandante])=$A65)*tblDados[Primeira_Ocorrencia]*(tblDados[GM_M]&gt;0)*(tblDados[GS_M]&gt;0))+SUMPRODUCT((TRIM(tblDados[Visitante])=$A65)*tblDados[Primeira_Ocorrencia]*(tblDados[GM_V]&gt;0)*(tblDados[GS_V]&gt;0)))/G65,0))</f>
        <v>0.53846153846153844</v>
      </c>
      <c r="P65" s="10" cm="1">
        <f t="array" ref="P65">IF($A65="","",IFERROR((SUMPRODUCT((TRIM(tblDados[Mandante])=$A65)*tblDados[Primeira_Ocorrencia]*tblDados[GM_M]^2)+SUMPRODUCT((TRIM(tblDados[Visitante])=$A65)*tblDados[Primeira_Ocorrencia]*tblDados[GM_V]^2))/G65-H65^2,0))</f>
        <v>0.94674556213017746</v>
      </c>
      <c r="Q65" s="10">
        <f t="shared" si="9"/>
        <v>0.97300851082103978</v>
      </c>
      <c r="R65" s="8" t="str">
        <f t="shared" si="10"/>
        <v>Poisson</v>
      </c>
      <c r="S65" s="10" cm="1">
        <f t="array" ref="S65">IF($A65="","",SUMPRODUCT((TRIM(tblDados[Mandante])=$A65)*tblDados[Primeira_Ocorrencia]*tblDados[GM_M]))</f>
        <v>8</v>
      </c>
      <c r="T65" s="10" cm="1">
        <f t="array" ref="T65">IF($A65="","",SUMPRODUCT((TRIM(tblDados[Visitante])=$A65)*tblDados[Primeira_Ocorrencia]*tblDados[GM_V]))</f>
        <v>8</v>
      </c>
      <c r="U65" s="10">
        <f t="shared" si="11"/>
        <v>16</v>
      </c>
      <c r="V65" s="10">
        <f t="shared" si="0"/>
        <v>1.2307692307692308</v>
      </c>
      <c r="W65" s="10" cm="1">
        <f t="array" ref="W65">IF($A65="","",SUMPRODUCT((TRIM(tblDados[Mandante])=$A65)*tblDados[Primeira_Ocorrencia]*tblDados[GS_M]))</f>
        <v>5</v>
      </c>
      <c r="X65" s="10" cm="1">
        <f t="array" ref="X65">IF($A65="","",SUMPRODUCT((TRIM(tblDados[Visitante])=$A65)*tblDados[Primeira_Ocorrencia]*tblDados[GS_V]))</f>
        <v>8</v>
      </c>
      <c r="Y65" s="10">
        <f t="shared" si="12"/>
        <v>13</v>
      </c>
      <c r="Z65" s="10">
        <f t="shared" si="1"/>
        <v>1</v>
      </c>
      <c r="AA65" s="10">
        <f t="shared" si="2"/>
        <v>1.3333333333333333</v>
      </c>
      <c r="AB65" s="10">
        <f t="shared" si="3"/>
        <v>0.83333333333333337</v>
      </c>
      <c r="AC65" s="10">
        <f t="shared" si="4"/>
        <v>1.1428571428571428</v>
      </c>
      <c r="AD65" s="10">
        <f t="shared" si="5"/>
        <v>1.1428571428571428</v>
      </c>
    </row>
    <row r="66" spans="1:30" x14ac:dyDescent="0.3">
      <c r="A66" s="7" t="str">
        <v>Chongqing Tonglianglong</v>
      </c>
      <c r="B66" s="12" t="str" cm="1">
        <f t="array" ref="B66">IF($A66="","",_xlfn.LET(_xlpm.p,IFERROR(INDEX(tblDados[País],MATCH($A66,TRIM(tblDados[Mandante]),0)),INDEX(tblDados[País],MATCH($A66,TRIM(tblDados[Visitante]),0))),_xlpm.l,IFERROR(INDEX(tblDados[Liga],MATCH($A66,TRIM(tblDados[Mandante]),0)),INDEX(tblDados[Liga],MATCH($A66,TRIM(tblDados[Visitante]),0))),_xlpm.p&amp;" - "&amp;_xlpm.l))</f>
        <v>CHN - Super League</v>
      </c>
      <c r="C66" s="10">
        <f t="shared" si="6"/>
        <v>2.5</v>
      </c>
      <c r="D66" s="10">
        <f t="shared" si="7"/>
        <v>2.5714285714285712</v>
      </c>
      <c r="E66" s="9" cm="1">
        <f t="array" ref="E66">IF($A66="","",SUMPRODUCT((TRIM(tblDados[Mandante])=$A66)*tblDados[Primeira_Ocorrencia]))</f>
        <v>6</v>
      </c>
      <c r="F66" s="9" cm="1">
        <f t="array" ref="F66">IF($A66="","",SUMPRODUCT((TRIM(tblDados[Visitante])=$A66)*tblDados[Primeira_Ocorrencia]))</f>
        <v>7</v>
      </c>
      <c r="G66" s="9" cm="1">
        <f t="array" ref="G66">IF($A66="","",SUMPRODUCT((TRIM(tblDados[Mandante])=$A66)*tblDados[Primeira_Ocorrencia])+SUMPRODUCT((TRIM(tblDados[Visitante])=$A66)*tblDados[Primeira_Ocorrencia]))</f>
        <v>13</v>
      </c>
      <c r="H66" s="10">
        <f t="shared" si="8"/>
        <v>1</v>
      </c>
      <c r="I66" s="10" cm="1">
        <f t="array" ref="I66">IF($A66="","",_xlfn.LET(_xlpm.p,IFERROR(INDEX(tblDados[País],MATCH($A66,TRIM(tblDados[Mandante]),0)),INDEX(tblDados[País],MATCH($A66,TRIM(tblDados[Visitante]),0))),_xlpm.l,IFERROR(INDEX(tblDados[Liga],MATCH($A66,TRIM(tblDados[Mandante]),0)),INDEX(tblDados[Liga],MATCH($A66,TRIM(tblDados[Visitante]),0))),IFERROR(SUMIFS(Ligas!$D$2:$D$39,Ligas!$H$2:$H$39,_xlpm.p,Ligas!$I$2:$I$39,_xlpm.l),0)))</f>
        <v>2.5</v>
      </c>
      <c r="J66" s="11" cm="1">
        <f t="array" ref="J66">IF($A66="","",IFERROR((SUMPRODUCT((TRIM(tblDados[Mandante])=$A66)*tblDados[Primeira_Ocorrencia]*(tblDados[GM_M]=0))+SUMPRODUCT((TRIM(tblDados[Visitante])=$A66)*tblDados[Primeira_Ocorrencia]*(tblDados[GM_V]=0)))/G66,0))</f>
        <v>0.23076923076923078</v>
      </c>
      <c r="K66" s="11" cm="1">
        <f t="array" ref="K66">IF($A66="","",IFERROR((SUMPRODUCT((TRIM(tblDados[Mandante])=$A66)*tblDados[Primeira_Ocorrencia]*((tblDados[GM_M]+tblDados[GS_M])&gt;0.5))+SUMPRODUCT((TRIM(tblDados[Visitante])=$A66)*tblDados[Primeira_Ocorrencia]*((tblDados[GM_V]+tblDados[GS_V])&gt;0.5)))/G66,0))</f>
        <v>0.92307692307692313</v>
      </c>
      <c r="L66" s="11" cm="1">
        <f t="array" ref="L66">IF($A66="","",IFERROR((SUMPRODUCT((TRIM(tblDados[Mandante])=$A66)*tblDados[Primeira_Ocorrencia]*((tblDados[GM_M]+tblDados[GS_M])&gt;1.5))+SUMPRODUCT((TRIM(tblDados[Visitante])=$A66)*tblDados[Primeira_Ocorrencia]*((tblDados[GM_V]+tblDados[GS_V])&gt;1.5)))/G66,0))</f>
        <v>0.69230769230769229</v>
      </c>
      <c r="M66" s="11" cm="1">
        <f t="array" ref="M66">IF($A66="","",IFERROR((SUMPRODUCT((TRIM(tblDados[Mandante])=$A66)*tblDados[Primeira_Ocorrencia]*((tblDados[GM_M]+tblDados[GS_M])&gt;2.5))+SUMPRODUCT((TRIM(tblDados[Visitante])=$A66)*tblDados[Primeira_Ocorrencia]*((tblDados[GM_V]+tblDados[GS_V])&gt;2.5)))/G66,0))</f>
        <v>0.38461538461538464</v>
      </c>
      <c r="N66" s="11" cm="1">
        <f t="array" ref="N66">IF($A66="","",IFERROR((SUMPRODUCT((TRIM(tblDados[Mandante])=$A66)*tblDados[Primeira_Ocorrencia]*((tblDados[GM_M]+tblDados[GS_M])&gt;3.5))+SUMPRODUCT((TRIM(tblDados[Visitante])=$A66)*tblDados[Primeira_Ocorrencia]*((tblDados[GM_V]+tblDados[GS_V])&gt;3.5)))/G66,0))</f>
        <v>0.38461538461538464</v>
      </c>
      <c r="O66" s="11" cm="1">
        <f t="array" ref="O66">IF($A66="","",IFERROR((SUMPRODUCT((TRIM(tblDados[Mandante])=$A66)*tblDados[Primeira_Ocorrencia]*(tblDados[GM_M]&gt;0)*(tblDados[GS_M]&gt;0))+SUMPRODUCT((TRIM(tblDados[Visitante])=$A66)*tblDados[Primeira_Ocorrencia]*(tblDados[GM_V]&gt;0)*(tblDados[GS_V]&gt;0)))/G66,0))</f>
        <v>0.61538461538461542</v>
      </c>
      <c r="P66" s="10" cm="1">
        <f t="array" ref="P66">IF($A66="","",IFERROR((SUMPRODUCT((TRIM(tblDados[Mandante])=$A66)*tblDados[Primeira_Ocorrencia]*tblDados[GM_M]^2)+SUMPRODUCT((TRIM(tblDados[Visitante])=$A66)*tblDados[Primeira_Ocorrencia]*tblDados[GM_V]^2))/G66-H66^2,0))</f>
        <v>0.46153846153846145</v>
      </c>
      <c r="Q66" s="10">
        <f t="shared" si="9"/>
        <v>0.67936622048675743</v>
      </c>
      <c r="R66" s="8" t="str">
        <f t="shared" si="10"/>
        <v>Poisson</v>
      </c>
      <c r="S66" s="10" cm="1">
        <f t="array" ref="S66">IF($A66="","",SUMPRODUCT((TRIM(tblDados[Mandante])=$A66)*tblDados[Primeira_Ocorrencia]*tblDados[GM_M]))</f>
        <v>7</v>
      </c>
      <c r="T66" s="10" cm="1">
        <f t="array" ref="T66">IF($A66="","",SUMPRODUCT((TRIM(tblDados[Visitante])=$A66)*tblDados[Primeira_Ocorrencia]*tblDados[GM_V]))</f>
        <v>6</v>
      </c>
      <c r="U66" s="10">
        <f t="shared" si="11"/>
        <v>13</v>
      </c>
      <c r="V66" s="10">
        <f t="shared" ref="V66:V129" si="13">IF($A66="","",IFERROR(U66/G66,0))</f>
        <v>1</v>
      </c>
      <c r="W66" s="10" cm="1">
        <f t="array" ref="W66">IF($A66="","",SUMPRODUCT((TRIM(tblDados[Mandante])=$A66)*tblDados[Primeira_Ocorrencia]*tblDados[GS_M]))</f>
        <v>8</v>
      </c>
      <c r="X66" s="10" cm="1">
        <f t="array" ref="X66">IF($A66="","",SUMPRODUCT((TRIM(tblDados[Visitante])=$A66)*tblDados[Primeira_Ocorrencia]*tblDados[GS_V]))</f>
        <v>12</v>
      </c>
      <c r="Y66" s="10">
        <f t="shared" si="12"/>
        <v>20</v>
      </c>
      <c r="Z66" s="10">
        <f t="shared" ref="Z66:Z129" si="14">IF($A66="","",IFERROR(Y66/G66,0))</f>
        <v>1.5384615384615385</v>
      </c>
      <c r="AA66" s="10">
        <f t="shared" ref="AA66:AA129" si="15">IF($A66="","",IF($E66=0,"",$S66/$E66))</f>
        <v>1.1666666666666667</v>
      </c>
      <c r="AB66" s="10">
        <f t="shared" ref="AB66:AB129" si="16">IF($A66="","",IF($E66=0,"",$W66/$E66))</f>
        <v>1.3333333333333333</v>
      </c>
      <c r="AC66" s="10">
        <f t="shared" ref="AC66:AC129" si="17">IF($A66="","",IF($F66=0,"",$T66/$F66))</f>
        <v>0.8571428571428571</v>
      </c>
      <c r="AD66" s="10">
        <f t="shared" ref="AD66:AD129" si="18">IF($A66="","",IF($F66=0,"",$X66/$F66))</f>
        <v>1.7142857142857142</v>
      </c>
    </row>
    <row r="67" spans="1:30" x14ac:dyDescent="0.3">
      <c r="A67" s="7" t="str">
        <v>Club Aurora</v>
      </c>
      <c r="B67" s="12" t="str" cm="1">
        <f t="array" ref="B67">IF($A67="","",_xlfn.LET(_xlpm.p,IFERROR(INDEX(tblDados[País],MATCH($A67,TRIM(tblDados[Mandante]),0)),INDEX(tblDados[País],MATCH($A67,TRIM(tblDados[Visitante]),0))),_xlpm.l,IFERROR(INDEX(tblDados[Liga],MATCH($A67,TRIM(tblDados[Mandante]),0)),INDEX(tblDados[Liga],MATCH($A67,TRIM(tblDados[Visitante]),0))),_xlpm.p&amp;" - "&amp;_xlpm.l))</f>
        <v>BOL - Div. Profesional</v>
      </c>
      <c r="C67" s="10">
        <f t="shared" ref="C67:C130" si="19">IF($A67="","",IF($E67=0,"",$AA67+$AB67))</f>
        <v>3.8333333333333335</v>
      </c>
      <c r="D67" s="10">
        <f t="shared" ref="D67:D130" si="20">IF($A67="","",IF($F67=0,"",$AC67+$AD67))</f>
        <v>1.8571428571428572</v>
      </c>
      <c r="E67" s="9" cm="1">
        <f t="array" ref="E67">IF($A67="","",SUMPRODUCT((TRIM(tblDados[Mandante])=$A67)*tblDados[Primeira_Ocorrencia]))</f>
        <v>6</v>
      </c>
      <c r="F67" s="9" cm="1">
        <f t="array" ref="F67">IF($A67="","",SUMPRODUCT((TRIM(tblDados[Visitante])=$A67)*tblDados[Primeira_Ocorrencia]))</f>
        <v>7</v>
      </c>
      <c r="G67" s="9" cm="1">
        <f t="array" ref="G67">IF($A67="","",SUMPRODUCT((TRIM(tblDados[Mandante])=$A67)*tblDados[Primeira_Ocorrencia])+SUMPRODUCT((TRIM(tblDados[Visitante])=$A67)*tblDados[Primeira_Ocorrencia]))</f>
        <v>13</v>
      </c>
      <c r="H67" s="10">
        <f t="shared" ref="H67:H130" si="21">IF($A67="","",IFERROR($U67/$G67,0))</f>
        <v>1.6153846153846154</v>
      </c>
      <c r="I67" s="10" cm="1">
        <f t="array" ref="I67">IF($A67="","",_xlfn.LET(_xlpm.p,IFERROR(INDEX(tblDados[País],MATCH($A67,TRIM(tblDados[Mandante]),0)),INDEX(tblDados[País],MATCH($A67,TRIM(tblDados[Visitante]),0))),_xlpm.l,IFERROR(INDEX(tblDados[Liga],MATCH($A67,TRIM(tblDados[Mandante]),0)),INDEX(tblDados[Liga],MATCH($A67,TRIM(tblDados[Visitante]),0))),IFERROR(SUMIFS(Ligas!$D$2:$D$39,Ligas!$H$2:$H$39,_xlpm.p,Ligas!$I$2:$I$39,_xlpm.l),0)))</f>
        <v>3.62</v>
      </c>
      <c r="J67" s="11" cm="1">
        <f t="array" ref="J67">IF($A67="","",IFERROR((SUMPRODUCT((TRIM(tblDados[Mandante])=$A67)*tblDados[Primeira_Ocorrencia]*(tblDados[GM_M]=0))+SUMPRODUCT((TRIM(tblDados[Visitante])=$A67)*tblDados[Primeira_Ocorrencia]*(tblDados[GM_V]=0)))/G67,0))</f>
        <v>0.15384615384615385</v>
      </c>
      <c r="K67" s="11" cm="1">
        <f t="array" ref="K67">IF($A67="","",IFERROR((SUMPRODUCT((TRIM(tblDados[Mandante])=$A67)*tblDados[Primeira_Ocorrencia]*((tblDados[GM_M]+tblDados[GS_M])&gt;0.5))+SUMPRODUCT((TRIM(tblDados[Visitante])=$A67)*tblDados[Primeira_Ocorrencia]*((tblDados[GM_V]+tblDados[GS_V])&gt;0.5)))/G67,0))</f>
        <v>0.92307692307692313</v>
      </c>
      <c r="L67" s="11" cm="1">
        <f t="array" ref="L67">IF($A67="","",IFERROR((SUMPRODUCT((TRIM(tblDados[Mandante])=$A67)*tblDados[Primeira_Ocorrencia]*((tblDados[GM_M]+tblDados[GS_M])&gt;1.5))+SUMPRODUCT((TRIM(tblDados[Visitante])=$A67)*tblDados[Primeira_Ocorrencia]*((tblDados[GM_V]+tblDados[GS_V])&gt;1.5)))/G67,0))</f>
        <v>0.92307692307692313</v>
      </c>
      <c r="M67" s="11" cm="1">
        <f t="array" ref="M67">IF($A67="","",IFERROR((SUMPRODUCT((TRIM(tblDados[Mandante])=$A67)*tblDados[Primeira_Ocorrencia]*((tblDados[GM_M]+tblDados[GS_M])&gt;2.5))+SUMPRODUCT((TRIM(tblDados[Visitante])=$A67)*tblDados[Primeira_Ocorrencia]*((tblDados[GM_V]+tblDados[GS_V])&gt;2.5)))/G67,0))</f>
        <v>0.38461538461538464</v>
      </c>
      <c r="N67" s="11" cm="1">
        <f t="array" ref="N67">IF($A67="","",IFERROR((SUMPRODUCT((TRIM(tblDados[Mandante])=$A67)*tblDados[Primeira_Ocorrencia]*((tblDados[GM_M]+tblDados[GS_M])&gt;3.5))+SUMPRODUCT((TRIM(tblDados[Visitante])=$A67)*tblDados[Primeira_Ocorrencia]*((tblDados[GM_V]+tblDados[GS_V])&gt;3.5)))/G67,0))</f>
        <v>0.30769230769230771</v>
      </c>
      <c r="O67" s="11" cm="1">
        <f t="array" ref="O67">IF($A67="","",IFERROR((SUMPRODUCT((TRIM(tblDados[Mandante])=$A67)*tblDados[Primeira_Ocorrencia]*(tblDados[GM_M]&gt;0)*(tblDados[GS_M]&gt;0))+SUMPRODUCT((TRIM(tblDados[Visitante])=$A67)*tblDados[Primeira_Ocorrencia]*(tblDados[GM_V]&gt;0)*(tblDados[GS_V]&gt;0)))/G67,0))</f>
        <v>0.76923076923076927</v>
      </c>
      <c r="P67" s="10" cm="1">
        <f t="array" ref="P67">IF($A67="","",IFERROR((SUMPRODUCT((TRIM(tblDados[Mandante])=$A67)*tblDados[Primeira_Ocorrencia]*tblDados[GM_M]^2)+SUMPRODUCT((TRIM(tblDados[Visitante])=$A67)*tblDados[Primeira_Ocorrencia]*tblDados[GM_V]^2))/G67-H67^2,0))</f>
        <v>1.3136094674556209</v>
      </c>
      <c r="Q67" s="10">
        <f t="shared" ref="Q67:Q130" si="22">IF($A67="","",IFERROR(SQRT(MAX(P67,0)),0))</f>
        <v>1.1461280327501029</v>
      </c>
      <c r="R67" s="8" t="str">
        <f t="shared" ref="R67:R130" si="23">IF(A67="","",IF(OR(G67&lt;5,H67=0),"Amostra Insuficiente",IF(_xlfn.CHISQ.DIST.RT(G67*P67/H67,G67-1)&lt;0.05,"Binomial Negativa","Poisson")))</f>
        <v>Poisson</v>
      </c>
      <c r="S67" s="10" cm="1">
        <f t="array" ref="S67">IF($A67="","",SUMPRODUCT((TRIM(tblDados[Mandante])=$A67)*tblDados[Primeira_Ocorrencia]*tblDados[GM_M]))</f>
        <v>14</v>
      </c>
      <c r="T67" s="10" cm="1">
        <f t="array" ref="T67">IF($A67="","",SUMPRODUCT((TRIM(tblDados[Visitante])=$A67)*tblDados[Primeira_Ocorrencia]*tblDados[GM_V]))</f>
        <v>7</v>
      </c>
      <c r="U67" s="10">
        <f t="shared" ref="U67:U130" si="24">IF($A67="","",S67+T67)</f>
        <v>21</v>
      </c>
      <c r="V67" s="10">
        <f t="shared" si="13"/>
        <v>1.6153846153846154</v>
      </c>
      <c r="W67" s="10" cm="1">
        <f t="array" ref="W67">IF($A67="","",SUMPRODUCT((TRIM(tblDados[Mandante])=$A67)*tblDados[Primeira_Ocorrencia]*tblDados[GS_M]))</f>
        <v>9</v>
      </c>
      <c r="X67" s="10" cm="1">
        <f t="array" ref="X67">IF($A67="","",SUMPRODUCT((TRIM(tblDados[Visitante])=$A67)*tblDados[Primeira_Ocorrencia]*tblDados[GS_V]))</f>
        <v>6</v>
      </c>
      <c r="Y67" s="10">
        <f t="shared" ref="Y67:Y130" si="25">IF($A67="","",W67+X67)</f>
        <v>15</v>
      </c>
      <c r="Z67" s="10">
        <f t="shared" si="14"/>
        <v>1.1538461538461537</v>
      </c>
      <c r="AA67" s="10">
        <f t="shared" si="15"/>
        <v>2.3333333333333335</v>
      </c>
      <c r="AB67" s="10">
        <f t="shared" si="16"/>
        <v>1.5</v>
      </c>
      <c r="AC67" s="10">
        <f t="shared" si="17"/>
        <v>1</v>
      </c>
      <c r="AD67" s="10">
        <f t="shared" si="18"/>
        <v>0.8571428571428571</v>
      </c>
    </row>
    <row r="68" spans="1:30" x14ac:dyDescent="0.3">
      <c r="A68" s="7" t="str">
        <v>Cobresal</v>
      </c>
      <c r="B68" s="12" t="str" cm="1">
        <f t="array" ref="B68">IF($A68="","",_xlfn.LET(_xlpm.p,IFERROR(INDEX(tblDados[País],MATCH($A68,TRIM(tblDados[Mandante]),0)),INDEX(tblDados[País],MATCH($A68,TRIM(tblDados[Visitante]),0))),_xlpm.l,IFERROR(INDEX(tblDados[Liga],MATCH($A68,TRIM(tblDados[Mandante]),0)),INDEX(tblDados[Liga],MATCH($A68,TRIM(tblDados[Visitante]),0))),_xlpm.p&amp;" - "&amp;_xlpm.l))</f>
        <v>CHI - Liga de Primera</v>
      </c>
      <c r="C68" s="10">
        <f t="shared" si="19"/>
        <v>3.6</v>
      </c>
      <c r="D68" s="10">
        <f t="shared" si="20"/>
        <v>3.75</v>
      </c>
      <c r="E68" s="9" cm="1">
        <f t="array" ref="E68">IF($A68="","",SUMPRODUCT((TRIM(tblDados[Mandante])=$A68)*tblDados[Primeira_Ocorrencia]))</f>
        <v>5</v>
      </c>
      <c r="F68" s="9" cm="1">
        <f t="array" ref="F68">IF($A68="","",SUMPRODUCT((TRIM(tblDados[Visitante])=$A68)*tblDados[Primeira_Ocorrencia]))</f>
        <v>8</v>
      </c>
      <c r="G68" s="9" cm="1">
        <f t="array" ref="G68">IF($A68="","",SUMPRODUCT((TRIM(tblDados[Mandante])=$A68)*tblDados[Primeira_Ocorrencia])+SUMPRODUCT((TRIM(tblDados[Visitante])=$A68)*tblDados[Primeira_Ocorrencia]))</f>
        <v>13</v>
      </c>
      <c r="H68" s="10">
        <f t="shared" si="21"/>
        <v>1.3846153846153846</v>
      </c>
      <c r="I68" s="10" cm="1">
        <f t="array" ref="I68">IF($A68="","",_xlfn.LET(_xlpm.p,IFERROR(INDEX(tblDados[País],MATCH($A68,TRIM(tblDados[Mandante]),0)),INDEX(tblDados[País],MATCH($A68,TRIM(tblDados[Visitante]),0))),_xlpm.l,IFERROR(INDEX(tblDados[Liga],MATCH($A68,TRIM(tblDados[Mandante]),0)),INDEX(tblDados[Liga],MATCH($A68,TRIM(tblDados[Visitante]),0))),IFERROR(SUMIFS(Ligas!$D$2:$D$39,Ligas!$H$2:$H$39,_xlpm.p,Ligas!$I$2:$I$39,_xlpm.l),0)))</f>
        <v>2.5</v>
      </c>
      <c r="J68" s="11" cm="1">
        <f t="array" ref="J68">IF($A68="","",IFERROR((SUMPRODUCT((TRIM(tblDados[Mandante])=$A68)*tblDados[Primeira_Ocorrencia]*(tblDados[GM_M]=0))+SUMPRODUCT((TRIM(tblDados[Visitante])=$A68)*tblDados[Primeira_Ocorrencia]*(tblDados[GM_V]=0)))/G68,0))</f>
        <v>0.30769230769230771</v>
      </c>
      <c r="K68" s="11" cm="1">
        <f t="array" ref="K68">IF($A68="","",IFERROR((SUMPRODUCT((TRIM(tblDados[Mandante])=$A68)*tblDados[Primeira_Ocorrencia]*((tblDados[GM_M]+tblDados[GS_M])&gt;0.5))+SUMPRODUCT((TRIM(tblDados[Visitante])=$A68)*tblDados[Primeira_Ocorrencia]*((tblDados[GM_V]+tblDados[GS_V])&gt;0.5)))/G68,0))</f>
        <v>1</v>
      </c>
      <c r="L68" s="11" cm="1">
        <f t="array" ref="L68">IF($A68="","",IFERROR((SUMPRODUCT((TRIM(tblDados[Mandante])=$A68)*tblDados[Primeira_Ocorrencia]*((tblDados[GM_M]+tblDados[GS_M])&gt;1.5))+SUMPRODUCT((TRIM(tblDados[Visitante])=$A68)*tblDados[Primeira_Ocorrencia]*((tblDados[GM_V]+tblDados[GS_V])&gt;1.5)))/G68,0))</f>
        <v>0.76923076923076927</v>
      </c>
      <c r="M68" s="11" cm="1">
        <f t="array" ref="M68">IF($A68="","",IFERROR((SUMPRODUCT((TRIM(tblDados[Mandante])=$A68)*tblDados[Primeira_Ocorrencia]*((tblDados[GM_M]+tblDados[GS_M])&gt;2.5))+SUMPRODUCT((TRIM(tblDados[Visitante])=$A68)*tblDados[Primeira_Ocorrencia]*((tblDados[GM_V]+tblDados[GS_V])&gt;2.5)))/G68,0))</f>
        <v>0.69230769230769229</v>
      </c>
      <c r="N68" s="11" cm="1">
        <f t="array" ref="N68">IF($A68="","",IFERROR((SUMPRODUCT((TRIM(tblDados[Mandante])=$A68)*tblDados[Primeira_Ocorrencia]*((tblDados[GM_M]+tblDados[GS_M])&gt;3.5))+SUMPRODUCT((TRIM(tblDados[Visitante])=$A68)*tblDados[Primeira_Ocorrencia]*((tblDados[GM_V]+tblDados[GS_V])&gt;3.5)))/G68,0))</f>
        <v>0.53846153846153844</v>
      </c>
      <c r="O68" s="11" cm="1">
        <f t="array" ref="O68">IF($A68="","",IFERROR((SUMPRODUCT((TRIM(tblDados[Mandante])=$A68)*tblDados[Primeira_Ocorrencia]*(tblDados[GM_M]&gt;0)*(tblDados[GS_M]&gt;0))+SUMPRODUCT((TRIM(tblDados[Visitante])=$A68)*tblDados[Primeira_Ocorrencia]*(tblDados[GM_V]&gt;0)*(tblDados[GS_V]&gt;0)))/G68,0))</f>
        <v>0.53846153846153844</v>
      </c>
      <c r="P68" s="10" cm="1">
        <f t="array" ref="P68">IF($A68="","",IFERROR((SUMPRODUCT((TRIM(tblDados[Mandante])=$A68)*tblDados[Primeira_Ocorrencia]*tblDados[GM_M]^2)+SUMPRODUCT((TRIM(tblDados[Visitante])=$A68)*tblDados[Primeira_Ocorrencia]*tblDados[GM_V]^2))/G68-H68^2,0))</f>
        <v>1.4674556213017753</v>
      </c>
      <c r="Q68" s="10">
        <f t="shared" si="22"/>
        <v>1.211385826771048</v>
      </c>
      <c r="R68" s="8" t="str">
        <f t="shared" si="23"/>
        <v>Poisson</v>
      </c>
      <c r="S68" s="10" cm="1">
        <f t="array" ref="S68">IF($A68="","",SUMPRODUCT((TRIM(tblDados[Mandante])=$A68)*tblDados[Primeira_Ocorrencia]*tblDados[GM_M]))</f>
        <v>9</v>
      </c>
      <c r="T68" s="10" cm="1">
        <f t="array" ref="T68">IF($A68="","",SUMPRODUCT((TRIM(tblDados[Visitante])=$A68)*tblDados[Primeira_Ocorrencia]*tblDados[GM_V]))</f>
        <v>9</v>
      </c>
      <c r="U68" s="10">
        <f t="shared" si="24"/>
        <v>18</v>
      </c>
      <c r="V68" s="10">
        <f t="shared" si="13"/>
        <v>1.3846153846153846</v>
      </c>
      <c r="W68" s="10" cm="1">
        <f t="array" ref="W68">IF($A68="","",SUMPRODUCT((TRIM(tblDados[Mandante])=$A68)*tblDados[Primeira_Ocorrencia]*tblDados[GS_M]))</f>
        <v>9</v>
      </c>
      <c r="X68" s="10" cm="1">
        <f t="array" ref="X68">IF($A68="","",SUMPRODUCT((TRIM(tblDados[Visitante])=$A68)*tblDados[Primeira_Ocorrencia]*tblDados[GS_V]))</f>
        <v>21</v>
      </c>
      <c r="Y68" s="10">
        <f t="shared" si="25"/>
        <v>30</v>
      </c>
      <c r="Z68" s="10">
        <f t="shared" si="14"/>
        <v>2.3076923076923075</v>
      </c>
      <c r="AA68" s="10">
        <f t="shared" si="15"/>
        <v>1.8</v>
      </c>
      <c r="AB68" s="10">
        <f t="shared" si="16"/>
        <v>1.8</v>
      </c>
      <c r="AC68" s="10">
        <f t="shared" si="17"/>
        <v>1.125</v>
      </c>
      <c r="AD68" s="10">
        <f t="shared" si="18"/>
        <v>2.625</v>
      </c>
    </row>
    <row r="69" spans="1:30" x14ac:dyDescent="0.3">
      <c r="A69" s="7" t="str">
        <v>Coritiba</v>
      </c>
      <c r="B69" s="12" t="str" cm="1">
        <f t="array" ref="B69">IF($A69="","",_xlfn.LET(_xlpm.p,IFERROR(INDEX(tblDados[País],MATCH($A69,TRIM(tblDados[Mandante]),0)),INDEX(tblDados[País],MATCH($A69,TRIM(tblDados[Visitante]),0))),_xlpm.l,IFERROR(INDEX(tblDados[Liga],MATCH($A69,TRIM(tblDados[Mandante]),0)),INDEX(tblDados[Liga],MATCH($A69,TRIM(tblDados[Visitante]),0))),_xlpm.p&amp;" - "&amp;_xlpm.l))</f>
        <v>BRA - Série A</v>
      </c>
      <c r="C69" s="10">
        <f t="shared" si="19"/>
        <v>2.8571428571428572</v>
      </c>
      <c r="D69" s="10">
        <f t="shared" si="20"/>
        <v>2.666666666666667</v>
      </c>
      <c r="E69" s="9" cm="1">
        <f t="array" ref="E69">IF($A69="","",SUMPRODUCT((TRIM(tblDados[Mandante])=$A69)*tblDados[Primeira_Ocorrencia]))</f>
        <v>7</v>
      </c>
      <c r="F69" s="9" cm="1">
        <f t="array" ref="F69">IF($A69="","",SUMPRODUCT((TRIM(tblDados[Visitante])=$A69)*tblDados[Primeira_Ocorrencia]))</f>
        <v>6</v>
      </c>
      <c r="G69" s="9" cm="1">
        <f t="array" ref="G69">IF($A69="","",SUMPRODUCT((TRIM(tblDados[Mandante])=$A69)*tblDados[Primeira_Ocorrencia])+SUMPRODUCT((TRIM(tblDados[Visitante])=$A69)*tblDados[Primeira_Ocorrencia]))</f>
        <v>13</v>
      </c>
      <c r="H69" s="10">
        <f t="shared" si="21"/>
        <v>1.2307692307692308</v>
      </c>
      <c r="I69" s="10" cm="1">
        <f t="array" ref="I69">IF($A69="","",_xlfn.LET(_xlpm.p,IFERROR(INDEX(tblDados[País],MATCH($A69,TRIM(tblDados[Mandante]),0)),INDEX(tblDados[País],MATCH($A69,TRIM(tblDados[Visitante]),0))),_xlpm.l,IFERROR(INDEX(tblDados[Liga],MATCH($A69,TRIM(tblDados[Mandante]),0)),INDEX(tblDados[Liga],MATCH($A69,TRIM(tblDados[Visitante]),0))),IFERROR(SUMIFS(Ligas!$D$2:$D$39,Ligas!$H$2:$H$39,_xlpm.p,Ligas!$I$2:$I$39,_xlpm.l),0)))</f>
        <v>2.59</v>
      </c>
      <c r="J69" s="11" cm="1">
        <f t="array" ref="J69">IF($A69="","",IFERROR((SUMPRODUCT((TRIM(tblDados[Mandante])=$A69)*tblDados[Primeira_Ocorrencia]*(tblDados[GM_M]=0))+SUMPRODUCT((TRIM(tblDados[Visitante])=$A69)*tblDados[Primeira_Ocorrencia]*(tblDados[GM_V]=0)))/G69,0))</f>
        <v>0.30769230769230771</v>
      </c>
      <c r="K69" s="11" cm="1">
        <f t="array" ref="K69">IF($A69="","",IFERROR((SUMPRODUCT((TRIM(tblDados[Mandante])=$A69)*tblDados[Primeira_Ocorrencia]*((tblDados[GM_M]+tblDados[GS_M])&gt;0.5))+SUMPRODUCT((TRIM(tblDados[Visitante])=$A69)*tblDados[Primeira_Ocorrencia]*((tblDados[GM_V]+tblDados[GS_V])&gt;0.5)))/G69,0))</f>
        <v>0.92307692307692313</v>
      </c>
      <c r="L69" s="11" cm="1">
        <f t="array" ref="L69">IF($A69="","",IFERROR((SUMPRODUCT((TRIM(tblDados[Mandante])=$A69)*tblDados[Primeira_Ocorrencia]*((tblDados[GM_M]+tblDados[GS_M])&gt;1.5))+SUMPRODUCT((TRIM(tblDados[Visitante])=$A69)*tblDados[Primeira_Ocorrencia]*((tblDados[GM_V]+tblDados[GS_V])&gt;1.5)))/G69,0))</f>
        <v>0.76923076923076927</v>
      </c>
      <c r="M69" s="11" cm="1">
        <f t="array" ref="M69">IF($A69="","",IFERROR((SUMPRODUCT((TRIM(tblDados[Mandante])=$A69)*tblDados[Primeira_Ocorrencia]*((tblDados[GM_M]+tblDados[GS_M])&gt;2.5))+SUMPRODUCT((TRIM(tblDados[Visitante])=$A69)*tblDados[Primeira_Ocorrencia]*((tblDados[GM_V]+tblDados[GS_V])&gt;2.5)))/G69,0))</f>
        <v>0.53846153846153844</v>
      </c>
      <c r="N69" s="11" cm="1">
        <f t="array" ref="N69">IF($A69="","",IFERROR((SUMPRODUCT((TRIM(tblDados[Mandante])=$A69)*tblDados[Primeira_Ocorrencia]*((tblDados[GM_M]+tblDados[GS_M])&gt;3.5))+SUMPRODUCT((TRIM(tblDados[Visitante])=$A69)*tblDados[Primeira_Ocorrencia]*((tblDados[GM_V]+tblDados[GS_V])&gt;3.5)))/G69,0))</f>
        <v>0.38461538461538464</v>
      </c>
      <c r="O69" s="11" cm="1">
        <f t="array" ref="O69">IF($A69="","",IFERROR((SUMPRODUCT((TRIM(tblDados[Mandante])=$A69)*tblDados[Primeira_Ocorrencia]*(tblDados[GM_M]&gt;0)*(tblDados[GS_M]&gt;0))+SUMPRODUCT((TRIM(tblDados[Visitante])=$A69)*tblDados[Primeira_Ocorrencia]*(tblDados[GM_V]&gt;0)*(tblDados[GS_V]&gt;0)))/G69,0))</f>
        <v>0.53846153846153844</v>
      </c>
      <c r="P69" s="10" cm="1">
        <f t="array" ref="P69">IF($A69="","",IFERROR((SUMPRODUCT((TRIM(tblDados[Mandante])=$A69)*tblDados[Primeira_Ocorrencia]*tblDados[GM_M]^2)+SUMPRODUCT((TRIM(tblDados[Visitante])=$A69)*tblDados[Primeira_Ocorrencia]*tblDados[GM_V]^2))/G69-H69^2,0))</f>
        <v>1.1005917159763312</v>
      </c>
      <c r="Q69" s="10">
        <f t="shared" si="22"/>
        <v>1.0490908997681427</v>
      </c>
      <c r="R69" s="8" t="str">
        <f t="shared" si="23"/>
        <v>Poisson</v>
      </c>
      <c r="S69" s="10" cm="1">
        <f t="array" ref="S69">IF($A69="","",SUMPRODUCT((TRIM(tblDados[Mandante])=$A69)*tblDados[Primeira_Ocorrencia]*tblDados[GM_M]))</f>
        <v>10</v>
      </c>
      <c r="T69" s="10" cm="1">
        <f t="array" ref="T69">IF($A69="","",SUMPRODUCT((TRIM(tblDados[Visitante])=$A69)*tblDados[Primeira_Ocorrencia]*tblDados[GM_V]))</f>
        <v>6</v>
      </c>
      <c r="U69" s="10">
        <f t="shared" si="24"/>
        <v>16</v>
      </c>
      <c r="V69" s="10">
        <f t="shared" si="13"/>
        <v>1.2307692307692308</v>
      </c>
      <c r="W69" s="10" cm="1">
        <f t="array" ref="W69">IF($A69="","",SUMPRODUCT((TRIM(tblDados[Mandante])=$A69)*tblDados[Primeira_Ocorrencia]*tblDados[GS_M]))</f>
        <v>10</v>
      </c>
      <c r="X69" s="10" cm="1">
        <f t="array" ref="X69">IF($A69="","",SUMPRODUCT((TRIM(tblDados[Visitante])=$A69)*tblDados[Primeira_Ocorrencia]*tblDados[GS_V]))</f>
        <v>10</v>
      </c>
      <c r="Y69" s="10">
        <f t="shared" si="25"/>
        <v>20</v>
      </c>
      <c r="Z69" s="10">
        <f t="shared" si="14"/>
        <v>1.5384615384615385</v>
      </c>
      <c r="AA69" s="10">
        <f t="shared" si="15"/>
        <v>1.4285714285714286</v>
      </c>
      <c r="AB69" s="10">
        <f t="shared" si="16"/>
        <v>1.4285714285714286</v>
      </c>
      <c r="AC69" s="10">
        <f t="shared" si="17"/>
        <v>1</v>
      </c>
      <c r="AD69" s="10">
        <f t="shared" si="18"/>
        <v>1.6666666666666667</v>
      </c>
    </row>
    <row r="70" spans="1:30" x14ac:dyDescent="0.3">
      <c r="A70" s="7" t="str">
        <v>Dandenong Thunder</v>
      </c>
      <c r="B70" s="12" t="str" cm="1">
        <f t="array" ref="B70">IF($A70="","",_xlfn.LET(_xlpm.p,IFERROR(INDEX(tblDados[País],MATCH($A70,TRIM(tblDados[Mandante]),0)),INDEX(tblDados[País],MATCH($A70,TRIM(tblDados[Visitante]),0))),_xlpm.l,IFERROR(INDEX(tblDados[Liga],MATCH($A70,TRIM(tblDados[Mandante]),0)),INDEX(tblDados[Liga],MATCH($A70,TRIM(tblDados[Visitante]),0))),_xlpm.p&amp;" - "&amp;_xlpm.l))</f>
        <v>AUS - NPL Victoria</v>
      </c>
      <c r="C70" s="10">
        <f t="shared" si="19"/>
        <v>3.1428571428571428</v>
      </c>
      <c r="D70" s="10">
        <f t="shared" si="20"/>
        <v>4.3333333333333339</v>
      </c>
      <c r="E70" s="9" cm="1">
        <f t="array" ref="E70">IF($A70="","",SUMPRODUCT((TRIM(tblDados[Mandante])=$A70)*tblDados[Primeira_Ocorrencia]))</f>
        <v>7</v>
      </c>
      <c r="F70" s="9" cm="1">
        <f t="array" ref="F70">IF($A70="","",SUMPRODUCT((TRIM(tblDados[Visitante])=$A70)*tblDados[Primeira_Ocorrencia]))</f>
        <v>6</v>
      </c>
      <c r="G70" s="9" cm="1">
        <f t="array" ref="G70">IF($A70="","",SUMPRODUCT((TRIM(tblDados[Mandante])=$A70)*tblDados[Primeira_Ocorrencia])+SUMPRODUCT((TRIM(tblDados[Visitante])=$A70)*tblDados[Primeira_Ocorrencia]))</f>
        <v>13</v>
      </c>
      <c r="H70" s="10">
        <f t="shared" si="21"/>
        <v>0.76923076923076927</v>
      </c>
      <c r="I70" s="10" cm="1">
        <f t="array" ref="I70">IF($A70="","",_xlfn.LET(_xlpm.p,IFERROR(INDEX(tblDados[País],MATCH($A70,TRIM(tblDados[Mandante]),0)),INDEX(tblDados[País],MATCH($A70,TRIM(tblDados[Visitante]),0))),_xlpm.l,IFERROR(INDEX(tblDados[Liga],MATCH($A70,TRIM(tblDados[Mandante]),0)),INDEX(tblDados[Liga],MATCH($A70,TRIM(tblDados[Visitante]),0))),IFERROR(SUMIFS(Ligas!$D$2:$D$39,Ligas!$H$2:$H$39,_xlpm.p,Ligas!$I$2:$I$39,_xlpm.l),0)))</f>
        <v>2.89</v>
      </c>
      <c r="J70" s="11" cm="1">
        <f t="array" ref="J70">IF($A70="","",IFERROR((SUMPRODUCT((TRIM(tblDados[Mandante])=$A70)*tblDados[Primeira_Ocorrencia]*(tblDados[GM_M]=0))+SUMPRODUCT((TRIM(tblDados[Visitante])=$A70)*tblDados[Primeira_Ocorrencia]*(tblDados[GM_V]=0)))/G70,0))</f>
        <v>0.53846153846153844</v>
      </c>
      <c r="K70" s="11" cm="1">
        <f t="array" ref="K70">IF($A70="","",IFERROR((SUMPRODUCT((TRIM(tblDados[Mandante])=$A70)*tblDados[Primeira_Ocorrencia]*((tblDados[GM_M]+tblDados[GS_M])&gt;0.5))+SUMPRODUCT((TRIM(tblDados[Visitante])=$A70)*tblDados[Primeira_Ocorrencia]*((tblDados[GM_V]+tblDados[GS_V])&gt;0.5)))/G70,0))</f>
        <v>1</v>
      </c>
      <c r="L70" s="11" cm="1">
        <f t="array" ref="L70">IF($A70="","",IFERROR((SUMPRODUCT((TRIM(tblDados[Mandante])=$A70)*tblDados[Primeira_Ocorrencia]*((tblDados[GM_M]+tblDados[GS_M])&gt;1.5))+SUMPRODUCT((TRIM(tblDados[Visitante])=$A70)*tblDados[Primeira_Ocorrencia]*((tblDados[GM_V]+tblDados[GS_V])&gt;1.5)))/G70,0))</f>
        <v>0.84615384615384615</v>
      </c>
      <c r="M70" s="11" cm="1">
        <f t="array" ref="M70">IF($A70="","",IFERROR((SUMPRODUCT((TRIM(tblDados[Mandante])=$A70)*tblDados[Primeira_Ocorrencia]*((tblDados[GM_M]+tblDados[GS_M])&gt;2.5))+SUMPRODUCT((TRIM(tblDados[Visitante])=$A70)*tblDados[Primeira_Ocorrencia]*((tblDados[GM_V]+tblDados[GS_V])&gt;2.5)))/G70,0))</f>
        <v>0.61538461538461542</v>
      </c>
      <c r="N70" s="11" cm="1">
        <f t="array" ref="N70">IF($A70="","",IFERROR((SUMPRODUCT((TRIM(tblDados[Mandante])=$A70)*tblDados[Primeira_Ocorrencia]*((tblDados[GM_M]+tblDados[GS_M])&gt;3.5))+SUMPRODUCT((TRIM(tblDados[Visitante])=$A70)*tblDados[Primeira_Ocorrencia]*((tblDados[GM_V]+tblDados[GS_V])&gt;3.5)))/G70,0))</f>
        <v>0.46153846153846156</v>
      </c>
      <c r="O70" s="11" cm="1">
        <f t="array" ref="O70">IF($A70="","",IFERROR((SUMPRODUCT((TRIM(tblDados[Mandante])=$A70)*tblDados[Primeira_Ocorrencia]*(tblDados[GM_M]&gt;0)*(tblDados[GS_M]&gt;0))+SUMPRODUCT((TRIM(tblDados[Visitante])=$A70)*tblDados[Primeira_Ocorrencia]*(tblDados[GM_V]&gt;0)*(tblDados[GS_V]&gt;0)))/G70,0))</f>
        <v>0.46153846153846156</v>
      </c>
      <c r="P70" s="10" cm="1">
        <f t="array" ref="P70">IF($A70="","",IFERROR((SUMPRODUCT((TRIM(tblDados[Mandante])=$A70)*tblDados[Primeira_Ocorrencia]*tblDados[GM_M]^2)+SUMPRODUCT((TRIM(tblDados[Visitante])=$A70)*tblDados[Primeira_Ocorrencia]*tblDados[GM_V]^2))/G70-H70^2,0))</f>
        <v>0.79289940828402361</v>
      </c>
      <c r="Q70" s="10">
        <f t="shared" si="22"/>
        <v>0.89044899252232501</v>
      </c>
      <c r="R70" s="8" t="str">
        <f t="shared" si="23"/>
        <v>Poisson</v>
      </c>
      <c r="S70" s="10" cm="1">
        <f t="array" ref="S70">IF($A70="","",SUMPRODUCT((TRIM(tblDados[Mandante])=$A70)*tblDados[Primeira_Ocorrencia]*tblDados[GM_M]))</f>
        <v>7</v>
      </c>
      <c r="T70" s="10" cm="1">
        <f t="array" ref="T70">IF($A70="","",SUMPRODUCT((TRIM(tblDados[Visitante])=$A70)*tblDados[Primeira_Ocorrencia]*tblDados[GM_V]))</f>
        <v>3</v>
      </c>
      <c r="U70" s="10">
        <f t="shared" si="24"/>
        <v>10</v>
      </c>
      <c r="V70" s="10">
        <f t="shared" si="13"/>
        <v>0.76923076923076927</v>
      </c>
      <c r="W70" s="10" cm="1">
        <f t="array" ref="W70">IF($A70="","",SUMPRODUCT((TRIM(tblDados[Mandante])=$A70)*tblDados[Primeira_Ocorrencia]*tblDados[GS_M]))</f>
        <v>15</v>
      </c>
      <c r="X70" s="10" cm="1">
        <f t="array" ref="X70">IF($A70="","",SUMPRODUCT((TRIM(tblDados[Visitante])=$A70)*tblDados[Primeira_Ocorrencia]*tblDados[GS_V]))</f>
        <v>23</v>
      </c>
      <c r="Y70" s="10">
        <f t="shared" si="25"/>
        <v>38</v>
      </c>
      <c r="Z70" s="10">
        <f t="shared" si="14"/>
        <v>2.9230769230769229</v>
      </c>
      <c r="AA70" s="10">
        <f t="shared" si="15"/>
        <v>1</v>
      </c>
      <c r="AB70" s="10">
        <f t="shared" si="16"/>
        <v>2.1428571428571428</v>
      </c>
      <c r="AC70" s="10">
        <f t="shared" si="17"/>
        <v>0.5</v>
      </c>
      <c r="AD70" s="10">
        <f t="shared" si="18"/>
        <v>3.8333333333333335</v>
      </c>
    </row>
    <row r="71" spans="1:30" x14ac:dyDescent="0.3">
      <c r="A71" s="7" t="str">
        <v>Delfín SC</v>
      </c>
      <c r="B71" s="12" t="str" cm="1">
        <f t="array" ref="B71">IF($A71="","",_xlfn.LET(_xlpm.p,IFERROR(INDEX(tblDados[País],MATCH($A71,TRIM(tblDados[Mandante]),0)),INDEX(tblDados[País],MATCH($A71,TRIM(tblDados[Visitante]),0))),_xlpm.l,IFERROR(INDEX(tblDados[Liga],MATCH($A71,TRIM(tblDados[Mandante]),0)),INDEX(tblDados[Liga],MATCH($A71,TRIM(tblDados[Visitante]),0))),_xlpm.p&amp;" - "&amp;_xlpm.l))</f>
        <v>ECU - LigaPro Serie A</v>
      </c>
      <c r="C71" s="10">
        <f t="shared" si="19"/>
        <v>2</v>
      </c>
      <c r="D71" s="10">
        <f t="shared" si="20"/>
        <v>2.4285714285714284</v>
      </c>
      <c r="E71" s="9" cm="1">
        <f t="array" ref="E71">IF($A71="","",SUMPRODUCT((TRIM(tblDados[Mandante])=$A71)*tblDados[Primeira_Ocorrencia]))</f>
        <v>6</v>
      </c>
      <c r="F71" s="9" cm="1">
        <f t="array" ref="F71">IF($A71="","",SUMPRODUCT((TRIM(tblDados[Visitante])=$A71)*tblDados[Primeira_Ocorrencia]))</f>
        <v>7</v>
      </c>
      <c r="G71" s="9" cm="1">
        <f t="array" ref="G71">IF($A71="","",SUMPRODUCT((TRIM(tblDados[Mandante])=$A71)*tblDados[Primeira_Ocorrencia])+SUMPRODUCT((TRIM(tblDados[Visitante])=$A71)*tblDados[Primeira_Ocorrencia]))</f>
        <v>13</v>
      </c>
      <c r="H71" s="10">
        <f t="shared" si="21"/>
        <v>0.84615384615384615</v>
      </c>
      <c r="I71" s="10" cm="1">
        <f t="array" ref="I71">IF($A71="","",_xlfn.LET(_xlpm.p,IFERROR(INDEX(tblDados[País],MATCH($A71,TRIM(tblDados[Mandante]),0)),INDEX(tblDados[País],MATCH($A71,TRIM(tblDados[Visitante]),0))),_xlpm.l,IFERROR(INDEX(tblDados[Liga],MATCH($A71,TRIM(tblDados[Mandante]),0)),INDEX(tblDados[Liga],MATCH($A71,TRIM(tblDados[Visitante]),0))),IFERROR(SUMIFS(Ligas!$D$2:$D$39,Ligas!$H$2:$H$39,_xlpm.p,Ligas!$I$2:$I$39,_xlpm.l),0)))</f>
        <v>2.5</v>
      </c>
      <c r="J71" s="11" cm="1">
        <f t="array" ref="J71">IF($A71="","",IFERROR((SUMPRODUCT((TRIM(tblDados[Mandante])=$A71)*tblDados[Primeira_Ocorrencia]*(tblDados[GM_M]=0))+SUMPRODUCT((TRIM(tblDados[Visitante])=$A71)*tblDados[Primeira_Ocorrencia]*(tblDados[GM_V]=0)))/G71,0))</f>
        <v>0.30769230769230771</v>
      </c>
      <c r="K71" s="11" cm="1">
        <f t="array" ref="K71">IF($A71="","",IFERROR((SUMPRODUCT((TRIM(tblDados[Mandante])=$A71)*tblDados[Primeira_Ocorrencia]*((tblDados[GM_M]+tblDados[GS_M])&gt;0.5))+SUMPRODUCT((TRIM(tblDados[Visitante])=$A71)*tblDados[Primeira_Ocorrencia]*((tblDados[GM_V]+tblDados[GS_V])&gt;0.5)))/G71,0))</f>
        <v>1</v>
      </c>
      <c r="L71" s="11" cm="1">
        <f t="array" ref="L71">IF($A71="","",IFERROR((SUMPRODUCT((TRIM(tblDados[Mandante])=$A71)*tblDados[Primeira_Ocorrencia]*((tblDados[GM_M]+tblDados[GS_M])&gt;1.5))+SUMPRODUCT((TRIM(tblDados[Visitante])=$A71)*tblDados[Primeira_Ocorrencia]*((tblDados[GM_V]+tblDados[GS_V])&gt;1.5)))/G71,0))</f>
        <v>0.61538461538461542</v>
      </c>
      <c r="M71" s="11" cm="1">
        <f t="array" ref="M71">IF($A71="","",IFERROR((SUMPRODUCT((TRIM(tblDados[Mandante])=$A71)*tblDados[Primeira_Ocorrencia]*((tblDados[GM_M]+tblDados[GS_M])&gt;2.5))+SUMPRODUCT((TRIM(tblDados[Visitante])=$A71)*tblDados[Primeira_Ocorrencia]*((tblDados[GM_V]+tblDados[GS_V])&gt;2.5)))/G71,0))</f>
        <v>0.46153846153846156</v>
      </c>
      <c r="N71" s="11" cm="1">
        <f t="array" ref="N71">IF($A71="","",IFERROR((SUMPRODUCT((TRIM(tblDados[Mandante])=$A71)*tblDados[Primeira_Ocorrencia]*((tblDados[GM_M]+tblDados[GS_M])&gt;3.5))+SUMPRODUCT((TRIM(tblDados[Visitante])=$A71)*tblDados[Primeira_Ocorrencia]*((tblDados[GM_V]+tblDados[GS_V])&gt;3.5)))/G71,0))</f>
        <v>0.15384615384615385</v>
      </c>
      <c r="O71" s="11" cm="1">
        <f t="array" ref="O71">IF($A71="","",IFERROR((SUMPRODUCT((TRIM(tblDados[Mandante])=$A71)*tblDados[Primeira_Ocorrencia]*(tblDados[GM_M]&gt;0)*(tblDados[GS_M]&gt;0))+SUMPRODUCT((TRIM(tblDados[Visitante])=$A71)*tblDados[Primeira_Ocorrencia]*(tblDados[GM_V]&gt;0)*(tblDados[GS_V]&gt;0)))/G71,0))</f>
        <v>0.53846153846153844</v>
      </c>
      <c r="P71" s="10" cm="1">
        <f t="array" ref="P71">IF($A71="","",IFERROR((SUMPRODUCT((TRIM(tblDados[Mandante])=$A71)*tblDados[Primeira_Ocorrencia]*tblDados[GM_M]^2)+SUMPRODUCT((TRIM(tblDados[Visitante])=$A71)*tblDados[Primeira_Ocorrencia]*tblDados[GM_V]^2))/G71-H71^2,0))</f>
        <v>0.43786982248520701</v>
      </c>
      <c r="Q71" s="10">
        <f t="shared" si="22"/>
        <v>0.66171732823404816</v>
      </c>
      <c r="R71" s="8" t="str">
        <f t="shared" si="23"/>
        <v>Poisson</v>
      </c>
      <c r="S71" s="10" cm="1">
        <f t="array" ref="S71">IF($A71="","",SUMPRODUCT((TRIM(tblDados[Mandante])=$A71)*tblDados[Primeira_Ocorrencia]*tblDados[GM_M]))</f>
        <v>6</v>
      </c>
      <c r="T71" s="10" cm="1">
        <f t="array" ref="T71">IF($A71="","",SUMPRODUCT((TRIM(tblDados[Visitante])=$A71)*tblDados[Primeira_Ocorrencia]*tblDados[GM_V]))</f>
        <v>5</v>
      </c>
      <c r="U71" s="10">
        <f t="shared" si="24"/>
        <v>11</v>
      </c>
      <c r="V71" s="10">
        <f t="shared" si="13"/>
        <v>0.84615384615384615</v>
      </c>
      <c r="W71" s="10" cm="1">
        <f t="array" ref="W71">IF($A71="","",SUMPRODUCT((TRIM(tblDados[Mandante])=$A71)*tblDados[Primeira_Ocorrencia]*tblDados[GS_M]))</f>
        <v>6</v>
      </c>
      <c r="X71" s="10" cm="1">
        <f t="array" ref="X71">IF($A71="","",SUMPRODUCT((TRIM(tblDados[Visitante])=$A71)*tblDados[Primeira_Ocorrencia]*tblDados[GS_V]))</f>
        <v>12</v>
      </c>
      <c r="Y71" s="10">
        <f t="shared" si="25"/>
        <v>18</v>
      </c>
      <c r="Z71" s="10">
        <f t="shared" si="14"/>
        <v>1.3846153846153846</v>
      </c>
      <c r="AA71" s="10">
        <f t="shared" si="15"/>
        <v>1</v>
      </c>
      <c r="AB71" s="10">
        <f t="shared" si="16"/>
        <v>1</v>
      </c>
      <c r="AC71" s="10">
        <f t="shared" si="17"/>
        <v>0.7142857142857143</v>
      </c>
      <c r="AD71" s="10">
        <f t="shared" si="18"/>
        <v>1.7142857142857142</v>
      </c>
    </row>
    <row r="72" spans="1:30" x14ac:dyDescent="0.3">
      <c r="A72" s="7" t="str">
        <v>Deportes Concepción</v>
      </c>
      <c r="B72" s="12" t="str" cm="1">
        <f t="array" ref="B72">IF($A72="","",_xlfn.LET(_xlpm.p,IFERROR(INDEX(tblDados[País],MATCH($A72,TRIM(tblDados[Mandante]),0)),INDEX(tblDados[País],MATCH($A72,TRIM(tblDados[Visitante]),0))),_xlpm.l,IFERROR(INDEX(tblDados[Liga],MATCH($A72,TRIM(tblDados[Mandante]),0)),INDEX(tblDados[Liga],MATCH($A72,TRIM(tblDados[Visitante]),0))),_xlpm.p&amp;" - "&amp;_xlpm.l))</f>
        <v>CHI - Liga de Primera</v>
      </c>
      <c r="C72" s="10">
        <f t="shared" si="19"/>
        <v>2.666666666666667</v>
      </c>
      <c r="D72" s="10">
        <f t="shared" si="20"/>
        <v>2</v>
      </c>
      <c r="E72" s="9" cm="1">
        <f t="array" ref="E72">IF($A72="","",SUMPRODUCT((TRIM(tblDados[Mandante])=$A72)*tblDados[Primeira_Ocorrencia]))</f>
        <v>9</v>
      </c>
      <c r="F72" s="9" cm="1">
        <f t="array" ref="F72">IF($A72="","",SUMPRODUCT((TRIM(tblDados[Visitante])=$A72)*tblDados[Primeira_Ocorrencia]))</f>
        <v>4</v>
      </c>
      <c r="G72" s="9" cm="1">
        <f t="array" ref="G72">IF($A72="","",SUMPRODUCT((TRIM(tblDados[Mandante])=$A72)*tblDados[Primeira_Ocorrencia])+SUMPRODUCT((TRIM(tblDados[Visitante])=$A72)*tblDados[Primeira_Ocorrencia]))</f>
        <v>13</v>
      </c>
      <c r="H72" s="10">
        <f t="shared" si="21"/>
        <v>1.2307692307692308</v>
      </c>
      <c r="I72" s="10" cm="1">
        <f t="array" ref="I72">IF($A72="","",_xlfn.LET(_xlpm.p,IFERROR(INDEX(tblDados[País],MATCH($A72,TRIM(tblDados[Mandante]),0)),INDEX(tblDados[País],MATCH($A72,TRIM(tblDados[Visitante]),0))),_xlpm.l,IFERROR(INDEX(tblDados[Liga],MATCH($A72,TRIM(tblDados[Mandante]),0)),INDEX(tblDados[Liga],MATCH($A72,TRIM(tblDados[Visitante]),0))),IFERROR(SUMIFS(Ligas!$D$2:$D$39,Ligas!$H$2:$H$39,_xlpm.p,Ligas!$I$2:$I$39,_xlpm.l),0)))</f>
        <v>2.5</v>
      </c>
      <c r="J72" s="11" cm="1">
        <f t="array" ref="J72">IF($A72="","",IFERROR((SUMPRODUCT((TRIM(tblDados[Mandante])=$A72)*tblDados[Primeira_Ocorrencia]*(tblDados[GM_M]=0))+SUMPRODUCT((TRIM(tblDados[Visitante])=$A72)*tblDados[Primeira_Ocorrencia]*(tblDados[GM_V]=0)))/G72,0))</f>
        <v>0.38461538461538464</v>
      </c>
      <c r="K72" s="11" cm="1">
        <f t="array" ref="K72">IF($A72="","",IFERROR((SUMPRODUCT((TRIM(tblDados[Mandante])=$A72)*tblDados[Primeira_Ocorrencia]*((tblDados[GM_M]+tblDados[GS_M])&gt;0.5))+SUMPRODUCT((TRIM(tblDados[Visitante])=$A72)*tblDados[Primeira_Ocorrencia]*((tblDados[GM_V]+tblDados[GS_V])&gt;0.5)))/G72,0))</f>
        <v>1</v>
      </c>
      <c r="L72" s="11" cm="1">
        <f t="array" ref="L72">IF($A72="","",IFERROR((SUMPRODUCT((TRIM(tblDados[Mandante])=$A72)*tblDados[Primeira_Ocorrencia]*((tblDados[GM_M]+tblDados[GS_M])&gt;1.5))+SUMPRODUCT((TRIM(tblDados[Visitante])=$A72)*tblDados[Primeira_Ocorrencia]*((tblDados[GM_V]+tblDados[GS_V])&gt;1.5)))/G72,0))</f>
        <v>0.69230769230769229</v>
      </c>
      <c r="M72" s="11" cm="1">
        <f t="array" ref="M72">IF($A72="","",IFERROR((SUMPRODUCT((TRIM(tblDados[Mandante])=$A72)*tblDados[Primeira_Ocorrencia]*((tblDados[GM_M]+tblDados[GS_M])&gt;2.5))+SUMPRODUCT((TRIM(tblDados[Visitante])=$A72)*tblDados[Primeira_Ocorrencia]*((tblDados[GM_V]+tblDados[GS_V])&gt;2.5)))/G72,0))</f>
        <v>0.38461538461538464</v>
      </c>
      <c r="N72" s="11" cm="1">
        <f t="array" ref="N72">IF($A72="","",IFERROR((SUMPRODUCT((TRIM(tblDados[Mandante])=$A72)*tblDados[Primeira_Ocorrencia]*((tblDados[GM_M]+tblDados[GS_M])&gt;3.5))+SUMPRODUCT((TRIM(tblDados[Visitante])=$A72)*tblDados[Primeira_Ocorrencia]*((tblDados[GM_V]+tblDados[GS_V])&gt;3.5)))/G72,0))</f>
        <v>0.15384615384615385</v>
      </c>
      <c r="O72" s="11" cm="1">
        <f t="array" ref="O72">IF($A72="","",IFERROR((SUMPRODUCT((TRIM(tblDados[Mandante])=$A72)*tblDados[Primeira_Ocorrencia]*(tblDados[GM_M]&gt;0)*(tblDados[GS_M]&gt;0))+SUMPRODUCT((TRIM(tblDados[Visitante])=$A72)*tblDados[Primeira_Ocorrencia]*(tblDados[GM_V]&gt;0)*(tblDados[GS_V]&gt;0)))/G72,0))</f>
        <v>0.23076923076923078</v>
      </c>
      <c r="P72" s="10" cm="1">
        <f t="array" ref="P72">IF($A72="","",IFERROR((SUMPRODUCT((TRIM(tblDados[Mandante])=$A72)*tblDados[Primeira_Ocorrencia]*tblDados[GM_M]^2)+SUMPRODUCT((TRIM(tblDados[Visitante])=$A72)*tblDados[Primeira_Ocorrencia]*tblDados[GM_V]^2))/G72-H72^2,0))</f>
        <v>1.4082840236686387</v>
      </c>
      <c r="Q72" s="10">
        <f t="shared" si="22"/>
        <v>1.1867114323493471</v>
      </c>
      <c r="R72" s="8" t="str">
        <f t="shared" si="23"/>
        <v>Poisson</v>
      </c>
      <c r="S72" s="10" cm="1">
        <f t="array" ref="S72">IF($A72="","",SUMPRODUCT((TRIM(tblDados[Mandante])=$A72)*tblDados[Primeira_Ocorrencia]*tblDados[GM_M]))</f>
        <v>14</v>
      </c>
      <c r="T72" s="10" cm="1">
        <f t="array" ref="T72">IF($A72="","",SUMPRODUCT((TRIM(tblDados[Visitante])=$A72)*tblDados[Primeira_Ocorrencia]*tblDados[GM_V]))</f>
        <v>2</v>
      </c>
      <c r="U72" s="10">
        <f t="shared" si="24"/>
        <v>16</v>
      </c>
      <c r="V72" s="10">
        <f t="shared" si="13"/>
        <v>1.2307692307692308</v>
      </c>
      <c r="W72" s="10" cm="1">
        <f t="array" ref="W72">IF($A72="","",SUMPRODUCT((TRIM(tblDados[Mandante])=$A72)*tblDados[Primeira_Ocorrencia]*tblDados[GS_M]))</f>
        <v>10</v>
      </c>
      <c r="X72" s="10" cm="1">
        <f t="array" ref="X72">IF($A72="","",SUMPRODUCT((TRIM(tblDados[Visitante])=$A72)*tblDados[Primeira_Ocorrencia]*tblDados[GS_V]))</f>
        <v>6</v>
      </c>
      <c r="Y72" s="10">
        <f t="shared" si="25"/>
        <v>16</v>
      </c>
      <c r="Z72" s="10">
        <f t="shared" si="14"/>
        <v>1.2307692307692308</v>
      </c>
      <c r="AA72" s="10">
        <f t="shared" si="15"/>
        <v>1.5555555555555556</v>
      </c>
      <c r="AB72" s="10">
        <f t="shared" si="16"/>
        <v>1.1111111111111112</v>
      </c>
      <c r="AC72" s="10">
        <f t="shared" si="17"/>
        <v>0.5</v>
      </c>
      <c r="AD72" s="10">
        <f t="shared" si="18"/>
        <v>1.5</v>
      </c>
    </row>
    <row r="73" spans="1:30" x14ac:dyDescent="0.3">
      <c r="A73" s="7" t="str">
        <v>Deportes La Serena</v>
      </c>
      <c r="B73" s="12" t="str" cm="1">
        <f t="array" ref="B73">IF($A73="","",_xlfn.LET(_xlpm.p,IFERROR(INDEX(tblDados[País],MATCH($A73,TRIM(tblDados[Mandante]),0)),INDEX(tblDados[País],MATCH($A73,TRIM(tblDados[Visitante]),0))),_xlpm.l,IFERROR(INDEX(tblDados[Liga],MATCH($A73,TRIM(tblDados[Mandante]),0)),INDEX(tblDados[Liga],MATCH($A73,TRIM(tblDados[Visitante]),0))),_xlpm.p&amp;" - "&amp;_xlpm.l))</f>
        <v>CHI - Liga de Primera</v>
      </c>
      <c r="C73" s="10">
        <f t="shared" si="19"/>
        <v>3</v>
      </c>
      <c r="D73" s="10">
        <f t="shared" si="20"/>
        <v>4.2857142857142856</v>
      </c>
      <c r="E73" s="9" cm="1">
        <f t="array" ref="E73">IF($A73="","",SUMPRODUCT((TRIM(tblDados[Mandante])=$A73)*tblDados[Primeira_Ocorrencia]))</f>
        <v>6</v>
      </c>
      <c r="F73" s="9" cm="1">
        <f t="array" ref="F73">IF($A73="","",SUMPRODUCT((TRIM(tblDados[Visitante])=$A73)*tblDados[Primeira_Ocorrencia]))</f>
        <v>7</v>
      </c>
      <c r="G73" s="9" cm="1">
        <f t="array" ref="G73">IF($A73="","",SUMPRODUCT((TRIM(tblDados[Mandante])=$A73)*tblDados[Primeira_Ocorrencia])+SUMPRODUCT((TRIM(tblDados[Visitante])=$A73)*tblDados[Primeira_Ocorrencia]))</f>
        <v>13</v>
      </c>
      <c r="H73" s="10">
        <f t="shared" si="21"/>
        <v>1.6923076923076923</v>
      </c>
      <c r="I73" s="10" cm="1">
        <f t="array" ref="I73">IF($A73="","",_xlfn.LET(_xlpm.p,IFERROR(INDEX(tblDados[País],MATCH($A73,TRIM(tblDados[Mandante]),0)),INDEX(tblDados[País],MATCH($A73,TRIM(tblDados[Visitante]),0))),_xlpm.l,IFERROR(INDEX(tblDados[Liga],MATCH($A73,TRIM(tblDados[Mandante]),0)),INDEX(tblDados[Liga],MATCH($A73,TRIM(tblDados[Visitante]),0))),IFERROR(SUMIFS(Ligas!$D$2:$D$39,Ligas!$H$2:$H$39,_xlpm.p,Ligas!$I$2:$I$39,_xlpm.l),0)))</f>
        <v>2.5</v>
      </c>
      <c r="J73" s="11" cm="1">
        <f t="array" ref="J73">IF($A73="","",IFERROR((SUMPRODUCT((TRIM(tblDados[Mandante])=$A73)*tblDados[Primeira_Ocorrencia]*(tblDados[GM_M]=0))+SUMPRODUCT((TRIM(tblDados[Visitante])=$A73)*tblDados[Primeira_Ocorrencia]*(tblDados[GM_V]=0)))/G73,0))</f>
        <v>0.15384615384615385</v>
      </c>
      <c r="K73" s="11" cm="1">
        <f t="array" ref="K73">IF($A73="","",IFERROR((SUMPRODUCT((TRIM(tblDados[Mandante])=$A73)*tblDados[Primeira_Ocorrencia]*((tblDados[GM_M]+tblDados[GS_M])&gt;0.5))+SUMPRODUCT((TRIM(tblDados[Visitante])=$A73)*tblDados[Primeira_Ocorrencia]*((tblDados[GM_V]+tblDados[GS_V])&gt;0.5)))/G73,0))</f>
        <v>0.92307692307692313</v>
      </c>
      <c r="L73" s="11" cm="1">
        <f t="array" ref="L73">IF($A73="","",IFERROR((SUMPRODUCT((TRIM(tblDados[Mandante])=$A73)*tblDados[Primeira_Ocorrencia]*((tblDados[GM_M]+tblDados[GS_M])&gt;1.5))+SUMPRODUCT((TRIM(tblDados[Visitante])=$A73)*tblDados[Primeira_Ocorrencia]*((tblDados[GM_V]+tblDados[GS_V])&gt;1.5)))/G73,0))</f>
        <v>0.84615384615384615</v>
      </c>
      <c r="M73" s="11" cm="1">
        <f t="array" ref="M73">IF($A73="","",IFERROR((SUMPRODUCT((TRIM(tblDados[Mandante])=$A73)*tblDados[Primeira_Ocorrencia]*((tblDados[GM_M]+tblDados[GS_M])&gt;2.5))+SUMPRODUCT((TRIM(tblDados[Visitante])=$A73)*tblDados[Primeira_Ocorrencia]*((tblDados[GM_V]+tblDados[GS_V])&gt;2.5)))/G73,0))</f>
        <v>0.69230769230769229</v>
      </c>
      <c r="N73" s="11" cm="1">
        <f t="array" ref="N73">IF($A73="","",IFERROR((SUMPRODUCT((TRIM(tblDados[Mandante])=$A73)*tblDados[Primeira_Ocorrencia]*((tblDados[GM_M]+tblDados[GS_M])&gt;3.5))+SUMPRODUCT((TRIM(tblDados[Visitante])=$A73)*tblDados[Primeira_Ocorrencia]*((tblDados[GM_V]+tblDados[GS_V])&gt;3.5)))/G73,0))</f>
        <v>0.53846153846153844</v>
      </c>
      <c r="O73" s="11" cm="1">
        <f t="array" ref="O73">IF($A73="","",IFERROR((SUMPRODUCT((TRIM(tblDados[Mandante])=$A73)*tblDados[Primeira_Ocorrencia]*(tblDados[GM_M]&gt;0)*(tblDados[GS_M]&gt;0))+SUMPRODUCT((TRIM(tblDados[Visitante])=$A73)*tblDados[Primeira_Ocorrencia]*(tblDados[GM_V]&gt;0)*(tblDados[GS_V]&gt;0)))/G73,0))</f>
        <v>0.69230769230769229</v>
      </c>
      <c r="P73" s="10" cm="1">
        <f t="array" ref="P73">IF($A73="","",IFERROR((SUMPRODUCT((TRIM(tblDados[Mandante])=$A73)*tblDados[Primeira_Ocorrencia]*tblDados[GM_M]^2)+SUMPRODUCT((TRIM(tblDados[Visitante])=$A73)*tblDados[Primeira_Ocorrencia]*tblDados[GM_V]^2))/G73-H73^2,0))</f>
        <v>1.4437869822485205</v>
      </c>
      <c r="Q73" s="10">
        <f t="shared" si="22"/>
        <v>1.2015768732164083</v>
      </c>
      <c r="R73" s="8" t="str">
        <f t="shared" si="23"/>
        <v>Poisson</v>
      </c>
      <c r="S73" s="10" cm="1">
        <f t="array" ref="S73">IF($A73="","",SUMPRODUCT((TRIM(tblDados[Mandante])=$A73)*tblDados[Primeira_Ocorrencia]*tblDados[GM_M]))</f>
        <v>11</v>
      </c>
      <c r="T73" s="10" cm="1">
        <f t="array" ref="T73">IF($A73="","",SUMPRODUCT((TRIM(tblDados[Visitante])=$A73)*tblDados[Primeira_Ocorrencia]*tblDados[GM_V]))</f>
        <v>11</v>
      </c>
      <c r="U73" s="10">
        <f t="shared" si="24"/>
        <v>22</v>
      </c>
      <c r="V73" s="10">
        <f t="shared" si="13"/>
        <v>1.6923076923076923</v>
      </c>
      <c r="W73" s="10" cm="1">
        <f t="array" ref="W73">IF($A73="","",SUMPRODUCT((TRIM(tblDados[Mandante])=$A73)*tblDados[Primeira_Ocorrencia]*tblDados[GS_M]))</f>
        <v>7</v>
      </c>
      <c r="X73" s="10" cm="1">
        <f t="array" ref="X73">IF($A73="","",SUMPRODUCT((TRIM(tblDados[Visitante])=$A73)*tblDados[Primeira_Ocorrencia]*tblDados[GS_V]))</f>
        <v>19</v>
      </c>
      <c r="Y73" s="10">
        <f t="shared" si="25"/>
        <v>26</v>
      </c>
      <c r="Z73" s="10">
        <f t="shared" si="14"/>
        <v>2</v>
      </c>
      <c r="AA73" s="10">
        <f t="shared" si="15"/>
        <v>1.8333333333333333</v>
      </c>
      <c r="AB73" s="10">
        <f t="shared" si="16"/>
        <v>1.1666666666666667</v>
      </c>
      <c r="AC73" s="10">
        <f t="shared" si="17"/>
        <v>1.5714285714285714</v>
      </c>
      <c r="AD73" s="10">
        <f t="shared" si="18"/>
        <v>2.7142857142857144</v>
      </c>
    </row>
    <row r="74" spans="1:30" x14ac:dyDescent="0.3">
      <c r="A74" s="7" t="str">
        <v>Djurgårdens IF</v>
      </c>
      <c r="B74" s="12" t="str" cm="1">
        <f t="array" ref="B74">IF($A74="","",_xlfn.LET(_xlpm.p,IFERROR(INDEX(tblDados[País],MATCH($A74,TRIM(tblDados[Mandante]),0)),INDEX(tblDados[País],MATCH($A74,TRIM(tblDados[Visitante]),0))),_xlpm.l,IFERROR(INDEX(tblDados[Liga],MATCH($A74,TRIM(tblDados[Mandante]),0)),INDEX(tblDados[Liga],MATCH($A74,TRIM(tblDados[Visitante]),0))),_xlpm.p&amp;" - "&amp;_xlpm.l))</f>
        <v>SWE - Allsvenskan</v>
      </c>
      <c r="C74" s="10">
        <f t="shared" si="19"/>
        <v>3.7142857142857144</v>
      </c>
      <c r="D74" s="10">
        <f t="shared" si="20"/>
        <v>2.8333333333333335</v>
      </c>
      <c r="E74" s="9" cm="1">
        <f t="array" ref="E74">IF($A74="","",SUMPRODUCT((TRIM(tblDados[Mandante])=$A74)*tblDados[Primeira_Ocorrencia]))</f>
        <v>7</v>
      </c>
      <c r="F74" s="9" cm="1">
        <f t="array" ref="F74">IF($A74="","",SUMPRODUCT((TRIM(tblDados[Visitante])=$A74)*tblDados[Primeira_Ocorrencia]))</f>
        <v>6</v>
      </c>
      <c r="G74" s="9" cm="1">
        <f t="array" ref="G74">IF($A74="","",SUMPRODUCT((TRIM(tblDados[Mandante])=$A74)*tblDados[Primeira_Ocorrencia])+SUMPRODUCT((TRIM(tblDados[Visitante])=$A74)*tblDados[Primeira_Ocorrencia]))</f>
        <v>13</v>
      </c>
      <c r="H74" s="10">
        <f t="shared" si="21"/>
        <v>2.2307692307692308</v>
      </c>
      <c r="I74" s="10" cm="1">
        <f t="array" ref="I74">IF($A74="","",_xlfn.LET(_xlpm.p,IFERROR(INDEX(tblDados[País],MATCH($A74,TRIM(tblDados[Mandante]),0)),INDEX(tblDados[País],MATCH($A74,TRIM(tblDados[Visitante]),0))),_xlpm.l,IFERROR(INDEX(tblDados[Liga],MATCH($A74,TRIM(tblDados[Mandante]),0)),INDEX(tblDados[Liga],MATCH($A74,TRIM(tblDados[Visitante]),0))),IFERROR(SUMIFS(Ligas!$D$2:$D$39,Ligas!$H$2:$H$39,_xlpm.p,Ligas!$I$2:$I$39,_xlpm.l),0)))</f>
        <v>2.5</v>
      </c>
      <c r="J74" s="11" cm="1">
        <f t="array" ref="J74">IF($A74="","",IFERROR((SUMPRODUCT((TRIM(tblDados[Mandante])=$A74)*tblDados[Primeira_Ocorrencia]*(tblDados[GM_M]=0))+SUMPRODUCT((TRIM(tblDados[Visitante])=$A74)*tblDados[Primeira_Ocorrencia]*(tblDados[GM_V]=0)))/G74,0))</f>
        <v>0.23076923076923078</v>
      </c>
      <c r="K74" s="11" cm="1">
        <f t="array" ref="K74">IF($A74="","",IFERROR((SUMPRODUCT((TRIM(tblDados[Mandante])=$A74)*tblDados[Primeira_Ocorrencia]*((tblDados[GM_M]+tblDados[GS_M])&gt;0.5))+SUMPRODUCT((TRIM(tblDados[Visitante])=$A74)*tblDados[Primeira_Ocorrencia]*((tblDados[GM_V]+tblDados[GS_V])&gt;0.5)))/G74,0))</f>
        <v>0.92307692307692313</v>
      </c>
      <c r="L74" s="11" cm="1">
        <f t="array" ref="L74">IF($A74="","",IFERROR((SUMPRODUCT((TRIM(tblDados[Mandante])=$A74)*tblDados[Primeira_Ocorrencia]*((tblDados[GM_M]+tblDados[GS_M])&gt;1.5))+SUMPRODUCT((TRIM(tblDados[Visitante])=$A74)*tblDados[Primeira_Ocorrencia]*((tblDados[GM_V]+tblDados[GS_V])&gt;1.5)))/G74,0))</f>
        <v>0.69230769230769229</v>
      </c>
      <c r="M74" s="11" cm="1">
        <f t="array" ref="M74">IF($A74="","",IFERROR((SUMPRODUCT((TRIM(tblDados[Mandante])=$A74)*tblDados[Primeira_Ocorrencia]*((tblDados[GM_M]+tblDados[GS_M])&gt;2.5))+SUMPRODUCT((TRIM(tblDados[Visitante])=$A74)*tblDados[Primeira_Ocorrencia]*((tblDados[GM_V]+tblDados[GS_V])&gt;2.5)))/G74,0))</f>
        <v>0.61538461538461542</v>
      </c>
      <c r="N74" s="11" cm="1">
        <f t="array" ref="N74">IF($A74="","",IFERROR((SUMPRODUCT((TRIM(tblDados[Mandante])=$A74)*tblDados[Primeira_Ocorrencia]*((tblDados[GM_M]+tblDados[GS_M])&gt;3.5))+SUMPRODUCT((TRIM(tblDados[Visitante])=$A74)*tblDados[Primeira_Ocorrencia]*((tblDados[GM_V]+tblDados[GS_V])&gt;3.5)))/G74,0))</f>
        <v>0.38461538461538464</v>
      </c>
      <c r="O74" s="11" cm="1">
        <f t="array" ref="O74">IF($A74="","",IFERROR((SUMPRODUCT((TRIM(tblDados[Mandante])=$A74)*tblDados[Primeira_Ocorrencia]*(tblDados[GM_M]&gt;0)*(tblDados[GS_M]&gt;0))+SUMPRODUCT((TRIM(tblDados[Visitante])=$A74)*tblDados[Primeira_Ocorrencia]*(tblDados[GM_V]&gt;0)*(tblDados[GS_V]&gt;0)))/G74,0))</f>
        <v>0.46153846153846156</v>
      </c>
      <c r="P74" s="10" cm="1">
        <f t="array" ref="P74">IF($A74="","",IFERROR((SUMPRODUCT((TRIM(tblDados[Mandante])=$A74)*tblDados[Primeira_Ocorrencia]*tblDados[GM_M]^2)+SUMPRODUCT((TRIM(tblDados[Visitante])=$A74)*tblDados[Primeira_Ocorrencia]*tblDados[GM_V]^2))/G74-H74^2,0))</f>
        <v>4.3313609467455629</v>
      </c>
      <c r="Q74" s="10">
        <f t="shared" si="22"/>
        <v>2.0811921936105668</v>
      </c>
      <c r="R74" s="8" t="str">
        <f t="shared" si="23"/>
        <v>Binomial Negativa</v>
      </c>
      <c r="S74" s="10" cm="1">
        <f t="array" ref="S74">IF($A74="","",SUMPRODUCT((TRIM(tblDados[Mandante])=$A74)*tblDados[Primeira_Ocorrencia]*tblDados[GM_M]))</f>
        <v>19</v>
      </c>
      <c r="T74" s="10" cm="1">
        <f t="array" ref="T74">IF($A74="","",SUMPRODUCT((TRIM(tblDados[Visitante])=$A74)*tblDados[Primeira_Ocorrencia]*tblDados[GM_V]))</f>
        <v>10</v>
      </c>
      <c r="U74" s="10">
        <f t="shared" si="24"/>
        <v>29</v>
      </c>
      <c r="V74" s="10">
        <f t="shared" si="13"/>
        <v>2.2307692307692308</v>
      </c>
      <c r="W74" s="10" cm="1">
        <f t="array" ref="W74">IF($A74="","",SUMPRODUCT((TRIM(tblDados[Mandante])=$A74)*tblDados[Primeira_Ocorrencia]*tblDados[GS_M]))</f>
        <v>7</v>
      </c>
      <c r="X74" s="10" cm="1">
        <f t="array" ref="X74">IF($A74="","",SUMPRODUCT((TRIM(tblDados[Visitante])=$A74)*tblDados[Primeira_Ocorrencia]*tblDados[GS_V]))</f>
        <v>7</v>
      </c>
      <c r="Y74" s="10">
        <f t="shared" si="25"/>
        <v>14</v>
      </c>
      <c r="Z74" s="10">
        <f t="shared" si="14"/>
        <v>1.0769230769230769</v>
      </c>
      <c r="AA74" s="10">
        <f t="shared" si="15"/>
        <v>2.7142857142857144</v>
      </c>
      <c r="AB74" s="10">
        <f t="shared" si="16"/>
        <v>1</v>
      </c>
      <c r="AC74" s="10">
        <f t="shared" si="17"/>
        <v>1.6666666666666667</v>
      </c>
      <c r="AD74" s="10">
        <f t="shared" si="18"/>
        <v>1.1666666666666667</v>
      </c>
    </row>
    <row r="75" spans="1:30" x14ac:dyDescent="0.3">
      <c r="A75" s="7" t="str">
        <v>Ekenas</v>
      </c>
      <c r="B75" s="12" t="str" cm="1">
        <f t="array" ref="B75">IF($A75="","",_xlfn.LET(_xlpm.p,IFERROR(INDEX(tblDados[País],MATCH($A75,TRIM(tblDados[Mandante]),0)),INDEX(tblDados[País],MATCH($A75,TRIM(tblDados[Visitante]),0))),_xlpm.l,IFERROR(INDEX(tblDados[Liga],MATCH($A75,TRIM(tblDados[Mandante]),0)),INDEX(tblDados[Liga],MATCH($A75,TRIM(tblDados[Visitante]),0))),_xlpm.p&amp;" - "&amp;_xlpm.l))</f>
        <v>FIN - Ykkösliiga</v>
      </c>
      <c r="C75" s="10">
        <f t="shared" si="19"/>
        <v>1.8333333333333335</v>
      </c>
      <c r="D75" s="10">
        <f t="shared" si="20"/>
        <v>3</v>
      </c>
      <c r="E75" s="9" cm="1">
        <f t="array" ref="E75">IF($A75="","",SUMPRODUCT((TRIM(tblDados[Mandante])=$A75)*tblDados[Primeira_Ocorrencia]))</f>
        <v>6</v>
      </c>
      <c r="F75" s="9" cm="1">
        <f t="array" ref="F75">IF($A75="","",SUMPRODUCT((TRIM(tblDados[Visitante])=$A75)*tblDados[Primeira_Ocorrencia]))</f>
        <v>7</v>
      </c>
      <c r="G75" s="9" cm="1">
        <f t="array" ref="G75">IF($A75="","",SUMPRODUCT((TRIM(tblDados[Mandante])=$A75)*tblDados[Primeira_Ocorrencia])+SUMPRODUCT((TRIM(tblDados[Visitante])=$A75)*tblDados[Primeira_Ocorrencia]))</f>
        <v>13</v>
      </c>
      <c r="H75" s="10">
        <f t="shared" si="21"/>
        <v>1.0769230769230769</v>
      </c>
      <c r="I75" s="10" cm="1">
        <f t="array" ref="I75">IF($A75="","",_xlfn.LET(_xlpm.p,IFERROR(INDEX(tblDados[País],MATCH($A75,TRIM(tblDados[Mandante]),0)),INDEX(tblDados[País],MATCH($A75,TRIM(tblDados[Visitante]),0))),_xlpm.l,IFERROR(INDEX(tblDados[Liga],MATCH($A75,TRIM(tblDados[Mandante]),0)),INDEX(tblDados[Liga],MATCH($A75,TRIM(tblDados[Visitante]),0))),IFERROR(SUMIFS(Ligas!$D$2:$D$39,Ligas!$H$2:$H$39,_xlpm.p,Ligas!$I$2:$I$39,_xlpm.l),0)))</f>
        <v>2.5099999999999998</v>
      </c>
      <c r="J75" s="11" cm="1">
        <f t="array" ref="J75">IF($A75="","",IFERROR((SUMPRODUCT((TRIM(tblDados[Mandante])=$A75)*tblDados[Primeira_Ocorrencia]*(tblDados[GM_M]=0))+SUMPRODUCT((TRIM(tblDados[Visitante])=$A75)*tblDados[Primeira_Ocorrencia]*(tblDados[GM_V]=0)))/G75,0))</f>
        <v>0.30769230769230771</v>
      </c>
      <c r="K75" s="11" cm="1">
        <f t="array" ref="K75">IF($A75="","",IFERROR((SUMPRODUCT((TRIM(tblDados[Mandante])=$A75)*tblDados[Primeira_Ocorrencia]*((tblDados[GM_M]+tblDados[GS_M])&gt;0.5))+SUMPRODUCT((TRIM(tblDados[Visitante])=$A75)*tblDados[Primeira_Ocorrencia]*((tblDados[GM_V]+tblDados[GS_V])&gt;0.5)))/G75,0))</f>
        <v>0.92307692307692313</v>
      </c>
      <c r="L75" s="11" cm="1">
        <f t="array" ref="L75">IF($A75="","",IFERROR((SUMPRODUCT((TRIM(tblDados[Mandante])=$A75)*tblDados[Primeira_Ocorrencia]*((tblDados[GM_M]+tblDados[GS_M])&gt;1.5))+SUMPRODUCT((TRIM(tblDados[Visitante])=$A75)*tblDados[Primeira_Ocorrencia]*((tblDados[GM_V]+tblDados[GS_V])&gt;1.5)))/G75,0))</f>
        <v>0.53846153846153844</v>
      </c>
      <c r="M75" s="11" cm="1">
        <f t="array" ref="M75">IF($A75="","",IFERROR((SUMPRODUCT((TRIM(tblDados[Mandante])=$A75)*tblDados[Primeira_Ocorrencia]*((tblDados[GM_M]+tblDados[GS_M])&gt;2.5))+SUMPRODUCT((TRIM(tblDados[Visitante])=$A75)*tblDados[Primeira_Ocorrencia]*((tblDados[GM_V]+tblDados[GS_V])&gt;2.5)))/G75,0))</f>
        <v>0.38461538461538464</v>
      </c>
      <c r="N75" s="11" cm="1">
        <f t="array" ref="N75">IF($A75="","",IFERROR((SUMPRODUCT((TRIM(tblDados[Mandante])=$A75)*tblDados[Primeira_Ocorrencia]*((tblDados[GM_M]+tblDados[GS_M])&gt;3.5))+SUMPRODUCT((TRIM(tblDados[Visitante])=$A75)*tblDados[Primeira_Ocorrencia]*((tblDados[GM_V]+tblDados[GS_V])&gt;3.5)))/G75,0))</f>
        <v>0.23076923076923078</v>
      </c>
      <c r="O75" s="11" cm="1">
        <f t="array" ref="O75">IF($A75="","",IFERROR((SUMPRODUCT((TRIM(tblDados[Mandante])=$A75)*tblDados[Primeira_Ocorrencia]*(tblDados[GM_M]&gt;0)*(tblDados[GS_M]&gt;0))+SUMPRODUCT((TRIM(tblDados[Visitante])=$A75)*tblDados[Primeira_Ocorrencia]*(tblDados[GM_V]&gt;0)*(tblDados[GS_V]&gt;0)))/G75,0))</f>
        <v>0.30769230769230771</v>
      </c>
      <c r="P75" s="10" cm="1">
        <f t="array" ref="P75">IF($A75="","",IFERROR((SUMPRODUCT((TRIM(tblDados[Mandante])=$A75)*tblDados[Primeira_Ocorrencia]*tblDados[GM_M]^2)+SUMPRODUCT((TRIM(tblDados[Visitante])=$A75)*tblDados[Primeira_Ocorrencia]*tblDados[GM_V]^2))/G75-H75^2,0))</f>
        <v>0.99408284023668636</v>
      </c>
      <c r="Q75" s="10">
        <f t="shared" si="22"/>
        <v>0.99703703052428616</v>
      </c>
      <c r="R75" s="8" t="str">
        <f t="shared" si="23"/>
        <v>Poisson</v>
      </c>
      <c r="S75" s="10" cm="1">
        <f t="array" ref="S75">IF($A75="","",SUMPRODUCT((TRIM(tblDados[Mandante])=$A75)*tblDados[Primeira_Ocorrencia]*tblDados[GM_M]))</f>
        <v>7</v>
      </c>
      <c r="T75" s="10" cm="1">
        <f t="array" ref="T75">IF($A75="","",SUMPRODUCT((TRIM(tblDados[Visitante])=$A75)*tblDados[Primeira_Ocorrencia]*tblDados[GM_V]))</f>
        <v>7</v>
      </c>
      <c r="U75" s="10">
        <f t="shared" si="24"/>
        <v>14</v>
      </c>
      <c r="V75" s="10">
        <f t="shared" si="13"/>
        <v>1.0769230769230769</v>
      </c>
      <c r="W75" s="10" cm="1">
        <f t="array" ref="W75">IF($A75="","",SUMPRODUCT((TRIM(tblDados[Mandante])=$A75)*tblDados[Primeira_Ocorrencia]*tblDados[GS_M]))</f>
        <v>4</v>
      </c>
      <c r="X75" s="10" cm="1">
        <f t="array" ref="X75">IF($A75="","",SUMPRODUCT((TRIM(tblDados[Visitante])=$A75)*tblDados[Primeira_Ocorrencia]*tblDados[GS_V]))</f>
        <v>14</v>
      </c>
      <c r="Y75" s="10">
        <f t="shared" si="25"/>
        <v>18</v>
      </c>
      <c r="Z75" s="10">
        <f t="shared" si="14"/>
        <v>1.3846153846153846</v>
      </c>
      <c r="AA75" s="10">
        <f t="shared" si="15"/>
        <v>1.1666666666666667</v>
      </c>
      <c r="AB75" s="10">
        <f t="shared" si="16"/>
        <v>0.66666666666666663</v>
      </c>
      <c r="AC75" s="10">
        <f t="shared" si="17"/>
        <v>1</v>
      </c>
      <c r="AD75" s="10">
        <f t="shared" si="18"/>
        <v>2</v>
      </c>
    </row>
    <row r="76" spans="1:30" x14ac:dyDescent="0.3">
      <c r="A76" s="7" t="str">
        <v>Everton de Viña</v>
      </c>
      <c r="B76" s="12" t="str" cm="1">
        <f t="array" ref="B76">IF($A76="","",_xlfn.LET(_xlpm.p,IFERROR(INDEX(tblDados[País],MATCH($A76,TRIM(tblDados[Mandante]),0)),INDEX(tblDados[País],MATCH($A76,TRIM(tblDados[Visitante]),0))),_xlpm.l,IFERROR(INDEX(tblDados[Liga],MATCH($A76,TRIM(tblDados[Mandante]),0)),INDEX(tblDados[Liga],MATCH($A76,TRIM(tblDados[Visitante]),0))),_xlpm.p&amp;" - "&amp;_xlpm.l))</f>
        <v>CHI - Liga de Primera</v>
      </c>
      <c r="C76" s="10">
        <f t="shared" si="19"/>
        <v>2.4285714285714288</v>
      </c>
      <c r="D76" s="10">
        <f t="shared" si="20"/>
        <v>3.166666666666667</v>
      </c>
      <c r="E76" s="9" cm="1">
        <f t="array" ref="E76">IF($A76="","",SUMPRODUCT((TRIM(tblDados[Mandante])=$A76)*tblDados[Primeira_Ocorrencia]))</f>
        <v>7</v>
      </c>
      <c r="F76" s="9" cm="1">
        <f t="array" ref="F76">IF($A76="","",SUMPRODUCT((TRIM(tblDados[Visitante])=$A76)*tblDados[Primeira_Ocorrencia]))</f>
        <v>6</v>
      </c>
      <c r="G76" s="9" cm="1">
        <f t="array" ref="G76">IF($A76="","",SUMPRODUCT((TRIM(tblDados[Mandante])=$A76)*tblDados[Primeira_Ocorrencia])+SUMPRODUCT((TRIM(tblDados[Visitante])=$A76)*tblDados[Primeira_Ocorrencia]))</f>
        <v>13</v>
      </c>
      <c r="H76" s="10">
        <f t="shared" si="21"/>
        <v>1.6153846153846154</v>
      </c>
      <c r="I76" s="10" cm="1">
        <f t="array" ref="I76">IF($A76="","",_xlfn.LET(_xlpm.p,IFERROR(INDEX(tblDados[País],MATCH($A76,TRIM(tblDados[Mandante]),0)),INDEX(tblDados[País],MATCH($A76,TRIM(tblDados[Visitante]),0))),_xlpm.l,IFERROR(INDEX(tblDados[Liga],MATCH($A76,TRIM(tblDados[Mandante]),0)),INDEX(tblDados[Liga],MATCH($A76,TRIM(tblDados[Visitante]),0))),IFERROR(SUMIFS(Ligas!$D$2:$D$39,Ligas!$H$2:$H$39,_xlpm.p,Ligas!$I$2:$I$39,_xlpm.l),0)))</f>
        <v>2.5</v>
      </c>
      <c r="J76" s="11" cm="1">
        <f t="array" ref="J76">IF($A76="","",IFERROR((SUMPRODUCT((TRIM(tblDados[Mandante])=$A76)*tblDados[Primeira_Ocorrencia]*(tblDados[GM_M]=0))+SUMPRODUCT((TRIM(tblDados[Visitante])=$A76)*tblDados[Primeira_Ocorrencia]*(tblDados[GM_V]=0)))/G76,0))</f>
        <v>0.23076923076923078</v>
      </c>
      <c r="K76" s="11" cm="1">
        <f t="array" ref="K76">IF($A76="","",IFERROR((SUMPRODUCT((TRIM(tblDados[Mandante])=$A76)*tblDados[Primeira_Ocorrencia]*((tblDados[GM_M]+tblDados[GS_M])&gt;0.5))+SUMPRODUCT((TRIM(tblDados[Visitante])=$A76)*tblDados[Primeira_Ocorrencia]*((tblDados[GM_V]+tblDados[GS_V])&gt;0.5)))/G76,0))</f>
        <v>0.84615384615384615</v>
      </c>
      <c r="L76" s="11" cm="1">
        <f t="array" ref="L76">IF($A76="","",IFERROR((SUMPRODUCT((TRIM(tblDados[Mandante])=$A76)*tblDados[Primeira_Ocorrencia]*((tblDados[GM_M]+tblDados[GS_M])&gt;1.5))+SUMPRODUCT((TRIM(tblDados[Visitante])=$A76)*tblDados[Primeira_Ocorrencia]*((tblDados[GM_V]+tblDados[GS_V])&gt;1.5)))/G76,0))</f>
        <v>0.69230769230769229</v>
      </c>
      <c r="M76" s="11" cm="1">
        <f t="array" ref="M76">IF($A76="","",IFERROR((SUMPRODUCT((TRIM(tblDados[Mandante])=$A76)*tblDados[Primeira_Ocorrencia]*((tblDados[GM_M]+tblDados[GS_M])&gt;2.5))+SUMPRODUCT((TRIM(tblDados[Visitante])=$A76)*tblDados[Primeira_Ocorrencia]*((tblDados[GM_V]+tblDados[GS_V])&gt;2.5)))/G76,0))</f>
        <v>0.46153846153846156</v>
      </c>
      <c r="N76" s="11" cm="1">
        <f t="array" ref="N76">IF($A76="","",IFERROR((SUMPRODUCT((TRIM(tblDados[Mandante])=$A76)*tblDados[Primeira_Ocorrencia]*((tblDados[GM_M]+tblDados[GS_M])&gt;3.5))+SUMPRODUCT((TRIM(tblDados[Visitante])=$A76)*tblDados[Primeira_Ocorrencia]*((tblDados[GM_V]+tblDados[GS_V])&gt;3.5)))/G76,0))</f>
        <v>0.38461538461538464</v>
      </c>
      <c r="O76" s="11" cm="1">
        <f t="array" ref="O76">IF($A76="","",IFERROR((SUMPRODUCT((TRIM(tblDados[Mandante])=$A76)*tblDados[Primeira_Ocorrencia]*(tblDados[GM_M]&gt;0)*(tblDados[GS_M]&gt;0))+SUMPRODUCT((TRIM(tblDados[Visitante])=$A76)*tblDados[Primeira_Ocorrencia]*(tblDados[GM_V]&gt;0)*(tblDados[GS_V]&gt;0)))/G76,0))</f>
        <v>0.61538461538461542</v>
      </c>
      <c r="P76" s="10" cm="1">
        <f t="array" ref="P76">IF($A76="","",IFERROR((SUMPRODUCT((TRIM(tblDados[Mandante])=$A76)*tblDados[Primeira_Ocorrencia]*tblDados[GM_M]^2)+SUMPRODUCT((TRIM(tblDados[Visitante])=$A76)*tblDados[Primeira_Ocorrencia]*tblDados[GM_V]^2))/G76-H76^2,0))</f>
        <v>1.6213017751479288</v>
      </c>
      <c r="Q76" s="10">
        <f t="shared" si="22"/>
        <v>1.2733034890189883</v>
      </c>
      <c r="R76" s="8" t="str">
        <f t="shared" si="23"/>
        <v>Poisson</v>
      </c>
      <c r="S76" s="10" cm="1">
        <f t="array" ref="S76">IF($A76="","",SUMPRODUCT((TRIM(tblDados[Mandante])=$A76)*tblDados[Primeira_Ocorrencia]*tblDados[GM_M]))</f>
        <v>9</v>
      </c>
      <c r="T76" s="10" cm="1">
        <f t="array" ref="T76">IF($A76="","",SUMPRODUCT((TRIM(tblDados[Visitante])=$A76)*tblDados[Primeira_Ocorrencia]*tblDados[GM_V]))</f>
        <v>12</v>
      </c>
      <c r="U76" s="10">
        <f t="shared" si="24"/>
        <v>21</v>
      </c>
      <c r="V76" s="10">
        <f t="shared" si="13"/>
        <v>1.6153846153846154</v>
      </c>
      <c r="W76" s="10" cm="1">
        <f t="array" ref="W76">IF($A76="","",SUMPRODUCT((TRIM(tblDados[Mandante])=$A76)*tblDados[Primeira_Ocorrencia]*tblDados[GS_M]))</f>
        <v>8</v>
      </c>
      <c r="X76" s="10" cm="1">
        <f t="array" ref="X76">IF($A76="","",SUMPRODUCT((TRIM(tblDados[Visitante])=$A76)*tblDados[Primeira_Ocorrencia]*tblDados[GS_V]))</f>
        <v>7</v>
      </c>
      <c r="Y76" s="10">
        <f t="shared" si="25"/>
        <v>15</v>
      </c>
      <c r="Z76" s="10">
        <f t="shared" si="14"/>
        <v>1.1538461538461537</v>
      </c>
      <c r="AA76" s="10">
        <f t="shared" si="15"/>
        <v>1.2857142857142858</v>
      </c>
      <c r="AB76" s="10">
        <f t="shared" si="16"/>
        <v>1.1428571428571428</v>
      </c>
      <c r="AC76" s="10">
        <f t="shared" si="17"/>
        <v>2</v>
      </c>
      <c r="AD76" s="10">
        <f t="shared" si="18"/>
        <v>1.1666666666666667</v>
      </c>
    </row>
    <row r="77" spans="1:30" x14ac:dyDescent="0.3">
      <c r="A77" s="7" t="str">
        <v>FC Arlanda</v>
      </c>
      <c r="B77" s="12" t="str" cm="1">
        <f t="array" ref="B77">IF($A77="","",_xlfn.LET(_xlpm.p,IFERROR(INDEX(tblDados[País],MATCH($A77,TRIM(tblDados[Mandante]),0)),INDEX(tblDados[País],MATCH($A77,TRIM(tblDados[Visitante]),0))),_xlpm.l,IFERROR(INDEX(tblDados[Liga],MATCH($A77,TRIM(tblDados[Mandante]),0)),INDEX(tblDados[Liga],MATCH($A77,TRIM(tblDados[Visitante]),0))),_xlpm.p&amp;" - "&amp;_xlpm.l))</f>
        <v>SWE - 1ª D Norra</v>
      </c>
      <c r="C77" s="10">
        <f t="shared" si="19"/>
        <v>1.625</v>
      </c>
      <c r="D77" s="10">
        <f t="shared" si="20"/>
        <v>2.8</v>
      </c>
      <c r="E77" s="9" cm="1">
        <f t="array" ref="E77">IF($A77="","",SUMPRODUCT((TRIM(tblDados[Mandante])=$A77)*tblDados[Primeira_Ocorrencia]))</f>
        <v>8</v>
      </c>
      <c r="F77" s="9" cm="1">
        <f t="array" ref="F77">IF($A77="","",SUMPRODUCT((TRIM(tblDados[Visitante])=$A77)*tblDados[Primeira_Ocorrencia]))</f>
        <v>5</v>
      </c>
      <c r="G77" s="9" cm="1">
        <f t="array" ref="G77">IF($A77="","",SUMPRODUCT((TRIM(tblDados[Mandante])=$A77)*tblDados[Primeira_Ocorrencia])+SUMPRODUCT((TRIM(tblDados[Visitante])=$A77)*tblDados[Primeira_Ocorrencia]))</f>
        <v>13</v>
      </c>
      <c r="H77" s="10">
        <f t="shared" si="21"/>
        <v>1.0769230769230769</v>
      </c>
      <c r="I77" s="10" cm="1">
        <f t="array" ref="I77">IF($A77="","",_xlfn.LET(_xlpm.p,IFERROR(INDEX(tblDados[País],MATCH($A77,TRIM(tblDados[Mandante]),0)),INDEX(tblDados[País],MATCH($A77,TRIM(tblDados[Visitante]),0))),_xlpm.l,IFERROR(INDEX(tblDados[Liga],MATCH($A77,TRIM(tblDados[Mandante]),0)),INDEX(tblDados[Liga],MATCH($A77,TRIM(tblDados[Visitante]),0))),IFERROR(SUMIFS(Ligas!$D$2:$D$39,Ligas!$H$2:$H$39,_xlpm.p,Ligas!$I$2:$I$39,_xlpm.l),0)))</f>
        <v>2.5</v>
      </c>
      <c r="J77" s="11" cm="1">
        <f t="array" ref="J77">IF($A77="","",IFERROR((SUMPRODUCT((TRIM(tblDados[Mandante])=$A77)*tblDados[Primeira_Ocorrencia]*(tblDados[GM_M]=0))+SUMPRODUCT((TRIM(tblDados[Visitante])=$A77)*tblDados[Primeira_Ocorrencia]*(tblDados[GM_V]=0)))/G77,0))</f>
        <v>0.30769230769230771</v>
      </c>
      <c r="K77" s="11" cm="1">
        <f t="array" ref="K77">IF($A77="","",IFERROR((SUMPRODUCT((TRIM(tblDados[Mandante])=$A77)*tblDados[Primeira_Ocorrencia]*((tblDados[GM_M]+tblDados[GS_M])&gt;0.5))+SUMPRODUCT((TRIM(tblDados[Visitante])=$A77)*tblDados[Primeira_Ocorrencia]*((tblDados[GM_V]+tblDados[GS_V])&gt;0.5)))/G77,0))</f>
        <v>0.69230769230769229</v>
      </c>
      <c r="L77" s="11" cm="1">
        <f t="array" ref="L77">IF($A77="","",IFERROR((SUMPRODUCT((TRIM(tblDados[Mandante])=$A77)*tblDados[Primeira_Ocorrencia]*((tblDados[GM_M]+tblDados[GS_M])&gt;1.5))+SUMPRODUCT((TRIM(tblDados[Visitante])=$A77)*tblDados[Primeira_Ocorrencia]*((tblDados[GM_V]+tblDados[GS_V])&gt;1.5)))/G77,0))</f>
        <v>0.53846153846153844</v>
      </c>
      <c r="M77" s="11" cm="1">
        <f t="array" ref="M77">IF($A77="","",IFERROR((SUMPRODUCT((TRIM(tblDados[Mandante])=$A77)*tblDados[Primeira_Ocorrencia]*((tblDados[GM_M]+tblDados[GS_M])&gt;2.5))+SUMPRODUCT((TRIM(tblDados[Visitante])=$A77)*tblDados[Primeira_Ocorrencia]*((tblDados[GM_V]+tblDados[GS_V])&gt;2.5)))/G77,0))</f>
        <v>0.30769230769230771</v>
      </c>
      <c r="N77" s="11" cm="1">
        <f t="array" ref="N77">IF($A77="","",IFERROR((SUMPRODUCT((TRIM(tblDados[Mandante])=$A77)*tblDados[Primeira_Ocorrencia]*((tblDados[GM_M]+tblDados[GS_M])&gt;3.5))+SUMPRODUCT((TRIM(tblDados[Visitante])=$A77)*tblDados[Primeira_Ocorrencia]*((tblDados[GM_V]+tblDados[GS_V])&gt;3.5)))/G77,0))</f>
        <v>0.23076923076923078</v>
      </c>
      <c r="O77" s="11" cm="1">
        <f t="array" ref="O77">IF($A77="","",IFERROR((SUMPRODUCT((TRIM(tblDados[Mandante])=$A77)*tblDados[Primeira_Ocorrencia]*(tblDados[GM_M]&gt;0)*(tblDados[GS_M]&gt;0))+SUMPRODUCT((TRIM(tblDados[Visitante])=$A77)*tblDados[Primeira_Ocorrencia]*(tblDados[GM_V]&gt;0)*(tblDados[GS_V]&gt;0)))/G77,0))</f>
        <v>0.46153846153846156</v>
      </c>
      <c r="P77" s="10" cm="1">
        <f t="array" ref="P77">IF($A77="","",IFERROR((SUMPRODUCT((TRIM(tblDados[Mandante])=$A77)*tblDados[Primeira_Ocorrencia]*tblDados[GM_M]^2)+SUMPRODUCT((TRIM(tblDados[Visitante])=$A77)*tblDados[Primeira_Ocorrencia]*tblDados[GM_V]^2))/G77-H77^2,0))</f>
        <v>0.84023668639053262</v>
      </c>
      <c r="Q77" s="10">
        <f t="shared" si="22"/>
        <v>0.91664425290869123</v>
      </c>
      <c r="R77" s="8" t="str">
        <f t="shared" si="23"/>
        <v>Poisson</v>
      </c>
      <c r="S77" s="10" cm="1">
        <f t="array" ref="S77">IF($A77="","",SUMPRODUCT((TRIM(tblDados[Mandante])=$A77)*tblDados[Primeira_Ocorrencia]*tblDados[GM_M]))</f>
        <v>8</v>
      </c>
      <c r="T77" s="10" cm="1">
        <f t="array" ref="T77">IF($A77="","",SUMPRODUCT((TRIM(tblDados[Visitante])=$A77)*tblDados[Primeira_Ocorrencia]*tblDados[GM_V]))</f>
        <v>6</v>
      </c>
      <c r="U77" s="10">
        <f t="shared" si="24"/>
        <v>14</v>
      </c>
      <c r="V77" s="10">
        <f t="shared" si="13"/>
        <v>1.0769230769230769</v>
      </c>
      <c r="W77" s="10" cm="1">
        <f t="array" ref="W77">IF($A77="","",SUMPRODUCT((TRIM(tblDados[Mandante])=$A77)*tblDados[Primeira_Ocorrencia]*tblDados[GS_M]))</f>
        <v>5</v>
      </c>
      <c r="X77" s="10" cm="1">
        <f t="array" ref="X77">IF($A77="","",SUMPRODUCT((TRIM(tblDados[Visitante])=$A77)*tblDados[Primeira_Ocorrencia]*tblDados[GS_V]))</f>
        <v>8</v>
      </c>
      <c r="Y77" s="10">
        <f t="shared" si="25"/>
        <v>13</v>
      </c>
      <c r="Z77" s="10">
        <f t="shared" si="14"/>
        <v>1</v>
      </c>
      <c r="AA77" s="10">
        <f t="shared" si="15"/>
        <v>1</v>
      </c>
      <c r="AB77" s="10">
        <f t="shared" si="16"/>
        <v>0.625</v>
      </c>
      <c r="AC77" s="10">
        <f t="shared" si="17"/>
        <v>1.2</v>
      </c>
      <c r="AD77" s="10">
        <f t="shared" si="18"/>
        <v>1.6</v>
      </c>
    </row>
    <row r="78" spans="1:30" x14ac:dyDescent="0.3">
      <c r="A78" s="7" t="str">
        <v>FC Stockholm Internazionale</v>
      </c>
      <c r="B78" s="12" t="str" cm="1">
        <f t="array" ref="B78">IF($A78="","",_xlfn.LET(_xlpm.p,IFERROR(INDEX(tblDados[País],MATCH($A78,TRIM(tblDados[Mandante]),0)),INDEX(tblDados[País],MATCH($A78,TRIM(tblDados[Visitante]),0))),_xlpm.l,IFERROR(INDEX(tblDados[Liga],MATCH($A78,TRIM(tblDados[Mandante]),0)),INDEX(tblDados[Liga],MATCH($A78,TRIM(tblDados[Visitante]),0))),_xlpm.p&amp;" - "&amp;_xlpm.l))</f>
        <v>SWE - 1ª D Norra</v>
      </c>
      <c r="C78" s="10">
        <f t="shared" si="19"/>
        <v>3</v>
      </c>
      <c r="D78" s="10">
        <f t="shared" si="20"/>
        <v>3.2857142857142856</v>
      </c>
      <c r="E78" s="9" cm="1">
        <f t="array" ref="E78">IF($A78="","",SUMPRODUCT((TRIM(tblDados[Mandante])=$A78)*tblDados[Primeira_Ocorrencia]))</f>
        <v>6</v>
      </c>
      <c r="F78" s="9" cm="1">
        <f t="array" ref="F78">IF($A78="","",SUMPRODUCT((TRIM(tblDados[Visitante])=$A78)*tblDados[Primeira_Ocorrencia]))</f>
        <v>7</v>
      </c>
      <c r="G78" s="9" cm="1">
        <f t="array" ref="G78">IF($A78="","",SUMPRODUCT((TRIM(tblDados[Mandante])=$A78)*tblDados[Primeira_Ocorrencia])+SUMPRODUCT((TRIM(tblDados[Visitante])=$A78)*tblDados[Primeira_Ocorrencia]))</f>
        <v>13</v>
      </c>
      <c r="H78" s="10">
        <f t="shared" si="21"/>
        <v>2.0769230769230771</v>
      </c>
      <c r="I78" s="10" cm="1">
        <f t="array" ref="I78">IF($A78="","",_xlfn.LET(_xlpm.p,IFERROR(INDEX(tblDados[País],MATCH($A78,TRIM(tblDados[Mandante]),0)),INDEX(tblDados[País],MATCH($A78,TRIM(tblDados[Visitante]),0))),_xlpm.l,IFERROR(INDEX(tblDados[Liga],MATCH($A78,TRIM(tblDados[Mandante]),0)),INDEX(tblDados[Liga],MATCH($A78,TRIM(tblDados[Visitante]),0))),IFERROR(SUMIFS(Ligas!$D$2:$D$39,Ligas!$H$2:$H$39,_xlpm.p,Ligas!$I$2:$I$39,_xlpm.l),0)))</f>
        <v>2.5</v>
      </c>
      <c r="J78" s="11" cm="1">
        <f t="array" ref="J78">IF($A78="","",IFERROR((SUMPRODUCT((TRIM(tblDados[Mandante])=$A78)*tblDados[Primeira_Ocorrencia]*(tblDados[GM_M]=0))+SUMPRODUCT((TRIM(tblDados[Visitante])=$A78)*tblDados[Primeira_Ocorrencia]*(tblDados[GM_V]=0)))/G78,0))</f>
        <v>0.23076923076923078</v>
      </c>
      <c r="K78" s="11" cm="1">
        <f t="array" ref="K78">IF($A78="","",IFERROR((SUMPRODUCT((TRIM(tblDados[Mandante])=$A78)*tblDados[Primeira_Ocorrencia]*((tblDados[GM_M]+tblDados[GS_M])&gt;0.5))+SUMPRODUCT((TRIM(tblDados[Visitante])=$A78)*tblDados[Primeira_Ocorrencia]*((tblDados[GM_V]+tblDados[GS_V])&gt;0.5)))/G78,0))</f>
        <v>0.92307692307692313</v>
      </c>
      <c r="L78" s="11" cm="1">
        <f t="array" ref="L78">IF($A78="","",IFERROR((SUMPRODUCT((TRIM(tblDados[Mandante])=$A78)*tblDados[Primeira_Ocorrencia]*((tblDados[GM_M]+tblDados[GS_M])&gt;1.5))+SUMPRODUCT((TRIM(tblDados[Visitante])=$A78)*tblDados[Primeira_Ocorrencia]*((tblDados[GM_V]+tblDados[GS_V])&gt;1.5)))/G78,0))</f>
        <v>0.92307692307692313</v>
      </c>
      <c r="M78" s="11" cm="1">
        <f t="array" ref="M78">IF($A78="","",IFERROR((SUMPRODUCT((TRIM(tblDados[Mandante])=$A78)*tblDados[Primeira_Ocorrencia]*((tblDados[GM_M]+tblDados[GS_M])&gt;2.5))+SUMPRODUCT((TRIM(tblDados[Visitante])=$A78)*tblDados[Primeira_Ocorrencia]*((tblDados[GM_V]+tblDados[GS_V])&gt;2.5)))/G78,0))</f>
        <v>0.53846153846153844</v>
      </c>
      <c r="N78" s="11" cm="1">
        <f t="array" ref="N78">IF($A78="","",IFERROR((SUMPRODUCT((TRIM(tblDados[Mandante])=$A78)*tblDados[Primeira_Ocorrencia]*((tblDados[GM_M]+tblDados[GS_M])&gt;3.5))+SUMPRODUCT((TRIM(tblDados[Visitante])=$A78)*tblDados[Primeira_Ocorrencia]*((tblDados[GM_V]+tblDados[GS_V])&gt;3.5)))/G78,0))</f>
        <v>0.46153846153846156</v>
      </c>
      <c r="O78" s="11" cm="1">
        <f t="array" ref="O78">IF($A78="","",IFERROR((SUMPRODUCT((TRIM(tblDados[Mandante])=$A78)*tblDados[Primeira_Ocorrencia]*(tblDados[GM_M]&gt;0)*(tblDados[GS_M]&gt;0))+SUMPRODUCT((TRIM(tblDados[Visitante])=$A78)*tblDados[Primeira_Ocorrencia]*(tblDados[GM_V]&gt;0)*(tblDados[GS_V]&gt;0)))/G78,0))</f>
        <v>0.53846153846153844</v>
      </c>
      <c r="P78" s="10" cm="1">
        <f t="array" ref="P78">IF($A78="","",IFERROR((SUMPRODUCT((TRIM(tblDados[Mandante])=$A78)*tblDados[Primeira_Ocorrencia]*tblDados[GM_M]^2)+SUMPRODUCT((TRIM(tblDados[Visitante])=$A78)*tblDados[Primeira_Ocorrencia]*tblDados[GM_V]^2))/G78-H78^2,0))</f>
        <v>2.9940828402366853</v>
      </c>
      <c r="Q78" s="10">
        <f t="shared" si="22"/>
        <v>1.730341827569537</v>
      </c>
      <c r="R78" s="8" t="str">
        <f t="shared" si="23"/>
        <v>Poisson</v>
      </c>
      <c r="S78" s="10" cm="1">
        <f t="array" ref="S78">IF($A78="","",SUMPRODUCT((TRIM(tblDados[Mandante])=$A78)*tblDados[Primeira_Ocorrencia]*tblDados[GM_M]))</f>
        <v>12</v>
      </c>
      <c r="T78" s="10" cm="1">
        <f t="array" ref="T78">IF($A78="","",SUMPRODUCT((TRIM(tblDados[Visitante])=$A78)*tblDados[Primeira_Ocorrencia]*tblDados[GM_V]))</f>
        <v>15</v>
      </c>
      <c r="U78" s="10">
        <f t="shared" si="24"/>
        <v>27</v>
      </c>
      <c r="V78" s="10">
        <f t="shared" si="13"/>
        <v>2.0769230769230771</v>
      </c>
      <c r="W78" s="10" cm="1">
        <f t="array" ref="W78">IF($A78="","",SUMPRODUCT((TRIM(tblDados[Mandante])=$A78)*tblDados[Primeira_Ocorrencia]*tblDados[GS_M]))</f>
        <v>6</v>
      </c>
      <c r="X78" s="10" cm="1">
        <f t="array" ref="X78">IF($A78="","",SUMPRODUCT((TRIM(tblDados[Visitante])=$A78)*tblDados[Primeira_Ocorrencia]*tblDados[GS_V]))</f>
        <v>8</v>
      </c>
      <c r="Y78" s="10">
        <f t="shared" si="25"/>
        <v>14</v>
      </c>
      <c r="Z78" s="10">
        <f t="shared" si="14"/>
        <v>1.0769230769230769</v>
      </c>
      <c r="AA78" s="10">
        <f t="shared" si="15"/>
        <v>2</v>
      </c>
      <c r="AB78" s="10">
        <f t="shared" si="16"/>
        <v>1</v>
      </c>
      <c r="AC78" s="10">
        <f t="shared" si="17"/>
        <v>2.1428571428571428</v>
      </c>
      <c r="AD78" s="10">
        <f t="shared" si="18"/>
        <v>1.1428571428571428</v>
      </c>
    </row>
    <row r="79" spans="1:30" x14ac:dyDescent="0.3">
      <c r="A79" s="7" t="str">
        <v>Flamengo</v>
      </c>
      <c r="B79" s="12" t="str" cm="1">
        <f t="array" ref="B79">IF($A79="","",_xlfn.LET(_xlpm.p,IFERROR(INDEX(tblDados[País],MATCH($A79,TRIM(tblDados[Mandante]),0)),INDEX(tblDados[País],MATCH($A79,TRIM(tblDados[Visitante]),0))),_xlpm.l,IFERROR(INDEX(tblDados[Liga],MATCH($A79,TRIM(tblDados[Mandante]),0)),INDEX(tblDados[Liga],MATCH($A79,TRIM(tblDados[Visitante]),0))),_xlpm.p&amp;" - "&amp;_xlpm.l))</f>
        <v>BRA - Série A</v>
      </c>
      <c r="C79" s="10">
        <f t="shared" si="19"/>
        <v>3</v>
      </c>
      <c r="D79" s="10">
        <f t="shared" si="20"/>
        <v>2.7142857142857144</v>
      </c>
      <c r="E79" s="9" cm="1">
        <f t="array" ref="E79">IF($A79="","",SUMPRODUCT((TRIM(tblDados[Mandante])=$A79)*tblDados[Primeira_Ocorrencia]))</f>
        <v>6</v>
      </c>
      <c r="F79" s="9" cm="1">
        <f t="array" ref="F79">IF($A79="","",SUMPRODUCT((TRIM(tblDados[Visitante])=$A79)*tblDados[Primeira_Ocorrencia]))</f>
        <v>7</v>
      </c>
      <c r="G79" s="9" cm="1">
        <f t="array" ref="G79">IF($A79="","",SUMPRODUCT((TRIM(tblDados[Mandante])=$A79)*tblDados[Primeira_Ocorrencia])+SUMPRODUCT((TRIM(tblDados[Visitante])=$A79)*tblDados[Primeira_Ocorrencia]))</f>
        <v>13</v>
      </c>
      <c r="H79" s="10">
        <f t="shared" si="21"/>
        <v>1.8461538461538463</v>
      </c>
      <c r="I79" s="10" cm="1">
        <f t="array" ref="I79">IF($A79="","",_xlfn.LET(_xlpm.p,IFERROR(INDEX(tblDados[País],MATCH($A79,TRIM(tblDados[Mandante]),0)),INDEX(tblDados[País],MATCH($A79,TRIM(tblDados[Visitante]),0))),_xlpm.l,IFERROR(INDEX(tblDados[Liga],MATCH($A79,TRIM(tblDados[Mandante]),0)),INDEX(tblDados[Liga],MATCH($A79,TRIM(tblDados[Visitante]),0))),IFERROR(SUMIFS(Ligas!$D$2:$D$39,Ligas!$H$2:$H$39,_xlpm.p,Ligas!$I$2:$I$39,_xlpm.l),0)))</f>
        <v>2.59</v>
      </c>
      <c r="J79" s="11" cm="1">
        <f t="array" ref="J79">IF($A79="","",IFERROR((SUMPRODUCT((TRIM(tblDados[Mandante])=$A79)*tblDados[Primeira_Ocorrencia]*(tblDados[GM_M]=0))+SUMPRODUCT((TRIM(tblDados[Visitante])=$A79)*tblDados[Primeira_Ocorrencia]*(tblDados[GM_V]=0)))/G79,0))</f>
        <v>0.15384615384615385</v>
      </c>
      <c r="K79" s="11" cm="1">
        <f t="array" ref="K79">IF($A79="","",IFERROR((SUMPRODUCT((TRIM(tblDados[Mandante])=$A79)*tblDados[Primeira_Ocorrencia]*((tblDados[GM_M]+tblDados[GS_M])&gt;0.5))+SUMPRODUCT((TRIM(tblDados[Visitante])=$A79)*tblDados[Primeira_Ocorrencia]*((tblDados[GM_V]+tblDados[GS_V])&gt;0.5)))/G79,0))</f>
        <v>1</v>
      </c>
      <c r="L79" s="11" cm="1">
        <f t="array" ref="L79">IF($A79="","",IFERROR((SUMPRODUCT((TRIM(tblDados[Mandante])=$A79)*tblDados[Primeira_Ocorrencia]*((tblDados[GM_M]+tblDados[GS_M])&gt;1.5))+SUMPRODUCT((TRIM(tblDados[Visitante])=$A79)*tblDados[Primeira_Ocorrencia]*((tblDados[GM_V]+tblDados[GS_V])&gt;1.5)))/G79,0))</f>
        <v>0.92307692307692313</v>
      </c>
      <c r="M79" s="11" cm="1">
        <f t="array" ref="M79">IF($A79="","",IFERROR((SUMPRODUCT((TRIM(tblDados[Mandante])=$A79)*tblDados[Primeira_Ocorrencia]*((tblDados[GM_M]+tblDados[GS_M])&gt;2.5))+SUMPRODUCT((TRIM(tblDados[Visitante])=$A79)*tblDados[Primeira_Ocorrencia]*((tblDados[GM_V]+tblDados[GS_V])&gt;2.5)))/G79,0))</f>
        <v>0.61538461538461542</v>
      </c>
      <c r="N79" s="11" cm="1">
        <f t="array" ref="N79">IF($A79="","",IFERROR((SUMPRODUCT((TRIM(tblDados[Mandante])=$A79)*tblDados[Primeira_Ocorrencia]*((tblDados[GM_M]+tblDados[GS_M])&gt;3.5))+SUMPRODUCT((TRIM(tblDados[Visitante])=$A79)*tblDados[Primeira_Ocorrencia]*((tblDados[GM_V]+tblDados[GS_V])&gt;3.5)))/G79,0))</f>
        <v>0.30769230769230771</v>
      </c>
      <c r="O79" s="11" cm="1">
        <f t="array" ref="O79">IF($A79="","",IFERROR((SUMPRODUCT((TRIM(tblDados[Mandante])=$A79)*tblDados[Primeira_Ocorrencia]*(tblDados[GM_M]&gt;0)*(tblDados[GS_M]&gt;0))+SUMPRODUCT((TRIM(tblDados[Visitante])=$A79)*tblDados[Primeira_Ocorrencia]*(tblDados[GM_V]&gt;0)*(tblDados[GS_V]&gt;0)))/G79,0))</f>
        <v>0.46153846153846156</v>
      </c>
      <c r="P79" s="10" cm="1">
        <f t="array" ref="P79">IF($A79="","",IFERROR((SUMPRODUCT((TRIM(tblDados[Mandante])=$A79)*tblDados[Primeira_Ocorrencia]*tblDados[GM_M]^2)+SUMPRODUCT((TRIM(tblDados[Visitante])=$A79)*tblDados[Primeira_Ocorrencia]*tblDados[GM_V]^2))/G79-H79^2,0))</f>
        <v>1.6686390532544371</v>
      </c>
      <c r="Q79" s="10">
        <f t="shared" si="22"/>
        <v>1.2917581249035892</v>
      </c>
      <c r="R79" s="8" t="str">
        <f t="shared" si="23"/>
        <v>Poisson</v>
      </c>
      <c r="S79" s="10" cm="1">
        <f t="array" ref="S79">IF($A79="","",SUMPRODUCT((TRIM(tblDados[Mandante])=$A79)*tblDados[Primeira_Ocorrencia]*tblDados[GM_M]))</f>
        <v>11</v>
      </c>
      <c r="T79" s="10" cm="1">
        <f t="array" ref="T79">IF($A79="","",SUMPRODUCT((TRIM(tblDados[Visitante])=$A79)*tblDados[Primeira_Ocorrencia]*tblDados[GM_V]))</f>
        <v>13</v>
      </c>
      <c r="U79" s="10">
        <f t="shared" si="24"/>
        <v>24</v>
      </c>
      <c r="V79" s="10">
        <f t="shared" si="13"/>
        <v>1.8461538461538463</v>
      </c>
      <c r="W79" s="10" cm="1">
        <f t="array" ref="W79">IF($A79="","",SUMPRODUCT((TRIM(tblDados[Mandante])=$A79)*tblDados[Primeira_Ocorrencia]*tblDados[GS_M]))</f>
        <v>7</v>
      </c>
      <c r="X79" s="10" cm="1">
        <f t="array" ref="X79">IF($A79="","",SUMPRODUCT((TRIM(tblDados[Visitante])=$A79)*tblDados[Primeira_Ocorrencia]*tblDados[GS_V]))</f>
        <v>6</v>
      </c>
      <c r="Y79" s="10">
        <f t="shared" si="25"/>
        <v>13</v>
      </c>
      <c r="Z79" s="10">
        <f t="shared" si="14"/>
        <v>1</v>
      </c>
      <c r="AA79" s="10">
        <f t="shared" si="15"/>
        <v>1.8333333333333333</v>
      </c>
      <c r="AB79" s="10">
        <f t="shared" si="16"/>
        <v>1.1666666666666667</v>
      </c>
      <c r="AC79" s="10">
        <f t="shared" si="17"/>
        <v>1.8571428571428572</v>
      </c>
      <c r="AD79" s="10">
        <f t="shared" si="18"/>
        <v>0.8571428571428571</v>
      </c>
    </row>
    <row r="80" spans="1:30" x14ac:dyDescent="0.3">
      <c r="A80" s="7" t="str">
        <v>Fylkir</v>
      </c>
      <c r="B80" s="12" t="str" cm="1">
        <f t="array" ref="B80">IF($A80="","",_xlfn.LET(_xlpm.p,IFERROR(INDEX(tblDados[País],MATCH($A80,TRIM(tblDados[Mandante]),0)),INDEX(tblDados[País],MATCH($A80,TRIM(tblDados[Visitante]),0))),_xlpm.l,IFERROR(INDEX(tblDados[Liga],MATCH($A80,TRIM(tblDados[Mandante]),0)),INDEX(tblDados[Liga],MATCH($A80,TRIM(tblDados[Visitante]),0))),_xlpm.p&amp;" - "&amp;_xlpm.l))</f>
        <v>ISL - Lengjudeildin (1ªD)</v>
      </c>
      <c r="C80" s="10">
        <f t="shared" si="19"/>
        <v>3.5</v>
      </c>
      <c r="D80" s="10">
        <f t="shared" si="20"/>
        <v>4.5714285714285712</v>
      </c>
      <c r="E80" s="9" cm="1">
        <f t="array" ref="E80">IF($A80="","",SUMPRODUCT((TRIM(tblDados[Mandante])=$A80)*tblDados[Primeira_Ocorrencia]))</f>
        <v>6</v>
      </c>
      <c r="F80" s="9" cm="1">
        <f t="array" ref="F80">IF($A80="","",SUMPRODUCT((TRIM(tblDados[Visitante])=$A80)*tblDados[Primeira_Ocorrencia]))</f>
        <v>7</v>
      </c>
      <c r="G80" s="9" cm="1">
        <f t="array" ref="G80">IF($A80="","",SUMPRODUCT((TRIM(tblDados[Mandante])=$A80)*tblDados[Primeira_Ocorrencia])+SUMPRODUCT((TRIM(tblDados[Visitante])=$A80)*tblDados[Primeira_Ocorrencia]))</f>
        <v>13</v>
      </c>
      <c r="H80" s="10">
        <f t="shared" si="21"/>
        <v>2.2307692307692308</v>
      </c>
      <c r="I80" s="10" cm="1">
        <f t="array" ref="I80">IF($A80="","",_xlfn.LET(_xlpm.p,IFERROR(INDEX(tblDados[País],MATCH($A80,TRIM(tblDados[Mandante]),0)),INDEX(tblDados[País],MATCH($A80,TRIM(tblDados[Visitante]),0))),_xlpm.l,IFERROR(INDEX(tblDados[Liga],MATCH($A80,TRIM(tblDados[Mandante]),0)),INDEX(tblDados[Liga],MATCH($A80,TRIM(tblDados[Visitante]),0))),IFERROR(SUMIFS(Ligas!$D$2:$D$39,Ligas!$H$2:$H$39,_xlpm.p,Ligas!$I$2:$I$39,_xlpm.l),0)))</f>
        <v>3.55</v>
      </c>
      <c r="J80" s="11" cm="1">
        <f t="array" ref="J80">IF($A80="","",IFERROR((SUMPRODUCT((TRIM(tblDados[Mandante])=$A80)*tblDados[Primeira_Ocorrencia]*(tblDados[GM_M]=0))+SUMPRODUCT((TRIM(tblDados[Visitante])=$A80)*tblDados[Primeira_Ocorrencia]*(tblDados[GM_V]=0)))/G80,0))</f>
        <v>0.23076923076923078</v>
      </c>
      <c r="K80" s="11" cm="1">
        <f t="array" ref="K80">IF($A80="","",IFERROR((SUMPRODUCT((TRIM(tblDados[Mandante])=$A80)*tblDados[Primeira_Ocorrencia]*((tblDados[GM_M]+tblDados[GS_M])&gt;0.5))+SUMPRODUCT((TRIM(tblDados[Visitante])=$A80)*tblDados[Primeira_Ocorrencia]*((tblDados[GM_V]+tblDados[GS_V])&gt;0.5)))/G80,0))</f>
        <v>1</v>
      </c>
      <c r="L80" s="11" cm="1">
        <f t="array" ref="L80">IF($A80="","",IFERROR((SUMPRODUCT((TRIM(tblDados[Mandante])=$A80)*tblDados[Primeira_Ocorrencia]*((tblDados[GM_M]+tblDados[GS_M])&gt;1.5))+SUMPRODUCT((TRIM(tblDados[Visitante])=$A80)*tblDados[Primeira_Ocorrencia]*((tblDados[GM_V]+tblDados[GS_V])&gt;1.5)))/G80,0))</f>
        <v>0.92307692307692313</v>
      </c>
      <c r="M80" s="11" cm="1">
        <f t="array" ref="M80">IF($A80="","",IFERROR((SUMPRODUCT((TRIM(tblDados[Mandante])=$A80)*tblDados[Primeira_Ocorrencia]*((tblDados[GM_M]+tblDados[GS_M])&gt;2.5))+SUMPRODUCT((TRIM(tblDados[Visitante])=$A80)*tblDados[Primeira_Ocorrencia]*((tblDados[GM_V]+tblDados[GS_V])&gt;2.5)))/G80,0))</f>
        <v>0.76923076923076927</v>
      </c>
      <c r="N80" s="11" cm="1">
        <f t="array" ref="N80">IF($A80="","",IFERROR((SUMPRODUCT((TRIM(tblDados[Mandante])=$A80)*tblDados[Primeira_Ocorrencia]*((tblDados[GM_M]+tblDados[GS_M])&gt;3.5))+SUMPRODUCT((TRIM(tblDados[Visitante])=$A80)*tblDados[Primeira_Ocorrencia]*((tblDados[GM_V]+tblDados[GS_V])&gt;3.5)))/G80,0))</f>
        <v>0.53846153846153844</v>
      </c>
      <c r="O80" s="11" cm="1">
        <f t="array" ref="O80">IF($A80="","",IFERROR((SUMPRODUCT((TRIM(tblDados[Mandante])=$A80)*tblDados[Primeira_Ocorrencia]*(tblDados[GM_M]&gt;0)*(tblDados[GS_M]&gt;0))+SUMPRODUCT((TRIM(tblDados[Visitante])=$A80)*tblDados[Primeira_Ocorrencia]*(tblDados[GM_V]&gt;0)*(tblDados[GS_V]&gt;0)))/G80,0))</f>
        <v>0.61538461538461542</v>
      </c>
      <c r="P80" s="10" cm="1">
        <f t="array" ref="P80">IF($A80="","",IFERROR((SUMPRODUCT((TRIM(tblDados[Mandante])=$A80)*tblDados[Primeira_Ocorrencia]*tblDados[GM_M]^2)+SUMPRODUCT((TRIM(tblDados[Visitante])=$A80)*tblDados[Primeira_Ocorrencia]*tblDados[GM_V]^2))/G80-H80^2,0))</f>
        <v>3.2544378698224845</v>
      </c>
      <c r="Q80" s="10">
        <f t="shared" si="22"/>
        <v>1.8040060614705495</v>
      </c>
      <c r="R80" s="8" t="str">
        <f t="shared" si="23"/>
        <v>Poisson</v>
      </c>
      <c r="S80" s="10" cm="1">
        <f t="array" ref="S80">IF($A80="","",SUMPRODUCT((TRIM(tblDados[Mandante])=$A80)*tblDados[Primeira_Ocorrencia]*tblDados[GM_M]))</f>
        <v>13</v>
      </c>
      <c r="T80" s="10" cm="1">
        <f t="array" ref="T80">IF($A80="","",SUMPRODUCT((TRIM(tblDados[Visitante])=$A80)*tblDados[Primeira_Ocorrencia]*tblDados[GM_V]))</f>
        <v>16</v>
      </c>
      <c r="U80" s="10">
        <f t="shared" si="24"/>
        <v>29</v>
      </c>
      <c r="V80" s="10">
        <f t="shared" si="13"/>
        <v>2.2307692307692308</v>
      </c>
      <c r="W80" s="10" cm="1">
        <f t="array" ref="W80">IF($A80="","",SUMPRODUCT((TRIM(tblDados[Mandante])=$A80)*tblDados[Primeira_Ocorrencia]*tblDados[GS_M]))</f>
        <v>8</v>
      </c>
      <c r="X80" s="10" cm="1">
        <f t="array" ref="X80">IF($A80="","",SUMPRODUCT((TRIM(tblDados[Visitante])=$A80)*tblDados[Primeira_Ocorrencia]*tblDados[GS_V]))</f>
        <v>16</v>
      </c>
      <c r="Y80" s="10">
        <f t="shared" si="25"/>
        <v>24</v>
      </c>
      <c r="Z80" s="10">
        <f t="shared" si="14"/>
        <v>1.8461538461538463</v>
      </c>
      <c r="AA80" s="10">
        <f t="shared" si="15"/>
        <v>2.1666666666666665</v>
      </c>
      <c r="AB80" s="10">
        <f t="shared" si="16"/>
        <v>1.3333333333333333</v>
      </c>
      <c r="AC80" s="10">
        <f t="shared" si="17"/>
        <v>2.2857142857142856</v>
      </c>
      <c r="AD80" s="10">
        <f t="shared" si="18"/>
        <v>2.2857142857142856</v>
      </c>
    </row>
    <row r="81" spans="1:30" x14ac:dyDescent="0.3">
      <c r="A81" s="7" t="str">
        <v>GAIS</v>
      </c>
      <c r="B81" s="12" t="str" cm="1">
        <f t="array" ref="B81">IF($A81="","",_xlfn.LET(_xlpm.p,IFERROR(INDEX(tblDados[País],MATCH($A81,TRIM(tblDados[Mandante]),0)),INDEX(tblDados[País],MATCH($A81,TRIM(tblDados[Visitante]),0))),_xlpm.l,IFERROR(INDEX(tblDados[Liga],MATCH($A81,TRIM(tblDados[Mandante]),0)),INDEX(tblDados[Liga],MATCH($A81,TRIM(tblDados[Visitante]),0))),_xlpm.p&amp;" - "&amp;_xlpm.l))</f>
        <v>SWE - Allsvenskan</v>
      </c>
      <c r="C81" s="10">
        <f t="shared" si="19"/>
        <v>2</v>
      </c>
      <c r="D81" s="10">
        <f t="shared" si="20"/>
        <v>2.3333333333333335</v>
      </c>
      <c r="E81" s="9" cm="1">
        <f t="array" ref="E81">IF($A81="","",SUMPRODUCT((TRIM(tblDados[Mandante])=$A81)*tblDados[Primeira_Ocorrencia]))</f>
        <v>7</v>
      </c>
      <c r="F81" s="9" cm="1">
        <f t="array" ref="F81">IF($A81="","",SUMPRODUCT((TRIM(tblDados[Visitante])=$A81)*tblDados[Primeira_Ocorrencia]))</f>
        <v>6</v>
      </c>
      <c r="G81" s="9" cm="1">
        <f t="array" ref="G81">IF($A81="","",SUMPRODUCT((TRIM(tblDados[Mandante])=$A81)*tblDados[Primeira_Ocorrencia])+SUMPRODUCT((TRIM(tblDados[Visitante])=$A81)*tblDados[Primeira_Ocorrencia]))</f>
        <v>13</v>
      </c>
      <c r="H81" s="10">
        <f t="shared" si="21"/>
        <v>1.4615384615384615</v>
      </c>
      <c r="I81" s="10" cm="1">
        <f t="array" ref="I81">IF($A81="","",_xlfn.LET(_xlpm.p,IFERROR(INDEX(tblDados[País],MATCH($A81,TRIM(tblDados[Mandante]),0)),INDEX(tblDados[País],MATCH($A81,TRIM(tblDados[Visitante]),0))),_xlpm.l,IFERROR(INDEX(tblDados[Liga],MATCH($A81,TRIM(tblDados[Mandante]),0)),INDEX(tblDados[Liga],MATCH($A81,TRIM(tblDados[Visitante]),0))),IFERROR(SUMIFS(Ligas!$D$2:$D$39,Ligas!$H$2:$H$39,_xlpm.p,Ligas!$I$2:$I$39,_xlpm.l),0)))</f>
        <v>2.5</v>
      </c>
      <c r="J81" s="11" cm="1">
        <f t="array" ref="J81">IF($A81="","",IFERROR((SUMPRODUCT((TRIM(tblDados[Mandante])=$A81)*tblDados[Primeira_Ocorrencia]*(tblDados[GM_M]=0))+SUMPRODUCT((TRIM(tblDados[Visitante])=$A81)*tblDados[Primeira_Ocorrencia]*(tblDados[GM_V]=0)))/G81,0))</f>
        <v>0.15384615384615385</v>
      </c>
      <c r="K81" s="11" cm="1">
        <f t="array" ref="K81">IF($A81="","",IFERROR((SUMPRODUCT((TRIM(tblDados[Mandante])=$A81)*tblDados[Primeira_Ocorrencia]*((tblDados[GM_M]+tblDados[GS_M])&gt;0.5))+SUMPRODUCT((TRIM(tblDados[Visitante])=$A81)*tblDados[Primeira_Ocorrencia]*((tblDados[GM_V]+tblDados[GS_V])&gt;0.5)))/G81,0))</f>
        <v>0.92307692307692313</v>
      </c>
      <c r="L81" s="11" cm="1">
        <f t="array" ref="L81">IF($A81="","",IFERROR((SUMPRODUCT((TRIM(tblDados[Mandante])=$A81)*tblDados[Primeira_Ocorrencia]*((tblDados[GM_M]+tblDados[GS_M])&gt;1.5))+SUMPRODUCT((TRIM(tblDados[Visitante])=$A81)*tblDados[Primeira_Ocorrencia]*((tblDados[GM_V]+tblDados[GS_V])&gt;1.5)))/G81,0))</f>
        <v>0.76923076923076927</v>
      </c>
      <c r="M81" s="11" cm="1">
        <f t="array" ref="M81">IF($A81="","",IFERROR((SUMPRODUCT((TRIM(tblDados[Mandante])=$A81)*tblDados[Primeira_Ocorrencia]*((tblDados[GM_M]+tblDados[GS_M])&gt;2.5))+SUMPRODUCT((TRIM(tblDados[Visitante])=$A81)*tblDados[Primeira_Ocorrencia]*((tblDados[GM_V]+tblDados[GS_V])&gt;2.5)))/G81,0))</f>
        <v>0.30769230769230771</v>
      </c>
      <c r="N81" s="11" cm="1">
        <f t="array" ref="N81">IF($A81="","",IFERROR((SUMPRODUCT((TRIM(tblDados[Mandante])=$A81)*tblDados[Primeira_Ocorrencia]*((tblDados[GM_M]+tblDados[GS_M])&gt;3.5))+SUMPRODUCT((TRIM(tblDados[Visitante])=$A81)*tblDados[Primeira_Ocorrencia]*((tblDados[GM_V]+tblDados[GS_V])&gt;3.5)))/G81,0))</f>
        <v>0.15384615384615385</v>
      </c>
      <c r="O81" s="11" cm="1">
        <f t="array" ref="O81">IF($A81="","",IFERROR((SUMPRODUCT((TRIM(tblDados[Mandante])=$A81)*tblDados[Primeira_Ocorrencia]*(tblDados[GM_M]&gt;0)*(tblDados[GS_M]&gt;0))+SUMPRODUCT((TRIM(tblDados[Visitante])=$A81)*tblDados[Primeira_Ocorrencia]*(tblDados[GM_V]&gt;0)*(tblDados[GS_V]&gt;0)))/G81,0))</f>
        <v>0.38461538461538464</v>
      </c>
      <c r="P81" s="10" cm="1">
        <f t="array" ref="P81">IF($A81="","",IFERROR((SUMPRODUCT((TRIM(tblDados[Mandante])=$A81)*tblDados[Primeira_Ocorrencia]*tblDados[GM_M]^2)+SUMPRODUCT((TRIM(tblDados[Visitante])=$A81)*tblDados[Primeira_Ocorrencia]*tblDados[GM_V]^2))/G81-H81^2,0))</f>
        <v>1.1715976331360949</v>
      </c>
      <c r="Q81" s="10">
        <f t="shared" si="22"/>
        <v>1.08240363688233</v>
      </c>
      <c r="R81" s="8" t="str">
        <f t="shared" si="23"/>
        <v>Poisson</v>
      </c>
      <c r="S81" s="10" cm="1">
        <f t="array" ref="S81">IF($A81="","",SUMPRODUCT((TRIM(tblDados[Mandante])=$A81)*tblDados[Primeira_Ocorrencia]*tblDados[GM_M]))</f>
        <v>12</v>
      </c>
      <c r="T81" s="10" cm="1">
        <f t="array" ref="T81">IF($A81="","",SUMPRODUCT((TRIM(tblDados[Visitante])=$A81)*tblDados[Primeira_Ocorrencia]*tblDados[GM_V]))</f>
        <v>7</v>
      </c>
      <c r="U81" s="10">
        <f t="shared" si="24"/>
        <v>19</v>
      </c>
      <c r="V81" s="10">
        <f t="shared" si="13"/>
        <v>1.4615384615384615</v>
      </c>
      <c r="W81" s="10" cm="1">
        <f t="array" ref="W81">IF($A81="","",SUMPRODUCT((TRIM(tblDados[Mandante])=$A81)*tblDados[Primeira_Ocorrencia]*tblDados[GS_M]))</f>
        <v>2</v>
      </c>
      <c r="X81" s="10" cm="1">
        <f t="array" ref="X81">IF($A81="","",SUMPRODUCT((TRIM(tblDados[Visitante])=$A81)*tblDados[Primeira_Ocorrencia]*tblDados[GS_V]))</f>
        <v>7</v>
      </c>
      <c r="Y81" s="10">
        <f t="shared" si="25"/>
        <v>9</v>
      </c>
      <c r="Z81" s="10">
        <f t="shared" si="14"/>
        <v>0.69230769230769229</v>
      </c>
      <c r="AA81" s="10">
        <f t="shared" si="15"/>
        <v>1.7142857142857142</v>
      </c>
      <c r="AB81" s="10">
        <f t="shared" si="16"/>
        <v>0.2857142857142857</v>
      </c>
      <c r="AC81" s="10">
        <f t="shared" si="17"/>
        <v>1.1666666666666667</v>
      </c>
      <c r="AD81" s="10">
        <f t="shared" si="18"/>
        <v>1.1666666666666667</v>
      </c>
    </row>
    <row r="82" spans="1:30" x14ac:dyDescent="0.3">
      <c r="A82" s="7" t="str">
        <v>Goiás</v>
      </c>
      <c r="B82" s="12" t="str" cm="1">
        <f t="array" ref="B82">IF($A82="","",_xlfn.LET(_xlpm.p,IFERROR(INDEX(tblDados[País],MATCH($A82,TRIM(tblDados[Mandante]),0)),INDEX(tblDados[País],MATCH($A82,TRIM(tblDados[Visitante]),0))),_xlpm.l,IFERROR(INDEX(tblDados[Liga],MATCH($A82,TRIM(tblDados[Mandante]),0)),INDEX(tblDados[Liga],MATCH($A82,TRIM(tblDados[Visitante]),0))),_xlpm.p&amp;" - "&amp;_xlpm.l))</f>
        <v>BRA - Série B</v>
      </c>
      <c r="C82" s="10">
        <f t="shared" si="19"/>
        <v>2.4000000000000004</v>
      </c>
      <c r="D82" s="10">
        <f t="shared" si="20"/>
        <v>2.5</v>
      </c>
      <c r="E82" s="9" cm="1">
        <f t="array" ref="E82">IF($A82="","",SUMPRODUCT((TRIM(tblDados[Mandante])=$A82)*tblDados[Primeira_Ocorrencia]))</f>
        <v>5</v>
      </c>
      <c r="F82" s="9" cm="1">
        <f t="array" ref="F82">IF($A82="","",SUMPRODUCT((TRIM(tblDados[Visitante])=$A82)*tblDados[Primeira_Ocorrencia]))</f>
        <v>8</v>
      </c>
      <c r="G82" s="9" cm="1">
        <f t="array" ref="G82">IF($A82="","",SUMPRODUCT((TRIM(tblDados[Mandante])=$A82)*tblDados[Primeira_Ocorrencia])+SUMPRODUCT((TRIM(tblDados[Visitante])=$A82)*tblDados[Primeira_Ocorrencia]))</f>
        <v>13</v>
      </c>
      <c r="H82" s="10">
        <f t="shared" si="21"/>
        <v>1.0769230769230769</v>
      </c>
      <c r="I82" s="10" cm="1">
        <f t="array" ref="I82">IF($A82="","",_xlfn.LET(_xlpm.p,IFERROR(INDEX(tblDados[País],MATCH($A82,TRIM(tblDados[Mandante]),0)),INDEX(tblDados[País],MATCH($A82,TRIM(tblDados[Visitante]),0))),_xlpm.l,IFERROR(INDEX(tblDados[Liga],MATCH($A82,TRIM(tblDados[Mandante]),0)),INDEX(tblDados[Liga],MATCH($A82,TRIM(tblDados[Visitante]),0))),IFERROR(SUMIFS(Ligas!$D$2:$D$39,Ligas!$H$2:$H$39,_xlpm.p,Ligas!$I$2:$I$39,_xlpm.l),0)))</f>
        <v>2.31</v>
      </c>
      <c r="J82" s="11" cm="1">
        <f t="array" ref="J82">IF($A82="","",IFERROR((SUMPRODUCT((TRIM(tblDados[Mandante])=$A82)*tblDados[Primeira_Ocorrencia]*(tblDados[GM_M]=0))+SUMPRODUCT((TRIM(tblDados[Visitante])=$A82)*tblDados[Primeira_Ocorrencia]*(tblDados[GM_V]=0)))/G82,0))</f>
        <v>0.23076923076923078</v>
      </c>
      <c r="K82" s="11" cm="1">
        <f t="array" ref="K82">IF($A82="","",IFERROR((SUMPRODUCT((TRIM(tblDados[Mandante])=$A82)*tblDados[Primeira_Ocorrencia]*((tblDados[GM_M]+tblDados[GS_M])&gt;0.5))+SUMPRODUCT((TRIM(tblDados[Visitante])=$A82)*tblDados[Primeira_Ocorrencia]*((tblDados[GM_V]+tblDados[GS_V])&gt;0.5)))/G82,0))</f>
        <v>1</v>
      </c>
      <c r="L82" s="11" cm="1">
        <f t="array" ref="L82">IF($A82="","",IFERROR((SUMPRODUCT((TRIM(tblDados[Mandante])=$A82)*tblDados[Primeira_Ocorrencia]*((tblDados[GM_M]+tblDados[GS_M])&gt;1.5))+SUMPRODUCT((TRIM(tblDados[Visitante])=$A82)*tblDados[Primeira_Ocorrencia]*((tblDados[GM_V]+tblDados[GS_V])&gt;1.5)))/G82,0))</f>
        <v>0.76923076923076927</v>
      </c>
      <c r="M82" s="11" cm="1">
        <f t="array" ref="M82">IF($A82="","",IFERROR((SUMPRODUCT((TRIM(tblDados[Mandante])=$A82)*tblDados[Primeira_Ocorrencia]*((tblDados[GM_M]+tblDados[GS_M])&gt;2.5))+SUMPRODUCT((TRIM(tblDados[Visitante])=$A82)*tblDados[Primeira_Ocorrencia]*((tblDados[GM_V]+tblDados[GS_V])&gt;2.5)))/G82,0))</f>
        <v>0.38461538461538464</v>
      </c>
      <c r="N82" s="11" cm="1">
        <f t="array" ref="N82">IF($A82="","",IFERROR((SUMPRODUCT((TRIM(tblDados[Mandante])=$A82)*tblDados[Primeira_Ocorrencia]*((tblDados[GM_M]+tblDados[GS_M])&gt;3.5))+SUMPRODUCT((TRIM(tblDados[Visitante])=$A82)*tblDados[Primeira_Ocorrencia]*((tblDados[GM_V]+tblDados[GS_V])&gt;3.5)))/G82,0))</f>
        <v>0.23076923076923078</v>
      </c>
      <c r="O82" s="11" cm="1">
        <f t="array" ref="O82">IF($A82="","",IFERROR((SUMPRODUCT((TRIM(tblDados[Mandante])=$A82)*tblDados[Primeira_Ocorrencia]*(tblDados[GM_M]&gt;0)*(tblDados[GS_M]&gt;0))+SUMPRODUCT((TRIM(tblDados[Visitante])=$A82)*tblDados[Primeira_Ocorrencia]*(tblDados[GM_V]&gt;0)*(tblDados[GS_V]&gt;0)))/G82,0))</f>
        <v>0.46153846153846156</v>
      </c>
      <c r="P82" s="10" cm="1">
        <f t="array" ref="P82">IF($A82="","",IFERROR((SUMPRODUCT((TRIM(tblDados[Mandante])=$A82)*tblDados[Primeira_Ocorrencia]*tblDados[GM_M]^2)+SUMPRODUCT((TRIM(tblDados[Visitante])=$A82)*tblDados[Primeira_Ocorrencia]*tblDados[GM_V]^2))/G82-H82^2,0))</f>
        <v>0.53254437869822491</v>
      </c>
      <c r="Q82" s="10">
        <f t="shared" si="22"/>
        <v>0.72975638311577984</v>
      </c>
      <c r="R82" s="8" t="str">
        <f t="shared" si="23"/>
        <v>Poisson</v>
      </c>
      <c r="S82" s="10" cm="1">
        <f t="array" ref="S82">IF($A82="","",SUMPRODUCT((TRIM(tblDados[Mandante])=$A82)*tblDados[Primeira_Ocorrencia]*tblDados[GM_M]))</f>
        <v>4</v>
      </c>
      <c r="T82" s="10" cm="1">
        <f t="array" ref="T82">IF($A82="","",SUMPRODUCT((TRIM(tblDados[Visitante])=$A82)*tblDados[Primeira_Ocorrencia]*tblDados[GM_V]))</f>
        <v>10</v>
      </c>
      <c r="U82" s="10">
        <f t="shared" si="24"/>
        <v>14</v>
      </c>
      <c r="V82" s="10">
        <f t="shared" si="13"/>
        <v>1.0769230769230769</v>
      </c>
      <c r="W82" s="10" cm="1">
        <f t="array" ref="W82">IF($A82="","",SUMPRODUCT((TRIM(tblDados[Mandante])=$A82)*tblDados[Primeira_Ocorrencia]*tblDados[GS_M]))</f>
        <v>8</v>
      </c>
      <c r="X82" s="10" cm="1">
        <f t="array" ref="X82">IF($A82="","",SUMPRODUCT((TRIM(tblDados[Visitante])=$A82)*tblDados[Primeira_Ocorrencia]*tblDados[GS_V]))</f>
        <v>10</v>
      </c>
      <c r="Y82" s="10">
        <f t="shared" si="25"/>
        <v>18</v>
      </c>
      <c r="Z82" s="10">
        <f t="shared" si="14"/>
        <v>1.3846153846153846</v>
      </c>
      <c r="AA82" s="10">
        <f t="shared" si="15"/>
        <v>0.8</v>
      </c>
      <c r="AB82" s="10">
        <f t="shared" si="16"/>
        <v>1.6</v>
      </c>
      <c r="AC82" s="10">
        <f t="shared" si="17"/>
        <v>1.25</v>
      </c>
      <c r="AD82" s="10">
        <f t="shared" si="18"/>
        <v>1.25</v>
      </c>
    </row>
    <row r="83" spans="1:30" x14ac:dyDescent="0.3">
      <c r="A83" s="7" t="str">
        <v>Grindavik</v>
      </c>
      <c r="B83" s="12" t="str" cm="1">
        <f t="array" ref="B83">IF($A83="","",_xlfn.LET(_xlpm.p,IFERROR(INDEX(tblDados[País],MATCH($A83,TRIM(tblDados[Mandante]),0)),INDEX(tblDados[País],MATCH($A83,TRIM(tblDados[Visitante]),0))),_xlpm.l,IFERROR(INDEX(tblDados[Liga],MATCH($A83,TRIM(tblDados[Mandante]),0)),INDEX(tblDados[Liga],MATCH($A83,TRIM(tblDados[Visitante]),0))),_xlpm.p&amp;" - "&amp;_xlpm.l))</f>
        <v>ISL - Lengjudeildin (1ªD)</v>
      </c>
      <c r="C83" s="10">
        <f t="shared" si="19"/>
        <v>1.2000000000000002</v>
      </c>
      <c r="D83" s="10">
        <f t="shared" si="20"/>
        <v>3.625</v>
      </c>
      <c r="E83" s="9" cm="1">
        <f t="array" ref="E83">IF($A83="","",SUMPRODUCT((TRIM(tblDados[Mandante])=$A83)*tblDados[Primeira_Ocorrencia]))</f>
        <v>5</v>
      </c>
      <c r="F83" s="9" cm="1">
        <f t="array" ref="F83">IF($A83="","",SUMPRODUCT((TRIM(tblDados[Visitante])=$A83)*tblDados[Primeira_Ocorrencia]))</f>
        <v>8</v>
      </c>
      <c r="G83" s="9" cm="1">
        <f t="array" ref="G83">IF($A83="","",SUMPRODUCT((TRIM(tblDados[Mandante])=$A83)*tblDados[Primeira_Ocorrencia])+SUMPRODUCT((TRIM(tblDados[Visitante])=$A83)*tblDados[Primeira_Ocorrencia]))</f>
        <v>13</v>
      </c>
      <c r="H83" s="10">
        <f t="shared" si="21"/>
        <v>1</v>
      </c>
      <c r="I83" s="10" cm="1">
        <f t="array" ref="I83">IF($A83="","",_xlfn.LET(_xlpm.p,IFERROR(INDEX(tblDados[País],MATCH($A83,TRIM(tblDados[Mandante]),0)),INDEX(tblDados[País],MATCH($A83,TRIM(tblDados[Visitante]),0))),_xlpm.l,IFERROR(INDEX(tblDados[Liga],MATCH($A83,TRIM(tblDados[Mandante]),0)),INDEX(tblDados[Liga],MATCH($A83,TRIM(tblDados[Visitante]),0))),IFERROR(SUMIFS(Ligas!$D$2:$D$39,Ligas!$H$2:$H$39,_xlpm.p,Ligas!$I$2:$I$39,_xlpm.l),0)))</f>
        <v>3.55</v>
      </c>
      <c r="J83" s="11" cm="1">
        <f t="array" ref="J83">IF($A83="","",IFERROR((SUMPRODUCT((TRIM(tblDados[Mandante])=$A83)*tblDados[Primeira_Ocorrencia]*(tblDados[GM_M]=0))+SUMPRODUCT((TRIM(tblDados[Visitante])=$A83)*tblDados[Primeira_Ocorrencia]*(tblDados[GM_V]=0)))/G83,0))</f>
        <v>0.46153846153846156</v>
      </c>
      <c r="K83" s="11" cm="1">
        <f t="array" ref="K83">IF($A83="","",IFERROR((SUMPRODUCT((TRIM(tblDados[Mandante])=$A83)*tblDados[Primeira_Ocorrencia]*((tblDados[GM_M]+tblDados[GS_M])&gt;0.5))+SUMPRODUCT((TRIM(tblDados[Visitante])=$A83)*tblDados[Primeira_Ocorrencia]*((tblDados[GM_V]+tblDados[GS_V])&gt;0.5)))/G83,0))</f>
        <v>0.76923076923076927</v>
      </c>
      <c r="L83" s="11" cm="1">
        <f t="array" ref="L83">IF($A83="","",IFERROR((SUMPRODUCT((TRIM(tblDados[Mandante])=$A83)*tblDados[Primeira_Ocorrencia]*((tblDados[GM_M]+tblDados[GS_M])&gt;1.5))+SUMPRODUCT((TRIM(tblDados[Visitante])=$A83)*tblDados[Primeira_Ocorrencia]*((tblDados[GM_V]+tblDados[GS_V])&gt;1.5)))/G83,0))</f>
        <v>0.61538461538461542</v>
      </c>
      <c r="M83" s="11" cm="1">
        <f t="array" ref="M83">IF($A83="","",IFERROR((SUMPRODUCT((TRIM(tblDados[Mandante])=$A83)*tblDados[Primeira_Ocorrencia]*((tblDados[GM_M]+tblDados[GS_M])&gt;2.5))+SUMPRODUCT((TRIM(tblDados[Visitante])=$A83)*tblDados[Primeira_Ocorrencia]*((tblDados[GM_V]+tblDados[GS_V])&gt;2.5)))/G83,0))</f>
        <v>0.46153846153846156</v>
      </c>
      <c r="N83" s="11" cm="1">
        <f t="array" ref="N83">IF($A83="","",IFERROR((SUMPRODUCT((TRIM(tblDados[Mandante])=$A83)*tblDados[Primeira_Ocorrencia]*((tblDados[GM_M]+tblDados[GS_M])&gt;3.5))+SUMPRODUCT((TRIM(tblDados[Visitante])=$A83)*tblDados[Primeira_Ocorrencia]*((tblDados[GM_V]+tblDados[GS_V])&gt;3.5)))/G83,0))</f>
        <v>0.38461538461538464</v>
      </c>
      <c r="O83" s="11" cm="1">
        <f t="array" ref="O83">IF($A83="","",IFERROR((SUMPRODUCT((TRIM(tblDados[Mandante])=$A83)*tblDados[Primeira_Ocorrencia]*(tblDados[GM_M]&gt;0)*(tblDados[GS_M]&gt;0))+SUMPRODUCT((TRIM(tblDados[Visitante])=$A83)*tblDados[Primeira_Ocorrencia]*(tblDados[GM_V]&gt;0)*(tblDados[GS_V]&gt;0)))/G83,0))</f>
        <v>0.46153846153846156</v>
      </c>
      <c r="P83" s="10" cm="1">
        <f t="array" ref="P83">IF($A83="","",IFERROR((SUMPRODUCT((TRIM(tblDados[Mandante])=$A83)*tblDados[Primeira_Ocorrencia]*tblDados[GM_M]^2)+SUMPRODUCT((TRIM(tblDados[Visitante])=$A83)*tblDados[Primeira_Ocorrencia]*tblDados[GM_V]^2))/G83-H83^2,0))</f>
        <v>1.3846153846153846</v>
      </c>
      <c r="Q83" s="10">
        <f t="shared" si="22"/>
        <v>1.1766968108291043</v>
      </c>
      <c r="R83" s="8" t="str">
        <f t="shared" si="23"/>
        <v>Poisson</v>
      </c>
      <c r="S83" s="10" cm="1">
        <f t="array" ref="S83">IF($A83="","",SUMPRODUCT((TRIM(tblDados[Mandante])=$A83)*tblDados[Primeira_Ocorrencia]*tblDados[GM_M]))</f>
        <v>2</v>
      </c>
      <c r="T83" s="10" cm="1">
        <f t="array" ref="T83">IF($A83="","",SUMPRODUCT((TRIM(tblDados[Visitante])=$A83)*tblDados[Primeira_Ocorrencia]*tblDados[GM_V]))</f>
        <v>11</v>
      </c>
      <c r="U83" s="10">
        <f t="shared" si="24"/>
        <v>13</v>
      </c>
      <c r="V83" s="10">
        <f t="shared" si="13"/>
        <v>1</v>
      </c>
      <c r="W83" s="10" cm="1">
        <f t="array" ref="W83">IF($A83="","",SUMPRODUCT((TRIM(tblDados[Mandante])=$A83)*tblDados[Primeira_Ocorrencia]*tblDados[GS_M]))</f>
        <v>4</v>
      </c>
      <c r="X83" s="10" cm="1">
        <f t="array" ref="X83">IF($A83="","",SUMPRODUCT((TRIM(tblDados[Visitante])=$A83)*tblDados[Primeira_Ocorrencia]*tblDados[GS_V]))</f>
        <v>18</v>
      </c>
      <c r="Y83" s="10">
        <f t="shared" si="25"/>
        <v>22</v>
      </c>
      <c r="Z83" s="10">
        <f t="shared" si="14"/>
        <v>1.6923076923076923</v>
      </c>
      <c r="AA83" s="10">
        <f t="shared" si="15"/>
        <v>0.4</v>
      </c>
      <c r="AB83" s="10">
        <f t="shared" si="16"/>
        <v>0.8</v>
      </c>
      <c r="AC83" s="10">
        <f t="shared" si="17"/>
        <v>1.375</v>
      </c>
      <c r="AD83" s="10">
        <f t="shared" si="18"/>
        <v>2.25</v>
      </c>
    </row>
    <row r="84" spans="1:30" x14ac:dyDescent="0.3">
      <c r="A84" s="7" t="str">
        <v>Guangdong GZ-Power</v>
      </c>
      <c r="B84" s="12" t="str" cm="1">
        <f t="array" ref="B84">IF($A84="","",_xlfn.LET(_xlpm.p,IFERROR(INDEX(tblDados[País],MATCH($A84,TRIM(tblDados[Mandante]),0)),INDEX(tblDados[País],MATCH($A84,TRIM(tblDados[Visitante]),0))),_xlpm.l,IFERROR(INDEX(tblDados[Liga],MATCH($A84,TRIM(tblDados[Mandante]),0)),INDEX(tblDados[Liga],MATCH($A84,TRIM(tblDados[Visitante]),0))),_xlpm.p&amp;" - "&amp;_xlpm.l))</f>
        <v>CHN - League One</v>
      </c>
      <c r="C84" s="10">
        <f t="shared" si="19"/>
        <v>2.8571428571428572</v>
      </c>
      <c r="D84" s="10">
        <f t="shared" si="20"/>
        <v>2.833333333333333</v>
      </c>
      <c r="E84" s="9" cm="1">
        <f t="array" ref="E84">IF($A84="","",SUMPRODUCT((TRIM(tblDados[Mandante])=$A84)*tblDados[Primeira_Ocorrencia]))</f>
        <v>7</v>
      </c>
      <c r="F84" s="9" cm="1">
        <f t="array" ref="F84">IF($A84="","",SUMPRODUCT((TRIM(tblDados[Visitante])=$A84)*tblDados[Primeira_Ocorrencia]))</f>
        <v>6</v>
      </c>
      <c r="G84" s="9" cm="1">
        <f t="array" ref="G84">IF($A84="","",SUMPRODUCT((TRIM(tblDados[Mandante])=$A84)*tblDados[Primeira_Ocorrencia])+SUMPRODUCT((TRIM(tblDados[Visitante])=$A84)*tblDados[Primeira_Ocorrencia]))</f>
        <v>13</v>
      </c>
      <c r="H84" s="10">
        <f t="shared" si="21"/>
        <v>1.8461538461538463</v>
      </c>
      <c r="I84" s="10" cm="1">
        <f t="array" ref="I84">IF($A84="","",_xlfn.LET(_xlpm.p,IFERROR(INDEX(tblDados[País],MATCH($A84,TRIM(tblDados[Mandante]),0)),INDEX(tblDados[País],MATCH($A84,TRIM(tblDados[Visitante]),0))),_xlpm.l,IFERROR(INDEX(tblDados[Liga],MATCH($A84,TRIM(tblDados[Mandante]),0)),INDEX(tblDados[Liga],MATCH($A84,TRIM(tblDados[Visitante]),0))),IFERROR(SUMIFS(Ligas!$D$2:$D$39,Ligas!$H$2:$H$39,_xlpm.p,Ligas!$I$2:$I$39,_xlpm.l),0)))</f>
        <v>2.5</v>
      </c>
      <c r="J84" s="11" cm="1">
        <f t="array" ref="J84">IF($A84="","",IFERROR((SUMPRODUCT((TRIM(tblDados[Mandante])=$A84)*tblDados[Primeira_Ocorrencia]*(tblDados[GM_M]=0))+SUMPRODUCT((TRIM(tblDados[Visitante])=$A84)*tblDados[Primeira_Ocorrencia]*(tblDados[GM_V]=0)))/G84,0))</f>
        <v>7.6923076923076927E-2</v>
      </c>
      <c r="K84" s="11" cm="1">
        <f t="array" ref="K84">IF($A84="","",IFERROR((SUMPRODUCT((TRIM(tblDados[Mandante])=$A84)*tblDados[Primeira_Ocorrencia]*((tblDados[GM_M]+tblDados[GS_M])&gt;0.5))+SUMPRODUCT((TRIM(tblDados[Visitante])=$A84)*tblDados[Primeira_Ocorrencia]*((tblDados[GM_V]+tblDados[GS_V])&gt;0.5)))/G84,0))</f>
        <v>0.92307692307692313</v>
      </c>
      <c r="L84" s="11" cm="1">
        <f t="array" ref="L84">IF($A84="","",IFERROR((SUMPRODUCT((TRIM(tblDados[Mandante])=$A84)*tblDados[Primeira_Ocorrencia]*((tblDados[GM_M]+tblDados[GS_M])&gt;1.5))+SUMPRODUCT((TRIM(tblDados[Visitante])=$A84)*tblDados[Primeira_Ocorrencia]*((tblDados[GM_V]+tblDados[GS_V])&gt;1.5)))/G84,0))</f>
        <v>0.84615384615384615</v>
      </c>
      <c r="M84" s="11" cm="1">
        <f t="array" ref="M84">IF($A84="","",IFERROR((SUMPRODUCT((TRIM(tblDados[Mandante])=$A84)*tblDados[Primeira_Ocorrencia]*((tblDados[GM_M]+tblDados[GS_M])&gt;2.5))+SUMPRODUCT((TRIM(tblDados[Visitante])=$A84)*tblDados[Primeira_Ocorrencia]*((tblDados[GM_V]+tblDados[GS_V])&gt;2.5)))/G84,0))</f>
        <v>0.53846153846153844</v>
      </c>
      <c r="N84" s="11" cm="1">
        <f t="array" ref="N84">IF($A84="","",IFERROR((SUMPRODUCT((TRIM(tblDados[Mandante])=$A84)*tblDados[Primeira_Ocorrencia]*((tblDados[GM_M]+tblDados[GS_M])&gt;3.5))+SUMPRODUCT((TRIM(tblDados[Visitante])=$A84)*tblDados[Primeira_Ocorrencia]*((tblDados[GM_V]+tblDados[GS_V])&gt;3.5)))/G84,0))</f>
        <v>0.30769230769230771</v>
      </c>
      <c r="O84" s="11" cm="1">
        <f t="array" ref="O84">IF($A84="","",IFERROR((SUMPRODUCT((TRIM(tblDados[Mandante])=$A84)*tblDados[Primeira_Ocorrencia]*(tblDados[GM_M]&gt;0)*(tblDados[GS_M]&gt;0))+SUMPRODUCT((TRIM(tblDados[Visitante])=$A84)*tblDados[Primeira_Ocorrencia]*(tblDados[GM_V]&gt;0)*(tblDados[GS_V]&gt;0)))/G84,0))</f>
        <v>0.69230769230769229</v>
      </c>
      <c r="P84" s="10" cm="1">
        <f t="array" ref="P84">IF($A84="","",IFERROR((SUMPRODUCT((TRIM(tblDados[Mandante])=$A84)*tblDados[Primeira_Ocorrencia]*tblDados[GM_M]^2)+SUMPRODUCT((TRIM(tblDados[Visitante])=$A84)*tblDados[Primeira_Ocorrencia]*tblDados[GM_V]^2))/G84-H84^2,0))</f>
        <v>0.7455621301775146</v>
      </c>
      <c r="Q84" s="10">
        <f t="shared" si="22"/>
        <v>0.86345939694783247</v>
      </c>
      <c r="R84" s="8" t="str">
        <f t="shared" si="23"/>
        <v>Poisson</v>
      </c>
      <c r="S84" s="10" cm="1">
        <f t="array" ref="S84">IF($A84="","",SUMPRODUCT((TRIM(tblDados[Mandante])=$A84)*tblDados[Primeira_Ocorrencia]*tblDados[GM_M]))</f>
        <v>13</v>
      </c>
      <c r="T84" s="10" cm="1">
        <f t="array" ref="T84">IF($A84="","",SUMPRODUCT((TRIM(tblDados[Visitante])=$A84)*tblDados[Primeira_Ocorrencia]*tblDados[GM_V]))</f>
        <v>11</v>
      </c>
      <c r="U84" s="10">
        <f t="shared" si="24"/>
        <v>24</v>
      </c>
      <c r="V84" s="10">
        <f t="shared" si="13"/>
        <v>1.8461538461538463</v>
      </c>
      <c r="W84" s="10" cm="1">
        <f t="array" ref="W84">IF($A84="","",SUMPRODUCT((TRIM(tblDados[Mandante])=$A84)*tblDados[Primeira_Ocorrencia]*tblDados[GS_M]))</f>
        <v>7</v>
      </c>
      <c r="X84" s="10" cm="1">
        <f t="array" ref="X84">IF($A84="","",SUMPRODUCT((TRIM(tblDados[Visitante])=$A84)*tblDados[Primeira_Ocorrencia]*tblDados[GS_V]))</f>
        <v>6</v>
      </c>
      <c r="Y84" s="10">
        <f t="shared" si="25"/>
        <v>13</v>
      </c>
      <c r="Z84" s="10">
        <f t="shared" si="14"/>
        <v>1</v>
      </c>
      <c r="AA84" s="10">
        <f t="shared" si="15"/>
        <v>1.8571428571428572</v>
      </c>
      <c r="AB84" s="10">
        <f t="shared" si="16"/>
        <v>1</v>
      </c>
      <c r="AC84" s="10">
        <f t="shared" si="17"/>
        <v>1.8333333333333333</v>
      </c>
      <c r="AD84" s="10">
        <f t="shared" si="18"/>
        <v>1</v>
      </c>
    </row>
    <row r="85" spans="1:30" x14ac:dyDescent="0.3">
      <c r="A85" s="7" t="str">
        <v>Guayaquil City FC</v>
      </c>
      <c r="B85" s="12" t="str" cm="1">
        <f t="array" ref="B85">IF($A85="","",_xlfn.LET(_xlpm.p,IFERROR(INDEX(tblDados[País],MATCH($A85,TRIM(tblDados[Mandante]),0)),INDEX(tblDados[País],MATCH($A85,TRIM(tblDados[Visitante]),0))),_xlpm.l,IFERROR(INDEX(tblDados[Liga],MATCH($A85,TRIM(tblDados[Mandante]),0)),INDEX(tblDados[Liga],MATCH($A85,TRIM(tblDados[Visitante]),0))),_xlpm.p&amp;" - "&amp;_xlpm.l))</f>
        <v>ECU - LigaPro Serie A</v>
      </c>
      <c r="C85" s="10">
        <f t="shared" si="19"/>
        <v>1.7142857142857144</v>
      </c>
      <c r="D85" s="10">
        <f t="shared" si="20"/>
        <v>2.1666666666666665</v>
      </c>
      <c r="E85" s="9" cm="1">
        <f t="array" ref="E85">IF($A85="","",SUMPRODUCT((TRIM(tblDados[Mandante])=$A85)*tblDados[Primeira_Ocorrencia]))</f>
        <v>7</v>
      </c>
      <c r="F85" s="9" cm="1">
        <f t="array" ref="F85">IF($A85="","",SUMPRODUCT((TRIM(tblDados[Visitante])=$A85)*tblDados[Primeira_Ocorrencia]))</f>
        <v>6</v>
      </c>
      <c r="G85" s="9" cm="1">
        <f t="array" ref="G85">IF($A85="","",SUMPRODUCT((TRIM(tblDados[Mandante])=$A85)*tblDados[Primeira_Ocorrencia])+SUMPRODUCT((TRIM(tblDados[Visitante])=$A85)*tblDados[Primeira_Ocorrencia]))</f>
        <v>13</v>
      </c>
      <c r="H85" s="10">
        <f t="shared" si="21"/>
        <v>0.76923076923076927</v>
      </c>
      <c r="I85" s="10" cm="1">
        <f t="array" ref="I85">IF($A85="","",_xlfn.LET(_xlpm.p,IFERROR(INDEX(tblDados[País],MATCH($A85,TRIM(tblDados[Mandante]),0)),INDEX(tblDados[País],MATCH($A85,TRIM(tblDados[Visitante]),0))),_xlpm.l,IFERROR(INDEX(tblDados[Liga],MATCH($A85,TRIM(tblDados[Mandante]),0)),INDEX(tblDados[Liga],MATCH($A85,TRIM(tblDados[Visitante]),0))),IFERROR(SUMIFS(Ligas!$D$2:$D$39,Ligas!$H$2:$H$39,_xlpm.p,Ligas!$I$2:$I$39,_xlpm.l),0)))</f>
        <v>2.5</v>
      </c>
      <c r="J85" s="11" cm="1">
        <f t="array" ref="J85">IF($A85="","",IFERROR((SUMPRODUCT((TRIM(tblDados[Mandante])=$A85)*tblDados[Primeira_Ocorrencia]*(tblDados[GM_M]=0))+SUMPRODUCT((TRIM(tblDados[Visitante])=$A85)*tblDados[Primeira_Ocorrencia]*(tblDados[GM_V]=0)))/G85,0))</f>
        <v>0.46153846153846156</v>
      </c>
      <c r="K85" s="11" cm="1">
        <f t="array" ref="K85">IF($A85="","",IFERROR((SUMPRODUCT((TRIM(tblDados[Mandante])=$A85)*tblDados[Primeira_Ocorrencia]*((tblDados[GM_M]+tblDados[GS_M])&gt;0.5))+SUMPRODUCT((TRIM(tblDados[Visitante])=$A85)*tblDados[Primeira_Ocorrencia]*((tblDados[GM_V]+tblDados[GS_V])&gt;0.5)))/G85,0))</f>
        <v>0.84615384615384615</v>
      </c>
      <c r="L85" s="11" cm="1">
        <f t="array" ref="L85">IF($A85="","",IFERROR((SUMPRODUCT((TRIM(tblDados[Mandante])=$A85)*tblDados[Primeira_Ocorrencia]*((tblDados[GM_M]+tblDados[GS_M])&gt;1.5))+SUMPRODUCT((TRIM(tblDados[Visitante])=$A85)*tblDados[Primeira_Ocorrencia]*((tblDados[GM_V]+tblDados[GS_V])&gt;1.5)))/G85,0))</f>
        <v>0.46153846153846156</v>
      </c>
      <c r="M85" s="11" cm="1">
        <f t="array" ref="M85">IF($A85="","",IFERROR((SUMPRODUCT((TRIM(tblDados[Mandante])=$A85)*tblDados[Primeira_Ocorrencia]*((tblDados[GM_M]+tblDados[GS_M])&gt;2.5))+SUMPRODUCT((TRIM(tblDados[Visitante])=$A85)*tblDados[Primeira_Ocorrencia]*((tblDados[GM_V]+tblDados[GS_V])&gt;2.5)))/G85,0))</f>
        <v>0.30769230769230771</v>
      </c>
      <c r="N85" s="11" cm="1">
        <f t="array" ref="N85">IF($A85="","",IFERROR((SUMPRODUCT((TRIM(tblDados[Mandante])=$A85)*tblDados[Primeira_Ocorrencia]*((tblDados[GM_M]+tblDados[GS_M])&gt;3.5))+SUMPRODUCT((TRIM(tblDados[Visitante])=$A85)*tblDados[Primeira_Ocorrencia]*((tblDados[GM_V]+tblDados[GS_V])&gt;3.5)))/G85,0))</f>
        <v>0.15384615384615385</v>
      </c>
      <c r="O85" s="11" cm="1">
        <f t="array" ref="O85">IF($A85="","",IFERROR((SUMPRODUCT((TRIM(tblDados[Mandante])=$A85)*tblDados[Primeira_Ocorrencia]*(tblDados[GM_M]&gt;0)*(tblDados[GS_M]&gt;0))+SUMPRODUCT((TRIM(tblDados[Visitante])=$A85)*tblDados[Primeira_Ocorrencia]*(tblDados[GM_V]&gt;0)*(tblDados[GS_V]&gt;0)))/G85,0))</f>
        <v>0.46153846153846156</v>
      </c>
      <c r="P85" s="10" cm="1">
        <f t="array" ref="P85">IF($A85="","",IFERROR((SUMPRODUCT((TRIM(tblDados[Mandante])=$A85)*tblDados[Primeira_Ocorrencia]*tblDados[GM_M]^2)+SUMPRODUCT((TRIM(tblDados[Visitante])=$A85)*tblDados[Primeira_Ocorrencia]*tblDados[GM_V]^2))/G85-H85^2,0))</f>
        <v>0.63905325443786987</v>
      </c>
      <c r="Q85" s="10">
        <f t="shared" si="22"/>
        <v>0.79940806503178952</v>
      </c>
      <c r="R85" s="8" t="str">
        <f t="shared" si="23"/>
        <v>Poisson</v>
      </c>
      <c r="S85" s="10" cm="1">
        <f t="array" ref="S85">IF($A85="","",SUMPRODUCT((TRIM(tblDados[Mandante])=$A85)*tblDados[Primeira_Ocorrencia]*tblDados[GM_M]))</f>
        <v>5</v>
      </c>
      <c r="T85" s="10" cm="1">
        <f t="array" ref="T85">IF($A85="","",SUMPRODUCT((TRIM(tblDados[Visitante])=$A85)*tblDados[Primeira_Ocorrencia]*tblDados[GM_V]))</f>
        <v>5</v>
      </c>
      <c r="U85" s="10">
        <f t="shared" si="24"/>
        <v>10</v>
      </c>
      <c r="V85" s="10">
        <f t="shared" si="13"/>
        <v>0.76923076923076927</v>
      </c>
      <c r="W85" s="10" cm="1">
        <f t="array" ref="W85">IF($A85="","",SUMPRODUCT((TRIM(tblDados[Mandante])=$A85)*tblDados[Primeira_Ocorrencia]*tblDados[GS_M]))</f>
        <v>7</v>
      </c>
      <c r="X85" s="10" cm="1">
        <f t="array" ref="X85">IF($A85="","",SUMPRODUCT((TRIM(tblDados[Visitante])=$A85)*tblDados[Primeira_Ocorrencia]*tblDados[GS_V]))</f>
        <v>8</v>
      </c>
      <c r="Y85" s="10">
        <f t="shared" si="25"/>
        <v>15</v>
      </c>
      <c r="Z85" s="10">
        <f t="shared" si="14"/>
        <v>1.1538461538461537</v>
      </c>
      <c r="AA85" s="10">
        <f t="shared" si="15"/>
        <v>0.7142857142857143</v>
      </c>
      <c r="AB85" s="10">
        <f t="shared" si="16"/>
        <v>1</v>
      </c>
      <c r="AC85" s="10">
        <f t="shared" si="17"/>
        <v>0.83333333333333337</v>
      </c>
      <c r="AD85" s="10">
        <f t="shared" si="18"/>
        <v>1.3333333333333333</v>
      </c>
    </row>
    <row r="86" spans="1:30" x14ac:dyDescent="0.3">
      <c r="A86" s="7" t="str">
        <v>GV San José</v>
      </c>
      <c r="B86" s="12" t="str" cm="1">
        <f t="array" ref="B86">IF($A86="","",_xlfn.LET(_xlpm.p,IFERROR(INDEX(tblDados[País],MATCH($A86,TRIM(tblDados[Mandante]),0)),INDEX(tblDados[País],MATCH($A86,TRIM(tblDados[Visitante]),0))),_xlpm.l,IFERROR(INDEX(tblDados[Liga],MATCH($A86,TRIM(tblDados[Mandante]),0)),INDEX(tblDados[Liga],MATCH($A86,TRIM(tblDados[Visitante]),0))),_xlpm.p&amp;" - "&amp;_xlpm.l))</f>
        <v>BOL - Div. Profesional</v>
      </c>
      <c r="C86" s="10">
        <f t="shared" si="19"/>
        <v>2.2857142857142856</v>
      </c>
      <c r="D86" s="10">
        <f t="shared" si="20"/>
        <v>2.3333333333333335</v>
      </c>
      <c r="E86" s="9" cm="1">
        <f t="array" ref="E86">IF($A86="","",SUMPRODUCT((TRIM(tblDados[Mandante])=$A86)*tblDados[Primeira_Ocorrencia]))</f>
        <v>7</v>
      </c>
      <c r="F86" s="9" cm="1">
        <f t="array" ref="F86">IF($A86="","",SUMPRODUCT((TRIM(tblDados[Visitante])=$A86)*tblDados[Primeira_Ocorrencia]))</f>
        <v>6</v>
      </c>
      <c r="G86" s="9" cm="1">
        <f t="array" ref="G86">IF($A86="","",SUMPRODUCT((TRIM(tblDados[Mandante])=$A86)*tblDados[Primeira_Ocorrencia])+SUMPRODUCT((TRIM(tblDados[Visitante])=$A86)*tblDados[Primeira_Ocorrencia]))</f>
        <v>13</v>
      </c>
      <c r="H86" s="10">
        <f t="shared" si="21"/>
        <v>0.92307692307692313</v>
      </c>
      <c r="I86" s="10" cm="1">
        <f t="array" ref="I86">IF($A86="","",_xlfn.LET(_xlpm.p,IFERROR(INDEX(tblDados[País],MATCH($A86,TRIM(tblDados[Mandante]),0)),INDEX(tblDados[País],MATCH($A86,TRIM(tblDados[Visitante]),0))),_xlpm.l,IFERROR(INDEX(tblDados[Liga],MATCH($A86,TRIM(tblDados[Mandante]),0)),INDEX(tblDados[Liga],MATCH($A86,TRIM(tblDados[Visitante]),0))),IFERROR(SUMIFS(Ligas!$D$2:$D$39,Ligas!$H$2:$H$39,_xlpm.p,Ligas!$I$2:$I$39,_xlpm.l),0)))</f>
        <v>3.62</v>
      </c>
      <c r="J86" s="11" cm="1">
        <f t="array" ref="J86">IF($A86="","",IFERROR((SUMPRODUCT((TRIM(tblDados[Mandante])=$A86)*tblDados[Primeira_Ocorrencia]*(tblDados[GM_M]=0))+SUMPRODUCT((TRIM(tblDados[Visitante])=$A86)*tblDados[Primeira_Ocorrencia]*(tblDados[GM_V]=0)))/G86,0))</f>
        <v>0.30769230769230771</v>
      </c>
      <c r="K86" s="11" cm="1">
        <f t="array" ref="K86">IF($A86="","",IFERROR((SUMPRODUCT((TRIM(tblDados[Mandante])=$A86)*tblDados[Primeira_Ocorrencia]*((tblDados[GM_M]+tblDados[GS_M])&gt;0.5))+SUMPRODUCT((TRIM(tblDados[Visitante])=$A86)*tblDados[Primeira_Ocorrencia]*((tblDados[GM_V]+tblDados[GS_V])&gt;0.5)))/G86,0))</f>
        <v>0.76923076923076927</v>
      </c>
      <c r="L86" s="11" cm="1">
        <f t="array" ref="L86">IF($A86="","",IFERROR((SUMPRODUCT((TRIM(tblDados[Mandante])=$A86)*tblDados[Primeira_Ocorrencia]*((tblDados[GM_M]+tblDados[GS_M])&gt;1.5))+SUMPRODUCT((TRIM(tblDados[Visitante])=$A86)*tblDados[Primeira_Ocorrencia]*((tblDados[GM_V]+tblDados[GS_V])&gt;1.5)))/G86,0))</f>
        <v>0.76923076923076927</v>
      </c>
      <c r="M86" s="11" cm="1">
        <f t="array" ref="M86">IF($A86="","",IFERROR((SUMPRODUCT((TRIM(tblDados[Mandante])=$A86)*tblDados[Primeira_Ocorrencia]*((tblDados[GM_M]+tblDados[GS_M])&gt;2.5))+SUMPRODUCT((TRIM(tblDados[Visitante])=$A86)*tblDados[Primeira_Ocorrencia]*((tblDados[GM_V]+tblDados[GS_V])&gt;2.5)))/G86,0))</f>
        <v>0.53846153846153844</v>
      </c>
      <c r="N86" s="11" cm="1">
        <f t="array" ref="N86">IF($A86="","",IFERROR((SUMPRODUCT((TRIM(tblDados[Mandante])=$A86)*tblDados[Primeira_Ocorrencia]*((tblDados[GM_M]+tblDados[GS_M])&gt;3.5))+SUMPRODUCT((TRIM(tblDados[Visitante])=$A86)*tblDados[Primeira_Ocorrencia]*((tblDados[GM_V]+tblDados[GS_V])&gt;3.5)))/G86,0))</f>
        <v>0.15384615384615385</v>
      </c>
      <c r="O86" s="11" cm="1">
        <f t="array" ref="O86">IF($A86="","",IFERROR((SUMPRODUCT((TRIM(tblDados[Mandante])=$A86)*tblDados[Primeira_Ocorrencia]*(tblDados[GM_M]&gt;0)*(tblDados[GS_M]&gt;0))+SUMPRODUCT((TRIM(tblDados[Visitante])=$A86)*tblDados[Primeira_Ocorrencia]*(tblDados[GM_V]&gt;0)*(tblDados[GS_V]&gt;0)))/G86,0))</f>
        <v>0.69230769230769229</v>
      </c>
      <c r="P86" s="10" cm="1">
        <f t="array" ref="P86">IF($A86="","",IFERROR((SUMPRODUCT((TRIM(tblDados[Mandante])=$A86)*tblDados[Primeira_Ocorrencia]*tblDados[GM_M]^2)+SUMPRODUCT((TRIM(tblDados[Visitante])=$A86)*tblDados[Primeira_Ocorrencia]*tblDados[GM_V]^2))/G86-H86^2,0))</f>
        <v>0.68639053254437865</v>
      </c>
      <c r="Q86" s="10">
        <f t="shared" si="22"/>
        <v>0.82848689340530823</v>
      </c>
      <c r="R86" s="8" t="str">
        <f t="shared" si="23"/>
        <v>Poisson</v>
      </c>
      <c r="S86" s="10" cm="1">
        <f t="array" ref="S86">IF($A86="","",SUMPRODUCT((TRIM(tblDados[Mandante])=$A86)*tblDados[Primeira_Ocorrencia]*tblDados[GM_M]))</f>
        <v>8</v>
      </c>
      <c r="T86" s="10" cm="1">
        <f t="array" ref="T86">IF($A86="","",SUMPRODUCT((TRIM(tblDados[Visitante])=$A86)*tblDados[Primeira_Ocorrencia]*tblDados[GM_V]))</f>
        <v>4</v>
      </c>
      <c r="U86" s="10">
        <f t="shared" si="24"/>
        <v>12</v>
      </c>
      <c r="V86" s="10">
        <f t="shared" si="13"/>
        <v>0.92307692307692313</v>
      </c>
      <c r="W86" s="10" cm="1">
        <f t="array" ref="W86">IF($A86="","",SUMPRODUCT((TRIM(tblDados[Mandante])=$A86)*tblDados[Primeira_Ocorrencia]*tblDados[GS_M]))</f>
        <v>8</v>
      </c>
      <c r="X86" s="10" cm="1">
        <f t="array" ref="X86">IF($A86="","",SUMPRODUCT((TRIM(tblDados[Visitante])=$A86)*tblDados[Primeira_Ocorrencia]*tblDados[GS_V]))</f>
        <v>10</v>
      </c>
      <c r="Y86" s="10">
        <f t="shared" si="25"/>
        <v>18</v>
      </c>
      <c r="Z86" s="10">
        <f t="shared" si="14"/>
        <v>1.3846153846153846</v>
      </c>
      <c r="AA86" s="10">
        <f t="shared" si="15"/>
        <v>1.1428571428571428</v>
      </c>
      <c r="AB86" s="10">
        <f t="shared" si="16"/>
        <v>1.1428571428571428</v>
      </c>
      <c r="AC86" s="10">
        <f t="shared" si="17"/>
        <v>0.66666666666666663</v>
      </c>
      <c r="AD86" s="10">
        <f t="shared" si="18"/>
        <v>1.6666666666666667</v>
      </c>
    </row>
    <row r="87" spans="1:30" x14ac:dyDescent="0.3">
      <c r="A87" s="7" t="str">
        <v>Hamarkameratene</v>
      </c>
      <c r="B87" s="12" t="str" cm="1">
        <f t="array" ref="B87">IF($A87="","",_xlfn.LET(_xlpm.p,IFERROR(INDEX(tblDados[País],MATCH($A87,TRIM(tblDados[Mandante]),0)),INDEX(tblDados[País],MATCH($A87,TRIM(tblDados[Visitante]),0))),_xlpm.l,IFERROR(INDEX(tblDados[Liga],MATCH($A87,TRIM(tblDados[Mandante]),0)),INDEX(tblDados[Liga],MATCH($A87,TRIM(tblDados[Visitante]),0))),_xlpm.p&amp;" - "&amp;_xlpm.l))</f>
        <v>NOR - Eliteserien</v>
      </c>
      <c r="C87" s="10">
        <f t="shared" si="19"/>
        <v>2.833333333333333</v>
      </c>
      <c r="D87" s="10">
        <f t="shared" si="20"/>
        <v>2.8571428571428572</v>
      </c>
      <c r="E87" s="9" cm="1">
        <f t="array" ref="E87">IF($A87="","",SUMPRODUCT((TRIM(tblDados[Mandante])=$A87)*tblDados[Primeira_Ocorrencia]))</f>
        <v>6</v>
      </c>
      <c r="F87" s="9" cm="1">
        <f t="array" ref="F87">IF($A87="","",SUMPRODUCT((TRIM(tblDados[Visitante])=$A87)*tblDados[Primeira_Ocorrencia]))</f>
        <v>7</v>
      </c>
      <c r="G87" s="9" cm="1">
        <f t="array" ref="G87">IF($A87="","",SUMPRODUCT((TRIM(tblDados[Mandante])=$A87)*tblDados[Primeira_Ocorrencia])+SUMPRODUCT((TRIM(tblDados[Visitante])=$A87)*tblDados[Primeira_Ocorrencia]))</f>
        <v>13</v>
      </c>
      <c r="H87" s="10">
        <f t="shared" si="21"/>
        <v>1.5384615384615385</v>
      </c>
      <c r="I87" s="10" cm="1">
        <f t="array" ref="I87">IF($A87="","",_xlfn.LET(_xlpm.p,IFERROR(INDEX(tblDados[País],MATCH($A87,TRIM(tblDados[Mandante]),0)),INDEX(tblDados[País],MATCH($A87,TRIM(tblDados[Visitante]),0))),_xlpm.l,IFERROR(INDEX(tblDados[Liga],MATCH($A87,TRIM(tblDados[Mandante]),0)),INDEX(tblDados[Liga],MATCH($A87,TRIM(tblDados[Visitante]),0))),IFERROR(SUMIFS(Ligas!$D$2:$D$39,Ligas!$H$2:$H$39,_xlpm.p,Ligas!$I$2:$I$39,_xlpm.l),0)))</f>
        <v>2.5</v>
      </c>
      <c r="J87" s="11" cm="1">
        <f t="array" ref="J87">IF($A87="","",IFERROR((SUMPRODUCT((TRIM(tblDados[Mandante])=$A87)*tblDados[Primeira_Ocorrencia]*(tblDados[GM_M]=0))+SUMPRODUCT((TRIM(tblDados[Visitante])=$A87)*tblDados[Primeira_Ocorrencia]*(tblDados[GM_V]=0)))/G87,0))</f>
        <v>0.15384615384615385</v>
      </c>
      <c r="K87" s="11" cm="1">
        <f t="array" ref="K87">IF($A87="","",IFERROR((SUMPRODUCT((TRIM(tblDados[Mandante])=$A87)*tblDados[Primeira_Ocorrencia]*((tblDados[GM_M]+tblDados[GS_M])&gt;0.5))+SUMPRODUCT((TRIM(tblDados[Visitante])=$A87)*tblDados[Primeira_Ocorrencia]*((tblDados[GM_V]+tblDados[GS_V])&gt;0.5)))/G87,0))</f>
        <v>1</v>
      </c>
      <c r="L87" s="11" cm="1">
        <f t="array" ref="L87">IF($A87="","",IFERROR((SUMPRODUCT((TRIM(tblDados[Mandante])=$A87)*tblDados[Primeira_Ocorrencia]*((tblDados[GM_M]+tblDados[GS_M])&gt;1.5))+SUMPRODUCT((TRIM(tblDados[Visitante])=$A87)*tblDados[Primeira_Ocorrencia]*((tblDados[GM_V]+tblDados[GS_V])&gt;1.5)))/G87,0))</f>
        <v>0.84615384615384615</v>
      </c>
      <c r="M87" s="11" cm="1">
        <f t="array" ref="M87">IF($A87="","",IFERROR((SUMPRODUCT((TRIM(tblDados[Mandante])=$A87)*tblDados[Primeira_Ocorrencia]*((tblDados[GM_M]+tblDados[GS_M])&gt;2.5))+SUMPRODUCT((TRIM(tblDados[Visitante])=$A87)*tblDados[Primeira_Ocorrencia]*((tblDados[GM_V]+tblDados[GS_V])&gt;2.5)))/G87,0))</f>
        <v>0.61538461538461542</v>
      </c>
      <c r="N87" s="11" cm="1">
        <f t="array" ref="N87">IF($A87="","",IFERROR((SUMPRODUCT((TRIM(tblDados[Mandante])=$A87)*tblDados[Primeira_Ocorrencia]*((tblDados[GM_M]+tblDados[GS_M])&gt;3.5))+SUMPRODUCT((TRIM(tblDados[Visitante])=$A87)*tblDados[Primeira_Ocorrencia]*((tblDados[GM_V]+tblDados[GS_V])&gt;3.5)))/G87,0))</f>
        <v>0.30769230769230771</v>
      </c>
      <c r="O87" s="11" cm="1">
        <f t="array" ref="O87">IF($A87="","",IFERROR((SUMPRODUCT((TRIM(tblDados[Mandante])=$A87)*tblDados[Primeira_Ocorrencia]*(tblDados[GM_M]&gt;0)*(tblDados[GS_M]&gt;0))+SUMPRODUCT((TRIM(tblDados[Visitante])=$A87)*tblDados[Primeira_Ocorrencia]*(tblDados[GM_V]&gt;0)*(tblDados[GS_V]&gt;0)))/G87,0))</f>
        <v>0.53846153846153844</v>
      </c>
      <c r="P87" s="10" cm="1">
        <f t="array" ref="P87">IF($A87="","",IFERROR((SUMPRODUCT((TRIM(tblDados[Mandante])=$A87)*tblDados[Primeira_Ocorrencia]*tblDados[GM_M]^2)+SUMPRODUCT((TRIM(tblDados[Visitante])=$A87)*tblDados[Primeira_Ocorrencia]*tblDados[GM_V]^2))/G87-H87^2,0))</f>
        <v>1.1715976331360944</v>
      </c>
      <c r="Q87" s="10">
        <f t="shared" si="22"/>
        <v>1.0824036368823298</v>
      </c>
      <c r="R87" s="8" t="str">
        <f t="shared" si="23"/>
        <v>Poisson</v>
      </c>
      <c r="S87" s="10" cm="1">
        <f t="array" ref="S87">IF($A87="","",SUMPRODUCT((TRIM(tblDados[Mandante])=$A87)*tblDados[Primeira_Ocorrencia]*tblDados[GM_M]))</f>
        <v>11</v>
      </c>
      <c r="T87" s="10" cm="1">
        <f t="array" ref="T87">IF($A87="","",SUMPRODUCT((TRIM(tblDados[Visitante])=$A87)*tblDados[Primeira_Ocorrencia]*tblDados[GM_V]))</f>
        <v>9</v>
      </c>
      <c r="U87" s="10">
        <f t="shared" si="24"/>
        <v>20</v>
      </c>
      <c r="V87" s="10">
        <f t="shared" si="13"/>
        <v>1.5384615384615385</v>
      </c>
      <c r="W87" s="10" cm="1">
        <f t="array" ref="W87">IF($A87="","",SUMPRODUCT((TRIM(tblDados[Mandante])=$A87)*tblDados[Primeira_Ocorrencia]*tblDados[GS_M]))</f>
        <v>6</v>
      </c>
      <c r="X87" s="10" cm="1">
        <f t="array" ref="X87">IF($A87="","",SUMPRODUCT((TRIM(tblDados[Visitante])=$A87)*tblDados[Primeira_Ocorrencia]*tblDados[GS_V]))</f>
        <v>11</v>
      </c>
      <c r="Y87" s="10">
        <f t="shared" si="25"/>
        <v>17</v>
      </c>
      <c r="Z87" s="10">
        <f t="shared" si="14"/>
        <v>1.3076923076923077</v>
      </c>
      <c r="AA87" s="10">
        <f t="shared" si="15"/>
        <v>1.8333333333333333</v>
      </c>
      <c r="AB87" s="10">
        <f t="shared" si="16"/>
        <v>1</v>
      </c>
      <c r="AC87" s="10">
        <f t="shared" si="17"/>
        <v>1.2857142857142858</v>
      </c>
      <c r="AD87" s="10">
        <f t="shared" si="18"/>
        <v>1.5714285714285714</v>
      </c>
    </row>
    <row r="88" spans="1:30" x14ac:dyDescent="0.3">
      <c r="A88" s="7" t="str">
        <v>Heidelberg United</v>
      </c>
      <c r="B88" s="12" t="str" cm="1">
        <f t="array" ref="B88">IF($A88="","",_xlfn.LET(_xlpm.p,IFERROR(INDEX(tblDados[País],MATCH($A88,TRIM(tblDados[Mandante]),0)),INDEX(tblDados[País],MATCH($A88,TRIM(tblDados[Visitante]),0))),_xlpm.l,IFERROR(INDEX(tblDados[Liga],MATCH($A88,TRIM(tblDados[Mandante]),0)),INDEX(tblDados[Liga],MATCH($A88,TRIM(tblDados[Visitante]),0))),_xlpm.p&amp;" - "&amp;_xlpm.l))</f>
        <v>AUS - NPL Victoria</v>
      </c>
      <c r="C88" s="10">
        <f t="shared" si="19"/>
        <v>2.3333333333333335</v>
      </c>
      <c r="D88" s="10">
        <f t="shared" si="20"/>
        <v>2.8571428571428568</v>
      </c>
      <c r="E88" s="9" cm="1">
        <f t="array" ref="E88">IF($A88="","",SUMPRODUCT((TRIM(tblDados[Mandante])=$A88)*tblDados[Primeira_Ocorrencia]))</f>
        <v>6</v>
      </c>
      <c r="F88" s="9" cm="1">
        <f t="array" ref="F88">IF($A88="","",SUMPRODUCT((TRIM(tblDados[Visitante])=$A88)*tblDados[Primeira_Ocorrencia]))</f>
        <v>7</v>
      </c>
      <c r="G88" s="9" cm="1">
        <f t="array" ref="G88">IF($A88="","",SUMPRODUCT((TRIM(tblDados[Mandante])=$A88)*tblDados[Primeira_Ocorrencia])+SUMPRODUCT((TRIM(tblDados[Visitante])=$A88)*tblDados[Primeira_Ocorrencia]))</f>
        <v>13</v>
      </c>
      <c r="H88" s="10">
        <f t="shared" si="21"/>
        <v>1.3076923076923077</v>
      </c>
      <c r="I88" s="10" cm="1">
        <f t="array" ref="I88">IF($A88="","",_xlfn.LET(_xlpm.p,IFERROR(INDEX(tblDados[País],MATCH($A88,TRIM(tblDados[Mandante]),0)),INDEX(tblDados[País],MATCH($A88,TRIM(tblDados[Visitante]),0))),_xlpm.l,IFERROR(INDEX(tblDados[Liga],MATCH($A88,TRIM(tblDados[Mandante]),0)),INDEX(tblDados[Liga],MATCH($A88,TRIM(tblDados[Visitante]),0))),IFERROR(SUMIFS(Ligas!$D$2:$D$39,Ligas!$H$2:$H$39,_xlpm.p,Ligas!$I$2:$I$39,_xlpm.l),0)))</f>
        <v>2.89</v>
      </c>
      <c r="J88" s="11" cm="1">
        <f t="array" ref="J88">IF($A88="","",IFERROR((SUMPRODUCT((TRIM(tblDados[Mandante])=$A88)*tblDados[Primeira_Ocorrencia]*(tblDados[GM_M]=0))+SUMPRODUCT((TRIM(tblDados[Visitante])=$A88)*tblDados[Primeira_Ocorrencia]*(tblDados[GM_V]=0)))/G88,0))</f>
        <v>0.30769230769230771</v>
      </c>
      <c r="K88" s="11" cm="1">
        <f t="array" ref="K88">IF($A88="","",IFERROR((SUMPRODUCT((TRIM(tblDados[Mandante])=$A88)*tblDados[Primeira_Ocorrencia]*((tblDados[GM_M]+tblDados[GS_M])&gt;0.5))+SUMPRODUCT((TRIM(tblDados[Visitante])=$A88)*tblDados[Primeira_Ocorrencia]*((tblDados[GM_V]+tblDados[GS_V])&gt;0.5)))/G88,0))</f>
        <v>0.84615384615384615</v>
      </c>
      <c r="L88" s="11" cm="1">
        <f t="array" ref="L88">IF($A88="","",IFERROR((SUMPRODUCT((TRIM(tblDados[Mandante])=$A88)*tblDados[Primeira_Ocorrencia]*((tblDados[GM_M]+tblDados[GS_M])&gt;1.5))+SUMPRODUCT((TRIM(tblDados[Visitante])=$A88)*tblDados[Primeira_Ocorrencia]*((tblDados[GM_V]+tblDados[GS_V])&gt;1.5)))/G88,0))</f>
        <v>0.61538461538461542</v>
      </c>
      <c r="M88" s="11" cm="1">
        <f t="array" ref="M88">IF($A88="","",IFERROR((SUMPRODUCT((TRIM(tblDados[Mandante])=$A88)*tblDados[Primeira_Ocorrencia]*((tblDados[GM_M]+tblDados[GS_M])&gt;2.5))+SUMPRODUCT((TRIM(tblDados[Visitante])=$A88)*tblDados[Primeira_Ocorrencia]*((tblDados[GM_V]+tblDados[GS_V])&gt;2.5)))/G88,0))</f>
        <v>0.53846153846153844</v>
      </c>
      <c r="N88" s="11" cm="1">
        <f t="array" ref="N88">IF($A88="","",IFERROR((SUMPRODUCT((TRIM(tblDados[Mandante])=$A88)*tblDados[Primeira_Ocorrencia]*((tblDados[GM_M]+tblDados[GS_M])&gt;3.5))+SUMPRODUCT((TRIM(tblDados[Visitante])=$A88)*tblDados[Primeira_Ocorrencia]*((tblDados[GM_V]+tblDados[GS_V])&gt;3.5)))/G88,0))</f>
        <v>0.38461538461538464</v>
      </c>
      <c r="O88" s="11" cm="1">
        <f t="array" ref="O88">IF($A88="","",IFERROR((SUMPRODUCT((TRIM(tblDados[Mandante])=$A88)*tblDados[Primeira_Ocorrencia]*(tblDados[GM_M]&gt;0)*(tblDados[GS_M]&gt;0))+SUMPRODUCT((TRIM(tblDados[Visitante])=$A88)*tblDados[Primeira_Ocorrencia]*(tblDados[GM_V]&gt;0)*(tblDados[GS_V]&gt;0)))/G88,0))</f>
        <v>0.53846153846153844</v>
      </c>
      <c r="P88" s="10" cm="1">
        <f t="array" ref="P88">IF($A88="","",IFERROR((SUMPRODUCT((TRIM(tblDados[Mandante])=$A88)*tblDados[Primeira_Ocorrencia]*tblDados[GM_M]^2)+SUMPRODUCT((TRIM(tblDados[Visitante])=$A88)*tblDados[Primeira_Ocorrencia]*tblDados[GM_V]^2))/G88-H88^2,0))</f>
        <v>1.7514792899408285</v>
      </c>
      <c r="Q88" s="10">
        <f t="shared" si="22"/>
        <v>1.3234346564680965</v>
      </c>
      <c r="R88" s="8" t="str">
        <f t="shared" si="23"/>
        <v>Poisson</v>
      </c>
      <c r="S88" s="10" cm="1">
        <f t="array" ref="S88">IF($A88="","",SUMPRODUCT((TRIM(tblDados[Mandante])=$A88)*tblDados[Primeira_Ocorrencia]*tblDados[GM_M]))</f>
        <v>9</v>
      </c>
      <c r="T88" s="10" cm="1">
        <f t="array" ref="T88">IF($A88="","",SUMPRODUCT((TRIM(tblDados[Visitante])=$A88)*tblDados[Primeira_Ocorrencia]*tblDados[GM_V]))</f>
        <v>8</v>
      </c>
      <c r="U88" s="10">
        <f t="shared" si="24"/>
        <v>17</v>
      </c>
      <c r="V88" s="10">
        <f t="shared" si="13"/>
        <v>1.3076923076923077</v>
      </c>
      <c r="W88" s="10" cm="1">
        <f t="array" ref="W88">IF($A88="","",SUMPRODUCT((TRIM(tblDados[Mandante])=$A88)*tblDados[Primeira_Ocorrencia]*tblDados[GS_M]))</f>
        <v>5</v>
      </c>
      <c r="X88" s="10" cm="1">
        <f t="array" ref="X88">IF($A88="","",SUMPRODUCT((TRIM(tblDados[Visitante])=$A88)*tblDados[Primeira_Ocorrencia]*tblDados[GS_V]))</f>
        <v>12</v>
      </c>
      <c r="Y88" s="10">
        <f t="shared" si="25"/>
        <v>17</v>
      </c>
      <c r="Z88" s="10">
        <f t="shared" si="14"/>
        <v>1.3076923076923077</v>
      </c>
      <c r="AA88" s="10">
        <f t="shared" si="15"/>
        <v>1.5</v>
      </c>
      <c r="AB88" s="10">
        <f t="shared" si="16"/>
        <v>0.83333333333333337</v>
      </c>
      <c r="AC88" s="10">
        <f t="shared" si="17"/>
        <v>1.1428571428571428</v>
      </c>
      <c r="AD88" s="10">
        <f t="shared" si="18"/>
        <v>1.7142857142857142</v>
      </c>
    </row>
    <row r="89" spans="1:30" x14ac:dyDescent="0.3">
      <c r="A89" s="7" t="str">
        <v>HIFK</v>
      </c>
      <c r="B89" s="12" t="str" cm="1">
        <f t="array" ref="B89">IF($A89="","",_xlfn.LET(_xlpm.p,IFERROR(INDEX(tblDados[País],MATCH($A89,TRIM(tblDados[Mandante]),0)),INDEX(tblDados[País],MATCH($A89,TRIM(tblDados[Visitante]),0))),_xlpm.l,IFERROR(INDEX(tblDados[Liga],MATCH($A89,TRIM(tblDados[Mandante]),0)),INDEX(tblDados[Liga],MATCH($A89,TRIM(tblDados[Visitante]),0))),_xlpm.p&amp;" - "&amp;_xlpm.l))</f>
        <v>FIN - Kakkonen A</v>
      </c>
      <c r="C89" s="10">
        <f t="shared" si="19"/>
        <v>3.875</v>
      </c>
      <c r="D89" s="10">
        <f t="shared" si="20"/>
        <v>4.2</v>
      </c>
      <c r="E89" s="9" cm="1">
        <f t="array" ref="E89">IF($A89="","",SUMPRODUCT((TRIM(tblDados[Mandante])=$A89)*tblDados[Primeira_Ocorrencia]))</f>
        <v>8</v>
      </c>
      <c r="F89" s="9" cm="1">
        <f t="array" ref="F89">IF($A89="","",SUMPRODUCT((TRIM(tblDados[Visitante])=$A89)*tblDados[Primeira_Ocorrencia]))</f>
        <v>5</v>
      </c>
      <c r="G89" s="9" cm="1">
        <f t="array" ref="G89">IF($A89="","",SUMPRODUCT((TRIM(tblDados[Mandante])=$A89)*tblDados[Primeira_Ocorrencia])+SUMPRODUCT((TRIM(tblDados[Visitante])=$A89)*tblDados[Primeira_Ocorrencia]))</f>
        <v>13</v>
      </c>
      <c r="H89" s="10">
        <f t="shared" si="21"/>
        <v>2.3076923076923075</v>
      </c>
      <c r="I89" s="10" cm="1">
        <f t="array" ref="I89">IF($A89="","",_xlfn.LET(_xlpm.p,IFERROR(INDEX(tblDados[País],MATCH($A89,TRIM(tblDados[Mandante]),0)),INDEX(tblDados[País],MATCH($A89,TRIM(tblDados[Visitante]),0))),_xlpm.l,IFERROR(INDEX(tblDados[Liga],MATCH($A89,TRIM(tblDados[Mandante]),0)),INDEX(tblDados[Liga],MATCH($A89,TRIM(tblDados[Visitante]),0))),IFERROR(SUMIFS(Ligas!$D$2:$D$39,Ligas!$H$2:$H$39,_xlpm.p,Ligas!$I$2:$I$39,_xlpm.l),0)))</f>
        <v>3.79</v>
      </c>
      <c r="J89" s="11" cm="1">
        <f t="array" ref="J89">IF($A89="","",IFERROR((SUMPRODUCT((TRIM(tblDados[Mandante])=$A89)*tblDados[Primeira_Ocorrencia]*(tblDados[GM_M]=0))+SUMPRODUCT((TRIM(tblDados[Visitante])=$A89)*tblDados[Primeira_Ocorrencia]*(tblDados[GM_V]=0)))/G89,0))</f>
        <v>7.6923076923076927E-2</v>
      </c>
      <c r="K89" s="11" cm="1">
        <f t="array" ref="K89">IF($A89="","",IFERROR((SUMPRODUCT((TRIM(tblDados[Mandante])=$A89)*tblDados[Primeira_Ocorrencia]*((tblDados[GM_M]+tblDados[GS_M])&gt;0.5))+SUMPRODUCT((TRIM(tblDados[Visitante])=$A89)*tblDados[Primeira_Ocorrencia]*((tblDados[GM_V]+tblDados[GS_V])&gt;0.5)))/G89,0))</f>
        <v>1</v>
      </c>
      <c r="L89" s="11" cm="1">
        <f t="array" ref="L89">IF($A89="","",IFERROR((SUMPRODUCT((TRIM(tblDados[Mandante])=$A89)*tblDados[Primeira_Ocorrencia]*((tblDados[GM_M]+tblDados[GS_M])&gt;1.5))+SUMPRODUCT((TRIM(tblDados[Visitante])=$A89)*tblDados[Primeira_Ocorrencia]*((tblDados[GM_V]+tblDados[GS_V])&gt;1.5)))/G89,0))</f>
        <v>1</v>
      </c>
      <c r="M89" s="11" cm="1">
        <f t="array" ref="M89">IF($A89="","",IFERROR((SUMPRODUCT((TRIM(tblDados[Mandante])=$A89)*tblDados[Primeira_Ocorrencia]*((tblDados[GM_M]+tblDados[GS_M])&gt;2.5))+SUMPRODUCT((TRIM(tblDados[Visitante])=$A89)*tblDados[Primeira_Ocorrencia]*((tblDados[GM_V]+tblDados[GS_V])&gt;2.5)))/G89,0))</f>
        <v>0.69230769230769229</v>
      </c>
      <c r="N89" s="11" cm="1">
        <f t="array" ref="N89">IF($A89="","",IFERROR((SUMPRODUCT((TRIM(tblDados[Mandante])=$A89)*tblDados[Primeira_Ocorrencia]*((tblDados[GM_M]+tblDados[GS_M])&gt;3.5))+SUMPRODUCT((TRIM(tblDados[Visitante])=$A89)*tblDados[Primeira_Ocorrencia]*((tblDados[GM_V]+tblDados[GS_V])&gt;3.5)))/G89,0))</f>
        <v>0.46153846153846156</v>
      </c>
      <c r="O89" s="11" cm="1">
        <f t="array" ref="O89">IF($A89="","",IFERROR((SUMPRODUCT((TRIM(tblDados[Mandante])=$A89)*tblDados[Primeira_Ocorrencia]*(tblDados[GM_M]&gt;0)*(tblDados[GS_M]&gt;0))+SUMPRODUCT((TRIM(tblDados[Visitante])=$A89)*tblDados[Primeira_Ocorrencia]*(tblDados[GM_V]&gt;0)*(tblDados[GS_V]&gt;0)))/G89,0))</f>
        <v>0.76923076923076927</v>
      </c>
      <c r="P89" s="10" cm="1">
        <f t="array" ref="P89">IF($A89="","",IFERROR((SUMPRODUCT((TRIM(tblDados[Mandante])=$A89)*tblDados[Primeira_Ocorrencia]*tblDados[GM_M]^2)+SUMPRODUCT((TRIM(tblDados[Visitante])=$A89)*tblDados[Primeira_Ocorrencia]*tblDados[GM_V]^2))/G89-H89^2,0))</f>
        <v>2.213017751479291</v>
      </c>
      <c r="Q89" s="10">
        <f t="shared" si="22"/>
        <v>1.487621508139517</v>
      </c>
      <c r="R89" s="8" t="str">
        <f t="shared" si="23"/>
        <v>Poisson</v>
      </c>
      <c r="S89" s="10" cm="1">
        <f t="array" ref="S89">IF($A89="","",SUMPRODUCT((TRIM(tblDados[Mandante])=$A89)*tblDados[Primeira_Ocorrencia]*tblDados[GM_M]))</f>
        <v>19</v>
      </c>
      <c r="T89" s="10" cm="1">
        <f t="array" ref="T89">IF($A89="","",SUMPRODUCT((TRIM(tblDados[Visitante])=$A89)*tblDados[Primeira_Ocorrencia]*tblDados[GM_V]))</f>
        <v>11</v>
      </c>
      <c r="U89" s="10">
        <f t="shared" si="24"/>
        <v>30</v>
      </c>
      <c r="V89" s="10">
        <f t="shared" si="13"/>
        <v>2.3076923076923075</v>
      </c>
      <c r="W89" s="10" cm="1">
        <f t="array" ref="W89">IF($A89="","",SUMPRODUCT((TRIM(tblDados[Mandante])=$A89)*tblDados[Primeira_Ocorrencia]*tblDados[GS_M]))</f>
        <v>12</v>
      </c>
      <c r="X89" s="10" cm="1">
        <f t="array" ref="X89">IF($A89="","",SUMPRODUCT((TRIM(tblDados[Visitante])=$A89)*tblDados[Primeira_Ocorrencia]*tblDados[GS_V]))</f>
        <v>10</v>
      </c>
      <c r="Y89" s="10">
        <f t="shared" si="25"/>
        <v>22</v>
      </c>
      <c r="Z89" s="10">
        <f t="shared" si="14"/>
        <v>1.6923076923076923</v>
      </c>
      <c r="AA89" s="10">
        <f t="shared" si="15"/>
        <v>2.375</v>
      </c>
      <c r="AB89" s="10">
        <f t="shared" si="16"/>
        <v>1.5</v>
      </c>
      <c r="AC89" s="10">
        <f t="shared" si="17"/>
        <v>2.2000000000000002</v>
      </c>
      <c r="AD89" s="10">
        <f t="shared" si="18"/>
        <v>2</v>
      </c>
    </row>
    <row r="90" spans="1:30" x14ac:dyDescent="0.3">
      <c r="A90" s="7" t="str">
        <v>HPS</v>
      </c>
      <c r="B90" s="12" t="str" cm="1">
        <f t="array" ref="B90">IF($A90="","",_xlfn.LET(_xlpm.p,IFERROR(INDEX(tblDados[País],MATCH($A90,TRIM(tblDados[Mandante]),0)),INDEX(tblDados[País],MATCH($A90,TRIM(tblDados[Visitante]),0))),_xlpm.l,IFERROR(INDEX(tblDados[Liga],MATCH($A90,TRIM(tblDados[Mandante]),0)),INDEX(tblDados[Liga],MATCH($A90,TRIM(tblDados[Visitante]),0))),_xlpm.p&amp;" - "&amp;_xlpm.l))</f>
        <v>FIN - Kakkonen A</v>
      </c>
      <c r="C90" s="10">
        <f t="shared" si="19"/>
        <v>5.7142857142857144</v>
      </c>
      <c r="D90" s="10">
        <f t="shared" si="20"/>
        <v>3.333333333333333</v>
      </c>
      <c r="E90" s="9" cm="1">
        <f t="array" ref="E90">IF($A90="","",SUMPRODUCT((TRIM(tblDados[Mandante])=$A90)*tblDados[Primeira_Ocorrencia]))</f>
        <v>7</v>
      </c>
      <c r="F90" s="9" cm="1">
        <f t="array" ref="F90">IF($A90="","",SUMPRODUCT((TRIM(tblDados[Visitante])=$A90)*tblDados[Primeira_Ocorrencia]))</f>
        <v>6</v>
      </c>
      <c r="G90" s="9" cm="1">
        <f t="array" ref="G90">IF($A90="","",SUMPRODUCT((TRIM(tblDados[Mandante])=$A90)*tblDados[Primeira_Ocorrencia])+SUMPRODUCT((TRIM(tblDados[Visitante])=$A90)*tblDados[Primeira_Ocorrencia]))</f>
        <v>13</v>
      </c>
      <c r="H90" s="10">
        <f t="shared" si="21"/>
        <v>2.4615384615384617</v>
      </c>
      <c r="I90" s="10" cm="1">
        <f t="array" ref="I90">IF($A90="","",_xlfn.LET(_xlpm.p,IFERROR(INDEX(tblDados[País],MATCH($A90,TRIM(tblDados[Mandante]),0)),INDEX(tblDados[País],MATCH($A90,TRIM(tblDados[Visitante]),0))),_xlpm.l,IFERROR(INDEX(tblDados[Liga],MATCH($A90,TRIM(tblDados[Mandante]),0)),INDEX(tblDados[Liga],MATCH($A90,TRIM(tblDados[Visitante]),0))),IFERROR(SUMIFS(Ligas!$D$2:$D$39,Ligas!$H$2:$H$39,_xlpm.p,Ligas!$I$2:$I$39,_xlpm.l),0)))</f>
        <v>3.79</v>
      </c>
      <c r="J90" s="11" cm="1">
        <f t="array" ref="J90">IF($A90="","",IFERROR((SUMPRODUCT((TRIM(tblDados[Mandante])=$A90)*tblDados[Primeira_Ocorrencia]*(tblDados[GM_M]=0))+SUMPRODUCT((TRIM(tblDados[Visitante])=$A90)*tblDados[Primeira_Ocorrencia]*(tblDados[GM_V]=0)))/G90,0))</f>
        <v>7.6923076923076927E-2</v>
      </c>
      <c r="K90" s="11" cm="1">
        <f t="array" ref="K90">IF($A90="","",IFERROR((SUMPRODUCT((TRIM(tblDados[Mandante])=$A90)*tblDados[Primeira_Ocorrencia]*((tblDados[GM_M]+tblDados[GS_M])&gt;0.5))+SUMPRODUCT((TRIM(tblDados[Visitante])=$A90)*tblDados[Primeira_Ocorrencia]*((tblDados[GM_V]+tblDados[GS_V])&gt;0.5)))/G90,0))</f>
        <v>1</v>
      </c>
      <c r="L90" s="11" cm="1">
        <f t="array" ref="L90">IF($A90="","",IFERROR((SUMPRODUCT((TRIM(tblDados[Mandante])=$A90)*tblDados[Primeira_Ocorrencia]*((tblDados[GM_M]+tblDados[GS_M])&gt;1.5))+SUMPRODUCT((TRIM(tblDados[Visitante])=$A90)*tblDados[Primeira_Ocorrencia]*((tblDados[GM_V]+tblDados[GS_V])&gt;1.5)))/G90,0))</f>
        <v>1</v>
      </c>
      <c r="M90" s="11" cm="1">
        <f t="array" ref="M90">IF($A90="","",IFERROR((SUMPRODUCT((TRIM(tblDados[Mandante])=$A90)*tblDados[Primeira_Ocorrencia]*((tblDados[GM_M]+tblDados[GS_M])&gt;2.5))+SUMPRODUCT((TRIM(tblDados[Visitante])=$A90)*tblDados[Primeira_Ocorrencia]*((tblDados[GM_V]+tblDados[GS_V])&gt;2.5)))/G90,0))</f>
        <v>0.69230769230769229</v>
      </c>
      <c r="N90" s="11" cm="1">
        <f t="array" ref="N90">IF($A90="","",IFERROR((SUMPRODUCT((TRIM(tblDados[Mandante])=$A90)*tblDados[Primeira_Ocorrencia]*((tblDados[GM_M]+tblDados[GS_M])&gt;3.5))+SUMPRODUCT((TRIM(tblDados[Visitante])=$A90)*tblDados[Primeira_Ocorrencia]*((tblDados[GM_V]+tblDados[GS_V])&gt;3.5)))/G90,0))</f>
        <v>0.61538461538461542</v>
      </c>
      <c r="O90" s="11" cm="1">
        <f t="array" ref="O90">IF($A90="","",IFERROR((SUMPRODUCT((TRIM(tblDados[Mandante])=$A90)*tblDados[Primeira_Ocorrencia]*(tblDados[GM_M]&gt;0)*(tblDados[GS_M]&gt;0))+SUMPRODUCT((TRIM(tblDados[Visitante])=$A90)*tblDados[Primeira_Ocorrencia]*(tblDados[GM_V]&gt;0)*(tblDados[GS_V]&gt;0)))/G90,0))</f>
        <v>0.69230769230769229</v>
      </c>
      <c r="P90" s="10" cm="1">
        <f t="array" ref="P90">IF($A90="","",IFERROR((SUMPRODUCT((TRIM(tblDados[Mandante])=$A90)*tblDados[Primeira_Ocorrencia]*tblDados[GM_M]^2)+SUMPRODUCT((TRIM(tblDados[Visitante])=$A90)*tblDados[Primeira_Ocorrencia]*tblDados[GM_V]^2))/G90-H90^2,0))</f>
        <v>2.0946745562130165</v>
      </c>
      <c r="Q90" s="10">
        <f t="shared" si="22"/>
        <v>1.4472990555559055</v>
      </c>
      <c r="R90" s="8" t="str">
        <f t="shared" si="23"/>
        <v>Poisson</v>
      </c>
      <c r="S90" s="10" cm="1">
        <f t="array" ref="S90">IF($A90="","",SUMPRODUCT((TRIM(tblDados[Mandante])=$A90)*tblDados[Primeira_Ocorrencia]*tblDados[GM_M]))</f>
        <v>21</v>
      </c>
      <c r="T90" s="10" cm="1">
        <f t="array" ref="T90">IF($A90="","",SUMPRODUCT((TRIM(tblDados[Visitante])=$A90)*tblDados[Primeira_Ocorrencia]*tblDados[GM_V]))</f>
        <v>11</v>
      </c>
      <c r="U90" s="10">
        <f t="shared" si="24"/>
        <v>32</v>
      </c>
      <c r="V90" s="10">
        <f t="shared" si="13"/>
        <v>2.4615384615384617</v>
      </c>
      <c r="W90" s="10" cm="1">
        <f t="array" ref="W90">IF($A90="","",SUMPRODUCT((TRIM(tblDados[Mandante])=$A90)*tblDados[Primeira_Ocorrencia]*tblDados[GS_M]))</f>
        <v>19</v>
      </c>
      <c r="X90" s="10" cm="1">
        <f t="array" ref="X90">IF($A90="","",SUMPRODUCT((TRIM(tblDados[Visitante])=$A90)*tblDados[Primeira_Ocorrencia]*tblDados[GS_V]))</f>
        <v>9</v>
      </c>
      <c r="Y90" s="10">
        <f t="shared" si="25"/>
        <v>28</v>
      </c>
      <c r="Z90" s="10">
        <f t="shared" si="14"/>
        <v>2.1538461538461537</v>
      </c>
      <c r="AA90" s="10">
        <f t="shared" si="15"/>
        <v>3</v>
      </c>
      <c r="AB90" s="10">
        <f t="shared" si="16"/>
        <v>2.7142857142857144</v>
      </c>
      <c r="AC90" s="10">
        <f t="shared" si="17"/>
        <v>1.8333333333333333</v>
      </c>
      <c r="AD90" s="10">
        <f t="shared" si="18"/>
        <v>1.5</v>
      </c>
    </row>
    <row r="91" spans="1:30" x14ac:dyDescent="0.3">
      <c r="A91" s="7" t="str">
        <v>Hume City</v>
      </c>
      <c r="B91" s="12" t="str" cm="1">
        <f t="array" ref="B91">IF($A91="","",_xlfn.LET(_xlpm.p,IFERROR(INDEX(tblDados[País],MATCH($A91,TRIM(tblDados[Mandante]),0)),INDEX(tblDados[País],MATCH($A91,TRIM(tblDados[Visitante]),0))),_xlpm.l,IFERROR(INDEX(tblDados[Liga],MATCH($A91,TRIM(tblDados[Mandante]),0)),INDEX(tblDados[Liga],MATCH($A91,TRIM(tblDados[Visitante]),0))),_xlpm.p&amp;" - "&amp;_xlpm.l))</f>
        <v>AUS - NPL Victoria</v>
      </c>
      <c r="C91" s="10">
        <f t="shared" si="19"/>
        <v>2.1428571428571428</v>
      </c>
      <c r="D91" s="10">
        <f t="shared" si="20"/>
        <v>4.666666666666667</v>
      </c>
      <c r="E91" s="9" cm="1">
        <f t="array" ref="E91">IF($A91="","",SUMPRODUCT((TRIM(tblDados[Mandante])=$A91)*tblDados[Primeira_Ocorrencia]))</f>
        <v>7</v>
      </c>
      <c r="F91" s="9" cm="1">
        <f t="array" ref="F91">IF($A91="","",SUMPRODUCT((TRIM(tblDados[Visitante])=$A91)*tblDados[Primeira_Ocorrencia]))</f>
        <v>6</v>
      </c>
      <c r="G91" s="9" cm="1">
        <f t="array" ref="G91">IF($A91="","",SUMPRODUCT((TRIM(tblDados[Mandante])=$A91)*tblDados[Primeira_Ocorrencia])+SUMPRODUCT((TRIM(tblDados[Visitante])=$A91)*tblDados[Primeira_Ocorrencia]))</f>
        <v>13</v>
      </c>
      <c r="H91" s="10">
        <f t="shared" si="21"/>
        <v>2.1538461538461537</v>
      </c>
      <c r="I91" s="10" cm="1">
        <f t="array" ref="I91">IF($A91="","",_xlfn.LET(_xlpm.p,IFERROR(INDEX(tblDados[País],MATCH($A91,TRIM(tblDados[Mandante]),0)),INDEX(tblDados[País],MATCH($A91,TRIM(tblDados[Visitante]),0))),_xlpm.l,IFERROR(INDEX(tblDados[Liga],MATCH($A91,TRIM(tblDados[Mandante]),0)),INDEX(tblDados[Liga],MATCH($A91,TRIM(tblDados[Visitante]),0))),IFERROR(SUMIFS(Ligas!$D$2:$D$39,Ligas!$H$2:$H$39,_xlpm.p,Ligas!$I$2:$I$39,_xlpm.l),0)))</f>
        <v>2.89</v>
      </c>
      <c r="J91" s="11" cm="1">
        <f t="array" ref="J91">IF($A91="","",IFERROR((SUMPRODUCT((TRIM(tblDados[Mandante])=$A91)*tblDados[Primeira_Ocorrencia]*(tblDados[GM_M]=0))+SUMPRODUCT((TRIM(tblDados[Visitante])=$A91)*tblDados[Primeira_Ocorrencia]*(tblDados[GM_V]=0)))/G91,0))</f>
        <v>0.15384615384615385</v>
      </c>
      <c r="K91" s="11" cm="1">
        <f t="array" ref="K91">IF($A91="","",IFERROR((SUMPRODUCT((TRIM(tblDados[Mandante])=$A91)*tblDados[Primeira_Ocorrencia]*((tblDados[GM_M]+tblDados[GS_M])&gt;0.5))+SUMPRODUCT((TRIM(tblDados[Visitante])=$A91)*tblDados[Primeira_Ocorrencia]*((tblDados[GM_V]+tblDados[GS_V])&gt;0.5)))/G91,0))</f>
        <v>0.92307692307692313</v>
      </c>
      <c r="L91" s="11" cm="1">
        <f t="array" ref="L91">IF($A91="","",IFERROR((SUMPRODUCT((TRIM(tblDados[Mandante])=$A91)*tblDados[Primeira_Ocorrencia]*((tblDados[GM_M]+tblDados[GS_M])&gt;1.5))+SUMPRODUCT((TRIM(tblDados[Visitante])=$A91)*tblDados[Primeira_Ocorrencia]*((tblDados[GM_V]+tblDados[GS_V])&gt;1.5)))/G91,0))</f>
        <v>0.76923076923076927</v>
      </c>
      <c r="M91" s="11" cm="1">
        <f t="array" ref="M91">IF($A91="","",IFERROR((SUMPRODUCT((TRIM(tblDados[Mandante])=$A91)*tblDados[Primeira_Ocorrencia]*((tblDados[GM_M]+tblDados[GS_M])&gt;2.5))+SUMPRODUCT((TRIM(tblDados[Visitante])=$A91)*tblDados[Primeira_Ocorrencia]*((tblDados[GM_V]+tblDados[GS_V])&gt;2.5)))/G91,0))</f>
        <v>0.69230769230769229</v>
      </c>
      <c r="N91" s="11" cm="1">
        <f t="array" ref="N91">IF($A91="","",IFERROR((SUMPRODUCT((TRIM(tblDados[Mandante])=$A91)*tblDados[Primeira_Ocorrencia]*((tblDados[GM_M]+tblDados[GS_M])&gt;3.5))+SUMPRODUCT((TRIM(tblDados[Visitante])=$A91)*tblDados[Primeira_Ocorrencia]*((tblDados[GM_V]+tblDados[GS_V])&gt;3.5)))/G91,0))</f>
        <v>0.46153846153846156</v>
      </c>
      <c r="O91" s="11" cm="1">
        <f t="array" ref="O91">IF($A91="","",IFERROR((SUMPRODUCT((TRIM(tblDados[Mandante])=$A91)*tblDados[Primeira_Ocorrencia]*(tblDados[GM_M]&gt;0)*(tblDados[GS_M]&gt;0))+SUMPRODUCT((TRIM(tblDados[Visitante])=$A91)*tblDados[Primeira_Ocorrencia]*(tblDados[GM_V]&gt;0)*(tblDados[GS_V]&gt;0)))/G91,0))</f>
        <v>0.69230769230769229</v>
      </c>
      <c r="P91" s="10" cm="1">
        <f t="array" ref="P91">IF($A91="","",IFERROR((SUMPRODUCT((TRIM(tblDados[Mandante])=$A91)*tblDados[Primeira_Ocorrencia]*tblDados[GM_M]^2)+SUMPRODUCT((TRIM(tblDados[Visitante])=$A91)*tblDados[Primeira_Ocorrencia]*tblDados[GM_V]^2))/G91-H91^2,0))</f>
        <v>2.1301775147928996</v>
      </c>
      <c r="Q91" s="10">
        <f t="shared" si="22"/>
        <v>1.4595127662315597</v>
      </c>
      <c r="R91" s="8" t="str">
        <f t="shared" si="23"/>
        <v>Poisson</v>
      </c>
      <c r="S91" s="10" cm="1">
        <f t="array" ref="S91">IF($A91="","",SUMPRODUCT((TRIM(tblDados[Mandante])=$A91)*tblDados[Primeira_Ocorrencia]*tblDados[GM_M]))</f>
        <v>10</v>
      </c>
      <c r="T91" s="10" cm="1">
        <f t="array" ref="T91">IF($A91="","",SUMPRODUCT((TRIM(tblDados[Visitante])=$A91)*tblDados[Primeira_Ocorrencia]*tblDados[GM_V]))</f>
        <v>18</v>
      </c>
      <c r="U91" s="10">
        <f t="shared" si="24"/>
        <v>28</v>
      </c>
      <c r="V91" s="10">
        <f t="shared" si="13"/>
        <v>2.1538461538461537</v>
      </c>
      <c r="W91" s="10" cm="1">
        <f t="array" ref="W91">IF($A91="","",SUMPRODUCT((TRIM(tblDados[Mandante])=$A91)*tblDados[Primeira_Ocorrencia]*tblDados[GS_M]))</f>
        <v>5</v>
      </c>
      <c r="X91" s="10" cm="1">
        <f t="array" ref="X91">IF($A91="","",SUMPRODUCT((TRIM(tblDados[Visitante])=$A91)*tblDados[Primeira_Ocorrencia]*tblDados[GS_V]))</f>
        <v>10</v>
      </c>
      <c r="Y91" s="10">
        <f t="shared" si="25"/>
        <v>15</v>
      </c>
      <c r="Z91" s="10">
        <f t="shared" si="14"/>
        <v>1.1538461538461537</v>
      </c>
      <c r="AA91" s="10">
        <f t="shared" si="15"/>
        <v>1.4285714285714286</v>
      </c>
      <c r="AB91" s="10">
        <f t="shared" si="16"/>
        <v>0.7142857142857143</v>
      </c>
      <c r="AC91" s="10">
        <f t="shared" si="17"/>
        <v>3</v>
      </c>
      <c r="AD91" s="10">
        <f t="shared" si="18"/>
        <v>1.6666666666666667</v>
      </c>
    </row>
    <row r="92" spans="1:30" x14ac:dyDescent="0.3">
      <c r="A92" s="7" t="str">
        <v>IF Elfsborg</v>
      </c>
      <c r="B92" s="12" t="str" cm="1">
        <f t="array" ref="B92">IF($A92="","",_xlfn.LET(_xlpm.p,IFERROR(INDEX(tblDados[País],MATCH($A92,TRIM(tblDados[Mandante]),0)),INDEX(tblDados[País],MATCH($A92,TRIM(tblDados[Visitante]),0))),_xlpm.l,IFERROR(INDEX(tblDados[Liga],MATCH($A92,TRIM(tblDados[Mandante]),0)),INDEX(tblDados[Liga],MATCH($A92,TRIM(tblDados[Visitante]),0))),_xlpm.p&amp;" - "&amp;_xlpm.l))</f>
        <v>SWE - Allsvenskan</v>
      </c>
      <c r="C92" s="10">
        <f t="shared" si="19"/>
        <v>2.5714285714285716</v>
      </c>
      <c r="D92" s="10">
        <f t="shared" si="20"/>
        <v>2.3333333333333335</v>
      </c>
      <c r="E92" s="9" cm="1">
        <f t="array" ref="E92">IF($A92="","",SUMPRODUCT((TRIM(tblDados[Mandante])=$A92)*tblDados[Primeira_Ocorrencia]))</f>
        <v>7</v>
      </c>
      <c r="F92" s="9" cm="1">
        <f t="array" ref="F92">IF($A92="","",SUMPRODUCT((TRIM(tblDados[Visitante])=$A92)*tblDados[Primeira_Ocorrencia]))</f>
        <v>6</v>
      </c>
      <c r="G92" s="9" cm="1">
        <f t="array" ref="G92">IF($A92="","",SUMPRODUCT((TRIM(tblDados[Mandante])=$A92)*tblDados[Primeira_Ocorrencia])+SUMPRODUCT((TRIM(tblDados[Visitante])=$A92)*tblDados[Primeira_Ocorrencia]))</f>
        <v>13</v>
      </c>
      <c r="H92" s="10">
        <f t="shared" si="21"/>
        <v>1.2307692307692308</v>
      </c>
      <c r="I92" s="10" cm="1">
        <f t="array" ref="I92">IF($A92="","",_xlfn.LET(_xlpm.p,IFERROR(INDEX(tblDados[País],MATCH($A92,TRIM(tblDados[Mandante]),0)),INDEX(tblDados[País],MATCH($A92,TRIM(tblDados[Visitante]),0))),_xlpm.l,IFERROR(INDEX(tblDados[Liga],MATCH($A92,TRIM(tblDados[Mandante]),0)),INDEX(tblDados[Liga],MATCH($A92,TRIM(tblDados[Visitante]),0))),IFERROR(SUMIFS(Ligas!$D$2:$D$39,Ligas!$H$2:$H$39,_xlpm.p,Ligas!$I$2:$I$39,_xlpm.l),0)))</f>
        <v>2.5</v>
      </c>
      <c r="J92" s="11" cm="1">
        <f t="array" ref="J92">IF($A92="","",IFERROR((SUMPRODUCT((TRIM(tblDados[Mandante])=$A92)*tblDados[Primeira_Ocorrencia]*(tblDados[GM_M]=0))+SUMPRODUCT((TRIM(tblDados[Visitante])=$A92)*tblDados[Primeira_Ocorrencia]*(tblDados[GM_V]=0)))/G92,0))</f>
        <v>7.6923076923076927E-2</v>
      </c>
      <c r="K92" s="11" cm="1">
        <f t="array" ref="K92">IF($A92="","",IFERROR((SUMPRODUCT((TRIM(tblDados[Mandante])=$A92)*tblDados[Primeira_Ocorrencia]*((tblDados[GM_M]+tblDados[GS_M])&gt;0.5))+SUMPRODUCT((TRIM(tblDados[Visitante])=$A92)*tblDados[Primeira_Ocorrencia]*((tblDados[GM_V]+tblDados[GS_V])&gt;0.5)))/G92,0))</f>
        <v>1</v>
      </c>
      <c r="L92" s="11" cm="1">
        <f t="array" ref="L92">IF($A92="","",IFERROR((SUMPRODUCT((TRIM(tblDados[Mandante])=$A92)*tblDados[Primeira_Ocorrencia]*((tblDados[GM_M]+tblDados[GS_M])&gt;1.5))+SUMPRODUCT((TRIM(tblDados[Visitante])=$A92)*tblDados[Primeira_Ocorrencia]*((tblDados[GM_V]+tblDados[GS_V])&gt;1.5)))/G92,0))</f>
        <v>0.84615384615384615</v>
      </c>
      <c r="M92" s="11" cm="1">
        <f t="array" ref="M92">IF($A92="","",IFERROR((SUMPRODUCT((TRIM(tblDados[Mandante])=$A92)*tblDados[Primeira_Ocorrencia]*((tblDados[GM_M]+tblDados[GS_M])&gt;2.5))+SUMPRODUCT((TRIM(tblDados[Visitante])=$A92)*tblDados[Primeira_Ocorrencia]*((tblDados[GM_V]+tblDados[GS_V])&gt;2.5)))/G92,0))</f>
        <v>0.46153846153846156</v>
      </c>
      <c r="N92" s="11" cm="1">
        <f t="array" ref="N92">IF($A92="","",IFERROR((SUMPRODUCT((TRIM(tblDados[Mandante])=$A92)*tblDados[Primeira_Ocorrencia]*((tblDados[GM_M]+tblDados[GS_M])&gt;3.5))+SUMPRODUCT((TRIM(tblDados[Visitante])=$A92)*tblDados[Primeira_Ocorrencia]*((tblDados[GM_V]+tblDados[GS_V])&gt;3.5)))/G92,0))</f>
        <v>0.15384615384615385</v>
      </c>
      <c r="O92" s="11" cm="1">
        <f t="array" ref="O92">IF($A92="","",IFERROR((SUMPRODUCT((TRIM(tblDados[Mandante])=$A92)*tblDados[Primeira_Ocorrencia]*(tblDados[GM_M]&gt;0)*(tblDados[GS_M]&gt;0))+SUMPRODUCT((TRIM(tblDados[Visitante])=$A92)*tblDados[Primeira_Ocorrencia]*(tblDados[GM_V]&gt;0)*(tblDados[GS_V]&gt;0)))/G92,0))</f>
        <v>0.76923076923076927</v>
      </c>
      <c r="P92" s="10" cm="1">
        <f t="array" ref="P92">IF($A92="","",IFERROR((SUMPRODUCT((TRIM(tblDados[Mandante])=$A92)*tblDados[Primeira_Ocorrencia]*tblDados[GM_M]^2)+SUMPRODUCT((TRIM(tblDados[Visitante])=$A92)*tblDados[Primeira_Ocorrencia]*tblDados[GM_V]^2))/G92-H92^2,0))</f>
        <v>0.33136094674556205</v>
      </c>
      <c r="Q92" s="10">
        <f t="shared" si="22"/>
        <v>0.57563959796522168</v>
      </c>
      <c r="R92" s="8" t="str">
        <f t="shared" si="23"/>
        <v>Poisson</v>
      </c>
      <c r="S92" s="10" cm="1">
        <f t="array" ref="S92">IF($A92="","",SUMPRODUCT((TRIM(tblDados[Mandante])=$A92)*tblDados[Primeira_Ocorrencia]*tblDados[GM_M]))</f>
        <v>9</v>
      </c>
      <c r="T92" s="10" cm="1">
        <f t="array" ref="T92">IF($A92="","",SUMPRODUCT((TRIM(tblDados[Visitante])=$A92)*tblDados[Primeira_Ocorrencia]*tblDados[GM_V]))</f>
        <v>7</v>
      </c>
      <c r="U92" s="10">
        <f t="shared" si="24"/>
        <v>16</v>
      </c>
      <c r="V92" s="10">
        <f t="shared" si="13"/>
        <v>1.2307692307692308</v>
      </c>
      <c r="W92" s="10" cm="1">
        <f t="array" ref="W92">IF($A92="","",SUMPRODUCT((TRIM(tblDados[Mandante])=$A92)*tblDados[Primeira_Ocorrencia]*tblDados[GS_M]))</f>
        <v>9</v>
      </c>
      <c r="X92" s="10" cm="1">
        <f t="array" ref="X92">IF($A92="","",SUMPRODUCT((TRIM(tblDados[Visitante])=$A92)*tblDados[Primeira_Ocorrencia]*tblDados[GS_V]))</f>
        <v>7</v>
      </c>
      <c r="Y92" s="10">
        <f t="shared" si="25"/>
        <v>16</v>
      </c>
      <c r="Z92" s="10">
        <f t="shared" si="14"/>
        <v>1.2307692307692308</v>
      </c>
      <c r="AA92" s="10">
        <f t="shared" si="15"/>
        <v>1.2857142857142858</v>
      </c>
      <c r="AB92" s="10">
        <f t="shared" si="16"/>
        <v>1.2857142857142858</v>
      </c>
      <c r="AC92" s="10">
        <f t="shared" si="17"/>
        <v>1.1666666666666667</v>
      </c>
      <c r="AD92" s="10">
        <f t="shared" si="18"/>
        <v>1.1666666666666667</v>
      </c>
    </row>
    <row r="93" spans="1:30" x14ac:dyDescent="0.3">
      <c r="A93" s="7" t="str">
        <v>IF Gnistan</v>
      </c>
      <c r="B93" s="12" t="str" cm="1">
        <f t="array" ref="B93">IF($A93="","",_xlfn.LET(_xlpm.p,IFERROR(INDEX(tblDados[País],MATCH($A93,TRIM(tblDados[Mandante]),0)),INDEX(tblDados[País],MATCH($A93,TRIM(tblDados[Visitante]),0))),_xlpm.l,IFERROR(INDEX(tblDados[Liga],MATCH($A93,TRIM(tblDados[Mandante]),0)),INDEX(tblDados[Liga],MATCH($A93,TRIM(tblDados[Visitante]),0))),_xlpm.p&amp;" - "&amp;_xlpm.l))</f>
        <v>FIN - Veikkausliiga</v>
      </c>
      <c r="C93" s="10">
        <f t="shared" si="19"/>
        <v>2.833333333333333</v>
      </c>
      <c r="D93" s="10">
        <f t="shared" si="20"/>
        <v>2.4285714285714288</v>
      </c>
      <c r="E93" s="9" cm="1">
        <f t="array" ref="E93">IF($A93="","",SUMPRODUCT((TRIM(tblDados[Mandante])=$A93)*tblDados[Primeira_Ocorrencia]))</f>
        <v>6</v>
      </c>
      <c r="F93" s="9" cm="1">
        <f t="array" ref="F93">IF($A93="","",SUMPRODUCT((TRIM(tblDados[Visitante])=$A93)*tblDados[Primeira_Ocorrencia]))</f>
        <v>7</v>
      </c>
      <c r="G93" s="9" cm="1">
        <f t="array" ref="G93">IF($A93="","",SUMPRODUCT((TRIM(tblDados[Mandante])=$A93)*tblDados[Primeira_Ocorrencia])+SUMPRODUCT((TRIM(tblDados[Visitante])=$A93)*tblDados[Primeira_Ocorrencia]))</f>
        <v>13</v>
      </c>
      <c r="H93" s="10">
        <f t="shared" si="21"/>
        <v>1.7692307692307692</v>
      </c>
      <c r="I93" s="10" cm="1">
        <f t="array" ref="I93">IF($A93="","",_xlfn.LET(_xlpm.p,IFERROR(INDEX(tblDados[País],MATCH($A93,TRIM(tblDados[Mandante]),0)),INDEX(tblDados[País],MATCH($A93,TRIM(tblDados[Visitante]),0))),_xlpm.l,IFERROR(INDEX(tblDados[Liga],MATCH($A93,TRIM(tblDados[Mandante]),0)),INDEX(tblDados[Liga],MATCH($A93,TRIM(tblDados[Visitante]),0))),IFERROR(SUMIFS(Ligas!$D$2:$D$39,Ligas!$H$2:$H$39,_xlpm.p,Ligas!$I$2:$I$39,_xlpm.l),0)))</f>
        <v>2.6</v>
      </c>
      <c r="J93" s="11" cm="1">
        <f t="array" ref="J93">IF($A93="","",IFERROR((SUMPRODUCT((TRIM(tblDados[Mandante])=$A93)*tblDados[Primeira_Ocorrencia]*(tblDados[GM_M]=0))+SUMPRODUCT((TRIM(tblDados[Visitante])=$A93)*tblDados[Primeira_Ocorrencia]*(tblDados[GM_V]=0)))/G93,0))</f>
        <v>0.23076923076923078</v>
      </c>
      <c r="K93" s="11" cm="1">
        <f t="array" ref="K93">IF($A93="","",IFERROR((SUMPRODUCT((TRIM(tblDados[Mandante])=$A93)*tblDados[Primeira_Ocorrencia]*((tblDados[GM_M]+tblDados[GS_M])&gt;0.5))+SUMPRODUCT((TRIM(tblDados[Visitante])=$A93)*tblDados[Primeira_Ocorrencia]*((tblDados[GM_V]+tblDados[GS_V])&gt;0.5)))/G93,0))</f>
        <v>1</v>
      </c>
      <c r="L93" s="11" cm="1">
        <f t="array" ref="L93">IF($A93="","",IFERROR((SUMPRODUCT((TRIM(tblDados[Mandante])=$A93)*tblDados[Primeira_Ocorrencia]*((tblDados[GM_M]+tblDados[GS_M])&gt;1.5))+SUMPRODUCT((TRIM(tblDados[Visitante])=$A93)*tblDados[Primeira_Ocorrencia]*((tblDados[GM_V]+tblDados[GS_V])&gt;1.5)))/G93,0))</f>
        <v>0.76923076923076927</v>
      </c>
      <c r="M93" s="11" cm="1">
        <f t="array" ref="M93">IF($A93="","",IFERROR((SUMPRODUCT((TRIM(tblDados[Mandante])=$A93)*tblDados[Primeira_Ocorrencia]*((tblDados[GM_M]+tblDados[GS_M])&gt;2.5))+SUMPRODUCT((TRIM(tblDados[Visitante])=$A93)*tblDados[Primeira_Ocorrencia]*((tblDados[GM_V]+tblDados[GS_V])&gt;2.5)))/G93,0))</f>
        <v>0.38461538461538464</v>
      </c>
      <c r="N93" s="11" cm="1">
        <f t="array" ref="N93">IF($A93="","",IFERROR((SUMPRODUCT((TRIM(tblDados[Mandante])=$A93)*tblDados[Primeira_Ocorrencia]*((tblDados[GM_M]+tblDados[GS_M])&gt;3.5))+SUMPRODUCT((TRIM(tblDados[Visitante])=$A93)*tblDados[Primeira_Ocorrencia]*((tblDados[GM_V]+tblDados[GS_V])&gt;3.5)))/G93,0))</f>
        <v>0.23076923076923078</v>
      </c>
      <c r="O93" s="11" cm="1">
        <f t="array" ref="O93">IF($A93="","",IFERROR((SUMPRODUCT((TRIM(tblDados[Mandante])=$A93)*tblDados[Primeira_Ocorrencia]*(tblDados[GM_M]&gt;0)*(tblDados[GS_M]&gt;0))+SUMPRODUCT((TRIM(tblDados[Visitante])=$A93)*tblDados[Primeira_Ocorrencia]*(tblDados[GM_V]&gt;0)*(tblDados[GS_V]&gt;0)))/G93,0))</f>
        <v>0.38461538461538464</v>
      </c>
      <c r="P93" s="10" cm="1">
        <f t="array" ref="P93">IF($A93="","",IFERROR((SUMPRODUCT((TRIM(tblDados[Mandante])=$A93)*tblDados[Primeira_Ocorrencia]*tblDados[GM_M]^2)+SUMPRODUCT((TRIM(tblDados[Visitante])=$A93)*tblDados[Primeira_Ocorrencia]*tblDados[GM_V]^2))/G93-H93^2,0))</f>
        <v>2.1775147928994083</v>
      </c>
      <c r="Q93" s="10">
        <f t="shared" si="22"/>
        <v>1.475640468711606</v>
      </c>
      <c r="R93" s="8" t="str">
        <f t="shared" si="23"/>
        <v>Poisson</v>
      </c>
      <c r="S93" s="10" cm="1">
        <f t="array" ref="S93">IF($A93="","",SUMPRODUCT((TRIM(tblDados[Mandante])=$A93)*tblDados[Primeira_Ocorrencia]*tblDados[GM_M]))</f>
        <v>13</v>
      </c>
      <c r="T93" s="10" cm="1">
        <f t="array" ref="T93">IF($A93="","",SUMPRODUCT((TRIM(tblDados[Visitante])=$A93)*tblDados[Primeira_Ocorrencia]*tblDados[GM_V]))</f>
        <v>10</v>
      </c>
      <c r="U93" s="10">
        <f t="shared" si="24"/>
        <v>23</v>
      </c>
      <c r="V93" s="10">
        <f t="shared" si="13"/>
        <v>1.7692307692307692</v>
      </c>
      <c r="W93" s="10" cm="1">
        <f t="array" ref="W93">IF($A93="","",SUMPRODUCT((TRIM(tblDados[Mandante])=$A93)*tblDados[Primeira_Ocorrencia]*tblDados[GS_M]))</f>
        <v>4</v>
      </c>
      <c r="X93" s="10" cm="1">
        <f t="array" ref="X93">IF($A93="","",SUMPRODUCT((TRIM(tblDados[Visitante])=$A93)*tblDados[Primeira_Ocorrencia]*tblDados[GS_V]))</f>
        <v>7</v>
      </c>
      <c r="Y93" s="10">
        <f t="shared" si="25"/>
        <v>11</v>
      </c>
      <c r="Z93" s="10">
        <f t="shared" si="14"/>
        <v>0.84615384615384615</v>
      </c>
      <c r="AA93" s="10">
        <f t="shared" si="15"/>
        <v>2.1666666666666665</v>
      </c>
      <c r="AB93" s="10">
        <f t="shared" si="16"/>
        <v>0.66666666666666663</v>
      </c>
      <c r="AC93" s="10">
        <f t="shared" si="17"/>
        <v>1.4285714285714286</v>
      </c>
      <c r="AD93" s="10">
        <f t="shared" si="18"/>
        <v>1</v>
      </c>
    </row>
    <row r="94" spans="1:30" x14ac:dyDescent="0.3">
      <c r="A94" s="7" t="str">
        <v>IK Oddevold</v>
      </c>
      <c r="B94" s="12" t="str" cm="1">
        <f t="array" ref="B94">IF($A94="","",_xlfn.LET(_xlpm.p,IFERROR(INDEX(tblDados[País],MATCH($A94,TRIM(tblDados[Mandante]),0)),INDEX(tblDados[País],MATCH($A94,TRIM(tblDados[Visitante]),0))),_xlpm.l,IFERROR(INDEX(tblDados[Liga],MATCH($A94,TRIM(tblDados[Mandante]),0)),INDEX(tblDados[Liga],MATCH($A94,TRIM(tblDados[Visitante]),0))),_xlpm.p&amp;" - "&amp;_xlpm.l))</f>
        <v>SWE - Superettan</v>
      </c>
      <c r="C94" s="10">
        <f t="shared" si="19"/>
        <v>2.4285714285714288</v>
      </c>
      <c r="D94" s="10">
        <f t="shared" si="20"/>
        <v>2.666666666666667</v>
      </c>
      <c r="E94" s="9" cm="1">
        <f t="array" ref="E94">IF($A94="","",SUMPRODUCT((TRIM(tblDados[Mandante])=$A94)*tblDados[Primeira_Ocorrencia]))</f>
        <v>7</v>
      </c>
      <c r="F94" s="9" cm="1">
        <f t="array" ref="F94">IF($A94="","",SUMPRODUCT((TRIM(tblDados[Visitante])=$A94)*tblDados[Primeira_Ocorrencia]))</f>
        <v>6</v>
      </c>
      <c r="G94" s="9" cm="1">
        <f t="array" ref="G94">IF($A94="","",SUMPRODUCT((TRIM(tblDados[Mandante])=$A94)*tblDados[Primeira_Ocorrencia])+SUMPRODUCT((TRIM(tblDados[Visitante])=$A94)*tblDados[Primeira_Ocorrencia]))</f>
        <v>13</v>
      </c>
      <c r="H94" s="10">
        <f t="shared" si="21"/>
        <v>1.3846153846153846</v>
      </c>
      <c r="I94" s="10" cm="1">
        <f t="array" ref="I94">IF($A94="","",_xlfn.LET(_xlpm.p,IFERROR(INDEX(tblDados[País],MATCH($A94,TRIM(tblDados[Mandante]),0)),INDEX(tblDados[País],MATCH($A94,TRIM(tblDados[Visitante]),0))),_xlpm.l,IFERROR(INDEX(tblDados[Liga],MATCH($A94,TRIM(tblDados[Mandante]),0)),INDEX(tblDados[Liga],MATCH($A94,TRIM(tblDados[Visitante]),0))),IFERROR(SUMIFS(Ligas!$D$2:$D$39,Ligas!$H$2:$H$39,_xlpm.p,Ligas!$I$2:$I$39,_xlpm.l),0)))</f>
        <v>2.5</v>
      </c>
      <c r="J94" s="11" cm="1">
        <f t="array" ref="J94">IF($A94="","",IFERROR((SUMPRODUCT((TRIM(tblDados[Mandante])=$A94)*tblDados[Primeira_Ocorrencia]*(tblDados[GM_M]=0))+SUMPRODUCT((TRIM(tblDados[Visitante])=$A94)*tblDados[Primeira_Ocorrencia]*(tblDados[GM_V]=0)))/G94,0))</f>
        <v>0.23076923076923078</v>
      </c>
      <c r="K94" s="11" cm="1">
        <f t="array" ref="K94">IF($A94="","",IFERROR((SUMPRODUCT((TRIM(tblDados[Mandante])=$A94)*tblDados[Primeira_Ocorrencia]*((tblDados[GM_M]+tblDados[GS_M])&gt;0.5))+SUMPRODUCT((TRIM(tblDados[Visitante])=$A94)*tblDados[Primeira_Ocorrencia]*((tblDados[GM_V]+tblDados[GS_V])&gt;0.5)))/G94,0))</f>
        <v>0.76923076923076927</v>
      </c>
      <c r="L94" s="11" cm="1">
        <f t="array" ref="L94">IF($A94="","",IFERROR((SUMPRODUCT((TRIM(tblDados[Mandante])=$A94)*tblDados[Primeira_Ocorrencia]*((tblDados[GM_M]+tblDados[GS_M])&gt;1.5))+SUMPRODUCT((TRIM(tblDados[Visitante])=$A94)*tblDados[Primeira_Ocorrencia]*((tblDados[GM_V]+tblDados[GS_V])&gt;1.5)))/G94,0))</f>
        <v>0.61538461538461542</v>
      </c>
      <c r="M94" s="11" cm="1">
        <f t="array" ref="M94">IF($A94="","",IFERROR((SUMPRODUCT((TRIM(tblDados[Mandante])=$A94)*tblDados[Primeira_Ocorrencia]*((tblDados[GM_M]+tblDados[GS_M])&gt;2.5))+SUMPRODUCT((TRIM(tblDados[Visitante])=$A94)*tblDados[Primeira_Ocorrencia]*((tblDados[GM_V]+tblDados[GS_V])&gt;2.5)))/G94,0))</f>
        <v>0.46153846153846156</v>
      </c>
      <c r="N94" s="11" cm="1">
        <f t="array" ref="N94">IF($A94="","",IFERROR((SUMPRODUCT((TRIM(tblDados[Mandante])=$A94)*tblDados[Primeira_Ocorrencia]*((tblDados[GM_M]+tblDados[GS_M])&gt;3.5))+SUMPRODUCT((TRIM(tblDados[Visitante])=$A94)*tblDados[Primeira_Ocorrencia]*((tblDados[GM_V]+tblDados[GS_V])&gt;3.5)))/G94,0))</f>
        <v>0.30769230769230771</v>
      </c>
      <c r="O94" s="11" cm="1">
        <f t="array" ref="O94">IF($A94="","",IFERROR((SUMPRODUCT((TRIM(tblDados[Mandante])=$A94)*tblDados[Primeira_Ocorrencia]*(tblDados[GM_M]&gt;0)*(tblDados[GS_M]&gt;0))+SUMPRODUCT((TRIM(tblDados[Visitante])=$A94)*tblDados[Primeira_Ocorrencia]*(tblDados[GM_V]&gt;0)*(tblDados[GS_V]&gt;0)))/G94,0))</f>
        <v>0.53846153846153844</v>
      </c>
      <c r="P94" s="10" cm="1">
        <f t="array" ref="P94">IF($A94="","",IFERROR((SUMPRODUCT((TRIM(tblDados[Mandante])=$A94)*tblDados[Primeira_Ocorrencia]*tblDados[GM_M]^2)+SUMPRODUCT((TRIM(tblDados[Visitante])=$A94)*tblDados[Primeira_Ocorrencia]*tblDados[GM_V]^2))/G94-H94^2,0))</f>
        <v>1.3136094674556216</v>
      </c>
      <c r="Q94" s="10">
        <f t="shared" si="22"/>
        <v>1.1461280327501031</v>
      </c>
      <c r="R94" s="8" t="str">
        <f t="shared" si="23"/>
        <v>Poisson</v>
      </c>
      <c r="S94" s="10" cm="1">
        <f t="array" ref="S94">IF($A94="","",SUMPRODUCT((TRIM(tblDados[Mandante])=$A94)*tblDados[Primeira_Ocorrencia]*tblDados[GM_M]))</f>
        <v>9</v>
      </c>
      <c r="T94" s="10" cm="1">
        <f t="array" ref="T94">IF($A94="","",SUMPRODUCT((TRIM(tblDados[Visitante])=$A94)*tblDados[Primeira_Ocorrencia]*tblDados[GM_V]))</f>
        <v>9</v>
      </c>
      <c r="U94" s="10">
        <f t="shared" si="24"/>
        <v>18</v>
      </c>
      <c r="V94" s="10">
        <f t="shared" si="13"/>
        <v>1.3846153846153846</v>
      </c>
      <c r="W94" s="10" cm="1">
        <f t="array" ref="W94">IF($A94="","",SUMPRODUCT((TRIM(tblDados[Mandante])=$A94)*tblDados[Primeira_Ocorrencia]*tblDados[GS_M]))</f>
        <v>8</v>
      </c>
      <c r="X94" s="10" cm="1">
        <f t="array" ref="X94">IF($A94="","",SUMPRODUCT((TRIM(tblDados[Visitante])=$A94)*tblDados[Primeira_Ocorrencia]*tblDados[GS_V]))</f>
        <v>7</v>
      </c>
      <c r="Y94" s="10">
        <f t="shared" si="25"/>
        <v>15</v>
      </c>
      <c r="Z94" s="10">
        <f t="shared" si="14"/>
        <v>1.1538461538461537</v>
      </c>
      <c r="AA94" s="10">
        <f t="shared" si="15"/>
        <v>1.2857142857142858</v>
      </c>
      <c r="AB94" s="10">
        <f t="shared" si="16"/>
        <v>1.1428571428571428</v>
      </c>
      <c r="AC94" s="10">
        <f t="shared" si="17"/>
        <v>1.5</v>
      </c>
      <c r="AD94" s="10">
        <f t="shared" si="18"/>
        <v>1.1666666666666667</v>
      </c>
    </row>
    <row r="95" spans="1:30" x14ac:dyDescent="0.3">
      <c r="A95" s="7" t="str">
        <v>IK Start</v>
      </c>
      <c r="B95" s="12" t="str" cm="1">
        <f t="array" ref="B95">IF($A95="","",_xlfn.LET(_xlpm.p,IFERROR(INDEX(tblDados[País],MATCH($A95,TRIM(tblDados[Mandante]),0)),INDEX(tblDados[País],MATCH($A95,TRIM(tblDados[Visitante]),0))),_xlpm.l,IFERROR(INDEX(tblDados[Liga],MATCH($A95,TRIM(tblDados[Mandante]),0)),INDEX(tblDados[Liga],MATCH($A95,TRIM(tblDados[Visitante]),0))),_xlpm.p&amp;" - "&amp;_xlpm.l))</f>
        <v>NOR - Eliteserien</v>
      </c>
      <c r="C95" s="10">
        <f t="shared" si="19"/>
        <v>2.5714285714285716</v>
      </c>
      <c r="D95" s="10">
        <f t="shared" si="20"/>
        <v>4.333333333333333</v>
      </c>
      <c r="E95" s="9" cm="1">
        <f t="array" ref="E95">IF($A95="","",SUMPRODUCT((TRIM(tblDados[Mandante])=$A95)*tblDados[Primeira_Ocorrencia]))</f>
        <v>7</v>
      </c>
      <c r="F95" s="9" cm="1">
        <f t="array" ref="F95">IF($A95="","",SUMPRODUCT((TRIM(tblDados[Visitante])=$A95)*tblDados[Primeira_Ocorrencia]))</f>
        <v>6</v>
      </c>
      <c r="G95" s="9" cm="1">
        <f t="array" ref="G95">IF($A95="","",SUMPRODUCT((TRIM(tblDados[Mandante])=$A95)*tblDados[Primeira_Ocorrencia])+SUMPRODUCT((TRIM(tblDados[Visitante])=$A95)*tblDados[Primeira_Ocorrencia]))</f>
        <v>13</v>
      </c>
      <c r="H95" s="10">
        <f t="shared" si="21"/>
        <v>1</v>
      </c>
      <c r="I95" s="10" cm="1">
        <f t="array" ref="I95">IF($A95="","",_xlfn.LET(_xlpm.p,IFERROR(INDEX(tblDados[País],MATCH($A95,TRIM(tblDados[Mandante]),0)),INDEX(tblDados[País],MATCH($A95,TRIM(tblDados[Visitante]),0))),_xlpm.l,IFERROR(INDEX(tblDados[Liga],MATCH($A95,TRIM(tblDados[Mandante]),0)),INDEX(tblDados[Liga],MATCH($A95,TRIM(tblDados[Visitante]),0))),IFERROR(SUMIFS(Ligas!$D$2:$D$39,Ligas!$H$2:$H$39,_xlpm.p,Ligas!$I$2:$I$39,_xlpm.l),0)))</f>
        <v>2.5</v>
      </c>
      <c r="J95" s="11" cm="1">
        <f t="array" ref="J95">IF($A95="","",IFERROR((SUMPRODUCT((TRIM(tblDados[Mandante])=$A95)*tblDados[Primeira_Ocorrencia]*(tblDados[GM_M]=0))+SUMPRODUCT((TRIM(tblDados[Visitante])=$A95)*tblDados[Primeira_Ocorrencia]*(tblDados[GM_V]=0)))/G95,0))</f>
        <v>0.30769230769230771</v>
      </c>
      <c r="K95" s="11" cm="1">
        <f t="array" ref="K95">IF($A95="","",IFERROR((SUMPRODUCT((TRIM(tblDados[Mandante])=$A95)*tblDados[Primeira_Ocorrencia]*((tblDados[GM_M]+tblDados[GS_M])&gt;0.5))+SUMPRODUCT((TRIM(tblDados[Visitante])=$A95)*tblDados[Primeira_Ocorrencia]*((tblDados[GM_V]+tblDados[GS_V])&gt;0.5)))/G95,0))</f>
        <v>1</v>
      </c>
      <c r="L95" s="11" cm="1">
        <f t="array" ref="L95">IF($A95="","",IFERROR((SUMPRODUCT((TRIM(tblDados[Mandante])=$A95)*tblDados[Primeira_Ocorrencia]*((tblDados[GM_M]+tblDados[GS_M])&gt;1.5))+SUMPRODUCT((TRIM(tblDados[Visitante])=$A95)*tblDados[Primeira_Ocorrencia]*((tblDados[GM_V]+tblDados[GS_V])&gt;1.5)))/G95,0))</f>
        <v>0.92307692307692313</v>
      </c>
      <c r="M95" s="11" cm="1">
        <f t="array" ref="M95">IF($A95="","",IFERROR((SUMPRODUCT((TRIM(tblDados[Mandante])=$A95)*tblDados[Primeira_Ocorrencia]*((tblDados[GM_M]+tblDados[GS_M])&gt;2.5))+SUMPRODUCT((TRIM(tblDados[Visitante])=$A95)*tblDados[Primeira_Ocorrencia]*((tblDados[GM_V]+tblDados[GS_V])&gt;2.5)))/G95,0))</f>
        <v>0.69230769230769229</v>
      </c>
      <c r="N95" s="11" cm="1">
        <f t="array" ref="N95">IF($A95="","",IFERROR((SUMPRODUCT((TRIM(tblDados[Mandante])=$A95)*tblDados[Primeira_Ocorrencia]*((tblDados[GM_M]+tblDados[GS_M])&gt;3.5))+SUMPRODUCT((TRIM(tblDados[Visitante])=$A95)*tblDados[Primeira_Ocorrencia]*((tblDados[GM_V]+tblDados[GS_V])&gt;3.5)))/G95,0))</f>
        <v>0.23076923076923078</v>
      </c>
      <c r="O95" s="11" cm="1">
        <f t="array" ref="O95">IF($A95="","",IFERROR((SUMPRODUCT((TRIM(tblDados[Mandante])=$A95)*tblDados[Primeira_Ocorrencia]*(tblDados[GM_M]&gt;0)*(tblDados[GS_M]&gt;0))+SUMPRODUCT((TRIM(tblDados[Visitante])=$A95)*tblDados[Primeira_Ocorrencia]*(tblDados[GM_V]&gt;0)*(tblDados[GS_V]&gt;0)))/G95,0))</f>
        <v>0.61538461538461542</v>
      </c>
      <c r="P95" s="10" cm="1">
        <f t="array" ref="P95">IF($A95="","",IFERROR((SUMPRODUCT((TRIM(tblDados[Mandante])=$A95)*tblDados[Primeira_Ocorrencia]*tblDados[GM_M]^2)+SUMPRODUCT((TRIM(tblDados[Visitante])=$A95)*tblDados[Primeira_Ocorrencia]*tblDados[GM_V]^2))/G95-H95^2,0))</f>
        <v>0.76923076923076916</v>
      </c>
      <c r="Q95" s="10">
        <f t="shared" si="22"/>
        <v>0.8770580193070292</v>
      </c>
      <c r="R95" s="8" t="str">
        <f t="shared" si="23"/>
        <v>Poisson</v>
      </c>
      <c r="S95" s="10" cm="1">
        <f t="array" ref="S95">IF($A95="","",SUMPRODUCT((TRIM(tblDados[Mandante])=$A95)*tblDados[Primeira_Ocorrencia]*tblDados[GM_M]))</f>
        <v>5</v>
      </c>
      <c r="T95" s="10" cm="1">
        <f t="array" ref="T95">IF($A95="","",SUMPRODUCT((TRIM(tblDados[Visitante])=$A95)*tblDados[Primeira_Ocorrencia]*tblDados[GM_V]))</f>
        <v>8</v>
      </c>
      <c r="U95" s="10">
        <f t="shared" si="24"/>
        <v>13</v>
      </c>
      <c r="V95" s="10">
        <f t="shared" si="13"/>
        <v>1</v>
      </c>
      <c r="W95" s="10" cm="1">
        <f t="array" ref="W95">IF($A95="","",SUMPRODUCT((TRIM(tblDados[Mandante])=$A95)*tblDados[Primeira_Ocorrencia]*tblDados[GS_M]))</f>
        <v>13</v>
      </c>
      <c r="X95" s="10" cm="1">
        <f t="array" ref="X95">IF($A95="","",SUMPRODUCT((TRIM(tblDados[Visitante])=$A95)*tblDados[Primeira_Ocorrencia]*tblDados[GS_V]))</f>
        <v>18</v>
      </c>
      <c r="Y95" s="10">
        <f t="shared" si="25"/>
        <v>31</v>
      </c>
      <c r="Z95" s="10">
        <f t="shared" si="14"/>
        <v>2.3846153846153846</v>
      </c>
      <c r="AA95" s="10">
        <f t="shared" si="15"/>
        <v>0.7142857142857143</v>
      </c>
      <c r="AB95" s="10">
        <f t="shared" si="16"/>
        <v>1.8571428571428572</v>
      </c>
      <c r="AC95" s="10">
        <f t="shared" si="17"/>
        <v>1.3333333333333333</v>
      </c>
      <c r="AD95" s="10">
        <f t="shared" si="18"/>
        <v>3</v>
      </c>
    </row>
    <row r="96" spans="1:30" x14ac:dyDescent="0.3">
      <c r="A96" s="7" t="str">
        <v>Ilves</v>
      </c>
      <c r="B96" s="12" t="str" cm="1">
        <f t="array" ref="B96">IF($A96="","",_xlfn.LET(_xlpm.p,IFERROR(INDEX(tblDados[País],MATCH($A96,TRIM(tblDados[Mandante]),0)),INDEX(tblDados[País],MATCH($A96,TRIM(tblDados[Visitante]),0))),_xlpm.l,IFERROR(INDEX(tblDados[Liga],MATCH($A96,TRIM(tblDados[Mandante]),0)),INDEX(tblDados[Liga],MATCH($A96,TRIM(tblDados[Visitante]),0))),_xlpm.p&amp;" - "&amp;_xlpm.l))</f>
        <v>FIN - Veikkausliiga</v>
      </c>
      <c r="C96" s="10">
        <f t="shared" si="19"/>
        <v>2.5714285714285716</v>
      </c>
      <c r="D96" s="10">
        <f t="shared" si="20"/>
        <v>4</v>
      </c>
      <c r="E96" s="9" cm="1">
        <f t="array" ref="E96">IF($A96="","",SUMPRODUCT((TRIM(tblDados[Mandante])=$A96)*tblDados[Primeira_Ocorrencia]))</f>
        <v>7</v>
      </c>
      <c r="F96" s="9" cm="1">
        <f t="array" ref="F96">IF($A96="","",SUMPRODUCT((TRIM(tblDados[Visitante])=$A96)*tblDados[Primeira_Ocorrencia]))</f>
        <v>6</v>
      </c>
      <c r="G96" s="9" cm="1">
        <f t="array" ref="G96">IF($A96="","",SUMPRODUCT((TRIM(tblDados[Mandante])=$A96)*tblDados[Primeira_Ocorrencia])+SUMPRODUCT((TRIM(tblDados[Visitante])=$A96)*tblDados[Primeira_Ocorrencia]))</f>
        <v>13</v>
      </c>
      <c r="H96" s="10">
        <f t="shared" si="21"/>
        <v>1.6923076923076923</v>
      </c>
      <c r="I96" s="10" cm="1">
        <f t="array" ref="I96">IF($A96="","",_xlfn.LET(_xlpm.p,IFERROR(INDEX(tblDados[País],MATCH($A96,TRIM(tblDados[Mandante]),0)),INDEX(tblDados[País],MATCH($A96,TRIM(tblDados[Visitante]),0))),_xlpm.l,IFERROR(INDEX(tblDados[Liga],MATCH($A96,TRIM(tblDados[Mandante]),0)),INDEX(tblDados[Liga],MATCH($A96,TRIM(tblDados[Visitante]),0))),IFERROR(SUMIFS(Ligas!$D$2:$D$39,Ligas!$H$2:$H$39,_xlpm.p,Ligas!$I$2:$I$39,_xlpm.l),0)))</f>
        <v>2.6</v>
      </c>
      <c r="J96" s="11" cm="1">
        <f t="array" ref="J96">IF($A96="","",IFERROR((SUMPRODUCT((TRIM(tblDados[Mandante])=$A96)*tblDados[Primeira_Ocorrencia]*(tblDados[GM_M]=0))+SUMPRODUCT((TRIM(tblDados[Visitante])=$A96)*tblDados[Primeira_Ocorrencia]*(tblDados[GM_V]=0)))/G96,0))</f>
        <v>0.15384615384615385</v>
      </c>
      <c r="K96" s="11" cm="1">
        <f t="array" ref="K96">IF($A96="","",IFERROR((SUMPRODUCT((TRIM(tblDados[Mandante])=$A96)*tblDados[Primeira_Ocorrencia]*((tblDados[GM_M]+tblDados[GS_M])&gt;0.5))+SUMPRODUCT((TRIM(tblDados[Visitante])=$A96)*tblDados[Primeira_Ocorrencia]*((tblDados[GM_V]+tblDados[GS_V])&gt;0.5)))/G96,0))</f>
        <v>1</v>
      </c>
      <c r="L96" s="11" cm="1">
        <f t="array" ref="L96">IF($A96="","",IFERROR((SUMPRODUCT((TRIM(tblDados[Mandante])=$A96)*tblDados[Primeira_Ocorrencia]*((tblDados[GM_M]+tblDados[GS_M])&gt;1.5))+SUMPRODUCT((TRIM(tblDados[Visitante])=$A96)*tblDados[Primeira_Ocorrencia]*((tblDados[GM_V]+tblDados[GS_V])&gt;1.5)))/G96,0))</f>
        <v>0.69230769230769229</v>
      </c>
      <c r="M96" s="11" cm="1">
        <f t="array" ref="M96">IF($A96="","",IFERROR((SUMPRODUCT((TRIM(tblDados[Mandante])=$A96)*tblDados[Primeira_Ocorrencia]*((tblDados[GM_M]+tblDados[GS_M])&gt;2.5))+SUMPRODUCT((TRIM(tblDados[Visitante])=$A96)*tblDados[Primeira_Ocorrencia]*((tblDados[GM_V]+tblDados[GS_V])&gt;2.5)))/G96,0))</f>
        <v>0.61538461538461542</v>
      </c>
      <c r="N96" s="11" cm="1">
        <f t="array" ref="N96">IF($A96="","",IFERROR((SUMPRODUCT((TRIM(tblDados[Mandante])=$A96)*tblDados[Primeira_Ocorrencia]*((tblDados[GM_M]+tblDados[GS_M])&gt;3.5))+SUMPRODUCT((TRIM(tblDados[Visitante])=$A96)*tblDados[Primeira_Ocorrencia]*((tblDados[GM_V]+tblDados[GS_V])&gt;3.5)))/G96,0))</f>
        <v>0.53846153846153844</v>
      </c>
      <c r="O96" s="11" cm="1">
        <f t="array" ref="O96">IF($A96="","",IFERROR((SUMPRODUCT((TRIM(tblDados[Mandante])=$A96)*tblDados[Primeira_Ocorrencia]*(tblDados[GM_M]&gt;0)*(tblDados[GS_M]&gt;0))+SUMPRODUCT((TRIM(tblDados[Visitante])=$A96)*tblDados[Primeira_Ocorrencia]*(tblDados[GM_V]&gt;0)*(tblDados[GS_V]&gt;0)))/G96,0))</f>
        <v>0.46153846153846156</v>
      </c>
      <c r="P96" s="10" cm="1">
        <f t="array" ref="P96">IF($A96="","",IFERROR((SUMPRODUCT((TRIM(tblDados[Mandante])=$A96)*tblDados[Primeira_Ocorrencia]*tblDados[GM_M]^2)+SUMPRODUCT((TRIM(tblDados[Visitante])=$A96)*tblDados[Primeira_Ocorrencia]*tblDados[GM_V]^2))/G96-H96^2,0))</f>
        <v>1.751479289940828</v>
      </c>
      <c r="Q96" s="10">
        <f t="shared" si="22"/>
        <v>1.3234346564680963</v>
      </c>
      <c r="R96" s="8" t="str">
        <f t="shared" si="23"/>
        <v>Poisson</v>
      </c>
      <c r="S96" s="10" cm="1">
        <f t="array" ref="S96">IF($A96="","",SUMPRODUCT((TRIM(tblDados[Mandante])=$A96)*tblDados[Primeira_Ocorrencia]*tblDados[GM_M]))</f>
        <v>13</v>
      </c>
      <c r="T96" s="10" cm="1">
        <f t="array" ref="T96">IF($A96="","",SUMPRODUCT((TRIM(tblDados[Visitante])=$A96)*tblDados[Primeira_Ocorrencia]*tblDados[GM_V]))</f>
        <v>9</v>
      </c>
      <c r="U96" s="10">
        <f t="shared" si="24"/>
        <v>22</v>
      </c>
      <c r="V96" s="10">
        <f t="shared" si="13"/>
        <v>1.6923076923076923</v>
      </c>
      <c r="W96" s="10" cm="1">
        <f t="array" ref="W96">IF($A96="","",SUMPRODUCT((TRIM(tblDados[Mandante])=$A96)*tblDados[Primeira_Ocorrencia]*tblDados[GS_M]))</f>
        <v>5</v>
      </c>
      <c r="X96" s="10" cm="1">
        <f t="array" ref="X96">IF($A96="","",SUMPRODUCT((TRIM(tblDados[Visitante])=$A96)*tblDados[Primeira_Ocorrencia]*tblDados[GS_V]))</f>
        <v>15</v>
      </c>
      <c r="Y96" s="10">
        <f t="shared" si="25"/>
        <v>20</v>
      </c>
      <c r="Z96" s="10">
        <f t="shared" si="14"/>
        <v>1.5384615384615385</v>
      </c>
      <c r="AA96" s="10">
        <f t="shared" si="15"/>
        <v>1.8571428571428572</v>
      </c>
      <c r="AB96" s="10">
        <f t="shared" si="16"/>
        <v>0.7142857142857143</v>
      </c>
      <c r="AC96" s="10">
        <f t="shared" si="17"/>
        <v>1.5</v>
      </c>
      <c r="AD96" s="10">
        <f t="shared" si="18"/>
        <v>2.5</v>
      </c>
    </row>
    <row r="97" spans="1:30" x14ac:dyDescent="0.3">
      <c r="A97" s="7" t="str">
        <v>Ilves 2</v>
      </c>
      <c r="B97" s="12" t="str" cm="1">
        <f t="array" ref="B97">IF($A97="","",_xlfn.LET(_xlpm.p,IFERROR(INDEX(tblDados[País],MATCH($A97,TRIM(tblDados[Mandante]),0)),INDEX(tblDados[País],MATCH($A97,TRIM(tblDados[Visitante]),0))),_xlpm.l,IFERROR(INDEX(tblDados[Liga],MATCH($A97,TRIM(tblDados[Mandante]),0)),INDEX(tblDados[Liga],MATCH($A97,TRIM(tblDados[Visitante]),0))),_xlpm.p&amp;" - "&amp;_xlpm.l))</f>
        <v>FIN - Kakkonen B</v>
      </c>
      <c r="C97" s="10">
        <f t="shared" si="19"/>
        <v>4.75</v>
      </c>
      <c r="D97" s="10">
        <f t="shared" si="20"/>
        <v>4.8</v>
      </c>
      <c r="E97" s="9" cm="1">
        <f t="array" ref="E97">IF($A97="","",SUMPRODUCT((TRIM(tblDados[Mandante])=$A97)*tblDados[Primeira_Ocorrencia]))</f>
        <v>8</v>
      </c>
      <c r="F97" s="9" cm="1">
        <f t="array" ref="F97">IF($A97="","",SUMPRODUCT((TRIM(tblDados[Visitante])=$A97)*tblDados[Primeira_Ocorrencia]))</f>
        <v>5</v>
      </c>
      <c r="G97" s="9" cm="1">
        <f t="array" ref="G97">IF($A97="","",SUMPRODUCT((TRIM(tblDados[Mandante])=$A97)*tblDados[Primeira_Ocorrencia])+SUMPRODUCT((TRIM(tblDados[Visitante])=$A97)*tblDados[Primeira_Ocorrencia]))</f>
        <v>13</v>
      </c>
      <c r="H97" s="10">
        <f t="shared" si="21"/>
        <v>3.1538461538461537</v>
      </c>
      <c r="I97" s="10" cm="1">
        <f t="array" ref="I97">IF($A97="","",_xlfn.LET(_xlpm.p,IFERROR(INDEX(tblDados[País],MATCH($A97,TRIM(tblDados[Mandante]),0)),INDEX(tblDados[País],MATCH($A97,TRIM(tblDados[Visitante]),0))),_xlpm.l,IFERROR(INDEX(tblDados[Liga],MATCH($A97,TRIM(tblDados[Mandante]),0)),INDEX(tblDados[Liga],MATCH($A97,TRIM(tblDados[Visitante]),0))),IFERROR(SUMIFS(Ligas!$D$2:$D$39,Ligas!$H$2:$H$39,_xlpm.p,Ligas!$I$2:$I$39,_xlpm.l),0)))</f>
        <v>3.56</v>
      </c>
      <c r="J97" s="11" cm="1">
        <f t="array" ref="J97">IF($A97="","",IFERROR((SUMPRODUCT((TRIM(tblDados[Mandante])=$A97)*tblDados[Primeira_Ocorrencia]*(tblDados[GM_M]=0))+SUMPRODUCT((TRIM(tblDados[Visitante])=$A97)*tblDados[Primeira_Ocorrencia]*(tblDados[GM_V]=0)))/G97,0))</f>
        <v>7.6923076923076927E-2</v>
      </c>
      <c r="K97" s="11" cm="1">
        <f t="array" ref="K97">IF($A97="","",IFERROR((SUMPRODUCT((TRIM(tblDados[Mandante])=$A97)*tblDados[Primeira_Ocorrencia]*((tblDados[GM_M]+tblDados[GS_M])&gt;0.5))+SUMPRODUCT((TRIM(tblDados[Visitante])=$A97)*tblDados[Primeira_Ocorrencia]*((tblDados[GM_V]+tblDados[GS_V])&gt;0.5)))/G97,0))</f>
        <v>0.92307692307692313</v>
      </c>
      <c r="L97" s="11" cm="1">
        <f t="array" ref="L97">IF($A97="","",IFERROR((SUMPRODUCT((TRIM(tblDados[Mandante])=$A97)*tblDados[Primeira_Ocorrencia]*((tblDados[GM_M]+tblDados[GS_M])&gt;1.5))+SUMPRODUCT((TRIM(tblDados[Visitante])=$A97)*tblDados[Primeira_Ocorrencia]*((tblDados[GM_V]+tblDados[GS_V])&gt;1.5)))/G97,0))</f>
        <v>0.92307692307692313</v>
      </c>
      <c r="M97" s="11" cm="1">
        <f t="array" ref="M97">IF($A97="","",IFERROR((SUMPRODUCT((TRIM(tblDados[Mandante])=$A97)*tblDados[Primeira_Ocorrencia]*((tblDados[GM_M]+tblDados[GS_M])&gt;2.5))+SUMPRODUCT((TRIM(tblDados[Visitante])=$A97)*tblDados[Primeira_Ocorrencia]*((tblDados[GM_V]+tblDados[GS_V])&gt;2.5)))/G97,0))</f>
        <v>0.84615384615384615</v>
      </c>
      <c r="N97" s="11" cm="1">
        <f t="array" ref="N97">IF($A97="","",IFERROR((SUMPRODUCT((TRIM(tblDados[Mandante])=$A97)*tblDados[Primeira_Ocorrencia]*((tblDados[GM_M]+tblDados[GS_M])&gt;3.5))+SUMPRODUCT((TRIM(tblDados[Visitante])=$A97)*tblDados[Primeira_Ocorrencia]*((tblDados[GM_V]+tblDados[GS_V])&gt;3.5)))/G97,0))</f>
        <v>0.69230769230769229</v>
      </c>
      <c r="O97" s="11" cm="1">
        <f t="array" ref="O97">IF($A97="","",IFERROR((SUMPRODUCT((TRIM(tblDados[Mandante])=$A97)*tblDados[Primeira_Ocorrencia]*(tblDados[GM_M]&gt;0)*(tblDados[GS_M]&gt;0))+SUMPRODUCT((TRIM(tblDados[Visitante])=$A97)*tblDados[Primeira_Ocorrencia]*(tblDados[GM_V]&gt;0)*(tblDados[GS_V]&gt;0)))/G97,0))</f>
        <v>0.84615384615384615</v>
      </c>
      <c r="P97" s="10" cm="1">
        <f t="array" ref="P97">IF($A97="","",IFERROR((SUMPRODUCT((TRIM(tblDados[Mandante])=$A97)*tblDados[Primeira_Ocorrencia]*tblDados[GM_M]^2)+SUMPRODUCT((TRIM(tblDados[Visitante])=$A97)*tblDados[Primeira_Ocorrencia]*tblDados[GM_V]^2))/G97-H97^2,0))</f>
        <v>5.053254437869823</v>
      </c>
      <c r="Q97" s="10">
        <f t="shared" si="22"/>
        <v>2.2479444917234552</v>
      </c>
      <c r="R97" s="8" t="str">
        <f t="shared" si="23"/>
        <v>Poisson</v>
      </c>
      <c r="S97" s="10" cm="1">
        <f t="array" ref="S97">IF($A97="","",SUMPRODUCT((TRIM(tblDados[Mandante])=$A97)*tblDados[Primeira_Ocorrencia]*tblDados[GM_M]))</f>
        <v>26</v>
      </c>
      <c r="T97" s="10" cm="1">
        <f t="array" ref="T97">IF($A97="","",SUMPRODUCT((TRIM(tblDados[Visitante])=$A97)*tblDados[Primeira_Ocorrencia]*tblDados[GM_V]))</f>
        <v>15</v>
      </c>
      <c r="U97" s="10">
        <f t="shared" si="24"/>
        <v>41</v>
      </c>
      <c r="V97" s="10">
        <f t="shared" si="13"/>
        <v>3.1538461538461537</v>
      </c>
      <c r="W97" s="10" cm="1">
        <f t="array" ref="W97">IF($A97="","",SUMPRODUCT((TRIM(tblDados[Mandante])=$A97)*tblDados[Primeira_Ocorrencia]*tblDados[GS_M]))</f>
        <v>12</v>
      </c>
      <c r="X97" s="10" cm="1">
        <f t="array" ref="X97">IF($A97="","",SUMPRODUCT((TRIM(tblDados[Visitante])=$A97)*tblDados[Primeira_Ocorrencia]*tblDados[GS_V]))</f>
        <v>9</v>
      </c>
      <c r="Y97" s="10">
        <f t="shared" si="25"/>
        <v>21</v>
      </c>
      <c r="Z97" s="10">
        <f t="shared" si="14"/>
        <v>1.6153846153846154</v>
      </c>
      <c r="AA97" s="10">
        <f t="shared" si="15"/>
        <v>3.25</v>
      </c>
      <c r="AB97" s="10">
        <f t="shared" si="16"/>
        <v>1.5</v>
      </c>
      <c r="AC97" s="10">
        <f t="shared" si="17"/>
        <v>3</v>
      </c>
      <c r="AD97" s="10">
        <f t="shared" si="18"/>
        <v>1.8</v>
      </c>
    </row>
    <row r="98" spans="1:30" x14ac:dyDescent="0.3">
      <c r="A98" s="7" t="str">
        <v>Independiente del Valle</v>
      </c>
      <c r="B98" s="12" t="str" cm="1">
        <f t="array" ref="B98">IF($A98="","",_xlfn.LET(_xlpm.p,IFERROR(INDEX(tblDados[País],MATCH($A98,TRIM(tblDados[Mandante]),0)),INDEX(tblDados[País],MATCH($A98,TRIM(tblDados[Visitante]),0))),_xlpm.l,IFERROR(INDEX(tblDados[Liga],MATCH($A98,TRIM(tblDados[Mandante]),0)),INDEX(tblDados[Liga],MATCH($A98,TRIM(tblDados[Visitante]),0))),_xlpm.p&amp;" - "&amp;_xlpm.l))</f>
        <v>ECU - LigaPro Serie A</v>
      </c>
      <c r="C98" s="10">
        <f t="shared" si="19"/>
        <v>3.5</v>
      </c>
      <c r="D98" s="10">
        <f t="shared" si="20"/>
        <v>4.1428571428571423</v>
      </c>
      <c r="E98" s="9" cm="1">
        <f t="array" ref="E98">IF($A98="","",SUMPRODUCT((TRIM(tblDados[Mandante])=$A98)*tblDados[Primeira_Ocorrencia]))</f>
        <v>6</v>
      </c>
      <c r="F98" s="9" cm="1">
        <f t="array" ref="F98">IF($A98="","",SUMPRODUCT((TRIM(tblDados[Visitante])=$A98)*tblDados[Primeira_Ocorrencia]))</f>
        <v>7</v>
      </c>
      <c r="G98" s="9" cm="1">
        <f t="array" ref="G98">IF($A98="","",SUMPRODUCT((TRIM(tblDados[Mandante])=$A98)*tblDados[Primeira_Ocorrencia])+SUMPRODUCT((TRIM(tblDados[Visitante])=$A98)*tblDados[Primeira_Ocorrencia]))</f>
        <v>13</v>
      </c>
      <c r="H98" s="10">
        <f t="shared" si="21"/>
        <v>3</v>
      </c>
      <c r="I98" s="10" cm="1">
        <f t="array" ref="I98">IF($A98="","",_xlfn.LET(_xlpm.p,IFERROR(INDEX(tblDados[País],MATCH($A98,TRIM(tblDados[Mandante]),0)),INDEX(tblDados[País],MATCH($A98,TRIM(tblDados[Visitante]),0))),_xlpm.l,IFERROR(INDEX(tblDados[Liga],MATCH($A98,TRIM(tblDados[Mandante]),0)),INDEX(tblDados[Liga],MATCH($A98,TRIM(tblDados[Visitante]),0))),IFERROR(SUMIFS(Ligas!$D$2:$D$39,Ligas!$H$2:$H$39,_xlpm.p,Ligas!$I$2:$I$39,_xlpm.l),0)))</f>
        <v>2.5</v>
      </c>
      <c r="J98" s="11" cm="1">
        <f t="array" ref="J98">IF($A98="","",IFERROR((SUMPRODUCT((TRIM(tblDados[Mandante])=$A98)*tblDados[Primeira_Ocorrencia]*(tblDados[GM_M]=0))+SUMPRODUCT((TRIM(tblDados[Visitante])=$A98)*tblDados[Primeira_Ocorrencia]*(tblDados[GM_V]=0)))/G98,0))</f>
        <v>0</v>
      </c>
      <c r="K98" s="11" cm="1">
        <f t="array" ref="K98">IF($A98="","",IFERROR((SUMPRODUCT((TRIM(tblDados[Mandante])=$A98)*tblDados[Primeira_Ocorrencia]*((tblDados[GM_M]+tblDados[GS_M])&gt;0.5))+SUMPRODUCT((TRIM(tblDados[Visitante])=$A98)*tblDados[Primeira_Ocorrencia]*((tblDados[GM_V]+tblDados[GS_V])&gt;0.5)))/G98,0))</f>
        <v>1</v>
      </c>
      <c r="L98" s="11" cm="1">
        <f t="array" ref="L98">IF($A98="","",IFERROR((SUMPRODUCT((TRIM(tblDados[Mandante])=$A98)*tblDados[Primeira_Ocorrencia]*((tblDados[GM_M]+tblDados[GS_M])&gt;1.5))+SUMPRODUCT((TRIM(tblDados[Visitante])=$A98)*tblDados[Primeira_Ocorrencia]*((tblDados[GM_V]+tblDados[GS_V])&gt;1.5)))/G98,0))</f>
        <v>0.84615384615384615</v>
      </c>
      <c r="M98" s="11" cm="1">
        <f t="array" ref="M98">IF($A98="","",IFERROR((SUMPRODUCT((TRIM(tblDados[Mandante])=$A98)*tblDados[Primeira_Ocorrencia]*((tblDados[GM_M]+tblDados[GS_M])&gt;2.5))+SUMPRODUCT((TRIM(tblDados[Visitante])=$A98)*tblDados[Primeira_Ocorrencia]*((tblDados[GM_V]+tblDados[GS_V])&gt;2.5)))/G98,0))</f>
        <v>0.76923076923076927</v>
      </c>
      <c r="N98" s="11" cm="1">
        <f t="array" ref="N98">IF($A98="","",IFERROR((SUMPRODUCT((TRIM(tblDados[Mandante])=$A98)*tblDados[Primeira_Ocorrencia]*((tblDados[GM_M]+tblDados[GS_M])&gt;3.5))+SUMPRODUCT((TRIM(tblDados[Visitante])=$A98)*tblDados[Primeira_Ocorrencia]*((tblDados[GM_V]+tblDados[GS_V])&gt;3.5)))/G98,0))</f>
        <v>0.53846153846153844</v>
      </c>
      <c r="O98" s="11" cm="1">
        <f t="array" ref="O98">IF($A98="","",IFERROR((SUMPRODUCT((TRIM(tblDados[Mandante])=$A98)*tblDados[Primeira_Ocorrencia]*(tblDados[GM_M]&gt;0)*(tblDados[GS_M]&gt;0))+SUMPRODUCT((TRIM(tblDados[Visitante])=$A98)*tblDados[Primeira_Ocorrencia]*(tblDados[GM_V]&gt;0)*(tblDados[GS_V]&gt;0)))/G98,0))</f>
        <v>0.46153846153846156</v>
      </c>
      <c r="P98" s="10" cm="1">
        <f t="array" ref="P98">IF($A98="","",IFERROR((SUMPRODUCT((TRIM(tblDados[Mandante])=$A98)*tblDados[Primeira_Ocorrencia]*tblDados[GM_M]^2)+SUMPRODUCT((TRIM(tblDados[Visitante])=$A98)*tblDados[Primeira_Ocorrencia]*tblDados[GM_V]^2))/G98-H98^2,0))</f>
        <v>1.6923076923076916</v>
      </c>
      <c r="Q98" s="10">
        <f t="shared" si="22"/>
        <v>1.3008872711759816</v>
      </c>
      <c r="R98" s="8" t="str">
        <f t="shared" si="23"/>
        <v>Poisson</v>
      </c>
      <c r="S98" s="10" cm="1">
        <f t="array" ref="S98">IF($A98="","",SUMPRODUCT((TRIM(tblDados[Mandante])=$A98)*tblDados[Primeira_Ocorrencia]*tblDados[GM_M]))</f>
        <v>17</v>
      </c>
      <c r="T98" s="10" cm="1">
        <f t="array" ref="T98">IF($A98="","",SUMPRODUCT((TRIM(tblDados[Visitante])=$A98)*tblDados[Primeira_Ocorrencia]*tblDados[GM_V]))</f>
        <v>22</v>
      </c>
      <c r="U98" s="10">
        <f t="shared" si="24"/>
        <v>39</v>
      </c>
      <c r="V98" s="10">
        <f t="shared" si="13"/>
        <v>3</v>
      </c>
      <c r="W98" s="10" cm="1">
        <f t="array" ref="W98">IF($A98="","",SUMPRODUCT((TRIM(tblDados[Mandante])=$A98)*tblDados[Primeira_Ocorrencia]*tblDados[GS_M]))</f>
        <v>4</v>
      </c>
      <c r="X98" s="10" cm="1">
        <f t="array" ref="X98">IF($A98="","",SUMPRODUCT((TRIM(tblDados[Visitante])=$A98)*tblDados[Primeira_Ocorrencia]*tblDados[GS_V]))</f>
        <v>7</v>
      </c>
      <c r="Y98" s="10">
        <f t="shared" si="25"/>
        <v>11</v>
      </c>
      <c r="Z98" s="10">
        <f t="shared" si="14"/>
        <v>0.84615384615384615</v>
      </c>
      <c r="AA98" s="10">
        <f t="shared" si="15"/>
        <v>2.8333333333333335</v>
      </c>
      <c r="AB98" s="10">
        <f t="shared" si="16"/>
        <v>0.66666666666666663</v>
      </c>
      <c r="AC98" s="10">
        <f t="shared" si="17"/>
        <v>3.1428571428571428</v>
      </c>
      <c r="AD98" s="10">
        <f t="shared" si="18"/>
        <v>1</v>
      </c>
    </row>
    <row r="99" spans="1:30" x14ac:dyDescent="0.3">
      <c r="A99" s="7" t="str">
        <v>Independiente Petrolero</v>
      </c>
      <c r="B99" s="12" t="str" cm="1">
        <f t="array" ref="B99">IF($A99="","",_xlfn.LET(_xlpm.p,IFERROR(INDEX(tblDados[País],MATCH($A99,TRIM(tblDados[Mandante]),0)),INDEX(tblDados[País],MATCH($A99,TRIM(tblDados[Visitante]),0))),_xlpm.l,IFERROR(INDEX(tblDados[Liga],MATCH($A99,TRIM(tblDados[Mandante]),0)),INDEX(tblDados[Liga],MATCH($A99,TRIM(tblDados[Visitante]),0))),_xlpm.p&amp;" - "&amp;_xlpm.l))</f>
        <v>BOL - Div. Profesional</v>
      </c>
      <c r="C99" s="10">
        <f t="shared" si="19"/>
        <v>2.5714285714285712</v>
      </c>
      <c r="D99" s="10">
        <f t="shared" si="20"/>
        <v>3.5</v>
      </c>
      <c r="E99" s="9" cm="1">
        <f t="array" ref="E99">IF($A99="","",SUMPRODUCT((TRIM(tblDados[Mandante])=$A99)*tblDados[Primeira_Ocorrencia]))</f>
        <v>7</v>
      </c>
      <c r="F99" s="9" cm="1">
        <f t="array" ref="F99">IF($A99="","",SUMPRODUCT((TRIM(tblDados[Visitante])=$A99)*tblDados[Primeira_Ocorrencia]))</f>
        <v>6</v>
      </c>
      <c r="G99" s="9" cm="1">
        <f t="array" ref="G99">IF($A99="","",SUMPRODUCT((TRIM(tblDados[Mandante])=$A99)*tblDados[Primeira_Ocorrencia])+SUMPRODUCT((TRIM(tblDados[Visitante])=$A99)*tblDados[Primeira_Ocorrencia]))</f>
        <v>13</v>
      </c>
      <c r="H99" s="10">
        <f t="shared" si="21"/>
        <v>1.4615384615384615</v>
      </c>
      <c r="I99" s="10" cm="1">
        <f t="array" ref="I99">IF($A99="","",_xlfn.LET(_xlpm.p,IFERROR(INDEX(tblDados[País],MATCH($A99,TRIM(tblDados[Mandante]),0)),INDEX(tblDados[País],MATCH($A99,TRIM(tblDados[Visitante]),0))),_xlpm.l,IFERROR(INDEX(tblDados[Liga],MATCH($A99,TRIM(tblDados[Mandante]),0)),INDEX(tblDados[Liga],MATCH($A99,TRIM(tblDados[Visitante]),0))),IFERROR(SUMIFS(Ligas!$D$2:$D$39,Ligas!$H$2:$H$39,_xlpm.p,Ligas!$I$2:$I$39,_xlpm.l),0)))</f>
        <v>3.62</v>
      </c>
      <c r="J99" s="11" cm="1">
        <f t="array" ref="J99">IF($A99="","",IFERROR((SUMPRODUCT((TRIM(tblDados[Mandante])=$A99)*tblDados[Primeira_Ocorrencia]*(tblDados[GM_M]=0))+SUMPRODUCT((TRIM(tblDados[Visitante])=$A99)*tblDados[Primeira_Ocorrencia]*(tblDados[GM_V]=0)))/G99,0))</f>
        <v>0.15384615384615385</v>
      </c>
      <c r="K99" s="11" cm="1">
        <f t="array" ref="K99">IF($A99="","",IFERROR((SUMPRODUCT((TRIM(tblDados[Mandante])=$A99)*tblDados[Primeira_Ocorrencia]*((tblDados[GM_M]+tblDados[GS_M])&gt;0.5))+SUMPRODUCT((TRIM(tblDados[Visitante])=$A99)*tblDados[Primeira_Ocorrencia]*((tblDados[GM_V]+tblDados[GS_V])&gt;0.5)))/G99,0))</f>
        <v>0.92307692307692313</v>
      </c>
      <c r="L99" s="11" cm="1">
        <f t="array" ref="L99">IF($A99="","",IFERROR((SUMPRODUCT((TRIM(tblDados[Mandante])=$A99)*tblDados[Primeira_Ocorrencia]*((tblDados[GM_M]+tblDados[GS_M])&gt;1.5))+SUMPRODUCT((TRIM(tblDados[Visitante])=$A99)*tblDados[Primeira_Ocorrencia]*((tblDados[GM_V]+tblDados[GS_V])&gt;1.5)))/G99,0))</f>
        <v>0.92307692307692313</v>
      </c>
      <c r="M99" s="11" cm="1">
        <f t="array" ref="M99">IF($A99="","",IFERROR((SUMPRODUCT((TRIM(tblDados[Mandante])=$A99)*tblDados[Primeira_Ocorrencia]*((tblDados[GM_M]+tblDados[GS_M])&gt;2.5))+SUMPRODUCT((TRIM(tblDados[Visitante])=$A99)*tblDados[Primeira_Ocorrencia]*((tblDados[GM_V]+tblDados[GS_V])&gt;2.5)))/G99,0))</f>
        <v>0.84615384615384615</v>
      </c>
      <c r="N99" s="11" cm="1">
        <f t="array" ref="N99">IF($A99="","",IFERROR((SUMPRODUCT((TRIM(tblDados[Mandante])=$A99)*tblDados[Primeira_Ocorrencia]*((tblDados[GM_M]+tblDados[GS_M])&gt;3.5))+SUMPRODUCT((TRIM(tblDados[Visitante])=$A99)*tblDados[Primeira_Ocorrencia]*((tblDados[GM_V]+tblDados[GS_V])&gt;3.5)))/G99,0))</f>
        <v>0.30769230769230771</v>
      </c>
      <c r="O99" s="11" cm="1">
        <f t="array" ref="O99">IF($A99="","",IFERROR((SUMPRODUCT((TRIM(tblDados[Mandante])=$A99)*tblDados[Primeira_Ocorrencia]*(tblDados[GM_M]&gt;0)*(tblDados[GS_M]&gt;0))+SUMPRODUCT((TRIM(tblDados[Visitante])=$A99)*tblDados[Primeira_Ocorrencia]*(tblDados[GM_V]&gt;0)*(tblDados[GS_V]&gt;0)))/G99,0))</f>
        <v>0.76923076923076927</v>
      </c>
      <c r="P99" s="10" cm="1">
        <f t="array" ref="P99">IF($A99="","",IFERROR((SUMPRODUCT((TRIM(tblDados[Mandante])=$A99)*tblDados[Primeira_Ocorrencia]*tblDados[GM_M]^2)+SUMPRODUCT((TRIM(tblDados[Visitante])=$A99)*tblDados[Primeira_Ocorrencia]*tblDados[GM_V]^2))/G99-H99^2,0))</f>
        <v>0.8639053254437874</v>
      </c>
      <c r="Q99" s="10">
        <f t="shared" si="22"/>
        <v>0.92946507489189034</v>
      </c>
      <c r="R99" s="8" t="str">
        <f t="shared" si="23"/>
        <v>Poisson</v>
      </c>
      <c r="S99" s="10" cm="1">
        <f t="array" ref="S99">IF($A99="","",SUMPRODUCT((TRIM(tblDados[Mandante])=$A99)*tblDados[Primeira_Ocorrencia]*tblDados[GM_M]))</f>
        <v>8</v>
      </c>
      <c r="T99" s="10" cm="1">
        <f t="array" ref="T99">IF($A99="","",SUMPRODUCT((TRIM(tblDados[Visitante])=$A99)*tblDados[Primeira_Ocorrencia]*tblDados[GM_V]))</f>
        <v>11</v>
      </c>
      <c r="U99" s="10">
        <f t="shared" si="24"/>
        <v>19</v>
      </c>
      <c r="V99" s="10">
        <f t="shared" si="13"/>
        <v>1.4615384615384615</v>
      </c>
      <c r="W99" s="10" cm="1">
        <f t="array" ref="W99">IF($A99="","",SUMPRODUCT((TRIM(tblDados[Mandante])=$A99)*tblDados[Primeira_Ocorrencia]*tblDados[GS_M]))</f>
        <v>10</v>
      </c>
      <c r="X99" s="10" cm="1">
        <f t="array" ref="X99">IF($A99="","",SUMPRODUCT((TRIM(tblDados[Visitante])=$A99)*tblDados[Primeira_Ocorrencia]*tblDados[GS_V]))</f>
        <v>10</v>
      </c>
      <c r="Y99" s="10">
        <f t="shared" si="25"/>
        <v>20</v>
      </c>
      <c r="Z99" s="10">
        <f t="shared" si="14"/>
        <v>1.5384615384615385</v>
      </c>
      <c r="AA99" s="10">
        <f t="shared" si="15"/>
        <v>1.1428571428571428</v>
      </c>
      <c r="AB99" s="10">
        <f t="shared" si="16"/>
        <v>1.4285714285714286</v>
      </c>
      <c r="AC99" s="10">
        <f t="shared" si="17"/>
        <v>1.8333333333333333</v>
      </c>
      <c r="AD99" s="10">
        <f t="shared" si="18"/>
        <v>1.6666666666666667</v>
      </c>
    </row>
    <row r="100" spans="1:30" x14ac:dyDescent="0.3">
      <c r="A100" s="7" t="str">
        <v>Inter Miami CF</v>
      </c>
      <c r="B100" s="12" t="str" cm="1">
        <f t="array" ref="B100">IF($A100="","",_xlfn.LET(_xlpm.p,IFERROR(INDEX(tblDados[País],MATCH($A100,TRIM(tblDados[Mandante]),0)),INDEX(tblDados[País],MATCH($A100,TRIM(tblDados[Visitante]),0))),_xlpm.l,IFERROR(INDEX(tblDados[Liga],MATCH($A100,TRIM(tblDados[Mandante]),0)),INDEX(tblDados[Liga],MATCH($A100,TRIM(tblDados[Visitante]),0))),_xlpm.p&amp;" - "&amp;_xlpm.l))</f>
        <v>USA - MLS-East</v>
      </c>
      <c r="C100" s="10">
        <f t="shared" si="19"/>
        <v>4.75</v>
      </c>
      <c r="D100" s="10">
        <f t="shared" si="20"/>
        <v>4.4000000000000004</v>
      </c>
      <c r="E100" s="9" cm="1">
        <f t="array" ref="E100">IF($A100="","",SUMPRODUCT((TRIM(tblDados[Mandante])=$A100)*tblDados[Primeira_Ocorrencia]))</f>
        <v>8</v>
      </c>
      <c r="F100" s="9" cm="1">
        <f t="array" ref="F100">IF($A100="","",SUMPRODUCT((TRIM(tblDados[Visitante])=$A100)*tblDados[Primeira_Ocorrencia]))</f>
        <v>5</v>
      </c>
      <c r="G100" s="9" cm="1">
        <f t="array" ref="G100">IF($A100="","",SUMPRODUCT((TRIM(tblDados[Mandante])=$A100)*tblDados[Primeira_Ocorrencia])+SUMPRODUCT((TRIM(tblDados[Visitante])=$A100)*tblDados[Primeira_Ocorrencia]))</f>
        <v>13</v>
      </c>
      <c r="H100" s="10">
        <f t="shared" si="21"/>
        <v>2.7692307692307692</v>
      </c>
      <c r="I100" s="10" cm="1">
        <f t="array" ref="I100">IF($A100="","",_xlfn.LET(_xlpm.p,IFERROR(INDEX(tblDados[País],MATCH($A100,TRIM(tblDados[Mandante]),0)),INDEX(tblDados[País],MATCH($A100,TRIM(tblDados[Visitante]),0))),_xlpm.l,IFERROR(INDEX(tblDados[Liga],MATCH($A100,TRIM(tblDados[Mandante]),0)),INDEX(tblDados[Liga],MATCH($A100,TRIM(tblDados[Visitante]),0))),IFERROR(SUMIFS(Ligas!$D$2:$D$39,Ligas!$H$2:$H$39,_xlpm.p,Ligas!$I$2:$I$39,_xlpm.l),0)))</f>
        <v>3.3</v>
      </c>
      <c r="J100" s="11" cm="1">
        <f t="array" ref="J100">IF($A100="","",IFERROR((SUMPRODUCT((TRIM(tblDados[Mandante])=$A100)*tblDados[Primeira_Ocorrencia]*(tblDados[GM_M]=0))+SUMPRODUCT((TRIM(tblDados[Visitante])=$A100)*tblDados[Primeira_Ocorrencia]*(tblDados[GM_V]=0)))/G100,0))</f>
        <v>0</v>
      </c>
      <c r="K100" s="11" cm="1">
        <f t="array" ref="K100">IF($A100="","",IFERROR((SUMPRODUCT((TRIM(tblDados[Mandante])=$A100)*tblDados[Primeira_Ocorrencia]*((tblDados[GM_M]+tblDados[GS_M])&gt;0.5))+SUMPRODUCT((TRIM(tblDados[Visitante])=$A100)*tblDados[Primeira_Ocorrencia]*((tblDados[GM_V]+tblDados[GS_V])&gt;0.5)))/G100,0))</f>
        <v>1</v>
      </c>
      <c r="L100" s="11" cm="1">
        <f t="array" ref="L100">IF($A100="","",IFERROR((SUMPRODUCT((TRIM(tblDados[Mandante])=$A100)*tblDados[Primeira_Ocorrencia]*((tblDados[GM_M]+tblDados[GS_M])&gt;1.5))+SUMPRODUCT((TRIM(tblDados[Visitante])=$A100)*tblDados[Primeira_Ocorrencia]*((tblDados[GM_V]+tblDados[GS_V])&gt;1.5)))/G100,0))</f>
        <v>0.92307692307692313</v>
      </c>
      <c r="M100" s="11" cm="1">
        <f t="array" ref="M100">IF($A100="","",IFERROR((SUMPRODUCT((TRIM(tblDados[Mandante])=$A100)*tblDados[Primeira_Ocorrencia]*((tblDados[GM_M]+tblDados[GS_M])&gt;2.5))+SUMPRODUCT((TRIM(tblDados[Visitante])=$A100)*tblDados[Primeira_Ocorrencia]*((tblDados[GM_V]+tblDados[GS_V])&gt;2.5)))/G100,0))</f>
        <v>0.69230769230769229</v>
      </c>
      <c r="N100" s="11" cm="1">
        <f t="array" ref="N100">IF($A100="","",IFERROR((SUMPRODUCT((TRIM(tblDados[Mandante])=$A100)*tblDados[Primeira_Ocorrencia]*((tblDados[GM_M]+tblDados[GS_M])&gt;3.5))+SUMPRODUCT((TRIM(tblDados[Visitante])=$A100)*tblDados[Primeira_Ocorrencia]*((tblDados[GM_V]+tblDados[GS_V])&gt;3.5)))/G100,0))</f>
        <v>0.69230769230769229</v>
      </c>
      <c r="O100" s="11" cm="1">
        <f t="array" ref="O100">IF($A100="","",IFERROR((SUMPRODUCT((TRIM(tblDados[Mandante])=$A100)*tblDados[Primeira_Ocorrencia]*(tblDados[GM_M]&gt;0)*(tblDados[GS_M]&gt;0))+SUMPRODUCT((TRIM(tblDados[Visitante])=$A100)*tblDados[Primeira_Ocorrencia]*(tblDados[GM_V]&gt;0)*(tblDados[GS_V]&gt;0)))/G100,0))</f>
        <v>0.76923076923076927</v>
      </c>
      <c r="P100" s="10" cm="1">
        <f t="array" ref="P100">IF($A100="","",IFERROR((SUMPRODUCT((TRIM(tblDados[Mandante])=$A100)*tblDados[Primeira_Ocorrencia]*tblDados[GM_M]^2)+SUMPRODUCT((TRIM(tblDados[Visitante])=$A100)*tblDados[Primeira_Ocorrencia]*tblDados[GM_V]^2))/G100-H100^2,0))</f>
        <v>2.0236686390532546</v>
      </c>
      <c r="Q100" s="10">
        <f t="shared" si="22"/>
        <v>1.4225570776082255</v>
      </c>
      <c r="R100" s="8" t="str">
        <f t="shared" si="23"/>
        <v>Poisson</v>
      </c>
      <c r="S100" s="10" cm="1">
        <f t="array" ref="S100">IF($A100="","",SUMPRODUCT((TRIM(tblDados[Mandante])=$A100)*tblDados[Primeira_Ocorrencia]*tblDados[GM_M]))</f>
        <v>21</v>
      </c>
      <c r="T100" s="10" cm="1">
        <f t="array" ref="T100">IF($A100="","",SUMPRODUCT((TRIM(tblDados[Visitante])=$A100)*tblDados[Primeira_Ocorrencia]*tblDados[GM_V]))</f>
        <v>15</v>
      </c>
      <c r="U100" s="10">
        <f t="shared" si="24"/>
        <v>36</v>
      </c>
      <c r="V100" s="10">
        <f t="shared" si="13"/>
        <v>2.7692307692307692</v>
      </c>
      <c r="W100" s="10" cm="1">
        <f t="array" ref="W100">IF($A100="","",SUMPRODUCT((TRIM(tblDados[Mandante])=$A100)*tblDados[Primeira_Ocorrencia]*tblDados[GS_M]))</f>
        <v>17</v>
      </c>
      <c r="X100" s="10" cm="1">
        <f t="array" ref="X100">IF($A100="","",SUMPRODUCT((TRIM(tblDados[Visitante])=$A100)*tblDados[Primeira_Ocorrencia]*tblDados[GS_V]))</f>
        <v>7</v>
      </c>
      <c r="Y100" s="10">
        <f t="shared" si="25"/>
        <v>24</v>
      </c>
      <c r="Z100" s="10">
        <f t="shared" si="14"/>
        <v>1.8461538461538463</v>
      </c>
      <c r="AA100" s="10">
        <f t="shared" si="15"/>
        <v>2.625</v>
      </c>
      <c r="AB100" s="10">
        <f t="shared" si="16"/>
        <v>2.125</v>
      </c>
      <c r="AC100" s="10">
        <f t="shared" si="17"/>
        <v>3</v>
      </c>
      <c r="AD100" s="10">
        <f t="shared" si="18"/>
        <v>1.4</v>
      </c>
    </row>
    <row r="101" spans="1:30" x14ac:dyDescent="0.3">
      <c r="A101" s="7" t="str">
        <v>Internacional</v>
      </c>
      <c r="B101" s="12" t="str" cm="1">
        <f t="array" ref="B101">IF($A101="","",_xlfn.LET(_xlpm.p,IFERROR(INDEX(tblDados[País],MATCH($A101,TRIM(tblDados[Mandante]),0)),INDEX(tblDados[País],MATCH($A101,TRIM(tblDados[Visitante]),0))),_xlpm.l,IFERROR(INDEX(tblDados[Liga],MATCH($A101,TRIM(tblDados[Mandante]),0)),INDEX(tblDados[Liga],MATCH($A101,TRIM(tblDados[Visitante]),0))),_xlpm.p&amp;" - "&amp;_xlpm.l))</f>
        <v>BRA - Série A</v>
      </c>
      <c r="C101" s="10">
        <f t="shared" si="19"/>
        <v>2.4285714285714288</v>
      </c>
      <c r="D101" s="10">
        <f t="shared" si="20"/>
        <v>2.833333333333333</v>
      </c>
      <c r="E101" s="9" cm="1">
        <f t="array" ref="E101">IF($A101="","",SUMPRODUCT((TRIM(tblDados[Mandante])=$A101)*tblDados[Primeira_Ocorrencia]))</f>
        <v>7</v>
      </c>
      <c r="F101" s="9" cm="1">
        <f t="array" ref="F101">IF($A101="","",SUMPRODUCT((TRIM(tblDados[Visitante])=$A101)*tblDados[Primeira_Ocorrencia]))</f>
        <v>6</v>
      </c>
      <c r="G101" s="9" cm="1">
        <f t="array" ref="G101">IF($A101="","",SUMPRODUCT((TRIM(tblDados[Mandante])=$A101)*tblDados[Primeira_Ocorrencia])+SUMPRODUCT((TRIM(tblDados[Visitante])=$A101)*tblDados[Primeira_Ocorrencia]))</f>
        <v>13</v>
      </c>
      <c r="H101" s="10">
        <f t="shared" si="21"/>
        <v>1.2307692307692308</v>
      </c>
      <c r="I101" s="10" cm="1">
        <f t="array" ref="I101">IF($A101="","",_xlfn.LET(_xlpm.p,IFERROR(INDEX(tblDados[País],MATCH($A101,TRIM(tblDados[Mandante]),0)),INDEX(tblDados[País],MATCH($A101,TRIM(tblDados[Visitante]),0))),_xlpm.l,IFERROR(INDEX(tblDados[Liga],MATCH($A101,TRIM(tblDados[Mandante]),0)),INDEX(tblDados[Liga],MATCH($A101,TRIM(tblDados[Visitante]),0))),IFERROR(SUMIFS(Ligas!$D$2:$D$39,Ligas!$H$2:$H$39,_xlpm.p,Ligas!$I$2:$I$39,_xlpm.l),0)))</f>
        <v>2.59</v>
      </c>
      <c r="J101" s="11" cm="1">
        <f t="array" ref="J101">IF($A101="","",IFERROR((SUMPRODUCT((TRIM(tblDados[Mandante])=$A101)*tblDados[Primeira_Ocorrencia]*(tblDados[GM_M]=0))+SUMPRODUCT((TRIM(tblDados[Visitante])=$A101)*tblDados[Primeira_Ocorrencia]*(tblDados[GM_V]=0)))/G101,0))</f>
        <v>0.23076923076923078</v>
      </c>
      <c r="K101" s="11" cm="1">
        <f t="array" ref="K101">IF($A101="","",IFERROR((SUMPRODUCT((TRIM(tblDados[Mandante])=$A101)*tblDados[Primeira_Ocorrencia]*((tblDados[GM_M]+tblDados[GS_M])&gt;0.5))+SUMPRODUCT((TRIM(tblDados[Visitante])=$A101)*tblDados[Primeira_Ocorrencia]*((tblDados[GM_V]+tblDados[GS_V])&gt;0.5)))/G101,0))</f>
        <v>0.92307692307692313</v>
      </c>
      <c r="L101" s="11" cm="1">
        <f t="array" ref="L101">IF($A101="","",IFERROR((SUMPRODUCT((TRIM(tblDados[Mandante])=$A101)*tblDados[Primeira_Ocorrencia]*((tblDados[GM_M]+tblDados[GS_M])&gt;1.5))+SUMPRODUCT((TRIM(tblDados[Visitante])=$A101)*tblDados[Primeira_Ocorrencia]*((tblDados[GM_V]+tblDados[GS_V])&gt;1.5)))/G101,0))</f>
        <v>0.84615384615384615</v>
      </c>
      <c r="M101" s="11" cm="1">
        <f t="array" ref="M101">IF($A101="","",IFERROR((SUMPRODUCT((TRIM(tblDados[Mandante])=$A101)*tblDados[Primeira_Ocorrencia]*((tblDados[GM_M]+tblDados[GS_M])&gt;2.5))+SUMPRODUCT((TRIM(tblDados[Visitante])=$A101)*tblDados[Primeira_Ocorrencia]*((tblDados[GM_V]+tblDados[GS_V])&gt;2.5)))/G101,0))</f>
        <v>0.46153846153846156</v>
      </c>
      <c r="N101" s="11" cm="1">
        <f t="array" ref="N101">IF($A101="","",IFERROR((SUMPRODUCT((TRIM(tblDados[Mandante])=$A101)*tblDados[Primeira_Ocorrencia]*((tblDados[GM_M]+tblDados[GS_M])&gt;3.5))+SUMPRODUCT((TRIM(tblDados[Visitante])=$A101)*tblDados[Primeira_Ocorrencia]*((tblDados[GM_V]+tblDados[GS_V])&gt;3.5)))/G101,0))</f>
        <v>0.30769230769230771</v>
      </c>
      <c r="O101" s="11" cm="1">
        <f t="array" ref="O101">IF($A101="","",IFERROR((SUMPRODUCT((TRIM(tblDados[Mandante])=$A101)*tblDados[Primeira_Ocorrencia]*(tblDados[GM_M]&gt;0)*(tblDados[GS_M]&gt;0))+SUMPRODUCT((TRIM(tblDados[Visitante])=$A101)*tblDados[Primeira_Ocorrencia]*(tblDados[GM_V]&gt;0)*(tblDados[GS_V]&gt;0)))/G101,0))</f>
        <v>0.61538461538461542</v>
      </c>
      <c r="P101" s="10" cm="1">
        <f t="array" ref="P101">IF($A101="","",IFERROR((SUMPRODUCT((TRIM(tblDados[Mandante])=$A101)*tblDados[Primeira_Ocorrencia]*tblDados[GM_M]^2)+SUMPRODUCT((TRIM(tblDados[Visitante])=$A101)*tblDados[Primeira_Ocorrencia]*tblDados[GM_V]^2))/G101-H101^2,0))</f>
        <v>1.1005917159763312</v>
      </c>
      <c r="Q101" s="10">
        <f t="shared" si="22"/>
        <v>1.0490908997681427</v>
      </c>
      <c r="R101" s="8" t="str">
        <f t="shared" si="23"/>
        <v>Poisson</v>
      </c>
      <c r="S101" s="10" cm="1">
        <f t="array" ref="S101">IF($A101="","",SUMPRODUCT((TRIM(tblDados[Mandante])=$A101)*tblDados[Primeira_Ocorrencia]*tblDados[GM_M]))</f>
        <v>10</v>
      </c>
      <c r="T101" s="10" cm="1">
        <f t="array" ref="T101">IF($A101="","",SUMPRODUCT((TRIM(tblDados[Visitante])=$A101)*tblDados[Primeira_Ocorrencia]*tblDados[GM_V]))</f>
        <v>6</v>
      </c>
      <c r="U101" s="10">
        <f t="shared" si="24"/>
        <v>16</v>
      </c>
      <c r="V101" s="10">
        <f t="shared" si="13"/>
        <v>1.2307692307692308</v>
      </c>
      <c r="W101" s="10" cm="1">
        <f t="array" ref="W101">IF($A101="","",SUMPRODUCT((TRIM(tblDados[Mandante])=$A101)*tblDados[Primeira_Ocorrencia]*tblDados[GS_M]))</f>
        <v>7</v>
      </c>
      <c r="X101" s="10" cm="1">
        <f t="array" ref="X101">IF($A101="","",SUMPRODUCT((TRIM(tblDados[Visitante])=$A101)*tblDados[Primeira_Ocorrencia]*tblDados[GS_V]))</f>
        <v>11</v>
      </c>
      <c r="Y101" s="10">
        <f t="shared" si="25"/>
        <v>18</v>
      </c>
      <c r="Z101" s="10">
        <f t="shared" si="14"/>
        <v>1.3846153846153846</v>
      </c>
      <c r="AA101" s="10">
        <f t="shared" si="15"/>
        <v>1.4285714285714286</v>
      </c>
      <c r="AB101" s="10">
        <f t="shared" si="16"/>
        <v>1</v>
      </c>
      <c r="AC101" s="10">
        <f t="shared" si="17"/>
        <v>1</v>
      </c>
      <c r="AD101" s="10">
        <f t="shared" si="18"/>
        <v>1.8333333333333333</v>
      </c>
    </row>
    <row r="102" spans="1:30" x14ac:dyDescent="0.3">
      <c r="A102" s="7" t="str">
        <v>JäPS</v>
      </c>
      <c r="B102" s="12" t="str" cm="1">
        <f t="array" ref="B102">IF($A102="","",_xlfn.LET(_xlpm.p,IFERROR(INDEX(tblDados[País],MATCH($A102,TRIM(tblDados[Mandante]),0)),INDEX(tblDados[País],MATCH($A102,TRIM(tblDados[Visitante]),0))),_xlpm.l,IFERROR(INDEX(tblDados[Liga],MATCH($A102,TRIM(tblDados[Mandante]),0)),INDEX(tblDados[Liga],MATCH($A102,TRIM(tblDados[Visitante]),0))),_xlpm.p&amp;" - "&amp;_xlpm.l))</f>
        <v>FIN - Ykkösliiga</v>
      </c>
      <c r="C102" s="10">
        <f t="shared" si="19"/>
        <v>1.8571428571428572</v>
      </c>
      <c r="D102" s="10">
        <f t="shared" si="20"/>
        <v>2.833333333333333</v>
      </c>
      <c r="E102" s="9" cm="1">
        <f t="array" ref="E102">IF($A102="","",SUMPRODUCT((TRIM(tblDados[Mandante])=$A102)*tblDados[Primeira_Ocorrencia]))</f>
        <v>7</v>
      </c>
      <c r="F102" s="9" cm="1">
        <f t="array" ref="F102">IF($A102="","",SUMPRODUCT((TRIM(tblDados[Visitante])=$A102)*tblDados[Primeira_Ocorrencia]))</f>
        <v>6</v>
      </c>
      <c r="G102" s="9" cm="1">
        <f t="array" ref="G102">IF($A102="","",SUMPRODUCT((TRIM(tblDados[Mandante])=$A102)*tblDados[Primeira_Ocorrencia])+SUMPRODUCT((TRIM(tblDados[Visitante])=$A102)*tblDados[Primeira_Ocorrencia]))</f>
        <v>13</v>
      </c>
      <c r="H102" s="10">
        <f t="shared" si="21"/>
        <v>0.84615384615384615</v>
      </c>
      <c r="I102" s="10" cm="1">
        <f t="array" ref="I102">IF($A102="","",_xlfn.LET(_xlpm.p,IFERROR(INDEX(tblDados[País],MATCH($A102,TRIM(tblDados[Mandante]),0)),INDEX(tblDados[País],MATCH($A102,TRIM(tblDados[Visitante]),0))),_xlpm.l,IFERROR(INDEX(tblDados[Liga],MATCH($A102,TRIM(tblDados[Mandante]),0)),INDEX(tblDados[Liga],MATCH($A102,TRIM(tblDados[Visitante]),0))),IFERROR(SUMIFS(Ligas!$D$2:$D$39,Ligas!$H$2:$H$39,_xlpm.p,Ligas!$I$2:$I$39,_xlpm.l),0)))</f>
        <v>2.5099999999999998</v>
      </c>
      <c r="J102" s="11" cm="1">
        <f t="array" ref="J102">IF($A102="","",IFERROR((SUMPRODUCT((TRIM(tblDados[Mandante])=$A102)*tblDados[Primeira_Ocorrencia]*(tblDados[GM_M]=0))+SUMPRODUCT((TRIM(tblDados[Visitante])=$A102)*tblDados[Primeira_Ocorrencia]*(tblDados[GM_V]=0)))/G102,0))</f>
        <v>0.30769230769230771</v>
      </c>
      <c r="K102" s="11" cm="1">
        <f t="array" ref="K102">IF($A102="","",IFERROR((SUMPRODUCT((TRIM(tblDados[Mandante])=$A102)*tblDados[Primeira_Ocorrencia]*((tblDados[GM_M]+tblDados[GS_M])&gt;0.5))+SUMPRODUCT((TRIM(tblDados[Visitante])=$A102)*tblDados[Primeira_Ocorrencia]*((tblDados[GM_V]+tblDados[GS_V])&gt;0.5)))/G102,0))</f>
        <v>1</v>
      </c>
      <c r="L102" s="11" cm="1">
        <f t="array" ref="L102">IF($A102="","",IFERROR((SUMPRODUCT((TRIM(tblDados[Mandante])=$A102)*tblDados[Primeira_Ocorrencia]*((tblDados[GM_M]+tblDados[GS_M])&gt;1.5))+SUMPRODUCT((TRIM(tblDados[Visitante])=$A102)*tblDados[Primeira_Ocorrencia]*((tblDados[GM_V]+tblDados[GS_V])&gt;1.5)))/G102,0))</f>
        <v>0.53846153846153844</v>
      </c>
      <c r="M102" s="11" cm="1">
        <f t="array" ref="M102">IF($A102="","",IFERROR((SUMPRODUCT((TRIM(tblDados[Mandante])=$A102)*tblDados[Primeira_Ocorrencia]*((tblDados[GM_M]+tblDados[GS_M])&gt;2.5))+SUMPRODUCT((TRIM(tblDados[Visitante])=$A102)*tblDados[Primeira_Ocorrencia]*((tblDados[GM_V]+tblDados[GS_V])&gt;2.5)))/G102,0))</f>
        <v>0.38461538461538464</v>
      </c>
      <c r="N102" s="11" cm="1">
        <f t="array" ref="N102">IF($A102="","",IFERROR((SUMPRODUCT((TRIM(tblDados[Mandante])=$A102)*tblDados[Primeira_Ocorrencia]*((tblDados[GM_M]+tblDados[GS_M])&gt;3.5))+SUMPRODUCT((TRIM(tblDados[Visitante])=$A102)*tblDados[Primeira_Ocorrencia]*((tblDados[GM_V]+tblDados[GS_V])&gt;3.5)))/G102,0))</f>
        <v>0.23076923076923078</v>
      </c>
      <c r="O102" s="11" cm="1">
        <f t="array" ref="O102">IF($A102="","",IFERROR((SUMPRODUCT((TRIM(tblDados[Mandante])=$A102)*tblDados[Primeira_Ocorrencia]*(tblDados[GM_M]&gt;0)*(tblDados[GS_M]&gt;0))+SUMPRODUCT((TRIM(tblDados[Visitante])=$A102)*tblDados[Primeira_Ocorrencia]*(tblDados[GM_V]&gt;0)*(tblDados[GS_V]&gt;0)))/G102,0))</f>
        <v>0.30769230769230771</v>
      </c>
      <c r="P102" s="10" cm="1">
        <f t="array" ref="P102">IF($A102="","",IFERROR((SUMPRODUCT((TRIM(tblDados[Mandante])=$A102)*tblDados[Primeira_Ocorrencia]*tblDados[GM_M]^2)+SUMPRODUCT((TRIM(tblDados[Visitante])=$A102)*tblDados[Primeira_Ocorrencia]*tblDados[GM_V]^2))/G102-H102^2,0))</f>
        <v>0.43786982248520701</v>
      </c>
      <c r="Q102" s="10">
        <f t="shared" si="22"/>
        <v>0.66171732823404816</v>
      </c>
      <c r="R102" s="8" t="str">
        <f t="shared" si="23"/>
        <v>Poisson</v>
      </c>
      <c r="S102" s="10" cm="1">
        <f t="array" ref="S102">IF($A102="","",SUMPRODUCT((TRIM(tblDados[Mandante])=$A102)*tblDados[Primeira_Ocorrencia]*tblDados[GM_M]))</f>
        <v>5</v>
      </c>
      <c r="T102" s="10" cm="1">
        <f t="array" ref="T102">IF($A102="","",SUMPRODUCT((TRIM(tblDados[Visitante])=$A102)*tblDados[Primeira_Ocorrencia]*tblDados[GM_V]))</f>
        <v>6</v>
      </c>
      <c r="U102" s="10">
        <f t="shared" si="24"/>
        <v>11</v>
      </c>
      <c r="V102" s="10">
        <f t="shared" si="13"/>
        <v>0.84615384615384615</v>
      </c>
      <c r="W102" s="10" cm="1">
        <f t="array" ref="W102">IF($A102="","",SUMPRODUCT((TRIM(tblDados[Mandante])=$A102)*tblDados[Primeira_Ocorrencia]*tblDados[GS_M]))</f>
        <v>8</v>
      </c>
      <c r="X102" s="10" cm="1">
        <f t="array" ref="X102">IF($A102="","",SUMPRODUCT((TRIM(tblDados[Visitante])=$A102)*tblDados[Primeira_Ocorrencia]*tblDados[GS_V]))</f>
        <v>11</v>
      </c>
      <c r="Y102" s="10">
        <f t="shared" si="25"/>
        <v>19</v>
      </c>
      <c r="Z102" s="10">
        <f t="shared" si="14"/>
        <v>1.4615384615384615</v>
      </c>
      <c r="AA102" s="10">
        <f t="shared" si="15"/>
        <v>0.7142857142857143</v>
      </c>
      <c r="AB102" s="10">
        <f t="shared" si="16"/>
        <v>1.1428571428571428</v>
      </c>
      <c r="AC102" s="10">
        <f t="shared" si="17"/>
        <v>1</v>
      </c>
      <c r="AD102" s="10">
        <f t="shared" si="18"/>
        <v>1.8333333333333333</v>
      </c>
    </row>
    <row r="103" spans="1:30" x14ac:dyDescent="0.3">
      <c r="A103" s="7" t="str">
        <v>Jaro 2</v>
      </c>
      <c r="B103" s="12" t="str" cm="1">
        <f t="array" ref="B103">IF($A103="","",_xlfn.LET(_xlpm.p,IFERROR(INDEX(tblDados[País],MATCH($A103,TRIM(tblDados[Mandante]),0)),INDEX(tblDados[País],MATCH($A103,TRIM(tblDados[Visitante]),0))),_xlpm.l,IFERROR(INDEX(tblDados[Liga],MATCH($A103,TRIM(tblDados[Mandante]),0)),INDEX(tblDados[Liga],MATCH($A103,TRIM(tblDados[Visitante]),0))),_xlpm.p&amp;" - "&amp;_xlpm.l))</f>
        <v>FIN - Kakkonen C</v>
      </c>
      <c r="C103" s="10">
        <f t="shared" si="19"/>
        <v>4.2857142857142856</v>
      </c>
      <c r="D103" s="10">
        <f t="shared" si="20"/>
        <v>5.666666666666667</v>
      </c>
      <c r="E103" s="9" cm="1">
        <f t="array" ref="E103">IF($A103="","",SUMPRODUCT((TRIM(tblDados[Mandante])=$A103)*tblDados[Primeira_Ocorrencia]))</f>
        <v>7</v>
      </c>
      <c r="F103" s="9" cm="1">
        <f t="array" ref="F103">IF($A103="","",SUMPRODUCT((TRIM(tblDados[Visitante])=$A103)*tblDados[Primeira_Ocorrencia]))</f>
        <v>6</v>
      </c>
      <c r="G103" s="9" cm="1">
        <f t="array" ref="G103">IF($A103="","",SUMPRODUCT((TRIM(tblDados[Mandante])=$A103)*tblDados[Primeira_Ocorrencia])+SUMPRODUCT((TRIM(tblDados[Visitante])=$A103)*tblDados[Primeira_Ocorrencia]))</f>
        <v>13</v>
      </c>
      <c r="H103" s="10">
        <f t="shared" si="21"/>
        <v>1.6923076923076923</v>
      </c>
      <c r="I103" s="10" cm="1">
        <f t="array" ref="I103">IF($A103="","",_xlfn.LET(_xlpm.p,IFERROR(INDEX(tblDados[País],MATCH($A103,TRIM(tblDados[Mandante]),0)),INDEX(tblDados[País],MATCH($A103,TRIM(tblDados[Visitante]),0))),_xlpm.l,IFERROR(INDEX(tblDados[Liga],MATCH($A103,TRIM(tblDados[Mandante]),0)),INDEX(tblDados[Liga],MATCH($A103,TRIM(tblDados[Visitante]),0))),IFERROR(SUMIFS(Ligas!$D$2:$D$39,Ligas!$H$2:$H$39,_xlpm.p,Ligas!$I$2:$I$39,_xlpm.l),0)))</f>
        <v>4.32</v>
      </c>
      <c r="J103" s="11" cm="1">
        <f t="array" ref="J103">IF($A103="","",IFERROR((SUMPRODUCT((TRIM(tblDados[Mandante])=$A103)*tblDados[Primeira_Ocorrencia]*(tblDados[GM_M]=0))+SUMPRODUCT((TRIM(tblDados[Visitante])=$A103)*tblDados[Primeira_Ocorrencia]*(tblDados[GM_V]=0)))/G103,0))</f>
        <v>0.15384615384615385</v>
      </c>
      <c r="K103" s="11" cm="1">
        <f t="array" ref="K103">IF($A103="","",IFERROR((SUMPRODUCT((TRIM(tblDados[Mandante])=$A103)*tblDados[Primeira_Ocorrencia]*((tblDados[GM_M]+tblDados[GS_M])&gt;0.5))+SUMPRODUCT((TRIM(tblDados[Visitante])=$A103)*tblDados[Primeira_Ocorrencia]*((tblDados[GM_V]+tblDados[GS_V])&gt;0.5)))/G103,0))</f>
        <v>1</v>
      </c>
      <c r="L103" s="11" cm="1">
        <f t="array" ref="L103">IF($A103="","",IFERROR((SUMPRODUCT((TRIM(tblDados[Mandante])=$A103)*tblDados[Primeira_Ocorrencia]*((tblDados[GM_M]+tblDados[GS_M])&gt;1.5))+SUMPRODUCT((TRIM(tblDados[Visitante])=$A103)*tblDados[Primeira_Ocorrencia]*((tblDados[GM_V]+tblDados[GS_V])&gt;1.5)))/G103,0))</f>
        <v>1</v>
      </c>
      <c r="M103" s="11" cm="1">
        <f t="array" ref="M103">IF($A103="","",IFERROR((SUMPRODUCT((TRIM(tblDados[Mandante])=$A103)*tblDados[Primeira_Ocorrencia]*((tblDados[GM_M]+tblDados[GS_M])&gt;2.5))+SUMPRODUCT((TRIM(tblDados[Visitante])=$A103)*tblDados[Primeira_Ocorrencia]*((tblDados[GM_V]+tblDados[GS_V])&gt;2.5)))/G103,0))</f>
        <v>0.76923076923076927</v>
      </c>
      <c r="N103" s="11" cm="1">
        <f t="array" ref="N103">IF($A103="","",IFERROR((SUMPRODUCT((TRIM(tblDados[Mandante])=$A103)*tblDados[Primeira_Ocorrencia]*((tblDados[GM_M]+tblDados[GS_M])&gt;3.5))+SUMPRODUCT((TRIM(tblDados[Visitante])=$A103)*tblDados[Primeira_Ocorrencia]*((tblDados[GM_V]+tblDados[GS_V])&gt;3.5)))/G103,0))</f>
        <v>0.61538461538461542</v>
      </c>
      <c r="O103" s="11" cm="1">
        <f t="array" ref="O103">IF($A103="","",IFERROR((SUMPRODUCT((TRIM(tblDados[Mandante])=$A103)*tblDados[Primeira_Ocorrencia]*(tblDados[GM_M]&gt;0)*(tblDados[GS_M]&gt;0))+SUMPRODUCT((TRIM(tblDados[Visitante])=$A103)*tblDados[Primeira_Ocorrencia]*(tblDados[GM_V]&gt;0)*(tblDados[GS_V]&gt;0)))/G103,0))</f>
        <v>0.69230769230769229</v>
      </c>
      <c r="P103" s="10" cm="1">
        <f t="array" ref="P103">IF($A103="","",IFERROR((SUMPRODUCT((TRIM(tblDados[Mandante])=$A103)*tblDados[Primeira_Ocorrencia]*tblDados[GM_M]^2)+SUMPRODUCT((TRIM(tblDados[Visitante])=$A103)*tblDados[Primeira_Ocorrencia]*tblDados[GM_V]^2))/G103-H103^2,0))</f>
        <v>2.0591715976331364</v>
      </c>
      <c r="Q103" s="10">
        <f t="shared" si="22"/>
        <v>1.4349813927828947</v>
      </c>
      <c r="R103" s="8" t="str">
        <f t="shared" si="23"/>
        <v>Poisson</v>
      </c>
      <c r="S103" s="10" cm="1">
        <f t="array" ref="S103">IF($A103="","",SUMPRODUCT((TRIM(tblDados[Mandante])=$A103)*tblDados[Primeira_Ocorrencia]*tblDados[GM_M]))</f>
        <v>16</v>
      </c>
      <c r="T103" s="10" cm="1">
        <f t="array" ref="T103">IF($A103="","",SUMPRODUCT((TRIM(tblDados[Visitante])=$A103)*tblDados[Primeira_Ocorrencia]*tblDados[GM_V]))</f>
        <v>6</v>
      </c>
      <c r="U103" s="10">
        <f t="shared" si="24"/>
        <v>22</v>
      </c>
      <c r="V103" s="10">
        <f t="shared" si="13"/>
        <v>1.6923076923076923</v>
      </c>
      <c r="W103" s="10" cm="1">
        <f t="array" ref="W103">IF($A103="","",SUMPRODUCT((TRIM(tblDados[Mandante])=$A103)*tblDados[Primeira_Ocorrencia]*tblDados[GS_M]))</f>
        <v>14</v>
      </c>
      <c r="X103" s="10" cm="1">
        <f t="array" ref="X103">IF($A103="","",SUMPRODUCT((TRIM(tblDados[Visitante])=$A103)*tblDados[Primeira_Ocorrencia]*tblDados[GS_V]))</f>
        <v>28</v>
      </c>
      <c r="Y103" s="10">
        <f t="shared" si="25"/>
        <v>42</v>
      </c>
      <c r="Z103" s="10">
        <f t="shared" si="14"/>
        <v>3.2307692307692308</v>
      </c>
      <c r="AA103" s="10">
        <f t="shared" si="15"/>
        <v>2.2857142857142856</v>
      </c>
      <c r="AB103" s="10">
        <f t="shared" si="16"/>
        <v>2</v>
      </c>
      <c r="AC103" s="10">
        <f t="shared" si="17"/>
        <v>1</v>
      </c>
      <c r="AD103" s="10">
        <f t="shared" si="18"/>
        <v>4.666666666666667</v>
      </c>
    </row>
    <row r="104" spans="1:30" x14ac:dyDescent="0.3">
      <c r="A104" s="7" t="str">
        <v>Keski-Uusimaa</v>
      </c>
      <c r="B104" s="12" t="str" cm="1">
        <f t="array" ref="B104">IF($A104="","",_xlfn.LET(_xlpm.p,IFERROR(INDEX(tblDados[País],MATCH($A104,TRIM(tblDados[Mandante]),0)),INDEX(tblDados[País],MATCH($A104,TRIM(tblDados[Visitante]),0))),_xlpm.l,IFERROR(INDEX(tblDados[Liga],MATCH($A104,TRIM(tblDados[Mandante]),0)),INDEX(tblDados[Liga],MATCH($A104,TRIM(tblDados[Visitante]),0))),_xlpm.p&amp;" - "&amp;_xlpm.l))</f>
        <v>FIN - Ykkönen</v>
      </c>
      <c r="C104" s="10">
        <f t="shared" si="19"/>
        <v>4</v>
      </c>
      <c r="D104" s="10">
        <f t="shared" si="20"/>
        <v>3</v>
      </c>
      <c r="E104" s="9" cm="1">
        <f t="array" ref="E104">IF($A104="","",SUMPRODUCT((TRIM(tblDados[Mandante])=$A104)*tblDados[Primeira_Ocorrencia]))</f>
        <v>6</v>
      </c>
      <c r="F104" s="9" cm="1">
        <f t="array" ref="F104">IF($A104="","",SUMPRODUCT((TRIM(tblDados[Visitante])=$A104)*tblDados[Primeira_Ocorrencia]))</f>
        <v>7</v>
      </c>
      <c r="G104" s="9" cm="1">
        <f t="array" ref="G104">IF($A104="","",SUMPRODUCT((TRIM(tblDados[Mandante])=$A104)*tblDados[Primeira_Ocorrencia])+SUMPRODUCT((TRIM(tblDados[Visitante])=$A104)*tblDados[Primeira_Ocorrencia]))</f>
        <v>13</v>
      </c>
      <c r="H104" s="10">
        <f t="shared" si="21"/>
        <v>1.8461538461538463</v>
      </c>
      <c r="I104" s="10" cm="1">
        <f t="array" ref="I104">IF($A104="","",_xlfn.LET(_xlpm.p,IFERROR(INDEX(tblDados[País],MATCH($A104,TRIM(tblDados[Mandante]),0)),INDEX(tblDados[País],MATCH($A104,TRIM(tblDados[Visitante]),0))),_xlpm.l,IFERROR(INDEX(tblDados[Liga],MATCH($A104,TRIM(tblDados[Mandante]),0)),INDEX(tblDados[Liga],MATCH($A104,TRIM(tblDados[Visitante]),0))),IFERROR(SUMIFS(Ligas!$D$2:$D$39,Ligas!$H$2:$H$39,_xlpm.p,Ligas!$I$2:$I$39,_xlpm.l),0)))</f>
        <v>3.57</v>
      </c>
      <c r="J104" s="11" cm="1">
        <f t="array" ref="J104">IF($A104="","",IFERROR((SUMPRODUCT((TRIM(tblDados[Mandante])=$A104)*tblDados[Primeira_Ocorrencia]*(tblDados[GM_M]=0))+SUMPRODUCT((TRIM(tblDados[Visitante])=$A104)*tblDados[Primeira_Ocorrencia]*(tblDados[GM_V]=0)))/G104,0))</f>
        <v>0.15384615384615385</v>
      </c>
      <c r="K104" s="11" cm="1">
        <f t="array" ref="K104">IF($A104="","",IFERROR((SUMPRODUCT((TRIM(tblDados[Mandante])=$A104)*tblDados[Primeira_Ocorrencia]*((tblDados[GM_M]+tblDados[GS_M])&gt;0.5))+SUMPRODUCT((TRIM(tblDados[Visitante])=$A104)*tblDados[Primeira_Ocorrencia]*((tblDados[GM_V]+tblDados[GS_V])&gt;0.5)))/G104,0))</f>
        <v>0.92307692307692313</v>
      </c>
      <c r="L104" s="11" cm="1">
        <f t="array" ref="L104">IF($A104="","",IFERROR((SUMPRODUCT((TRIM(tblDados[Mandante])=$A104)*tblDados[Primeira_Ocorrencia]*((tblDados[GM_M]+tblDados[GS_M])&gt;1.5))+SUMPRODUCT((TRIM(tblDados[Visitante])=$A104)*tblDados[Primeira_Ocorrencia]*((tblDados[GM_V]+tblDados[GS_V])&gt;1.5)))/G104,0))</f>
        <v>0.84615384615384615</v>
      </c>
      <c r="M104" s="11" cm="1">
        <f t="array" ref="M104">IF($A104="","",IFERROR((SUMPRODUCT((TRIM(tblDados[Mandante])=$A104)*tblDados[Primeira_Ocorrencia]*((tblDados[GM_M]+tblDados[GS_M])&gt;2.5))+SUMPRODUCT((TRIM(tblDados[Visitante])=$A104)*tblDados[Primeira_Ocorrencia]*((tblDados[GM_V]+tblDados[GS_V])&gt;2.5)))/G104,0))</f>
        <v>0.69230769230769229</v>
      </c>
      <c r="N104" s="11" cm="1">
        <f t="array" ref="N104">IF($A104="","",IFERROR((SUMPRODUCT((TRIM(tblDados[Mandante])=$A104)*tblDados[Primeira_Ocorrencia]*((tblDados[GM_M]+tblDados[GS_M])&gt;3.5))+SUMPRODUCT((TRIM(tblDados[Visitante])=$A104)*tblDados[Primeira_Ocorrencia]*((tblDados[GM_V]+tblDados[GS_V])&gt;3.5)))/G104,0))</f>
        <v>0.46153846153846156</v>
      </c>
      <c r="O104" s="11" cm="1">
        <f t="array" ref="O104">IF($A104="","",IFERROR((SUMPRODUCT((TRIM(tblDados[Mandante])=$A104)*tblDados[Primeira_Ocorrencia]*(tblDados[GM_M]&gt;0)*(tblDados[GS_M]&gt;0))+SUMPRODUCT((TRIM(tblDados[Visitante])=$A104)*tblDados[Primeira_Ocorrencia]*(tblDados[GM_V]&gt;0)*(tblDados[GS_V]&gt;0)))/G104,0))</f>
        <v>0.69230769230769229</v>
      </c>
      <c r="P104" s="10" cm="1">
        <f t="array" ref="P104">IF($A104="","",IFERROR((SUMPRODUCT((TRIM(tblDados[Mandante])=$A104)*tblDados[Primeira_Ocorrencia]*tblDados[GM_M]^2)+SUMPRODUCT((TRIM(tblDados[Visitante])=$A104)*tblDados[Primeira_Ocorrencia]*tblDados[GM_V]^2))/G104-H104^2,0))</f>
        <v>1.5147928994082838</v>
      </c>
      <c r="Q104" s="10">
        <f t="shared" si="22"/>
        <v>1.2307692307692306</v>
      </c>
      <c r="R104" s="8" t="str">
        <f t="shared" si="23"/>
        <v>Poisson</v>
      </c>
      <c r="S104" s="10" cm="1">
        <f t="array" ref="S104">IF($A104="","",SUMPRODUCT((TRIM(tblDados[Mandante])=$A104)*tblDados[Primeira_Ocorrencia]*tblDados[GM_M]))</f>
        <v>13</v>
      </c>
      <c r="T104" s="10" cm="1">
        <f t="array" ref="T104">IF($A104="","",SUMPRODUCT((TRIM(tblDados[Visitante])=$A104)*tblDados[Primeira_Ocorrencia]*tblDados[GM_V]))</f>
        <v>11</v>
      </c>
      <c r="U104" s="10">
        <f t="shared" si="24"/>
        <v>24</v>
      </c>
      <c r="V104" s="10">
        <f t="shared" si="13"/>
        <v>1.8461538461538463</v>
      </c>
      <c r="W104" s="10" cm="1">
        <f t="array" ref="W104">IF($A104="","",SUMPRODUCT((TRIM(tblDados[Mandante])=$A104)*tblDados[Primeira_Ocorrencia]*tblDados[GS_M]))</f>
        <v>11</v>
      </c>
      <c r="X104" s="10" cm="1">
        <f t="array" ref="X104">IF($A104="","",SUMPRODUCT((TRIM(tblDados[Visitante])=$A104)*tblDados[Primeira_Ocorrencia]*tblDados[GS_V]))</f>
        <v>10</v>
      </c>
      <c r="Y104" s="10">
        <f t="shared" si="25"/>
        <v>21</v>
      </c>
      <c r="Z104" s="10">
        <f t="shared" si="14"/>
        <v>1.6153846153846154</v>
      </c>
      <c r="AA104" s="10">
        <f t="shared" si="15"/>
        <v>2.1666666666666665</v>
      </c>
      <c r="AB104" s="10">
        <f t="shared" si="16"/>
        <v>1.8333333333333333</v>
      </c>
      <c r="AC104" s="10">
        <f t="shared" si="17"/>
        <v>1.5714285714285714</v>
      </c>
      <c r="AD104" s="10">
        <f t="shared" si="18"/>
        <v>1.4285714285714286</v>
      </c>
    </row>
    <row r="105" spans="1:30" x14ac:dyDescent="0.3">
      <c r="A105" s="7" t="str">
        <v>Kiffen</v>
      </c>
      <c r="B105" s="12" t="str" cm="1">
        <f t="array" ref="B105">IF($A105="","",_xlfn.LET(_xlpm.p,IFERROR(INDEX(tblDados[País],MATCH($A105,TRIM(tblDados[Mandante]),0)),INDEX(tblDados[País],MATCH($A105,TRIM(tblDados[Visitante]),0))),_xlpm.l,IFERROR(INDEX(tblDados[Liga],MATCH($A105,TRIM(tblDados[Mandante]),0)),INDEX(tblDados[Liga],MATCH($A105,TRIM(tblDados[Visitante]),0))),_xlpm.p&amp;" - "&amp;_xlpm.l))</f>
        <v>FIN - Kakkonen A</v>
      </c>
      <c r="C105" s="10">
        <f t="shared" si="19"/>
        <v>2.5</v>
      </c>
      <c r="D105" s="10">
        <f t="shared" si="20"/>
        <v>3.5714285714285712</v>
      </c>
      <c r="E105" s="9" cm="1">
        <f t="array" ref="E105">IF($A105="","",SUMPRODUCT((TRIM(tblDados[Mandante])=$A105)*tblDados[Primeira_Ocorrencia]))</f>
        <v>6</v>
      </c>
      <c r="F105" s="9" cm="1">
        <f t="array" ref="F105">IF($A105="","",SUMPRODUCT((TRIM(tblDados[Visitante])=$A105)*tblDados[Primeira_Ocorrencia]))</f>
        <v>7</v>
      </c>
      <c r="G105" s="9" cm="1">
        <f t="array" ref="G105">IF($A105="","",SUMPRODUCT((TRIM(tblDados[Mandante])=$A105)*tblDados[Primeira_Ocorrencia])+SUMPRODUCT((TRIM(tblDados[Visitante])=$A105)*tblDados[Primeira_Ocorrencia]))</f>
        <v>13</v>
      </c>
      <c r="H105" s="10">
        <f t="shared" si="21"/>
        <v>2.0769230769230771</v>
      </c>
      <c r="I105" s="10" cm="1">
        <f t="array" ref="I105">IF($A105="","",_xlfn.LET(_xlpm.p,IFERROR(INDEX(tblDados[País],MATCH($A105,TRIM(tblDados[Mandante]),0)),INDEX(tblDados[País],MATCH($A105,TRIM(tblDados[Visitante]),0))),_xlpm.l,IFERROR(INDEX(tblDados[Liga],MATCH($A105,TRIM(tblDados[Mandante]),0)),INDEX(tblDados[Liga],MATCH($A105,TRIM(tblDados[Visitante]),0))),IFERROR(SUMIFS(Ligas!$D$2:$D$39,Ligas!$H$2:$H$39,_xlpm.p,Ligas!$I$2:$I$39,_xlpm.l),0)))</f>
        <v>3.79</v>
      </c>
      <c r="J105" s="11" cm="1">
        <f t="array" ref="J105">IF($A105="","",IFERROR((SUMPRODUCT((TRIM(tblDados[Mandante])=$A105)*tblDados[Primeira_Ocorrencia]*(tblDados[GM_M]=0))+SUMPRODUCT((TRIM(tblDados[Visitante])=$A105)*tblDados[Primeira_Ocorrencia]*(tblDados[GM_V]=0)))/G105,0))</f>
        <v>7.6923076923076927E-2</v>
      </c>
      <c r="K105" s="11" cm="1">
        <f t="array" ref="K105">IF($A105="","",IFERROR((SUMPRODUCT((TRIM(tblDados[Mandante])=$A105)*tblDados[Primeira_Ocorrencia]*((tblDados[GM_M]+tblDados[GS_M])&gt;0.5))+SUMPRODUCT((TRIM(tblDados[Visitante])=$A105)*tblDados[Primeira_Ocorrencia]*((tblDados[GM_V]+tblDados[GS_V])&gt;0.5)))/G105,0))</f>
        <v>0.92307692307692313</v>
      </c>
      <c r="L105" s="11" cm="1">
        <f t="array" ref="L105">IF($A105="","",IFERROR((SUMPRODUCT((TRIM(tblDados[Mandante])=$A105)*tblDados[Primeira_Ocorrencia]*((tblDados[GM_M]+tblDados[GS_M])&gt;1.5))+SUMPRODUCT((TRIM(tblDados[Visitante])=$A105)*tblDados[Primeira_Ocorrencia]*((tblDados[GM_V]+tblDados[GS_V])&gt;1.5)))/G105,0))</f>
        <v>0.84615384615384615</v>
      </c>
      <c r="M105" s="11" cm="1">
        <f t="array" ref="M105">IF($A105="","",IFERROR((SUMPRODUCT((TRIM(tblDados[Mandante])=$A105)*tblDados[Primeira_Ocorrencia]*((tblDados[GM_M]+tblDados[GS_M])&gt;2.5))+SUMPRODUCT((TRIM(tblDados[Visitante])=$A105)*tblDados[Primeira_Ocorrencia]*((tblDados[GM_V]+tblDados[GS_V])&gt;2.5)))/G105,0))</f>
        <v>0.53846153846153844</v>
      </c>
      <c r="N105" s="11" cm="1">
        <f t="array" ref="N105">IF($A105="","",IFERROR((SUMPRODUCT((TRIM(tblDados[Mandante])=$A105)*tblDados[Primeira_Ocorrencia]*((tblDados[GM_M]+tblDados[GS_M])&gt;3.5))+SUMPRODUCT((TRIM(tblDados[Visitante])=$A105)*tblDados[Primeira_Ocorrencia]*((tblDados[GM_V]+tblDados[GS_V])&gt;3.5)))/G105,0))</f>
        <v>0.30769230769230771</v>
      </c>
      <c r="O105" s="11" cm="1">
        <f t="array" ref="O105">IF($A105="","",IFERROR((SUMPRODUCT((TRIM(tblDados[Mandante])=$A105)*tblDados[Primeira_Ocorrencia]*(tblDados[GM_M]&gt;0)*(tblDados[GS_M]&gt;0))+SUMPRODUCT((TRIM(tblDados[Visitante])=$A105)*tblDados[Primeira_Ocorrencia]*(tblDados[GM_V]&gt;0)*(tblDados[GS_V]&gt;0)))/G105,0))</f>
        <v>0.61538461538461542</v>
      </c>
      <c r="P105" s="10" cm="1">
        <f t="array" ref="P105">IF($A105="","",IFERROR((SUMPRODUCT((TRIM(tblDados[Mandante])=$A105)*tblDados[Primeira_Ocorrencia]*tblDados[GM_M]^2)+SUMPRODUCT((TRIM(tblDados[Visitante])=$A105)*tblDados[Primeira_Ocorrencia]*tblDados[GM_V]^2))/G105-H105^2,0))</f>
        <v>1.4556213017751469</v>
      </c>
      <c r="Q105" s="10">
        <f t="shared" si="22"/>
        <v>1.2064913185660089</v>
      </c>
      <c r="R105" s="8" t="str">
        <f t="shared" si="23"/>
        <v>Poisson</v>
      </c>
      <c r="S105" s="10" cm="1">
        <f t="array" ref="S105">IF($A105="","",SUMPRODUCT((TRIM(tblDados[Mandante])=$A105)*tblDados[Primeira_Ocorrencia]*tblDados[GM_M]))</f>
        <v>12</v>
      </c>
      <c r="T105" s="10" cm="1">
        <f t="array" ref="T105">IF($A105="","",SUMPRODUCT((TRIM(tblDados[Visitante])=$A105)*tblDados[Primeira_Ocorrencia]*tblDados[GM_V]))</f>
        <v>15</v>
      </c>
      <c r="U105" s="10">
        <f t="shared" si="24"/>
        <v>27</v>
      </c>
      <c r="V105" s="10">
        <f t="shared" si="13"/>
        <v>2.0769230769230771</v>
      </c>
      <c r="W105" s="10" cm="1">
        <f t="array" ref="W105">IF($A105="","",SUMPRODUCT((TRIM(tblDados[Mandante])=$A105)*tblDados[Primeira_Ocorrencia]*tblDados[GS_M]))</f>
        <v>3</v>
      </c>
      <c r="X105" s="10" cm="1">
        <f t="array" ref="X105">IF($A105="","",SUMPRODUCT((TRIM(tblDados[Visitante])=$A105)*tblDados[Primeira_Ocorrencia]*tblDados[GS_V]))</f>
        <v>10</v>
      </c>
      <c r="Y105" s="10">
        <f t="shared" si="25"/>
        <v>13</v>
      </c>
      <c r="Z105" s="10">
        <f t="shared" si="14"/>
        <v>1</v>
      </c>
      <c r="AA105" s="10">
        <f t="shared" si="15"/>
        <v>2</v>
      </c>
      <c r="AB105" s="10">
        <f t="shared" si="16"/>
        <v>0.5</v>
      </c>
      <c r="AC105" s="10">
        <f t="shared" si="17"/>
        <v>2.1428571428571428</v>
      </c>
      <c r="AD105" s="10">
        <f t="shared" si="18"/>
        <v>1.4285714285714286</v>
      </c>
    </row>
    <row r="106" spans="1:30" x14ac:dyDescent="0.3">
      <c r="A106" s="7" t="str">
        <v>Kristiansund BK</v>
      </c>
      <c r="B106" s="12" t="str" cm="1">
        <f t="array" ref="B106">IF($A106="","",_xlfn.LET(_xlpm.p,IFERROR(INDEX(tblDados[País],MATCH($A106,TRIM(tblDados[Mandante]),0)),INDEX(tblDados[País],MATCH($A106,TRIM(tblDados[Visitante]),0))),_xlpm.l,IFERROR(INDEX(tblDados[Liga],MATCH($A106,TRIM(tblDados[Mandante]),0)),INDEX(tblDados[Liga],MATCH($A106,TRIM(tblDados[Visitante]),0))),_xlpm.p&amp;" - "&amp;_xlpm.l))</f>
        <v>NOR - Eliteserien</v>
      </c>
      <c r="C106" s="10">
        <f t="shared" si="19"/>
        <v>2.166666666666667</v>
      </c>
      <c r="D106" s="10">
        <f t="shared" si="20"/>
        <v>2.5714285714285716</v>
      </c>
      <c r="E106" s="9" cm="1">
        <f t="array" ref="E106">IF($A106="","",SUMPRODUCT((TRIM(tblDados[Mandante])=$A106)*tblDados[Primeira_Ocorrencia]))</f>
        <v>6</v>
      </c>
      <c r="F106" s="9" cm="1">
        <f t="array" ref="F106">IF($A106="","",SUMPRODUCT((TRIM(tblDados[Visitante])=$A106)*tblDados[Primeira_Ocorrencia]))</f>
        <v>7</v>
      </c>
      <c r="G106" s="9" cm="1">
        <f t="array" ref="G106">IF($A106="","",SUMPRODUCT((TRIM(tblDados[Mandante])=$A106)*tblDados[Primeira_Ocorrencia])+SUMPRODUCT((TRIM(tblDados[Visitante])=$A106)*tblDados[Primeira_Ocorrencia]))</f>
        <v>13</v>
      </c>
      <c r="H106" s="10">
        <f t="shared" si="21"/>
        <v>0.92307692307692313</v>
      </c>
      <c r="I106" s="10" cm="1">
        <f t="array" ref="I106">IF($A106="","",_xlfn.LET(_xlpm.p,IFERROR(INDEX(tblDados[País],MATCH($A106,TRIM(tblDados[Mandante]),0)),INDEX(tblDados[País],MATCH($A106,TRIM(tblDados[Visitante]),0))),_xlpm.l,IFERROR(INDEX(tblDados[Liga],MATCH($A106,TRIM(tblDados[Mandante]),0)),INDEX(tblDados[Liga],MATCH($A106,TRIM(tblDados[Visitante]),0))),IFERROR(SUMIFS(Ligas!$D$2:$D$39,Ligas!$H$2:$H$39,_xlpm.p,Ligas!$I$2:$I$39,_xlpm.l),0)))</f>
        <v>2.5</v>
      </c>
      <c r="J106" s="11" cm="1">
        <f t="array" ref="J106">IF($A106="","",IFERROR((SUMPRODUCT((TRIM(tblDados[Mandante])=$A106)*tblDados[Primeira_Ocorrencia]*(tblDados[GM_M]=0))+SUMPRODUCT((TRIM(tblDados[Visitante])=$A106)*tblDados[Primeira_Ocorrencia]*(tblDados[GM_V]=0)))/G106,0))</f>
        <v>0.30769230769230771</v>
      </c>
      <c r="K106" s="11" cm="1">
        <f t="array" ref="K106">IF($A106="","",IFERROR((SUMPRODUCT((TRIM(tblDados[Mandante])=$A106)*tblDados[Primeira_Ocorrencia]*((tblDados[GM_M]+tblDados[GS_M])&gt;0.5))+SUMPRODUCT((TRIM(tblDados[Visitante])=$A106)*tblDados[Primeira_Ocorrencia]*((tblDados[GM_V]+tblDados[GS_V])&gt;0.5)))/G106,0))</f>
        <v>0.92307692307692313</v>
      </c>
      <c r="L106" s="11" cm="1">
        <f t="array" ref="L106">IF($A106="","",IFERROR((SUMPRODUCT((TRIM(tblDados[Mandante])=$A106)*tblDados[Primeira_Ocorrencia]*((tblDados[GM_M]+tblDados[GS_M])&gt;1.5))+SUMPRODUCT((TRIM(tblDados[Visitante])=$A106)*tblDados[Primeira_Ocorrencia]*((tblDados[GM_V]+tblDados[GS_V])&gt;1.5)))/G106,0))</f>
        <v>0.84615384615384615</v>
      </c>
      <c r="M106" s="11" cm="1">
        <f t="array" ref="M106">IF($A106="","",IFERROR((SUMPRODUCT((TRIM(tblDados[Mandante])=$A106)*tblDados[Primeira_Ocorrencia]*((tblDados[GM_M]+tblDados[GS_M])&gt;2.5))+SUMPRODUCT((TRIM(tblDados[Visitante])=$A106)*tblDados[Primeira_Ocorrencia]*((tblDados[GM_V]+tblDados[GS_V])&gt;2.5)))/G106,0))</f>
        <v>0.53846153846153844</v>
      </c>
      <c r="N106" s="11" cm="1">
        <f t="array" ref="N106">IF($A106="","",IFERROR((SUMPRODUCT((TRIM(tblDados[Mandante])=$A106)*tblDados[Primeira_Ocorrencia]*((tblDados[GM_M]+tblDados[GS_M])&gt;3.5))+SUMPRODUCT((TRIM(tblDados[Visitante])=$A106)*tblDados[Primeira_Ocorrencia]*((tblDados[GM_V]+tblDados[GS_V])&gt;3.5)))/G106,0))</f>
        <v>7.6923076923076927E-2</v>
      </c>
      <c r="O106" s="11" cm="1">
        <f t="array" ref="O106">IF($A106="","",IFERROR((SUMPRODUCT((TRIM(tblDados[Mandante])=$A106)*tblDados[Primeira_Ocorrencia]*(tblDados[GM_M]&gt;0)*(tblDados[GS_M]&gt;0))+SUMPRODUCT((TRIM(tblDados[Visitante])=$A106)*tblDados[Primeira_Ocorrencia]*(tblDados[GM_V]&gt;0)*(tblDados[GS_V]&gt;0)))/G106,0))</f>
        <v>0.61538461538461542</v>
      </c>
      <c r="P106" s="10" cm="1">
        <f t="array" ref="P106">IF($A106="","",IFERROR((SUMPRODUCT((TRIM(tblDados[Mandante])=$A106)*tblDados[Primeira_Ocorrencia]*tblDados[GM_M]^2)+SUMPRODUCT((TRIM(tblDados[Visitante])=$A106)*tblDados[Primeira_Ocorrencia]*tblDados[GM_V]^2))/G106-H106^2,0))</f>
        <v>0.53254437869822469</v>
      </c>
      <c r="Q106" s="10">
        <f t="shared" si="22"/>
        <v>0.72975638311577973</v>
      </c>
      <c r="R106" s="8" t="str">
        <f t="shared" si="23"/>
        <v>Poisson</v>
      </c>
      <c r="S106" s="10" cm="1">
        <f t="array" ref="S106">IF($A106="","",SUMPRODUCT((TRIM(tblDados[Mandante])=$A106)*tblDados[Primeira_Ocorrencia]*tblDados[GM_M]))</f>
        <v>7</v>
      </c>
      <c r="T106" s="10" cm="1">
        <f t="array" ref="T106">IF($A106="","",SUMPRODUCT((TRIM(tblDados[Visitante])=$A106)*tblDados[Primeira_Ocorrencia]*tblDados[GM_V]))</f>
        <v>5</v>
      </c>
      <c r="U106" s="10">
        <f t="shared" si="24"/>
        <v>12</v>
      </c>
      <c r="V106" s="10">
        <f t="shared" si="13"/>
        <v>0.92307692307692313</v>
      </c>
      <c r="W106" s="10" cm="1">
        <f t="array" ref="W106">IF($A106="","",SUMPRODUCT((TRIM(tblDados[Mandante])=$A106)*tblDados[Primeira_Ocorrencia]*tblDados[GS_M]))</f>
        <v>6</v>
      </c>
      <c r="X106" s="10" cm="1">
        <f t="array" ref="X106">IF($A106="","",SUMPRODUCT((TRIM(tblDados[Visitante])=$A106)*tblDados[Primeira_Ocorrencia]*tblDados[GS_V]))</f>
        <v>13</v>
      </c>
      <c r="Y106" s="10">
        <f t="shared" si="25"/>
        <v>19</v>
      </c>
      <c r="Z106" s="10">
        <f t="shared" si="14"/>
        <v>1.4615384615384615</v>
      </c>
      <c r="AA106" s="10">
        <f t="shared" si="15"/>
        <v>1.1666666666666667</v>
      </c>
      <c r="AB106" s="10">
        <f t="shared" si="16"/>
        <v>1</v>
      </c>
      <c r="AC106" s="10">
        <f t="shared" si="17"/>
        <v>0.7142857142857143</v>
      </c>
      <c r="AD106" s="10">
        <f t="shared" si="18"/>
        <v>1.8571428571428572</v>
      </c>
    </row>
    <row r="107" spans="1:30" x14ac:dyDescent="0.3">
      <c r="A107" s="7" t="str">
        <v>KuPS Akatemia</v>
      </c>
      <c r="B107" s="12" t="str" cm="1">
        <f t="array" ref="B107">IF($A107="","",_xlfn.LET(_xlpm.p,IFERROR(INDEX(tblDados[País],MATCH($A107,TRIM(tblDados[Mandante]),0)),INDEX(tblDados[País],MATCH($A107,TRIM(tblDados[Visitante]),0))),_xlpm.l,IFERROR(INDEX(tblDados[Liga],MATCH($A107,TRIM(tblDados[Mandante]),0)),INDEX(tblDados[Liga],MATCH($A107,TRIM(tblDados[Visitante]),0))),_xlpm.p&amp;" - "&amp;_xlpm.l))</f>
        <v>FIN - Ykkönen</v>
      </c>
      <c r="C107" s="10">
        <f t="shared" si="19"/>
        <v>3.166666666666667</v>
      </c>
      <c r="D107" s="10">
        <f t="shared" si="20"/>
        <v>5.1428571428571423</v>
      </c>
      <c r="E107" s="9" cm="1">
        <f t="array" ref="E107">IF($A107="","",SUMPRODUCT((TRIM(tblDados[Mandante])=$A107)*tblDados[Primeira_Ocorrencia]))</f>
        <v>6</v>
      </c>
      <c r="F107" s="9" cm="1">
        <f t="array" ref="F107">IF($A107="","",SUMPRODUCT((TRIM(tblDados[Visitante])=$A107)*tblDados[Primeira_Ocorrencia]))</f>
        <v>7</v>
      </c>
      <c r="G107" s="9" cm="1">
        <f t="array" ref="G107">IF($A107="","",SUMPRODUCT((TRIM(tblDados[Mandante])=$A107)*tblDados[Primeira_Ocorrencia])+SUMPRODUCT((TRIM(tblDados[Visitante])=$A107)*tblDados[Primeira_Ocorrencia]))</f>
        <v>13</v>
      </c>
      <c r="H107" s="10">
        <f t="shared" si="21"/>
        <v>1.7692307692307692</v>
      </c>
      <c r="I107" s="10" cm="1">
        <f t="array" ref="I107">IF($A107="","",_xlfn.LET(_xlpm.p,IFERROR(INDEX(tblDados[País],MATCH($A107,TRIM(tblDados[Mandante]),0)),INDEX(tblDados[País],MATCH($A107,TRIM(tblDados[Visitante]),0))),_xlpm.l,IFERROR(INDEX(tblDados[Liga],MATCH($A107,TRIM(tblDados[Mandante]),0)),INDEX(tblDados[Liga],MATCH($A107,TRIM(tblDados[Visitante]),0))),IFERROR(SUMIFS(Ligas!$D$2:$D$39,Ligas!$H$2:$H$39,_xlpm.p,Ligas!$I$2:$I$39,_xlpm.l),0)))</f>
        <v>3.57</v>
      </c>
      <c r="J107" s="11" cm="1">
        <f t="array" ref="J107">IF($A107="","",IFERROR((SUMPRODUCT((TRIM(tblDados[Mandante])=$A107)*tblDados[Primeira_Ocorrencia]*(tblDados[GM_M]=0))+SUMPRODUCT((TRIM(tblDados[Visitante])=$A107)*tblDados[Primeira_Ocorrencia]*(tblDados[GM_V]=0)))/G107,0))</f>
        <v>0.23076923076923078</v>
      </c>
      <c r="K107" s="11" cm="1">
        <f t="array" ref="K107">IF($A107="","",IFERROR((SUMPRODUCT((TRIM(tblDados[Mandante])=$A107)*tblDados[Primeira_Ocorrencia]*((tblDados[GM_M]+tblDados[GS_M])&gt;0.5))+SUMPRODUCT((TRIM(tblDados[Visitante])=$A107)*tblDados[Primeira_Ocorrencia]*((tblDados[GM_V]+tblDados[GS_V])&gt;0.5)))/G107,0))</f>
        <v>1</v>
      </c>
      <c r="L107" s="11" cm="1">
        <f t="array" ref="L107">IF($A107="","",IFERROR((SUMPRODUCT((TRIM(tblDados[Mandante])=$A107)*tblDados[Primeira_Ocorrencia]*((tblDados[GM_M]+tblDados[GS_M])&gt;1.5))+SUMPRODUCT((TRIM(tblDados[Visitante])=$A107)*tblDados[Primeira_Ocorrencia]*((tblDados[GM_V]+tblDados[GS_V])&gt;1.5)))/G107,0))</f>
        <v>0.84615384615384615</v>
      </c>
      <c r="M107" s="11" cm="1">
        <f t="array" ref="M107">IF($A107="","",IFERROR((SUMPRODUCT((TRIM(tblDados[Mandante])=$A107)*tblDados[Primeira_Ocorrencia]*((tblDados[GM_M]+tblDados[GS_M])&gt;2.5))+SUMPRODUCT((TRIM(tblDados[Visitante])=$A107)*tblDados[Primeira_Ocorrencia]*((tblDados[GM_V]+tblDados[GS_V])&gt;2.5)))/G107,0))</f>
        <v>0.84615384615384615</v>
      </c>
      <c r="N107" s="11" cm="1">
        <f t="array" ref="N107">IF($A107="","",IFERROR((SUMPRODUCT((TRIM(tblDados[Mandante])=$A107)*tblDados[Primeira_Ocorrencia]*((tblDados[GM_M]+tblDados[GS_M])&gt;3.5))+SUMPRODUCT((TRIM(tblDados[Visitante])=$A107)*tblDados[Primeira_Ocorrencia]*((tblDados[GM_V]+tblDados[GS_V])&gt;3.5)))/G107,0))</f>
        <v>0.69230769230769229</v>
      </c>
      <c r="O107" s="11" cm="1">
        <f t="array" ref="O107">IF($A107="","",IFERROR((SUMPRODUCT((TRIM(tblDados[Mandante])=$A107)*tblDados[Primeira_Ocorrencia]*(tblDados[GM_M]&gt;0)*(tblDados[GS_M]&gt;0))+SUMPRODUCT((TRIM(tblDados[Visitante])=$A107)*tblDados[Primeira_Ocorrencia]*(tblDados[GM_V]&gt;0)*(tblDados[GS_V]&gt;0)))/G107,0))</f>
        <v>0.76923076923076927</v>
      </c>
      <c r="P107" s="10" cm="1">
        <f t="array" ref="P107">IF($A107="","",IFERROR((SUMPRODUCT((TRIM(tblDados[Mandante])=$A107)*tblDados[Primeira_Ocorrencia]*tblDados[GM_M]^2)+SUMPRODUCT((TRIM(tblDados[Visitante])=$A107)*tblDados[Primeira_Ocorrencia]*tblDados[GM_V]^2))/G107-H107^2,0))</f>
        <v>1.7159763313609466</v>
      </c>
      <c r="Q107" s="10">
        <f t="shared" si="22"/>
        <v>1.309952797378954</v>
      </c>
      <c r="R107" s="8" t="str">
        <f t="shared" si="23"/>
        <v>Poisson</v>
      </c>
      <c r="S107" s="10" cm="1">
        <f t="array" ref="S107">IF($A107="","",SUMPRODUCT((TRIM(tblDados[Mandante])=$A107)*tblDados[Primeira_Ocorrencia]*tblDados[GM_M]))</f>
        <v>9</v>
      </c>
      <c r="T107" s="10" cm="1">
        <f t="array" ref="T107">IF($A107="","",SUMPRODUCT((TRIM(tblDados[Visitante])=$A107)*tblDados[Primeira_Ocorrencia]*tblDados[GM_V]))</f>
        <v>14</v>
      </c>
      <c r="U107" s="10">
        <f t="shared" si="24"/>
        <v>23</v>
      </c>
      <c r="V107" s="10">
        <f t="shared" si="13"/>
        <v>1.7692307692307692</v>
      </c>
      <c r="W107" s="10" cm="1">
        <f t="array" ref="W107">IF($A107="","",SUMPRODUCT((TRIM(tblDados[Mandante])=$A107)*tblDados[Primeira_Ocorrencia]*tblDados[GS_M]))</f>
        <v>10</v>
      </c>
      <c r="X107" s="10" cm="1">
        <f t="array" ref="X107">IF($A107="","",SUMPRODUCT((TRIM(tblDados[Visitante])=$A107)*tblDados[Primeira_Ocorrencia]*tblDados[GS_V]))</f>
        <v>22</v>
      </c>
      <c r="Y107" s="10">
        <f t="shared" si="25"/>
        <v>32</v>
      </c>
      <c r="Z107" s="10">
        <f t="shared" si="14"/>
        <v>2.4615384615384617</v>
      </c>
      <c r="AA107" s="10">
        <f t="shared" si="15"/>
        <v>1.5</v>
      </c>
      <c r="AB107" s="10">
        <f t="shared" si="16"/>
        <v>1.6666666666666667</v>
      </c>
      <c r="AC107" s="10">
        <f t="shared" si="17"/>
        <v>2</v>
      </c>
      <c r="AD107" s="10">
        <f t="shared" si="18"/>
        <v>3.1428571428571428</v>
      </c>
    </row>
    <row r="108" spans="1:30" x14ac:dyDescent="0.3">
      <c r="A108" s="7" t="str">
        <v>Landskrona BoIS</v>
      </c>
      <c r="B108" s="12" t="str" cm="1">
        <f t="array" ref="B108">IF($A108="","",_xlfn.LET(_xlpm.p,IFERROR(INDEX(tblDados[País],MATCH($A108,TRIM(tblDados[Mandante]),0)),INDEX(tblDados[País],MATCH($A108,TRIM(tblDados[Visitante]),0))),_xlpm.l,IFERROR(INDEX(tblDados[Liga],MATCH($A108,TRIM(tblDados[Mandante]),0)),INDEX(tblDados[Liga],MATCH($A108,TRIM(tblDados[Visitante]),0))),_xlpm.p&amp;" - "&amp;_xlpm.l))</f>
        <v>SWE - Superettan</v>
      </c>
      <c r="C108" s="10">
        <f t="shared" si="19"/>
        <v>2</v>
      </c>
      <c r="D108" s="10">
        <f t="shared" si="20"/>
        <v>2.5</v>
      </c>
      <c r="E108" s="9" cm="1">
        <f t="array" ref="E108">IF($A108="","",SUMPRODUCT((TRIM(tblDados[Mandante])=$A108)*tblDados[Primeira_Ocorrencia]))</f>
        <v>5</v>
      </c>
      <c r="F108" s="9" cm="1">
        <f t="array" ref="F108">IF($A108="","",SUMPRODUCT((TRIM(tblDados[Visitante])=$A108)*tblDados[Primeira_Ocorrencia]))</f>
        <v>8</v>
      </c>
      <c r="G108" s="9" cm="1">
        <f t="array" ref="G108">IF($A108="","",SUMPRODUCT((TRIM(tblDados[Mandante])=$A108)*tblDados[Primeira_Ocorrencia])+SUMPRODUCT((TRIM(tblDados[Visitante])=$A108)*tblDados[Primeira_Ocorrencia]))</f>
        <v>13</v>
      </c>
      <c r="H108" s="10">
        <f t="shared" si="21"/>
        <v>1.3076923076923077</v>
      </c>
      <c r="I108" s="10" cm="1">
        <f t="array" ref="I108">IF($A108="","",_xlfn.LET(_xlpm.p,IFERROR(INDEX(tblDados[País],MATCH($A108,TRIM(tblDados[Mandante]),0)),INDEX(tblDados[País],MATCH($A108,TRIM(tblDados[Visitante]),0))),_xlpm.l,IFERROR(INDEX(tblDados[Liga],MATCH($A108,TRIM(tblDados[Mandante]),0)),INDEX(tblDados[Liga],MATCH($A108,TRIM(tblDados[Visitante]),0))),IFERROR(SUMIFS(Ligas!$D$2:$D$39,Ligas!$H$2:$H$39,_xlpm.p,Ligas!$I$2:$I$39,_xlpm.l),0)))</f>
        <v>2.5</v>
      </c>
      <c r="J108" s="11" cm="1">
        <f t="array" ref="J108">IF($A108="","",IFERROR((SUMPRODUCT((TRIM(tblDados[Mandante])=$A108)*tblDados[Primeira_Ocorrencia]*(tblDados[GM_M]=0))+SUMPRODUCT((TRIM(tblDados[Visitante])=$A108)*tblDados[Primeira_Ocorrencia]*(tblDados[GM_V]=0)))/G108,0))</f>
        <v>0.15384615384615385</v>
      </c>
      <c r="K108" s="11" cm="1">
        <f t="array" ref="K108">IF($A108="","",IFERROR((SUMPRODUCT((TRIM(tblDados[Mandante])=$A108)*tblDados[Primeira_Ocorrencia]*((tblDados[GM_M]+tblDados[GS_M])&gt;0.5))+SUMPRODUCT((TRIM(tblDados[Visitante])=$A108)*tblDados[Primeira_Ocorrencia]*((tblDados[GM_V]+tblDados[GS_V])&gt;0.5)))/G108,0))</f>
        <v>1</v>
      </c>
      <c r="L108" s="11" cm="1">
        <f t="array" ref="L108">IF($A108="","",IFERROR((SUMPRODUCT((TRIM(tblDados[Mandante])=$A108)*tblDados[Primeira_Ocorrencia]*((tblDados[GM_M]+tblDados[GS_M])&gt;1.5))+SUMPRODUCT((TRIM(tblDados[Visitante])=$A108)*tblDados[Primeira_Ocorrencia]*((tblDados[GM_V]+tblDados[GS_V])&gt;1.5)))/G108,0))</f>
        <v>0.69230769230769229</v>
      </c>
      <c r="M108" s="11" cm="1">
        <f t="array" ref="M108">IF($A108="","",IFERROR((SUMPRODUCT((TRIM(tblDados[Mandante])=$A108)*tblDados[Primeira_Ocorrencia]*((tblDados[GM_M]+tblDados[GS_M])&gt;2.5))+SUMPRODUCT((TRIM(tblDados[Visitante])=$A108)*tblDados[Primeira_Ocorrencia]*((tblDados[GM_V]+tblDados[GS_V])&gt;2.5)))/G108,0))</f>
        <v>0.38461538461538464</v>
      </c>
      <c r="N108" s="11" cm="1">
        <f t="array" ref="N108">IF($A108="","",IFERROR((SUMPRODUCT((TRIM(tblDados[Mandante])=$A108)*tblDados[Primeira_Ocorrencia]*((tblDados[GM_M]+tblDados[GS_M])&gt;3.5))+SUMPRODUCT((TRIM(tblDados[Visitante])=$A108)*tblDados[Primeira_Ocorrencia]*((tblDados[GM_V]+tblDados[GS_V])&gt;3.5)))/G108,0))</f>
        <v>0.15384615384615385</v>
      </c>
      <c r="O108" s="11" cm="1">
        <f t="array" ref="O108">IF($A108="","",IFERROR((SUMPRODUCT((TRIM(tblDados[Mandante])=$A108)*tblDados[Primeira_Ocorrencia]*(tblDados[GM_M]&gt;0)*(tblDados[GS_M]&gt;0))+SUMPRODUCT((TRIM(tblDados[Visitante])=$A108)*tblDados[Primeira_Ocorrencia]*(tblDados[GM_V]&gt;0)*(tblDados[GS_V]&gt;0)))/G108,0))</f>
        <v>0.46153846153846156</v>
      </c>
      <c r="P108" s="10" cm="1">
        <f t="array" ref="P108">IF($A108="","",IFERROR((SUMPRODUCT((TRIM(tblDados[Mandante])=$A108)*tblDados[Primeira_Ocorrencia]*tblDados[GM_M]^2)+SUMPRODUCT((TRIM(tblDados[Visitante])=$A108)*tblDados[Primeira_Ocorrencia]*tblDados[GM_V]^2))/G108-H108^2,0))</f>
        <v>0.82840236686390512</v>
      </c>
      <c r="Q108" s="10">
        <f t="shared" si="22"/>
        <v>0.91016612047686385</v>
      </c>
      <c r="R108" s="8" t="str">
        <f t="shared" si="23"/>
        <v>Poisson</v>
      </c>
      <c r="S108" s="10" cm="1">
        <f t="array" ref="S108">IF($A108="","",SUMPRODUCT((TRIM(tblDados[Mandante])=$A108)*tblDados[Primeira_Ocorrencia]*tblDados[GM_M]))</f>
        <v>6</v>
      </c>
      <c r="T108" s="10" cm="1">
        <f t="array" ref="T108">IF($A108="","",SUMPRODUCT((TRIM(tblDados[Visitante])=$A108)*tblDados[Primeira_Ocorrencia]*tblDados[GM_V]))</f>
        <v>11</v>
      </c>
      <c r="U108" s="10">
        <f t="shared" si="24"/>
        <v>17</v>
      </c>
      <c r="V108" s="10">
        <f t="shared" si="13"/>
        <v>1.3076923076923077</v>
      </c>
      <c r="W108" s="10" cm="1">
        <f t="array" ref="W108">IF($A108="","",SUMPRODUCT((TRIM(tblDados[Mandante])=$A108)*tblDados[Primeira_Ocorrencia]*tblDados[GS_M]))</f>
        <v>4</v>
      </c>
      <c r="X108" s="10" cm="1">
        <f t="array" ref="X108">IF($A108="","",SUMPRODUCT((TRIM(tblDados[Visitante])=$A108)*tblDados[Primeira_Ocorrencia]*tblDados[GS_V]))</f>
        <v>9</v>
      </c>
      <c r="Y108" s="10">
        <f t="shared" si="25"/>
        <v>13</v>
      </c>
      <c r="Z108" s="10">
        <f t="shared" si="14"/>
        <v>1</v>
      </c>
      <c r="AA108" s="10">
        <f t="shared" si="15"/>
        <v>1.2</v>
      </c>
      <c r="AB108" s="10">
        <f t="shared" si="16"/>
        <v>0.8</v>
      </c>
      <c r="AC108" s="10">
        <f t="shared" si="17"/>
        <v>1.375</v>
      </c>
      <c r="AD108" s="10">
        <f t="shared" si="18"/>
        <v>1.125</v>
      </c>
    </row>
    <row r="109" spans="1:30" x14ac:dyDescent="0.3">
      <c r="A109" s="7" t="str">
        <v>LDU Quito</v>
      </c>
      <c r="B109" s="12" t="str" cm="1">
        <f t="array" ref="B109">IF($A109="","",_xlfn.LET(_xlpm.p,IFERROR(INDEX(tblDados[País],MATCH($A109,TRIM(tblDados[Mandante]),0)),INDEX(tblDados[País],MATCH($A109,TRIM(tblDados[Visitante]),0))),_xlpm.l,IFERROR(INDEX(tblDados[Liga],MATCH($A109,TRIM(tblDados[Mandante]),0)),INDEX(tblDados[Liga],MATCH($A109,TRIM(tblDados[Visitante]),0))),_xlpm.p&amp;" - "&amp;_xlpm.l))</f>
        <v>ECU - LigaPro Serie A</v>
      </c>
      <c r="C109" s="10">
        <f t="shared" si="19"/>
        <v>1.8571428571428572</v>
      </c>
      <c r="D109" s="10">
        <f t="shared" si="20"/>
        <v>1.8333333333333335</v>
      </c>
      <c r="E109" s="9" cm="1">
        <f t="array" ref="E109">IF($A109="","",SUMPRODUCT((TRIM(tblDados[Mandante])=$A109)*tblDados[Primeira_Ocorrencia]))</f>
        <v>7</v>
      </c>
      <c r="F109" s="9" cm="1">
        <f t="array" ref="F109">IF($A109="","",SUMPRODUCT((TRIM(tblDados[Visitante])=$A109)*tblDados[Primeira_Ocorrencia]))</f>
        <v>6</v>
      </c>
      <c r="G109" s="9" cm="1">
        <f t="array" ref="G109">IF($A109="","",SUMPRODUCT((TRIM(tblDados[Mandante])=$A109)*tblDados[Primeira_Ocorrencia])+SUMPRODUCT((TRIM(tblDados[Visitante])=$A109)*tblDados[Primeira_Ocorrencia]))</f>
        <v>13</v>
      </c>
      <c r="H109" s="10">
        <f t="shared" si="21"/>
        <v>1.0769230769230769</v>
      </c>
      <c r="I109" s="10" cm="1">
        <f t="array" ref="I109">IF($A109="","",_xlfn.LET(_xlpm.p,IFERROR(INDEX(tblDados[País],MATCH($A109,TRIM(tblDados[Mandante]),0)),INDEX(tblDados[País],MATCH($A109,TRIM(tblDados[Visitante]),0))),_xlpm.l,IFERROR(INDEX(tblDados[Liga],MATCH($A109,TRIM(tblDados[Mandante]),0)),INDEX(tblDados[Liga],MATCH($A109,TRIM(tblDados[Visitante]),0))),IFERROR(SUMIFS(Ligas!$D$2:$D$39,Ligas!$H$2:$H$39,_xlpm.p,Ligas!$I$2:$I$39,_xlpm.l),0)))</f>
        <v>2.5</v>
      </c>
      <c r="J109" s="11" cm="1">
        <f t="array" ref="J109">IF($A109="","",IFERROR((SUMPRODUCT((TRIM(tblDados[Mandante])=$A109)*tblDados[Primeira_Ocorrencia]*(tblDados[GM_M]=0))+SUMPRODUCT((TRIM(tblDados[Visitante])=$A109)*tblDados[Primeira_Ocorrencia]*(tblDados[GM_V]=0)))/G109,0))</f>
        <v>0.38461538461538464</v>
      </c>
      <c r="K109" s="11" cm="1">
        <f t="array" ref="K109">IF($A109="","",IFERROR((SUMPRODUCT((TRIM(tblDados[Mandante])=$A109)*tblDados[Primeira_Ocorrencia]*((tblDados[GM_M]+tblDados[GS_M])&gt;0.5))+SUMPRODUCT((TRIM(tblDados[Visitante])=$A109)*tblDados[Primeira_Ocorrencia]*((tblDados[GM_V]+tblDados[GS_V])&gt;0.5)))/G109,0))</f>
        <v>0.92307692307692313</v>
      </c>
      <c r="L109" s="11" cm="1">
        <f t="array" ref="L109">IF($A109="","",IFERROR((SUMPRODUCT((TRIM(tblDados[Mandante])=$A109)*tblDados[Primeira_Ocorrencia]*((tblDados[GM_M]+tblDados[GS_M])&gt;1.5))+SUMPRODUCT((TRIM(tblDados[Visitante])=$A109)*tblDados[Primeira_Ocorrencia]*((tblDados[GM_V]+tblDados[GS_V])&gt;1.5)))/G109,0))</f>
        <v>0.53846153846153844</v>
      </c>
      <c r="M109" s="11" cm="1">
        <f t="array" ref="M109">IF($A109="","",IFERROR((SUMPRODUCT((TRIM(tblDados[Mandante])=$A109)*tblDados[Primeira_Ocorrencia]*((tblDados[GM_M]+tblDados[GS_M])&gt;2.5))+SUMPRODUCT((TRIM(tblDados[Visitante])=$A109)*tblDados[Primeira_Ocorrencia]*((tblDados[GM_V]+tblDados[GS_V])&gt;2.5)))/G109,0))</f>
        <v>0.30769230769230771</v>
      </c>
      <c r="N109" s="11" cm="1">
        <f t="array" ref="N109">IF($A109="","",IFERROR((SUMPRODUCT((TRIM(tblDados[Mandante])=$A109)*tblDados[Primeira_Ocorrencia]*((tblDados[GM_M]+tblDados[GS_M])&gt;3.5))+SUMPRODUCT((TRIM(tblDados[Visitante])=$A109)*tblDados[Primeira_Ocorrencia]*((tblDados[GM_V]+tblDados[GS_V])&gt;3.5)))/G109,0))</f>
        <v>7.6923076923076927E-2</v>
      </c>
      <c r="O109" s="11" cm="1">
        <f t="array" ref="O109">IF($A109="","",IFERROR((SUMPRODUCT((TRIM(tblDados[Mandante])=$A109)*tblDados[Primeira_Ocorrencia]*(tblDados[GM_M]&gt;0)*(tblDados[GS_M]&gt;0))+SUMPRODUCT((TRIM(tblDados[Visitante])=$A109)*tblDados[Primeira_Ocorrencia]*(tblDados[GM_V]&gt;0)*(tblDados[GS_V]&gt;0)))/G109,0))</f>
        <v>0.38461538461538464</v>
      </c>
      <c r="P109" s="10" cm="1">
        <f t="array" ref="P109">IF($A109="","",IFERROR((SUMPRODUCT((TRIM(tblDados[Mandante])=$A109)*tblDados[Primeira_Ocorrencia]*tblDados[GM_M]^2)+SUMPRODUCT((TRIM(tblDados[Visitante])=$A109)*tblDados[Primeira_Ocorrencia]*tblDados[GM_V]^2))/G109-H109^2,0))</f>
        <v>1.1479289940828401</v>
      </c>
      <c r="Q109" s="10">
        <f t="shared" si="22"/>
        <v>1.0714144828603167</v>
      </c>
      <c r="R109" s="8" t="str">
        <f t="shared" si="23"/>
        <v>Poisson</v>
      </c>
      <c r="S109" s="10" cm="1">
        <f t="array" ref="S109">IF($A109="","",SUMPRODUCT((TRIM(tblDados[Mandante])=$A109)*tblDados[Primeira_Ocorrencia]*tblDados[GM_M]))</f>
        <v>8</v>
      </c>
      <c r="T109" s="10" cm="1">
        <f t="array" ref="T109">IF($A109="","",SUMPRODUCT((TRIM(tblDados[Visitante])=$A109)*tblDados[Primeira_Ocorrencia]*tblDados[GM_V]))</f>
        <v>6</v>
      </c>
      <c r="U109" s="10">
        <f t="shared" si="24"/>
        <v>14</v>
      </c>
      <c r="V109" s="10">
        <f t="shared" si="13"/>
        <v>1.0769230769230769</v>
      </c>
      <c r="W109" s="10" cm="1">
        <f t="array" ref="W109">IF($A109="","",SUMPRODUCT((TRIM(tblDados[Mandante])=$A109)*tblDados[Primeira_Ocorrencia]*tblDados[GS_M]))</f>
        <v>5</v>
      </c>
      <c r="X109" s="10" cm="1">
        <f t="array" ref="X109">IF($A109="","",SUMPRODUCT((TRIM(tblDados[Visitante])=$A109)*tblDados[Primeira_Ocorrencia]*tblDados[GS_V]))</f>
        <v>5</v>
      </c>
      <c r="Y109" s="10">
        <f t="shared" si="25"/>
        <v>10</v>
      </c>
      <c r="Z109" s="10">
        <f t="shared" si="14"/>
        <v>0.76923076923076927</v>
      </c>
      <c r="AA109" s="10">
        <f t="shared" si="15"/>
        <v>1.1428571428571428</v>
      </c>
      <c r="AB109" s="10">
        <f t="shared" si="16"/>
        <v>0.7142857142857143</v>
      </c>
      <c r="AC109" s="10">
        <f t="shared" si="17"/>
        <v>1</v>
      </c>
      <c r="AD109" s="10">
        <f t="shared" si="18"/>
        <v>0.83333333333333337</v>
      </c>
    </row>
    <row r="110" spans="1:30" x14ac:dyDescent="0.3">
      <c r="A110" s="7" t="str">
        <v>Leiknir</v>
      </c>
      <c r="B110" s="12" t="str" cm="1">
        <f t="array" ref="B110">IF($A110="","",_xlfn.LET(_xlpm.p,IFERROR(INDEX(tblDados[País],MATCH($A110,TRIM(tblDados[Mandante]),0)),INDEX(tblDados[País],MATCH($A110,TRIM(tblDados[Visitante]),0))),_xlpm.l,IFERROR(INDEX(tblDados[Liga],MATCH($A110,TRIM(tblDados[Mandante]),0)),INDEX(tblDados[Liga],MATCH($A110,TRIM(tblDados[Visitante]),0))),_xlpm.p&amp;" - "&amp;_xlpm.l))</f>
        <v>ISL - Lengjudeildin (1ªD)</v>
      </c>
      <c r="C110" s="10">
        <f t="shared" si="19"/>
        <v>3.125</v>
      </c>
      <c r="D110" s="10">
        <f t="shared" si="20"/>
        <v>2.6</v>
      </c>
      <c r="E110" s="9" cm="1">
        <f t="array" ref="E110">IF($A110="","",SUMPRODUCT((TRIM(tblDados[Mandante])=$A110)*tblDados[Primeira_Ocorrencia]))</f>
        <v>8</v>
      </c>
      <c r="F110" s="9" cm="1">
        <f t="array" ref="F110">IF($A110="","",SUMPRODUCT((TRIM(tblDados[Visitante])=$A110)*tblDados[Primeira_Ocorrencia]))</f>
        <v>5</v>
      </c>
      <c r="G110" s="9" cm="1">
        <f t="array" ref="G110">IF($A110="","",SUMPRODUCT((TRIM(tblDados[Mandante])=$A110)*tblDados[Primeira_Ocorrencia])+SUMPRODUCT((TRIM(tblDados[Visitante])=$A110)*tblDados[Primeira_Ocorrencia]))</f>
        <v>13</v>
      </c>
      <c r="H110" s="10">
        <f t="shared" si="21"/>
        <v>1.4615384615384615</v>
      </c>
      <c r="I110" s="10" cm="1">
        <f t="array" ref="I110">IF($A110="","",_xlfn.LET(_xlpm.p,IFERROR(INDEX(tblDados[País],MATCH($A110,TRIM(tblDados[Mandante]),0)),INDEX(tblDados[País],MATCH($A110,TRIM(tblDados[Visitante]),0))),_xlpm.l,IFERROR(INDEX(tblDados[Liga],MATCH($A110,TRIM(tblDados[Mandante]),0)),INDEX(tblDados[Liga],MATCH($A110,TRIM(tblDados[Visitante]),0))),IFERROR(SUMIFS(Ligas!$D$2:$D$39,Ligas!$H$2:$H$39,_xlpm.p,Ligas!$I$2:$I$39,_xlpm.l),0)))</f>
        <v>3.55</v>
      </c>
      <c r="J110" s="11" cm="1">
        <f t="array" ref="J110">IF($A110="","",IFERROR((SUMPRODUCT((TRIM(tblDados[Mandante])=$A110)*tblDados[Primeira_Ocorrencia]*(tblDados[GM_M]=0))+SUMPRODUCT((TRIM(tblDados[Visitante])=$A110)*tblDados[Primeira_Ocorrencia]*(tblDados[GM_V]=0)))/G110,0))</f>
        <v>0.38461538461538464</v>
      </c>
      <c r="K110" s="11" cm="1">
        <f t="array" ref="K110">IF($A110="","",IFERROR((SUMPRODUCT((TRIM(tblDados[Mandante])=$A110)*tblDados[Primeira_Ocorrencia]*((tblDados[GM_M]+tblDados[GS_M])&gt;0.5))+SUMPRODUCT((TRIM(tblDados[Visitante])=$A110)*tblDados[Primeira_Ocorrencia]*((tblDados[GM_V]+tblDados[GS_V])&gt;0.5)))/G110,0))</f>
        <v>0.92307692307692313</v>
      </c>
      <c r="L110" s="11" cm="1">
        <f t="array" ref="L110">IF($A110="","",IFERROR((SUMPRODUCT((TRIM(tblDados[Mandante])=$A110)*tblDados[Primeira_Ocorrencia]*((tblDados[GM_M]+tblDados[GS_M])&gt;1.5))+SUMPRODUCT((TRIM(tblDados[Visitante])=$A110)*tblDados[Primeira_Ocorrencia]*((tblDados[GM_V]+tblDados[GS_V])&gt;1.5)))/G110,0))</f>
        <v>0.61538461538461542</v>
      </c>
      <c r="M110" s="11" cm="1">
        <f t="array" ref="M110">IF($A110="","",IFERROR((SUMPRODUCT((TRIM(tblDados[Mandante])=$A110)*tblDados[Primeira_Ocorrencia]*((tblDados[GM_M]+tblDados[GS_M])&gt;2.5))+SUMPRODUCT((TRIM(tblDados[Visitante])=$A110)*tblDados[Primeira_Ocorrencia]*((tblDados[GM_V]+tblDados[GS_V])&gt;2.5)))/G110,0))</f>
        <v>0.61538461538461542</v>
      </c>
      <c r="N110" s="11" cm="1">
        <f t="array" ref="N110">IF($A110="","",IFERROR((SUMPRODUCT((TRIM(tblDados[Mandante])=$A110)*tblDados[Primeira_Ocorrencia]*((tblDados[GM_M]+tblDados[GS_M])&gt;3.5))+SUMPRODUCT((TRIM(tblDados[Visitante])=$A110)*tblDados[Primeira_Ocorrencia]*((tblDados[GM_V]+tblDados[GS_V])&gt;3.5)))/G110,0))</f>
        <v>0.30769230769230771</v>
      </c>
      <c r="O110" s="11" cm="1">
        <f t="array" ref="O110">IF($A110="","",IFERROR((SUMPRODUCT((TRIM(tblDados[Mandante])=$A110)*tblDados[Primeira_Ocorrencia]*(tblDados[GM_M]&gt;0)*(tblDados[GS_M]&gt;0))+SUMPRODUCT((TRIM(tblDados[Visitante])=$A110)*tblDados[Primeira_Ocorrencia]*(tblDados[GM_V]&gt;0)*(tblDados[GS_V]&gt;0)))/G110,0))</f>
        <v>0.38461538461538464</v>
      </c>
      <c r="P110" s="10" cm="1">
        <f t="array" ref="P110">IF($A110="","",IFERROR((SUMPRODUCT((TRIM(tblDados[Mandante])=$A110)*tblDados[Primeira_Ocorrencia]*tblDados[GM_M]^2)+SUMPRODUCT((TRIM(tblDados[Visitante])=$A110)*tblDados[Primeira_Ocorrencia]*tblDados[GM_V]^2))/G110-H110^2,0))</f>
        <v>1.940828402366864</v>
      </c>
      <c r="Q110" s="10">
        <f t="shared" si="22"/>
        <v>1.3931361750980642</v>
      </c>
      <c r="R110" s="8" t="str">
        <f t="shared" si="23"/>
        <v>Poisson</v>
      </c>
      <c r="S110" s="10" cm="1">
        <f t="array" ref="S110">IF($A110="","",SUMPRODUCT((TRIM(tblDados[Mandante])=$A110)*tblDados[Primeira_Ocorrencia]*tblDados[GM_M]))</f>
        <v>14</v>
      </c>
      <c r="T110" s="10" cm="1">
        <f t="array" ref="T110">IF($A110="","",SUMPRODUCT((TRIM(tblDados[Visitante])=$A110)*tblDados[Primeira_Ocorrencia]*tblDados[GM_V]))</f>
        <v>5</v>
      </c>
      <c r="U110" s="10">
        <f t="shared" si="24"/>
        <v>19</v>
      </c>
      <c r="V110" s="10">
        <f t="shared" si="13"/>
        <v>1.4615384615384615</v>
      </c>
      <c r="W110" s="10" cm="1">
        <f t="array" ref="W110">IF($A110="","",SUMPRODUCT((TRIM(tblDados[Mandante])=$A110)*tblDados[Primeira_Ocorrencia]*tblDados[GS_M]))</f>
        <v>11</v>
      </c>
      <c r="X110" s="10" cm="1">
        <f t="array" ref="X110">IF($A110="","",SUMPRODUCT((TRIM(tblDados[Visitante])=$A110)*tblDados[Primeira_Ocorrencia]*tblDados[GS_V]))</f>
        <v>8</v>
      </c>
      <c r="Y110" s="10">
        <f t="shared" si="25"/>
        <v>19</v>
      </c>
      <c r="Z110" s="10">
        <f t="shared" si="14"/>
        <v>1.4615384615384615</v>
      </c>
      <c r="AA110" s="10">
        <f t="shared" si="15"/>
        <v>1.75</v>
      </c>
      <c r="AB110" s="10">
        <f t="shared" si="16"/>
        <v>1.375</v>
      </c>
      <c r="AC110" s="10">
        <f t="shared" si="17"/>
        <v>1</v>
      </c>
      <c r="AD110" s="10">
        <f t="shared" si="18"/>
        <v>1.6</v>
      </c>
    </row>
    <row r="111" spans="1:30" x14ac:dyDescent="0.3">
      <c r="A111" s="7" t="str">
        <v>Lilla Torg FF</v>
      </c>
      <c r="B111" s="12" t="str" cm="1">
        <f t="array" ref="B111">IF($A111="","",_xlfn.LET(_xlpm.p,IFERROR(INDEX(tblDados[País],MATCH($A111,TRIM(tblDados[Mandante]),0)),INDEX(tblDados[País],MATCH($A111,TRIM(tblDados[Visitante]),0))),_xlpm.l,IFERROR(INDEX(tblDados[Liga],MATCH($A111,TRIM(tblDados[Mandante]),0)),INDEX(tblDados[Liga],MATCH($A111,TRIM(tblDados[Visitante]),0))),_xlpm.p&amp;" - "&amp;_xlpm.l))</f>
        <v>SWE - 2ª D Södra Götaland</v>
      </c>
      <c r="C111" s="10">
        <f t="shared" si="19"/>
        <v>2.1428571428571428</v>
      </c>
      <c r="D111" s="10">
        <f t="shared" si="20"/>
        <v>3</v>
      </c>
      <c r="E111" s="9" cm="1">
        <f t="array" ref="E111">IF($A111="","",SUMPRODUCT((TRIM(tblDados[Mandante])=$A111)*tblDados[Primeira_Ocorrencia]))</f>
        <v>7</v>
      </c>
      <c r="F111" s="9" cm="1">
        <f t="array" ref="F111">IF($A111="","",SUMPRODUCT((TRIM(tblDados[Visitante])=$A111)*tblDados[Primeira_Ocorrencia]))</f>
        <v>6</v>
      </c>
      <c r="G111" s="9" cm="1">
        <f t="array" ref="G111">IF($A111="","",SUMPRODUCT((TRIM(tblDados[Mandante])=$A111)*tblDados[Primeira_Ocorrencia])+SUMPRODUCT((TRIM(tblDados[Visitante])=$A111)*tblDados[Primeira_Ocorrencia]))</f>
        <v>13</v>
      </c>
      <c r="H111" s="10">
        <f t="shared" si="21"/>
        <v>1.3076923076923077</v>
      </c>
      <c r="I111" s="10" cm="1">
        <f t="array" ref="I111">IF($A111="","",_xlfn.LET(_xlpm.p,IFERROR(INDEX(tblDados[País],MATCH($A111,TRIM(tblDados[Mandante]),0)),INDEX(tblDados[País],MATCH($A111,TRIM(tblDados[Visitante]),0))),_xlpm.l,IFERROR(INDEX(tblDados[Liga],MATCH($A111,TRIM(tblDados[Mandante]),0)),INDEX(tblDados[Liga],MATCH($A111,TRIM(tblDados[Visitante]),0))),IFERROR(SUMIFS(Ligas!$D$2:$D$39,Ligas!$H$2:$H$39,_xlpm.p,Ligas!$I$2:$I$39,_xlpm.l),0)))</f>
        <v>2.5</v>
      </c>
      <c r="J111" s="11" cm="1">
        <f t="array" ref="J111">IF($A111="","",IFERROR((SUMPRODUCT((TRIM(tblDados[Mandante])=$A111)*tblDados[Primeira_Ocorrencia]*(tblDados[GM_M]=0))+SUMPRODUCT((TRIM(tblDados[Visitante])=$A111)*tblDados[Primeira_Ocorrencia]*(tblDados[GM_V]=0)))/G111,0))</f>
        <v>0.30769230769230771</v>
      </c>
      <c r="K111" s="11" cm="1">
        <f t="array" ref="K111">IF($A111="","",IFERROR((SUMPRODUCT((TRIM(tblDados[Mandante])=$A111)*tblDados[Primeira_Ocorrencia]*((tblDados[GM_M]+tblDados[GS_M])&gt;0.5))+SUMPRODUCT((TRIM(tblDados[Visitante])=$A111)*tblDados[Primeira_Ocorrencia]*((tblDados[GM_V]+tblDados[GS_V])&gt;0.5)))/G111,0))</f>
        <v>0.84615384615384615</v>
      </c>
      <c r="L111" s="11" cm="1">
        <f t="array" ref="L111">IF($A111="","",IFERROR((SUMPRODUCT((TRIM(tblDados[Mandante])=$A111)*tblDados[Primeira_Ocorrencia]*((tblDados[GM_M]+tblDados[GS_M])&gt;1.5))+SUMPRODUCT((TRIM(tblDados[Visitante])=$A111)*tblDados[Primeira_Ocorrencia]*((tblDados[GM_V]+tblDados[GS_V])&gt;1.5)))/G111,0))</f>
        <v>0.76923076923076927</v>
      </c>
      <c r="M111" s="11" cm="1">
        <f t="array" ref="M111">IF($A111="","",IFERROR((SUMPRODUCT((TRIM(tblDados[Mandante])=$A111)*tblDados[Primeira_Ocorrencia]*((tblDados[GM_M]+tblDados[GS_M])&gt;2.5))+SUMPRODUCT((TRIM(tblDados[Visitante])=$A111)*tblDados[Primeira_Ocorrencia]*((tblDados[GM_V]+tblDados[GS_V])&gt;2.5)))/G111,0))</f>
        <v>0.38461538461538464</v>
      </c>
      <c r="N111" s="11" cm="1">
        <f t="array" ref="N111">IF($A111="","",IFERROR((SUMPRODUCT((TRIM(tblDados[Mandante])=$A111)*tblDados[Primeira_Ocorrencia]*((tblDados[GM_M]+tblDados[GS_M])&gt;3.5))+SUMPRODUCT((TRIM(tblDados[Visitante])=$A111)*tblDados[Primeira_Ocorrencia]*((tblDados[GM_V]+tblDados[GS_V])&gt;3.5)))/G111,0))</f>
        <v>0.30769230769230771</v>
      </c>
      <c r="O111" s="11" cm="1">
        <f t="array" ref="O111">IF($A111="","",IFERROR((SUMPRODUCT((TRIM(tblDados[Mandante])=$A111)*tblDados[Primeira_Ocorrencia]*(tblDados[GM_M]&gt;0)*(tblDados[GS_M]&gt;0))+SUMPRODUCT((TRIM(tblDados[Visitante])=$A111)*tblDados[Primeira_Ocorrencia]*(tblDados[GM_V]&gt;0)*(tblDados[GS_V]&gt;0)))/G111,0))</f>
        <v>0.46153846153846156</v>
      </c>
      <c r="P111" s="10" cm="1">
        <f t="array" ref="P111">IF($A111="","",IFERROR((SUMPRODUCT((TRIM(tblDados[Mandante])=$A111)*tblDados[Primeira_Ocorrencia]*tblDados[GM_M]^2)+SUMPRODUCT((TRIM(tblDados[Visitante])=$A111)*tblDados[Primeira_Ocorrencia]*tblDados[GM_V]^2))/G111-H111^2,0))</f>
        <v>1.4437869822485205</v>
      </c>
      <c r="Q111" s="10">
        <f t="shared" si="22"/>
        <v>1.2015768732164083</v>
      </c>
      <c r="R111" s="8" t="str">
        <f t="shared" si="23"/>
        <v>Poisson</v>
      </c>
      <c r="S111" s="10" cm="1">
        <f t="array" ref="S111">IF($A111="","",SUMPRODUCT((TRIM(tblDados[Mandante])=$A111)*tblDados[Primeira_Ocorrencia]*tblDados[GM_M]))</f>
        <v>10</v>
      </c>
      <c r="T111" s="10" cm="1">
        <f t="array" ref="T111">IF($A111="","",SUMPRODUCT((TRIM(tblDados[Visitante])=$A111)*tblDados[Primeira_Ocorrencia]*tblDados[GM_V]))</f>
        <v>7</v>
      </c>
      <c r="U111" s="10">
        <f t="shared" si="24"/>
        <v>17</v>
      </c>
      <c r="V111" s="10">
        <f t="shared" si="13"/>
        <v>1.3076923076923077</v>
      </c>
      <c r="W111" s="10" cm="1">
        <f t="array" ref="W111">IF($A111="","",SUMPRODUCT((TRIM(tblDados[Mandante])=$A111)*tblDados[Primeira_Ocorrencia]*tblDados[GS_M]))</f>
        <v>5</v>
      </c>
      <c r="X111" s="10" cm="1">
        <f t="array" ref="X111">IF($A111="","",SUMPRODUCT((TRIM(tblDados[Visitante])=$A111)*tblDados[Primeira_Ocorrencia]*tblDados[GS_V]))</f>
        <v>11</v>
      </c>
      <c r="Y111" s="10">
        <f t="shared" si="25"/>
        <v>16</v>
      </c>
      <c r="Z111" s="10">
        <f t="shared" si="14"/>
        <v>1.2307692307692308</v>
      </c>
      <c r="AA111" s="10">
        <f t="shared" si="15"/>
        <v>1.4285714285714286</v>
      </c>
      <c r="AB111" s="10">
        <f t="shared" si="16"/>
        <v>0.7142857142857143</v>
      </c>
      <c r="AC111" s="10">
        <f t="shared" si="17"/>
        <v>1.1666666666666667</v>
      </c>
      <c r="AD111" s="10">
        <f t="shared" si="18"/>
        <v>1.8333333333333333</v>
      </c>
    </row>
    <row r="112" spans="1:30" x14ac:dyDescent="0.3">
      <c r="A112" s="7" t="str">
        <v>Lillestrøm SK</v>
      </c>
      <c r="B112" s="12" t="str" cm="1">
        <f t="array" ref="B112">IF($A112="","",_xlfn.LET(_xlpm.p,IFERROR(INDEX(tblDados[País],MATCH($A112,TRIM(tblDados[Mandante]),0)),INDEX(tblDados[País],MATCH($A112,TRIM(tblDados[Visitante]),0))),_xlpm.l,IFERROR(INDEX(tblDados[Liga],MATCH($A112,TRIM(tblDados[Mandante]),0)),INDEX(tblDados[Liga],MATCH($A112,TRIM(tblDados[Visitante]),0))),_xlpm.p&amp;" - "&amp;_xlpm.l))</f>
        <v>NOR - Eliteserien</v>
      </c>
      <c r="C112" s="10">
        <f t="shared" si="19"/>
        <v>3</v>
      </c>
      <c r="D112" s="10">
        <f t="shared" si="20"/>
        <v>2</v>
      </c>
      <c r="E112" s="9" cm="1">
        <f t="array" ref="E112">IF($A112="","",SUMPRODUCT((TRIM(tblDados[Mandante])=$A112)*tblDados[Primeira_Ocorrencia]))</f>
        <v>7</v>
      </c>
      <c r="F112" s="9" cm="1">
        <f t="array" ref="F112">IF($A112="","",SUMPRODUCT((TRIM(tblDados[Visitante])=$A112)*tblDados[Primeira_Ocorrencia]))</f>
        <v>6</v>
      </c>
      <c r="G112" s="9" cm="1">
        <f t="array" ref="G112">IF($A112="","",SUMPRODUCT((TRIM(tblDados[Mandante])=$A112)*tblDados[Primeira_Ocorrencia])+SUMPRODUCT((TRIM(tblDados[Visitante])=$A112)*tblDados[Primeira_Ocorrencia]))</f>
        <v>13</v>
      </c>
      <c r="H112" s="10">
        <f t="shared" si="21"/>
        <v>1.1538461538461537</v>
      </c>
      <c r="I112" s="10" cm="1">
        <f t="array" ref="I112">IF($A112="","",_xlfn.LET(_xlpm.p,IFERROR(INDEX(tblDados[País],MATCH($A112,TRIM(tblDados[Mandante]),0)),INDEX(tblDados[País],MATCH($A112,TRIM(tblDados[Visitante]),0))),_xlpm.l,IFERROR(INDEX(tblDados[Liga],MATCH($A112,TRIM(tblDados[Mandante]),0)),INDEX(tblDados[Liga],MATCH($A112,TRIM(tblDados[Visitante]),0))),IFERROR(SUMIFS(Ligas!$D$2:$D$39,Ligas!$H$2:$H$39,_xlpm.p,Ligas!$I$2:$I$39,_xlpm.l),0)))</f>
        <v>2.5</v>
      </c>
      <c r="J112" s="11" cm="1">
        <f t="array" ref="J112">IF($A112="","",IFERROR((SUMPRODUCT((TRIM(tblDados[Mandante])=$A112)*tblDados[Primeira_Ocorrencia]*(tblDados[GM_M]=0))+SUMPRODUCT((TRIM(tblDados[Visitante])=$A112)*tblDados[Primeira_Ocorrencia]*(tblDados[GM_V]=0)))/G112,0))</f>
        <v>0.46153846153846156</v>
      </c>
      <c r="K112" s="11" cm="1">
        <f t="array" ref="K112">IF($A112="","",IFERROR((SUMPRODUCT((TRIM(tblDados[Mandante])=$A112)*tblDados[Primeira_Ocorrencia]*((tblDados[GM_M]+tblDados[GS_M])&gt;0.5))+SUMPRODUCT((TRIM(tblDados[Visitante])=$A112)*tblDados[Primeira_Ocorrencia]*((tblDados[GM_V]+tblDados[GS_V])&gt;0.5)))/G112,0))</f>
        <v>0.92307692307692313</v>
      </c>
      <c r="L112" s="11" cm="1">
        <f t="array" ref="L112">IF($A112="","",IFERROR((SUMPRODUCT((TRIM(tblDados[Mandante])=$A112)*tblDados[Primeira_Ocorrencia]*((tblDados[GM_M]+tblDados[GS_M])&gt;1.5))+SUMPRODUCT((TRIM(tblDados[Visitante])=$A112)*tblDados[Primeira_Ocorrencia]*((tblDados[GM_V]+tblDados[GS_V])&gt;1.5)))/G112,0))</f>
        <v>0.92307692307692313</v>
      </c>
      <c r="M112" s="11" cm="1">
        <f t="array" ref="M112">IF($A112="","",IFERROR((SUMPRODUCT((TRIM(tblDados[Mandante])=$A112)*tblDados[Primeira_Ocorrencia]*((tblDados[GM_M]+tblDados[GS_M])&gt;2.5))+SUMPRODUCT((TRIM(tblDados[Visitante])=$A112)*tblDados[Primeira_Ocorrencia]*((tblDados[GM_V]+tblDados[GS_V])&gt;2.5)))/G112,0))</f>
        <v>0.46153846153846156</v>
      </c>
      <c r="N112" s="11" cm="1">
        <f t="array" ref="N112">IF($A112="","",IFERROR((SUMPRODUCT((TRIM(tblDados[Mandante])=$A112)*tblDados[Primeira_Ocorrencia]*((tblDados[GM_M]+tblDados[GS_M])&gt;3.5))+SUMPRODUCT((TRIM(tblDados[Visitante])=$A112)*tblDados[Primeira_Ocorrencia]*((tblDados[GM_V]+tblDados[GS_V])&gt;3.5)))/G112,0))</f>
        <v>0.23076923076923078</v>
      </c>
      <c r="O112" s="11" cm="1">
        <f t="array" ref="O112">IF($A112="","",IFERROR((SUMPRODUCT((TRIM(tblDados[Mandante])=$A112)*tblDados[Primeira_Ocorrencia]*(tblDados[GM_M]&gt;0)*(tblDados[GS_M]&gt;0))+SUMPRODUCT((TRIM(tblDados[Visitante])=$A112)*tblDados[Primeira_Ocorrencia]*(tblDados[GM_V]&gt;0)*(tblDados[GS_V]&gt;0)))/G112,0))</f>
        <v>0.30769230769230771</v>
      </c>
      <c r="P112" s="10" cm="1">
        <f t="array" ref="P112">IF($A112="","",IFERROR((SUMPRODUCT((TRIM(tblDados[Mandante])=$A112)*tblDados[Primeira_Ocorrencia]*tblDados[GM_M]^2)+SUMPRODUCT((TRIM(tblDados[Visitante])=$A112)*tblDados[Primeira_Ocorrencia]*tblDados[GM_V]^2))/G112-H112^2,0))</f>
        <v>1.6686390532544382</v>
      </c>
      <c r="Q112" s="10">
        <f t="shared" si="22"/>
        <v>1.2917581249035897</v>
      </c>
      <c r="R112" s="8" t="str">
        <f t="shared" si="23"/>
        <v>Poisson</v>
      </c>
      <c r="S112" s="10" cm="1">
        <f t="array" ref="S112">IF($A112="","",SUMPRODUCT((TRIM(tblDados[Mandante])=$A112)*tblDados[Primeira_Ocorrencia]*tblDados[GM_M]))</f>
        <v>11</v>
      </c>
      <c r="T112" s="10" cm="1">
        <f t="array" ref="T112">IF($A112="","",SUMPRODUCT((TRIM(tblDados[Visitante])=$A112)*tblDados[Primeira_Ocorrencia]*tblDados[GM_V]))</f>
        <v>4</v>
      </c>
      <c r="U112" s="10">
        <f t="shared" si="24"/>
        <v>15</v>
      </c>
      <c r="V112" s="10">
        <f t="shared" si="13"/>
        <v>1.1538461538461537</v>
      </c>
      <c r="W112" s="10" cm="1">
        <f t="array" ref="W112">IF($A112="","",SUMPRODUCT((TRIM(tblDados[Mandante])=$A112)*tblDados[Primeira_Ocorrencia]*tblDados[GS_M]))</f>
        <v>10</v>
      </c>
      <c r="X112" s="10" cm="1">
        <f t="array" ref="X112">IF($A112="","",SUMPRODUCT((TRIM(tblDados[Visitante])=$A112)*tblDados[Primeira_Ocorrencia]*tblDados[GS_V]))</f>
        <v>8</v>
      </c>
      <c r="Y112" s="10">
        <f t="shared" si="25"/>
        <v>18</v>
      </c>
      <c r="Z112" s="10">
        <f t="shared" si="14"/>
        <v>1.3846153846153846</v>
      </c>
      <c r="AA112" s="10">
        <f t="shared" si="15"/>
        <v>1.5714285714285714</v>
      </c>
      <c r="AB112" s="10">
        <f t="shared" si="16"/>
        <v>1.4285714285714286</v>
      </c>
      <c r="AC112" s="10">
        <f t="shared" si="17"/>
        <v>0.66666666666666663</v>
      </c>
      <c r="AD112" s="10">
        <f t="shared" si="18"/>
        <v>1.3333333333333333</v>
      </c>
    </row>
    <row r="113" spans="1:30" x14ac:dyDescent="0.3">
      <c r="A113" s="7" t="str">
        <v>Los Angeles FC</v>
      </c>
      <c r="B113" s="12" t="str" cm="1">
        <f t="array" ref="B113">IF($A113="","",_xlfn.LET(_xlpm.p,IFERROR(INDEX(tblDados[País],MATCH($A113,TRIM(tblDados[Mandante]),0)),INDEX(tblDados[País],MATCH($A113,TRIM(tblDados[Visitante]),0))),_xlpm.l,IFERROR(INDEX(tblDados[Liga],MATCH($A113,TRIM(tblDados[Mandante]),0)),INDEX(tblDados[Liga],MATCH($A113,TRIM(tblDados[Visitante]),0))),_xlpm.p&amp;" - "&amp;_xlpm.l))</f>
        <v>USA - MLS-West</v>
      </c>
      <c r="C113" s="10">
        <f t="shared" si="19"/>
        <v>3.166666666666667</v>
      </c>
      <c r="D113" s="10">
        <f t="shared" si="20"/>
        <v>3</v>
      </c>
      <c r="E113" s="9" cm="1">
        <f t="array" ref="E113">IF($A113="","",SUMPRODUCT((TRIM(tblDados[Mandante])=$A113)*tblDados[Primeira_Ocorrencia]))</f>
        <v>6</v>
      </c>
      <c r="F113" s="9" cm="1">
        <f t="array" ref="F113">IF($A113="","",SUMPRODUCT((TRIM(tblDados[Visitante])=$A113)*tblDados[Primeira_Ocorrencia]))</f>
        <v>7</v>
      </c>
      <c r="G113" s="9" cm="1">
        <f t="array" ref="G113">IF($A113="","",SUMPRODUCT((TRIM(tblDados[Mandante])=$A113)*tblDados[Primeira_Ocorrencia])+SUMPRODUCT((TRIM(tblDados[Visitante])=$A113)*tblDados[Primeira_Ocorrencia]))</f>
        <v>13</v>
      </c>
      <c r="H113" s="10">
        <f t="shared" si="21"/>
        <v>1.6153846153846154</v>
      </c>
      <c r="I113" s="10" cm="1">
        <f t="array" ref="I113">IF($A113="","",_xlfn.LET(_xlpm.p,IFERROR(INDEX(tblDados[País],MATCH($A113,TRIM(tblDados[Mandante]),0)),INDEX(tblDados[País],MATCH($A113,TRIM(tblDados[Visitante]),0))),_xlpm.l,IFERROR(INDEX(tblDados[Liga],MATCH($A113,TRIM(tblDados[Mandante]),0)),INDEX(tblDados[Liga],MATCH($A113,TRIM(tblDados[Visitante]),0))),IFERROR(SUMIFS(Ligas!$D$2:$D$39,Ligas!$H$2:$H$39,_xlpm.p,Ligas!$I$2:$I$39,_xlpm.l),0)))</f>
        <v>3.3</v>
      </c>
      <c r="J113" s="11" cm="1">
        <f t="array" ref="J113">IF($A113="","",IFERROR((SUMPRODUCT((TRIM(tblDados[Mandante])=$A113)*tblDados[Primeira_Ocorrencia]*(tblDados[GM_M]=0))+SUMPRODUCT((TRIM(tblDados[Visitante])=$A113)*tblDados[Primeira_Ocorrencia]*(tblDados[GM_V]=0)))/G113,0))</f>
        <v>7.6923076923076927E-2</v>
      </c>
      <c r="K113" s="11" cm="1">
        <f t="array" ref="K113">IF($A113="","",IFERROR((SUMPRODUCT((TRIM(tblDados[Mandante])=$A113)*tblDados[Primeira_Ocorrencia]*((tblDados[GM_M]+tblDados[GS_M])&gt;0.5))+SUMPRODUCT((TRIM(tblDados[Visitante])=$A113)*tblDados[Primeira_Ocorrencia]*((tblDados[GM_V]+tblDados[GS_V])&gt;0.5)))/G113,0))</f>
        <v>0.92307692307692313</v>
      </c>
      <c r="L113" s="11" cm="1">
        <f t="array" ref="L113">IF($A113="","",IFERROR((SUMPRODUCT((TRIM(tblDados[Mandante])=$A113)*tblDados[Primeira_Ocorrencia]*((tblDados[GM_M]+tblDados[GS_M])&gt;1.5))+SUMPRODUCT((TRIM(tblDados[Visitante])=$A113)*tblDados[Primeira_Ocorrencia]*((tblDados[GM_V]+tblDados[GS_V])&gt;1.5)))/G113,0))</f>
        <v>0.76923076923076927</v>
      </c>
      <c r="M113" s="11" cm="1">
        <f t="array" ref="M113">IF($A113="","",IFERROR((SUMPRODUCT((TRIM(tblDados[Mandante])=$A113)*tblDados[Primeira_Ocorrencia]*((tblDados[GM_M]+tblDados[GS_M])&gt;2.5))+SUMPRODUCT((TRIM(tblDados[Visitante])=$A113)*tblDados[Primeira_Ocorrencia]*((tblDados[GM_V]+tblDados[GS_V])&gt;2.5)))/G113,0))</f>
        <v>0.69230769230769229</v>
      </c>
      <c r="N113" s="11" cm="1">
        <f t="array" ref="N113">IF($A113="","",IFERROR((SUMPRODUCT((TRIM(tblDados[Mandante])=$A113)*tblDados[Primeira_Ocorrencia]*((tblDados[GM_M]+tblDados[GS_M])&gt;3.5))+SUMPRODUCT((TRIM(tblDados[Visitante])=$A113)*tblDados[Primeira_Ocorrencia]*((tblDados[GM_V]+tblDados[GS_V])&gt;3.5)))/G113,0))</f>
        <v>0.46153846153846156</v>
      </c>
      <c r="O113" s="11" cm="1">
        <f t="array" ref="O113">IF($A113="","",IFERROR((SUMPRODUCT((TRIM(tblDados[Mandante])=$A113)*tblDados[Primeira_Ocorrencia]*(tblDados[GM_M]&gt;0)*(tblDados[GS_M]&gt;0))+SUMPRODUCT((TRIM(tblDados[Visitante])=$A113)*tblDados[Primeira_Ocorrencia]*(tblDados[GM_V]&gt;0)*(tblDados[GS_V]&gt;0)))/G113,0))</f>
        <v>0.61538461538461542</v>
      </c>
      <c r="P113" s="10" cm="1">
        <f t="array" ref="P113">IF($A113="","",IFERROR((SUMPRODUCT((TRIM(tblDados[Mandante])=$A113)*tblDados[Primeira_Ocorrencia]*tblDados[GM_M]^2)+SUMPRODUCT((TRIM(tblDados[Visitante])=$A113)*tblDados[Primeira_Ocorrencia]*tblDados[GM_V]^2))/G113-H113^2,0))</f>
        <v>1.1597633136094672</v>
      </c>
      <c r="Q113" s="10">
        <f t="shared" si="22"/>
        <v>1.0769230769230769</v>
      </c>
      <c r="R113" s="8" t="str">
        <f t="shared" si="23"/>
        <v>Poisson</v>
      </c>
      <c r="S113" s="10" cm="1">
        <f t="array" ref="S113">IF($A113="","",SUMPRODUCT((TRIM(tblDados[Mandante])=$A113)*tblDados[Primeira_Ocorrencia]*tblDados[GM_M]))</f>
        <v>10</v>
      </c>
      <c r="T113" s="10" cm="1">
        <f t="array" ref="T113">IF($A113="","",SUMPRODUCT((TRIM(tblDados[Visitante])=$A113)*tblDados[Primeira_Ocorrencia]*tblDados[GM_V]))</f>
        <v>11</v>
      </c>
      <c r="U113" s="10">
        <f t="shared" si="24"/>
        <v>21</v>
      </c>
      <c r="V113" s="10">
        <f t="shared" si="13"/>
        <v>1.6153846153846154</v>
      </c>
      <c r="W113" s="10" cm="1">
        <f t="array" ref="W113">IF($A113="","",SUMPRODUCT((TRIM(tblDados[Mandante])=$A113)*tblDados[Primeira_Ocorrencia]*tblDados[GS_M]))</f>
        <v>9</v>
      </c>
      <c r="X113" s="10" cm="1">
        <f t="array" ref="X113">IF($A113="","",SUMPRODUCT((TRIM(tblDados[Visitante])=$A113)*tblDados[Primeira_Ocorrencia]*tblDados[GS_V]))</f>
        <v>10</v>
      </c>
      <c r="Y113" s="10">
        <f t="shared" si="25"/>
        <v>19</v>
      </c>
      <c r="Z113" s="10">
        <f t="shared" si="14"/>
        <v>1.4615384615384615</v>
      </c>
      <c r="AA113" s="10">
        <f t="shared" si="15"/>
        <v>1.6666666666666667</v>
      </c>
      <c r="AB113" s="10">
        <f t="shared" si="16"/>
        <v>1.5</v>
      </c>
      <c r="AC113" s="10">
        <f t="shared" si="17"/>
        <v>1.5714285714285714</v>
      </c>
      <c r="AD113" s="10">
        <f t="shared" si="18"/>
        <v>1.4285714285714286</v>
      </c>
    </row>
    <row r="114" spans="1:30" x14ac:dyDescent="0.3">
      <c r="A114" s="7" t="str">
        <v>Malmö FF</v>
      </c>
      <c r="B114" s="12" t="str" cm="1">
        <f t="array" ref="B114">IF($A114="","",_xlfn.LET(_xlpm.p,IFERROR(INDEX(tblDados[País],MATCH($A114,TRIM(tblDados[Mandante]),0)),INDEX(tblDados[País],MATCH($A114,TRIM(tblDados[Visitante]),0))),_xlpm.l,IFERROR(INDEX(tblDados[Liga],MATCH($A114,TRIM(tblDados[Mandante]),0)),INDEX(tblDados[Liga],MATCH($A114,TRIM(tblDados[Visitante]),0))),_xlpm.p&amp;" - "&amp;_xlpm.l))</f>
        <v>SWE - Allsvenskan</v>
      </c>
      <c r="C114" s="10">
        <f t="shared" si="19"/>
        <v>4.5</v>
      </c>
      <c r="D114" s="10">
        <f t="shared" si="20"/>
        <v>2.8571428571428572</v>
      </c>
      <c r="E114" s="9" cm="1">
        <f t="array" ref="E114">IF($A114="","",SUMPRODUCT((TRIM(tblDados[Mandante])=$A114)*tblDados[Primeira_Ocorrencia]))</f>
        <v>6</v>
      </c>
      <c r="F114" s="9" cm="1">
        <f t="array" ref="F114">IF($A114="","",SUMPRODUCT((TRIM(tblDados[Visitante])=$A114)*tblDados[Primeira_Ocorrencia]))</f>
        <v>7</v>
      </c>
      <c r="G114" s="9" cm="1">
        <f t="array" ref="G114">IF($A114="","",SUMPRODUCT((TRIM(tblDados[Mandante])=$A114)*tblDados[Primeira_Ocorrencia])+SUMPRODUCT((TRIM(tblDados[Visitante])=$A114)*tblDados[Primeira_Ocorrencia]))</f>
        <v>13</v>
      </c>
      <c r="H114" s="10">
        <f t="shared" si="21"/>
        <v>1.9230769230769231</v>
      </c>
      <c r="I114" s="10" cm="1">
        <f t="array" ref="I114">IF($A114="","",_xlfn.LET(_xlpm.p,IFERROR(INDEX(tblDados[País],MATCH($A114,TRIM(tblDados[Mandante]),0)),INDEX(tblDados[País],MATCH($A114,TRIM(tblDados[Visitante]),0))),_xlpm.l,IFERROR(INDEX(tblDados[Liga],MATCH($A114,TRIM(tblDados[Mandante]),0)),INDEX(tblDados[Liga],MATCH($A114,TRIM(tblDados[Visitante]),0))),IFERROR(SUMIFS(Ligas!$D$2:$D$39,Ligas!$H$2:$H$39,_xlpm.p,Ligas!$I$2:$I$39,_xlpm.l),0)))</f>
        <v>2.5</v>
      </c>
      <c r="J114" s="11" cm="1">
        <f t="array" ref="J114">IF($A114="","",IFERROR((SUMPRODUCT((TRIM(tblDados[Mandante])=$A114)*tblDados[Primeira_Ocorrencia]*(tblDados[GM_M]=0))+SUMPRODUCT((TRIM(tblDados[Visitante])=$A114)*tblDados[Primeira_Ocorrencia]*(tblDados[GM_V]=0)))/G114,0))</f>
        <v>0</v>
      </c>
      <c r="K114" s="11" cm="1">
        <f t="array" ref="K114">IF($A114="","",IFERROR((SUMPRODUCT((TRIM(tblDados[Mandante])=$A114)*tblDados[Primeira_Ocorrencia]*((tblDados[GM_M]+tblDados[GS_M])&gt;0.5))+SUMPRODUCT((TRIM(tblDados[Visitante])=$A114)*tblDados[Primeira_Ocorrencia]*((tblDados[GM_V]+tblDados[GS_V])&gt;0.5)))/G114,0))</f>
        <v>1</v>
      </c>
      <c r="L114" s="11" cm="1">
        <f t="array" ref="L114">IF($A114="","",IFERROR((SUMPRODUCT((TRIM(tblDados[Mandante])=$A114)*tblDados[Primeira_Ocorrencia]*((tblDados[GM_M]+tblDados[GS_M])&gt;1.5))+SUMPRODUCT((TRIM(tblDados[Visitante])=$A114)*tblDados[Primeira_Ocorrencia]*((tblDados[GM_V]+tblDados[GS_V])&gt;1.5)))/G114,0))</f>
        <v>0.76923076923076927</v>
      </c>
      <c r="M114" s="11" cm="1">
        <f t="array" ref="M114">IF($A114="","",IFERROR((SUMPRODUCT((TRIM(tblDados[Mandante])=$A114)*tblDados[Primeira_Ocorrencia]*((tblDados[GM_M]+tblDados[GS_M])&gt;2.5))+SUMPRODUCT((TRIM(tblDados[Visitante])=$A114)*tblDados[Primeira_Ocorrencia]*((tblDados[GM_V]+tblDados[GS_V])&gt;2.5)))/G114,0))</f>
        <v>0.76923076923076927</v>
      </c>
      <c r="N114" s="11" cm="1">
        <f t="array" ref="N114">IF($A114="","",IFERROR((SUMPRODUCT((TRIM(tblDados[Mandante])=$A114)*tblDados[Primeira_Ocorrencia]*((tblDados[GM_M]+tblDados[GS_M])&gt;3.5))+SUMPRODUCT((TRIM(tblDados[Visitante])=$A114)*tblDados[Primeira_Ocorrencia]*((tblDados[GM_V]+tblDados[GS_V])&gt;3.5)))/G114,0))</f>
        <v>0.53846153846153844</v>
      </c>
      <c r="O114" s="11" cm="1">
        <f t="array" ref="O114">IF($A114="","",IFERROR((SUMPRODUCT((TRIM(tblDados[Mandante])=$A114)*tblDados[Primeira_Ocorrencia]*(tblDados[GM_M]&gt;0)*(tblDados[GS_M]&gt;0))+SUMPRODUCT((TRIM(tblDados[Visitante])=$A114)*tblDados[Primeira_Ocorrencia]*(tblDados[GM_V]&gt;0)*(tblDados[GS_V]&gt;0)))/G114,0))</f>
        <v>0.69230769230769229</v>
      </c>
      <c r="P114" s="10" cm="1">
        <f t="array" ref="P114">IF($A114="","",IFERROR((SUMPRODUCT((TRIM(tblDados[Mandante])=$A114)*tblDados[Primeira_Ocorrencia]*tblDados[GM_M]^2)+SUMPRODUCT((TRIM(tblDados[Visitante])=$A114)*tblDados[Primeira_Ocorrencia]*tblDados[GM_V]^2))/G114-H114^2,0))</f>
        <v>1.4556213017751483</v>
      </c>
      <c r="Q114" s="10">
        <f t="shared" si="22"/>
        <v>1.2064913185660096</v>
      </c>
      <c r="R114" s="8" t="str">
        <f t="shared" si="23"/>
        <v>Poisson</v>
      </c>
      <c r="S114" s="10" cm="1">
        <f t="array" ref="S114">IF($A114="","",SUMPRODUCT((TRIM(tblDados[Mandante])=$A114)*tblDados[Primeira_Ocorrencia]*tblDados[GM_M]))</f>
        <v>15</v>
      </c>
      <c r="T114" s="10" cm="1">
        <f t="array" ref="T114">IF($A114="","",SUMPRODUCT((TRIM(tblDados[Visitante])=$A114)*tblDados[Primeira_Ocorrencia]*tblDados[GM_V]))</f>
        <v>10</v>
      </c>
      <c r="U114" s="10">
        <f t="shared" si="24"/>
        <v>25</v>
      </c>
      <c r="V114" s="10">
        <f t="shared" si="13"/>
        <v>1.9230769230769231</v>
      </c>
      <c r="W114" s="10" cm="1">
        <f t="array" ref="W114">IF($A114="","",SUMPRODUCT((TRIM(tblDados[Mandante])=$A114)*tblDados[Primeira_Ocorrencia]*tblDados[GS_M]))</f>
        <v>12</v>
      </c>
      <c r="X114" s="10" cm="1">
        <f t="array" ref="X114">IF($A114="","",SUMPRODUCT((TRIM(tblDados[Visitante])=$A114)*tblDados[Primeira_Ocorrencia]*tblDados[GS_V]))</f>
        <v>10</v>
      </c>
      <c r="Y114" s="10">
        <f t="shared" si="25"/>
        <v>22</v>
      </c>
      <c r="Z114" s="10">
        <f t="shared" si="14"/>
        <v>1.6923076923076923</v>
      </c>
      <c r="AA114" s="10">
        <f t="shared" si="15"/>
        <v>2.5</v>
      </c>
      <c r="AB114" s="10">
        <f t="shared" si="16"/>
        <v>2</v>
      </c>
      <c r="AC114" s="10">
        <f t="shared" si="17"/>
        <v>1.4285714285714286</v>
      </c>
      <c r="AD114" s="10">
        <f t="shared" si="18"/>
        <v>1.4285714285714286</v>
      </c>
    </row>
    <row r="115" spans="1:30" x14ac:dyDescent="0.3">
      <c r="A115" s="7" t="str">
        <v>Manly United</v>
      </c>
      <c r="B115" s="12" t="str" cm="1">
        <f t="array" ref="B115">IF($A115="","",_xlfn.LET(_xlpm.p,IFERROR(INDEX(tblDados[País],MATCH($A115,TRIM(tblDados[Mandante]),0)),INDEX(tblDados[País],MATCH($A115,TRIM(tblDados[Visitante]),0))),_xlpm.l,IFERROR(INDEX(tblDados[Liga],MATCH($A115,TRIM(tblDados[Mandante]),0)),INDEX(tblDados[Liga],MATCH($A115,TRIM(tblDados[Visitante]),0))),_xlpm.p&amp;" - "&amp;_xlpm.l))</f>
        <v>AUS - NPL New South Wales</v>
      </c>
      <c r="C115" s="10">
        <f t="shared" si="19"/>
        <v>2.125</v>
      </c>
      <c r="D115" s="10">
        <f t="shared" si="20"/>
        <v>2.5999999999999996</v>
      </c>
      <c r="E115" s="9" cm="1">
        <f t="array" ref="E115">IF($A115="","",SUMPRODUCT((TRIM(tblDados[Mandante])=$A115)*tblDados[Primeira_Ocorrencia]))</f>
        <v>8</v>
      </c>
      <c r="F115" s="9" cm="1">
        <f t="array" ref="F115">IF($A115="","",SUMPRODUCT((TRIM(tblDados[Visitante])=$A115)*tblDados[Primeira_Ocorrencia]))</f>
        <v>5</v>
      </c>
      <c r="G115" s="9" cm="1">
        <f t="array" ref="G115">IF($A115="","",SUMPRODUCT((TRIM(tblDados[Mandante])=$A115)*tblDados[Primeira_Ocorrencia])+SUMPRODUCT((TRIM(tblDados[Visitante])=$A115)*tblDados[Primeira_Ocorrencia]))</f>
        <v>13</v>
      </c>
      <c r="H115" s="10">
        <f t="shared" si="21"/>
        <v>1.4615384615384615</v>
      </c>
      <c r="I115" s="10" cm="1">
        <f t="array" ref="I115">IF($A115="","",_xlfn.LET(_xlpm.p,IFERROR(INDEX(tblDados[País],MATCH($A115,TRIM(tblDados[Mandante]),0)),INDEX(tblDados[País],MATCH($A115,TRIM(tblDados[Visitante]),0))),_xlpm.l,IFERROR(INDEX(tblDados[Liga],MATCH($A115,TRIM(tblDados[Mandante]),0)),INDEX(tblDados[Liga],MATCH($A115,TRIM(tblDados[Visitante]),0))),IFERROR(SUMIFS(Ligas!$D$2:$D$39,Ligas!$H$2:$H$39,_xlpm.p,Ligas!$I$2:$I$39,_xlpm.l),0)))</f>
        <v>3.61</v>
      </c>
      <c r="J115" s="11" cm="1">
        <f t="array" ref="J115">IF($A115="","",IFERROR((SUMPRODUCT((TRIM(tblDados[Mandante])=$A115)*tblDados[Primeira_Ocorrencia]*(tblDados[GM_M]=0))+SUMPRODUCT((TRIM(tblDados[Visitante])=$A115)*tblDados[Primeira_Ocorrencia]*(tblDados[GM_V]=0)))/G115,0))</f>
        <v>0.30769230769230771</v>
      </c>
      <c r="K115" s="11" cm="1">
        <f t="array" ref="K115">IF($A115="","",IFERROR((SUMPRODUCT((TRIM(tblDados[Mandante])=$A115)*tblDados[Primeira_Ocorrencia]*((tblDados[GM_M]+tblDados[GS_M])&gt;0.5))+SUMPRODUCT((TRIM(tblDados[Visitante])=$A115)*tblDados[Primeira_Ocorrencia]*((tblDados[GM_V]+tblDados[GS_V])&gt;0.5)))/G115,0))</f>
        <v>0.84615384615384615</v>
      </c>
      <c r="L115" s="11" cm="1">
        <f t="array" ref="L115">IF($A115="","",IFERROR((SUMPRODUCT((TRIM(tblDados[Mandante])=$A115)*tblDados[Primeira_Ocorrencia]*((tblDados[GM_M]+tblDados[GS_M])&gt;1.5))+SUMPRODUCT((TRIM(tblDados[Visitante])=$A115)*tblDados[Primeira_Ocorrencia]*((tblDados[GM_V]+tblDados[GS_V])&gt;1.5)))/G115,0))</f>
        <v>0.69230769230769229</v>
      </c>
      <c r="M115" s="11" cm="1">
        <f t="array" ref="M115">IF($A115="","",IFERROR((SUMPRODUCT((TRIM(tblDados[Mandante])=$A115)*tblDados[Primeira_Ocorrencia]*((tblDados[GM_M]+tblDados[GS_M])&gt;2.5))+SUMPRODUCT((TRIM(tblDados[Visitante])=$A115)*tblDados[Primeira_Ocorrencia]*((tblDados[GM_V]+tblDados[GS_V])&gt;2.5)))/G115,0))</f>
        <v>0.38461538461538464</v>
      </c>
      <c r="N115" s="11" cm="1">
        <f t="array" ref="N115">IF($A115="","",IFERROR((SUMPRODUCT((TRIM(tblDados[Mandante])=$A115)*tblDados[Primeira_Ocorrencia]*((tblDados[GM_M]+tblDados[GS_M])&gt;3.5))+SUMPRODUCT((TRIM(tblDados[Visitante])=$A115)*tblDados[Primeira_Ocorrencia]*((tblDados[GM_V]+tblDados[GS_V])&gt;3.5)))/G115,0))</f>
        <v>0.23076923076923078</v>
      </c>
      <c r="O115" s="11" cm="1">
        <f t="array" ref="O115">IF($A115="","",IFERROR((SUMPRODUCT((TRIM(tblDados[Mandante])=$A115)*tblDados[Primeira_Ocorrencia]*(tblDados[GM_M]&gt;0)*(tblDados[GS_M]&gt;0))+SUMPRODUCT((TRIM(tblDados[Visitante])=$A115)*tblDados[Primeira_Ocorrencia]*(tblDados[GM_V]&gt;0)*(tblDados[GS_V]&gt;0)))/G115,0))</f>
        <v>0.46153846153846156</v>
      </c>
      <c r="P115" s="10" cm="1">
        <f t="array" ref="P115">IF($A115="","",IFERROR((SUMPRODUCT((TRIM(tblDados[Mandante])=$A115)*tblDados[Primeira_Ocorrencia]*tblDados[GM_M]^2)+SUMPRODUCT((TRIM(tblDados[Visitante])=$A115)*tblDados[Primeira_Ocorrencia]*tblDados[GM_V]^2))/G115-H115^2,0))</f>
        <v>1.6331360946745566</v>
      </c>
      <c r="Q115" s="10">
        <f t="shared" si="22"/>
        <v>1.2779421327566269</v>
      </c>
      <c r="R115" s="8" t="str">
        <f t="shared" si="23"/>
        <v>Poisson</v>
      </c>
      <c r="S115" s="10" cm="1">
        <f t="array" ref="S115">IF($A115="","",SUMPRODUCT((TRIM(tblDados[Mandante])=$A115)*tblDados[Primeira_Ocorrencia]*tblDados[GM_M]))</f>
        <v>13</v>
      </c>
      <c r="T115" s="10" cm="1">
        <f t="array" ref="T115">IF($A115="","",SUMPRODUCT((TRIM(tblDados[Visitante])=$A115)*tblDados[Primeira_Ocorrencia]*tblDados[GM_V]))</f>
        <v>6</v>
      </c>
      <c r="U115" s="10">
        <f t="shared" si="24"/>
        <v>19</v>
      </c>
      <c r="V115" s="10">
        <f t="shared" si="13"/>
        <v>1.4615384615384615</v>
      </c>
      <c r="W115" s="10" cm="1">
        <f t="array" ref="W115">IF($A115="","",SUMPRODUCT((TRIM(tblDados[Mandante])=$A115)*tblDados[Primeira_Ocorrencia]*tblDados[GS_M]))</f>
        <v>4</v>
      </c>
      <c r="X115" s="10" cm="1">
        <f t="array" ref="X115">IF($A115="","",SUMPRODUCT((TRIM(tblDados[Visitante])=$A115)*tblDados[Primeira_Ocorrencia]*tblDados[GS_V]))</f>
        <v>7</v>
      </c>
      <c r="Y115" s="10">
        <f t="shared" si="25"/>
        <v>11</v>
      </c>
      <c r="Z115" s="10">
        <f t="shared" si="14"/>
        <v>0.84615384615384615</v>
      </c>
      <c r="AA115" s="10">
        <f t="shared" si="15"/>
        <v>1.625</v>
      </c>
      <c r="AB115" s="10">
        <f t="shared" si="16"/>
        <v>0.5</v>
      </c>
      <c r="AC115" s="10">
        <f t="shared" si="17"/>
        <v>1.2</v>
      </c>
      <c r="AD115" s="10">
        <f t="shared" si="18"/>
        <v>1.4</v>
      </c>
    </row>
    <row r="116" spans="1:30" x14ac:dyDescent="0.3">
      <c r="A116" s="7" t="str">
        <v>Maranhão</v>
      </c>
      <c r="B116" s="12" t="str" cm="1">
        <f t="array" ref="B116">IF($A116="","",_xlfn.LET(_xlpm.p,IFERROR(INDEX(tblDados[País],MATCH($A116,TRIM(tblDados[Mandante]),0)),INDEX(tblDados[País],MATCH($A116,TRIM(tblDados[Visitante]),0))),_xlpm.l,IFERROR(INDEX(tblDados[Liga],MATCH($A116,TRIM(tblDados[Mandante]),0)),INDEX(tblDados[Liga],MATCH($A116,TRIM(tblDados[Visitante]),0))),_xlpm.p&amp;" - "&amp;_xlpm.l))</f>
        <v>BRA - Série C</v>
      </c>
      <c r="C116" s="10">
        <f t="shared" si="19"/>
        <v>1.8571428571428572</v>
      </c>
      <c r="D116" s="10">
        <f t="shared" si="20"/>
        <v>0.83333333333333326</v>
      </c>
      <c r="E116" s="9" cm="1">
        <f t="array" ref="E116">IF($A116="","",SUMPRODUCT((TRIM(tblDados[Mandante])=$A116)*tblDados[Primeira_Ocorrencia]))</f>
        <v>7</v>
      </c>
      <c r="F116" s="9" cm="1">
        <f t="array" ref="F116">IF($A116="","",SUMPRODUCT((TRIM(tblDados[Visitante])=$A116)*tblDados[Primeira_Ocorrencia]))</f>
        <v>6</v>
      </c>
      <c r="G116" s="9" cm="1">
        <f t="array" ref="G116">IF($A116="","",SUMPRODUCT((TRIM(tblDados[Mandante])=$A116)*tblDados[Primeira_Ocorrencia])+SUMPRODUCT((TRIM(tblDados[Visitante])=$A116)*tblDados[Primeira_Ocorrencia]))</f>
        <v>13</v>
      </c>
      <c r="H116" s="10">
        <f t="shared" si="21"/>
        <v>0.76923076923076927</v>
      </c>
      <c r="I116" s="10" cm="1">
        <f t="array" ref="I116">IF($A116="","",_xlfn.LET(_xlpm.p,IFERROR(INDEX(tblDados[País],MATCH($A116,TRIM(tblDados[Mandante]),0)),INDEX(tblDados[País],MATCH($A116,TRIM(tblDados[Visitante]),0))),_xlpm.l,IFERROR(INDEX(tblDados[Liga],MATCH($A116,TRIM(tblDados[Mandante]),0)),INDEX(tblDados[Liga],MATCH($A116,TRIM(tblDados[Visitante]),0))),IFERROR(SUMIFS(Ligas!$D$2:$D$39,Ligas!$H$2:$H$39,_xlpm.p,Ligas!$I$2:$I$39,_xlpm.l),0)))</f>
        <v>2.09</v>
      </c>
      <c r="J116" s="11" cm="1">
        <f t="array" ref="J116">IF($A116="","",IFERROR((SUMPRODUCT((TRIM(tblDados[Mandante])=$A116)*tblDados[Primeira_Ocorrencia]*(tblDados[GM_M]=0))+SUMPRODUCT((TRIM(tblDados[Visitante])=$A116)*tblDados[Primeira_Ocorrencia]*(tblDados[GM_V]=0)))/G116,0))</f>
        <v>0.61538461538461542</v>
      </c>
      <c r="K116" s="11" cm="1">
        <f t="array" ref="K116">IF($A116="","",IFERROR((SUMPRODUCT((TRIM(tblDados[Mandante])=$A116)*tblDados[Primeira_Ocorrencia]*((tblDados[GM_M]+tblDados[GS_M])&gt;0.5))+SUMPRODUCT((TRIM(tblDados[Visitante])=$A116)*tblDados[Primeira_Ocorrencia]*((tblDados[GM_V]+tblDados[GS_V])&gt;0.5)))/G116,0))</f>
        <v>0.61538461538461542</v>
      </c>
      <c r="L116" s="11" cm="1">
        <f t="array" ref="L116">IF($A116="","",IFERROR((SUMPRODUCT((TRIM(tblDados[Mandante])=$A116)*tblDados[Primeira_Ocorrencia]*((tblDados[GM_M]+tblDados[GS_M])&gt;1.5))+SUMPRODUCT((TRIM(tblDados[Visitante])=$A116)*tblDados[Primeira_Ocorrencia]*((tblDados[GM_V]+tblDados[GS_V])&gt;1.5)))/G116,0))</f>
        <v>0.38461538461538464</v>
      </c>
      <c r="M116" s="11" cm="1">
        <f t="array" ref="M116">IF($A116="","",IFERROR((SUMPRODUCT((TRIM(tblDados[Mandante])=$A116)*tblDados[Primeira_Ocorrencia]*((tblDados[GM_M]+tblDados[GS_M])&gt;2.5))+SUMPRODUCT((TRIM(tblDados[Visitante])=$A116)*tblDados[Primeira_Ocorrencia]*((tblDados[GM_V]+tblDados[GS_V])&gt;2.5)))/G116,0))</f>
        <v>0.30769230769230771</v>
      </c>
      <c r="N116" s="11" cm="1">
        <f t="array" ref="N116">IF($A116="","",IFERROR((SUMPRODUCT((TRIM(tblDados[Mandante])=$A116)*tblDados[Primeira_Ocorrencia]*((tblDados[GM_M]+tblDados[GS_M])&gt;3.5))+SUMPRODUCT((TRIM(tblDados[Visitante])=$A116)*tblDados[Primeira_Ocorrencia]*((tblDados[GM_V]+tblDados[GS_V])&gt;3.5)))/G116,0))</f>
        <v>7.6923076923076927E-2</v>
      </c>
      <c r="O116" s="11" cm="1">
        <f t="array" ref="O116">IF($A116="","",IFERROR((SUMPRODUCT((TRIM(tblDados[Mandante])=$A116)*tblDados[Primeira_Ocorrencia]*(tblDados[GM_M]&gt;0)*(tblDados[GS_M]&gt;0))+SUMPRODUCT((TRIM(tblDados[Visitante])=$A116)*tblDados[Primeira_Ocorrencia]*(tblDados[GM_V]&gt;0)*(tblDados[GS_V]&gt;0)))/G116,0))</f>
        <v>0.30769230769230771</v>
      </c>
      <c r="P116" s="10" cm="1">
        <f t="array" ref="P116">IF($A116="","",IFERROR((SUMPRODUCT((TRIM(tblDados[Mandante])=$A116)*tblDados[Primeira_Ocorrencia]*tblDados[GM_M]^2)+SUMPRODUCT((TRIM(tblDados[Visitante])=$A116)*tblDados[Primeira_Ocorrencia]*tblDados[GM_V]^2))/G116-H116^2,0))</f>
        <v>1.1005917159763312</v>
      </c>
      <c r="Q116" s="10">
        <f t="shared" si="22"/>
        <v>1.0490908997681427</v>
      </c>
      <c r="R116" s="8" t="str">
        <f t="shared" si="23"/>
        <v>Poisson</v>
      </c>
      <c r="S116" s="10" cm="1">
        <f t="array" ref="S116">IF($A116="","",SUMPRODUCT((TRIM(tblDados[Mandante])=$A116)*tblDados[Primeira_Ocorrencia]*tblDados[GM_M]))</f>
        <v>7</v>
      </c>
      <c r="T116" s="10" cm="1">
        <f t="array" ref="T116">IF($A116="","",SUMPRODUCT((TRIM(tblDados[Visitante])=$A116)*tblDados[Primeira_Ocorrencia]*tblDados[GM_V]))</f>
        <v>3</v>
      </c>
      <c r="U116" s="10">
        <f t="shared" si="24"/>
        <v>10</v>
      </c>
      <c r="V116" s="10">
        <f t="shared" si="13"/>
        <v>0.76923076923076927</v>
      </c>
      <c r="W116" s="10" cm="1">
        <f t="array" ref="W116">IF($A116="","",SUMPRODUCT((TRIM(tblDados[Mandante])=$A116)*tblDados[Primeira_Ocorrencia]*tblDados[GS_M]))</f>
        <v>6</v>
      </c>
      <c r="X116" s="10" cm="1">
        <f t="array" ref="X116">IF($A116="","",SUMPRODUCT((TRIM(tblDados[Visitante])=$A116)*tblDados[Primeira_Ocorrencia]*tblDados[GS_V]))</f>
        <v>2</v>
      </c>
      <c r="Y116" s="10">
        <f t="shared" si="25"/>
        <v>8</v>
      </c>
      <c r="Z116" s="10">
        <f t="shared" si="14"/>
        <v>0.61538461538461542</v>
      </c>
      <c r="AA116" s="10">
        <f t="shared" si="15"/>
        <v>1</v>
      </c>
      <c r="AB116" s="10">
        <f t="shared" si="16"/>
        <v>0.8571428571428571</v>
      </c>
      <c r="AC116" s="10">
        <f t="shared" si="17"/>
        <v>0.5</v>
      </c>
      <c r="AD116" s="10">
        <f t="shared" si="18"/>
        <v>0.33333333333333331</v>
      </c>
    </row>
    <row r="117" spans="1:30" x14ac:dyDescent="0.3">
      <c r="A117" s="7" t="str">
        <v>Meizhou Hakka</v>
      </c>
      <c r="B117" s="12" t="str" cm="1">
        <f t="array" ref="B117">IF($A117="","",_xlfn.LET(_xlpm.p,IFERROR(INDEX(tblDados[País],MATCH($A117,TRIM(tblDados[Mandante]),0)),INDEX(tblDados[País],MATCH($A117,TRIM(tblDados[Visitante]),0))),_xlpm.l,IFERROR(INDEX(tblDados[Liga],MATCH($A117,TRIM(tblDados[Mandante]),0)),INDEX(tblDados[Liga],MATCH($A117,TRIM(tblDados[Visitante]),0))),_xlpm.p&amp;" - "&amp;_xlpm.l))</f>
        <v>CHN - League One</v>
      </c>
      <c r="C117" s="10">
        <f t="shared" si="19"/>
        <v>3.8333333333333335</v>
      </c>
      <c r="D117" s="10">
        <f t="shared" si="20"/>
        <v>2.4285714285714284</v>
      </c>
      <c r="E117" s="9" cm="1">
        <f t="array" ref="E117">IF($A117="","",SUMPRODUCT((TRIM(tblDados[Mandante])=$A117)*tblDados[Primeira_Ocorrencia]))</f>
        <v>6</v>
      </c>
      <c r="F117" s="9" cm="1">
        <f t="array" ref="F117">IF($A117="","",SUMPRODUCT((TRIM(tblDados[Visitante])=$A117)*tblDados[Primeira_Ocorrencia]))</f>
        <v>7</v>
      </c>
      <c r="G117" s="9" cm="1">
        <f t="array" ref="G117">IF($A117="","",SUMPRODUCT((TRIM(tblDados[Mandante])=$A117)*tblDados[Primeira_Ocorrencia])+SUMPRODUCT((TRIM(tblDados[Visitante])=$A117)*tblDados[Primeira_Ocorrencia]))</f>
        <v>13</v>
      </c>
      <c r="H117" s="10">
        <f t="shared" si="21"/>
        <v>1.1538461538461537</v>
      </c>
      <c r="I117" s="10" cm="1">
        <f t="array" ref="I117">IF($A117="","",_xlfn.LET(_xlpm.p,IFERROR(INDEX(tblDados[País],MATCH($A117,TRIM(tblDados[Mandante]),0)),INDEX(tblDados[País],MATCH($A117,TRIM(tblDados[Visitante]),0))),_xlpm.l,IFERROR(INDEX(tblDados[Liga],MATCH($A117,TRIM(tblDados[Mandante]),0)),INDEX(tblDados[Liga],MATCH($A117,TRIM(tblDados[Visitante]),0))),IFERROR(SUMIFS(Ligas!$D$2:$D$39,Ligas!$H$2:$H$39,_xlpm.p,Ligas!$I$2:$I$39,_xlpm.l),0)))</f>
        <v>2.5</v>
      </c>
      <c r="J117" s="11" cm="1">
        <f t="array" ref="J117">IF($A117="","",IFERROR((SUMPRODUCT((TRIM(tblDados[Mandante])=$A117)*tblDados[Primeira_Ocorrencia]*(tblDados[GM_M]=0))+SUMPRODUCT((TRIM(tblDados[Visitante])=$A117)*tblDados[Primeira_Ocorrencia]*(tblDados[GM_V]=0)))/G117,0))</f>
        <v>0.30769230769230771</v>
      </c>
      <c r="K117" s="11" cm="1">
        <f t="array" ref="K117">IF($A117="","",IFERROR((SUMPRODUCT((TRIM(tblDados[Mandante])=$A117)*tblDados[Primeira_Ocorrencia]*((tblDados[GM_M]+tblDados[GS_M])&gt;0.5))+SUMPRODUCT((TRIM(tblDados[Visitante])=$A117)*tblDados[Primeira_Ocorrencia]*((tblDados[GM_V]+tblDados[GS_V])&gt;0.5)))/G117,0))</f>
        <v>1</v>
      </c>
      <c r="L117" s="11" cm="1">
        <f t="array" ref="L117">IF($A117="","",IFERROR((SUMPRODUCT((TRIM(tblDados[Mandante])=$A117)*tblDados[Primeira_Ocorrencia]*((tblDados[GM_M]+tblDados[GS_M])&gt;1.5))+SUMPRODUCT((TRIM(tblDados[Visitante])=$A117)*tblDados[Primeira_Ocorrencia]*((tblDados[GM_V]+tblDados[GS_V])&gt;1.5)))/G117,0))</f>
        <v>0.84615384615384615</v>
      </c>
      <c r="M117" s="11" cm="1">
        <f t="array" ref="M117">IF($A117="","",IFERROR((SUMPRODUCT((TRIM(tblDados[Mandante])=$A117)*tblDados[Primeira_Ocorrencia]*((tblDados[GM_M]+tblDados[GS_M])&gt;2.5))+SUMPRODUCT((TRIM(tblDados[Visitante])=$A117)*tblDados[Primeira_Ocorrencia]*((tblDados[GM_V]+tblDados[GS_V])&gt;2.5)))/G117,0))</f>
        <v>0.61538461538461542</v>
      </c>
      <c r="N117" s="11" cm="1">
        <f t="array" ref="N117">IF($A117="","",IFERROR((SUMPRODUCT((TRIM(tblDados[Mandante])=$A117)*tblDados[Primeira_Ocorrencia]*((tblDados[GM_M]+tblDados[GS_M])&gt;3.5))+SUMPRODUCT((TRIM(tblDados[Visitante])=$A117)*tblDados[Primeira_Ocorrencia]*((tblDados[GM_V]+tblDados[GS_V])&gt;3.5)))/G117,0))</f>
        <v>0.46153846153846156</v>
      </c>
      <c r="O117" s="11" cm="1">
        <f t="array" ref="O117">IF($A117="","",IFERROR((SUMPRODUCT((TRIM(tblDados[Mandante])=$A117)*tblDados[Primeira_Ocorrencia]*(tblDados[GM_M]&gt;0)*(tblDados[GS_M]&gt;0))+SUMPRODUCT((TRIM(tblDados[Visitante])=$A117)*tblDados[Primeira_Ocorrencia]*(tblDados[GM_V]&gt;0)*(tblDados[GS_V]&gt;0)))/G117,0))</f>
        <v>0.53846153846153844</v>
      </c>
      <c r="P117" s="10" cm="1">
        <f t="array" ref="P117">IF($A117="","",IFERROR((SUMPRODUCT((TRIM(tblDados[Mandante])=$A117)*tblDados[Primeira_Ocorrencia]*tblDados[GM_M]^2)+SUMPRODUCT((TRIM(tblDados[Visitante])=$A117)*tblDados[Primeira_Ocorrencia]*tblDados[GM_V]^2))/G117-H117^2,0))</f>
        <v>1.0532544378698228</v>
      </c>
      <c r="Q117" s="10">
        <f t="shared" si="22"/>
        <v>1.0262818510866412</v>
      </c>
      <c r="R117" s="8" t="str">
        <f t="shared" si="23"/>
        <v>Poisson</v>
      </c>
      <c r="S117" s="10" cm="1">
        <f t="array" ref="S117">IF($A117="","",SUMPRODUCT((TRIM(tblDados[Mandante])=$A117)*tblDados[Primeira_Ocorrencia]*tblDados[GM_M]))</f>
        <v>9</v>
      </c>
      <c r="T117" s="10" cm="1">
        <f t="array" ref="T117">IF($A117="","",SUMPRODUCT((TRIM(tblDados[Visitante])=$A117)*tblDados[Primeira_Ocorrencia]*tblDados[GM_V]))</f>
        <v>6</v>
      </c>
      <c r="U117" s="10">
        <f t="shared" si="24"/>
        <v>15</v>
      </c>
      <c r="V117" s="10">
        <f t="shared" si="13"/>
        <v>1.1538461538461537</v>
      </c>
      <c r="W117" s="10" cm="1">
        <f t="array" ref="W117">IF($A117="","",SUMPRODUCT((TRIM(tblDados[Mandante])=$A117)*tblDados[Primeira_Ocorrencia]*tblDados[GS_M]))</f>
        <v>14</v>
      </c>
      <c r="X117" s="10" cm="1">
        <f t="array" ref="X117">IF($A117="","",SUMPRODUCT((TRIM(tblDados[Visitante])=$A117)*tblDados[Primeira_Ocorrencia]*tblDados[GS_V]))</f>
        <v>11</v>
      </c>
      <c r="Y117" s="10">
        <f t="shared" si="25"/>
        <v>25</v>
      </c>
      <c r="Z117" s="10">
        <f t="shared" si="14"/>
        <v>1.9230769230769231</v>
      </c>
      <c r="AA117" s="10">
        <f t="shared" si="15"/>
        <v>1.5</v>
      </c>
      <c r="AB117" s="10">
        <f t="shared" si="16"/>
        <v>2.3333333333333335</v>
      </c>
      <c r="AC117" s="10">
        <f t="shared" si="17"/>
        <v>0.8571428571428571</v>
      </c>
      <c r="AD117" s="10">
        <f t="shared" si="18"/>
        <v>1.5714285714285714</v>
      </c>
    </row>
    <row r="118" spans="1:30" x14ac:dyDescent="0.3">
      <c r="A118" s="7" t="str">
        <v>Nacional Potosí</v>
      </c>
      <c r="B118" s="12" t="str" cm="1">
        <f t="array" ref="B118">IF($A118="","",_xlfn.LET(_xlpm.p,IFERROR(INDEX(tblDados[País],MATCH($A118,TRIM(tblDados[Mandante]),0)),INDEX(tblDados[País],MATCH($A118,TRIM(tblDados[Visitante]),0))),_xlpm.l,IFERROR(INDEX(tblDados[Liga],MATCH($A118,TRIM(tblDados[Mandante]),0)),INDEX(tblDados[Liga],MATCH($A118,TRIM(tblDados[Visitante]),0))),_xlpm.p&amp;" - "&amp;_xlpm.l))</f>
        <v>BOL - Div. Profesional</v>
      </c>
      <c r="C118" s="10">
        <f t="shared" si="19"/>
        <v>3.333333333333333</v>
      </c>
      <c r="D118" s="10">
        <f t="shared" si="20"/>
        <v>2.5714285714285712</v>
      </c>
      <c r="E118" s="9" cm="1">
        <f t="array" ref="E118">IF($A118="","",SUMPRODUCT((TRIM(tblDados[Mandante])=$A118)*tblDados[Primeira_Ocorrencia]))</f>
        <v>6</v>
      </c>
      <c r="F118" s="9" cm="1">
        <f t="array" ref="F118">IF($A118="","",SUMPRODUCT((TRIM(tblDados[Visitante])=$A118)*tblDados[Primeira_Ocorrencia]))</f>
        <v>7</v>
      </c>
      <c r="G118" s="9" cm="1">
        <f t="array" ref="G118">IF($A118="","",SUMPRODUCT((TRIM(tblDados[Mandante])=$A118)*tblDados[Primeira_Ocorrencia])+SUMPRODUCT((TRIM(tblDados[Visitante])=$A118)*tblDados[Primeira_Ocorrencia]))</f>
        <v>13</v>
      </c>
      <c r="H118" s="10">
        <f t="shared" si="21"/>
        <v>1.4615384615384615</v>
      </c>
      <c r="I118" s="10" cm="1">
        <f t="array" ref="I118">IF($A118="","",_xlfn.LET(_xlpm.p,IFERROR(INDEX(tblDados[País],MATCH($A118,TRIM(tblDados[Mandante]),0)),INDEX(tblDados[País],MATCH($A118,TRIM(tblDados[Visitante]),0))),_xlpm.l,IFERROR(INDEX(tblDados[Liga],MATCH($A118,TRIM(tblDados[Mandante]),0)),INDEX(tblDados[Liga],MATCH($A118,TRIM(tblDados[Visitante]),0))),IFERROR(SUMIFS(Ligas!$D$2:$D$39,Ligas!$H$2:$H$39,_xlpm.p,Ligas!$I$2:$I$39,_xlpm.l),0)))</f>
        <v>3.62</v>
      </c>
      <c r="J118" s="11" cm="1">
        <f t="array" ref="J118">IF($A118="","",IFERROR((SUMPRODUCT((TRIM(tblDados[Mandante])=$A118)*tblDados[Primeira_Ocorrencia]*(tblDados[GM_M]=0))+SUMPRODUCT((TRIM(tblDados[Visitante])=$A118)*tblDados[Primeira_Ocorrencia]*(tblDados[GM_V]=0)))/G118,0))</f>
        <v>7.6923076923076927E-2</v>
      </c>
      <c r="K118" s="11" cm="1">
        <f t="array" ref="K118">IF($A118="","",IFERROR((SUMPRODUCT((TRIM(tblDados[Mandante])=$A118)*tblDados[Primeira_Ocorrencia]*((tblDados[GM_M]+tblDados[GS_M])&gt;0.5))+SUMPRODUCT((TRIM(tblDados[Visitante])=$A118)*tblDados[Primeira_Ocorrencia]*((tblDados[GM_V]+tblDados[GS_V])&gt;0.5)))/G118,0))</f>
        <v>1</v>
      </c>
      <c r="L118" s="11" cm="1">
        <f t="array" ref="L118">IF($A118="","",IFERROR((SUMPRODUCT((TRIM(tblDados[Mandante])=$A118)*tblDados[Primeira_Ocorrencia]*((tblDados[GM_M]+tblDados[GS_M])&gt;1.5))+SUMPRODUCT((TRIM(tblDados[Visitante])=$A118)*tblDados[Primeira_Ocorrencia]*((tblDados[GM_V]+tblDados[GS_V])&gt;1.5)))/G118,0))</f>
        <v>0.84615384615384615</v>
      </c>
      <c r="M118" s="11" cm="1">
        <f t="array" ref="M118">IF($A118="","",IFERROR((SUMPRODUCT((TRIM(tblDados[Mandante])=$A118)*tblDados[Primeira_Ocorrencia]*((tblDados[GM_M]+tblDados[GS_M])&gt;2.5))+SUMPRODUCT((TRIM(tblDados[Visitante])=$A118)*tblDados[Primeira_Ocorrencia]*((tblDados[GM_V]+tblDados[GS_V])&gt;2.5)))/G118,0))</f>
        <v>0.53846153846153844</v>
      </c>
      <c r="N118" s="11" cm="1">
        <f t="array" ref="N118">IF($A118="","",IFERROR((SUMPRODUCT((TRIM(tblDados[Mandante])=$A118)*tblDados[Primeira_Ocorrencia]*((tblDados[GM_M]+tblDados[GS_M])&gt;3.5))+SUMPRODUCT((TRIM(tblDados[Visitante])=$A118)*tblDados[Primeira_Ocorrencia]*((tblDados[GM_V]+tblDados[GS_V])&gt;3.5)))/G118,0))</f>
        <v>0.30769230769230771</v>
      </c>
      <c r="O118" s="11" cm="1">
        <f t="array" ref="O118">IF($A118="","",IFERROR((SUMPRODUCT((TRIM(tblDados[Mandante])=$A118)*tblDados[Primeira_Ocorrencia]*(tblDados[GM_M]&gt;0)*(tblDados[GS_M]&gt;0))+SUMPRODUCT((TRIM(tblDados[Visitante])=$A118)*tblDados[Primeira_Ocorrencia]*(tblDados[GM_V]&gt;0)*(tblDados[GS_V]&gt;0)))/G118,0))</f>
        <v>0.69230769230769229</v>
      </c>
      <c r="P118" s="10" cm="1">
        <f t="array" ref="P118">IF($A118="","",IFERROR((SUMPRODUCT((TRIM(tblDados[Mandante])=$A118)*tblDados[Primeira_Ocorrencia]*tblDados[GM_M]^2)+SUMPRODUCT((TRIM(tblDados[Visitante])=$A118)*tblDados[Primeira_Ocorrencia]*tblDados[GM_V]^2))/G118-H118^2,0))</f>
        <v>1.0177514792899411</v>
      </c>
      <c r="Q118" s="10">
        <f t="shared" si="22"/>
        <v>1.0088366960464619</v>
      </c>
      <c r="R118" s="8" t="str">
        <f t="shared" si="23"/>
        <v>Poisson</v>
      </c>
      <c r="S118" s="10" cm="1">
        <f t="array" ref="S118">IF($A118="","",SUMPRODUCT((TRIM(tblDados[Mandante])=$A118)*tblDados[Primeira_Ocorrencia]*tblDados[GM_M]))</f>
        <v>11</v>
      </c>
      <c r="T118" s="10" cm="1">
        <f t="array" ref="T118">IF($A118="","",SUMPRODUCT((TRIM(tblDados[Visitante])=$A118)*tblDados[Primeira_Ocorrencia]*tblDados[GM_V]))</f>
        <v>8</v>
      </c>
      <c r="U118" s="10">
        <f t="shared" si="24"/>
        <v>19</v>
      </c>
      <c r="V118" s="10">
        <f t="shared" si="13"/>
        <v>1.4615384615384615</v>
      </c>
      <c r="W118" s="10" cm="1">
        <f t="array" ref="W118">IF($A118="","",SUMPRODUCT((TRIM(tblDados[Mandante])=$A118)*tblDados[Primeira_Ocorrencia]*tblDados[GS_M]))</f>
        <v>9</v>
      </c>
      <c r="X118" s="10" cm="1">
        <f t="array" ref="X118">IF($A118="","",SUMPRODUCT((TRIM(tblDados[Visitante])=$A118)*tblDados[Primeira_Ocorrencia]*tblDados[GS_V]))</f>
        <v>10</v>
      </c>
      <c r="Y118" s="10">
        <f t="shared" si="25"/>
        <v>19</v>
      </c>
      <c r="Z118" s="10">
        <f t="shared" si="14"/>
        <v>1.4615384615384615</v>
      </c>
      <c r="AA118" s="10">
        <f t="shared" si="15"/>
        <v>1.8333333333333333</v>
      </c>
      <c r="AB118" s="10">
        <f t="shared" si="16"/>
        <v>1.5</v>
      </c>
      <c r="AC118" s="10">
        <f t="shared" si="17"/>
        <v>1.1428571428571428</v>
      </c>
      <c r="AD118" s="10">
        <f t="shared" si="18"/>
        <v>1.4285714285714286</v>
      </c>
    </row>
    <row r="119" spans="1:30" x14ac:dyDescent="0.3">
      <c r="A119" s="7" t="str">
        <v>Nanjing City</v>
      </c>
      <c r="B119" s="12" t="str" cm="1">
        <f t="array" ref="B119">IF($A119="","",_xlfn.LET(_xlpm.p,IFERROR(INDEX(tblDados[País],MATCH($A119,TRIM(tblDados[Mandante]),0)),INDEX(tblDados[País],MATCH($A119,TRIM(tblDados[Visitante]),0))),_xlpm.l,IFERROR(INDEX(tblDados[Liga],MATCH($A119,TRIM(tblDados[Mandante]),0)),INDEX(tblDados[Liga],MATCH($A119,TRIM(tblDados[Visitante]),0))),_xlpm.p&amp;" - "&amp;_xlpm.l))</f>
        <v>CHN - League One</v>
      </c>
      <c r="C119" s="10">
        <f t="shared" si="19"/>
        <v>2.1666666666666665</v>
      </c>
      <c r="D119" s="10">
        <f t="shared" si="20"/>
        <v>2</v>
      </c>
      <c r="E119" s="9" cm="1">
        <f t="array" ref="E119">IF($A119="","",SUMPRODUCT((TRIM(tblDados[Mandante])=$A119)*tblDados[Primeira_Ocorrencia]))</f>
        <v>6</v>
      </c>
      <c r="F119" s="9" cm="1">
        <f t="array" ref="F119">IF($A119="","",SUMPRODUCT((TRIM(tblDados[Visitante])=$A119)*tblDados[Primeira_Ocorrencia]))</f>
        <v>7</v>
      </c>
      <c r="G119" s="9" cm="1">
        <f t="array" ref="G119">IF($A119="","",SUMPRODUCT((TRIM(tblDados[Mandante])=$A119)*tblDados[Primeira_Ocorrencia])+SUMPRODUCT((TRIM(tblDados[Visitante])=$A119)*tblDados[Primeira_Ocorrencia]))</f>
        <v>13</v>
      </c>
      <c r="H119" s="10">
        <f t="shared" si="21"/>
        <v>1</v>
      </c>
      <c r="I119" s="10" cm="1">
        <f t="array" ref="I119">IF($A119="","",_xlfn.LET(_xlpm.p,IFERROR(INDEX(tblDados[País],MATCH($A119,TRIM(tblDados[Mandante]),0)),INDEX(tblDados[País],MATCH($A119,TRIM(tblDados[Visitante]),0))),_xlpm.l,IFERROR(INDEX(tblDados[Liga],MATCH($A119,TRIM(tblDados[Mandante]),0)),INDEX(tblDados[Liga],MATCH($A119,TRIM(tblDados[Visitante]),0))),IFERROR(SUMIFS(Ligas!$D$2:$D$39,Ligas!$H$2:$H$39,_xlpm.p,Ligas!$I$2:$I$39,_xlpm.l),0)))</f>
        <v>2.5</v>
      </c>
      <c r="J119" s="11" cm="1">
        <f t="array" ref="J119">IF($A119="","",IFERROR((SUMPRODUCT((TRIM(tblDados[Mandante])=$A119)*tblDados[Primeira_Ocorrencia]*(tblDados[GM_M]=0))+SUMPRODUCT((TRIM(tblDados[Visitante])=$A119)*tblDados[Primeira_Ocorrencia]*(tblDados[GM_V]=0)))/G119,0))</f>
        <v>0.23076923076923078</v>
      </c>
      <c r="K119" s="11" cm="1">
        <f t="array" ref="K119">IF($A119="","",IFERROR((SUMPRODUCT((TRIM(tblDados[Mandante])=$A119)*tblDados[Primeira_Ocorrencia]*((tblDados[GM_M]+tblDados[GS_M])&gt;0.5))+SUMPRODUCT((TRIM(tblDados[Visitante])=$A119)*tblDados[Primeira_Ocorrencia]*((tblDados[GM_V]+tblDados[GS_V])&gt;0.5)))/G119,0))</f>
        <v>1</v>
      </c>
      <c r="L119" s="11" cm="1">
        <f t="array" ref="L119">IF($A119="","",IFERROR((SUMPRODUCT((TRIM(tblDados[Mandante])=$A119)*tblDados[Primeira_Ocorrencia]*((tblDados[GM_M]+tblDados[GS_M])&gt;1.5))+SUMPRODUCT((TRIM(tblDados[Visitante])=$A119)*tblDados[Primeira_Ocorrencia]*((tblDados[GM_V]+tblDados[GS_V])&gt;1.5)))/G119,0))</f>
        <v>0.69230769230769229</v>
      </c>
      <c r="M119" s="11" cm="1">
        <f t="array" ref="M119">IF($A119="","",IFERROR((SUMPRODUCT((TRIM(tblDados[Mandante])=$A119)*tblDados[Primeira_Ocorrencia]*((tblDados[GM_M]+tblDados[GS_M])&gt;2.5))+SUMPRODUCT((TRIM(tblDados[Visitante])=$A119)*tblDados[Primeira_Ocorrencia]*((tblDados[GM_V]+tblDados[GS_V])&gt;2.5)))/G119,0))</f>
        <v>0.30769230769230771</v>
      </c>
      <c r="N119" s="11" cm="1">
        <f t="array" ref="N119">IF($A119="","",IFERROR((SUMPRODUCT((TRIM(tblDados[Mandante])=$A119)*tblDados[Primeira_Ocorrencia]*((tblDados[GM_M]+tblDados[GS_M])&gt;3.5))+SUMPRODUCT((TRIM(tblDados[Visitante])=$A119)*tblDados[Primeira_Ocorrencia]*((tblDados[GM_V]+tblDados[GS_V])&gt;3.5)))/G119,0))</f>
        <v>7.6923076923076927E-2</v>
      </c>
      <c r="O119" s="11" cm="1">
        <f t="array" ref="O119">IF($A119="","",IFERROR((SUMPRODUCT((TRIM(tblDados[Mandante])=$A119)*tblDados[Primeira_Ocorrencia]*(tblDados[GM_M]&gt;0)*(tblDados[GS_M]&gt;0))+SUMPRODUCT((TRIM(tblDados[Visitante])=$A119)*tblDados[Primeira_Ocorrencia]*(tblDados[GM_V]&gt;0)*(tblDados[GS_V]&gt;0)))/G119,0))</f>
        <v>0.53846153846153844</v>
      </c>
      <c r="P119" s="10" cm="1">
        <f t="array" ref="P119">IF($A119="","",IFERROR((SUMPRODUCT((TRIM(tblDados[Mandante])=$A119)*tblDados[Primeira_Ocorrencia]*tblDados[GM_M]^2)+SUMPRODUCT((TRIM(tblDados[Visitante])=$A119)*tblDados[Primeira_Ocorrencia]*tblDados[GM_V]^2))/G119-H119^2,0))</f>
        <v>0.61538461538461542</v>
      </c>
      <c r="Q119" s="10">
        <f t="shared" si="22"/>
        <v>0.78446454055273618</v>
      </c>
      <c r="R119" s="8" t="str">
        <f t="shared" si="23"/>
        <v>Poisson</v>
      </c>
      <c r="S119" s="10" cm="1">
        <f t="array" ref="S119">IF($A119="","",SUMPRODUCT((TRIM(tblDados[Mandante])=$A119)*tblDados[Primeira_Ocorrencia]*tblDados[GM_M]))</f>
        <v>8</v>
      </c>
      <c r="T119" s="10" cm="1">
        <f t="array" ref="T119">IF($A119="","",SUMPRODUCT((TRIM(tblDados[Visitante])=$A119)*tblDados[Primeira_Ocorrencia]*tblDados[GM_V]))</f>
        <v>5</v>
      </c>
      <c r="U119" s="10">
        <f t="shared" si="24"/>
        <v>13</v>
      </c>
      <c r="V119" s="10">
        <f t="shared" si="13"/>
        <v>1</v>
      </c>
      <c r="W119" s="10" cm="1">
        <f t="array" ref="W119">IF($A119="","",SUMPRODUCT((TRIM(tblDados[Mandante])=$A119)*tblDados[Primeira_Ocorrencia]*tblDados[GS_M]))</f>
        <v>5</v>
      </c>
      <c r="X119" s="10" cm="1">
        <f t="array" ref="X119">IF($A119="","",SUMPRODUCT((TRIM(tblDados[Visitante])=$A119)*tblDados[Primeira_Ocorrencia]*tblDados[GS_V]))</f>
        <v>9</v>
      </c>
      <c r="Y119" s="10">
        <f t="shared" si="25"/>
        <v>14</v>
      </c>
      <c r="Z119" s="10">
        <f t="shared" si="14"/>
        <v>1.0769230769230769</v>
      </c>
      <c r="AA119" s="10">
        <f t="shared" si="15"/>
        <v>1.3333333333333333</v>
      </c>
      <c r="AB119" s="10">
        <f t="shared" si="16"/>
        <v>0.83333333333333337</v>
      </c>
      <c r="AC119" s="10">
        <f t="shared" si="17"/>
        <v>0.7142857142857143</v>
      </c>
      <c r="AD119" s="10">
        <f t="shared" si="18"/>
        <v>1.2857142857142858</v>
      </c>
    </row>
    <row r="120" spans="1:30" x14ac:dyDescent="0.3">
      <c r="A120" s="7" t="str">
        <v>Nashville SC</v>
      </c>
      <c r="B120" s="12" t="str" cm="1">
        <f t="array" ref="B120">IF($A120="","",_xlfn.LET(_xlpm.p,IFERROR(INDEX(tblDados[País],MATCH($A120,TRIM(tblDados[Mandante]),0)),INDEX(tblDados[País],MATCH($A120,TRIM(tblDados[Visitante]),0))),_xlpm.l,IFERROR(INDEX(tblDados[Liga],MATCH($A120,TRIM(tblDados[Mandante]),0)),INDEX(tblDados[Liga],MATCH($A120,TRIM(tblDados[Visitante]),0))),_xlpm.p&amp;" - "&amp;_xlpm.l))</f>
        <v>USA - MLS-East</v>
      </c>
      <c r="C120" s="10">
        <f t="shared" si="19"/>
        <v>3.333333333333333</v>
      </c>
      <c r="D120" s="10">
        <f t="shared" si="20"/>
        <v>2</v>
      </c>
      <c r="E120" s="9" cm="1">
        <f t="array" ref="E120">IF($A120="","",SUMPRODUCT((TRIM(tblDados[Mandante])=$A120)*tblDados[Primeira_Ocorrencia]))</f>
        <v>6</v>
      </c>
      <c r="F120" s="9" cm="1">
        <f t="array" ref="F120">IF($A120="","",SUMPRODUCT((TRIM(tblDados[Visitante])=$A120)*tblDados[Primeira_Ocorrencia]))</f>
        <v>7</v>
      </c>
      <c r="G120" s="9" cm="1">
        <f t="array" ref="G120">IF($A120="","",SUMPRODUCT((TRIM(tblDados[Mandante])=$A120)*tblDados[Primeira_Ocorrencia])+SUMPRODUCT((TRIM(tblDados[Visitante])=$A120)*tblDados[Primeira_Ocorrencia]))</f>
        <v>13</v>
      </c>
      <c r="H120" s="10">
        <f t="shared" si="21"/>
        <v>1.6923076923076923</v>
      </c>
      <c r="I120" s="10" cm="1">
        <f t="array" ref="I120">IF($A120="","",_xlfn.LET(_xlpm.p,IFERROR(INDEX(tblDados[País],MATCH($A120,TRIM(tblDados[Mandante]),0)),INDEX(tblDados[País],MATCH($A120,TRIM(tblDados[Visitante]),0))),_xlpm.l,IFERROR(INDEX(tblDados[Liga],MATCH($A120,TRIM(tblDados[Mandante]),0)),INDEX(tblDados[Liga],MATCH($A120,TRIM(tblDados[Visitante]),0))),IFERROR(SUMIFS(Ligas!$D$2:$D$39,Ligas!$H$2:$H$39,_xlpm.p,Ligas!$I$2:$I$39,_xlpm.l),0)))</f>
        <v>3.3</v>
      </c>
      <c r="J120" s="11" cm="1">
        <f t="array" ref="J120">IF($A120="","",IFERROR((SUMPRODUCT((TRIM(tblDados[Mandante])=$A120)*tblDados[Primeira_Ocorrencia]*(tblDados[GM_M]=0))+SUMPRODUCT((TRIM(tblDados[Visitante])=$A120)*tblDados[Primeira_Ocorrencia]*(tblDados[GM_V]=0)))/G120,0))</f>
        <v>0.23076923076923078</v>
      </c>
      <c r="K120" s="11" cm="1">
        <f t="array" ref="K120">IF($A120="","",IFERROR((SUMPRODUCT((TRIM(tblDados[Mandante])=$A120)*tblDados[Primeira_Ocorrencia]*((tblDados[GM_M]+tblDados[GS_M])&gt;0.5))+SUMPRODUCT((TRIM(tblDados[Visitante])=$A120)*tblDados[Primeira_Ocorrencia]*((tblDados[GM_V]+tblDados[GS_V])&gt;0.5)))/G120,0))</f>
        <v>0.92307692307692313</v>
      </c>
      <c r="L120" s="11" cm="1">
        <f t="array" ref="L120">IF($A120="","",IFERROR((SUMPRODUCT((TRIM(tblDados[Mandante])=$A120)*tblDados[Primeira_Ocorrencia]*((tblDados[GM_M]+tblDados[GS_M])&gt;1.5))+SUMPRODUCT((TRIM(tblDados[Visitante])=$A120)*tblDados[Primeira_Ocorrencia]*((tblDados[GM_V]+tblDados[GS_V])&gt;1.5)))/G120,0))</f>
        <v>0.61538461538461542</v>
      </c>
      <c r="M120" s="11" cm="1">
        <f t="array" ref="M120">IF($A120="","",IFERROR((SUMPRODUCT((TRIM(tblDados[Mandante])=$A120)*tblDados[Primeira_Ocorrencia]*((tblDados[GM_M]+tblDados[GS_M])&gt;2.5))+SUMPRODUCT((TRIM(tblDados[Visitante])=$A120)*tblDados[Primeira_Ocorrencia]*((tblDados[GM_V]+tblDados[GS_V])&gt;2.5)))/G120,0))</f>
        <v>0.53846153846153844</v>
      </c>
      <c r="N120" s="11" cm="1">
        <f t="array" ref="N120">IF($A120="","",IFERROR((SUMPRODUCT((TRIM(tblDados[Mandante])=$A120)*tblDados[Primeira_Ocorrencia]*((tblDados[GM_M]+tblDados[GS_M])&gt;3.5))+SUMPRODUCT((TRIM(tblDados[Visitante])=$A120)*tblDados[Primeira_Ocorrencia]*((tblDados[GM_V]+tblDados[GS_V])&gt;3.5)))/G120,0))</f>
        <v>0.30769230769230771</v>
      </c>
      <c r="O120" s="11" cm="1">
        <f t="array" ref="O120">IF($A120="","",IFERROR((SUMPRODUCT((TRIM(tblDados[Mandante])=$A120)*tblDados[Primeira_Ocorrencia]*(tblDados[GM_M]&gt;0)*(tblDados[GS_M]&gt;0))+SUMPRODUCT((TRIM(tblDados[Visitante])=$A120)*tblDados[Primeira_Ocorrencia]*(tblDados[GM_V]&gt;0)*(tblDados[GS_V]&gt;0)))/G120,0))</f>
        <v>0.46153846153846156</v>
      </c>
      <c r="P120" s="10" cm="1">
        <f t="array" ref="P120">IF($A120="","",IFERROR((SUMPRODUCT((TRIM(tblDados[Mandante])=$A120)*tblDados[Primeira_Ocorrencia]*tblDados[GM_M]^2)+SUMPRODUCT((TRIM(tblDados[Visitante])=$A120)*tblDados[Primeira_Ocorrencia]*tblDados[GM_V]^2))/G120-H120^2,0))</f>
        <v>1.4437869822485205</v>
      </c>
      <c r="Q120" s="10">
        <f t="shared" si="22"/>
        <v>1.2015768732164083</v>
      </c>
      <c r="R120" s="8" t="str">
        <f t="shared" si="23"/>
        <v>Poisson</v>
      </c>
      <c r="S120" s="10" cm="1">
        <f t="array" ref="S120">IF($A120="","",SUMPRODUCT((TRIM(tblDados[Mandante])=$A120)*tblDados[Primeira_Ocorrencia]*tblDados[GM_M]))</f>
        <v>13</v>
      </c>
      <c r="T120" s="10" cm="1">
        <f t="array" ref="T120">IF($A120="","",SUMPRODUCT((TRIM(tblDados[Visitante])=$A120)*tblDados[Primeira_Ocorrencia]*tblDados[GM_V]))</f>
        <v>9</v>
      </c>
      <c r="U120" s="10">
        <f t="shared" si="24"/>
        <v>22</v>
      </c>
      <c r="V120" s="10">
        <f t="shared" si="13"/>
        <v>1.6923076923076923</v>
      </c>
      <c r="W120" s="10" cm="1">
        <f t="array" ref="W120">IF($A120="","",SUMPRODUCT((TRIM(tblDados[Mandante])=$A120)*tblDados[Primeira_Ocorrencia]*tblDados[GS_M]))</f>
        <v>7</v>
      </c>
      <c r="X120" s="10" cm="1">
        <f t="array" ref="X120">IF($A120="","",SUMPRODUCT((TRIM(tblDados[Visitante])=$A120)*tblDados[Primeira_Ocorrencia]*tblDados[GS_V]))</f>
        <v>5</v>
      </c>
      <c r="Y120" s="10">
        <f t="shared" si="25"/>
        <v>12</v>
      </c>
      <c r="Z120" s="10">
        <f t="shared" si="14"/>
        <v>0.92307692307692313</v>
      </c>
      <c r="AA120" s="10">
        <f t="shared" si="15"/>
        <v>2.1666666666666665</v>
      </c>
      <c r="AB120" s="10">
        <f t="shared" si="16"/>
        <v>1.1666666666666667</v>
      </c>
      <c r="AC120" s="10">
        <f t="shared" si="17"/>
        <v>1.2857142857142858</v>
      </c>
      <c r="AD120" s="10">
        <f t="shared" si="18"/>
        <v>0.7142857142857143</v>
      </c>
    </row>
    <row r="121" spans="1:30" x14ac:dyDescent="0.3">
      <c r="A121" s="7" t="str">
        <v>New England Revolution</v>
      </c>
      <c r="B121" s="12" t="str" cm="1">
        <f t="array" ref="B121">IF($A121="","",_xlfn.LET(_xlpm.p,IFERROR(INDEX(tblDados[País],MATCH($A121,TRIM(tblDados[Mandante]),0)),INDEX(tblDados[País],MATCH($A121,TRIM(tblDados[Visitante]),0))),_xlpm.l,IFERROR(INDEX(tblDados[Liga],MATCH($A121,TRIM(tblDados[Mandante]),0)),INDEX(tblDados[Liga],MATCH($A121,TRIM(tblDados[Visitante]),0))),_xlpm.p&amp;" - "&amp;_xlpm.l))</f>
        <v>USA - MLS-East</v>
      </c>
      <c r="C121" s="10">
        <f t="shared" si="19"/>
        <v>2.333333333333333</v>
      </c>
      <c r="D121" s="10">
        <f t="shared" si="20"/>
        <v>2.5</v>
      </c>
      <c r="E121" s="9" cm="1">
        <f t="array" ref="E121">IF($A121="","",SUMPRODUCT((TRIM(tblDados[Mandante])=$A121)*tblDados[Primeira_Ocorrencia]))</f>
        <v>9</v>
      </c>
      <c r="F121" s="9" cm="1">
        <f t="array" ref="F121">IF($A121="","",SUMPRODUCT((TRIM(tblDados[Visitante])=$A121)*tblDados[Primeira_Ocorrencia]))</f>
        <v>4</v>
      </c>
      <c r="G121" s="9" cm="1">
        <f t="array" ref="G121">IF($A121="","",SUMPRODUCT((TRIM(tblDados[Mandante])=$A121)*tblDados[Primeira_Ocorrencia])+SUMPRODUCT((TRIM(tblDados[Visitante])=$A121)*tblDados[Primeira_Ocorrencia]))</f>
        <v>13</v>
      </c>
      <c r="H121" s="10">
        <f t="shared" si="21"/>
        <v>1.3076923076923077</v>
      </c>
      <c r="I121" s="10" cm="1">
        <f t="array" ref="I121">IF($A121="","",_xlfn.LET(_xlpm.p,IFERROR(INDEX(tblDados[País],MATCH($A121,TRIM(tblDados[Mandante]),0)),INDEX(tblDados[País],MATCH($A121,TRIM(tblDados[Visitante]),0))),_xlpm.l,IFERROR(INDEX(tblDados[Liga],MATCH($A121,TRIM(tblDados[Mandante]),0)),INDEX(tblDados[Liga],MATCH($A121,TRIM(tblDados[Visitante]),0))),IFERROR(SUMIFS(Ligas!$D$2:$D$39,Ligas!$H$2:$H$39,_xlpm.p,Ligas!$I$2:$I$39,_xlpm.l),0)))</f>
        <v>3.3</v>
      </c>
      <c r="J121" s="11" cm="1">
        <f t="array" ref="J121">IF($A121="","",IFERROR((SUMPRODUCT((TRIM(tblDados[Mandante])=$A121)*tblDados[Primeira_Ocorrencia]*(tblDados[GM_M]=0))+SUMPRODUCT((TRIM(tblDados[Visitante])=$A121)*tblDados[Primeira_Ocorrencia]*(tblDados[GM_V]=0)))/G121,0))</f>
        <v>0.30769230769230771</v>
      </c>
      <c r="K121" s="11" cm="1">
        <f t="array" ref="K121">IF($A121="","",IFERROR((SUMPRODUCT((TRIM(tblDados[Mandante])=$A121)*tblDados[Primeira_Ocorrencia]*((tblDados[GM_M]+tblDados[GS_M])&gt;0.5))+SUMPRODUCT((TRIM(tblDados[Visitante])=$A121)*tblDados[Primeira_Ocorrencia]*((tblDados[GM_V]+tblDados[GS_V])&gt;0.5)))/G121,0))</f>
        <v>0.92307692307692313</v>
      </c>
      <c r="L121" s="11" cm="1">
        <f t="array" ref="L121">IF($A121="","",IFERROR((SUMPRODUCT((TRIM(tblDados[Mandante])=$A121)*tblDados[Primeira_Ocorrencia]*((tblDados[GM_M]+tblDados[GS_M])&gt;1.5))+SUMPRODUCT((TRIM(tblDados[Visitante])=$A121)*tblDados[Primeira_Ocorrencia]*((tblDados[GM_V]+tblDados[GS_V])&gt;1.5)))/G121,0))</f>
        <v>0.69230769230769229</v>
      </c>
      <c r="M121" s="11" cm="1">
        <f t="array" ref="M121">IF($A121="","",IFERROR((SUMPRODUCT((TRIM(tblDados[Mandante])=$A121)*tblDados[Primeira_Ocorrencia]*((tblDados[GM_M]+tblDados[GS_M])&gt;2.5))+SUMPRODUCT((TRIM(tblDados[Visitante])=$A121)*tblDados[Primeira_Ocorrencia]*((tblDados[GM_V]+tblDados[GS_V])&gt;2.5)))/G121,0))</f>
        <v>0.53846153846153844</v>
      </c>
      <c r="N121" s="11" cm="1">
        <f t="array" ref="N121">IF($A121="","",IFERROR((SUMPRODUCT((TRIM(tblDados[Mandante])=$A121)*tblDados[Primeira_Ocorrencia]*((tblDados[GM_M]+tblDados[GS_M])&gt;3.5))+SUMPRODUCT((TRIM(tblDados[Visitante])=$A121)*tblDados[Primeira_Ocorrencia]*((tblDados[GM_V]+tblDados[GS_V])&gt;3.5)))/G121,0))</f>
        <v>0.15384615384615385</v>
      </c>
      <c r="O121" s="11" cm="1">
        <f t="array" ref="O121">IF($A121="","",IFERROR((SUMPRODUCT((TRIM(tblDados[Mandante])=$A121)*tblDados[Primeira_Ocorrencia]*(tblDados[GM_M]&gt;0)*(tblDados[GS_M]&gt;0))+SUMPRODUCT((TRIM(tblDados[Visitante])=$A121)*tblDados[Primeira_Ocorrencia]*(tblDados[GM_V]&gt;0)*(tblDados[GS_V]&gt;0)))/G121,0))</f>
        <v>0.53846153846153844</v>
      </c>
      <c r="P121" s="10" cm="1">
        <f t="array" ref="P121">IF($A121="","",IFERROR((SUMPRODUCT((TRIM(tblDados[Mandante])=$A121)*tblDados[Primeira_Ocorrencia]*tblDados[GM_M]^2)+SUMPRODUCT((TRIM(tblDados[Visitante])=$A121)*tblDados[Primeira_Ocorrencia]*tblDados[GM_V]^2))/G121-H121^2,0))</f>
        <v>1.2899408284023668</v>
      </c>
      <c r="Q121" s="10">
        <f t="shared" si="22"/>
        <v>1.1357556200179539</v>
      </c>
      <c r="R121" s="8" t="str">
        <f t="shared" si="23"/>
        <v>Poisson</v>
      </c>
      <c r="S121" s="10" cm="1">
        <f t="array" ref="S121">IF($A121="","",SUMPRODUCT((TRIM(tblDados[Mandante])=$A121)*tblDados[Primeira_Ocorrencia]*tblDados[GM_M]))</f>
        <v>12</v>
      </c>
      <c r="T121" s="10" cm="1">
        <f t="array" ref="T121">IF($A121="","",SUMPRODUCT((TRIM(tblDados[Visitante])=$A121)*tblDados[Primeira_Ocorrencia]*tblDados[GM_V]))</f>
        <v>5</v>
      </c>
      <c r="U121" s="10">
        <f t="shared" si="24"/>
        <v>17</v>
      </c>
      <c r="V121" s="10">
        <f t="shared" si="13"/>
        <v>1.3076923076923077</v>
      </c>
      <c r="W121" s="10" cm="1">
        <f t="array" ref="W121">IF($A121="","",SUMPRODUCT((TRIM(tblDados[Mandante])=$A121)*tblDados[Primeira_Ocorrencia]*tblDados[GS_M]))</f>
        <v>9</v>
      </c>
      <c r="X121" s="10" cm="1">
        <f t="array" ref="X121">IF($A121="","",SUMPRODUCT((TRIM(tblDados[Visitante])=$A121)*tblDados[Primeira_Ocorrencia]*tblDados[GS_V]))</f>
        <v>5</v>
      </c>
      <c r="Y121" s="10">
        <f t="shared" si="25"/>
        <v>14</v>
      </c>
      <c r="Z121" s="10">
        <f t="shared" si="14"/>
        <v>1.0769230769230769</v>
      </c>
      <c r="AA121" s="10">
        <f t="shared" si="15"/>
        <v>1.3333333333333333</v>
      </c>
      <c r="AB121" s="10">
        <f t="shared" si="16"/>
        <v>1</v>
      </c>
      <c r="AC121" s="10">
        <f t="shared" si="17"/>
        <v>1.25</v>
      </c>
      <c r="AD121" s="10">
        <f t="shared" si="18"/>
        <v>1.25</v>
      </c>
    </row>
    <row r="122" spans="1:30" x14ac:dyDescent="0.3">
      <c r="A122" s="7" t="str">
        <v>Njardvik</v>
      </c>
      <c r="B122" s="12" t="str" cm="1">
        <f t="array" ref="B122">IF($A122="","",_xlfn.LET(_xlpm.p,IFERROR(INDEX(tblDados[País],MATCH($A122,TRIM(tblDados[Mandante]),0)),INDEX(tblDados[País],MATCH($A122,TRIM(tblDados[Visitante]),0))),_xlpm.l,IFERROR(INDEX(tblDados[Liga],MATCH($A122,TRIM(tblDados[Mandante]),0)),INDEX(tblDados[Liga],MATCH($A122,TRIM(tblDados[Visitante]),0))),_xlpm.p&amp;" - "&amp;_xlpm.l))</f>
        <v>ISL - Lengjudeildin (1ªD)</v>
      </c>
      <c r="C122" s="10">
        <f t="shared" si="19"/>
        <v>3.625</v>
      </c>
      <c r="D122" s="10">
        <f t="shared" si="20"/>
        <v>2.8</v>
      </c>
      <c r="E122" s="9" cm="1">
        <f t="array" ref="E122">IF($A122="","",SUMPRODUCT((TRIM(tblDados[Mandante])=$A122)*tblDados[Primeira_Ocorrencia]))</f>
        <v>8</v>
      </c>
      <c r="F122" s="9" cm="1">
        <f t="array" ref="F122">IF($A122="","",SUMPRODUCT((TRIM(tblDados[Visitante])=$A122)*tblDados[Primeira_Ocorrencia]))</f>
        <v>5</v>
      </c>
      <c r="G122" s="9" cm="1">
        <f t="array" ref="G122">IF($A122="","",SUMPRODUCT((TRIM(tblDados[Mandante])=$A122)*tblDados[Primeira_Ocorrencia])+SUMPRODUCT((TRIM(tblDados[Visitante])=$A122)*tblDados[Primeira_Ocorrencia]))</f>
        <v>13</v>
      </c>
      <c r="H122" s="10">
        <f t="shared" si="21"/>
        <v>1.9230769230769231</v>
      </c>
      <c r="I122" s="10" cm="1">
        <f t="array" ref="I122">IF($A122="","",_xlfn.LET(_xlpm.p,IFERROR(INDEX(tblDados[País],MATCH($A122,TRIM(tblDados[Mandante]),0)),INDEX(tblDados[País],MATCH($A122,TRIM(tblDados[Visitante]),0))),_xlpm.l,IFERROR(INDEX(tblDados[Liga],MATCH($A122,TRIM(tblDados[Mandante]),0)),INDEX(tblDados[Liga],MATCH($A122,TRIM(tblDados[Visitante]),0))),IFERROR(SUMIFS(Ligas!$D$2:$D$39,Ligas!$H$2:$H$39,_xlpm.p,Ligas!$I$2:$I$39,_xlpm.l),0)))</f>
        <v>3.55</v>
      </c>
      <c r="J122" s="11" cm="1">
        <f t="array" ref="J122">IF($A122="","",IFERROR((SUMPRODUCT((TRIM(tblDados[Mandante])=$A122)*tblDados[Primeira_Ocorrencia]*(tblDados[GM_M]=0))+SUMPRODUCT((TRIM(tblDados[Visitante])=$A122)*tblDados[Primeira_Ocorrencia]*(tblDados[GM_V]=0)))/G122,0))</f>
        <v>0.15384615384615385</v>
      </c>
      <c r="K122" s="11" cm="1">
        <f t="array" ref="K122">IF($A122="","",IFERROR((SUMPRODUCT((TRIM(tblDados[Mandante])=$A122)*tblDados[Primeira_Ocorrencia]*((tblDados[GM_M]+tblDados[GS_M])&gt;0.5))+SUMPRODUCT((TRIM(tblDados[Visitante])=$A122)*tblDados[Primeira_Ocorrencia]*((tblDados[GM_V]+tblDados[GS_V])&gt;0.5)))/G122,0))</f>
        <v>0.92307692307692313</v>
      </c>
      <c r="L122" s="11" cm="1">
        <f t="array" ref="L122">IF($A122="","",IFERROR((SUMPRODUCT((TRIM(tblDados[Mandante])=$A122)*tblDados[Primeira_Ocorrencia]*((tblDados[GM_M]+tblDados[GS_M])&gt;1.5))+SUMPRODUCT((TRIM(tblDados[Visitante])=$A122)*tblDados[Primeira_Ocorrencia]*((tblDados[GM_V]+tblDados[GS_V])&gt;1.5)))/G122,0))</f>
        <v>0.69230769230769229</v>
      </c>
      <c r="M122" s="11" cm="1">
        <f t="array" ref="M122">IF($A122="","",IFERROR((SUMPRODUCT((TRIM(tblDados[Mandante])=$A122)*tblDados[Primeira_Ocorrencia]*((tblDados[GM_M]+tblDados[GS_M])&gt;2.5))+SUMPRODUCT((TRIM(tblDados[Visitante])=$A122)*tblDados[Primeira_Ocorrencia]*((tblDados[GM_V]+tblDados[GS_V])&gt;2.5)))/G122,0))</f>
        <v>0.61538461538461542</v>
      </c>
      <c r="N122" s="11" cm="1">
        <f t="array" ref="N122">IF($A122="","",IFERROR((SUMPRODUCT((TRIM(tblDados[Mandante])=$A122)*tblDados[Primeira_Ocorrencia]*((tblDados[GM_M]+tblDados[GS_M])&gt;3.5))+SUMPRODUCT((TRIM(tblDados[Visitante])=$A122)*tblDados[Primeira_Ocorrencia]*((tblDados[GM_V]+tblDados[GS_V])&gt;3.5)))/G122,0))</f>
        <v>0.38461538461538464</v>
      </c>
      <c r="O122" s="11" cm="1">
        <f t="array" ref="O122">IF($A122="","",IFERROR((SUMPRODUCT((TRIM(tblDados[Mandante])=$A122)*tblDados[Primeira_Ocorrencia]*(tblDados[GM_M]&gt;0)*(tblDados[GS_M]&gt;0))+SUMPRODUCT((TRIM(tblDados[Visitante])=$A122)*tblDados[Primeira_Ocorrencia]*(tblDados[GM_V]&gt;0)*(tblDados[GS_V]&gt;0)))/G122,0))</f>
        <v>0.53846153846153844</v>
      </c>
      <c r="P122" s="10" cm="1">
        <f t="array" ref="P122">IF($A122="","",IFERROR((SUMPRODUCT((TRIM(tblDados[Mandante])=$A122)*tblDados[Primeira_Ocorrencia]*tblDados[GM_M]^2)+SUMPRODUCT((TRIM(tblDados[Visitante])=$A122)*tblDados[Primeira_Ocorrencia]*tblDados[GM_V]^2))/G122-H122^2,0))</f>
        <v>2.6863905325443791</v>
      </c>
      <c r="Q122" s="10">
        <f t="shared" si="22"/>
        <v>1.6390212117432705</v>
      </c>
      <c r="R122" s="8" t="str">
        <f t="shared" si="23"/>
        <v>Poisson</v>
      </c>
      <c r="S122" s="10" cm="1">
        <f t="array" ref="S122">IF($A122="","",SUMPRODUCT((TRIM(tblDados[Mandante])=$A122)*tblDados[Primeira_Ocorrencia]*tblDados[GM_M]))</f>
        <v>19</v>
      </c>
      <c r="T122" s="10" cm="1">
        <f t="array" ref="T122">IF($A122="","",SUMPRODUCT((TRIM(tblDados[Visitante])=$A122)*tblDados[Primeira_Ocorrencia]*tblDados[GM_V]))</f>
        <v>6</v>
      </c>
      <c r="U122" s="10">
        <f t="shared" si="24"/>
        <v>25</v>
      </c>
      <c r="V122" s="10">
        <f t="shared" si="13"/>
        <v>1.9230769230769231</v>
      </c>
      <c r="W122" s="10" cm="1">
        <f t="array" ref="W122">IF($A122="","",SUMPRODUCT((TRIM(tblDados[Mandante])=$A122)*tblDados[Primeira_Ocorrencia]*tblDados[GS_M]))</f>
        <v>10</v>
      </c>
      <c r="X122" s="10" cm="1">
        <f t="array" ref="X122">IF($A122="","",SUMPRODUCT((TRIM(tblDados[Visitante])=$A122)*tblDados[Primeira_Ocorrencia]*tblDados[GS_V]))</f>
        <v>8</v>
      </c>
      <c r="Y122" s="10">
        <f t="shared" si="25"/>
        <v>18</v>
      </c>
      <c r="Z122" s="10">
        <f t="shared" si="14"/>
        <v>1.3846153846153846</v>
      </c>
      <c r="AA122" s="10">
        <f t="shared" si="15"/>
        <v>2.375</v>
      </c>
      <c r="AB122" s="10">
        <f t="shared" si="16"/>
        <v>1.25</v>
      </c>
      <c r="AC122" s="10">
        <f t="shared" si="17"/>
        <v>1.2</v>
      </c>
      <c r="AD122" s="10">
        <f t="shared" si="18"/>
        <v>1.6</v>
      </c>
    </row>
    <row r="123" spans="1:30" x14ac:dyDescent="0.3">
      <c r="A123" s="7" t="str">
        <v>Norrby IF</v>
      </c>
      <c r="B123" s="12" t="str" cm="1">
        <f t="array" ref="B123">IF($A123="","",_xlfn.LET(_xlpm.p,IFERROR(INDEX(tblDados[País],MATCH($A123,TRIM(tblDados[Mandante]),0)),INDEX(tblDados[País],MATCH($A123,TRIM(tblDados[Visitante]),0))),_xlpm.l,IFERROR(INDEX(tblDados[Liga],MATCH($A123,TRIM(tblDados[Mandante]),0)),INDEX(tblDados[Liga],MATCH($A123,TRIM(tblDados[Visitante]),0))),_xlpm.p&amp;" - "&amp;_xlpm.l))</f>
        <v>SWE - Superettan</v>
      </c>
      <c r="C123" s="10">
        <f t="shared" si="19"/>
        <v>3.2857142857142856</v>
      </c>
      <c r="D123" s="10">
        <f t="shared" si="20"/>
        <v>2</v>
      </c>
      <c r="E123" s="9" cm="1">
        <f t="array" ref="E123">IF($A123="","",SUMPRODUCT((TRIM(tblDados[Mandante])=$A123)*tblDados[Primeira_Ocorrencia]))</f>
        <v>7</v>
      </c>
      <c r="F123" s="9" cm="1">
        <f t="array" ref="F123">IF($A123="","",SUMPRODUCT((TRIM(tblDados[Visitante])=$A123)*tblDados[Primeira_Ocorrencia]))</f>
        <v>6</v>
      </c>
      <c r="G123" s="9" cm="1">
        <f t="array" ref="G123">IF($A123="","",SUMPRODUCT((TRIM(tblDados[Mandante])=$A123)*tblDados[Primeira_Ocorrencia])+SUMPRODUCT((TRIM(tblDados[Visitante])=$A123)*tblDados[Primeira_Ocorrencia]))</f>
        <v>13</v>
      </c>
      <c r="H123" s="10">
        <f t="shared" si="21"/>
        <v>1.3846153846153846</v>
      </c>
      <c r="I123" s="10" cm="1">
        <f t="array" ref="I123">IF($A123="","",_xlfn.LET(_xlpm.p,IFERROR(INDEX(tblDados[País],MATCH($A123,TRIM(tblDados[Mandante]),0)),INDEX(tblDados[País],MATCH($A123,TRIM(tblDados[Visitante]),0))),_xlpm.l,IFERROR(INDEX(tblDados[Liga],MATCH($A123,TRIM(tblDados[Mandante]),0)),INDEX(tblDados[Liga],MATCH($A123,TRIM(tblDados[Visitante]),0))),IFERROR(SUMIFS(Ligas!$D$2:$D$39,Ligas!$H$2:$H$39,_xlpm.p,Ligas!$I$2:$I$39,_xlpm.l),0)))</f>
        <v>2.5</v>
      </c>
      <c r="J123" s="11" cm="1">
        <f t="array" ref="J123">IF($A123="","",IFERROR((SUMPRODUCT((TRIM(tblDados[Mandante])=$A123)*tblDados[Primeira_Ocorrencia]*(tblDados[GM_M]=0))+SUMPRODUCT((TRIM(tblDados[Visitante])=$A123)*tblDados[Primeira_Ocorrencia]*(tblDados[GM_V]=0)))/G123,0))</f>
        <v>0.30769230769230771</v>
      </c>
      <c r="K123" s="11" cm="1">
        <f t="array" ref="K123">IF($A123="","",IFERROR((SUMPRODUCT((TRIM(tblDados[Mandante])=$A123)*tblDados[Primeira_Ocorrencia]*((tblDados[GM_M]+tblDados[GS_M])&gt;0.5))+SUMPRODUCT((TRIM(tblDados[Visitante])=$A123)*tblDados[Primeira_Ocorrencia]*((tblDados[GM_V]+tblDados[GS_V])&gt;0.5)))/G123,0))</f>
        <v>0.84615384615384615</v>
      </c>
      <c r="L123" s="11" cm="1">
        <f t="array" ref="L123">IF($A123="","",IFERROR((SUMPRODUCT((TRIM(tblDados[Mandante])=$A123)*tblDados[Primeira_Ocorrencia]*((tblDados[GM_M]+tblDados[GS_M])&gt;1.5))+SUMPRODUCT((TRIM(tblDados[Visitante])=$A123)*tblDados[Primeira_Ocorrencia]*((tblDados[GM_V]+tblDados[GS_V])&gt;1.5)))/G123,0))</f>
        <v>0.76923076923076927</v>
      </c>
      <c r="M123" s="11" cm="1">
        <f t="array" ref="M123">IF($A123="","",IFERROR((SUMPRODUCT((TRIM(tblDados[Mandante])=$A123)*tblDados[Primeira_Ocorrencia]*((tblDados[GM_M]+tblDados[GS_M])&gt;2.5))+SUMPRODUCT((TRIM(tblDados[Visitante])=$A123)*tblDados[Primeira_Ocorrencia]*((tblDados[GM_V]+tblDados[GS_V])&gt;2.5)))/G123,0))</f>
        <v>0.53846153846153844</v>
      </c>
      <c r="N123" s="11" cm="1">
        <f t="array" ref="N123">IF($A123="","",IFERROR((SUMPRODUCT((TRIM(tblDados[Mandante])=$A123)*tblDados[Primeira_Ocorrencia]*((tblDados[GM_M]+tblDados[GS_M])&gt;3.5))+SUMPRODUCT((TRIM(tblDados[Visitante])=$A123)*tblDados[Primeira_Ocorrencia]*((tblDados[GM_V]+tblDados[GS_V])&gt;3.5)))/G123,0))</f>
        <v>0.38461538461538464</v>
      </c>
      <c r="O123" s="11" cm="1">
        <f t="array" ref="O123">IF($A123="","",IFERROR((SUMPRODUCT((TRIM(tblDados[Mandante])=$A123)*tblDados[Primeira_Ocorrencia]*(tblDados[GM_M]&gt;0)*(tblDados[GS_M]&gt;0))+SUMPRODUCT((TRIM(tblDados[Visitante])=$A123)*tblDados[Primeira_Ocorrencia]*(tblDados[GM_V]&gt;0)*(tblDados[GS_V]&gt;0)))/G123,0))</f>
        <v>0.61538461538461542</v>
      </c>
      <c r="P123" s="10" cm="1">
        <f t="array" ref="P123">IF($A123="","",IFERROR((SUMPRODUCT((TRIM(tblDados[Mandante])=$A123)*tblDados[Primeira_Ocorrencia]*tblDados[GM_M]^2)+SUMPRODUCT((TRIM(tblDados[Visitante])=$A123)*tblDados[Primeira_Ocorrencia]*tblDados[GM_V]^2))/G123-H123^2,0))</f>
        <v>1.3136094674556216</v>
      </c>
      <c r="Q123" s="10">
        <f t="shared" si="22"/>
        <v>1.1461280327501031</v>
      </c>
      <c r="R123" s="8" t="str">
        <f t="shared" si="23"/>
        <v>Poisson</v>
      </c>
      <c r="S123" s="10" cm="1">
        <f t="array" ref="S123">IF($A123="","",SUMPRODUCT((TRIM(tblDados[Mandante])=$A123)*tblDados[Primeira_Ocorrencia]*tblDados[GM_M]))</f>
        <v>13</v>
      </c>
      <c r="T123" s="10" cm="1">
        <f t="array" ref="T123">IF($A123="","",SUMPRODUCT((TRIM(tblDados[Visitante])=$A123)*tblDados[Primeira_Ocorrencia]*tblDados[GM_V]))</f>
        <v>5</v>
      </c>
      <c r="U123" s="10">
        <f t="shared" si="24"/>
        <v>18</v>
      </c>
      <c r="V123" s="10">
        <f t="shared" si="13"/>
        <v>1.3846153846153846</v>
      </c>
      <c r="W123" s="10" cm="1">
        <f t="array" ref="W123">IF($A123="","",SUMPRODUCT((TRIM(tblDados[Mandante])=$A123)*tblDados[Primeira_Ocorrencia]*tblDados[GS_M]))</f>
        <v>10</v>
      </c>
      <c r="X123" s="10" cm="1">
        <f t="array" ref="X123">IF($A123="","",SUMPRODUCT((TRIM(tblDados[Visitante])=$A123)*tblDados[Primeira_Ocorrencia]*tblDados[GS_V]))</f>
        <v>7</v>
      </c>
      <c r="Y123" s="10">
        <f t="shared" si="25"/>
        <v>17</v>
      </c>
      <c r="Z123" s="10">
        <f t="shared" si="14"/>
        <v>1.3076923076923077</v>
      </c>
      <c r="AA123" s="10">
        <f t="shared" si="15"/>
        <v>1.8571428571428572</v>
      </c>
      <c r="AB123" s="10">
        <f t="shared" si="16"/>
        <v>1.4285714285714286</v>
      </c>
      <c r="AC123" s="10">
        <f t="shared" si="17"/>
        <v>0.83333333333333337</v>
      </c>
      <c r="AD123" s="10">
        <f t="shared" si="18"/>
        <v>1.1666666666666667</v>
      </c>
    </row>
    <row r="124" spans="1:30" x14ac:dyDescent="0.3">
      <c r="A124" s="7" t="str">
        <v>Oriente Petrolero</v>
      </c>
      <c r="B124" s="12" t="str" cm="1">
        <f t="array" ref="B124">IF($A124="","",_xlfn.LET(_xlpm.p,IFERROR(INDEX(tblDados[País],MATCH($A124,TRIM(tblDados[Mandante]),0)),INDEX(tblDados[País],MATCH($A124,TRIM(tblDados[Visitante]),0))),_xlpm.l,IFERROR(INDEX(tblDados[Liga],MATCH($A124,TRIM(tblDados[Mandante]),0)),INDEX(tblDados[Liga],MATCH($A124,TRIM(tblDados[Visitante]),0))),_xlpm.p&amp;" - "&amp;_xlpm.l))</f>
        <v>BOL - Div. Profesional</v>
      </c>
      <c r="C124" s="10">
        <f t="shared" si="19"/>
        <v>2.5</v>
      </c>
      <c r="D124" s="10">
        <f t="shared" si="20"/>
        <v>2.8571428571428572</v>
      </c>
      <c r="E124" s="9" cm="1">
        <f t="array" ref="E124">IF($A124="","",SUMPRODUCT((TRIM(tblDados[Mandante])=$A124)*tblDados[Primeira_Ocorrencia]))</f>
        <v>6</v>
      </c>
      <c r="F124" s="9" cm="1">
        <f t="array" ref="F124">IF($A124="","",SUMPRODUCT((TRIM(tblDados[Visitante])=$A124)*tblDados[Primeira_Ocorrencia]))</f>
        <v>7</v>
      </c>
      <c r="G124" s="9" cm="1">
        <f t="array" ref="G124">IF($A124="","",SUMPRODUCT((TRIM(tblDados[Mandante])=$A124)*tblDados[Primeira_Ocorrencia])+SUMPRODUCT((TRIM(tblDados[Visitante])=$A124)*tblDados[Primeira_Ocorrencia]))</f>
        <v>13</v>
      </c>
      <c r="H124" s="10">
        <f t="shared" si="21"/>
        <v>1.3076923076923077</v>
      </c>
      <c r="I124" s="10" cm="1">
        <f t="array" ref="I124">IF($A124="","",_xlfn.LET(_xlpm.p,IFERROR(INDEX(tblDados[País],MATCH($A124,TRIM(tblDados[Mandante]),0)),INDEX(tblDados[País],MATCH($A124,TRIM(tblDados[Visitante]),0))),_xlpm.l,IFERROR(INDEX(tblDados[Liga],MATCH($A124,TRIM(tblDados[Mandante]),0)),INDEX(tblDados[Liga],MATCH($A124,TRIM(tblDados[Visitante]),0))),IFERROR(SUMIFS(Ligas!$D$2:$D$39,Ligas!$H$2:$H$39,_xlpm.p,Ligas!$I$2:$I$39,_xlpm.l),0)))</f>
        <v>3.62</v>
      </c>
      <c r="J124" s="11" cm="1">
        <f t="array" ref="J124">IF($A124="","",IFERROR((SUMPRODUCT((TRIM(tblDados[Mandante])=$A124)*tblDados[Primeira_Ocorrencia]*(tblDados[GM_M]=0))+SUMPRODUCT((TRIM(tblDados[Visitante])=$A124)*tblDados[Primeira_Ocorrencia]*(tblDados[GM_V]=0)))/G124,0))</f>
        <v>0.23076923076923078</v>
      </c>
      <c r="K124" s="11" cm="1">
        <f t="array" ref="K124">IF($A124="","",IFERROR((SUMPRODUCT((TRIM(tblDados[Mandante])=$A124)*tblDados[Primeira_Ocorrencia]*((tblDados[GM_M]+tblDados[GS_M])&gt;0.5))+SUMPRODUCT((TRIM(tblDados[Visitante])=$A124)*tblDados[Primeira_Ocorrencia]*((tblDados[GM_V]+tblDados[GS_V])&gt;0.5)))/G124,0))</f>
        <v>1</v>
      </c>
      <c r="L124" s="11" cm="1">
        <f t="array" ref="L124">IF($A124="","",IFERROR((SUMPRODUCT((TRIM(tblDados[Mandante])=$A124)*tblDados[Primeira_Ocorrencia]*((tblDados[GM_M]+tblDados[GS_M])&gt;1.5))+SUMPRODUCT((TRIM(tblDados[Visitante])=$A124)*tblDados[Primeira_Ocorrencia]*((tblDados[GM_V]+tblDados[GS_V])&gt;1.5)))/G124,0))</f>
        <v>0.76923076923076927</v>
      </c>
      <c r="M124" s="11" cm="1">
        <f t="array" ref="M124">IF($A124="","",IFERROR((SUMPRODUCT((TRIM(tblDados[Mandante])=$A124)*tblDados[Primeira_Ocorrencia]*((tblDados[GM_M]+tblDados[GS_M])&gt;2.5))+SUMPRODUCT((TRIM(tblDados[Visitante])=$A124)*tblDados[Primeira_Ocorrencia]*((tblDados[GM_V]+tblDados[GS_V])&gt;2.5)))/G124,0))</f>
        <v>0.61538461538461542</v>
      </c>
      <c r="N124" s="11" cm="1">
        <f t="array" ref="N124">IF($A124="","",IFERROR((SUMPRODUCT((TRIM(tblDados[Mandante])=$A124)*tblDados[Primeira_Ocorrencia]*((tblDados[GM_M]+tblDados[GS_M])&gt;3.5))+SUMPRODUCT((TRIM(tblDados[Visitante])=$A124)*tblDados[Primeira_Ocorrencia]*((tblDados[GM_V]+tblDados[GS_V])&gt;3.5)))/G124,0))</f>
        <v>0.30769230769230771</v>
      </c>
      <c r="O124" s="11" cm="1">
        <f t="array" ref="O124">IF($A124="","",IFERROR((SUMPRODUCT((TRIM(tblDados[Mandante])=$A124)*tblDados[Primeira_Ocorrencia]*(tblDados[GM_M]&gt;0)*(tblDados[GS_M]&gt;0))+SUMPRODUCT((TRIM(tblDados[Visitante])=$A124)*tblDados[Primeira_Ocorrencia]*(tblDados[GM_V]&gt;0)*(tblDados[GS_V]&gt;0)))/G124,0))</f>
        <v>0.61538461538461542</v>
      </c>
      <c r="P124" s="10" cm="1">
        <f t="array" ref="P124">IF($A124="","",IFERROR((SUMPRODUCT((TRIM(tblDados[Mandante])=$A124)*tblDados[Primeira_Ocorrencia]*tblDados[GM_M]^2)+SUMPRODUCT((TRIM(tblDados[Visitante])=$A124)*tblDados[Primeira_Ocorrencia]*tblDados[GM_V]^2))/G124-H124^2,0))</f>
        <v>0.82840236686390512</v>
      </c>
      <c r="Q124" s="10">
        <f t="shared" si="22"/>
        <v>0.91016612047686385</v>
      </c>
      <c r="R124" s="8" t="str">
        <f t="shared" si="23"/>
        <v>Poisson</v>
      </c>
      <c r="S124" s="10" cm="1">
        <f t="array" ref="S124">IF($A124="","",SUMPRODUCT((TRIM(tblDados[Mandante])=$A124)*tblDados[Primeira_Ocorrencia]*tblDados[GM_M]))</f>
        <v>10</v>
      </c>
      <c r="T124" s="10" cm="1">
        <f t="array" ref="T124">IF($A124="","",SUMPRODUCT((TRIM(tblDados[Visitante])=$A124)*tblDados[Primeira_Ocorrencia]*tblDados[GM_V]))</f>
        <v>7</v>
      </c>
      <c r="U124" s="10">
        <f t="shared" si="24"/>
        <v>17</v>
      </c>
      <c r="V124" s="10">
        <f t="shared" si="13"/>
        <v>1.3076923076923077</v>
      </c>
      <c r="W124" s="10" cm="1">
        <f t="array" ref="W124">IF($A124="","",SUMPRODUCT((TRIM(tblDados[Mandante])=$A124)*tblDados[Primeira_Ocorrencia]*tblDados[GS_M]))</f>
        <v>5</v>
      </c>
      <c r="X124" s="10" cm="1">
        <f t="array" ref="X124">IF($A124="","",SUMPRODUCT((TRIM(tblDados[Visitante])=$A124)*tblDados[Primeira_Ocorrencia]*tblDados[GS_V]))</f>
        <v>13</v>
      </c>
      <c r="Y124" s="10">
        <f t="shared" si="25"/>
        <v>18</v>
      </c>
      <c r="Z124" s="10">
        <f t="shared" si="14"/>
        <v>1.3846153846153846</v>
      </c>
      <c r="AA124" s="10">
        <f t="shared" si="15"/>
        <v>1.6666666666666667</v>
      </c>
      <c r="AB124" s="10">
        <f t="shared" si="16"/>
        <v>0.83333333333333337</v>
      </c>
      <c r="AC124" s="10">
        <f t="shared" si="17"/>
        <v>1</v>
      </c>
      <c r="AD124" s="10">
        <f t="shared" si="18"/>
        <v>1.8571428571428572</v>
      </c>
    </row>
    <row r="125" spans="1:30" x14ac:dyDescent="0.3">
      <c r="A125" s="7" t="str">
        <v>Oskarshamns AIK</v>
      </c>
      <c r="B125" s="12" t="str" cm="1">
        <f t="array" ref="B125">IF($A125="","",_xlfn.LET(_xlpm.p,IFERROR(INDEX(tblDados[País],MATCH($A125,TRIM(tblDados[Mandante]),0)),INDEX(tblDados[País],MATCH($A125,TRIM(tblDados[Visitante]),0))),_xlpm.l,IFERROR(INDEX(tblDados[Liga],MATCH($A125,TRIM(tblDados[Mandante]),0)),INDEX(tblDados[Liga],MATCH($A125,TRIM(tblDados[Visitante]),0))),_xlpm.p&amp;" - "&amp;_xlpm.l))</f>
        <v>SWE - 2ª D Södra Götaland</v>
      </c>
      <c r="C125" s="10">
        <f t="shared" si="19"/>
        <v>4.166666666666667</v>
      </c>
      <c r="D125" s="10">
        <f t="shared" si="20"/>
        <v>3</v>
      </c>
      <c r="E125" s="9" cm="1">
        <f t="array" ref="E125">IF($A125="","",SUMPRODUCT((TRIM(tblDados[Mandante])=$A125)*tblDados[Primeira_Ocorrencia]))</f>
        <v>6</v>
      </c>
      <c r="F125" s="9" cm="1">
        <f t="array" ref="F125">IF($A125="","",SUMPRODUCT((TRIM(tblDados[Visitante])=$A125)*tblDados[Primeira_Ocorrencia]))</f>
        <v>7</v>
      </c>
      <c r="G125" s="9" cm="1">
        <f t="array" ref="G125">IF($A125="","",SUMPRODUCT((TRIM(tblDados[Mandante])=$A125)*tblDados[Primeira_Ocorrencia])+SUMPRODUCT((TRIM(tblDados[Visitante])=$A125)*tblDados[Primeira_Ocorrencia]))</f>
        <v>13</v>
      </c>
      <c r="H125" s="10">
        <f t="shared" si="21"/>
        <v>2.1538461538461537</v>
      </c>
      <c r="I125" s="10" cm="1">
        <f t="array" ref="I125">IF($A125="","",_xlfn.LET(_xlpm.p,IFERROR(INDEX(tblDados[País],MATCH($A125,TRIM(tblDados[Mandante]),0)),INDEX(tblDados[País],MATCH($A125,TRIM(tblDados[Visitante]),0))),_xlpm.l,IFERROR(INDEX(tblDados[Liga],MATCH($A125,TRIM(tblDados[Mandante]),0)),INDEX(tblDados[Liga],MATCH($A125,TRIM(tblDados[Visitante]),0))),IFERROR(SUMIFS(Ligas!$D$2:$D$39,Ligas!$H$2:$H$39,_xlpm.p,Ligas!$I$2:$I$39,_xlpm.l),0)))</f>
        <v>2.5</v>
      </c>
      <c r="J125" s="11" cm="1">
        <f t="array" ref="J125">IF($A125="","",IFERROR((SUMPRODUCT((TRIM(tblDados[Mandante])=$A125)*tblDados[Primeira_Ocorrencia]*(tblDados[GM_M]=0))+SUMPRODUCT((TRIM(tblDados[Visitante])=$A125)*tblDados[Primeira_Ocorrencia]*(tblDados[GM_V]=0)))/G125,0))</f>
        <v>0.30769230769230771</v>
      </c>
      <c r="K125" s="11" cm="1">
        <f t="array" ref="K125">IF($A125="","",IFERROR((SUMPRODUCT((TRIM(tblDados[Mandante])=$A125)*tblDados[Primeira_Ocorrencia]*((tblDados[GM_M]+tblDados[GS_M])&gt;0.5))+SUMPRODUCT((TRIM(tblDados[Visitante])=$A125)*tblDados[Primeira_Ocorrencia]*((tblDados[GM_V]+tblDados[GS_V])&gt;0.5)))/G125,0))</f>
        <v>1</v>
      </c>
      <c r="L125" s="11" cm="1">
        <f t="array" ref="L125">IF($A125="","",IFERROR((SUMPRODUCT((TRIM(tblDados[Mandante])=$A125)*tblDados[Primeira_Ocorrencia]*((tblDados[GM_M]+tblDados[GS_M])&gt;1.5))+SUMPRODUCT((TRIM(tblDados[Visitante])=$A125)*tblDados[Primeira_Ocorrencia]*((tblDados[GM_V]+tblDados[GS_V])&gt;1.5)))/G125,0))</f>
        <v>0.84615384615384615</v>
      </c>
      <c r="M125" s="11" cm="1">
        <f t="array" ref="M125">IF($A125="","",IFERROR((SUMPRODUCT((TRIM(tblDados[Mandante])=$A125)*tblDados[Primeira_Ocorrencia]*((tblDados[GM_M]+tblDados[GS_M])&gt;2.5))+SUMPRODUCT((TRIM(tblDados[Visitante])=$A125)*tblDados[Primeira_Ocorrencia]*((tblDados[GM_V]+tblDados[GS_V])&gt;2.5)))/G125,0))</f>
        <v>0.53846153846153844</v>
      </c>
      <c r="N125" s="11" cm="1">
        <f t="array" ref="N125">IF($A125="","",IFERROR((SUMPRODUCT((TRIM(tblDados[Mandante])=$A125)*tblDados[Primeira_Ocorrencia]*((tblDados[GM_M]+tblDados[GS_M])&gt;3.5))+SUMPRODUCT((TRIM(tblDados[Visitante])=$A125)*tblDados[Primeira_Ocorrencia]*((tblDados[GM_V]+tblDados[GS_V])&gt;3.5)))/G125,0))</f>
        <v>0.46153846153846156</v>
      </c>
      <c r="O125" s="11" cm="1">
        <f t="array" ref="O125">IF($A125="","",IFERROR((SUMPRODUCT((TRIM(tblDados[Mandante])=$A125)*tblDados[Primeira_Ocorrencia]*(tblDados[GM_M]&gt;0)*(tblDados[GS_M]&gt;0))+SUMPRODUCT((TRIM(tblDados[Visitante])=$A125)*tblDados[Primeira_Ocorrencia]*(tblDados[GM_V]&gt;0)*(tblDados[GS_V]&gt;0)))/G125,0))</f>
        <v>0.53846153846153844</v>
      </c>
      <c r="P125" s="10" cm="1">
        <f t="array" ref="P125">IF($A125="","",IFERROR((SUMPRODUCT((TRIM(tblDados[Mandante])=$A125)*tblDados[Primeira_Ocorrencia]*tblDados[GM_M]^2)+SUMPRODUCT((TRIM(tblDados[Visitante])=$A125)*tblDados[Primeira_Ocorrencia]*tblDados[GM_V]^2))/G125-H125^2,0))</f>
        <v>4.4378698224852071</v>
      </c>
      <c r="Q125" s="10">
        <f t="shared" si="22"/>
        <v>2.106625221173716</v>
      </c>
      <c r="R125" s="8" t="str">
        <f t="shared" si="23"/>
        <v>Binomial Negativa</v>
      </c>
      <c r="S125" s="10" cm="1">
        <f t="array" ref="S125">IF($A125="","",SUMPRODUCT((TRIM(tblDados[Mandante])=$A125)*tblDados[Primeira_Ocorrencia]*tblDados[GM_M]))</f>
        <v>18</v>
      </c>
      <c r="T125" s="10" cm="1">
        <f t="array" ref="T125">IF($A125="","",SUMPRODUCT((TRIM(tblDados[Visitante])=$A125)*tblDados[Primeira_Ocorrencia]*tblDados[GM_V]))</f>
        <v>10</v>
      </c>
      <c r="U125" s="10">
        <f t="shared" si="24"/>
        <v>28</v>
      </c>
      <c r="V125" s="10">
        <f t="shared" si="13"/>
        <v>2.1538461538461537</v>
      </c>
      <c r="W125" s="10" cm="1">
        <f t="array" ref="W125">IF($A125="","",SUMPRODUCT((TRIM(tblDados[Mandante])=$A125)*tblDados[Primeira_Ocorrencia]*tblDados[GS_M]))</f>
        <v>7</v>
      </c>
      <c r="X125" s="10" cm="1">
        <f t="array" ref="X125">IF($A125="","",SUMPRODUCT((TRIM(tblDados[Visitante])=$A125)*tblDados[Primeira_Ocorrencia]*tblDados[GS_V]))</f>
        <v>11</v>
      </c>
      <c r="Y125" s="10">
        <f t="shared" si="25"/>
        <v>18</v>
      </c>
      <c r="Z125" s="10">
        <f t="shared" si="14"/>
        <v>1.3846153846153846</v>
      </c>
      <c r="AA125" s="10">
        <f t="shared" si="15"/>
        <v>3</v>
      </c>
      <c r="AB125" s="10">
        <f t="shared" si="16"/>
        <v>1.1666666666666667</v>
      </c>
      <c r="AC125" s="10">
        <f t="shared" si="17"/>
        <v>1.4285714285714286</v>
      </c>
      <c r="AD125" s="10">
        <f t="shared" si="18"/>
        <v>1.5714285714285714</v>
      </c>
    </row>
    <row r="126" spans="1:30" x14ac:dyDescent="0.3">
      <c r="A126" s="7" t="str">
        <v>Palmeiras</v>
      </c>
      <c r="B126" s="12" t="str" cm="1">
        <f t="array" ref="B126">IF($A126="","",_xlfn.LET(_xlpm.p,IFERROR(INDEX(tblDados[País],MATCH($A126,TRIM(tblDados[Mandante]),0)),INDEX(tblDados[País],MATCH($A126,TRIM(tblDados[Visitante]),0))),_xlpm.l,IFERROR(INDEX(tblDados[Liga],MATCH($A126,TRIM(tblDados[Mandante]),0)),INDEX(tblDados[Liga],MATCH($A126,TRIM(tblDados[Visitante]),0))),_xlpm.p&amp;" - "&amp;_xlpm.l))</f>
        <v>BRA - Série A</v>
      </c>
      <c r="C126" s="10">
        <f t="shared" si="19"/>
        <v>2</v>
      </c>
      <c r="D126" s="10">
        <f t="shared" si="20"/>
        <v>2.4285714285714284</v>
      </c>
      <c r="E126" s="9" cm="1">
        <f t="array" ref="E126">IF($A126="","",SUMPRODUCT((TRIM(tblDados[Mandante])=$A126)*tblDados[Primeira_Ocorrencia]))</f>
        <v>6</v>
      </c>
      <c r="F126" s="9" cm="1">
        <f t="array" ref="F126">IF($A126="","",SUMPRODUCT((TRIM(tblDados[Visitante])=$A126)*tblDados[Primeira_Ocorrencia]))</f>
        <v>7</v>
      </c>
      <c r="G126" s="9" cm="1">
        <f t="array" ref="G126">IF($A126="","",SUMPRODUCT((TRIM(tblDados[Mandante])=$A126)*tblDados[Primeira_Ocorrencia])+SUMPRODUCT((TRIM(tblDados[Visitante])=$A126)*tblDados[Primeira_Ocorrencia]))</f>
        <v>13</v>
      </c>
      <c r="H126" s="10">
        <f t="shared" si="21"/>
        <v>1.6153846153846154</v>
      </c>
      <c r="I126" s="10" cm="1">
        <f t="array" ref="I126">IF($A126="","",_xlfn.LET(_xlpm.p,IFERROR(INDEX(tblDados[País],MATCH($A126,TRIM(tblDados[Mandante]),0)),INDEX(tblDados[País],MATCH($A126,TRIM(tblDados[Visitante]),0))),_xlpm.l,IFERROR(INDEX(tblDados[Liga],MATCH($A126,TRIM(tblDados[Mandante]),0)),INDEX(tblDados[Liga],MATCH($A126,TRIM(tblDados[Visitante]),0))),IFERROR(SUMIFS(Ligas!$D$2:$D$39,Ligas!$H$2:$H$39,_xlpm.p,Ligas!$I$2:$I$39,_xlpm.l),0)))</f>
        <v>2.59</v>
      </c>
      <c r="J126" s="11" cm="1">
        <f t="array" ref="J126">IF($A126="","",IFERROR((SUMPRODUCT((TRIM(tblDados[Mandante])=$A126)*tblDados[Primeira_Ocorrencia]*(tblDados[GM_M]=0))+SUMPRODUCT((TRIM(tblDados[Visitante])=$A126)*tblDados[Primeira_Ocorrencia]*(tblDados[GM_V]=0)))/G126,0))</f>
        <v>7.6923076923076927E-2</v>
      </c>
      <c r="K126" s="11" cm="1">
        <f t="array" ref="K126">IF($A126="","",IFERROR((SUMPRODUCT((TRIM(tblDados[Mandante])=$A126)*tblDados[Primeira_Ocorrencia]*((tblDados[GM_M]+tblDados[GS_M])&gt;0.5))+SUMPRODUCT((TRIM(tblDados[Visitante])=$A126)*tblDados[Primeira_Ocorrencia]*((tblDados[GM_V]+tblDados[GS_V])&gt;0.5)))/G126,0))</f>
        <v>0.92307692307692313</v>
      </c>
      <c r="L126" s="11" cm="1">
        <f t="array" ref="L126">IF($A126="","",IFERROR((SUMPRODUCT((TRIM(tblDados[Mandante])=$A126)*tblDados[Primeira_Ocorrencia]*((tblDados[GM_M]+tblDados[GS_M])&gt;1.5))+SUMPRODUCT((TRIM(tblDados[Visitante])=$A126)*tblDados[Primeira_Ocorrencia]*((tblDados[GM_V]+tblDados[GS_V])&gt;1.5)))/G126,0))</f>
        <v>0.69230769230769229</v>
      </c>
      <c r="M126" s="11" cm="1">
        <f t="array" ref="M126">IF($A126="","",IFERROR((SUMPRODUCT((TRIM(tblDados[Mandante])=$A126)*tblDados[Primeira_Ocorrencia]*((tblDados[GM_M]+tblDados[GS_M])&gt;2.5))+SUMPRODUCT((TRIM(tblDados[Visitante])=$A126)*tblDados[Primeira_Ocorrencia]*((tblDados[GM_V]+tblDados[GS_V])&gt;2.5)))/G126,0))</f>
        <v>0.46153846153846156</v>
      </c>
      <c r="N126" s="11" cm="1">
        <f t="array" ref="N126">IF($A126="","",IFERROR((SUMPRODUCT((TRIM(tblDados[Mandante])=$A126)*tblDados[Primeira_Ocorrencia]*((tblDados[GM_M]+tblDados[GS_M])&gt;3.5))+SUMPRODUCT((TRIM(tblDados[Visitante])=$A126)*tblDados[Primeira_Ocorrencia]*((tblDados[GM_V]+tblDados[GS_V])&gt;3.5)))/G126,0))</f>
        <v>0.15384615384615385</v>
      </c>
      <c r="O126" s="11" cm="1">
        <f t="array" ref="O126">IF($A126="","",IFERROR((SUMPRODUCT((TRIM(tblDados[Mandante])=$A126)*tblDados[Primeira_Ocorrencia]*(tblDados[GM_M]&gt;0)*(tblDados[GS_M]&gt;0))+SUMPRODUCT((TRIM(tblDados[Visitante])=$A126)*tblDados[Primeira_Ocorrencia]*(tblDados[GM_V]&gt;0)*(tblDados[GS_V]&gt;0)))/G126,0))</f>
        <v>0.53846153846153844</v>
      </c>
      <c r="P126" s="10" cm="1">
        <f t="array" ref="P126">IF($A126="","",IFERROR((SUMPRODUCT((TRIM(tblDados[Mandante])=$A126)*tblDados[Primeira_Ocorrencia]*tblDados[GM_M]^2)+SUMPRODUCT((TRIM(tblDados[Visitante])=$A126)*tblDados[Primeira_Ocorrencia]*tblDados[GM_V]^2))/G126-H126^2,0))</f>
        <v>1.1597633136094672</v>
      </c>
      <c r="Q126" s="10">
        <f t="shared" si="22"/>
        <v>1.0769230769230769</v>
      </c>
      <c r="R126" s="8" t="str">
        <f t="shared" si="23"/>
        <v>Poisson</v>
      </c>
      <c r="S126" s="10" cm="1">
        <f t="array" ref="S126">IF($A126="","",SUMPRODUCT((TRIM(tblDados[Mandante])=$A126)*tblDados[Primeira_Ocorrencia]*tblDados[GM_M]))</f>
        <v>7</v>
      </c>
      <c r="T126" s="10" cm="1">
        <f t="array" ref="T126">IF($A126="","",SUMPRODUCT((TRIM(tblDados[Visitante])=$A126)*tblDados[Primeira_Ocorrencia]*tblDados[GM_V]))</f>
        <v>14</v>
      </c>
      <c r="U126" s="10">
        <f t="shared" si="24"/>
        <v>21</v>
      </c>
      <c r="V126" s="10">
        <f t="shared" si="13"/>
        <v>1.6153846153846154</v>
      </c>
      <c r="W126" s="10" cm="1">
        <f t="array" ref="W126">IF($A126="","",SUMPRODUCT((TRIM(tblDados[Mandante])=$A126)*tblDados[Primeira_Ocorrencia]*tblDados[GS_M]))</f>
        <v>5</v>
      </c>
      <c r="X126" s="10" cm="1">
        <f t="array" ref="X126">IF($A126="","",SUMPRODUCT((TRIM(tblDados[Visitante])=$A126)*tblDados[Primeira_Ocorrencia]*tblDados[GS_V]))</f>
        <v>3</v>
      </c>
      <c r="Y126" s="10">
        <f t="shared" si="25"/>
        <v>8</v>
      </c>
      <c r="Z126" s="10">
        <f t="shared" si="14"/>
        <v>0.61538461538461542</v>
      </c>
      <c r="AA126" s="10">
        <f t="shared" si="15"/>
        <v>1.1666666666666667</v>
      </c>
      <c r="AB126" s="10">
        <f t="shared" si="16"/>
        <v>0.83333333333333337</v>
      </c>
      <c r="AC126" s="10">
        <f t="shared" si="17"/>
        <v>2</v>
      </c>
      <c r="AD126" s="10">
        <f t="shared" si="18"/>
        <v>0.42857142857142855</v>
      </c>
    </row>
    <row r="127" spans="1:30" x14ac:dyDescent="0.3">
      <c r="A127" s="7" t="str">
        <v>Paysandu</v>
      </c>
      <c r="B127" s="12" t="str" cm="1">
        <f t="array" ref="B127">IF($A127="","",_xlfn.LET(_xlpm.p,IFERROR(INDEX(tblDados[País],MATCH($A127,TRIM(tblDados[Mandante]),0)),INDEX(tblDados[País],MATCH($A127,TRIM(tblDados[Visitante]),0))),_xlpm.l,IFERROR(INDEX(tblDados[Liga],MATCH($A127,TRIM(tblDados[Mandante]),0)),INDEX(tblDados[Liga],MATCH($A127,TRIM(tblDados[Visitante]),0))),_xlpm.p&amp;" - "&amp;_xlpm.l))</f>
        <v>BRA - Série C</v>
      </c>
      <c r="C127" s="10">
        <f t="shared" si="19"/>
        <v>3.8571428571428568</v>
      </c>
      <c r="D127" s="10">
        <f t="shared" si="20"/>
        <v>1.8333333333333335</v>
      </c>
      <c r="E127" s="9" cm="1">
        <f t="array" ref="E127">IF($A127="","",SUMPRODUCT((TRIM(tblDados[Mandante])=$A127)*tblDados[Primeira_Ocorrencia]))</f>
        <v>7</v>
      </c>
      <c r="F127" s="9" cm="1">
        <f t="array" ref="F127">IF($A127="","",SUMPRODUCT((TRIM(tblDados[Visitante])=$A127)*tblDados[Primeira_Ocorrencia]))</f>
        <v>6</v>
      </c>
      <c r="G127" s="9" cm="1">
        <f t="array" ref="G127">IF($A127="","",SUMPRODUCT((TRIM(tblDados[Mandante])=$A127)*tblDados[Primeira_Ocorrencia])+SUMPRODUCT((TRIM(tblDados[Visitante])=$A127)*tblDados[Primeira_Ocorrencia]))</f>
        <v>13</v>
      </c>
      <c r="H127" s="10">
        <f t="shared" si="21"/>
        <v>1.4615384615384615</v>
      </c>
      <c r="I127" s="10" cm="1">
        <f t="array" ref="I127">IF($A127="","",_xlfn.LET(_xlpm.p,IFERROR(INDEX(tblDados[País],MATCH($A127,TRIM(tblDados[Mandante]),0)),INDEX(tblDados[País],MATCH($A127,TRIM(tblDados[Visitante]),0))),_xlpm.l,IFERROR(INDEX(tblDados[Liga],MATCH($A127,TRIM(tblDados[Mandante]),0)),INDEX(tblDados[Liga],MATCH($A127,TRIM(tblDados[Visitante]),0))),IFERROR(SUMIFS(Ligas!$D$2:$D$39,Ligas!$H$2:$H$39,_xlpm.p,Ligas!$I$2:$I$39,_xlpm.l),0)))</f>
        <v>2.09</v>
      </c>
      <c r="J127" s="11" cm="1">
        <f t="array" ref="J127">IF($A127="","",IFERROR((SUMPRODUCT((TRIM(tblDados[Mandante])=$A127)*tblDados[Primeira_Ocorrencia]*(tblDados[GM_M]=0))+SUMPRODUCT((TRIM(tblDados[Visitante])=$A127)*tblDados[Primeira_Ocorrencia]*(tblDados[GM_V]=0)))/G127,0))</f>
        <v>0.15384615384615385</v>
      </c>
      <c r="K127" s="11" cm="1">
        <f t="array" ref="K127">IF($A127="","",IFERROR((SUMPRODUCT((TRIM(tblDados[Mandante])=$A127)*tblDados[Primeira_Ocorrencia]*((tblDados[GM_M]+tblDados[GS_M])&gt;0.5))+SUMPRODUCT((TRIM(tblDados[Visitante])=$A127)*tblDados[Primeira_Ocorrencia]*((tblDados[GM_V]+tblDados[GS_V])&gt;0.5)))/G127,0))</f>
        <v>1</v>
      </c>
      <c r="L127" s="11" cm="1">
        <f t="array" ref="L127">IF($A127="","",IFERROR((SUMPRODUCT((TRIM(tblDados[Mandante])=$A127)*tblDados[Primeira_Ocorrencia]*((tblDados[GM_M]+tblDados[GS_M])&gt;1.5))+SUMPRODUCT((TRIM(tblDados[Visitante])=$A127)*tblDados[Primeira_Ocorrencia]*((tblDados[GM_V]+tblDados[GS_V])&gt;1.5)))/G127,0))</f>
        <v>0.76923076923076927</v>
      </c>
      <c r="M127" s="11" cm="1">
        <f t="array" ref="M127">IF($A127="","",IFERROR((SUMPRODUCT((TRIM(tblDados[Mandante])=$A127)*tblDados[Primeira_Ocorrencia]*((tblDados[GM_M]+tblDados[GS_M])&gt;2.5))+SUMPRODUCT((TRIM(tblDados[Visitante])=$A127)*tblDados[Primeira_Ocorrencia]*((tblDados[GM_V]+tblDados[GS_V])&gt;2.5)))/G127,0))</f>
        <v>0.69230769230769229</v>
      </c>
      <c r="N127" s="11" cm="1">
        <f t="array" ref="N127">IF($A127="","",IFERROR((SUMPRODUCT((TRIM(tblDados[Mandante])=$A127)*tblDados[Primeira_Ocorrencia]*((tblDados[GM_M]+tblDados[GS_M])&gt;3.5))+SUMPRODUCT((TRIM(tblDados[Visitante])=$A127)*tblDados[Primeira_Ocorrencia]*((tblDados[GM_V]+tblDados[GS_V])&gt;3.5)))/G127,0))</f>
        <v>0.23076923076923078</v>
      </c>
      <c r="O127" s="11" cm="1">
        <f t="array" ref="O127">IF($A127="","",IFERROR((SUMPRODUCT((TRIM(tblDados[Mandante])=$A127)*tblDados[Primeira_Ocorrencia]*(tblDados[GM_M]&gt;0)*(tblDados[GS_M]&gt;0))+SUMPRODUCT((TRIM(tblDados[Visitante])=$A127)*tblDados[Primeira_Ocorrencia]*(tblDados[GM_V]&gt;0)*(tblDados[GS_V]&gt;0)))/G127,0))</f>
        <v>0.69230769230769229</v>
      </c>
      <c r="P127" s="10" cm="1">
        <f t="array" ref="P127">IF($A127="","",IFERROR((SUMPRODUCT((TRIM(tblDados[Mandante])=$A127)*tblDados[Primeira_Ocorrencia]*tblDados[GM_M]^2)+SUMPRODUCT((TRIM(tblDados[Visitante])=$A127)*tblDados[Primeira_Ocorrencia]*tblDados[GM_V]^2))/G127-H127^2,0))</f>
        <v>1.1715976331360949</v>
      </c>
      <c r="Q127" s="10">
        <f t="shared" si="22"/>
        <v>1.08240363688233</v>
      </c>
      <c r="R127" s="8" t="str">
        <f t="shared" si="23"/>
        <v>Poisson</v>
      </c>
      <c r="S127" s="10" cm="1">
        <f t="array" ref="S127">IF($A127="","",SUMPRODUCT((TRIM(tblDados[Mandante])=$A127)*tblDados[Primeira_Ocorrencia]*tblDados[GM_M]))</f>
        <v>15</v>
      </c>
      <c r="T127" s="10" cm="1">
        <f t="array" ref="T127">IF($A127="","",SUMPRODUCT((TRIM(tblDados[Visitante])=$A127)*tblDados[Primeira_Ocorrencia]*tblDados[GM_V]))</f>
        <v>4</v>
      </c>
      <c r="U127" s="10">
        <f t="shared" si="24"/>
        <v>19</v>
      </c>
      <c r="V127" s="10">
        <f t="shared" si="13"/>
        <v>1.4615384615384615</v>
      </c>
      <c r="W127" s="10" cm="1">
        <f t="array" ref="W127">IF($A127="","",SUMPRODUCT((TRIM(tblDados[Mandante])=$A127)*tblDados[Primeira_Ocorrencia]*tblDados[GS_M]))</f>
        <v>12</v>
      </c>
      <c r="X127" s="10" cm="1">
        <f t="array" ref="X127">IF($A127="","",SUMPRODUCT((TRIM(tblDados[Visitante])=$A127)*tblDados[Primeira_Ocorrencia]*tblDados[GS_V]))</f>
        <v>7</v>
      </c>
      <c r="Y127" s="10">
        <f t="shared" si="25"/>
        <v>19</v>
      </c>
      <c r="Z127" s="10">
        <f t="shared" si="14"/>
        <v>1.4615384615384615</v>
      </c>
      <c r="AA127" s="10">
        <f t="shared" si="15"/>
        <v>2.1428571428571428</v>
      </c>
      <c r="AB127" s="10">
        <f t="shared" si="16"/>
        <v>1.7142857142857142</v>
      </c>
      <c r="AC127" s="10">
        <f t="shared" si="17"/>
        <v>0.66666666666666663</v>
      </c>
      <c r="AD127" s="10">
        <f t="shared" si="18"/>
        <v>1.1666666666666667</v>
      </c>
    </row>
    <row r="128" spans="1:30" x14ac:dyDescent="0.3">
      <c r="A128" s="7" t="str">
        <v>PEPO</v>
      </c>
      <c r="B128" s="12" t="str" cm="1">
        <f t="array" ref="B128">IF($A128="","",_xlfn.LET(_xlpm.p,IFERROR(INDEX(tblDados[País],MATCH($A128,TRIM(tblDados[Mandante]),0)),INDEX(tblDados[País],MATCH($A128,TRIM(tblDados[Visitante]),0))),_xlpm.l,IFERROR(INDEX(tblDados[Liga],MATCH($A128,TRIM(tblDados[Mandante]),0)),INDEX(tblDados[Liga],MATCH($A128,TRIM(tblDados[Visitante]),0))),_xlpm.p&amp;" - "&amp;_xlpm.l))</f>
        <v>FIN - Kakkonen A</v>
      </c>
      <c r="C128" s="10">
        <f t="shared" si="19"/>
        <v>3.4285714285714284</v>
      </c>
      <c r="D128" s="10">
        <f t="shared" si="20"/>
        <v>2.666666666666667</v>
      </c>
      <c r="E128" s="9" cm="1">
        <f t="array" ref="E128">IF($A128="","",SUMPRODUCT((TRIM(tblDados[Mandante])=$A128)*tblDados[Primeira_Ocorrencia]))</f>
        <v>7</v>
      </c>
      <c r="F128" s="9" cm="1">
        <f t="array" ref="F128">IF($A128="","",SUMPRODUCT((TRIM(tblDados[Visitante])=$A128)*tblDados[Primeira_Ocorrencia]))</f>
        <v>6</v>
      </c>
      <c r="G128" s="9" cm="1">
        <f t="array" ref="G128">IF($A128="","",SUMPRODUCT((TRIM(tblDados[Mandante])=$A128)*tblDados[Primeira_Ocorrencia])+SUMPRODUCT((TRIM(tblDados[Visitante])=$A128)*tblDados[Primeira_Ocorrencia]))</f>
        <v>13</v>
      </c>
      <c r="H128" s="10">
        <f t="shared" si="21"/>
        <v>1.6923076923076923</v>
      </c>
      <c r="I128" s="10" cm="1">
        <f t="array" ref="I128">IF($A128="","",_xlfn.LET(_xlpm.p,IFERROR(INDEX(tblDados[País],MATCH($A128,TRIM(tblDados[Mandante]),0)),INDEX(tblDados[País],MATCH($A128,TRIM(tblDados[Visitante]),0))),_xlpm.l,IFERROR(INDEX(tblDados[Liga],MATCH($A128,TRIM(tblDados[Mandante]),0)),INDEX(tblDados[Liga],MATCH($A128,TRIM(tblDados[Visitante]),0))),IFERROR(SUMIFS(Ligas!$D$2:$D$39,Ligas!$H$2:$H$39,_xlpm.p,Ligas!$I$2:$I$39,_xlpm.l),0)))</f>
        <v>3.79</v>
      </c>
      <c r="J128" s="11" cm="1">
        <f t="array" ref="J128">IF($A128="","",IFERROR((SUMPRODUCT((TRIM(tblDados[Mandante])=$A128)*tblDados[Primeira_Ocorrencia]*(tblDados[GM_M]=0))+SUMPRODUCT((TRIM(tblDados[Visitante])=$A128)*tblDados[Primeira_Ocorrencia]*(tblDados[GM_V]=0)))/G128,0))</f>
        <v>0.15384615384615385</v>
      </c>
      <c r="K128" s="11" cm="1">
        <f t="array" ref="K128">IF($A128="","",IFERROR((SUMPRODUCT((TRIM(tblDados[Mandante])=$A128)*tblDados[Primeira_Ocorrencia]*((tblDados[GM_M]+tblDados[GS_M])&gt;0.5))+SUMPRODUCT((TRIM(tblDados[Visitante])=$A128)*tblDados[Primeira_Ocorrencia]*((tblDados[GM_V]+tblDados[GS_V])&gt;0.5)))/G128,0))</f>
        <v>0.92307692307692313</v>
      </c>
      <c r="L128" s="11" cm="1">
        <f t="array" ref="L128">IF($A128="","",IFERROR((SUMPRODUCT((TRIM(tblDados[Mandante])=$A128)*tblDados[Primeira_Ocorrencia]*((tblDados[GM_M]+tblDados[GS_M])&gt;1.5))+SUMPRODUCT((TRIM(tblDados[Visitante])=$A128)*tblDados[Primeira_Ocorrencia]*((tblDados[GM_V]+tblDados[GS_V])&gt;1.5)))/G128,0))</f>
        <v>0.92307692307692313</v>
      </c>
      <c r="M128" s="11" cm="1">
        <f t="array" ref="M128">IF($A128="","",IFERROR((SUMPRODUCT((TRIM(tblDados[Mandante])=$A128)*tblDados[Primeira_Ocorrencia]*((tblDados[GM_M]+tblDados[GS_M])&gt;2.5))+SUMPRODUCT((TRIM(tblDados[Visitante])=$A128)*tblDados[Primeira_Ocorrencia]*((tblDados[GM_V]+tblDados[GS_V])&gt;2.5)))/G128,0))</f>
        <v>0.61538461538461542</v>
      </c>
      <c r="N128" s="11" cm="1">
        <f t="array" ref="N128">IF($A128="","",IFERROR((SUMPRODUCT((TRIM(tblDados[Mandante])=$A128)*tblDados[Primeira_Ocorrencia]*((tblDados[GM_M]+tblDados[GS_M])&gt;3.5))+SUMPRODUCT((TRIM(tblDados[Visitante])=$A128)*tblDados[Primeira_Ocorrencia]*((tblDados[GM_V]+tblDados[GS_V])&gt;3.5)))/G128,0))</f>
        <v>0.30769230769230771</v>
      </c>
      <c r="O128" s="11" cm="1">
        <f t="array" ref="O128">IF($A128="","",IFERROR((SUMPRODUCT((TRIM(tblDados[Mandante])=$A128)*tblDados[Primeira_Ocorrencia]*(tblDados[GM_M]&gt;0)*(tblDados[GS_M]&gt;0))+SUMPRODUCT((TRIM(tblDados[Visitante])=$A128)*tblDados[Primeira_Ocorrencia]*(tblDados[GM_V]&gt;0)*(tblDados[GS_V]&gt;0)))/G128,0))</f>
        <v>0.69230769230769229</v>
      </c>
      <c r="P128" s="10" cm="1">
        <f t="array" ref="P128">IF($A128="","",IFERROR((SUMPRODUCT((TRIM(tblDados[Mandante])=$A128)*tblDados[Primeira_Ocorrencia]*tblDados[GM_M]^2)+SUMPRODUCT((TRIM(tblDados[Visitante])=$A128)*tblDados[Primeira_Ocorrencia]*tblDados[GM_V]^2))/G128-H128^2,0))</f>
        <v>1.136094674556213</v>
      </c>
      <c r="Q128" s="10">
        <f t="shared" si="22"/>
        <v>1.0658774200423859</v>
      </c>
      <c r="R128" s="8" t="str">
        <f t="shared" si="23"/>
        <v>Poisson</v>
      </c>
      <c r="S128" s="10" cm="1">
        <f t="array" ref="S128">IF($A128="","",SUMPRODUCT((TRIM(tblDados[Mandante])=$A128)*tblDados[Primeira_Ocorrencia]*tblDados[GM_M]))</f>
        <v>16</v>
      </c>
      <c r="T128" s="10" cm="1">
        <f t="array" ref="T128">IF($A128="","",SUMPRODUCT((TRIM(tblDados[Visitante])=$A128)*tblDados[Primeira_Ocorrencia]*tblDados[GM_V]))</f>
        <v>6</v>
      </c>
      <c r="U128" s="10">
        <f t="shared" si="24"/>
        <v>22</v>
      </c>
      <c r="V128" s="10">
        <f t="shared" si="13"/>
        <v>1.6923076923076923</v>
      </c>
      <c r="W128" s="10" cm="1">
        <f t="array" ref="W128">IF($A128="","",SUMPRODUCT((TRIM(tblDados[Mandante])=$A128)*tblDados[Primeira_Ocorrencia]*tblDados[GS_M]))</f>
        <v>8</v>
      </c>
      <c r="X128" s="10" cm="1">
        <f t="array" ref="X128">IF($A128="","",SUMPRODUCT((TRIM(tblDados[Visitante])=$A128)*tblDados[Primeira_Ocorrencia]*tblDados[GS_V]))</f>
        <v>10</v>
      </c>
      <c r="Y128" s="10">
        <f t="shared" si="25"/>
        <v>18</v>
      </c>
      <c r="Z128" s="10">
        <f t="shared" si="14"/>
        <v>1.3846153846153846</v>
      </c>
      <c r="AA128" s="10">
        <f t="shared" si="15"/>
        <v>2.2857142857142856</v>
      </c>
      <c r="AB128" s="10">
        <f t="shared" si="16"/>
        <v>1.1428571428571428</v>
      </c>
      <c r="AC128" s="10">
        <f t="shared" si="17"/>
        <v>1</v>
      </c>
      <c r="AD128" s="10">
        <f t="shared" si="18"/>
        <v>1.6666666666666667</v>
      </c>
    </row>
    <row r="129" spans="1:30" x14ac:dyDescent="0.3">
      <c r="A129" s="7" t="str">
        <v>Portland Timbers</v>
      </c>
      <c r="B129" s="12" t="str" cm="1">
        <f t="array" ref="B129">IF($A129="","",_xlfn.LET(_xlpm.p,IFERROR(INDEX(tblDados[País],MATCH($A129,TRIM(tblDados[Mandante]),0)),INDEX(tblDados[País],MATCH($A129,TRIM(tblDados[Visitante]),0))),_xlpm.l,IFERROR(INDEX(tblDados[Liga],MATCH($A129,TRIM(tblDados[Mandante]),0)),INDEX(tblDados[Liga],MATCH($A129,TRIM(tblDados[Visitante]),0))),_xlpm.p&amp;" - "&amp;_xlpm.l))</f>
        <v>USA - MLS-West</v>
      </c>
      <c r="C129" s="10">
        <f t="shared" si="19"/>
        <v>3.833333333333333</v>
      </c>
      <c r="D129" s="10">
        <f t="shared" si="20"/>
        <v>3.4285714285714288</v>
      </c>
      <c r="E129" s="9" cm="1">
        <f t="array" ref="E129">IF($A129="","",SUMPRODUCT((TRIM(tblDados[Mandante])=$A129)*tblDados[Primeira_Ocorrencia]))</f>
        <v>6</v>
      </c>
      <c r="F129" s="9" cm="1">
        <f t="array" ref="F129">IF($A129="","",SUMPRODUCT((TRIM(tblDados[Visitante])=$A129)*tblDados[Primeira_Ocorrencia]))</f>
        <v>7</v>
      </c>
      <c r="G129" s="9" cm="1">
        <f t="array" ref="G129">IF($A129="","",SUMPRODUCT((TRIM(tblDados[Mandante])=$A129)*tblDados[Primeira_Ocorrencia])+SUMPRODUCT((TRIM(tblDados[Visitante])=$A129)*tblDados[Primeira_Ocorrencia]))</f>
        <v>13</v>
      </c>
      <c r="H129" s="10">
        <f t="shared" si="21"/>
        <v>2</v>
      </c>
      <c r="I129" s="10" cm="1">
        <f t="array" ref="I129">IF($A129="","",_xlfn.LET(_xlpm.p,IFERROR(INDEX(tblDados[País],MATCH($A129,TRIM(tblDados[Mandante]),0)),INDEX(tblDados[País],MATCH($A129,TRIM(tblDados[Visitante]),0))),_xlpm.l,IFERROR(INDEX(tblDados[Liga],MATCH($A129,TRIM(tblDados[Mandante]),0)),INDEX(tblDados[Liga],MATCH($A129,TRIM(tblDados[Visitante]),0))),IFERROR(SUMIFS(Ligas!$D$2:$D$39,Ligas!$H$2:$H$39,_xlpm.p,Ligas!$I$2:$I$39,_xlpm.l),0)))</f>
        <v>3.3</v>
      </c>
      <c r="J129" s="11" cm="1">
        <f t="array" ref="J129">IF($A129="","",IFERROR((SUMPRODUCT((TRIM(tblDados[Mandante])=$A129)*tblDados[Primeira_Ocorrencia]*(tblDados[GM_M]=0))+SUMPRODUCT((TRIM(tblDados[Visitante])=$A129)*tblDados[Primeira_Ocorrencia]*(tblDados[GM_V]=0)))/G129,0))</f>
        <v>0.23076923076923078</v>
      </c>
      <c r="K129" s="11" cm="1">
        <f t="array" ref="K129">IF($A129="","",IFERROR((SUMPRODUCT((TRIM(tblDados[Mandante])=$A129)*tblDados[Primeira_Ocorrencia]*((tblDados[GM_M]+tblDados[GS_M])&gt;0.5))+SUMPRODUCT((TRIM(tblDados[Visitante])=$A129)*tblDados[Primeira_Ocorrencia]*((tblDados[GM_V]+tblDados[GS_V])&gt;0.5)))/G129,0))</f>
        <v>1</v>
      </c>
      <c r="L129" s="11" cm="1">
        <f t="array" ref="L129">IF($A129="","",IFERROR((SUMPRODUCT((TRIM(tblDados[Mandante])=$A129)*tblDados[Primeira_Ocorrencia]*((tblDados[GM_M]+tblDados[GS_M])&gt;1.5))+SUMPRODUCT((TRIM(tblDados[Visitante])=$A129)*tblDados[Primeira_Ocorrencia]*((tblDados[GM_V]+tblDados[GS_V])&gt;1.5)))/G129,0))</f>
        <v>1</v>
      </c>
      <c r="M129" s="11" cm="1">
        <f t="array" ref="M129">IF($A129="","",IFERROR((SUMPRODUCT((TRIM(tblDados[Mandante])=$A129)*tblDados[Primeira_Ocorrencia]*((tblDados[GM_M]+tblDados[GS_M])&gt;2.5))+SUMPRODUCT((TRIM(tblDados[Visitante])=$A129)*tblDados[Primeira_Ocorrencia]*((tblDados[GM_V]+tblDados[GS_V])&gt;2.5)))/G129,0))</f>
        <v>0.76923076923076927</v>
      </c>
      <c r="N129" s="11" cm="1">
        <f t="array" ref="N129">IF($A129="","",IFERROR((SUMPRODUCT((TRIM(tblDados[Mandante])=$A129)*tblDados[Primeira_Ocorrencia]*((tblDados[GM_M]+tblDados[GS_M])&gt;3.5))+SUMPRODUCT((TRIM(tblDados[Visitante])=$A129)*tblDados[Primeira_Ocorrencia]*((tblDados[GM_V]+tblDados[GS_V])&gt;3.5)))/G129,0))</f>
        <v>0.46153846153846156</v>
      </c>
      <c r="O129" s="11" cm="1">
        <f t="array" ref="O129">IF($A129="","",IFERROR((SUMPRODUCT((TRIM(tblDados[Mandante])=$A129)*tblDados[Primeira_Ocorrencia]*(tblDados[GM_M]&gt;0)*(tblDados[GS_M]&gt;0))+SUMPRODUCT((TRIM(tblDados[Visitante])=$A129)*tblDados[Primeira_Ocorrencia]*(tblDados[GM_V]&gt;0)*(tblDados[GS_V]&gt;0)))/G129,0))</f>
        <v>0.69230769230769229</v>
      </c>
      <c r="P129" s="10" cm="1">
        <f t="array" ref="P129">IF($A129="","",IFERROR((SUMPRODUCT((TRIM(tblDados[Mandante])=$A129)*tblDados[Primeira_Ocorrencia]*tblDados[GM_M]^2)+SUMPRODUCT((TRIM(tblDados[Visitante])=$A129)*tblDados[Primeira_Ocorrencia]*tblDados[GM_V]^2))/G129-H129^2,0))</f>
        <v>2.9230769230769234</v>
      </c>
      <c r="Q129" s="10">
        <f t="shared" si="22"/>
        <v>1.7097008285302209</v>
      </c>
      <c r="R129" s="8" t="str">
        <f t="shared" si="23"/>
        <v>Poisson</v>
      </c>
      <c r="S129" s="10" cm="1">
        <f t="array" ref="S129">IF($A129="","",SUMPRODUCT((TRIM(tblDados[Mandante])=$A129)*tblDados[Primeira_Ocorrencia]*tblDados[GM_M]))</f>
        <v>15</v>
      </c>
      <c r="T129" s="10" cm="1">
        <f t="array" ref="T129">IF($A129="","",SUMPRODUCT((TRIM(tblDados[Visitante])=$A129)*tblDados[Primeira_Ocorrencia]*tblDados[GM_V]))</f>
        <v>11</v>
      </c>
      <c r="U129" s="10">
        <f t="shared" si="24"/>
        <v>26</v>
      </c>
      <c r="V129" s="10">
        <f t="shared" si="13"/>
        <v>2</v>
      </c>
      <c r="W129" s="10" cm="1">
        <f t="array" ref="W129">IF($A129="","",SUMPRODUCT((TRIM(tblDados[Mandante])=$A129)*tblDados[Primeira_Ocorrencia]*tblDados[GS_M]))</f>
        <v>8</v>
      </c>
      <c r="X129" s="10" cm="1">
        <f t="array" ref="X129">IF($A129="","",SUMPRODUCT((TRIM(tblDados[Visitante])=$A129)*tblDados[Primeira_Ocorrencia]*tblDados[GS_V]))</f>
        <v>13</v>
      </c>
      <c r="Y129" s="10">
        <f t="shared" si="25"/>
        <v>21</v>
      </c>
      <c r="Z129" s="10">
        <f t="shared" si="14"/>
        <v>1.6153846153846154</v>
      </c>
      <c r="AA129" s="10">
        <f t="shared" si="15"/>
        <v>2.5</v>
      </c>
      <c r="AB129" s="10">
        <f t="shared" si="16"/>
        <v>1.3333333333333333</v>
      </c>
      <c r="AC129" s="10">
        <f t="shared" si="17"/>
        <v>1.5714285714285714</v>
      </c>
      <c r="AD129" s="10">
        <f t="shared" si="18"/>
        <v>1.8571428571428572</v>
      </c>
    </row>
    <row r="130" spans="1:30" x14ac:dyDescent="0.3">
      <c r="A130" s="7" t="str">
        <v>Qingdao Hainiu</v>
      </c>
      <c r="B130" s="12" t="str" cm="1">
        <f t="array" ref="B130">IF($A130="","",_xlfn.LET(_xlpm.p,IFERROR(INDEX(tblDados[País],MATCH($A130,TRIM(tblDados[Mandante]),0)),INDEX(tblDados[País],MATCH($A130,TRIM(tblDados[Visitante]),0))),_xlpm.l,IFERROR(INDEX(tblDados[Liga],MATCH($A130,TRIM(tblDados[Mandante]),0)),INDEX(tblDados[Liga],MATCH($A130,TRIM(tblDados[Visitante]),0))),_xlpm.p&amp;" - "&amp;_xlpm.l))</f>
        <v>CHN - Super League</v>
      </c>
      <c r="C130" s="10">
        <f t="shared" si="19"/>
        <v>2.6666666666666665</v>
      </c>
      <c r="D130" s="10">
        <f t="shared" si="20"/>
        <v>4.4285714285714288</v>
      </c>
      <c r="E130" s="9" cm="1">
        <f t="array" ref="E130">IF($A130="","",SUMPRODUCT((TRIM(tblDados[Mandante])=$A130)*tblDados[Primeira_Ocorrencia]))</f>
        <v>6</v>
      </c>
      <c r="F130" s="9" cm="1">
        <f t="array" ref="F130">IF($A130="","",SUMPRODUCT((TRIM(tblDados[Visitante])=$A130)*tblDados[Primeira_Ocorrencia]))</f>
        <v>7</v>
      </c>
      <c r="G130" s="9" cm="1">
        <f t="array" ref="G130">IF($A130="","",SUMPRODUCT((TRIM(tblDados[Mandante])=$A130)*tblDados[Primeira_Ocorrencia])+SUMPRODUCT((TRIM(tblDados[Visitante])=$A130)*tblDados[Primeira_Ocorrencia]))</f>
        <v>13</v>
      </c>
      <c r="H130" s="10">
        <f t="shared" si="21"/>
        <v>1.4615384615384615</v>
      </c>
      <c r="I130" s="10" cm="1">
        <f t="array" ref="I130">IF($A130="","",_xlfn.LET(_xlpm.p,IFERROR(INDEX(tblDados[País],MATCH($A130,TRIM(tblDados[Mandante]),0)),INDEX(tblDados[País],MATCH($A130,TRIM(tblDados[Visitante]),0))),_xlpm.l,IFERROR(INDEX(tblDados[Liga],MATCH($A130,TRIM(tblDados[Mandante]),0)),INDEX(tblDados[Liga],MATCH($A130,TRIM(tblDados[Visitante]),0))),IFERROR(SUMIFS(Ligas!$D$2:$D$39,Ligas!$H$2:$H$39,_xlpm.p,Ligas!$I$2:$I$39,_xlpm.l),0)))</f>
        <v>2.5</v>
      </c>
      <c r="J130" s="11" cm="1">
        <f t="array" ref="J130">IF($A130="","",IFERROR((SUMPRODUCT((TRIM(tblDados[Mandante])=$A130)*tblDados[Primeira_Ocorrencia]*(tblDados[GM_M]=0))+SUMPRODUCT((TRIM(tblDados[Visitante])=$A130)*tblDados[Primeira_Ocorrencia]*(tblDados[GM_V]=0)))/G130,0))</f>
        <v>0.30769230769230771</v>
      </c>
      <c r="K130" s="11" cm="1">
        <f t="array" ref="K130">IF($A130="","",IFERROR((SUMPRODUCT((TRIM(tblDados[Mandante])=$A130)*tblDados[Primeira_Ocorrencia]*((tblDados[GM_M]+tblDados[GS_M])&gt;0.5))+SUMPRODUCT((TRIM(tblDados[Visitante])=$A130)*tblDados[Primeira_Ocorrencia]*((tblDados[GM_V]+tblDados[GS_V])&gt;0.5)))/G130,0))</f>
        <v>1</v>
      </c>
      <c r="L130" s="11" cm="1">
        <f t="array" ref="L130">IF($A130="","",IFERROR((SUMPRODUCT((TRIM(tblDados[Mandante])=$A130)*tblDados[Primeira_Ocorrencia]*((tblDados[GM_M]+tblDados[GS_M])&gt;1.5))+SUMPRODUCT((TRIM(tblDados[Visitante])=$A130)*tblDados[Primeira_Ocorrencia]*((tblDados[GM_V]+tblDados[GS_V])&gt;1.5)))/G130,0))</f>
        <v>0.84615384615384615</v>
      </c>
      <c r="M130" s="11" cm="1">
        <f t="array" ref="M130">IF($A130="","",IFERROR((SUMPRODUCT((TRIM(tblDados[Mandante])=$A130)*tblDados[Primeira_Ocorrencia]*((tblDados[GM_M]+tblDados[GS_M])&gt;2.5))+SUMPRODUCT((TRIM(tblDados[Visitante])=$A130)*tblDados[Primeira_Ocorrencia]*((tblDados[GM_V]+tblDados[GS_V])&gt;2.5)))/G130,0))</f>
        <v>0.61538461538461542</v>
      </c>
      <c r="N130" s="11" cm="1">
        <f t="array" ref="N130">IF($A130="","",IFERROR((SUMPRODUCT((TRIM(tblDados[Mandante])=$A130)*tblDados[Primeira_Ocorrencia]*((tblDados[GM_M]+tblDados[GS_M])&gt;3.5))+SUMPRODUCT((TRIM(tblDados[Visitante])=$A130)*tblDados[Primeira_Ocorrencia]*((tblDados[GM_V]+tblDados[GS_V])&gt;3.5)))/G130,0))</f>
        <v>0.53846153846153844</v>
      </c>
      <c r="O130" s="11" cm="1">
        <f t="array" ref="O130">IF($A130="","",IFERROR((SUMPRODUCT((TRIM(tblDados[Mandante])=$A130)*tblDados[Primeira_Ocorrencia]*(tblDados[GM_M]&gt;0)*(tblDados[GS_M]&gt;0))+SUMPRODUCT((TRIM(tblDados[Visitante])=$A130)*tblDados[Primeira_Ocorrencia]*(tblDados[GM_V]&gt;0)*(tblDados[GS_V]&gt;0)))/G130,0))</f>
        <v>0.69230769230769229</v>
      </c>
      <c r="P130" s="10" cm="1">
        <f t="array" ref="P130">IF($A130="","",IFERROR((SUMPRODUCT((TRIM(tblDados[Mandante])=$A130)*tblDados[Primeira_Ocorrencia]*tblDados[GM_M]^2)+SUMPRODUCT((TRIM(tblDados[Visitante])=$A130)*tblDados[Primeira_Ocorrencia]*tblDados[GM_V]^2))/G130-H130^2,0))</f>
        <v>1.6331360946745566</v>
      </c>
      <c r="Q130" s="10">
        <f t="shared" si="22"/>
        <v>1.2779421327566269</v>
      </c>
      <c r="R130" s="8" t="str">
        <f t="shared" si="23"/>
        <v>Poisson</v>
      </c>
      <c r="S130" s="10" cm="1">
        <f t="array" ref="S130">IF($A130="","",SUMPRODUCT((TRIM(tblDados[Mandante])=$A130)*tblDados[Primeira_Ocorrencia]*tblDados[GM_M]))</f>
        <v>8</v>
      </c>
      <c r="T130" s="10" cm="1">
        <f t="array" ref="T130">IF($A130="","",SUMPRODUCT((TRIM(tblDados[Visitante])=$A130)*tblDados[Primeira_Ocorrencia]*tblDados[GM_V]))</f>
        <v>11</v>
      </c>
      <c r="U130" s="10">
        <f t="shared" si="24"/>
        <v>19</v>
      </c>
      <c r="V130" s="10">
        <f t="shared" ref="V130:V193" si="26">IF($A130="","",IFERROR(U130/G130,0))</f>
        <v>1.4615384615384615</v>
      </c>
      <c r="W130" s="10" cm="1">
        <f t="array" ref="W130">IF($A130="","",SUMPRODUCT((TRIM(tblDados[Mandante])=$A130)*tblDados[Primeira_Ocorrencia]*tblDados[GS_M]))</f>
        <v>8</v>
      </c>
      <c r="X130" s="10" cm="1">
        <f t="array" ref="X130">IF($A130="","",SUMPRODUCT((TRIM(tblDados[Visitante])=$A130)*tblDados[Primeira_Ocorrencia]*tblDados[GS_V]))</f>
        <v>20</v>
      </c>
      <c r="Y130" s="10">
        <f t="shared" si="25"/>
        <v>28</v>
      </c>
      <c r="Z130" s="10">
        <f t="shared" ref="Z130:Z193" si="27">IF($A130="","",IFERROR(Y130/G130,0))</f>
        <v>2.1538461538461537</v>
      </c>
      <c r="AA130" s="10">
        <f t="shared" ref="AA130:AA193" si="28">IF($A130="","",IF($E130=0,"",$S130/$E130))</f>
        <v>1.3333333333333333</v>
      </c>
      <c r="AB130" s="10">
        <f t="shared" ref="AB130:AB193" si="29">IF($A130="","",IF($E130=0,"",$W130/$E130))</f>
        <v>1.3333333333333333</v>
      </c>
      <c r="AC130" s="10">
        <f t="shared" ref="AC130:AC193" si="30">IF($A130="","",IF($F130=0,"",$T130/$F130))</f>
        <v>1.5714285714285714</v>
      </c>
      <c r="AD130" s="10">
        <f t="shared" ref="AD130:AD193" si="31">IF($A130="","",IF($F130=0,"",$X130/$F130))</f>
        <v>2.8571428571428572</v>
      </c>
    </row>
    <row r="131" spans="1:30" x14ac:dyDescent="0.3">
      <c r="A131" s="7" t="str">
        <v>Qingdao West Coast</v>
      </c>
      <c r="B131" s="12" t="str" cm="1">
        <f t="array" ref="B131">IF($A131="","",_xlfn.LET(_xlpm.p,IFERROR(INDEX(tblDados[País],MATCH($A131,TRIM(tblDados[Mandante]),0)),INDEX(tblDados[País],MATCH($A131,TRIM(tblDados[Visitante]),0))),_xlpm.l,IFERROR(INDEX(tblDados[Liga],MATCH($A131,TRIM(tblDados[Mandante]),0)),INDEX(tblDados[Liga],MATCH($A131,TRIM(tblDados[Visitante]),0))),_xlpm.p&amp;" - "&amp;_xlpm.l))</f>
        <v>CHN - Super League</v>
      </c>
      <c r="C131" s="10">
        <f t="shared" ref="C131:C194" si="32">IF($A131="","",IF($E131=0,"",$AA131+$AB131))</f>
        <v>2.625</v>
      </c>
      <c r="D131" s="10">
        <f t="shared" ref="D131:D194" si="33">IF($A131="","",IF($F131=0,"",$AC131+$AD131))</f>
        <v>2.8</v>
      </c>
      <c r="E131" s="9" cm="1">
        <f t="array" ref="E131">IF($A131="","",SUMPRODUCT((TRIM(tblDados[Mandante])=$A131)*tblDados[Primeira_Ocorrencia]))</f>
        <v>8</v>
      </c>
      <c r="F131" s="9" cm="1">
        <f t="array" ref="F131">IF($A131="","",SUMPRODUCT((TRIM(tblDados[Visitante])=$A131)*tblDados[Primeira_Ocorrencia]))</f>
        <v>5</v>
      </c>
      <c r="G131" s="9" cm="1">
        <f t="array" ref="G131">IF($A131="","",SUMPRODUCT((TRIM(tblDados[Mandante])=$A131)*tblDados[Primeira_Ocorrencia])+SUMPRODUCT((TRIM(tblDados[Visitante])=$A131)*tblDados[Primeira_Ocorrencia]))</f>
        <v>13</v>
      </c>
      <c r="H131" s="10">
        <f t="shared" ref="H131:H194" si="34">IF($A131="","",IFERROR($U131/$G131,0))</f>
        <v>1.5384615384615385</v>
      </c>
      <c r="I131" s="10" cm="1">
        <f t="array" ref="I131">IF($A131="","",_xlfn.LET(_xlpm.p,IFERROR(INDEX(tblDados[País],MATCH($A131,TRIM(tblDados[Mandante]),0)),INDEX(tblDados[País],MATCH($A131,TRIM(tblDados[Visitante]),0))),_xlpm.l,IFERROR(INDEX(tblDados[Liga],MATCH($A131,TRIM(tblDados[Mandante]),0)),INDEX(tblDados[Liga],MATCH($A131,TRIM(tblDados[Visitante]),0))),IFERROR(SUMIFS(Ligas!$D$2:$D$39,Ligas!$H$2:$H$39,_xlpm.p,Ligas!$I$2:$I$39,_xlpm.l),0)))</f>
        <v>2.5</v>
      </c>
      <c r="J131" s="11" cm="1">
        <f t="array" ref="J131">IF($A131="","",IFERROR((SUMPRODUCT((TRIM(tblDados[Mandante])=$A131)*tblDados[Primeira_Ocorrencia]*(tblDados[GM_M]=0))+SUMPRODUCT((TRIM(tblDados[Visitante])=$A131)*tblDados[Primeira_Ocorrencia]*(tblDados[GM_V]=0)))/G131,0))</f>
        <v>0.15384615384615385</v>
      </c>
      <c r="K131" s="11" cm="1">
        <f t="array" ref="K131">IF($A131="","",IFERROR((SUMPRODUCT((TRIM(tblDados[Mandante])=$A131)*tblDados[Primeira_Ocorrencia]*((tblDados[GM_M]+tblDados[GS_M])&gt;0.5))+SUMPRODUCT((TRIM(tblDados[Visitante])=$A131)*tblDados[Primeira_Ocorrencia]*((tblDados[GM_V]+tblDados[GS_V])&gt;0.5)))/G131,0))</f>
        <v>0.92307692307692313</v>
      </c>
      <c r="L131" s="11" cm="1">
        <f t="array" ref="L131">IF($A131="","",IFERROR((SUMPRODUCT((TRIM(tblDados[Mandante])=$A131)*tblDados[Primeira_Ocorrencia]*((tblDados[GM_M]+tblDados[GS_M])&gt;1.5))+SUMPRODUCT((TRIM(tblDados[Visitante])=$A131)*tblDados[Primeira_Ocorrencia]*((tblDados[GM_V]+tblDados[GS_V])&gt;1.5)))/G131,0))</f>
        <v>0.84615384615384615</v>
      </c>
      <c r="M131" s="11" cm="1">
        <f t="array" ref="M131">IF($A131="","",IFERROR((SUMPRODUCT((TRIM(tblDados[Mandante])=$A131)*tblDados[Primeira_Ocorrencia]*((tblDados[GM_M]+tblDados[GS_M])&gt;2.5))+SUMPRODUCT((TRIM(tblDados[Visitante])=$A131)*tblDados[Primeira_Ocorrencia]*((tblDados[GM_V]+tblDados[GS_V])&gt;2.5)))/G131,0))</f>
        <v>0.46153846153846156</v>
      </c>
      <c r="N131" s="11" cm="1">
        <f t="array" ref="N131">IF($A131="","",IFERROR((SUMPRODUCT((TRIM(tblDados[Mandante])=$A131)*tblDados[Primeira_Ocorrencia]*((tblDados[GM_M]+tblDados[GS_M])&gt;3.5))+SUMPRODUCT((TRIM(tblDados[Visitante])=$A131)*tblDados[Primeira_Ocorrencia]*((tblDados[GM_V]+tblDados[GS_V])&gt;3.5)))/G131,0))</f>
        <v>0.30769230769230771</v>
      </c>
      <c r="O131" s="11" cm="1">
        <f t="array" ref="O131">IF($A131="","",IFERROR((SUMPRODUCT((TRIM(tblDados[Mandante])=$A131)*tblDados[Primeira_Ocorrencia]*(tblDados[GM_M]&gt;0)*(tblDados[GS_M]&gt;0))+SUMPRODUCT((TRIM(tblDados[Visitante])=$A131)*tblDados[Primeira_Ocorrencia]*(tblDados[GM_V]&gt;0)*(tblDados[GS_V]&gt;0)))/G131,0))</f>
        <v>0.69230769230769229</v>
      </c>
      <c r="P131" s="10" cm="1">
        <f t="array" ref="P131">IF($A131="","",IFERROR((SUMPRODUCT((TRIM(tblDados[Mandante])=$A131)*tblDados[Primeira_Ocorrencia]*tblDados[GM_M]^2)+SUMPRODUCT((TRIM(tblDados[Visitante])=$A131)*tblDados[Primeira_Ocorrencia]*tblDados[GM_V]^2))/G131-H131^2,0))</f>
        <v>1.0177514792899407</v>
      </c>
      <c r="Q131" s="10">
        <f t="shared" ref="Q131:Q194" si="35">IF($A131="","",IFERROR(SQRT(MAX(P131,0)),0))</f>
        <v>1.0088366960464616</v>
      </c>
      <c r="R131" s="8" t="str">
        <f t="shared" ref="R131:R194" si="36">IF(A131="","",IF(OR(G131&lt;5,H131=0),"Amostra Insuficiente",IF(_xlfn.CHISQ.DIST.RT(G131*P131/H131,G131-1)&lt;0.05,"Binomial Negativa","Poisson")))</f>
        <v>Poisson</v>
      </c>
      <c r="S131" s="10" cm="1">
        <f t="array" ref="S131">IF($A131="","",SUMPRODUCT((TRIM(tblDados[Mandante])=$A131)*tblDados[Primeira_Ocorrencia]*tblDados[GM_M]))</f>
        <v>13</v>
      </c>
      <c r="T131" s="10" cm="1">
        <f t="array" ref="T131">IF($A131="","",SUMPRODUCT((TRIM(tblDados[Visitante])=$A131)*tblDados[Primeira_Ocorrencia]*tblDados[GM_V]))</f>
        <v>7</v>
      </c>
      <c r="U131" s="10">
        <f t="shared" ref="U131:U194" si="37">IF($A131="","",S131+T131)</f>
        <v>20</v>
      </c>
      <c r="V131" s="10">
        <f t="shared" si="26"/>
        <v>1.5384615384615385</v>
      </c>
      <c r="W131" s="10" cm="1">
        <f t="array" ref="W131">IF($A131="","",SUMPRODUCT((TRIM(tblDados[Mandante])=$A131)*tblDados[Primeira_Ocorrencia]*tblDados[GS_M]))</f>
        <v>8</v>
      </c>
      <c r="X131" s="10" cm="1">
        <f t="array" ref="X131">IF($A131="","",SUMPRODUCT((TRIM(tblDados[Visitante])=$A131)*tblDados[Primeira_Ocorrencia]*tblDados[GS_V]))</f>
        <v>7</v>
      </c>
      <c r="Y131" s="10">
        <f t="shared" ref="Y131:Y194" si="38">IF($A131="","",W131+X131)</f>
        <v>15</v>
      </c>
      <c r="Z131" s="10">
        <f t="shared" si="27"/>
        <v>1.1538461538461537</v>
      </c>
      <c r="AA131" s="10">
        <f t="shared" si="28"/>
        <v>1.625</v>
      </c>
      <c r="AB131" s="10">
        <f t="shared" si="29"/>
        <v>1</v>
      </c>
      <c r="AC131" s="10">
        <f t="shared" si="30"/>
        <v>1.4</v>
      </c>
      <c r="AD131" s="10">
        <f t="shared" si="31"/>
        <v>1.4</v>
      </c>
    </row>
    <row r="132" spans="1:30" x14ac:dyDescent="0.3">
      <c r="A132" s="7" t="str">
        <v>Reipas (Lahden Reipas)</v>
      </c>
      <c r="B132" s="12" t="str" cm="1">
        <f t="array" ref="B132">IF($A132="","",_xlfn.LET(_xlpm.p,IFERROR(INDEX(tblDados[País],MATCH($A132,TRIM(tblDados[Mandante]),0)),INDEX(tblDados[País],MATCH($A132,TRIM(tblDados[Visitante]),0))),_xlpm.l,IFERROR(INDEX(tblDados[Liga],MATCH($A132,TRIM(tblDados[Mandante]),0)),INDEX(tblDados[Liga],MATCH($A132,TRIM(tblDados[Visitante]),0))),_xlpm.p&amp;" - "&amp;_xlpm.l))</f>
        <v>FIN - Kakkonen A</v>
      </c>
      <c r="C132" s="10">
        <f t="shared" si="32"/>
        <v>4</v>
      </c>
      <c r="D132" s="10">
        <f t="shared" si="33"/>
        <v>4.25</v>
      </c>
      <c r="E132" s="9" cm="1">
        <f t="array" ref="E132">IF($A132="","",SUMPRODUCT((TRIM(tblDados[Mandante])=$A132)*tblDados[Primeira_Ocorrencia]))</f>
        <v>5</v>
      </c>
      <c r="F132" s="9" cm="1">
        <f t="array" ref="F132">IF($A132="","",SUMPRODUCT((TRIM(tblDados[Visitante])=$A132)*tblDados[Primeira_Ocorrencia]))</f>
        <v>8</v>
      </c>
      <c r="G132" s="9" cm="1">
        <f t="array" ref="G132">IF($A132="","",SUMPRODUCT((TRIM(tblDados[Mandante])=$A132)*tblDados[Primeira_Ocorrencia])+SUMPRODUCT((TRIM(tblDados[Visitante])=$A132)*tblDados[Primeira_Ocorrencia]))</f>
        <v>13</v>
      </c>
      <c r="H132" s="10">
        <f t="shared" si="34"/>
        <v>2.0769230769230771</v>
      </c>
      <c r="I132" s="10" cm="1">
        <f t="array" ref="I132">IF($A132="","",_xlfn.LET(_xlpm.p,IFERROR(INDEX(tblDados[País],MATCH($A132,TRIM(tblDados[Mandante]),0)),INDEX(tblDados[País],MATCH($A132,TRIM(tblDados[Visitante]),0))),_xlpm.l,IFERROR(INDEX(tblDados[Liga],MATCH($A132,TRIM(tblDados[Mandante]),0)),INDEX(tblDados[Liga],MATCH($A132,TRIM(tblDados[Visitante]),0))),IFERROR(SUMIFS(Ligas!$D$2:$D$39,Ligas!$H$2:$H$39,_xlpm.p,Ligas!$I$2:$I$39,_xlpm.l),0)))</f>
        <v>3.79</v>
      </c>
      <c r="J132" s="11" cm="1">
        <f t="array" ref="J132">IF($A132="","",IFERROR((SUMPRODUCT((TRIM(tblDados[Mandante])=$A132)*tblDados[Primeira_Ocorrencia]*(tblDados[GM_M]=0))+SUMPRODUCT((TRIM(tblDados[Visitante])=$A132)*tblDados[Primeira_Ocorrencia]*(tblDados[GM_V]=0)))/G132,0))</f>
        <v>7.6923076923076927E-2</v>
      </c>
      <c r="K132" s="11" cm="1">
        <f t="array" ref="K132">IF($A132="","",IFERROR((SUMPRODUCT((TRIM(tblDados[Mandante])=$A132)*tblDados[Primeira_Ocorrencia]*((tblDados[GM_M]+tblDados[GS_M])&gt;0.5))+SUMPRODUCT((TRIM(tblDados[Visitante])=$A132)*tblDados[Primeira_Ocorrencia]*((tblDados[GM_V]+tblDados[GS_V])&gt;0.5)))/G132,0))</f>
        <v>1</v>
      </c>
      <c r="L132" s="11" cm="1">
        <f t="array" ref="L132">IF($A132="","",IFERROR((SUMPRODUCT((TRIM(tblDados[Mandante])=$A132)*tblDados[Primeira_Ocorrencia]*((tblDados[GM_M]+tblDados[GS_M])&gt;1.5))+SUMPRODUCT((TRIM(tblDados[Visitante])=$A132)*tblDados[Primeira_Ocorrencia]*((tblDados[GM_V]+tblDados[GS_V])&gt;1.5)))/G132,0))</f>
        <v>0.92307692307692313</v>
      </c>
      <c r="M132" s="11" cm="1">
        <f t="array" ref="M132">IF($A132="","",IFERROR((SUMPRODUCT((TRIM(tblDados[Mandante])=$A132)*tblDados[Primeira_Ocorrencia]*((tblDados[GM_M]+tblDados[GS_M])&gt;2.5))+SUMPRODUCT((TRIM(tblDados[Visitante])=$A132)*tblDados[Primeira_Ocorrencia]*((tblDados[GM_V]+tblDados[GS_V])&gt;2.5)))/G132,0))</f>
        <v>0.92307692307692313</v>
      </c>
      <c r="N132" s="11" cm="1">
        <f t="array" ref="N132">IF($A132="","",IFERROR((SUMPRODUCT((TRIM(tblDados[Mandante])=$A132)*tblDados[Primeira_Ocorrencia]*((tblDados[GM_M]+tblDados[GS_M])&gt;3.5))+SUMPRODUCT((TRIM(tblDados[Visitante])=$A132)*tblDados[Primeira_Ocorrencia]*((tblDados[GM_V]+tblDados[GS_V])&gt;3.5)))/G132,0))</f>
        <v>0.61538461538461542</v>
      </c>
      <c r="O132" s="11" cm="1">
        <f t="array" ref="O132">IF($A132="","",IFERROR((SUMPRODUCT((TRIM(tblDados[Mandante])=$A132)*tblDados[Primeira_Ocorrencia]*(tblDados[GM_M]&gt;0)*(tblDados[GS_M]&gt;0))+SUMPRODUCT((TRIM(tblDados[Visitante])=$A132)*tblDados[Primeira_Ocorrencia]*(tblDados[GM_V]&gt;0)*(tblDados[GS_V]&gt;0)))/G132,0))</f>
        <v>0.76923076923076927</v>
      </c>
      <c r="P132" s="10" cm="1">
        <f t="array" ref="P132">IF($A132="","",IFERROR((SUMPRODUCT((TRIM(tblDados[Mandante])=$A132)*tblDados[Primeira_Ocorrencia]*tblDados[GM_M]^2)+SUMPRODUCT((TRIM(tblDados[Visitante])=$A132)*tblDados[Primeira_Ocorrencia]*tblDados[GM_V]^2))/G132-H132^2,0))</f>
        <v>2.0710059171597628</v>
      </c>
      <c r="Q132" s="10">
        <f t="shared" si="35"/>
        <v>1.4390989949130542</v>
      </c>
      <c r="R132" s="8" t="str">
        <f t="shared" si="36"/>
        <v>Poisson</v>
      </c>
      <c r="S132" s="10" cm="1">
        <f t="array" ref="S132">IF($A132="","",SUMPRODUCT((TRIM(tblDados[Mandante])=$A132)*tblDados[Primeira_Ocorrencia]*tblDados[GM_M]))</f>
        <v>14</v>
      </c>
      <c r="T132" s="10" cm="1">
        <f t="array" ref="T132">IF($A132="","",SUMPRODUCT((TRIM(tblDados[Visitante])=$A132)*tblDados[Primeira_Ocorrencia]*tblDados[GM_V]))</f>
        <v>13</v>
      </c>
      <c r="U132" s="10">
        <f t="shared" si="37"/>
        <v>27</v>
      </c>
      <c r="V132" s="10">
        <f t="shared" si="26"/>
        <v>2.0769230769230771</v>
      </c>
      <c r="W132" s="10" cm="1">
        <f t="array" ref="W132">IF($A132="","",SUMPRODUCT((TRIM(tblDados[Mandante])=$A132)*tblDados[Primeira_Ocorrencia]*tblDados[GS_M]))</f>
        <v>6</v>
      </c>
      <c r="X132" s="10" cm="1">
        <f t="array" ref="X132">IF($A132="","",SUMPRODUCT((TRIM(tblDados[Visitante])=$A132)*tblDados[Primeira_Ocorrencia]*tblDados[GS_V]))</f>
        <v>21</v>
      </c>
      <c r="Y132" s="10">
        <f t="shared" si="38"/>
        <v>27</v>
      </c>
      <c r="Z132" s="10">
        <f t="shared" si="27"/>
        <v>2.0769230769230771</v>
      </c>
      <c r="AA132" s="10">
        <f t="shared" si="28"/>
        <v>2.8</v>
      </c>
      <c r="AB132" s="10">
        <f t="shared" si="29"/>
        <v>1.2</v>
      </c>
      <c r="AC132" s="10">
        <f t="shared" si="30"/>
        <v>1.625</v>
      </c>
      <c r="AD132" s="10">
        <f t="shared" si="31"/>
        <v>2.625</v>
      </c>
    </row>
    <row r="133" spans="1:30" x14ac:dyDescent="0.3">
      <c r="A133" s="7" t="str">
        <v>Remo</v>
      </c>
      <c r="B133" s="12" t="str" cm="1">
        <f t="array" ref="B133">IF($A133="","",_xlfn.LET(_xlpm.p,IFERROR(INDEX(tblDados[País],MATCH($A133,TRIM(tblDados[Mandante]),0)),INDEX(tblDados[País],MATCH($A133,TRIM(tblDados[Visitante]),0))),_xlpm.l,IFERROR(INDEX(tblDados[Liga],MATCH($A133,TRIM(tblDados[Mandante]),0)),INDEX(tblDados[Liga],MATCH($A133,TRIM(tblDados[Visitante]),0))),_xlpm.p&amp;" - "&amp;_xlpm.l))</f>
        <v>BRA - Série A</v>
      </c>
      <c r="C133" s="10">
        <f t="shared" si="32"/>
        <v>1.8333333333333335</v>
      </c>
      <c r="D133" s="10">
        <f t="shared" si="33"/>
        <v>3.1428571428571428</v>
      </c>
      <c r="E133" s="9" cm="1">
        <f t="array" ref="E133">IF($A133="","",SUMPRODUCT((TRIM(tblDados[Mandante])=$A133)*tblDados[Primeira_Ocorrencia]))</f>
        <v>6</v>
      </c>
      <c r="F133" s="9" cm="1">
        <f t="array" ref="F133">IF($A133="","",SUMPRODUCT((TRIM(tblDados[Visitante])=$A133)*tblDados[Primeira_Ocorrencia]))</f>
        <v>7</v>
      </c>
      <c r="G133" s="9" cm="1">
        <f t="array" ref="G133">IF($A133="","",SUMPRODUCT((TRIM(tblDados[Mandante])=$A133)*tblDados[Primeira_Ocorrencia])+SUMPRODUCT((TRIM(tblDados[Visitante])=$A133)*tblDados[Primeira_Ocorrencia]))</f>
        <v>13</v>
      </c>
      <c r="H133" s="10">
        <f t="shared" si="34"/>
        <v>1.0769230769230769</v>
      </c>
      <c r="I133" s="10" cm="1">
        <f t="array" ref="I133">IF($A133="","",_xlfn.LET(_xlpm.p,IFERROR(INDEX(tblDados[País],MATCH($A133,TRIM(tblDados[Mandante]),0)),INDEX(tblDados[País],MATCH($A133,TRIM(tblDados[Visitante]),0))),_xlpm.l,IFERROR(INDEX(tblDados[Liga],MATCH($A133,TRIM(tblDados[Mandante]),0)),INDEX(tblDados[Liga],MATCH($A133,TRIM(tblDados[Visitante]),0))),IFERROR(SUMIFS(Ligas!$D$2:$D$39,Ligas!$H$2:$H$39,_xlpm.p,Ligas!$I$2:$I$39,_xlpm.l),0)))</f>
        <v>2.59</v>
      </c>
      <c r="J133" s="11" cm="1">
        <f t="array" ref="J133">IF($A133="","",IFERROR((SUMPRODUCT((TRIM(tblDados[Mandante])=$A133)*tblDados[Primeira_Ocorrencia]*(tblDados[GM_M]=0))+SUMPRODUCT((TRIM(tblDados[Visitante])=$A133)*tblDados[Primeira_Ocorrencia]*(tblDados[GM_V]=0)))/G133,0))</f>
        <v>0.30769230769230771</v>
      </c>
      <c r="K133" s="11" cm="1">
        <f t="array" ref="K133">IF($A133="","",IFERROR((SUMPRODUCT((TRIM(tblDados[Mandante])=$A133)*tblDados[Primeira_Ocorrencia]*((tblDados[GM_M]+tblDados[GS_M])&gt;0.5))+SUMPRODUCT((TRIM(tblDados[Visitante])=$A133)*tblDados[Primeira_Ocorrencia]*((tblDados[GM_V]+tblDados[GS_V])&gt;0.5)))/G133,0))</f>
        <v>0.92307692307692313</v>
      </c>
      <c r="L133" s="11" cm="1">
        <f t="array" ref="L133">IF($A133="","",IFERROR((SUMPRODUCT((TRIM(tblDados[Mandante])=$A133)*tblDados[Primeira_Ocorrencia]*((tblDados[GM_M]+tblDados[GS_M])&gt;1.5))+SUMPRODUCT((TRIM(tblDados[Visitante])=$A133)*tblDados[Primeira_Ocorrencia]*((tblDados[GM_V]+tblDados[GS_V])&gt;1.5)))/G133,0))</f>
        <v>0.76923076923076927</v>
      </c>
      <c r="M133" s="11" cm="1">
        <f t="array" ref="M133">IF($A133="","",IFERROR((SUMPRODUCT((TRIM(tblDados[Mandante])=$A133)*tblDados[Primeira_Ocorrencia]*((tblDados[GM_M]+tblDados[GS_M])&gt;2.5))+SUMPRODUCT((TRIM(tblDados[Visitante])=$A133)*tblDados[Primeira_Ocorrencia]*((tblDados[GM_V]+tblDados[GS_V])&gt;2.5)))/G133,0))</f>
        <v>0.46153846153846156</v>
      </c>
      <c r="N133" s="11" cm="1">
        <f t="array" ref="N133">IF($A133="","",IFERROR((SUMPRODUCT((TRIM(tblDados[Mandante])=$A133)*tblDados[Primeira_Ocorrencia]*((tblDados[GM_M]+tblDados[GS_M])&gt;3.5))+SUMPRODUCT((TRIM(tblDados[Visitante])=$A133)*tblDados[Primeira_Ocorrencia]*((tblDados[GM_V]+tblDados[GS_V])&gt;3.5)))/G133,0))</f>
        <v>0.15384615384615385</v>
      </c>
      <c r="O133" s="11" cm="1">
        <f t="array" ref="O133">IF($A133="","",IFERROR((SUMPRODUCT((TRIM(tblDados[Mandante])=$A133)*tblDados[Primeira_Ocorrencia]*(tblDados[GM_M]&gt;0)*(tblDados[GS_M]&gt;0))+SUMPRODUCT((TRIM(tblDados[Visitante])=$A133)*tblDados[Primeira_Ocorrencia]*(tblDados[GM_V]&gt;0)*(tblDados[GS_V]&gt;0)))/G133,0))</f>
        <v>0.53846153846153844</v>
      </c>
      <c r="P133" s="10" cm="1">
        <f t="array" ref="P133">IF($A133="","",IFERROR((SUMPRODUCT((TRIM(tblDados[Mandante])=$A133)*tblDados[Primeira_Ocorrencia]*tblDados[GM_M]^2)+SUMPRODUCT((TRIM(tblDados[Visitante])=$A133)*tblDados[Primeira_Ocorrencia]*tblDados[GM_V]^2))/G133-H133^2,0))</f>
        <v>0.84023668639053262</v>
      </c>
      <c r="Q133" s="10">
        <f t="shared" si="35"/>
        <v>0.91664425290869123</v>
      </c>
      <c r="R133" s="8" t="str">
        <f t="shared" si="36"/>
        <v>Poisson</v>
      </c>
      <c r="S133" s="10" cm="1">
        <f t="array" ref="S133">IF($A133="","",SUMPRODUCT((TRIM(tblDados[Mandante])=$A133)*tblDados[Primeira_Ocorrencia]*tblDados[GM_M]))</f>
        <v>6</v>
      </c>
      <c r="T133" s="10" cm="1">
        <f t="array" ref="T133">IF($A133="","",SUMPRODUCT((TRIM(tblDados[Visitante])=$A133)*tblDados[Primeira_Ocorrencia]*tblDados[GM_V]))</f>
        <v>8</v>
      </c>
      <c r="U133" s="10">
        <f t="shared" si="37"/>
        <v>14</v>
      </c>
      <c r="V133" s="10">
        <f t="shared" si="26"/>
        <v>1.0769230769230769</v>
      </c>
      <c r="W133" s="10" cm="1">
        <f t="array" ref="W133">IF($A133="","",SUMPRODUCT((TRIM(tblDados[Mandante])=$A133)*tblDados[Primeira_Ocorrencia]*tblDados[GS_M]))</f>
        <v>5</v>
      </c>
      <c r="X133" s="10" cm="1">
        <f t="array" ref="X133">IF($A133="","",SUMPRODUCT((TRIM(tblDados[Visitante])=$A133)*tblDados[Primeira_Ocorrencia]*tblDados[GS_V]))</f>
        <v>14</v>
      </c>
      <c r="Y133" s="10">
        <f t="shared" si="38"/>
        <v>19</v>
      </c>
      <c r="Z133" s="10">
        <f t="shared" si="27"/>
        <v>1.4615384615384615</v>
      </c>
      <c r="AA133" s="10">
        <f t="shared" si="28"/>
        <v>1</v>
      </c>
      <c r="AB133" s="10">
        <f t="shared" si="29"/>
        <v>0.83333333333333337</v>
      </c>
      <c r="AC133" s="10">
        <f t="shared" si="30"/>
        <v>1.1428571428571428</v>
      </c>
      <c r="AD133" s="10">
        <f t="shared" si="31"/>
        <v>2</v>
      </c>
    </row>
    <row r="134" spans="1:30" x14ac:dyDescent="0.3">
      <c r="A134" s="7" t="str">
        <v>RoPS (Rovaniemi)</v>
      </c>
      <c r="B134" s="12" t="str" cm="1">
        <f t="array" ref="B134">IF($A134="","",_xlfn.LET(_xlpm.p,IFERROR(INDEX(tblDados[País],MATCH($A134,TRIM(tblDados[Mandante]),0)),INDEX(tblDados[País],MATCH($A134,TRIM(tblDados[Visitante]),0))),_xlpm.l,IFERROR(INDEX(tblDados[Liga],MATCH($A134,TRIM(tblDados[Mandante]),0)),INDEX(tblDados[Liga],MATCH($A134,TRIM(tblDados[Visitante]),0))),_xlpm.p&amp;" - "&amp;_xlpm.l))</f>
        <v>FIN - Ykkönen</v>
      </c>
      <c r="C134" s="10">
        <f t="shared" si="32"/>
        <v>3.6666666666666665</v>
      </c>
      <c r="D134" s="10">
        <f t="shared" si="33"/>
        <v>3.5714285714285712</v>
      </c>
      <c r="E134" s="9" cm="1">
        <f t="array" ref="E134">IF($A134="","",SUMPRODUCT((TRIM(tblDados[Mandante])=$A134)*tblDados[Primeira_Ocorrencia]))</f>
        <v>6</v>
      </c>
      <c r="F134" s="9" cm="1">
        <f t="array" ref="F134">IF($A134="","",SUMPRODUCT((TRIM(tblDados[Visitante])=$A134)*tblDados[Primeira_Ocorrencia]))</f>
        <v>7</v>
      </c>
      <c r="G134" s="9" cm="1">
        <f t="array" ref="G134">IF($A134="","",SUMPRODUCT((TRIM(tblDados[Mandante])=$A134)*tblDados[Primeira_Ocorrencia])+SUMPRODUCT((TRIM(tblDados[Visitante])=$A134)*tblDados[Primeira_Ocorrencia]))</f>
        <v>13</v>
      </c>
      <c r="H134" s="10">
        <f t="shared" si="34"/>
        <v>2</v>
      </c>
      <c r="I134" s="10" cm="1">
        <f t="array" ref="I134">IF($A134="","",_xlfn.LET(_xlpm.p,IFERROR(INDEX(tblDados[País],MATCH($A134,TRIM(tblDados[Mandante]),0)),INDEX(tblDados[País],MATCH($A134,TRIM(tblDados[Visitante]),0))),_xlpm.l,IFERROR(INDEX(tblDados[Liga],MATCH($A134,TRIM(tblDados[Mandante]),0)),INDEX(tblDados[Liga],MATCH($A134,TRIM(tblDados[Visitante]),0))),IFERROR(SUMIFS(Ligas!$D$2:$D$39,Ligas!$H$2:$H$39,_xlpm.p,Ligas!$I$2:$I$39,_xlpm.l),0)))</f>
        <v>3.57</v>
      </c>
      <c r="J134" s="11" cm="1">
        <f t="array" ref="J134">IF($A134="","",IFERROR((SUMPRODUCT((TRIM(tblDados[Mandante])=$A134)*tblDados[Primeira_Ocorrencia]*(tblDados[GM_M]=0))+SUMPRODUCT((TRIM(tblDados[Visitante])=$A134)*tblDados[Primeira_Ocorrencia]*(tblDados[GM_V]=0)))/G134,0))</f>
        <v>7.6923076923076927E-2</v>
      </c>
      <c r="K134" s="11" cm="1">
        <f t="array" ref="K134">IF($A134="","",IFERROR((SUMPRODUCT((TRIM(tblDados[Mandante])=$A134)*tblDados[Primeira_Ocorrencia]*((tblDados[GM_M]+tblDados[GS_M])&gt;0.5))+SUMPRODUCT((TRIM(tblDados[Visitante])=$A134)*tblDados[Primeira_Ocorrencia]*((tblDados[GM_V]+tblDados[GS_V])&gt;0.5)))/G134,0))</f>
        <v>1</v>
      </c>
      <c r="L134" s="11" cm="1">
        <f t="array" ref="L134">IF($A134="","",IFERROR((SUMPRODUCT((TRIM(tblDados[Mandante])=$A134)*tblDados[Primeira_Ocorrencia]*((tblDados[GM_M]+tblDados[GS_M])&gt;1.5))+SUMPRODUCT((TRIM(tblDados[Visitante])=$A134)*tblDados[Primeira_Ocorrencia]*((tblDados[GM_V]+tblDados[GS_V])&gt;1.5)))/G134,0))</f>
        <v>0.84615384615384615</v>
      </c>
      <c r="M134" s="11" cm="1">
        <f t="array" ref="M134">IF($A134="","",IFERROR((SUMPRODUCT((TRIM(tblDados[Mandante])=$A134)*tblDados[Primeira_Ocorrencia]*((tblDados[GM_M]+tblDados[GS_M])&gt;2.5))+SUMPRODUCT((TRIM(tblDados[Visitante])=$A134)*tblDados[Primeira_Ocorrencia]*((tblDados[GM_V]+tblDados[GS_V])&gt;2.5)))/G134,0))</f>
        <v>0.53846153846153844</v>
      </c>
      <c r="N134" s="11" cm="1">
        <f t="array" ref="N134">IF($A134="","",IFERROR((SUMPRODUCT((TRIM(tblDados[Mandante])=$A134)*tblDados[Primeira_Ocorrencia]*((tblDados[GM_M]+tblDados[GS_M])&gt;3.5))+SUMPRODUCT((TRIM(tblDados[Visitante])=$A134)*tblDados[Primeira_Ocorrencia]*((tblDados[GM_V]+tblDados[GS_V])&gt;3.5)))/G134,0))</f>
        <v>0.46153846153846156</v>
      </c>
      <c r="O134" s="11" cm="1">
        <f t="array" ref="O134">IF($A134="","",IFERROR((SUMPRODUCT((TRIM(tblDados[Mandante])=$A134)*tblDados[Primeira_Ocorrencia]*(tblDados[GM_M]&gt;0)*(tblDados[GS_M]&gt;0))+SUMPRODUCT((TRIM(tblDados[Visitante])=$A134)*tblDados[Primeira_Ocorrencia]*(tblDados[GM_V]&gt;0)*(tblDados[GS_V]&gt;0)))/G134,0))</f>
        <v>0.61538461538461542</v>
      </c>
      <c r="P134" s="10" cm="1">
        <f t="array" ref="P134">IF($A134="","",IFERROR((SUMPRODUCT((TRIM(tblDados[Mandante])=$A134)*tblDados[Primeira_Ocorrencia]*tblDados[GM_M]^2)+SUMPRODUCT((TRIM(tblDados[Visitante])=$A134)*tblDados[Primeira_Ocorrencia]*tblDados[GM_V]^2))/G134-H134^2,0))</f>
        <v>1.384615384615385</v>
      </c>
      <c r="Q134" s="10">
        <f t="shared" si="35"/>
        <v>1.1766968108291043</v>
      </c>
      <c r="R134" s="8" t="str">
        <f t="shared" si="36"/>
        <v>Poisson</v>
      </c>
      <c r="S134" s="10" cm="1">
        <f t="array" ref="S134">IF($A134="","",SUMPRODUCT((TRIM(tblDados[Mandante])=$A134)*tblDados[Primeira_Ocorrencia]*tblDados[GM_M]))</f>
        <v>13</v>
      </c>
      <c r="T134" s="10" cm="1">
        <f t="array" ref="T134">IF($A134="","",SUMPRODUCT((TRIM(tblDados[Visitante])=$A134)*tblDados[Primeira_Ocorrencia]*tblDados[GM_V]))</f>
        <v>13</v>
      </c>
      <c r="U134" s="10">
        <f t="shared" si="37"/>
        <v>26</v>
      </c>
      <c r="V134" s="10">
        <f t="shared" si="26"/>
        <v>2</v>
      </c>
      <c r="W134" s="10" cm="1">
        <f t="array" ref="W134">IF($A134="","",SUMPRODUCT((TRIM(tblDados[Mandante])=$A134)*tblDados[Primeira_Ocorrencia]*tblDados[GS_M]))</f>
        <v>9</v>
      </c>
      <c r="X134" s="10" cm="1">
        <f t="array" ref="X134">IF($A134="","",SUMPRODUCT((TRIM(tblDados[Visitante])=$A134)*tblDados[Primeira_Ocorrencia]*tblDados[GS_V]))</f>
        <v>12</v>
      </c>
      <c r="Y134" s="10">
        <f t="shared" si="38"/>
        <v>21</v>
      </c>
      <c r="Z134" s="10">
        <f t="shared" si="27"/>
        <v>1.6153846153846154</v>
      </c>
      <c r="AA134" s="10">
        <f t="shared" si="28"/>
        <v>2.1666666666666665</v>
      </c>
      <c r="AB134" s="10">
        <f t="shared" si="29"/>
        <v>1.5</v>
      </c>
      <c r="AC134" s="10">
        <f t="shared" si="30"/>
        <v>1.8571428571428572</v>
      </c>
      <c r="AD134" s="10">
        <f t="shared" si="31"/>
        <v>1.7142857142857142</v>
      </c>
    </row>
    <row r="135" spans="1:30" x14ac:dyDescent="0.3">
      <c r="A135" s="7" t="str">
        <v>SA Bulo Bulo</v>
      </c>
      <c r="B135" s="12" t="str" cm="1">
        <f t="array" ref="B135">IF($A135="","",_xlfn.LET(_xlpm.p,IFERROR(INDEX(tblDados[País],MATCH($A135,TRIM(tblDados[Mandante]),0)),INDEX(tblDados[País],MATCH($A135,TRIM(tblDados[Visitante]),0))),_xlpm.l,IFERROR(INDEX(tblDados[Liga],MATCH($A135,TRIM(tblDados[Mandante]),0)),INDEX(tblDados[Liga],MATCH($A135,TRIM(tblDados[Visitante]),0))),_xlpm.p&amp;" - "&amp;_xlpm.l))</f>
        <v>BOL - Div. Profesional</v>
      </c>
      <c r="C135" s="10">
        <f t="shared" si="32"/>
        <v>2.7142857142857144</v>
      </c>
      <c r="D135" s="10">
        <f t="shared" si="33"/>
        <v>3.1666666666666665</v>
      </c>
      <c r="E135" s="9" cm="1">
        <f t="array" ref="E135">IF($A135="","",SUMPRODUCT((TRIM(tblDados[Mandante])=$A135)*tblDados[Primeira_Ocorrencia]))</f>
        <v>7</v>
      </c>
      <c r="F135" s="9" cm="1">
        <f t="array" ref="F135">IF($A135="","",SUMPRODUCT((TRIM(tblDados[Visitante])=$A135)*tblDados[Primeira_Ocorrencia]))</f>
        <v>6</v>
      </c>
      <c r="G135" s="9" cm="1">
        <f t="array" ref="G135">IF($A135="","",SUMPRODUCT((TRIM(tblDados[Mandante])=$A135)*tblDados[Primeira_Ocorrencia])+SUMPRODUCT((TRIM(tblDados[Visitante])=$A135)*tblDados[Primeira_Ocorrencia]))</f>
        <v>13</v>
      </c>
      <c r="H135" s="10">
        <f t="shared" si="34"/>
        <v>1.1538461538461537</v>
      </c>
      <c r="I135" s="10" cm="1">
        <f t="array" ref="I135">IF($A135="","",_xlfn.LET(_xlpm.p,IFERROR(INDEX(tblDados[País],MATCH($A135,TRIM(tblDados[Mandante]),0)),INDEX(tblDados[País],MATCH($A135,TRIM(tblDados[Visitante]),0))),_xlpm.l,IFERROR(INDEX(tblDados[Liga],MATCH($A135,TRIM(tblDados[Mandante]),0)),INDEX(tblDados[Liga],MATCH($A135,TRIM(tblDados[Visitante]),0))),IFERROR(SUMIFS(Ligas!$D$2:$D$39,Ligas!$H$2:$H$39,_xlpm.p,Ligas!$I$2:$I$39,_xlpm.l),0)))</f>
        <v>3.62</v>
      </c>
      <c r="J135" s="11" cm="1">
        <f t="array" ref="J135">IF($A135="","",IFERROR((SUMPRODUCT((TRIM(tblDados[Mandante])=$A135)*tblDados[Primeira_Ocorrencia]*(tblDados[GM_M]=0))+SUMPRODUCT((TRIM(tblDados[Visitante])=$A135)*tblDados[Primeira_Ocorrencia]*(tblDados[GM_V]=0)))/G135,0))</f>
        <v>0.30769230769230771</v>
      </c>
      <c r="K135" s="11" cm="1">
        <f t="array" ref="K135">IF($A135="","",IFERROR((SUMPRODUCT((TRIM(tblDados[Mandante])=$A135)*tblDados[Primeira_Ocorrencia]*((tblDados[GM_M]+tblDados[GS_M])&gt;0.5))+SUMPRODUCT((TRIM(tblDados[Visitante])=$A135)*tblDados[Primeira_Ocorrencia]*((tblDados[GM_V]+tblDados[GS_V])&gt;0.5)))/G135,0))</f>
        <v>0.92307692307692313</v>
      </c>
      <c r="L135" s="11" cm="1">
        <f t="array" ref="L135">IF($A135="","",IFERROR((SUMPRODUCT((TRIM(tblDados[Mandante])=$A135)*tblDados[Primeira_Ocorrencia]*((tblDados[GM_M]+tblDados[GS_M])&gt;1.5))+SUMPRODUCT((TRIM(tblDados[Visitante])=$A135)*tblDados[Primeira_Ocorrencia]*((tblDados[GM_V]+tblDados[GS_V])&gt;1.5)))/G135,0))</f>
        <v>0.84615384615384615</v>
      </c>
      <c r="M135" s="11" cm="1">
        <f t="array" ref="M135">IF($A135="","",IFERROR((SUMPRODUCT((TRIM(tblDados[Mandante])=$A135)*tblDados[Primeira_Ocorrencia]*((tblDados[GM_M]+tblDados[GS_M])&gt;2.5))+SUMPRODUCT((TRIM(tblDados[Visitante])=$A135)*tblDados[Primeira_Ocorrencia]*((tblDados[GM_V]+tblDados[GS_V])&gt;2.5)))/G135,0))</f>
        <v>0.61538461538461542</v>
      </c>
      <c r="N135" s="11" cm="1">
        <f t="array" ref="N135">IF($A135="","",IFERROR((SUMPRODUCT((TRIM(tblDados[Mandante])=$A135)*tblDados[Primeira_Ocorrencia]*((tblDados[GM_M]+tblDados[GS_M])&gt;3.5))+SUMPRODUCT((TRIM(tblDados[Visitante])=$A135)*tblDados[Primeira_Ocorrencia]*((tblDados[GM_V]+tblDados[GS_V])&gt;3.5)))/G135,0))</f>
        <v>0.38461538461538464</v>
      </c>
      <c r="O135" s="11" cm="1">
        <f t="array" ref="O135">IF($A135="","",IFERROR((SUMPRODUCT((TRIM(tblDados[Mandante])=$A135)*tblDados[Primeira_Ocorrencia]*(tblDados[GM_M]&gt;0)*(tblDados[GS_M]&gt;0))+SUMPRODUCT((TRIM(tblDados[Visitante])=$A135)*tblDados[Primeira_Ocorrencia]*(tblDados[GM_V]&gt;0)*(tblDados[GS_V]&gt;0)))/G135,0))</f>
        <v>0.53846153846153844</v>
      </c>
      <c r="P135" s="10" cm="1">
        <f t="array" ref="P135">IF($A135="","",IFERROR((SUMPRODUCT((TRIM(tblDados[Mandante])=$A135)*tblDados[Primeira_Ocorrencia]*tblDados[GM_M]^2)+SUMPRODUCT((TRIM(tblDados[Visitante])=$A135)*tblDados[Primeira_Ocorrencia]*tblDados[GM_V]^2))/G135-H135^2,0))</f>
        <v>0.74556213017751527</v>
      </c>
      <c r="Q135" s="10">
        <f t="shared" si="35"/>
        <v>0.86345939694783291</v>
      </c>
      <c r="R135" s="8" t="str">
        <f t="shared" si="36"/>
        <v>Poisson</v>
      </c>
      <c r="S135" s="10" cm="1">
        <f t="array" ref="S135">IF($A135="","",SUMPRODUCT((TRIM(tblDados[Mandante])=$A135)*tblDados[Primeira_Ocorrencia]*tblDados[GM_M]))</f>
        <v>11</v>
      </c>
      <c r="T135" s="10" cm="1">
        <f t="array" ref="T135">IF($A135="","",SUMPRODUCT((TRIM(tblDados[Visitante])=$A135)*tblDados[Primeira_Ocorrencia]*tblDados[GM_V]))</f>
        <v>4</v>
      </c>
      <c r="U135" s="10">
        <f t="shared" si="37"/>
        <v>15</v>
      </c>
      <c r="V135" s="10">
        <f t="shared" si="26"/>
        <v>1.1538461538461537</v>
      </c>
      <c r="W135" s="10" cm="1">
        <f t="array" ref="W135">IF($A135="","",SUMPRODUCT((TRIM(tblDados[Mandante])=$A135)*tblDados[Primeira_Ocorrencia]*tblDados[GS_M]))</f>
        <v>8</v>
      </c>
      <c r="X135" s="10" cm="1">
        <f t="array" ref="X135">IF($A135="","",SUMPRODUCT((TRIM(tblDados[Visitante])=$A135)*tblDados[Primeira_Ocorrencia]*tblDados[GS_V]))</f>
        <v>15</v>
      </c>
      <c r="Y135" s="10">
        <f t="shared" si="38"/>
        <v>23</v>
      </c>
      <c r="Z135" s="10">
        <f t="shared" si="27"/>
        <v>1.7692307692307692</v>
      </c>
      <c r="AA135" s="10">
        <f t="shared" si="28"/>
        <v>1.5714285714285714</v>
      </c>
      <c r="AB135" s="10">
        <f t="shared" si="29"/>
        <v>1.1428571428571428</v>
      </c>
      <c r="AC135" s="10">
        <f t="shared" si="30"/>
        <v>0.66666666666666663</v>
      </c>
      <c r="AD135" s="10">
        <f t="shared" si="31"/>
        <v>2.5</v>
      </c>
    </row>
    <row r="136" spans="1:30" x14ac:dyDescent="0.3">
      <c r="A136" s="7" t="str">
        <v>SalPa</v>
      </c>
      <c r="B136" s="12" t="str" cm="1">
        <f t="array" ref="B136">IF($A136="","",_xlfn.LET(_xlpm.p,IFERROR(INDEX(tblDados[País],MATCH($A136,TRIM(tblDados[Mandante]),0)),INDEX(tblDados[País],MATCH($A136,TRIM(tblDados[Visitante]),0))),_xlpm.l,IFERROR(INDEX(tblDados[Liga],MATCH($A136,TRIM(tblDados[Mandante]),0)),INDEX(tblDados[Liga],MATCH($A136,TRIM(tblDados[Visitante]),0))),_xlpm.p&amp;" - "&amp;_xlpm.l))</f>
        <v>FIN - Ykkönen</v>
      </c>
      <c r="C136" s="10">
        <f t="shared" si="32"/>
        <v>4.3333333333333339</v>
      </c>
      <c r="D136" s="10">
        <f t="shared" si="33"/>
        <v>3.2857142857142856</v>
      </c>
      <c r="E136" s="9" cm="1">
        <f t="array" ref="E136">IF($A136="","",SUMPRODUCT((TRIM(tblDados[Mandante])=$A136)*tblDados[Primeira_Ocorrencia]))</f>
        <v>6</v>
      </c>
      <c r="F136" s="9" cm="1">
        <f t="array" ref="F136">IF($A136="","",SUMPRODUCT((TRIM(tblDados[Visitante])=$A136)*tblDados[Primeira_Ocorrencia]))</f>
        <v>7</v>
      </c>
      <c r="G136" s="9" cm="1">
        <f t="array" ref="G136">IF($A136="","",SUMPRODUCT((TRIM(tblDados[Mandante])=$A136)*tblDados[Primeira_Ocorrencia])+SUMPRODUCT((TRIM(tblDados[Visitante])=$A136)*tblDados[Primeira_Ocorrencia]))</f>
        <v>13</v>
      </c>
      <c r="H136" s="10">
        <f t="shared" si="34"/>
        <v>1.7692307692307692</v>
      </c>
      <c r="I136" s="10" cm="1">
        <f t="array" ref="I136">IF($A136="","",_xlfn.LET(_xlpm.p,IFERROR(INDEX(tblDados[País],MATCH($A136,TRIM(tblDados[Mandante]),0)),INDEX(tblDados[País],MATCH($A136,TRIM(tblDados[Visitante]),0))),_xlpm.l,IFERROR(INDEX(tblDados[Liga],MATCH($A136,TRIM(tblDados[Mandante]),0)),INDEX(tblDados[Liga],MATCH($A136,TRIM(tblDados[Visitante]),0))),IFERROR(SUMIFS(Ligas!$D$2:$D$39,Ligas!$H$2:$H$39,_xlpm.p,Ligas!$I$2:$I$39,_xlpm.l),0)))</f>
        <v>3.57</v>
      </c>
      <c r="J136" s="11" cm="1">
        <f t="array" ref="J136">IF($A136="","",IFERROR((SUMPRODUCT((TRIM(tblDados[Mandante])=$A136)*tblDados[Primeira_Ocorrencia]*(tblDados[GM_M]=0))+SUMPRODUCT((TRIM(tblDados[Visitante])=$A136)*tblDados[Primeira_Ocorrencia]*(tblDados[GM_V]=0)))/G136,0))</f>
        <v>0.23076923076923078</v>
      </c>
      <c r="K136" s="11" cm="1">
        <f t="array" ref="K136">IF($A136="","",IFERROR((SUMPRODUCT((TRIM(tblDados[Mandante])=$A136)*tblDados[Primeira_Ocorrencia]*((tblDados[GM_M]+tblDados[GS_M])&gt;0.5))+SUMPRODUCT((TRIM(tblDados[Visitante])=$A136)*tblDados[Primeira_Ocorrencia]*((tblDados[GM_V]+tblDados[GS_V])&gt;0.5)))/G136,0))</f>
        <v>1</v>
      </c>
      <c r="L136" s="11" cm="1">
        <f t="array" ref="L136">IF($A136="","",IFERROR((SUMPRODUCT((TRIM(tblDados[Mandante])=$A136)*tblDados[Primeira_Ocorrencia]*((tblDados[GM_M]+tblDados[GS_M])&gt;1.5))+SUMPRODUCT((TRIM(tblDados[Visitante])=$A136)*tblDados[Primeira_Ocorrencia]*((tblDados[GM_V]+tblDados[GS_V])&gt;1.5)))/G136,0))</f>
        <v>0.84615384615384615</v>
      </c>
      <c r="M136" s="11" cm="1">
        <f t="array" ref="M136">IF($A136="","",IFERROR((SUMPRODUCT((TRIM(tblDados[Mandante])=$A136)*tblDados[Primeira_Ocorrencia]*((tblDados[GM_M]+tblDados[GS_M])&gt;2.5))+SUMPRODUCT((TRIM(tblDados[Visitante])=$A136)*tblDados[Primeira_Ocorrencia]*((tblDados[GM_V]+tblDados[GS_V])&gt;2.5)))/G136,0))</f>
        <v>0.84615384615384615</v>
      </c>
      <c r="N136" s="11" cm="1">
        <f t="array" ref="N136">IF($A136="","",IFERROR((SUMPRODUCT((TRIM(tblDados[Mandante])=$A136)*tblDados[Primeira_Ocorrencia]*((tblDados[GM_M]+tblDados[GS_M])&gt;3.5))+SUMPRODUCT((TRIM(tblDados[Visitante])=$A136)*tblDados[Primeira_Ocorrencia]*((tblDados[GM_V]+tblDados[GS_V])&gt;3.5)))/G136,0))</f>
        <v>0.53846153846153844</v>
      </c>
      <c r="O136" s="11" cm="1">
        <f t="array" ref="O136">IF($A136="","",IFERROR((SUMPRODUCT((TRIM(tblDados[Mandante])=$A136)*tblDados[Primeira_Ocorrencia]*(tblDados[GM_M]&gt;0)*(tblDados[GS_M]&gt;0))+SUMPRODUCT((TRIM(tblDados[Visitante])=$A136)*tblDados[Primeira_Ocorrencia]*(tblDados[GM_V]&gt;0)*(tblDados[GS_V]&gt;0)))/G136,0))</f>
        <v>0.69230769230769229</v>
      </c>
      <c r="P136" s="10" cm="1">
        <f t="array" ref="P136">IF($A136="","",IFERROR((SUMPRODUCT((TRIM(tblDados[Mandante])=$A136)*tblDados[Primeira_Ocorrencia]*tblDados[GM_M]^2)+SUMPRODUCT((TRIM(tblDados[Visitante])=$A136)*tblDados[Primeira_Ocorrencia]*tblDados[GM_V]^2))/G136-H136^2,0))</f>
        <v>1.5621301775147933</v>
      </c>
      <c r="Q136" s="10">
        <f t="shared" si="35"/>
        <v>1.2498520622516864</v>
      </c>
      <c r="R136" s="8" t="str">
        <f t="shared" si="36"/>
        <v>Poisson</v>
      </c>
      <c r="S136" s="10" cm="1">
        <f t="array" ref="S136">IF($A136="","",SUMPRODUCT((TRIM(tblDados[Mandante])=$A136)*tblDados[Primeira_Ocorrencia]*tblDados[GM_M]))</f>
        <v>14</v>
      </c>
      <c r="T136" s="10" cm="1">
        <f t="array" ref="T136">IF($A136="","",SUMPRODUCT((TRIM(tblDados[Visitante])=$A136)*tblDados[Primeira_Ocorrencia]*tblDados[GM_V]))</f>
        <v>9</v>
      </c>
      <c r="U136" s="10">
        <f t="shared" si="37"/>
        <v>23</v>
      </c>
      <c r="V136" s="10">
        <f t="shared" si="26"/>
        <v>1.7692307692307692</v>
      </c>
      <c r="W136" s="10" cm="1">
        <f t="array" ref="W136">IF($A136="","",SUMPRODUCT((TRIM(tblDados[Mandante])=$A136)*tblDados[Primeira_Ocorrencia]*tblDados[GS_M]))</f>
        <v>12</v>
      </c>
      <c r="X136" s="10" cm="1">
        <f t="array" ref="X136">IF($A136="","",SUMPRODUCT((TRIM(tblDados[Visitante])=$A136)*tblDados[Primeira_Ocorrencia]*tblDados[GS_V]))</f>
        <v>14</v>
      </c>
      <c r="Y136" s="10">
        <f t="shared" si="38"/>
        <v>26</v>
      </c>
      <c r="Z136" s="10">
        <f t="shared" si="27"/>
        <v>2</v>
      </c>
      <c r="AA136" s="10">
        <f t="shared" si="28"/>
        <v>2.3333333333333335</v>
      </c>
      <c r="AB136" s="10">
        <f t="shared" si="29"/>
        <v>2</v>
      </c>
      <c r="AC136" s="10">
        <f t="shared" si="30"/>
        <v>1.2857142857142858</v>
      </c>
      <c r="AD136" s="10">
        <f t="shared" si="31"/>
        <v>2</v>
      </c>
    </row>
    <row r="137" spans="1:30" x14ac:dyDescent="0.3">
      <c r="A137" s="7" t="str">
        <v>Shandong Taishan</v>
      </c>
      <c r="B137" s="12" t="str" cm="1">
        <f t="array" ref="B137">IF($A137="","",_xlfn.LET(_xlpm.p,IFERROR(INDEX(tblDados[País],MATCH($A137,TRIM(tblDados[Mandante]),0)),INDEX(tblDados[País],MATCH($A137,TRIM(tblDados[Visitante]),0))),_xlpm.l,IFERROR(INDEX(tblDados[Liga],MATCH($A137,TRIM(tblDados[Mandante]),0)),INDEX(tblDados[Liga],MATCH($A137,TRIM(tblDados[Visitante]),0))),_xlpm.p&amp;" - "&amp;_xlpm.l))</f>
        <v>CHN - Super League</v>
      </c>
      <c r="C137" s="10">
        <f t="shared" si="32"/>
        <v>4.666666666666667</v>
      </c>
      <c r="D137" s="10">
        <f t="shared" si="33"/>
        <v>3.1428571428571428</v>
      </c>
      <c r="E137" s="9" cm="1">
        <f t="array" ref="E137">IF($A137="","",SUMPRODUCT((TRIM(tblDados[Mandante])=$A137)*tblDados[Primeira_Ocorrencia]))</f>
        <v>6</v>
      </c>
      <c r="F137" s="9" cm="1">
        <f t="array" ref="F137">IF($A137="","",SUMPRODUCT((TRIM(tblDados[Visitante])=$A137)*tblDados[Primeira_Ocorrencia]))</f>
        <v>7</v>
      </c>
      <c r="G137" s="9" cm="1">
        <f t="array" ref="G137">IF($A137="","",SUMPRODUCT((TRIM(tblDados[Mandante])=$A137)*tblDados[Primeira_Ocorrencia])+SUMPRODUCT((TRIM(tblDados[Visitante])=$A137)*tblDados[Primeira_Ocorrencia]))</f>
        <v>13</v>
      </c>
      <c r="H137" s="10">
        <f t="shared" si="34"/>
        <v>2.0769230769230771</v>
      </c>
      <c r="I137" s="10" cm="1">
        <f t="array" ref="I137">IF($A137="","",_xlfn.LET(_xlpm.p,IFERROR(INDEX(tblDados[País],MATCH($A137,TRIM(tblDados[Mandante]),0)),INDEX(tblDados[País],MATCH($A137,TRIM(tblDados[Visitante]),0))),_xlpm.l,IFERROR(INDEX(tblDados[Liga],MATCH($A137,TRIM(tblDados[Mandante]),0)),INDEX(tblDados[Liga],MATCH($A137,TRIM(tblDados[Visitante]),0))),IFERROR(SUMIFS(Ligas!$D$2:$D$39,Ligas!$H$2:$H$39,_xlpm.p,Ligas!$I$2:$I$39,_xlpm.l),0)))</f>
        <v>2.5</v>
      </c>
      <c r="J137" s="11" cm="1">
        <f t="array" ref="J137">IF($A137="","",IFERROR((SUMPRODUCT((TRIM(tblDados[Mandante])=$A137)*tblDados[Primeira_Ocorrencia]*(tblDados[GM_M]=0))+SUMPRODUCT((TRIM(tblDados[Visitante])=$A137)*tblDados[Primeira_Ocorrencia]*(tblDados[GM_V]=0)))/G137,0))</f>
        <v>0.15384615384615385</v>
      </c>
      <c r="K137" s="11" cm="1">
        <f t="array" ref="K137">IF($A137="","",IFERROR((SUMPRODUCT((TRIM(tblDados[Mandante])=$A137)*tblDados[Primeira_Ocorrencia]*((tblDados[GM_M]+tblDados[GS_M])&gt;0.5))+SUMPRODUCT((TRIM(tblDados[Visitante])=$A137)*tblDados[Primeira_Ocorrencia]*((tblDados[GM_V]+tblDados[GS_V])&gt;0.5)))/G137,0))</f>
        <v>1</v>
      </c>
      <c r="L137" s="11" cm="1">
        <f t="array" ref="L137">IF($A137="","",IFERROR((SUMPRODUCT((TRIM(tblDados[Mandante])=$A137)*tblDados[Primeira_Ocorrencia]*((tblDados[GM_M]+tblDados[GS_M])&gt;1.5))+SUMPRODUCT((TRIM(tblDados[Visitante])=$A137)*tblDados[Primeira_Ocorrencia]*((tblDados[GM_V]+tblDados[GS_V])&gt;1.5)))/G137,0))</f>
        <v>0.84615384615384615</v>
      </c>
      <c r="M137" s="11" cm="1">
        <f t="array" ref="M137">IF($A137="","",IFERROR((SUMPRODUCT((TRIM(tblDados[Mandante])=$A137)*tblDados[Primeira_Ocorrencia]*((tblDados[GM_M]+tblDados[GS_M])&gt;2.5))+SUMPRODUCT((TRIM(tblDados[Visitante])=$A137)*tblDados[Primeira_Ocorrencia]*((tblDados[GM_V]+tblDados[GS_V])&gt;2.5)))/G137,0))</f>
        <v>0.76923076923076927</v>
      </c>
      <c r="N137" s="11" cm="1">
        <f t="array" ref="N137">IF($A137="","",IFERROR((SUMPRODUCT((TRIM(tblDados[Mandante])=$A137)*tblDados[Primeira_Ocorrencia]*((tblDados[GM_M]+tblDados[GS_M])&gt;3.5))+SUMPRODUCT((TRIM(tblDados[Visitante])=$A137)*tblDados[Primeira_Ocorrencia]*((tblDados[GM_V]+tblDados[GS_V])&gt;3.5)))/G137,0))</f>
        <v>0.53846153846153844</v>
      </c>
      <c r="O137" s="11" cm="1">
        <f t="array" ref="O137">IF($A137="","",IFERROR((SUMPRODUCT((TRIM(tblDados[Mandante])=$A137)*tblDados[Primeira_Ocorrencia]*(tblDados[GM_M]&gt;0)*(tblDados[GS_M]&gt;0))+SUMPRODUCT((TRIM(tblDados[Visitante])=$A137)*tblDados[Primeira_Ocorrencia]*(tblDados[GM_V]&gt;0)*(tblDados[GS_V]&gt;0)))/G137,0))</f>
        <v>0.76923076923076927</v>
      </c>
      <c r="P137" s="10" cm="1">
        <f t="array" ref="P137">IF($A137="","",IFERROR((SUMPRODUCT((TRIM(tblDados[Mandante])=$A137)*tblDados[Primeira_Ocorrencia]*tblDados[GM_M]^2)+SUMPRODUCT((TRIM(tblDados[Visitante])=$A137)*tblDados[Primeira_Ocorrencia]*tblDados[GM_V]^2))/G137-H137^2,0))</f>
        <v>2.3786982248520703</v>
      </c>
      <c r="Q137" s="10">
        <f t="shared" si="35"/>
        <v>1.5423028965971861</v>
      </c>
      <c r="R137" s="8" t="str">
        <f t="shared" si="36"/>
        <v>Poisson</v>
      </c>
      <c r="S137" s="10" cm="1">
        <f t="array" ref="S137">IF($A137="","",SUMPRODUCT((TRIM(tblDados[Mandante])=$A137)*tblDados[Primeira_Ocorrencia]*tblDados[GM_M]))</f>
        <v>17</v>
      </c>
      <c r="T137" s="10" cm="1">
        <f t="array" ref="T137">IF($A137="","",SUMPRODUCT((TRIM(tblDados[Visitante])=$A137)*tblDados[Primeira_Ocorrencia]*tblDados[GM_V]))</f>
        <v>10</v>
      </c>
      <c r="U137" s="10">
        <f t="shared" si="37"/>
        <v>27</v>
      </c>
      <c r="V137" s="10">
        <f t="shared" si="26"/>
        <v>2.0769230769230771</v>
      </c>
      <c r="W137" s="10" cm="1">
        <f t="array" ref="W137">IF($A137="","",SUMPRODUCT((TRIM(tblDados[Mandante])=$A137)*tblDados[Primeira_Ocorrencia]*tblDados[GS_M]))</f>
        <v>11</v>
      </c>
      <c r="X137" s="10" cm="1">
        <f t="array" ref="X137">IF($A137="","",SUMPRODUCT((TRIM(tblDados[Visitante])=$A137)*tblDados[Primeira_Ocorrencia]*tblDados[GS_V]))</f>
        <v>12</v>
      </c>
      <c r="Y137" s="10">
        <f t="shared" si="38"/>
        <v>23</v>
      </c>
      <c r="Z137" s="10">
        <f t="shared" si="27"/>
        <v>1.7692307692307692</v>
      </c>
      <c r="AA137" s="10">
        <f t="shared" si="28"/>
        <v>2.8333333333333335</v>
      </c>
      <c r="AB137" s="10">
        <f t="shared" si="29"/>
        <v>1.8333333333333333</v>
      </c>
      <c r="AC137" s="10">
        <f t="shared" si="30"/>
        <v>1.4285714285714286</v>
      </c>
      <c r="AD137" s="10">
        <f t="shared" si="31"/>
        <v>1.7142857142857142</v>
      </c>
    </row>
    <row r="138" spans="1:30" x14ac:dyDescent="0.3">
      <c r="A138" s="7" t="str">
        <v>Shenzhen Xinpengcheng</v>
      </c>
      <c r="B138" s="12" t="str" cm="1">
        <f t="array" ref="B138">IF($A138="","",_xlfn.LET(_xlpm.p,IFERROR(INDEX(tblDados[País],MATCH($A138,TRIM(tblDados[Mandante]),0)),INDEX(tblDados[País],MATCH($A138,TRIM(tblDados[Visitante]),0))),_xlpm.l,IFERROR(INDEX(tblDados[Liga],MATCH($A138,TRIM(tblDados[Mandante]),0)),INDEX(tblDados[Liga],MATCH($A138,TRIM(tblDados[Visitante]),0))),_xlpm.p&amp;" - "&amp;_xlpm.l))</f>
        <v>CHN - Super League</v>
      </c>
      <c r="C138" s="10">
        <f t="shared" si="32"/>
        <v>3.333333333333333</v>
      </c>
      <c r="D138" s="10">
        <f t="shared" si="33"/>
        <v>3.1428571428571428</v>
      </c>
      <c r="E138" s="9" cm="1">
        <f t="array" ref="E138">IF($A138="","",SUMPRODUCT((TRIM(tblDados[Mandante])=$A138)*tblDados[Primeira_Ocorrencia]))</f>
        <v>6</v>
      </c>
      <c r="F138" s="9" cm="1">
        <f t="array" ref="F138">IF($A138="","",SUMPRODUCT((TRIM(tblDados[Visitante])=$A138)*tblDados[Primeira_Ocorrencia]))</f>
        <v>7</v>
      </c>
      <c r="G138" s="9" cm="1">
        <f t="array" ref="G138">IF($A138="","",SUMPRODUCT((TRIM(tblDados[Mandante])=$A138)*tblDados[Primeira_Ocorrencia])+SUMPRODUCT((TRIM(tblDados[Visitante])=$A138)*tblDados[Primeira_Ocorrencia]))</f>
        <v>13</v>
      </c>
      <c r="H138" s="10">
        <f t="shared" si="34"/>
        <v>1.3846153846153846</v>
      </c>
      <c r="I138" s="10" cm="1">
        <f t="array" ref="I138">IF($A138="","",_xlfn.LET(_xlpm.p,IFERROR(INDEX(tblDados[País],MATCH($A138,TRIM(tblDados[Mandante]),0)),INDEX(tblDados[País],MATCH($A138,TRIM(tblDados[Visitante]),0))),_xlpm.l,IFERROR(INDEX(tblDados[Liga],MATCH($A138,TRIM(tblDados[Mandante]),0)),INDEX(tblDados[Liga],MATCH($A138,TRIM(tblDados[Visitante]),0))),IFERROR(SUMIFS(Ligas!$D$2:$D$39,Ligas!$H$2:$H$39,_xlpm.p,Ligas!$I$2:$I$39,_xlpm.l),0)))</f>
        <v>2.5</v>
      </c>
      <c r="J138" s="11" cm="1">
        <f t="array" ref="J138">IF($A138="","",IFERROR((SUMPRODUCT((TRIM(tblDados[Mandante])=$A138)*tblDados[Primeira_Ocorrencia]*(tblDados[GM_M]=0))+SUMPRODUCT((TRIM(tblDados[Visitante])=$A138)*tblDados[Primeira_Ocorrencia]*(tblDados[GM_V]=0)))/G138,0))</f>
        <v>0.30769230769230771</v>
      </c>
      <c r="K138" s="11" cm="1">
        <f t="array" ref="K138">IF($A138="","",IFERROR((SUMPRODUCT((TRIM(tblDados[Mandante])=$A138)*tblDados[Primeira_Ocorrencia]*((tblDados[GM_M]+tblDados[GS_M])&gt;0.5))+SUMPRODUCT((TRIM(tblDados[Visitante])=$A138)*tblDados[Primeira_Ocorrencia]*((tblDados[GM_V]+tblDados[GS_V])&gt;0.5)))/G138,0))</f>
        <v>1</v>
      </c>
      <c r="L138" s="11" cm="1">
        <f t="array" ref="L138">IF($A138="","",IFERROR((SUMPRODUCT((TRIM(tblDados[Mandante])=$A138)*tblDados[Primeira_Ocorrencia]*((tblDados[GM_M]+tblDados[GS_M])&gt;1.5))+SUMPRODUCT((TRIM(tblDados[Visitante])=$A138)*tblDados[Primeira_Ocorrencia]*((tblDados[GM_V]+tblDados[GS_V])&gt;1.5)))/G138,0))</f>
        <v>0.92307692307692313</v>
      </c>
      <c r="M138" s="11" cm="1">
        <f t="array" ref="M138">IF($A138="","",IFERROR((SUMPRODUCT((TRIM(tblDados[Mandante])=$A138)*tblDados[Primeira_Ocorrencia]*((tblDados[GM_M]+tblDados[GS_M])&gt;2.5))+SUMPRODUCT((TRIM(tblDados[Visitante])=$A138)*tblDados[Primeira_Ocorrencia]*((tblDados[GM_V]+tblDados[GS_V])&gt;2.5)))/G138,0))</f>
        <v>0.61538461538461542</v>
      </c>
      <c r="N138" s="11" cm="1">
        <f t="array" ref="N138">IF($A138="","",IFERROR((SUMPRODUCT((TRIM(tblDados[Mandante])=$A138)*tblDados[Primeira_Ocorrencia]*((tblDados[GM_M]+tblDados[GS_M])&gt;3.5))+SUMPRODUCT((TRIM(tblDados[Visitante])=$A138)*tblDados[Primeira_Ocorrencia]*((tblDados[GM_V]+tblDados[GS_V])&gt;3.5)))/G138,0))</f>
        <v>0.30769230769230771</v>
      </c>
      <c r="O138" s="11" cm="1">
        <f t="array" ref="O138">IF($A138="","",IFERROR((SUMPRODUCT((TRIM(tblDados[Mandante])=$A138)*tblDados[Primeira_Ocorrencia]*(tblDados[GM_M]&gt;0)*(tblDados[GS_M]&gt;0))+SUMPRODUCT((TRIM(tblDados[Visitante])=$A138)*tblDados[Primeira_Ocorrencia]*(tblDados[GM_V]&gt;0)*(tblDados[GS_V]&gt;0)))/G138,0))</f>
        <v>0.53846153846153844</v>
      </c>
      <c r="P138" s="10" cm="1">
        <f t="array" ref="P138">IF($A138="","",IFERROR((SUMPRODUCT((TRIM(tblDados[Mandante])=$A138)*tblDados[Primeira_Ocorrencia]*tblDados[GM_M]^2)+SUMPRODUCT((TRIM(tblDados[Visitante])=$A138)*tblDados[Primeira_Ocorrencia]*tblDados[GM_V]^2))/G138-H138^2,0))</f>
        <v>1.3136094674556216</v>
      </c>
      <c r="Q138" s="10">
        <f t="shared" si="35"/>
        <v>1.1461280327501031</v>
      </c>
      <c r="R138" s="8" t="str">
        <f t="shared" si="36"/>
        <v>Poisson</v>
      </c>
      <c r="S138" s="10" cm="1">
        <f t="array" ref="S138">IF($A138="","",SUMPRODUCT((TRIM(tblDados[Mandante])=$A138)*tblDados[Primeira_Ocorrencia]*tblDados[GM_M]))</f>
        <v>12</v>
      </c>
      <c r="T138" s="10" cm="1">
        <f t="array" ref="T138">IF($A138="","",SUMPRODUCT((TRIM(tblDados[Visitante])=$A138)*tblDados[Primeira_Ocorrencia]*tblDados[GM_V]))</f>
        <v>6</v>
      </c>
      <c r="U138" s="10">
        <f t="shared" si="37"/>
        <v>18</v>
      </c>
      <c r="V138" s="10">
        <f t="shared" si="26"/>
        <v>1.3846153846153846</v>
      </c>
      <c r="W138" s="10" cm="1">
        <f t="array" ref="W138">IF($A138="","",SUMPRODUCT((TRIM(tblDados[Mandante])=$A138)*tblDados[Primeira_Ocorrencia]*tblDados[GS_M]))</f>
        <v>8</v>
      </c>
      <c r="X138" s="10" cm="1">
        <f t="array" ref="X138">IF($A138="","",SUMPRODUCT((TRIM(tblDados[Visitante])=$A138)*tblDados[Primeira_Ocorrencia]*tblDados[GS_V]))</f>
        <v>16</v>
      </c>
      <c r="Y138" s="10">
        <f t="shared" si="38"/>
        <v>24</v>
      </c>
      <c r="Z138" s="10">
        <f t="shared" si="27"/>
        <v>1.8461538461538463</v>
      </c>
      <c r="AA138" s="10">
        <f t="shared" si="28"/>
        <v>2</v>
      </c>
      <c r="AB138" s="10">
        <f t="shared" si="29"/>
        <v>1.3333333333333333</v>
      </c>
      <c r="AC138" s="10">
        <f t="shared" si="30"/>
        <v>0.8571428571428571</v>
      </c>
      <c r="AD138" s="10">
        <f t="shared" si="31"/>
        <v>2.2857142857142856</v>
      </c>
    </row>
    <row r="139" spans="1:30" x14ac:dyDescent="0.3">
      <c r="A139" s="7" t="str">
        <v>Shijiazhuang Gongfu FC</v>
      </c>
      <c r="B139" s="12" t="str" cm="1">
        <f t="array" ref="B139">IF($A139="","",_xlfn.LET(_xlpm.p,IFERROR(INDEX(tblDados[País],MATCH($A139,TRIM(tblDados[Mandante]),0)),INDEX(tblDados[País],MATCH($A139,TRIM(tblDados[Visitante]),0))),_xlpm.l,IFERROR(INDEX(tblDados[Liga],MATCH($A139,TRIM(tblDados[Mandante]),0)),INDEX(tblDados[Liga],MATCH($A139,TRIM(tblDados[Visitante]),0))),_xlpm.p&amp;" - "&amp;_xlpm.l))</f>
        <v>CHN - League One</v>
      </c>
      <c r="C139" s="10">
        <f t="shared" si="32"/>
        <v>2</v>
      </c>
      <c r="D139" s="10">
        <f t="shared" si="33"/>
        <v>1.8333333333333333</v>
      </c>
      <c r="E139" s="9" cm="1">
        <f t="array" ref="E139">IF($A139="","",SUMPRODUCT((TRIM(tblDados[Mandante])=$A139)*tblDados[Primeira_Ocorrencia]))</f>
        <v>7</v>
      </c>
      <c r="F139" s="9" cm="1">
        <f t="array" ref="F139">IF($A139="","",SUMPRODUCT((TRIM(tblDados[Visitante])=$A139)*tblDados[Primeira_Ocorrencia]))</f>
        <v>6</v>
      </c>
      <c r="G139" s="9" cm="1">
        <f t="array" ref="G139">IF($A139="","",SUMPRODUCT((TRIM(tblDados[Mandante])=$A139)*tblDados[Primeira_Ocorrencia])+SUMPRODUCT((TRIM(tblDados[Visitante])=$A139)*tblDados[Primeira_Ocorrencia]))</f>
        <v>13</v>
      </c>
      <c r="H139" s="10">
        <f t="shared" si="34"/>
        <v>0.69230769230769229</v>
      </c>
      <c r="I139" s="10" cm="1">
        <f t="array" ref="I139">IF($A139="","",_xlfn.LET(_xlpm.p,IFERROR(INDEX(tblDados[País],MATCH($A139,TRIM(tblDados[Mandante]),0)),INDEX(tblDados[País],MATCH($A139,TRIM(tblDados[Visitante]),0))),_xlpm.l,IFERROR(INDEX(tblDados[Liga],MATCH($A139,TRIM(tblDados[Mandante]),0)),INDEX(tblDados[Liga],MATCH($A139,TRIM(tblDados[Visitante]),0))),IFERROR(SUMIFS(Ligas!$D$2:$D$39,Ligas!$H$2:$H$39,_xlpm.p,Ligas!$I$2:$I$39,_xlpm.l),0)))</f>
        <v>2.5</v>
      </c>
      <c r="J139" s="11" cm="1">
        <f t="array" ref="J139">IF($A139="","",IFERROR((SUMPRODUCT((TRIM(tblDados[Mandante])=$A139)*tblDados[Primeira_Ocorrencia]*(tblDados[GM_M]=0))+SUMPRODUCT((TRIM(tblDados[Visitante])=$A139)*tblDados[Primeira_Ocorrencia]*(tblDados[GM_V]=0)))/G139,0))</f>
        <v>0.53846153846153844</v>
      </c>
      <c r="K139" s="11" cm="1">
        <f t="array" ref="K139">IF($A139="","",IFERROR((SUMPRODUCT((TRIM(tblDados[Mandante])=$A139)*tblDados[Primeira_Ocorrencia]*((tblDados[GM_M]+tblDados[GS_M])&gt;0.5))+SUMPRODUCT((TRIM(tblDados[Visitante])=$A139)*tblDados[Primeira_Ocorrencia]*((tblDados[GM_V]+tblDados[GS_V])&gt;0.5)))/G139,0))</f>
        <v>0.76923076923076927</v>
      </c>
      <c r="L139" s="11" cm="1">
        <f t="array" ref="L139">IF($A139="","",IFERROR((SUMPRODUCT((TRIM(tblDados[Mandante])=$A139)*tblDados[Primeira_Ocorrencia]*((tblDados[GM_M]+tblDados[GS_M])&gt;1.5))+SUMPRODUCT((TRIM(tblDados[Visitante])=$A139)*tblDados[Primeira_Ocorrencia]*((tblDados[GM_V]+tblDados[GS_V])&gt;1.5)))/G139,0))</f>
        <v>0.69230769230769229</v>
      </c>
      <c r="M139" s="11" cm="1">
        <f t="array" ref="M139">IF($A139="","",IFERROR((SUMPRODUCT((TRIM(tblDados[Mandante])=$A139)*tblDados[Primeira_Ocorrencia]*((tblDados[GM_M]+tblDados[GS_M])&gt;2.5))+SUMPRODUCT((TRIM(tblDados[Visitante])=$A139)*tblDados[Primeira_Ocorrencia]*((tblDados[GM_V]+tblDados[GS_V])&gt;2.5)))/G139,0))</f>
        <v>0.38461538461538464</v>
      </c>
      <c r="N139" s="11" cm="1">
        <f t="array" ref="N139">IF($A139="","",IFERROR((SUMPRODUCT((TRIM(tblDados[Mandante])=$A139)*tblDados[Primeira_Ocorrencia]*((tblDados[GM_M]+tblDados[GS_M])&gt;3.5))+SUMPRODUCT((TRIM(tblDados[Visitante])=$A139)*tblDados[Primeira_Ocorrencia]*((tblDados[GM_V]+tblDados[GS_V])&gt;3.5)))/G139,0))</f>
        <v>7.6923076923076927E-2</v>
      </c>
      <c r="O139" s="11" cm="1">
        <f t="array" ref="O139">IF($A139="","",IFERROR((SUMPRODUCT((TRIM(tblDados[Mandante])=$A139)*tblDados[Primeira_Ocorrencia]*(tblDados[GM_M]&gt;0)*(tblDados[GS_M]&gt;0))+SUMPRODUCT((TRIM(tblDados[Visitante])=$A139)*tblDados[Primeira_Ocorrencia]*(tblDados[GM_V]&gt;0)*(tblDados[GS_V]&gt;0)))/G139,0))</f>
        <v>0.46153846153846156</v>
      </c>
      <c r="P139" s="10" cm="1">
        <f t="array" ref="P139">IF($A139="","",IFERROR((SUMPRODUCT((TRIM(tblDados[Mandante])=$A139)*tblDados[Primeira_Ocorrencia]*tblDados[GM_M]^2)+SUMPRODUCT((TRIM(tblDados[Visitante])=$A139)*tblDados[Primeira_Ocorrencia]*tblDados[GM_V]^2))/G139-H139^2,0))</f>
        <v>0.67455621301775137</v>
      </c>
      <c r="Q139" s="10">
        <f t="shared" si="35"/>
        <v>0.82131371169471623</v>
      </c>
      <c r="R139" s="8" t="str">
        <f t="shared" si="36"/>
        <v>Poisson</v>
      </c>
      <c r="S139" s="10" cm="1">
        <f t="array" ref="S139">IF($A139="","",SUMPRODUCT((TRIM(tblDados[Mandante])=$A139)*tblDados[Primeira_Ocorrencia]*tblDados[GM_M]))</f>
        <v>6</v>
      </c>
      <c r="T139" s="10" cm="1">
        <f t="array" ref="T139">IF($A139="","",SUMPRODUCT((TRIM(tblDados[Visitante])=$A139)*tblDados[Primeira_Ocorrencia]*tblDados[GM_V]))</f>
        <v>3</v>
      </c>
      <c r="U139" s="10">
        <f t="shared" si="37"/>
        <v>9</v>
      </c>
      <c r="V139" s="10">
        <f t="shared" si="26"/>
        <v>0.69230769230769229</v>
      </c>
      <c r="W139" s="10" cm="1">
        <f t="array" ref="W139">IF($A139="","",SUMPRODUCT((TRIM(tblDados[Mandante])=$A139)*tblDados[Primeira_Ocorrencia]*tblDados[GS_M]))</f>
        <v>8</v>
      </c>
      <c r="X139" s="10" cm="1">
        <f t="array" ref="X139">IF($A139="","",SUMPRODUCT((TRIM(tblDados[Visitante])=$A139)*tblDados[Primeira_Ocorrencia]*tblDados[GS_V]))</f>
        <v>8</v>
      </c>
      <c r="Y139" s="10">
        <f t="shared" si="38"/>
        <v>16</v>
      </c>
      <c r="Z139" s="10">
        <f t="shared" si="27"/>
        <v>1.2307692307692308</v>
      </c>
      <c r="AA139" s="10">
        <f t="shared" si="28"/>
        <v>0.8571428571428571</v>
      </c>
      <c r="AB139" s="10">
        <f t="shared" si="29"/>
        <v>1.1428571428571428</v>
      </c>
      <c r="AC139" s="10">
        <f t="shared" si="30"/>
        <v>0.5</v>
      </c>
      <c r="AD139" s="10">
        <f t="shared" si="31"/>
        <v>1.3333333333333333</v>
      </c>
    </row>
    <row r="140" spans="1:30" x14ac:dyDescent="0.3">
      <c r="A140" s="7" t="str">
        <v>SJK Akatemia 2</v>
      </c>
      <c r="B140" s="12" t="str" cm="1">
        <f t="array" ref="B140">IF($A140="","",_xlfn.LET(_xlpm.p,IFERROR(INDEX(tblDados[País],MATCH($A140,TRIM(tblDados[Mandante]),0)),INDEX(tblDados[País],MATCH($A140,TRIM(tblDados[Visitante]),0))),_xlpm.l,IFERROR(INDEX(tblDados[Liga],MATCH($A140,TRIM(tblDados[Mandante]),0)),INDEX(tblDados[Liga],MATCH($A140,TRIM(tblDados[Visitante]),0))),_xlpm.p&amp;" - "&amp;_xlpm.l))</f>
        <v>FIN - Kakkonen C</v>
      </c>
      <c r="C140" s="10">
        <f t="shared" si="32"/>
        <v>3.1428571428571428</v>
      </c>
      <c r="D140" s="10">
        <f t="shared" si="33"/>
        <v>4.666666666666667</v>
      </c>
      <c r="E140" s="9" cm="1">
        <f t="array" ref="E140">IF($A140="","",SUMPRODUCT((TRIM(tblDados[Mandante])=$A140)*tblDados[Primeira_Ocorrencia]))</f>
        <v>7</v>
      </c>
      <c r="F140" s="9" cm="1">
        <f t="array" ref="F140">IF($A140="","",SUMPRODUCT((TRIM(tblDados[Visitante])=$A140)*tblDados[Primeira_Ocorrencia]))</f>
        <v>6</v>
      </c>
      <c r="G140" s="9" cm="1">
        <f t="array" ref="G140">IF($A140="","",SUMPRODUCT((TRIM(tblDados[Mandante])=$A140)*tblDados[Primeira_Ocorrencia])+SUMPRODUCT((TRIM(tblDados[Visitante])=$A140)*tblDados[Primeira_Ocorrencia]))</f>
        <v>13</v>
      </c>
      <c r="H140" s="10">
        <f t="shared" si="34"/>
        <v>1.3846153846153846</v>
      </c>
      <c r="I140" s="10" cm="1">
        <f t="array" ref="I140">IF($A140="","",_xlfn.LET(_xlpm.p,IFERROR(INDEX(tblDados[País],MATCH($A140,TRIM(tblDados[Mandante]),0)),INDEX(tblDados[País],MATCH($A140,TRIM(tblDados[Visitante]),0))),_xlpm.l,IFERROR(INDEX(tblDados[Liga],MATCH($A140,TRIM(tblDados[Mandante]),0)),INDEX(tblDados[Liga],MATCH($A140,TRIM(tblDados[Visitante]),0))),IFERROR(SUMIFS(Ligas!$D$2:$D$39,Ligas!$H$2:$H$39,_xlpm.p,Ligas!$I$2:$I$39,_xlpm.l),0)))</f>
        <v>4.32</v>
      </c>
      <c r="J140" s="11" cm="1">
        <f t="array" ref="J140">IF($A140="","",IFERROR((SUMPRODUCT((TRIM(tblDados[Mandante])=$A140)*tblDados[Primeira_Ocorrencia]*(tblDados[GM_M]=0))+SUMPRODUCT((TRIM(tblDados[Visitante])=$A140)*tblDados[Primeira_Ocorrencia]*(tblDados[GM_V]=0)))/G140,0))</f>
        <v>0.46153846153846156</v>
      </c>
      <c r="K140" s="11" cm="1">
        <f t="array" ref="K140">IF($A140="","",IFERROR((SUMPRODUCT((TRIM(tblDados[Mandante])=$A140)*tblDados[Primeira_Ocorrencia]*((tblDados[GM_M]+tblDados[GS_M])&gt;0.5))+SUMPRODUCT((TRIM(tblDados[Visitante])=$A140)*tblDados[Primeira_Ocorrencia]*((tblDados[GM_V]+tblDados[GS_V])&gt;0.5)))/G140,0))</f>
        <v>0.92307692307692313</v>
      </c>
      <c r="L140" s="11" cm="1">
        <f t="array" ref="L140">IF($A140="","",IFERROR((SUMPRODUCT((TRIM(tblDados[Mandante])=$A140)*tblDados[Primeira_Ocorrencia]*((tblDados[GM_M]+tblDados[GS_M])&gt;1.5))+SUMPRODUCT((TRIM(tblDados[Visitante])=$A140)*tblDados[Primeira_Ocorrencia]*((tblDados[GM_V]+tblDados[GS_V])&gt;1.5)))/G140,0))</f>
        <v>0.84615384615384615</v>
      </c>
      <c r="M140" s="11" cm="1">
        <f t="array" ref="M140">IF($A140="","",IFERROR((SUMPRODUCT((TRIM(tblDados[Mandante])=$A140)*tblDados[Primeira_Ocorrencia]*((tblDados[GM_M]+tblDados[GS_M])&gt;2.5))+SUMPRODUCT((TRIM(tblDados[Visitante])=$A140)*tblDados[Primeira_Ocorrencia]*((tblDados[GM_V]+tblDados[GS_V])&gt;2.5)))/G140,0))</f>
        <v>0.84615384615384615</v>
      </c>
      <c r="N140" s="11" cm="1">
        <f t="array" ref="N140">IF($A140="","",IFERROR((SUMPRODUCT((TRIM(tblDados[Mandante])=$A140)*tblDados[Primeira_Ocorrencia]*((tblDados[GM_M]+tblDados[GS_M])&gt;3.5))+SUMPRODUCT((TRIM(tblDados[Visitante])=$A140)*tblDados[Primeira_Ocorrencia]*((tblDados[GM_V]+tblDados[GS_V])&gt;3.5)))/G140,0))</f>
        <v>0.61538461538461542</v>
      </c>
      <c r="O140" s="11" cm="1">
        <f t="array" ref="O140">IF($A140="","",IFERROR((SUMPRODUCT((TRIM(tblDados[Mandante])=$A140)*tblDados[Primeira_Ocorrencia]*(tblDados[GM_M]&gt;0)*(tblDados[GS_M]&gt;0))+SUMPRODUCT((TRIM(tblDados[Visitante])=$A140)*tblDados[Primeira_Ocorrencia]*(tblDados[GM_V]&gt;0)*(tblDados[GS_V]&gt;0)))/G140,0))</f>
        <v>0.38461538461538464</v>
      </c>
      <c r="P140" s="10" cm="1">
        <f t="array" ref="P140">IF($A140="","",IFERROR((SUMPRODUCT((TRIM(tblDados[Mandante])=$A140)*tblDados[Primeira_Ocorrencia]*tblDados[GM_M]^2)+SUMPRODUCT((TRIM(tblDados[Visitante])=$A140)*tblDados[Primeira_Ocorrencia]*tblDados[GM_V]^2))/G140-H140^2,0))</f>
        <v>1.7751479289940832</v>
      </c>
      <c r="Q140" s="10">
        <f t="shared" si="35"/>
        <v>1.3323467750529827</v>
      </c>
      <c r="R140" s="8" t="str">
        <f t="shared" si="36"/>
        <v>Poisson</v>
      </c>
      <c r="S140" s="10" cm="1">
        <f t="array" ref="S140">IF($A140="","",SUMPRODUCT((TRIM(tblDados[Mandante])=$A140)*tblDados[Primeira_Ocorrencia]*tblDados[GM_M]))</f>
        <v>11</v>
      </c>
      <c r="T140" s="10" cm="1">
        <f t="array" ref="T140">IF($A140="","",SUMPRODUCT((TRIM(tblDados[Visitante])=$A140)*tblDados[Primeira_Ocorrencia]*tblDados[GM_V]))</f>
        <v>7</v>
      </c>
      <c r="U140" s="10">
        <f t="shared" si="37"/>
        <v>18</v>
      </c>
      <c r="V140" s="10">
        <f t="shared" si="26"/>
        <v>1.3846153846153846</v>
      </c>
      <c r="W140" s="10" cm="1">
        <f t="array" ref="W140">IF($A140="","",SUMPRODUCT((TRIM(tblDados[Mandante])=$A140)*tblDados[Primeira_Ocorrencia]*tblDados[GS_M]))</f>
        <v>11</v>
      </c>
      <c r="X140" s="10" cm="1">
        <f t="array" ref="X140">IF($A140="","",SUMPRODUCT((TRIM(tblDados[Visitante])=$A140)*tblDados[Primeira_Ocorrencia]*tblDados[GS_V]))</f>
        <v>21</v>
      </c>
      <c r="Y140" s="10">
        <f t="shared" si="38"/>
        <v>32</v>
      </c>
      <c r="Z140" s="10">
        <f t="shared" si="27"/>
        <v>2.4615384615384617</v>
      </c>
      <c r="AA140" s="10">
        <f t="shared" si="28"/>
        <v>1.5714285714285714</v>
      </c>
      <c r="AB140" s="10">
        <f t="shared" si="29"/>
        <v>1.5714285714285714</v>
      </c>
      <c r="AC140" s="10">
        <f t="shared" si="30"/>
        <v>1.1666666666666667</v>
      </c>
      <c r="AD140" s="10">
        <f t="shared" si="31"/>
        <v>3.5</v>
      </c>
    </row>
    <row r="141" spans="1:30" x14ac:dyDescent="0.3">
      <c r="A141" s="7" t="str">
        <v>South Melbourne</v>
      </c>
      <c r="B141" s="12" t="str" cm="1">
        <f t="array" ref="B141">IF($A141="","",_xlfn.LET(_xlpm.p,IFERROR(INDEX(tblDados[País],MATCH($A141,TRIM(tblDados[Mandante]),0)),INDEX(tblDados[País],MATCH($A141,TRIM(tblDados[Visitante]),0))),_xlpm.l,IFERROR(INDEX(tblDados[Liga],MATCH($A141,TRIM(tblDados[Mandante]),0)),INDEX(tblDados[Liga],MATCH($A141,TRIM(tblDados[Visitante]),0))),_xlpm.p&amp;" - "&amp;_xlpm.l))</f>
        <v>AUS - NPL Victoria</v>
      </c>
      <c r="C141" s="10">
        <f t="shared" si="32"/>
        <v>2.75</v>
      </c>
      <c r="D141" s="10">
        <f t="shared" si="33"/>
        <v>3.4</v>
      </c>
      <c r="E141" s="9" cm="1">
        <f t="array" ref="E141">IF($A141="","",SUMPRODUCT((TRIM(tblDados[Mandante])=$A141)*tblDados[Primeira_Ocorrencia]))</f>
        <v>8</v>
      </c>
      <c r="F141" s="9" cm="1">
        <f t="array" ref="F141">IF($A141="","",SUMPRODUCT((TRIM(tblDados[Visitante])=$A141)*tblDados[Primeira_Ocorrencia]))</f>
        <v>5</v>
      </c>
      <c r="G141" s="9" cm="1">
        <f t="array" ref="G141">IF($A141="","",SUMPRODUCT((TRIM(tblDados[Mandante])=$A141)*tblDados[Primeira_Ocorrencia])+SUMPRODUCT((TRIM(tblDados[Visitante])=$A141)*tblDados[Primeira_Ocorrencia]))</f>
        <v>13</v>
      </c>
      <c r="H141" s="10">
        <f t="shared" si="34"/>
        <v>1.3076923076923077</v>
      </c>
      <c r="I141" s="10" cm="1">
        <f t="array" ref="I141">IF($A141="","",_xlfn.LET(_xlpm.p,IFERROR(INDEX(tblDados[País],MATCH($A141,TRIM(tblDados[Mandante]),0)),INDEX(tblDados[País],MATCH($A141,TRIM(tblDados[Visitante]),0))),_xlpm.l,IFERROR(INDEX(tblDados[Liga],MATCH($A141,TRIM(tblDados[Mandante]),0)),INDEX(tblDados[Liga],MATCH($A141,TRIM(tblDados[Visitante]),0))),IFERROR(SUMIFS(Ligas!$D$2:$D$39,Ligas!$H$2:$H$39,_xlpm.p,Ligas!$I$2:$I$39,_xlpm.l),0)))</f>
        <v>2.89</v>
      </c>
      <c r="J141" s="11" cm="1">
        <f t="array" ref="J141">IF($A141="","",IFERROR((SUMPRODUCT((TRIM(tblDados[Mandante])=$A141)*tblDados[Primeira_Ocorrencia]*(tblDados[GM_M]=0))+SUMPRODUCT((TRIM(tblDados[Visitante])=$A141)*tblDados[Primeira_Ocorrencia]*(tblDados[GM_V]=0)))/G141,0))</f>
        <v>0.30769230769230771</v>
      </c>
      <c r="K141" s="11" cm="1">
        <f t="array" ref="K141">IF($A141="","",IFERROR((SUMPRODUCT((TRIM(tblDados[Mandante])=$A141)*tblDados[Primeira_Ocorrencia]*((tblDados[GM_M]+tblDados[GS_M])&gt;0.5))+SUMPRODUCT((TRIM(tblDados[Visitante])=$A141)*tblDados[Primeira_Ocorrencia]*((tblDados[GM_V]+tblDados[GS_V])&gt;0.5)))/G141,0))</f>
        <v>0.92307692307692313</v>
      </c>
      <c r="L141" s="11" cm="1">
        <f t="array" ref="L141">IF($A141="","",IFERROR((SUMPRODUCT((TRIM(tblDados[Mandante])=$A141)*tblDados[Primeira_Ocorrencia]*((tblDados[GM_M]+tblDados[GS_M])&gt;1.5))+SUMPRODUCT((TRIM(tblDados[Visitante])=$A141)*tblDados[Primeira_Ocorrencia]*((tblDados[GM_V]+tblDados[GS_V])&gt;1.5)))/G141,0))</f>
        <v>0.84615384615384615</v>
      </c>
      <c r="M141" s="11" cm="1">
        <f t="array" ref="M141">IF($A141="","",IFERROR((SUMPRODUCT((TRIM(tblDados[Mandante])=$A141)*tblDados[Primeira_Ocorrencia]*((tblDados[GM_M]+tblDados[GS_M])&gt;2.5))+SUMPRODUCT((TRIM(tblDados[Visitante])=$A141)*tblDados[Primeira_Ocorrencia]*((tblDados[GM_V]+tblDados[GS_V])&gt;2.5)))/G141,0))</f>
        <v>0.61538461538461542</v>
      </c>
      <c r="N141" s="11" cm="1">
        <f t="array" ref="N141">IF($A141="","",IFERROR((SUMPRODUCT((TRIM(tblDados[Mandante])=$A141)*tblDados[Primeira_Ocorrencia]*((tblDados[GM_M]+tblDados[GS_M])&gt;3.5))+SUMPRODUCT((TRIM(tblDados[Visitante])=$A141)*tblDados[Primeira_Ocorrencia]*((tblDados[GM_V]+tblDados[GS_V])&gt;3.5)))/G141,0))</f>
        <v>0.38461538461538464</v>
      </c>
      <c r="O141" s="11" cm="1">
        <f t="array" ref="O141">IF($A141="","",IFERROR((SUMPRODUCT((TRIM(tblDados[Mandante])=$A141)*tblDados[Primeira_Ocorrencia]*(tblDados[GM_M]&gt;0)*(tblDados[GS_M]&gt;0))+SUMPRODUCT((TRIM(tblDados[Visitante])=$A141)*tblDados[Primeira_Ocorrencia]*(tblDados[GM_V]&gt;0)*(tblDados[GS_V]&gt;0)))/G141,0))</f>
        <v>0.46153846153846156</v>
      </c>
      <c r="P141" s="10" cm="1">
        <f t="array" ref="P141">IF($A141="","",IFERROR((SUMPRODUCT((TRIM(tblDados[Mandante])=$A141)*tblDados[Primeira_Ocorrencia]*tblDados[GM_M]^2)+SUMPRODUCT((TRIM(tblDados[Visitante])=$A141)*tblDados[Primeira_Ocorrencia]*tblDados[GM_V]^2))/G141-H141^2,0))</f>
        <v>1.7514792899408285</v>
      </c>
      <c r="Q141" s="10">
        <f t="shared" si="35"/>
        <v>1.3234346564680965</v>
      </c>
      <c r="R141" s="8" t="str">
        <f t="shared" si="36"/>
        <v>Poisson</v>
      </c>
      <c r="S141" s="10" cm="1">
        <f t="array" ref="S141">IF($A141="","",SUMPRODUCT((TRIM(tblDados[Mandante])=$A141)*tblDados[Primeira_Ocorrencia]*tblDados[GM_M]))</f>
        <v>7</v>
      </c>
      <c r="T141" s="10" cm="1">
        <f t="array" ref="T141">IF($A141="","",SUMPRODUCT((TRIM(tblDados[Visitante])=$A141)*tblDados[Primeira_Ocorrencia]*tblDados[GM_V]))</f>
        <v>10</v>
      </c>
      <c r="U141" s="10">
        <f t="shared" si="37"/>
        <v>17</v>
      </c>
      <c r="V141" s="10">
        <f t="shared" si="26"/>
        <v>1.3076923076923077</v>
      </c>
      <c r="W141" s="10" cm="1">
        <f t="array" ref="W141">IF($A141="","",SUMPRODUCT((TRIM(tblDados[Mandante])=$A141)*tblDados[Primeira_Ocorrencia]*tblDados[GS_M]))</f>
        <v>15</v>
      </c>
      <c r="X141" s="10" cm="1">
        <f t="array" ref="X141">IF($A141="","",SUMPRODUCT((TRIM(tblDados[Visitante])=$A141)*tblDados[Primeira_Ocorrencia]*tblDados[GS_V]))</f>
        <v>7</v>
      </c>
      <c r="Y141" s="10">
        <f t="shared" si="38"/>
        <v>22</v>
      </c>
      <c r="Z141" s="10">
        <f t="shared" si="27"/>
        <v>1.6923076923076923</v>
      </c>
      <c r="AA141" s="10">
        <f t="shared" si="28"/>
        <v>0.875</v>
      </c>
      <c r="AB141" s="10">
        <f t="shared" si="29"/>
        <v>1.875</v>
      </c>
      <c r="AC141" s="10">
        <f t="shared" si="30"/>
        <v>2</v>
      </c>
      <c r="AD141" s="10">
        <f t="shared" si="31"/>
        <v>1.4</v>
      </c>
    </row>
    <row r="142" spans="1:30" x14ac:dyDescent="0.3">
      <c r="A142" s="7" t="str">
        <v>Sport Recife</v>
      </c>
      <c r="B142" s="12" t="str" cm="1">
        <f t="array" ref="B142">IF($A142="","",_xlfn.LET(_xlpm.p,IFERROR(INDEX(tblDados[País],MATCH($A142,TRIM(tblDados[Mandante]),0)),INDEX(tblDados[País],MATCH($A142,TRIM(tblDados[Visitante]),0))),_xlpm.l,IFERROR(INDEX(tblDados[Liga],MATCH($A142,TRIM(tblDados[Mandante]),0)),INDEX(tblDados[Liga],MATCH($A142,TRIM(tblDados[Visitante]),0))),_xlpm.p&amp;" - "&amp;_xlpm.l))</f>
        <v>BRA - Série B</v>
      </c>
      <c r="C142" s="10">
        <f t="shared" si="32"/>
        <v>3</v>
      </c>
      <c r="D142" s="10">
        <f t="shared" si="33"/>
        <v>1.8333333333333335</v>
      </c>
      <c r="E142" s="9" cm="1">
        <f t="array" ref="E142">IF($A142="","",SUMPRODUCT((TRIM(tblDados[Mandante])=$A142)*tblDados[Primeira_Ocorrencia]))</f>
        <v>7</v>
      </c>
      <c r="F142" s="9" cm="1">
        <f t="array" ref="F142">IF($A142="","",SUMPRODUCT((TRIM(tblDados[Visitante])=$A142)*tblDados[Primeira_Ocorrencia]))</f>
        <v>6</v>
      </c>
      <c r="G142" s="9" cm="1">
        <f t="array" ref="G142">IF($A142="","",SUMPRODUCT((TRIM(tblDados[Mandante])=$A142)*tblDados[Primeira_Ocorrencia])+SUMPRODUCT((TRIM(tblDados[Visitante])=$A142)*tblDados[Primeira_Ocorrencia]))</f>
        <v>13</v>
      </c>
      <c r="H142" s="10">
        <f t="shared" si="34"/>
        <v>1.3076923076923077</v>
      </c>
      <c r="I142" s="10" cm="1">
        <f t="array" ref="I142">IF($A142="","",_xlfn.LET(_xlpm.p,IFERROR(INDEX(tblDados[País],MATCH($A142,TRIM(tblDados[Mandante]),0)),INDEX(tblDados[País],MATCH($A142,TRIM(tblDados[Visitante]),0))),_xlpm.l,IFERROR(INDEX(tblDados[Liga],MATCH($A142,TRIM(tblDados[Mandante]),0)),INDEX(tblDados[Liga],MATCH($A142,TRIM(tblDados[Visitante]),0))),IFERROR(SUMIFS(Ligas!$D$2:$D$39,Ligas!$H$2:$H$39,_xlpm.p,Ligas!$I$2:$I$39,_xlpm.l),0)))</f>
        <v>2.31</v>
      </c>
      <c r="J142" s="11" cm="1">
        <f t="array" ref="J142">IF($A142="","",IFERROR((SUMPRODUCT((TRIM(tblDados[Mandante])=$A142)*tblDados[Primeira_Ocorrencia]*(tblDados[GM_M]=0))+SUMPRODUCT((TRIM(tblDados[Visitante])=$A142)*tblDados[Primeira_Ocorrencia]*(tblDados[GM_V]=0)))/G142,0))</f>
        <v>0.15384615384615385</v>
      </c>
      <c r="K142" s="11" cm="1">
        <f t="array" ref="K142">IF($A142="","",IFERROR((SUMPRODUCT((TRIM(tblDados[Mandante])=$A142)*tblDados[Primeira_Ocorrencia]*((tblDados[GM_M]+tblDados[GS_M])&gt;0.5))+SUMPRODUCT((TRIM(tblDados[Visitante])=$A142)*tblDados[Primeira_Ocorrencia]*((tblDados[GM_V]+tblDados[GS_V])&gt;0.5)))/G142,0))</f>
        <v>0.92307692307692313</v>
      </c>
      <c r="L142" s="11" cm="1">
        <f t="array" ref="L142">IF($A142="","",IFERROR((SUMPRODUCT((TRIM(tblDados[Mandante])=$A142)*tblDados[Primeira_Ocorrencia]*((tblDados[GM_M]+tblDados[GS_M])&gt;1.5))+SUMPRODUCT((TRIM(tblDados[Visitante])=$A142)*tblDados[Primeira_Ocorrencia]*((tblDados[GM_V]+tblDados[GS_V])&gt;1.5)))/G142,0))</f>
        <v>0.76923076923076927</v>
      </c>
      <c r="M142" s="11" cm="1">
        <f t="array" ref="M142">IF($A142="","",IFERROR((SUMPRODUCT((TRIM(tblDados[Mandante])=$A142)*tblDados[Primeira_Ocorrencia]*((tblDados[GM_M]+tblDados[GS_M])&gt;2.5))+SUMPRODUCT((TRIM(tblDados[Visitante])=$A142)*tblDados[Primeira_Ocorrencia]*((tblDados[GM_V]+tblDados[GS_V])&gt;2.5)))/G142,0))</f>
        <v>0.38461538461538464</v>
      </c>
      <c r="N142" s="11" cm="1">
        <f t="array" ref="N142">IF($A142="","",IFERROR((SUMPRODUCT((TRIM(tblDados[Mandante])=$A142)*tblDados[Primeira_Ocorrencia]*((tblDados[GM_M]+tblDados[GS_M])&gt;3.5))+SUMPRODUCT((TRIM(tblDados[Visitante])=$A142)*tblDados[Primeira_Ocorrencia]*((tblDados[GM_V]+tblDados[GS_V])&gt;3.5)))/G142,0))</f>
        <v>0.23076923076923078</v>
      </c>
      <c r="O142" s="11" cm="1">
        <f t="array" ref="O142">IF($A142="","",IFERROR((SUMPRODUCT((TRIM(tblDados[Mandante])=$A142)*tblDados[Primeira_Ocorrencia]*(tblDados[GM_M]&gt;0)*(tblDados[GS_M]&gt;0))+SUMPRODUCT((TRIM(tblDados[Visitante])=$A142)*tblDados[Primeira_Ocorrencia]*(tblDados[GM_V]&gt;0)*(tblDados[GS_V]&gt;0)))/G142,0))</f>
        <v>0.69230769230769229</v>
      </c>
      <c r="P142" s="10" cm="1">
        <f t="array" ref="P142">IF($A142="","",IFERROR((SUMPRODUCT((TRIM(tblDados[Mandante])=$A142)*tblDados[Primeira_Ocorrencia]*tblDados[GM_M]^2)+SUMPRODUCT((TRIM(tblDados[Visitante])=$A142)*tblDados[Primeira_Ocorrencia]*tblDados[GM_V]^2))/G142-H142^2,0))</f>
        <v>0.82840236686390512</v>
      </c>
      <c r="Q142" s="10">
        <f t="shared" si="35"/>
        <v>0.91016612047686385</v>
      </c>
      <c r="R142" s="8" t="str">
        <f t="shared" si="36"/>
        <v>Poisson</v>
      </c>
      <c r="S142" s="10" cm="1">
        <f t="array" ref="S142">IF($A142="","",SUMPRODUCT((TRIM(tblDados[Mandante])=$A142)*tblDados[Primeira_Ocorrencia]*tblDados[GM_M]))</f>
        <v>11</v>
      </c>
      <c r="T142" s="10" cm="1">
        <f t="array" ref="T142">IF($A142="","",SUMPRODUCT((TRIM(tblDados[Visitante])=$A142)*tblDados[Primeira_Ocorrencia]*tblDados[GM_V]))</f>
        <v>6</v>
      </c>
      <c r="U142" s="10">
        <f t="shared" si="37"/>
        <v>17</v>
      </c>
      <c r="V142" s="10">
        <f t="shared" si="26"/>
        <v>1.3076923076923077</v>
      </c>
      <c r="W142" s="10" cm="1">
        <f t="array" ref="W142">IF($A142="","",SUMPRODUCT((TRIM(tblDados[Mandante])=$A142)*tblDados[Primeira_Ocorrencia]*tblDados[GS_M]))</f>
        <v>10</v>
      </c>
      <c r="X142" s="10" cm="1">
        <f t="array" ref="X142">IF($A142="","",SUMPRODUCT((TRIM(tblDados[Visitante])=$A142)*tblDados[Primeira_Ocorrencia]*tblDados[GS_V]))</f>
        <v>5</v>
      </c>
      <c r="Y142" s="10">
        <f t="shared" si="38"/>
        <v>15</v>
      </c>
      <c r="Z142" s="10">
        <f t="shared" si="27"/>
        <v>1.1538461538461537</v>
      </c>
      <c r="AA142" s="10">
        <f t="shared" si="28"/>
        <v>1.5714285714285714</v>
      </c>
      <c r="AB142" s="10">
        <f t="shared" si="29"/>
        <v>1.4285714285714286</v>
      </c>
      <c r="AC142" s="10">
        <f t="shared" si="30"/>
        <v>1</v>
      </c>
      <c r="AD142" s="10">
        <f t="shared" si="31"/>
        <v>0.83333333333333337</v>
      </c>
    </row>
    <row r="143" spans="1:30" x14ac:dyDescent="0.3">
      <c r="A143" s="7" t="str">
        <v>Sporting Kansas City</v>
      </c>
      <c r="B143" s="12" t="str" cm="1">
        <f t="array" ref="B143">IF($A143="","",_xlfn.LET(_xlpm.p,IFERROR(INDEX(tblDados[País],MATCH($A143,TRIM(tblDados[Mandante]),0)),INDEX(tblDados[País],MATCH($A143,TRIM(tblDados[Visitante]),0))),_xlpm.l,IFERROR(INDEX(tblDados[Liga],MATCH($A143,TRIM(tblDados[Mandante]),0)),INDEX(tblDados[Liga],MATCH($A143,TRIM(tblDados[Visitante]),0))),_xlpm.p&amp;" - "&amp;_xlpm.l))</f>
        <v>USA - MLS-West</v>
      </c>
      <c r="C143" s="10">
        <f t="shared" si="32"/>
        <v>3</v>
      </c>
      <c r="D143" s="10">
        <f t="shared" si="33"/>
        <v>4.2857142857142856</v>
      </c>
      <c r="E143" s="9" cm="1">
        <f t="array" ref="E143">IF($A143="","",SUMPRODUCT((TRIM(tblDados[Mandante])=$A143)*tblDados[Primeira_Ocorrencia]))</f>
        <v>6</v>
      </c>
      <c r="F143" s="9" cm="1">
        <f t="array" ref="F143">IF($A143="","",SUMPRODUCT((TRIM(tblDados[Visitante])=$A143)*tblDados[Primeira_Ocorrencia]))</f>
        <v>7</v>
      </c>
      <c r="G143" s="9" cm="1">
        <f t="array" ref="G143">IF($A143="","",SUMPRODUCT((TRIM(tblDados[Mandante])=$A143)*tblDados[Primeira_Ocorrencia])+SUMPRODUCT((TRIM(tblDados[Visitante])=$A143)*tblDados[Primeira_Ocorrencia]))</f>
        <v>13</v>
      </c>
      <c r="H143" s="10">
        <f t="shared" si="34"/>
        <v>1</v>
      </c>
      <c r="I143" s="10" cm="1">
        <f t="array" ref="I143">IF($A143="","",_xlfn.LET(_xlpm.p,IFERROR(INDEX(tblDados[País],MATCH($A143,TRIM(tblDados[Mandante]),0)),INDEX(tblDados[País],MATCH($A143,TRIM(tblDados[Visitante]),0))),_xlpm.l,IFERROR(INDEX(tblDados[Liga],MATCH($A143,TRIM(tblDados[Mandante]),0)),INDEX(tblDados[Liga],MATCH($A143,TRIM(tblDados[Visitante]),0))),IFERROR(SUMIFS(Ligas!$D$2:$D$39,Ligas!$H$2:$H$39,_xlpm.p,Ligas!$I$2:$I$39,_xlpm.l),0)))</f>
        <v>3.3</v>
      </c>
      <c r="J143" s="11" cm="1">
        <f t="array" ref="J143">IF($A143="","",IFERROR((SUMPRODUCT((TRIM(tblDados[Mandante])=$A143)*tblDados[Primeira_Ocorrencia]*(tblDados[GM_M]=0))+SUMPRODUCT((TRIM(tblDados[Visitante])=$A143)*tblDados[Primeira_Ocorrencia]*(tblDados[GM_V]=0)))/G143,0))</f>
        <v>0.38461538461538464</v>
      </c>
      <c r="K143" s="11" cm="1">
        <f t="array" ref="K143">IF($A143="","",IFERROR((SUMPRODUCT((TRIM(tblDados[Mandante])=$A143)*tblDados[Primeira_Ocorrencia]*((tblDados[GM_M]+tblDados[GS_M])&gt;0.5))+SUMPRODUCT((TRIM(tblDados[Visitante])=$A143)*tblDados[Primeira_Ocorrencia]*((tblDados[GM_V]+tblDados[GS_V])&gt;0.5)))/G143,0))</f>
        <v>1</v>
      </c>
      <c r="L143" s="11" cm="1">
        <f t="array" ref="L143">IF($A143="","",IFERROR((SUMPRODUCT((TRIM(tblDados[Mandante])=$A143)*tblDados[Primeira_Ocorrencia]*((tblDados[GM_M]+tblDados[GS_M])&gt;1.5))+SUMPRODUCT((TRIM(tblDados[Visitante])=$A143)*tblDados[Primeira_Ocorrencia]*((tblDados[GM_V]+tblDados[GS_V])&gt;1.5)))/G143,0))</f>
        <v>1</v>
      </c>
      <c r="M143" s="11" cm="1">
        <f t="array" ref="M143">IF($A143="","",IFERROR((SUMPRODUCT((TRIM(tblDados[Mandante])=$A143)*tblDados[Primeira_Ocorrencia]*((tblDados[GM_M]+tblDados[GS_M])&gt;2.5))+SUMPRODUCT((TRIM(tblDados[Visitante])=$A143)*tblDados[Primeira_Ocorrencia]*((tblDados[GM_V]+tblDados[GS_V])&gt;2.5)))/G143,0))</f>
        <v>0.84615384615384615</v>
      </c>
      <c r="N143" s="11" cm="1">
        <f t="array" ref="N143">IF($A143="","",IFERROR((SUMPRODUCT((TRIM(tblDados[Mandante])=$A143)*tblDados[Primeira_Ocorrencia]*((tblDados[GM_M]+tblDados[GS_M])&gt;3.5))+SUMPRODUCT((TRIM(tblDados[Visitante])=$A143)*tblDados[Primeira_Ocorrencia]*((tblDados[GM_V]+tblDados[GS_V])&gt;3.5)))/G143,0))</f>
        <v>0.53846153846153844</v>
      </c>
      <c r="O143" s="11" cm="1">
        <f t="array" ref="O143">IF($A143="","",IFERROR((SUMPRODUCT((TRIM(tblDados[Mandante])=$A143)*tblDados[Primeira_Ocorrencia]*(tblDados[GM_M]&gt;0)*(tblDados[GS_M]&gt;0))+SUMPRODUCT((TRIM(tblDados[Visitante])=$A143)*tblDados[Primeira_Ocorrencia]*(tblDados[GM_V]&gt;0)*(tblDados[GS_V]&gt;0)))/G143,0))</f>
        <v>0.61538461538461542</v>
      </c>
      <c r="P143" s="10" cm="1">
        <f t="array" ref="P143">IF($A143="","",IFERROR((SUMPRODUCT((TRIM(tblDados[Mandante])=$A143)*tblDados[Primeira_Ocorrencia]*tblDados[GM_M]^2)+SUMPRODUCT((TRIM(tblDados[Visitante])=$A143)*tblDados[Primeira_Ocorrencia]*tblDados[GM_V]^2))/G143-H143^2,0))</f>
        <v>0.92307692307692313</v>
      </c>
      <c r="Q143" s="10">
        <f t="shared" si="35"/>
        <v>0.96076892283052284</v>
      </c>
      <c r="R143" s="8" t="str">
        <f t="shared" si="36"/>
        <v>Poisson</v>
      </c>
      <c r="S143" s="10" cm="1">
        <f t="array" ref="S143">IF($A143="","",SUMPRODUCT((TRIM(tblDados[Mandante])=$A143)*tblDados[Primeira_Ocorrencia]*tblDados[GM_M]))</f>
        <v>8</v>
      </c>
      <c r="T143" s="10" cm="1">
        <f t="array" ref="T143">IF($A143="","",SUMPRODUCT((TRIM(tblDados[Visitante])=$A143)*tblDados[Primeira_Ocorrencia]*tblDados[GM_V]))</f>
        <v>5</v>
      </c>
      <c r="U143" s="10">
        <f t="shared" si="37"/>
        <v>13</v>
      </c>
      <c r="V143" s="10">
        <f t="shared" si="26"/>
        <v>1</v>
      </c>
      <c r="W143" s="10" cm="1">
        <f t="array" ref="W143">IF($A143="","",SUMPRODUCT((TRIM(tblDados[Mandante])=$A143)*tblDados[Primeira_Ocorrencia]*tblDados[GS_M]))</f>
        <v>10</v>
      </c>
      <c r="X143" s="10" cm="1">
        <f t="array" ref="X143">IF($A143="","",SUMPRODUCT((TRIM(tblDados[Visitante])=$A143)*tblDados[Primeira_Ocorrencia]*tblDados[GS_V]))</f>
        <v>25</v>
      </c>
      <c r="Y143" s="10">
        <f t="shared" si="38"/>
        <v>35</v>
      </c>
      <c r="Z143" s="10">
        <f t="shared" si="27"/>
        <v>2.6923076923076925</v>
      </c>
      <c r="AA143" s="10">
        <f t="shared" si="28"/>
        <v>1.3333333333333333</v>
      </c>
      <c r="AB143" s="10">
        <f t="shared" si="29"/>
        <v>1.6666666666666667</v>
      </c>
      <c r="AC143" s="10">
        <f t="shared" si="30"/>
        <v>0.7142857142857143</v>
      </c>
      <c r="AD143" s="10">
        <f t="shared" si="31"/>
        <v>3.5714285714285716</v>
      </c>
    </row>
    <row r="144" spans="1:30" x14ac:dyDescent="0.3">
      <c r="A144" s="7" t="str">
        <v>St George Saints</v>
      </c>
      <c r="B144" s="12" t="str" cm="1">
        <f t="array" ref="B144">IF($A144="","",_xlfn.LET(_xlpm.p,IFERROR(INDEX(tblDados[País],MATCH($A144,TRIM(tblDados[Mandante]),0)),INDEX(tblDados[País],MATCH($A144,TRIM(tblDados[Visitante]),0))),_xlpm.l,IFERROR(INDEX(tblDados[Liga],MATCH($A144,TRIM(tblDados[Mandante]),0)),INDEX(tblDados[Liga],MATCH($A144,TRIM(tblDados[Visitante]),0))),_xlpm.p&amp;" - "&amp;_xlpm.l))</f>
        <v>AUS - NPL New South Wales</v>
      </c>
      <c r="C144" s="10">
        <f t="shared" si="32"/>
        <v>2.875</v>
      </c>
      <c r="D144" s="10">
        <f t="shared" si="33"/>
        <v>3</v>
      </c>
      <c r="E144" s="9" cm="1">
        <f t="array" ref="E144">IF($A144="","",SUMPRODUCT((TRIM(tblDados[Mandante])=$A144)*tblDados[Primeira_Ocorrencia]))</f>
        <v>8</v>
      </c>
      <c r="F144" s="9" cm="1">
        <f t="array" ref="F144">IF($A144="","",SUMPRODUCT((TRIM(tblDados[Visitante])=$A144)*tblDados[Primeira_Ocorrencia]))</f>
        <v>5</v>
      </c>
      <c r="G144" s="9" cm="1">
        <f t="array" ref="G144">IF($A144="","",SUMPRODUCT((TRIM(tblDados[Mandante])=$A144)*tblDados[Primeira_Ocorrencia])+SUMPRODUCT((TRIM(tblDados[Visitante])=$A144)*tblDados[Primeira_Ocorrencia]))</f>
        <v>13</v>
      </c>
      <c r="H144" s="10">
        <f t="shared" si="34"/>
        <v>0.84615384615384615</v>
      </c>
      <c r="I144" s="10" cm="1">
        <f t="array" ref="I144">IF($A144="","",_xlfn.LET(_xlpm.p,IFERROR(INDEX(tblDados[País],MATCH($A144,TRIM(tblDados[Mandante]),0)),INDEX(tblDados[País],MATCH($A144,TRIM(tblDados[Visitante]),0))),_xlpm.l,IFERROR(INDEX(tblDados[Liga],MATCH($A144,TRIM(tblDados[Mandante]),0)),INDEX(tblDados[Liga],MATCH($A144,TRIM(tblDados[Visitante]),0))),IFERROR(SUMIFS(Ligas!$D$2:$D$39,Ligas!$H$2:$H$39,_xlpm.p,Ligas!$I$2:$I$39,_xlpm.l),0)))</f>
        <v>3.61</v>
      </c>
      <c r="J144" s="11" cm="1">
        <f t="array" ref="J144">IF($A144="","",IFERROR((SUMPRODUCT((TRIM(tblDados[Mandante])=$A144)*tblDados[Primeira_Ocorrencia]*(tblDados[GM_M]=0))+SUMPRODUCT((TRIM(tblDados[Visitante])=$A144)*tblDados[Primeira_Ocorrencia]*(tblDados[GM_V]=0)))/G144,0))</f>
        <v>0.46153846153846156</v>
      </c>
      <c r="K144" s="11" cm="1">
        <f t="array" ref="K144">IF($A144="","",IFERROR((SUMPRODUCT((TRIM(tblDados[Mandante])=$A144)*tblDados[Primeira_Ocorrencia]*((tblDados[GM_M]+tblDados[GS_M])&gt;0.5))+SUMPRODUCT((TRIM(tblDados[Visitante])=$A144)*tblDados[Primeira_Ocorrencia]*((tblDados[GM_V]+tblDados[GS_V])&gt;0.5)))/G144,0))</f>
        <v>0.84615384615384615</v>
      </c>
      <c r="L144" s="11" cm="1">
        <f t="array" ref="L144">IF($A144="","",IFERROR((SUMPRODUCT((TRIM(tblDados[Mandante])=$A144)*tblDados[Primeira_Ocorrencia]*((tblDados[GM_M]+tblDados[GS_M])&gt;1.5))+SUMPRODUCT((TRIM(tblDados[Visitante])=$A144)*tblDados[Primeira_Ocorrencia]*((tblDados[GM_V]+tblDados[GS_V])&gt;1.5)))/G144,0))</f>
        <v>0.76923076923076927</v>
      </c>
      <c r="M144" s="11" cm="1">
        <f t="array" ref="M144">IF($A144="","",IFERROR((SUMPRODUCT((TRIM(tblDados[Mandante])=$A144)*tblDados[Primeira_Ocorrencia]*((tblDados[GM_M]+tblDados[GS_M])&gt;2.5))+SUMPRODUCT((TRIM(tblDados[Visitante])=$A144)*tblDados[Primeira_Ocorrencia]*((tblDados[GM_V]+tblDados[GS_V])&gt;2.5)))/G144,0))</f>
        <v>0.53846153846153844</v>
      </c>
      <c r="N144" s="11" cm="1">
        <f t="array" ref="N144">IF($A144="","",IFERROR((SUMPRODUCT((TRIM(tblDados[Mandante])=$A144)*tblDados[Primeira_Ocorrencia]*((tblDados[GM_M]+tblDados[GS_M])&gt;3.5))+SUMPRODUCT((TRIM(tblDados[Visitante])=$A144)*tblDados[Primeira_Ocorrencia]*((tblDados[GM_V]+tblDados[GS_V])&gt;3.5)))/G144,0))</f>
        <v>0.38461538461538464</v>
      </c>
      <c r="O144" s="11" cm="1">
        <f t="array" ref="O144">IF($A144="","",IFERROR((SUMPRODUCT((TRIM(tblDados[Mandante])=$A144)*tblDados[Primeira_Ocorrencia]*(tblDados[GM_M]&gt;0)*(tblDados[GS_M]&gt;0))+SUMPRODUCT((TRIM(tblDados[Visitante])=$A144)*tblDados[Primeira_Ocorrencia]*(tblDados[GM_V]&gt;0)*(tblDados[GS_V]&gt;0)))/G144,0))</f>
        <v>0.53846153846153844</v>
      </c>
      <c r="P144" s="10" cm="1">
        <f t="array" ref="P144">IF($A144="","",IFERROR((SUMPRODUCT((TRIM(tblDados[Mandante])=$A144)*tblDados[Primeira_Ocorrencia]*tblDados[GM_M]^2)+SUMPRODUCT((TRIM(tblDados[Visitante])=$A144)*tblDados[Primeira_Ocorrencia]*tblDados[GM_V]^2))/G144-H144^2,0))</f>
        <v>1.2071005917159763</v>
      </c>
      <c r="Q144" s="10">
        <f t="shared" si="35"/>
        <v>1.0986812966988999</v>
      </c>
      <c r="R144" s="8" t="str">
        <f t="shared" si="36"/>
        <v>Poisson</v>
      </c>
      <c r="S144" s="10" cm="1">
        <f t="array" ref="S144">IF($A144="","",SUMPRODUCT((TRIM(tblDados[Mandante])=$A144)*tblDados[Primeira_Ocorrencia]*tblDados[GM_M]))</f>
        <v>6</v>
      </c>
      <c r="T144" s="10" cm="1">
        <f t="array" ref="T144">IF($A144="","",SUMPRODUCT((TRIM(tblDados[Visitante])=$A144)*tblDados[Primeira_Ocorrencia]*tblDados[GM_V]))</f>
        <v>5</v>
      </c>
      <c r="U144" s="10">
        <f t="shared" si="37"/>
        <v>11</v>
      </c>
      <c r="V144" s="10">
        <f t="shared" si="26"/>
        <v>0.84615384615384615</v>
      </c>
      <c r="W144" s="10" cm="1">
        <f t="array" ref="W144">IF($A144="","",SUMPRODUCT((TRIM(tblDados[Mandante])=$A144)*tblDados[Primeira_Ocorrencia]*tblDados[GS_M]))</f>
        <v>17</v>
      </c>
      <c r="X144" s="10" cm="1">
        <f t="array" ref="X144">IF($A144="","",SUMPRODUCT((TRIM(tblDados[Visitante])=$A144)*tblDados[Primeira_Ocorrencia]*tblDados[GS_V]))</f>
        <v>10</v>
      </c>
      <c r="Y144" s="10">
        <f t="shared" si="38"/>
        <v>27</v>
      </c>
      <c r="Z144" s="10">
        <f t="shared" si="27"/>
        <v>2.0769230769230771</v>
      </c>
      <c r="AA144" s="10">
        <f t="shared" si="28"/>
        <v>0.75</v>
      </c>
      <c r="AB144" s="10">
        <f t="shared" si="29"/>
        <v>2.125</v>
      </c>
      <c r="AC144" s="10">
        <f t="shared" si="30"/>
        <v>1</v>
      </c>
      <c r="AD144" s="10">
        <f t="shared" si="31"/>
        <v>2</v>
      </c>
    </row>
    <row r="145" spans="1:30" x14ac:dyDescent="0.3">
      <c r="A145" s="7" t="str">
        <v>Stjarnan</v>
      </c>
      <c r="B145" s="12" t="str" cm="1">
        <f t="array" ref="B145">IF($A145="","",_xlfn.LET(_xlpm.p,IFERROR(INDEX(tblDados[País],MATCH($A145,TRIM(tblDados[Mandante]),0)),INDEX(tblDados[País],MATCH($A145,TRIM(tblDados[Visitante]),0))),_xlpm.l,IFERROR(INDEX(tblDados[Liga],MATCH($A145,TRIM(tblDados[Mandante]),0)),INDEX(tblDados[Liga],MATCH($A145,TRIM(tblDados[Visitante]),0))),_xlpm.p&amp;" - "&amp;_xlpm.l))</f>
        <v>ISL - Besta-deild karla (PL)</v>
      </c>
      <c r="C145" s="10">
        <f t="shared" si="32"/>
        <v>3.833333333333333</v>
      </c>
      <c r="D145" s="10">
        <f t="shared" si="33"/>
        <v>4.1428571428571432</v>
      </c>
      <c r="E145" s="9" cm="1">
        <f t="array" ref="E145">IF($A145="","",SUMPRODUCT((TRIM(tblDados[Mandante])=$A145)*tblDados[Primeira_Ocorrencia]))</f>
        <v>6</v>
      </c>
      <c r="F145" s="9" cm="1">
        <f t="array" ref="F145">IF($A145="","",SUMPRODUCT((TRIM(tblDados[Visitante])=$A145)*tblDados[Primeira_Ocorrencia]))</f>
        <v>7</v>
      </c>
      <c r="G145" s="9" cm="1">
        <f t="array" ref="G145">IF($A145="","",SUMPRODUCT((TRIM(tblDados[Mandante])=$A145)*tblDados[Primeira_Ocorrencia])+SUMPRODUCT((TRIM(tblDados[Visitante])=$A145)*tblDados[Primeira_Ocorrencia]))</f>
        <v>13</v>
      </c>
      <c r="H145" s="10">
        <f t="shared" si="34"/>
        <v>1.6923076923076923</v>
      </c>
      <c r="I145" s="10" cm="1">
        <f t="array" ref="I145">IF($A145="","",_xlfn.LET(_xlpm.p,IFERROR(INDEX(tblDados[País],MATCH($A145,TRIM(tblDados[Mandante]),0)),INDEX(tblDados[País],MATCH($A145,TRIM(tblDados[Visitante]),0))),_xlpm.l,IFERROR(INDEX(tblDados[Liga],MATCH($A145,TRIM(tblDados[Mandante]),0)),INDEX(tblDados[Liga],MATCH($A145,TRIM(tblDados[Visitante]),0))),IFERROR(SUMIFS(Ligas!$D$2:$D$39,Ligas!$H$2:$H$39,_xlpm.p,Ligas!$I$2:$I$39,_xlpm.l),0)))</f>
        <v>2.5</v>
      </c>
      <c r="J145" s="11" cm="1">
        <f t="array" ref="J145">IF($A145="","",IFERROR((SUMPRODUCT((TRIM(tblDados[Mandante])=$A145)*tblDados[Primeira_Ocorrencia]*(tblDados[GM_M]=0))+SUMPRODUCT((TRIM(tblDados[Visitante])=$A145)*tblDados[Primeira_Ocorrencia]*(tblDados[GM_V]=0)))/G145,0))</f>
        <v>0.15384615384615385</v>
      </c>
      <c r="K145" s="11" cm="1">
        <f t="array" ref="K145">IF($A145="","",IFERROR((SUMPRODUCT((TRIM(tblDados[Mandante])=$A145)*tblDados[Primeira_Ocorrencia]*((tblDados[GM_M]+tblDados[GS_M])&gt;0.5))+SUMPRODUCT((TRIM(tblDados[Visitante])=$A145)*tblDados[Primeira_Ocorrencia]*((tblDados[GM_V]+tblDados[GS_V])&gt;0.5)))/G145,0))</f>
        <v>1</v>
      </c>
      <c r="L145" s="11" cm="1">
        <f t="array" ref="L145">IF($A145="","",IFERROR((SUMPRODUCT((TRIM(tblDados[Mandante])=$A145)*tblDados[Primeira_Ocorrencia]*((tblDados[GM_M]+tblDados[GS_M])&gt;1.5))+SUMPRODUCT((TRIM(tblDados[Visitante])=$A145)*tblDados[Primeira_Ocorrencia]*((tblDados[GM_V]+tblDados[GS_V])&gt;1.5)))/G145,0))</f>
        <v>0.84615384615384615</v>
      </c>
      <c r="M145" s="11" cm="1">
        <f t="array" ref="M145">IF($A145="","",IFERROR((SUMPRODUCT((TRIM(tblDados[Mandante])=$A145)*tblDados[Primeira_Ocorrencia]*((tblDados[GM_M]+tblDados[GS_M])&gt;2.5))+SUMPRODUCT((TRIM(tblDados[Visitante])=$A145)*tblDados[Primeira_Ocorrencia]*((tblDados[GM_V]+tblDados[GS_V])&gt;2.5)))/G145,0))</f>
        <v>0.76923076923076927</v>
      </c>
      <c r="N145" s="11" cm="1">
        <f t="array" ref="N145">IF($A145="","",IFERROR((SUMPRODUCT((TRIM(tblDados[Mandante])=$A145)*tblDados[Primeira_Ocorrencia]*((tblDados[GM_M]+tblDados[GS_M])&gt;3.5))+SUMPRODUCT((TRIM(tblDados[Visitante])=$A145)*tblDados[Primeira_Ocorrencia]*((tblDados[GM_V]+tblDados[GS_V])&gt;3.5)))/G145,0))</f>
        <v>0.69230769230769229</v>
      </c>
      <c r="O145" s="11" cm="1">
        <f t="array" ref="O145">IF($A145="","",IFERROR((SUMPRODUCT((TRIM(tblDados[Mandante])=$A145)*tblDados[Primeira_Ocorrencia]*(tblDados[GM_M]&gt;0)*(tblDados[GS_M]&gt;0))+SUMPRODUCT((TRIM(tblDados[Visitante])=$A145)*tblDados[Primeira_Ocorrencia]*(tblDados[GM_V]&gt;0)*(tblDados[GS_V]&gt;0)))/G145,0))</f>
        <v>0.76923076923076927</v>
      </c>
      <c r="P145" s="10" cm="1">
        <f t="array" ref="P145">IF($A145="","",IFERROR((SUMPRODUCT((TRIM(tblDados[Mandante])=$A145)*tblDados[Primeira_Ocorrencia]*tblDados[GM_M]^2)+SUMPRODUCT((TRIM(tblDados[Visitante])=$A145)*tblDados[Primeira_Ocorrencia]*tblDados[GM_V]^2))/G145-H145^2,0))</f>
        <v>1.4437869822485205</v>
      </c>
      <c r="Q145" s="10">
        <f t="shared" si="35"/>
        <v>1.2015768732164083</v>
      </c>
      <c r="R145" s="8" t="str">
        <f t="shared" si="36"/>
        <v>Poisson</v>
      </c>
      <c r="S145" s="10" cm="1">
        <f t="array" ref="S145">IF($A145="","",SUMPRODUCT((TRIM(tblDados[Mandante])=$A145)*tblDados[Primeira_Ocorrencia]*tblDados[GM_M]))</f>
        <v>11</v>
      </c>
      <c r="T145" s="10" cm="1">
        <f t="array" ref="T145">IF($A145="","",SUMPRODUCT((TRIM(tblDados[Visitante])=$A145)*tblDados[Primeira_Ocorrencia]*tblDados[GM_V]))</f>
        <v>11</v>
      </c>
      <c r="U145" s="10">
        <f t="shared" si="37"/>
        <v>22</v>
      </c>
      <c r="V145" s="10">
        <f t="shared" si="26"/>
        <v>1.6923076923076923</v>
      </c>
      <c r="W145" s="10" cm="1">
        <f t="array" ref="W145">IF($A145="","",SUMPRODUCT((TRIM(tblDados[Mandante])=$A145)*tblDados[Primeira_Ocorrencia]*tblDados[GS_M]))</f>
        <v>12</v>
      </c>
      <c r="X145" s="10" cm="1">
        <f t="array" ref="X145">IF($A145="","",SUMPRODUCT((TRIM(tblDados[Visitante])=$A145)*tblDados[Primeira_Ocorrencia]*tblDados[GS_V]))</f>
        <v>18</v>
      </c>
      <c r="Y145" s="10">
        <f t="shared" si="38"/>
        <v>30</v>
      </c>
      <c r="Z145" s="10">
        <f t="shared" si="27"/>
        <v>2.3076923076923075</v>
      </c>
      <c r="AA145" s="10">
        <f t="shared" si="28"/>
        <v>1.8333333333333333</v>
      </c>
      <c r="AB145" s="10">
        <f t="shared" si="29"/>
        <v>2</v>
      </c>
      <c r="AC145" s="10">
        <f t="shared" si="30"/>
        <v>1.5714285714285714</v>
      </c>
      <c r="AD145" s="10">
        <f t="shared" si="31"/>
        <v>2.5714285714285716</v>
      </c>
    </row>
    <row r="146" spans="1:30" x14ac:dyDescent="0.3">
      <c r="A146" s="7" t="str">
        <v>The Strongest</v>
      </c>
      <c r="B146" s="12" t="str" cm="1">
        <f t="array" ref="B146">IF($A146="","",_xlfn.LET(_xlpm.p,IFERROR(INDEX(tblDados[País],MATCH($A146,TRIM(tblDados[Mandante]),0)),INDEX(tblDados[País],MATCH($A146,TRIM(tblDados[Visitante]),0))),_xlpm.l,IFERROR(INDEX(tblDados[Liga],MATCH($A146,TRIM(tblDados[Mandante]),0)),INDEX(tblDados[Liga],MATCH($A146,TRIM(tblDados[Visitante]),0))),_xlpm.p&amp;" - "&amp;_xlpm.l))</f>
        <v>BOL - Div. Profesional</v>
      </c>
      <c r="C146" s="10">
        <f t="shared" si="32"/>
        <v>2.666666666666667</v>
      </c>
      <c r="D146" s="10">
        <f t="shared" si="33"/>
        <v>2.2857142857142856</v>
      </c>
      <c r="E146" s="9" cm="1">
        <f t="array" ref="E146">IF($A146="","",SUMPRODUCT((TRIM(tblDados[Mandante])=$A146)*tblDados[Primeira_Ocorrencia]))</f>
        <v>6</v>
      </c>
      <c r="F146" s="9" cm="1">
        <f t="array" ref="F146">IF($A146="","",SUMPRODUCT((TRIM(tblDados[Visitante])=$A146)*tblDados[Primeira_Ocorrencia]))</f>
        <v>7</v>
      </c>
      <c r="G146" s="9" cm="1">
        <f t="array" ref="G146">IF($A146="","",SUMPRODUCT((TRIM(tblDados[Mandante])=$A146)*tblDados[Primeira_Ocorrencia])+SUMPRODUCT((TRIM(tblDados[Visitante])=$A146)*tblDados[Primeira_Ocorrencia]))</f>
        <v>13</v>
      </c>
      <c r="H146" s="10">
        <f t="shared" si="34"/>
        <v>1.5384615384615385</v>
      </c>
      <c r="I146" s="10" cm="1">
        <f t="array" ref="I146">IF($A146="","",_xlfn.LET(_xlpm.p,IFERROR(INDEX(tblDados[País],MATCH($A146,TRIM(tblDados[Mandante]),0)),INDEX(tblDados[País],MATCH($A146,TRIM(tblDados[Visitante]),0))),_xlpm.l,IFERROR(INDEX(tblDados[Liga],MATCH($A146,TRIM(tblDados[Mandante]),0)),INDEX(tblDados[Liga],MATCH($A146,TRIM(tblDados[Visitante]),0))),IFERROR(SUMIFS(Ligas!$D$2:$D$39,Ligas!$H$2:$H$39,_xlpm.p,Ligas!$I$2:$I$39,_xlpm.l),0)))</f>
        <v>3.62</v>
      </c>
      <c r="J146" s="11" cm="1">
        <f t="array" ref="J146">IF($A146="","",IFERROR((SUMPRODUCT((TRIM(tblDados[Mandante])=$A146)*tblDados[Primeira_Ocorrencia]*(tblDados[GM_M]=0))+SUMPRODUCT((TRIM(tblDados[Visitante])=$A146)*tblDados[Primeira_Ocorrencia]*(tblDados[GM_V]=0)))/G146,0))</f>
        <v>0.23076923076923078</v>
      </c>
      <c r="K146" s="11" cm="1">
        <f t="array" ref="K146">IF($A146="","",IFERROR((SUMPRODUCT((TRIM(tblDados[Mandante])=$A146)*tblDados[Primeira_Ocorrencia]*((tblDados[GM_M]+tblDados[GS_M])&gt;0.5))+SUMPRODUCT((TRIM(tblDados[Visitante])=$A146)*tblDados[Primeira_Ocorrencia]*((tblDados[GM_V]+tblDados[GS_V])&gt;0.5)))/G146,0))</f>
        <v>0.76923076923076927</v>
      </c>
      <c r="L146" s="11" cm="1">
        <f t="array" ref="L146">IF($A146="","",IFERROR((SUMPRODUCT((TRIM(tblDados[Mandante])=$A146)*tblDados[Primeira_Ocorrencia]*((tblDados[GM_M]+tblDados[GS_M])&gt;1.5))+SUMPRODUCT((TRIM(tblDados[Visitante])=$A146)*tblDados[Primeira_Ocorrencia]*((tblDados[GM_V]+tblDados[GS_V])&gt;1.5)))/G146,0))</f>
        <v>0.69230769230769229</v>
      </c>
      <c r="M146" s="11" cm="1">
        <f t="array" ref="M146">IF($A146="","",IFERROR((SUMPRODUCT((TRIM(tblDados[Mandante])=$A146)*tblDados[Primeira_Ocorrencia]*((tblDados[GM_M]+tblDados[GS_M])&gt;2.5))+SUMPRODUCT((TRIM(tblDados[Visitante])=$A146)*tblDados[Primeira_Ocorrencia]*((tblDados[GM_V]+tblDados[GS_V])&gt;2.5)))/G146,0))</f>
        <v>0.46153846153846156</v>
      </c>
      <c r="N146" s="11" cm="1">
        <f t="array" ref="N146">IF($A146="","",IFERROR((SUMPRODUCT((TRIM(tblDados[Mandante])=$A146)*tblDados[Primeira_Ocorrencia]*((tblDados[GM_M]+tblDados[GS_M])&gt;3.5))+SUMPRODUCT((TRIM(tblDados[Visitante])=$A146)*tblDados[Primeira_Ocorrencia]*((tblDados[GM_V]+tblDados[GS_V])&gt;3.5)))/G146,0))</f>
        <v>0.30769230769230771</v>
      </c>
      <c r="O146" s="11" cm="1">
        <f t="array" ref="O146">IF($A146="","",IFERROR((SUMPRODUCT((TRIM(tblDados[Mandante])=$A146)*tblDados[Primeira_Ocorrencia]*(tblDados[GM_M]&gt;0)*(tblDados[GS_M]&gt;0))+SUMPRODUCT((TRIM(tblDados[Visitante])=$A146)*tblDados[Primeira_Ocorrencia]*(tblDados[GM_V]&gt;0)*(tblDados[GS_V]&gt;0)))/G146,0))</f>
        <v>0.69230769230769229</v>
      </c>
      <c r="P146" s="10" cm="1">
        <f t="array" ref="P146">IF($A146="","",IFERROR((SUMPRODUCT((TRIM(tblDados[Mandante])=$A146)*tblDados[Primeira_Ocorrencia]*tblDados[GM_M]^2)+SUMPRODUCT((TRIM(tblDados[Visitante])=$A146)*tblDados[Primeira_Ocorrencia]*tblDados[GM_V]^2))/G146-H146^2,0))</f>
        <v>1.3254437869822486</v>
      </c>
      <c r="Q146" s="10">
        <f t="shared" si="35"/>
        <v>1.1512791959304436</v>
      </c>
      <c r="R146" s="8" t="str">
        <f t="shared" si="36"/>
        <v>Poisson</v>
      </c>
      <c r="S146" s="10" cm="1">
        <f t="array" ref="S146">IF($A146="","",SUMPRODUCT((TRIM(tblDados[Mandante])=$A146)*tblDados[Primeira_Ocorrencia]*tblDados[GM_M]))</f>
        <v>10</v>
      </c>
      <c r="T146" s="10" cm="1">
        <f t="array" ref="T146">IF($A146="","",SUMPRODUCT((TRIM(tblDados[Visitante])=$A146)*tblDados[Primeira_Ocorrencia]*tblDados[GM_V]))</f>
        <v>10</v>
      </c>
      <c r="U146" s="10">
        <f t="shared" si="37"/>
        <v>20</v>
      </c>
      <c r="V146" s="10">
        <f t="shared" si="26"/>
        <v>1.5384615384615385</v>
      </c>
      <c r="W146" s="10" cm="1">
        <f t="array" ref="W146">IF($A146="","",SUMPRODUCT((TRIM(tblDados[Mandante])=$A146)*tblDados[Primeira_Ocorrencia]*tblDados[GS_M]))</f>
        <v>6</v>
      </c>
      <c r="X146" s="10" cm="1">
        <f t="array" ref="X146">IF($A146="","",SUMPRODUCT((TRIM(tblDados[Visitante])=$A146)*tblDados[Primeira_Ocorrencia]*tblDados[GS_V]))</f>
        <v>6</v>
      </c>
      <c r="Y146" s="10">
        <f t="shared" si="38"/>
        <v>12</v>
      </c>
      <c r="Z146" s="10">
        <f t="shared" si="27"/>
        <v>0.92307692307692313</v>
      </c>
      <c r="AA146" s="10">
        <f t="shared" si="28"/>
        <v>1.6666666666666667</v>
      </c>
      <c r="AB146" s="10">
        <f t="shared" si="29"/>
        <v>1</v>
      </c>
      <c r="AC146" s="10">
        <f t="shared" si="30"/>
        <v>1.4285714285714286</v>
      </c>
      <c r="AD146" s="10">
        <f t="shared" si="31"/>
        <v>0.8571428571428571</v>
      </c>
    </row>
    <row r="147" spans="1:30" x14ac:dyDescent="0.3">
      <c r="A147" s="7" t="str">
        <v>Tianjin Jinmen Tiger</v>
      </c>
      <c r="B147" s="12" t="str" cm="1">
        <f t="array" ref="B147">IF($A147="","",_xlfn.LET(_xlpm.p,IFERROR(INDEX(tblDados[País],MATCH($A147,TRIM(tblDados[Mandante]),0)),INDEX(tblDados[País],MATCH($A147,TRIM(tblDados[Visitante]),0))),_xlpm.l,IFERROR(INDEX(tblDados[Liga],MATCH($A147,TRIM(tblDados[Mandante]),0)),INDEX(tblDados[Liga],MATCH($A147,TRIM(tblDados[Visitante]),0))),_xlpm.p&amp;" - "&amp;_xlpm.l))</f>
        <v>CHN - Super League</v>
      </c>
      <c r="C147" s="10">
        <f t="shared" si="32"/>
        <v>3.1666666666666665</v>
      </c>
      <c r="D147" s="10">
        <f t="shared" si="33"/>
        <v>2</v>
      </c>
      <c r="E147" s="9" cm="1">
        <f t="array" ref="E147">IF($A147="","",SUMPRODUCT((TRIM(tblDados[Mandante])=$A147)*tblDados[Primeira_Ocorrencia]))</f>
        <v>6</v>
      </c>
      <c r="F147" s="9" cm="1">
        <f t="array" ref="F147">IF($A147="","",SUMPRODUCT((TRIM(tblDados[Visitante])=$A147)*tblDados[Primeira_Ocorrencia]))</f>
        <v>7</v>
      </c>
      <c r="G147" s="9" cm="1">
        <f t="array" ref="G147">IF($A147="","",SUMPRODUCT((TRIM(tblDados[Mandante])=$A147)*tblDados[Primeira_Ocorrencia])+SUMPRODUCT((TRIM(tblDados[Visitante])=$A147)*tblDados[Primeira_Ocorrencia]))</f>
        <v>13</v>
      </c>
      <c r="H147" s="10">
        <f t="shared" si="34"/>
        <v>1.4615384615384615</v>
      </c>
      <c r="I147" s="10" cm="1">
        <f t="array" ref="I147">IF($A147="","",_xlfn.LET(_xlpm.p,IFERROR(INDEX(tblDados[País],MATCH($A147,TRIM(tblDados[Mandante]),0)),INDEX(tblDados[País],MATCH($A147,TRIM(tblDados[Visitante]),0))),_xlpm.l,IFERROR(INDEX(tblDados[Liga],MATCH($A147,TRIM(tblDados[Mandante]),0)),INDEX(tblDados[Liga],MATCH($A147,TRIM(tblDados[Visitante]),0))),IFERROR(SUMIFS(Ligas!$D$2:$D$39,Ligas!$H$2:$H$39,_xlpm.p,Ligas!$I$2:$I$39,_xlpm.l),0)))</f>
        <v>2.5</v>
      </c>
      <c r="J147" s="11" cm="1">
        <f t="array" ref="J147">IF($A147="","",IFERROR((SUMPRODUCT((TRIM(tblDados[Mandante])=$A147)*tblDados[Primeira_Ocorrencia]*(tblDados[GM_M]=0))+SUMPRODUCT((TRIM(tblDados[Visitante])=$A147)*tblDados[Primeira_Ocorrencia]*(tblDados[GM_V]=0)))/G147,0))</f>
        <v>7.6923076923076927E-2</v>
      </c>
      <c r="K147" s="11" cm="1">
        <f t="array" ref="K147">IF($A147="","",IFERROR((SUMPRODUCT((TRIM(tblDados[Mandante])=$A147)*tblDados[Primeira_Ocorrencia]*((tblDados[GM_M]+tblDados[GS_M])&gt;0.5))+SUMPRODUCT((TRIM(tblDados[Visitante])=$A147)*tblDados[Primeira_Ocorrencia]*((tblDados[GM_V]+tblDados[GS_V])&gt;0.5)))/G147,0))</f>
        <v>1</v>
      </c>
      <c r="L147" s="11" cm="1">
        <f t="array" ref="L147">IF($A147="","",IFERROR((SUMPRODUCT((TRIM(tblDados[Mandante])=$A147)*tblDados[Primeira_Ocorrencia]*((tblDados[GM_M]+tblDados[GS_M])&gt;1.5))+SUMPRODUCT((TRIM(tblDados[Visitante])=$A147)*tblDados[Primeira_Ocorrencia]*((tblDados[GM_V]+tblDados[GS_V])&gt;1.5)))/G147,0))</f>
        <v>0.84615384615384615</v>
      </c>
      <c r="M147" s="11" cm="1">
        <f t="array" ref="M147">IF($A147="","",IFERROR((SUMPRODUCT((TRIM(tblDados[Mandante])=$A147)*tblDados[Primeira_Ocorrencia]*((tblDados[GM_M]+tblDados[GS_M])&gt;2.5))+SUMPRODUCT((TRIM(tblDados[Visitante])=$A147)*tblDados[Primeira_Ocorrencia]*((tblDados[GM_V]+tblDados[GS_V])&gt;2.5)))/G147,0))</f>
        <v>0.46153846153846156</v>
      </c>
      <c r="N147" s="11" cm="1">
        <f t="array" ref="N147">IF($A147="","",IFERROR((SUMPRODUCT((TRIM(tblDados[Mandante])=$A147)*tblDados[Primeira_Ocorrencia]*((tblDados[GM_M]+tblDados[GS_M])&gt;3.5))+SUMPRODUCT((TRIM(tblDados[Visitante])=$A147)*tblDados[Primeira_Ocorrencia]*((tblDados[GM_V]+tblDados[GS_V])&gt;3.5)))/G147,0))</f>
        <v>0.15384615384615385</v>
      </c>
      <c r="O147" s="11" cm="1">
        <f t="array" ref="O147">IF($A147="","",IFERROR((SUMPRODUCT((TRIM(tblDados[Mandante])=$A147)*tblDados[Primeira_Ocorrencia]*(tblDados[GM_M]&gt;0)*(tblDados[GS_M]&gt;0))+SUMPRODUCT((TRIM(tblDados[Visitante])=$A147)*tblDados[Primeira_Ocorrencia]*(tblDados[GM_V]&gt;0)*(tblDados[GS_V]&gt;0)))/G147,0))</f>
        <v>0.61538461538461542</v>
      </c>
      <c r="P147" s="10" cm="1">
        <f t="array" ref="P147">IF($A147="","",IFERROR((SUMPRODUCT((TRIM(tblDados[Mandante])=$A147)*tblDados[Primeira_Ocorrencia]*tblDados[GM_M]^2)+SUMPRODUCT((TRIM(tblDados[Visitante])=$A147)*tblDados[Primeira_Ocorrencia]*tblDados[GM_V]^2))/G147-H147^2,0))</f>
        <v>0.71005917159763365</v>
      </c>
      <c r="Q147" s="10">
        <f t="shared" si="35"/>
        <v>0.84265008846948664</v>
      </c>
      <c r="R147" s="8" t="str">
        <f t="shared" si="36"/>
        <v>Poisson</v>
      </c>
      <c r="S147" s="10" cm="1">
        <f t="array" ref="S147">IF($A147="","",SUMPRODUCT((TRIM(tblDados[Mandante])=$A147)*tblDados[Primeira_Ocorrencia]*tblDados[GM_M]))</f>
        <v>11</v>
      </c>
      <c r="T147" s="10" cm="1">
        <f t="array" ref="T147">IF($A147="","",SUMPRODUCT((TRIM(tblDados[Visitante])=$A147)*tblDados[Primeira_Ocorrencia]*tblDados[GM_V]))</f>
        <v>8</v>
      </c>
      <c r="U147" s="10">
        <f t="shared" si="37"/>
        <v>19</v>
      </c>
      <c r="V147" s="10">
        <f t="shared" si="26"/>
        <v>1.4615384615384615</v>
      </c>
      <c r="W147" s="10" cm="1">
        <f t="array" ref="W147">IF($A147="","",SUMPRODUCT((TRIM(tblDados[Mandante])=$A147)*tblDados[Primeira_Ocorrencia]*tblDados[GS_M]))</f>
        <v>8</v>
      </c>
      <c r="X147" s="10" cm="1">
        <f t="array" ref="X147">IF($A147="","",SUMPRODUCT((TRIM(tblDados[Visitante])=$A147)*tblDados[Primeira_Ocorrencia]*tblDados[GS_V]))</f>
        <v>6</v>
      </c>
      <c r="Y147" s="10">
        <f t="shared" si="38"/>
        <v>14</v>
      </c>
      <c r="Z147" s="10">
        <f t="shared" si="27"/>
        <v>1.0769230769230769</v>
      </c>
      <c r="AA147" s="10">
        <f t="shared" si="28"/>
        <v>1.8333333333333333</v>
      </c>
      <c r="AB147" s="10">
        <f t="shared" si="29"/>
        <v>1.3333333333333333</v>
      </c>
      <c r="AC147" s="10">
        <f t="shared" si="30"/>
        <v>1.1428571428571428</v>
      </c>
      <c r="AD147" s="10">
        <f t="shared" si="31"/>
        <v>0.8571428571428571</v>
      </c>
    </row>
    <row r="148" spans="1:30" x14ac:dyDescent="0.3">
      <c r="A148" s="7" t="str">
        <v>Valur Reykjavik</v>
      </c>
      <c r="B148" s="12" t="str" cm="1">
        <f t="array" ref="B148">IF($A148="","",_xlfn.LET(_xlpm.p,IFERROR(INDEX(tblDados[País],MATCH($A148,TRIM(tblDados[Mandante]),0)),INDEX(tblDados[País],MATCH($A148,TRIM(tblDados[Visitante]),0))),_xlpm.l,IFERROR(INDEX(tblDados[Liga],MATCH($A148,TRIM(tblDados[Mandante]),0)),INDEX(tblDados[Liga],MATCH($A148,TRIM(tblDados[Visitante]),0))),_xlpm.p&amp;" - "&amp;_xlpm.l))</f>
        <v>ISL - Besta-deild karla (PL)</v>
      </c>
      <c r="C148" s="10">
        <f t="shared" si="32"/>
        <v>4.5999999999999996</v>
      </c>
      <c r="D148" s="10">
        <f t="shared" si="33"/>
        <v>3</v>
      </c>
      <c r="E148" s="9" cm="1">
        <f t="array" ref="E148">IF($A148="","",SUMPRODUCT((TRIM(tblDados[Mandante])=$A148)*tblDados[Primeira_Ocorrencia]))</f>
        <v>5</v>
      </c>
      <c r="F148" s="9" cm="1">
        <f t="array" ref="F148">IF($A148="","",SUMPRODUCT((TRIM(tblDados[Visitante])=$A148)*tblDados[Primeira_Ocorrencia]))</f>
        <v>8</v>
      </c>
      <c r="G148" s="9" cm="1">
        <f t="array" ref="G148">IF($A148="","",SUMPRODUCT((TRIM(tblDados[Mandante])=$A148)*tblDados[Primeira_Ocorrencia])+SUMPRODUCT((TRIM(tblDados[Visitante])=$A148)*tblDados[Primeira_Ocorrencia]))</f>
        <v>13</v>
      </c>
      <c r="H148" s="10">
        <f t="shared" si="34"/>
        <v>1.5384615384615385</v>
      </c>
      <c r="I148" s="10" cm="1">
        <f t="array" ref="I148">IF($A148="","",_xlfn.LET(_xlpm.p,IFERROR(INDEX(tblDados[País],MATCH($A148,TRIM(tblDados[Mandante]),0)),INDEX(tblDados[País],MATCH($A148,TRIM(tblDados[Visitante]),0))),_xlpm.l,IFERROR(INDEX(tblDados[Liga],MATCH($A148,TRIM(tblDados[Mandante]),0)),INDEX(tblDados[Liga],MATCH($A148,TRIM(tblDados[Visitante]),0))),IFERROR(SUMIFS(Ligas!$D$2:$D$39,Ligas!$H$2:$H$39,_xlpm.p,Ligas!$I$2:$I$39,_xlpm.l),0)))</f>
        <v>2.5</v>
      </c>
      <c r="J148" s="11" cm="1">
        <f t="array" ref="J148">IF($A148="","",IFERROR((SUMPRODUCT((TRIM(tblDados[Mandante])=$A148)*tblDados[Primeira_Ocorrencia]*(tblDados[GM_M]=0))+SUMPRODUCT((TRIM(tblDados[Visitante])=$A148)*tblDados[Primeira_Ocorrencia]*(tblDados[GM_V]=0)))/G148,0))</f>
        <v>0.23076923076923078</v>
      </c>
      <c r="K148" s="11" cm="1">
        <f t="array" ref="K148">IF($A148="","",IFERROR((SUMPRODUCT((TRIM(tblDados[Mandante])=$A148)*tblDados[Primeira_Ocorrencia]*((tblDados[GM_M]+tblDados[GS_M])&gt;0.5))+SUMPRODUCT((TRIM(tblDados[Visitante])=$A148)*tblDados[Primeira_Ocorrencia]*((tblDados[GM_V]+tblDados[GS_V])&gt;0.5)))/G148,0))</f>
        <v>1</v>
      </c>
      <c r="L148" s="11" cm="1">
        <f t="array" ref="L148">IF($A148="","",IFERROR((SUMPRODUCT((TRIM(tblDados[Mandante])=$A148)*tblDados[Primeira_Ocorrencia]*((tblDados[GM_M]+tblDados[GS_M])&gt;1.5))+SUMPRODUCT((TRIM(tblDados[Visitante])=$A148)*tblDados[Primeira_Ocorrencia]*((tblDados[GM_V]+tblDados[GS_V])&gt;1.5)))/G148,0))</f>
        <v>0.76923076923076927</v>
      </c>
      <c r="M148" s="11" cm="1">
        <f t="array" ref="M148">IF($A148="","",IFERROR((SUMPRODUCT((TRIM(tblDados[Mandante])=$A148)*tblDados[Primeira_Ocorrencia]*((tblDados[GM_M]+tblDados[GS_M])&gt;2.5))+SUMPRODUCT((TRIM(tblDados[Visitante])=$A148)*tblDados[Primeira_Ocorrencia]*((tblDados[GM_V]+tblDados[GS_V])&gt;2.5)))/G148,0))</f>
        <v>0.61538461538461542</v>
      </c>
      <c r="N148" s="11" cm="1">
        <f t="array" ref="N148">IF($A148="","",IFERROR((SUMPRODUCT((TRIM(tblDados[Mandante])=$A148)*tblDados[Primeira_Ocorrencia]*((tblDados[GM_M]+tblDados[GS_M])&gt;3.5))+SUMPRODUCT((TRIM(tblDados[Visitante])=$A148)*tblDados[Primeira_Ocorrencia]*((tblDados[GM_V]+tblDados[GS_V])&gt;3.5)))/G148,0))</f>
        <v>0.61538461538461542</v>
      </c>
      <c r="O148" s="11" cm="1">
        <f t="array" ref="O148">IF($A148="","",IFERROR((SUMPRODUCT((TRIM(tblDados[Mandante])=$A148)*tblDados[Primeira_Ocorrencia]*(tblDados[GM_M]&gt;0)*(tblDados[GS_M]&gt;0))+SUMPRODUCT((TRIM(tblDados[Visitante])=$A148)*tblDados[Primeira_Ocorrencia]*(tblDados[GM_V]&gt;0)*(tblDados[GS_V]&gt;0)))/G148,0))</f>
        <v>0.69230769230769229</v>
      </c>
      <c r="P148" s="10" cm="1">
        <f t="array" ref="P148">IF($A148="","",IFERROR((SUMPRODUCT((TRIM(tblDados[Mandante])=$A148)*tblDados[Primeira_Ocorrencia]*tblDados[GM_M]^2)+SUMPRODUCT((TRIM(tblDados[Visitante])=$A148)*tblDados[Primeira_Ocorrencia]*tblDados[GM_V]^2))/G148-H148^2,0))</f>
        <v>1.4792899408284024</v>
      </c>
      <c r="Q148" s="10">
        <f t="shared" si="35"/>
        <v>1.2162606385262997</v>
      </c>
      <c r="R148" s="8" t="str">
        <f t="shared" si="36"/>
        <v>Poisson</v>
      </c>
      <c r="S148" s="10" cm="1">
        <f t="array" ref="S148">IF($A148="","",SUMPRODUCT((TRIM(tblDados[Mandante])=$A148)*tblDados[Primeira_Ocorrencia]*tblDados[GM_M]))</f>
        <v>9</v>
      </c>
      <c r="T148" s="10" cm="1">
        <f t="array" ref="T148">IF($A148="","",SUMPRODUCT((TRIM(tblDados[Visitante])=$A148)*tblDados[Primeira_Ocorrencia]*tblDados[GM_V]))</f>
        <v>11</v>
      </c>
      <c r="U148" s="10">
        <f t="shared" si="37"/>
        <v>20</v>
      </c>
      <c r="V148" s="10">
        <f t="shared" si="26"/>
        <v>1.5384615384615385</v>
      </c>
      <c r="W148" s="10" cm="1">
        <f t="array" ref="W148">IF($A148="","",SUMPRODUCT((TRIM(tblDados[Mandante])=$A148)*tblDados[Primeira_Ocorrencia]*tblDados[GS_M]))</f>
        <v>14</v>
      </c>
      <c r="X148" s="10" cm="1">
        <f t="array" ref="X148">IF($A148="","",SUMPRODUCT((TRIM(tblDados[Visitante])=$A148)*tblDados[Primeira_Ocorrencia]*tblDados[GS_V]))</f>
        <v>13</v>
      </c>
      <c r="Y148" s="10">
        <f t="shared" si="38"/>
        <v>27</v>
      </c>
      <c r="Z148" s="10">
        <f t="shared" si="27"/>
        <v>2.0769230769230771</v>
      </c>
      <c r="AA148" s="10">
        <f t="shared" si="28"/>
        <v>1.8</v>
      </c>
      <c r="AB148" s="10">
        <f t="shared" si="29"/>
        <v>2.8</v>
      </c>
      <c r="AC148" s="10">
        <f t="shared" si="30"/>
        <v>1.375</v>
      </c>
      <c r="AD148" s="10">
        <f t="shared" si="31"/>
        <v>1.625</v>
      </c>
    </row>
    <row r="149" spans="1:30" x14ac:dyDescent="0.3">
      <c r="A149" s="7" t="str">
        <v>Varbergs BoIS FC</v>
      </c>
      <c r="B149" s="12" t="str" cm="1">
        <f t="array" ref="B149">IF($A149="","",_xlfn.LET(_xlpm.p,IFERROR(INDEX(tblDados[País],MATCH($A149,TRIM(tblDados[Mandante]),0)),INDEX(tblDados[País],MATCH($A149,TRIM(tblDados[Visitante]),0))),_xlpm.l,IFERROR(INDEX(tblDados[Liga],MATCH($A149,TRIM(tblDados[Mandante]),0)),INDEX(tblDados[Liga],MATCH($A149,TRIM(tblDados[Visitante]),0))),_xlpm.p&amp;" - "&amp;_xlpm.l))</f>
        <v>SWE - Superettan</v>
      </c>
      <c r="C149" s="10">
        <f t="shared" si="32"/>
        <v>2.8571428571428568</v>
      </c>
      <c r="D149" s="10">
        <f t="shared" si="33"/>
        <v>3.6666666666666665</v>
      </c>
      <c r="E149" s="9" cm="1">
        <f t="array" ref="E149">IF($A149="","",SUMPRODUCT((TRIM(tblDados[Mandante])=$A149)*tblDados[Primeira_Ocorrencia]))</f>
        <v>7</v>
      </c>
      <c r="F149" s="9" cm="1">
        <f t="array" ref="F149">IF($A149="","",SUMPRODUCT((TRIM(tblDados[Visitante])=$A149)*tblDados[Primeira_Ocorrencia]))</f>
        <v>6</v>
      </c>
      <c r="G149" s="9" cm="1">
        <f t="array" ref="G149">IF($A149="","",SUMPRODUCT((TRIM(tblDados[Mandante])=$A149)*tblDados[Primeira_Ocorrencia])+SUMPRODUCT((TRIM(tblDados[Visitante])=$A149)*tblDados[Primeira_Ocorrencia]))</f>
        <v>13</v>
      </c>
      <c r="H149" s="10">
        <f t="shared" si="34"/>
        <v>1.9230769230769231</v>
      </c>
      <c r="I149" s="10" cm="1">
        <f t="array" ref="I149">IF($A149="","",_xlfn.LET(_xlpm.p,IFERROR(INDEX(tblDados[País],MATCH($A149,TRIM(tblDados[Mandante]),0)),INDEX(tblDados[País],MATCH($A149,TRIM(tblDados[Visitante]),0))),_xlpm.l,IFERROR(INDEX(tblDados[Liga],MATCH($A149,TRIM(tblDados[Mandante]),0)),INDEX(tblDados[Liga],MATCH($A149,TRIM(tblDados[Visitante]),0))),IFERROR(SUMIFS(Ligas!$D$2:$D$39,Ligas!$H$2:$H$39,_xlpm.p,Ligas!$I$2:$I$39,_xlpm.l),0)))</f>
        <v>2.5</v>
      </c>
      <c r="J149" s="11" cm="1">
        <f t="array" ref="J149">IF($A149="","",IFERROR((SUMPRODUCT((TRIM(tblDados[Mandante])=$A149)*tblDados[Primeira_Ocorrencia]*(tblDados[GM_M]=0))+SUMPRODUCT((TRIM(tblDados[Visitante])=$A149)*tblDados[Primeira_Ocorrencia]*(tblDados[GM_V]=0)))/G149,0))</f>
        <v>0.23076923076923078</v>
      </c>
      <c r="K149" s="11" cm="1">
        <f t="array" ref="K149">IF($A149="","",IFERROR((SUMPRODUCT((TRIM(tblDados[Mandante])=$A149)*tblDados[Primeira_Ocorrencia]*((tblDados[GM_M]+tblDados[GS_M])&gt;0.5))+SUMPRODUCT((TRIM(tblDados[Visitante])=$A149)*tblDados[Primeira_Ocorrencia]*((tblDados[GM_V]+tblDados[GS_V])&gt;0.5)))/G149,0))</f>
        <v>1</v>
      </c>
      <c r="L149" s="11" cm="1">
        <f t="array" ref="L149">IF($A149="","",IFERROR((SUMPRODUCT((TRIM(tblDados[Mandante])=$A149)*tblDados[Primeira_Ocorrencia]*((tblDados[GM_M]+tblDados[GS_M])&gt;1.5))+SUMPRODUCT((TRIM(tblDados[Visitante])=$A149)*tblDados[Primeira_Ocorrencia]*((tblDados[GM_V]+tblDados[GS_V])&gt;1.5)))/G149,0))</f>
        <v>0.84615384615384615</v>
      </c>
      <c r="M149" s="11" cm="1">
        <f t="array" ref="M149">IF($A149="","",IFERROR((SUMPRODUCT((TRIM(tblDados[Mandante])=$A149)*tblDados[Primeira_Ocorrencia]*((tblDados[GM_M]+tblDados[GS_M])&gt;2.5))+SUMPRODUCT((TRIM(tblDados[Visitante])=$A149)*tblDados[Primeira_Ocorrencia]*((tblDados[GM_V]+tblDados[GS_V])&gt;2.5)))/G149,0))</f>
        <v>0.69230769230769229</v>
      </c>
      <c r="N149" s="11" cm="1">
        <f t="array" ref="N149">IF($A149="","",IFERROR((SUMPRODUCT((TRIM(tblDados[Mandante])=$A149)*tblDados[Primeira_Ocorrencia]*((tblDados[GM_M]+tblDados[GS_M])&gt;3.5))+SUMPRODUCT((TRIM(tblDados[Visitante])=$A149)*tblDados[Primeira_Ocorrencia]*((tblDados[GM_V]+tblDados[GS_V])&gt;3.5)))/G149,0))</f>
        <v>0.38461538461538464</v>
      </c>
      <c r="O149" s="11" cm="1">
        <f t="array" ref="O149">IF($A149="","",IFERROR((SUMPRODUCT((TRIM(tblDados[Mandante])=$A149)*tblDados[Primeira_Ocorrencia]*(tblDados[GM_M]&gt;0)*(tblDados[GS_M]&gt;0))+SUMPRODUCT((TRIM(tblDados[Visitante])=$A149)*tblDados[Primeira_Ocorrencia]*(tblDados[GM_V]&gt;0)*(tblDados[GS_V]&gt;0)))/G149,0))</f>
        <v>0.53846153846153844</v>
      </c>
      <c r="P149" s="10" cm="1">
        <f t="array" ref="P149">IF($A149="","",IFERROR((SUMPRODUCT((TRIM(tblDados[Mandante])=$A149)*tblDados[Primeira_Ocorrencia]*tblDados[GM_M]^2)+SUMPRODUCT((TRIM(tblDados[Visitante])=$A149)*tblDados[Primeira_Ocorrencia]*tblDados[GM_V]^2))/G149-H149^2,0))</f>
        <v>1.6094674556213016</v>
      </c>
      <c r="Q149" s="10">
        <f t="shared" si="35"/>
        <v>1.2686478848054339</v>
      </c>
      <c r="R149" s="8" t="str">
        <f t="shared" si="36"/>
        <v>Poisson</v>
      </c>
      <c r="S149" s="10" cm="1">
        <f t="array" ref="S149">IF($A149="","",SUMPRODUCT((TRIM(tblDados[Mandante])=$A149)*tblDados[Primeira_Ocorrencia]*tblDados[GM_M]))</f>
        <v>12</v>
      </c>
      <c r="T149" s="10" cm="1">
        <f t="array" ref="T149">IF($A149="","",SUMPRODUCT((TRIM(tblDados[Visitante])=$A149)*tblDados[Primeira_Ocorrencia]*tblDados[GM_V]))</f>
        <v>13</v>
      </c>
      <c r="U149" s="10">
        <f t="shared" si="37"/>
        <v>25</v>
      </c>
      <c r="V149" s="10">
        <f t="shared" si="26"/>
        <v>1.9230769230769231</v>
      </c>
      <c r="W149" s="10" cm="1">
        <f t="array" ref="W149">IF($A149="","",SUMPRODUCT((TRIM(tblDados[Mandante])=$A149)*tblDados[Primeira_Ocorrencia]*tblDados[GS_M]))</f>
        <v>8</v>
      </c>
      <c r="X149" s="10" cm="1">
        <f t="array" ref="X149">IF($A149="","",SUMPRODUCT((TRIM(tblDados[Visitante])=$A149)*tblDados[Primeira_Ocorrencia]*tblDados[GS_V]))</f>
        <v>9</v>
      </c>
      <c r="Y149" s="10">
        <f t="shared" si="38"/>
        <v>17</v>
      </c>
      <c r="Z149" s="10">
        <f t="shared" si="27"/>
        <v>1.3076923076923077</v>
      </c>
      <c r="AA149" s="10">
        <f t="shared" si="28"/>
        <v>1.7142857142857142</v>
      </c>
      <c r="AB149" s="10">
        <f t="shared" si="29"/>
        <v>1.1428571428571428</v>
      </c>
      <c r="AC149" s="10">
        <f t="shared" si="30"/>
        <v>2.1666666666666665</v>
      </c>
      <c r="AD149" s="10">
        <f t="shared" si="31"/>
        <v>1.5</v>
      </c>
    </row>
    <row r="150" spans="1:30" x14ac:dyDescent="0.3">
      <c r="A150" s="7" t="str">
        <v>Vila Nova</v>
      </c>
      <c r="B150" s="12" t="str" cm="1">
        <f t="array" ref="B150">IF($A150="","",_xlfn.LET(_xlpm.p,IFERROR(INDEX(tblDados[País],MATCH($A150,TRIM(tblDados[Mandante]),0)),INDEX(tblDados[País],MATCH($A150,TRIM(tblDados[Visitante]),0))),_xlpm.l,IFERROR(INDEX(tblDados[Liga],MATCH($A150,TRIM(tblDados[Mandante]),0)),INDEX(tblDados[Liga],MATCH($A150,TRIM(tblDados[Visitante]),0))),_xlpm.p&amp;" - "&amp;_xlpm.l))</f>
        <v>BRA - Série B</v>
      </c>
      <c r="C150" s="10">
        <f t="shared" si="32"/>
        <v>3</v>
      </c>
      <c r="D150" s="10">
        <f t="shared" si="33"/>
        <v>1.8571428571428572</v>
      </c>
      <c r="E150" s="9" cm="1">
        <f t="array" ref="E150">IF($A150="","",SUMPRODUCT((TRIM(tblDados[Mandante])=$A150)*tblDados[Primeira_Ocorrencia]))</f>
        <v>6</v>
      </c>
      <c r="F150" s="9" cm="1">
        <f t="array" ref="F150">IF($A150="","",SUMPRODUCT((TRIM(tblDados[Visitante])=$A150)*tblDados[Primeira_Ocorrencia]))</f>
        <v>7</v>
      </c>
      <c r="G150" s="9" cm="1">
        <f t="array" ref="G150">IF($A150="","",SUMPRODUCT((TRIM(tblDados[Mandante])=$A150)*tblDados[Primeira_Ocorrencia])+SUMPRODUCT((TRIM(tblDados[Visitante])=$A150)*tblDados[Primeira_Ocorrencia]))</f>
        <v>13</v>
      </c>
      <c r="H150" s="10">
        <f t="shared" si="34"/>
        <v>1.2307692307692308</v>
      </c>
      <c r="I150" s="10" cm="1">
        <f t="array" ref="I150">IF($A150="","",_xlfn.LET(_xlpm.p,IFERROR(INDEX(tblDados[País],MATCH($A150,TRIM(tblDados[Mandante]),0)),INDEX(tblDados[País],MATCH($A150,TRIM(tblDados[Visitante]),0))),_xlpm.l,IFERROR(INDEX(tblDados[Liga],MATCH($A150,TRIM(tblDados[Mandante]),0)),INDEX(tblDados[Liga],MATCH($A150,TRIM(tblDados[Visitante]),0))),IFERROR(SUMIFS(Ligas!$D$2:$D$39,Ligas!$H$2:$H$39,_xlpm.p,Ligas!$I$2:$I$39,_xlpm.l),0)))</f>
        <v>2.31</v>
      </c>
      <c r="J150" s="11" cm="1">
        <f t="array" ref="J150">IF($A150="","",IFERROR((SUMPRODUCT((TRIM(tblDados[Mandante])=$A150)*tblDados[Primeira_Ocorrencia]*(tblDados[GM_M]=0))+SUMPRODUCT((TRIM(tblDados[Visitante])=$A150)*tblDados[Primeira_Ocorrencia]*(tblDados[GM_V]=0)))/G150,0))</f>
        <v>0.30769230769230771</v>
      </c>
      <c r="K150" s="11" cm="1">
        <f t="array" ref="K150">IF($A150="","",IFERROR((SUMPRODUCT((TRIM(tblDados[Mandante])=$A150)*tblDados[Primeira_Ocorrencia]*((tblDados[GM_M]+tblDados[GS_M])&gt;0.5))+SUMPRODUCT((TRIM(tblDados[Visitante])=$A150)*tblDados[Primeira_Ocorrencia]*((tblDados[GM_V]+tblDados[GS_V])&gt;0.5)))/G150,0))</f>
        <v>1</v>
      </c>
      <c r="L150" s="11" cm="1">
        <f t="array" ref="L150">IF($A150="","",IFERROR((SUMPRODUCT((TRIM(tblDados[Mandante])=$A150)*tblDados[Primeira_Ocorrencia]*((tblDados[GM_M]+tblDados[GS_M])&gt;1.5))+SUMPRODUCT((TRIM(tblDados[Visitante])=$A150)*tblDados[Primeira_Ocorrencia]*((tblDados[GM_V]+tblDados[GS_V])&gt;1.5)))/G150,0))</f>
        <v>0.69230769230769229</v>
      </c>
      <c r="M150" s="11" cm="1">
        <f t="array" ref="M150">IF($A150="","",IFERROR((SUMPRODUCT((TRIM(tblDados[Mandante])=$A150)*tblDados[Primeira_Ocorrencia]*((tblDados[GM_M]+tblDados[GS_M])&gt;2.5))+SUMPRODUCT((TRIM(tblDados[Visitante])=$A150)*tblDados[Primeira_Ocorrencia]*((tblDados[GM_V]+tblDados[GS_V])&gt;2.5)))/G150,0))</f>
        <v>0.38461538461538464</v>
      </c>
      <c r="N150" s="11" cm="1">
        <f t="array" ref="N150">IF($A150="","",IFERROR((SUMPRODUCT((TRIM(tblDados[Mandante])=$A150)*tblDados[Primeira_Ocorrencia]*((tblDados[GM_M]+tblDados[GS_M])&gt;3.5))+SUMPRODUCT((TRIM(tblDados[Visitante])=$A150)*tblDados[Primeira_Ocorrencia]*((tblDados[GM_V]+tblDados[GS_V])&gt;3.5)))/G150,0))</f>
        <v>7.6923076923076927E-2</v>
      </c>
      <c r="O150" s="11" cm="1">
        <f t="array" ref="O150">IF($A150="","",IFERROR((SUMPRODUCT((TRIM(tblDados[Mandante])=$A150)*tblDados[Primeira_Ocorrencia]*(tblDados[GM_M]&gt;0)*(tblDados[GS_M]&gt;0))+SUMPRODUCT((TRIM(tblDados[Visitante])=$A150)*tblDados[Primeira_Ocorrencia]*(tblDados[GM_V]&gt;0)*(tblDados[GS_V]&gt;0)))/G150,0))</f>
        <v>0.46153846153846156</v>
      </c>
      <c r="P150" s="10" cm="1">
        <f t="array" ref="P150">IF($A150="","",IFERROR((SUMPRODUCT((TRIM(tblDados[Mandante])=$A150)*tblDados[Primeira_Ocorrencia]*tblDados[GM_M]^2)+SUMPRODUCT((TRIM(tblDados[Visitante])=$A150)*tblDados[Primeira_Ocorrencia]*tblDados[GM_V]^2))/G150-H150^2,0))</f>
        <v>1.254437869822485</v>
      </c>
      <c r="Q150" s="10">
        <f t="shared" si="35"/>
        <v>1.1200169060431566</v>
      </c>
      <c r="R150" s="8" t="str">
        <f t="shared" si="36"/>
        <v>Poisson</v>
      </c>
      <c r="S150" s="10" cm="1">
        <f t="array" ref="S150">IF($A150="","",SUMPRODUCT((TRIM(tblDados[Mandante])=$A150)*tblDados[Primeira_Ocorrencia]*tblDados[GM_M]))</f>
        <v>12</v>
      </c>
      <c r="T150" s="10" cm="1">
        <f t="array" ref="T150">IF($A150="","",SUMPRODUCT((TRIM(tblDados[Visitante])=$A150)*tblDados[Primeira_Ocorrencia]*tblDados[GM_V]))</f>
        <v>4</v>
      </c>
      <c r="U150" s="10">
        <f t="shared" si="37"/>
        <v>16</v>
      </c>
      <c r="V150" s="10">
        <f t="shared" si="26"/>
        <v>1.2307692307692308</v>
      </c>
      <c r="W150" s="10" cm="1">
        <f t="array" ref="W150">IF($A150="","",SUMPRODUCT((TRIM(tblDados[Mandante])=$A150)*tblDados[Primeira_Ocorrencia]*tblDados[GS_M]))</f>
        <v>6</v>
      </c>
      <c r="X150" s="10" cm="1">
        <f t="array" ref="X150">IF($A150="","",SUMPRODUCT((TRIM(tblDados[Visitante])=$A150)*tblDados[Primeira_Ocorrencia]*tblDados[GS_V]))</f>
        <v>9</v>
      </c>
      <c r="Y150" s="10">
        <f t="shared" si="38"/>
        <v>15</v>
      </c>
      <c r="Z150" s="10">
        <f t="shared" si="27"/>
        <v>1.1538461538461537</v>
      </c>
      <c r="AA150" s="10">
        <f t="shared" si="28"/>
        <v>2</v>
      </c>
      <c r="AB150" s="10">
        <f t="shared" si="29"/>
        <v>1</v>
      </c>
      <c r="AC150" s="10">
        <f t="shared" si="30"/>
        <v>0.5714285714285714</v>
      </c>
      <c r="AD150" s="10">
        <f t="shared" si="31"/>
        <v>1.2857142857142858</v>
      </c>
    </row>
    <row r="151" spans="1:30" x14ac:dyDescent="0.3">
      <c r="A151" s="7" t="str">
        <v>Vitória</v>
      </c>
      <c r="B151" s="12" t="str" cm="1">
        <f t="array" ref="B151">IF($A151="","",_xlfn.LET(_xlpm.p,IFERROR(INDEX(tblDados[País],MATCH($A151,TRIM(tblDados[Mandante]),0)),INDEX(tblDados[País],MATCH($A151,TRIM(tblDados[Visitante]),0))),_xlpm.l,IFERROR(INDEX(tblDados[Liga],MATCH($A151,TRIM(tblDados[Mandante]),0)),INDEX(tblDados[Liga],MATCH($A151,TRIM(tblDados[Visitante]),0))),_xlpm.p&amp;" - "&amp;_xlpm.l))</f>
        <v>BRA - Série A</v>
      </c>
      <c r="C151" s="10">
        <f t="shared" si="32"/>
        <v>2.3333333333333335</v>
      </c>
      <c r="D151" s="10">
        <f t="shared" si="33"/>
        <v>2.5714285714285716</v>
      </c>
      <c r="E151" s="9" cm="1">
        <f t="array" ref="E151">IF($A151="","",SUMPRODUCT((TRIM(tblDados[Mandante])=$A151)*tblDados[Primeira_Ocorrencia]))</f>
        <v>6</v>
      </c>
      <c r="F151" s="9" cm="1">
        <f t="array" ref="F151">IF($A151="","",SUMPRODUCT((TRIM(tblDados[Visitante])=$A151)*tblDados[Primeira_Ocorrencia]))</f>
        <v>7</v>
      </c>
      <c r="G151" s="9" cm="1">
        <f t="array" ref="G151">IF($A151="","",SUMPRODUCT((TRIM(tblDados[Mandante])=$A151)*tblDados[Primeira_Ocorrencia])+SUMPRODUCT((TRIM(tblDados[Visitante])=$A151)*tblDados[Primeira_Ocorrencia]))</f>
        <v>13</v>
      </c>
      <c r="H151" s="10">
        <f t="shared" si="34"/>
        <v>1.0769230769230769</v>
      </c>
      <c r="I151" s="10" cm="1">
        <f t="array" ref="I151">IF($A151="","",_xlfn.LET(_xlpm.p,IFERROR(INDEX(tblDados[País],MATCH($A151,TRIM(tblDados[Mandante]),0)),INDEX(tblDados[País],MATCH($A151,TRIM(tblDados[Visitante]),0))),_xlpm.l,IFERROR(INDEX(tblDados[Liga],MATCH($A151,TRIM(tblDados[Mandante]),0)),INDEX(tblDados[Liga],MATCH($A151,TRIM(tblDados[Visitante]),0))),IFERROR(SUMIFS(Ligas!$D$2:$D$39,Ligas!$H$2:$H$39,_xlpm.p,Ligas!$I$2:$I$39,_xlpm.l),0)))</f>
        <v>2.59</v>
      </c>
      <c r="J151" s="11" cm="1">
        <f t="array" ref="J151">IF($A151="","",IFERROR((SUMPRODUCT((TRIM(tblDados[Mandante])=$A151)*tblDados[Primeira_Ocorrencia]*(tblDados[GM_M]=0))+SUMPRODUCT((TRIM(tblDados[Visitante])=$A151)*tblDados[Primeira_Ocorrencia]*(tblDados[GM_V]=0)))/G151,0))</f>
        <v>0.38461538461538464</v>
      </c>
      <c r="K151" s="11" cm="1">
        <f t="array" ref="K151">IF($A151="","",IFERROR((SUMPRODUCT((TRIM(tblDados[Mandante])=$A151)*tblDados[Primeira_Ocorrencia]*((tblDados[GM_M]+tblDados[GS_M])&gt;0.5))+SUMPRODUCT((TRIM(tblDados[Visitante])=$A151)*tblDados[Primeira_Ocorrencia]*((tblDados[GM_V]+tblDados[GS_V])&gt;0.5)))/G151,0))</f>
        <v>0.84615384615384615</v>
      </c>
      <c r="L151" s="11" cm="1">
        <f t="array" ref="L151">IF($A151="","",IFERROR((SUMPRODUCT((TRIM(tblDados[Mandante])=$A151)*tblDados[Primeira_Ocorrencia]*((tblDados[GM_M]+tblDados[GS_M])&gt;1.5))+SUMPRODUCT((TRIM(tblDados[Visitante])=$A151)*tblDados[Primeira_Ocorrencia]*((tblDados[GM_V]+tblDados[GS_V])&gt;1.5)))/G151,0))</f>
        <v>0.76923076923076927</v>
      </c>
      <c r="M151" s="11" cm="1">
        <f t="array" ref="M151">IF($A151="","",IFERROR((SUMPRODUCT((TRIM(tblDados[Mandante])=$A151)*tblDados[Primeira_Ocorrencia]*((tblDados[GM_M]+tblDados[GS_M])&gt;2.5))+SUMPRODUCT((TRIM(tblDados[Visitante])=$A151)*tblDados[Primeira_Ocorrencia]*((tblDados[GM_V]+tblDados[GS_V])&gt;2.5)))/G151,0))</f>
        <v>0.38461538461538464</v>
      </c>
      <c r="N151" s="11" cm="1">
        <f t="array" ref="N151">IF($A151="","",IFERROR((SUMPRODUCT((TRIM(tblDados[Mandante])=$A151)*tblDados[Primeira_Ocorrencia]*((tblDados[GM_M]+tblDados[GS_M])&gt;3.5))+SUMPRODUCT((TRIM(tblDados[Visitante])=$A151)*tblDados[Primeira_Ocorrencia]*((tblDados[GM_V]+tblDados[GS_V])&gt;3.5)))/G151,0))</f>
        <v>0.38461538461538464</v>
      </c>
      <c r="O151" s="11" cm="1">
        <f t="array" ref="O151">IF($A151="","",IFERROR((SUMPRODUCT((TRIM(tblDados[Mandante])=$A151)*tblDados[Primeira_Ocorrencia]*(tblDados[GM_M]&gt;0)*(tblDados[GS_M]&gt;0))+SUMPRODUCT((TRIM(tblDados[Visitante])=$A151)*tblDados[Primeira_Ocorrencia]*(tblDados[GM_V]&gt;0)*(tblDados[GS_V]&gt;0)))/G151,0))</f>
        <v>0.38461538461538464</v>
      </c>
      <c r="P151" s="10" cm="1">
        <f t="array" ref="P151">IF($A151="","",IFERROR((SUMPRODUCT((TRIM(tblDados[Mandante])=$A151)*tblDados[Primeira_Ocorrencia]*tblDados[GM_M]^2)+SUMPRODUCT((TRIM(tblDados[Visitante])=$A151)*tblDados[Primeira_Ocorrencia]*tblDados[GM_V]^2))/G151-H151^2,0))</f>
        <v>1.3017751479289943</v>
      </c>
      <c r="Q151" s="10">
        <f t="shared" si="35"/>
        <v>1.1409536133993328</v>
      </c>
      <c r="R151" s="8" t="str">
        <f t="shared" si="36"/>
        <v>Poisson</v>
      </c>
      <c r="S151" s="10" cm="1">
        <f t="array" ref="S151">IF($A151="","",SUMPRODUCT((TRIM(tblDados[Mandante])=$A151)*tblDados[Primeira_Ocorrencia]*tblDados[GM_M]))</f>
        <v>9</v>
      </c>
      <c r="T151" s="10" cm="1">
        <f t="array" ref="T151">IF($A151="","",SUMPRODUCT((TRIM(tblDados[Visitante])=$A151)*tblDados[Primeira_Ocorrencia]*tblDados[GM_V]))</f>
        <v>5</v>
      </c>
      <c r="U151" s="10">
        <f t="shared" si="37"/>
        <v>14</v>
      </c>
      <c r="V151" s="10">
        <f t="shared" si="26"/>
        <v>1.0769230769230769</v>
      </c>
      <c r="W151" s="10" cm="1">
        <f t="array" ref="W151">IF($A151="","",SUMPRODUCT((TRIM(tblDados[Mandante])=$A151)*tblDados[Primeira_Ocorrencia]*tblDados[GS_M]))</f>
        <v>5</v>
      </c>
      <c r="X151" s="10" cm="1">
        <f t="array" ref="X151">IF($A151="","",SUMPRODUCT((TRIM(tblDados[Visitante])=$A151)*tblDados[Primeira_Ocorrencia]*tblDados[GS_V]))</f>
        <v>13</v>
      </c>
      <c r="Y151" s="10">
        <f t="shared" si="38"/>
        <v>18</v>
      </c>
      <c r="Z151" s="10">
        <f t="shared" si="27"/>
        <v>1.3846153846153846</v>
      </c>
      <c r="AA151" s="10">
        <f t="shared" si="28"/>
        <v>1.5</v>
      </c>
      <c r="AB151" s="10">
        <f t="shared" si="29"/>
        <v>0.83333333333333337</v>
      </c>
      <c r="AC151" s="10">
        <f t="shared" si="30"/>
        <v>0.7142857142857143</v>
      </c>
      <c r="AD151" s="10">
        <f t="shared" si="31"/>
        <v>1.8571428571428572</v>
      </c>
    </row>
    <row r="152" spans="1:30" x14ac:dyDescent="0.3">
      <c r="A152" s="7" t="str">
        <v>Yunnan Yukun</v>
      </c>
      <c r="B152" s="12" t="str" cm="1">
        <f t="array" ref="B152">IF($A152="","",_xlfn.LET(_xlpm.p,IFERROR(INDEX(tblDados[País],MATCH($A152,TRIM(tblDados[Mandante]),0)),INDEX(tblDados[País],MATCH($A152,TRIM(tblDados[Visitante]),0))),_xlpm.l,IFERROR(INDEX(tblDados[Liga],MATCH($A152,TRIM(tblDados[Mandante]),0)),INDEX(tblDados[Liga],MATCH($A152,TRIM(tblDados[Visitante]),0))),_xlpm.p&amp;" - "&amp;_xlpm.l))</f>
        <v>CHN - Super League</v>
      </c>
      <c r="C152" s="10">
        <f t="shared" si="32"/>
        <v>3.4285714285714288</v>
      </c>
      <c r="D152" s="10">
        <f t="shared" si="33"/>
        <v>3.833333333333333</v>
      </c>
      <c r="E152" s="9" cm="1">
        <f t="array" ref="E152">IF($A152="","",SUMPRODUCT((TRIM(tblDados[Mandante])=$A152)*tblDados[Primeira_Ocorrencia]))</f>
        <v>7</v>
      </c>
      <c r="F152" s="9" cm="1">
        <f t="array" ref="F152">IF($A152="","",SUMPRODUCT((TRIM(tblDados[Visitante])=$A152)*tblDados[Primeira_Ocorrencia]))</f>
        <v>6</v>
      </c>
      <c r="G152" s="9" cm="1">
        <f t="array" ref="G152">IF($A152="","",SUMPRODUCT((TRIM(tblDados[Mandante])=$A152)*tblDados[Primeira_Ocorrencia])+SUMPRODUCT((TRIM(tblDados[Visitante])=$A152)*tblDados[Primeira_Ocorrencia]))</f>
        <v>13</v>
      </c>
      <c r="H152" s="10">
        <f t="shared" si="34"/>
        <v>1.7692307692307692</v>
      </c>
      <c r="I152" s="10" cm="1">
        <f t="array" ref="I152">IF($A152="","",_xlfn.LET(_xlpm.p,IFERROR(INDEX(tblDados[País],MATCH($A152,TRIM(tblDados[Mandante]),0)),INDEX(tblDados[País],MATCH($A152,TRIM(tblDados[Visitante]),0))),_xlpm.l,IFERROR(INDEX(tblDados[Liga],MATCH($A152,TRIM(tblDados[Mandante]),0)),INDEX(tblDados[Liga],MATCH($A152,TRIM(tblDados[Visitante]),0))),IFERROR(SUMIFS(Ligas!$D$2:$D$39,Ligas!$H$2:$H$39,_xlpm.p,Ligas!$I$2:$I$39,_xlpm.l),0)))</f>
        <v>2.5</v>
      </c>
      <c r="J152" s="11" cm="1">
        <f t="array" ref="J152">IF($A152="","",IFERROR((SUMPRODUCT((TRIM(tblDados[Mandante])=$A152)*tblDados[Primeira_Ocorrencia]*(tblDados[GM_M]=0))+SUMPRODUCT((TRIM(tblDados[Visitante])=$A152)*tblDados[Primeira_Ocorrencia]*(tblDados[GM_V]=0)))/G152,0))</f>
        <v>7.6923076923076927E-2</v>
      </c>
      <c r="K152" s="11" cm="1">
        <f t="array" ref="K152">IF($A152="","",IFERROR((SUMPRODUCT((TRIM(tblDados[Mandante])=$A152)*tblDados[Primeira_Ocorrencia]*((tblDados[GM_M]+tblDados[GS_M])&gt;0.5))+SUMPRODUCT((TRIM(tblDados[Visitante])=$A152)*tblDados[Primeira_Ocorrencia]*((tblDados[GM_V]+tblDados[GS_V])&gt;0.5)))/G152,0))</f>
        <v>0.92307692307692313</v>
      </c>
      <c r="L152" s="11" cm="1">
        <f t="array" ref="L152">IF($A152="","",IFERROR((SUMPRODUCT((TRIM(tblDados[Mandante])=$A152)*tblDados[Primeira_Ocorrencia]*((tblDados[GM_M]+tblDados[GS_M])&gt;1.5))+SUMPRODUCT((TRIM(tblDados[Visitante])=$A152)*tblDados[Primeira_Ocorrencia]*((tblDados[GM_V]+tblDados[GS_V])&gt;1.5)))/G152,0))</f>
        <v>0.76923076923076927</v>
      </c>
      <c r="M152" s="11" cm="1">
        <f t="array" ref="M152">IF($A152="","",IFERROR((SUMPRODUCT((TRIM(tblDados[Mandante])=$A152)*tblDados[Primeira_Ocorrencia]*((tblDados[GM_M]+tblDados[GS_M])&gt;2.5))+SUMPRODUCT((TRIM(tblDados[Visitante])=$A152)*tblDados[Primeira_Ocorrencia]*((tblDados[GM_V]+tblDados[GS_V])&gt;2.5)))/G152,0))</f>
        <v>0.69230769230769229</v>
      </c>
      <c r="N152" s="11" cm="1">
        <f t="array" ref="N152">IF($A152="","",IFERROR((SUMPRODUCT((TRIM(tblDados[Mandante])=$A152)*tblDados[Primeira_Ocorrencia]*((tblDados[GM_M]+tblDados[GS_M])&gt;3.5))+SUMPRODUCT((TRIM(tblDados[Visitante])=$A152)*tblDados[Primeira_Ocorrencia]*((tblDados[GM_V]+tblDados[GS_V])&gt;3.5)))/G152,0))</f>
        <v>0.46153846153846156</v>
      </c>
      <c r="O152" s="11" cm="1">
        <f t="array" ref="O152">IF($A152="","",IFERROR((SUMPRODUCT((TRIM(tblDados[Mandante])=$A152)*tblDados[Primeira_Ocorrencia]*(tblDados[GM_M]&gt;0)*(tblDados[GS_M]&gt;0))+SUMPRODUCT((TRIM(tblDados[Visitante])=$A152)*tblDados[Primeira_Ocorrencia]*(tblDados[GM_V]&gt;0)*(tblDados[GS_V]&gt;0)))/G152,0))</f>
        <v>0.76923076923076927</v>
      </c>
      <c r="P152" s="10" cm="1">
        <f t="array" ref="P152">IF($A152="","",IFERROR((SUMPRODUCT((TRIM(tblDados[Mandante])=$A152)*tblDados[Primeira_Ocorrencia]*tblDados[GM_M]^2)+SUMPRODUCT((TRIM(tblDados[Visitante])=$A152)*tblDados[Primeira_Ocorrencia]*tblDados[GM_V]^2))/G152-H152^2,0))</f>
        <v>0.94674556213017746</v>
      </c>
      <c r="Q152" s="10">
        <f t="shared" si="35"/>
        <v>0.97300851082103978</v>
      </c>
      <c r="R152" s="8" t="str">
        <f t="shared" si="36"/>
        <v>Poisson</v>
      </c>
      <c r="S152" s="10" cm="1">
        <f t="array" ref="S152">IF($A152="","",SUMPRODUCT((TRIM(tblDados[Mandante])=$A152)*tblDados[Primeira_Ocorrencia]*tblDados[GM_M]))</f>
        <v>13</v>
      </c>
      <c r="T152" s="10" cm="1">
        <f t="array" ref="T152">IF($A152="","",SUMPRODUCT((TRIM(tblDados[Visitante])=$A152)*tblDados[Primeira_Ocorrencia]*tblDados[GM_V]))</f>
        <v>10</v>
      </c>
      <c r="U152" s="10">
        <f t="shared" si="37"/>
        <v>23</v>
      </c>
      <c r="V152" s="10">
        <f t="shared" si="26"/>
        <v>1.7692307692307692</v>
      </c>
      <c r="W152" s="10" cm="1">
        <f t="array" ref="W152">IF($A152="","",SUMPRODUCT((TRIM(tblDados[Mandante])=$A152)*tblDados[Primeira_Ocorrencia]*tblDados[GS_M]))</f>
        <v>11</v>
      </c>
      <c r="X152" s="10" cm="1">
        <f t="array" ref="X152">IF($A152="","",SUMPRODUCT((TRIM(tblDados[Visitante])=$A152)*tblDados[Primeira_Ocorrencia]*tblDados[GS_V]))</f>
        <v>13</v>
      </c>
      <c r="Y152" s="10">
        <f t="shared" si="38"/>
        <v>24</v>
      </c>
      <c r="Z152" s="10">
        <f t="shared" si="27"/>
        <v>1.8461538461538463</v>
      </c>
      <c r="AA152" s="10">
        <f t="shared" si="28"/>
        <v>1.8571428571428572</v>
      </c>
      <c r="AB152" s="10">
        <f t="shared" si="29"/>
        <v>1.5714285714285714</v>
      </c>
      <c r="AC152" s="10">
        <f t="shared" si="30"/>
        <v>1.6666666666666667</v>
      </c>
      <c r="AD152" s="10">
        <f t="shared" si="31"/>
        <v>2.1666666666666665</v>
      </c>
    </row>
    <row r="153" spans="1:30" x14ac:dyDescent="0.3">
      <c r="A153" s="7" t="str">
        <v>Aalesunds FK</v>
      </c>
      <c r="B153" s="12" t="str" cm="1">
        <f t="array" ref="B153">IF($A153="","",_xlfn.LET(_xlpm.p,IFERROR(INDEX(tblDados[País],MATCH($A153,TRIM(tblDados[Mandante]),0)),INDEX(tblDados[País],MATCH($A153,TRIM(tblDados[Visitante]),0))),_xlpm.l,IFERROR(INDEX(tblDados[Liga],MATCH($A153,TRIM(tblDados[Mandante]),0)),INDEX(tblDados[Liga],MATCH($A153,TRIM(tblDados[Visitante]),0))),_xlpm.p&amp;" - "&amp;_xlpm.l))</f>
        <v>NOR - Eliteserien</v>
      </c>
      <c r="C153" s="10">
        <f t="shared" si="32"/>
        <v>3.833333333333333</v>
      </c>
      <c r="D153" s="10">
        <f t="shared" si="33"/>
        <v>3.3333333333333335</v>
      </c>
      <c r="E153" s="9" cm="1">
        <f t="array" ref="E153">IF($A153="","",SUMPRODUCT((TRIM(tblDados[Mandante])=$A153)*tblDados[Primeira_Ocorrencia]))</f>
        <v>6</v>
      </c>
      <c r="F153" s="9" cm="1">
        <f t="array" ref="F153">IF($A153="","",SUMPRODUCT((TRIM(tblDados[Visitante])=$A153)*tblDados[Primeira_Ocorrencia]))</f>
        <v>6</v>
      </c>
      <c r="G153" s="9" cm="1">
        <f t="array" ref="G153">IF($A153="","",SUMPRODUCT((TRIM(tblDados[Mandante])=$A153)*tblDados[Primeira_Ocorrencia])+SUMPRODUCT((TRIM(tblDados[Visitante])=$A153)*tblDados[Primeira_Ocorrencia]))</f>
        <v>12</v>
      </c>
      <c r="H153" s="10">
        <f t="shared" si="34"/>
        <v>1.3333333333333333</v>
      </c>
      <c r="I153" s="10" cm="1">
        <f t="array" ref="I153">IF($A153="","",_xlfn.LET(_xlpm.p,IFERROR(INDEX(tblDados[País],MATCH($A153,TRIM(tblDados[Mandante]),0)),INDEX(tblDados[País],MATCH($A153,TRIM(tblDados[Visitante]),0))),_xlpm.l,IFERROR(INDEX(tblDados[Liga],MATCH($A153,TRIM(tblDados[Mandante]),0)),INDEX(tblDados[Liga],MATCH($A153,TRIM(tblDados[Visitante]),0))),IFERROR(SUMIFS(Ligas!$D$2:$D$39,Ligas!$H$2:$H$39,_xlpm.p,Ligas!$I$2:$I$39,_xlpm.l),0)))</f>
        <v>2.5</v>
      </c>
      <c r="J153" s="11" cm="1">
        <f t="array" ref="J153">IF($A153="","",IFERROR((SUMPRODUCT((TRIM(tblDados[Mandante])=$A153)*tblDados[Primeira_Ocorrencia]*(tblDados[GM_M]=0))+SUMPRODUCT((TRIM(tblDados[Visitante])=$A153)*tblDados[Primeira_Ocorrencia]*(tblDados[GM_V]=0)))/G153,0))</f>
        <v>0.16666666666666666</v>
      </c>
      <c r="K153" s="11" cm="1">
        <f t="array" ref="K153">IF($A153="","",IFERROR((SUMPRODUCT((TRIM(tblDados[Mandante])=$A153)*tblDados[Primeira_Ocorrencia]*((tblDados[GM_M]+tblDados[GS_M])&gt;0.5))+SUMPRODUCT((TRIM(tblDados[Visitante])=$A153)*tblDados[Primeira_Ocorrencia]*((tblDados[GM_V]+tblDados[GS_V])&gt;0.5)))/G153,0))</f>
        <v>1</v>
      </c>
      <c r="L153" s="11" cm="1">
        <f t="array" ref="L153">IF($A153="","",IFERROR((SUMPRODUCT((TRIM(tblDados[Mandante])=$A153)*tblDados[Primeira_Ocorrencia]*((tblDados[GM_M]+tblDados[GS_M])&gt;1.5))+SUMPRODUCT((TRIM(tblDados[Visitante])=$A153)*tblDados[Primeira_Ocorrencia]*((tblDados[GM_V]+tblDados[GS_V])&gt;1.5)))/G153,0))</f>
        <v>0.91666666666666663</v>
      </c>
      <c r="M153" s="11" cm="1">
        <f t="array" ref="M153">IF($A153="","",IFERROR((SUMPRODUCT((TRIM(tblDados[Mandante])=$A153)*tblDados[Primeira_Ocorrencia]*((tblDados[GM_M]+tblDados[GS_M])&gt;2.5))+SUMPRODUCT((TRIM(tblDados[Visitante])=$A153)*tblDados[Primeira_Ocorrencia]*((tblDados[GM_V]+tblDados[GS_V])&gt;2.5)))/G153,0))</f>
        <v>0.58333333333333337</v>
      </c>
      <c r="N153" s="11" cm="1">
        <f t="array" ref="N153">IF($A153="","",IFERROR((SUMPRODUCT((TRIM(tblDados[Mandante])=$A153)*tblDados[Primeira_Ocorrencia]*((tblDados[GM_M]+tblDados[GS_M])&gt;3.5))+SUMPRODUCT((TRIM(tblDados[Visitante])=$A153)*tblDados[Primeira_Ocorrencia]*((tblDados[GM_V]+tblDados[GS_V])&gt;3.5)))/G153,0))</f>
        <v>0.41666666666666669</v>
      </c>
      <c r="O153" s="11" cm="1">
        <f t="array" ref="O153">IF($A153="","",IFERROR((SUMPRODUCT((TRIM(tblDados[Mandante])=$A153)*tblDados[Primeira_Ocorrencia]*(tblDados[GM_M]&gt;0)*(tblDados[GS_M]&gt;0))+SUMPRODUCT((TRIM(tblDados[Visitante])=$A153)*tblDados[Primeira_Ocorrencia]*(tblDados[GM_V]&gt;0)*(tblDados[GS_V]&gt;0)))/G153,0))</f>
        <v>0.83333333333333337</v>
      </c>
      <c r="P153" s="10" cm="1">
        <f t="array" ref="P153">IF($A153="","",IFERROR((SUMPRODUCT((TRIM(tblDados[Mandante])=$A153)*tblDados[Primeira_Ocorrencia]*tblDados[GM_M]^2)+SUMPRODUCT((TRIM(tblDados[Visitante])=$A153)*tblDados[Primeira_Ocorrencia]*tblDados[GM_V]^2))/G153-H153^2,0))</f>
        <v>0.72222222222222232</v>
      </c>
      <c r="Q153" s="10">
        <f t="shared" si="35"/>
        <v>0.84983658559879749</v>
      </c>
      <c r="R153" s="8" t="str">
        <f t="shared" si="36"/>
        <v>Poisson</v>
      </c>
      <c r="S153" s="10" cm="1">
        <f t="array" ref="S153">IF($A153="","",SUMPRODUCT((TRIM(tblDados[Mandante])=$A153)*tblDados[Primeira_Ocorrencia]*tblDados[GM_M]))</f>
        <v>10</v>
      </c>
      <c r="T153" s="10" cm="1">
        <f t="array" ref="T153">IF($A153="","",SUMPRODUCT((TRIM(tblDados[Visitante])=$A153)*tblDados[Primeira_Ocorrencia]*tblDados[GM_V]))</f>
        <v>6</v>
      </c>
      <c r="U153" s="10">
        <f t="shared" si="37"/>
        <v>16</v>
      </c>
      <c r="V153" s="10">
        <f t="shared" si="26"/>
        <v>1.3333333333333333</v>
      </c>
      <c r="W153" s="10" cm="1">
        <f t="array" ref="W153">IF($A153="","",SUMPRODUCT((TRIM(tblDados[Mandante])=$A153)*tblDados[Primeira_Ocorrencia]*tblDados[GS_M]))</f>
        <v>13</v>
      </c>
      <c r="X153" s="10" cm="1">
        <f t="array" ref="X153">IF($A153="","",SUMPRODUCT((TRIM(tblDados[Visitante])=$A153)*tblDados[Primeira_Ocorrencia]*tblDados[GS_V]))</f>
        <v>14</v>
      </c>
      <c r="Y153" s="10">
        <f t="shared" si="38"/>
        <v>27</v>
      </c>
      <c r="Z153" s="10">
        <f t="shared" si="27"/>
        <v>2.25</v>
      </c>
      <c r="AA153" s="10">
        <f t="shared" si="28"/>
        <v>1.6666666666666667</v>
      </c>
      <c r="AB153" s="10">
        <f t="shared" si="29"/>
        <v>2.1666666666666665</v>
      </c>
      <c r="AC153" s="10">
        <f t="shared" si="30"/>
        <v>1</v>
      </c>
      <c r="AD153" s="10">
        <f t="shared" si="31"/>
        <v>2.3333333333333335</v>
      </c>
    </row>
    <row r="154" spans="1:30" x14ac:dyDescent="0.3">
      <c r="A154" s="7" t="str">
        <v>AC Oulu</v>
      </c>
      <c r="B154" s="12" t="str" cm="1">
        <f t="array" ref="B154">IF($A154="","",_xlfn.LET(_xlpm.p,IFERROR(INDEX(tblDados[País],MATCH($A154,TRIM(tblDados[Mandante]),0)),INDEX(tblDados[País],MATCH($A154,TRIM(tblDados[Visitante]),0))),_xlpm.l,IFERROR(INDEX(tblDados[Liga],MATCH($A154,TRIM(tblDados[Mandante]),0)),INDEX(tblDados[Liga],MATCH($A154,TRIM(tblDados[Visitante]),0))),_xlpm.p&amp;" - "&amp;_xlpm.l))</f>
        <v>FIN - Veikkausliiga</v>
      </c>
      <c r="C154" s="10">
        <f t="shared" si="32"/>
        <v>2</v>
      </c>
      <c r="D154" s="10">
        <f t="shared" si="33"/>
        <v>2.166666666666667</v>
      </c>
      <c r="E154" s="9" cm="1">
        <f t="array" ref="E154">IF($A154="","",SUMPRODUCT((TRIM(tblDados[Mandante])=$A154)*tblDados[Primeira_Ocorrencia]))</f>
        <v>6</v>
      </c>
      <c r="F154" s="9" cm="1">
        <f t="array" ref="F154">IF($A154="","",SUMPRODUCT((TRIM(tblDados[Visitante])=$A154)*tblDados[Primeira_Ocorrencia]))</f>
        <v>6</v>
      </c>
      <c r="G154" s="9" cm="1">
        <f t="array" ref="G154">IF($A154="","",SUMPRODUCT((TRIM(tblDados[Mandante])=$A154)*tblDados[Primeira_Ocorrencia])+SUMPRODUCT((TRIM(tblDados[Visitante])=$A154)*tblDados[Primeira_Ocorrencia]))</f>
        <v>12</v>
      </c>
      <c r="H154" s="10">
        <f t="shared" si="34"/>
        <v>0.83333333333333337</v>
      </c>
      <c r="I154" s="10" cm="1">
        <f t="array" ref="I154">IF($A154="","",_xlfn.LET(_xlpm.p,IFERROR(INDEX(tblDados[País],MATCH($A154,TRIM(tblDados[Mandante]),0)),INDEX(tblDados[País],MATCH($A154,TRIM(tblDados[Visitante]),0))),_xlpm.l,IFERROR(INDEX(tblDados[Liga],MATCH($A154,TRIM(tblDados[Mandante]),0)),INDEX(tblDados[Liga],MATCH($A154,TRIM(tblDados[Visitante]),0))),IFERROR(SUMIFS(Ligas!$D$2:$D$39,Ligas!$H$2:$H$39,_xlpm.p,Ligas!$I$2:$I$39,_xlpm.l),0)))</f>
        <v>2.6</v>
      </c>
      <c r="J154" s="11" cm="1">
        <f t="array" ref="J154">IF($A154="","",IFERROR((SUMPRODUCT((TRIM(tblDados[Mandante])=$A154)*tblDados[Primeira_Ocorrencia]*(tblDados[GM_M]=0))+SUMPRODUCT((TRIM(tblDados[Visitante])=$A154)*tblDados[Primeira_Ocorrencia]*(tblDados[GM_V]=0)))/G154,0))</f>
        <v>0.33333333333333331</v>
      </c>
      <c r="K154" s="11" cm="1">
        <f t="array" ref="K154">IF($A154="","",IFERROR((SUMPRODUCT((TRIM(tblDados[Mandante])=$A154)*tblDados[Primeira_Ocorrencia]*((tblDados[GM_M]+tblDados[GS_M])&gt;0.5))+SUMPRODUCT((TRIM(tblDados[Visitante])=$A154)*tblDados[Primeira_Ocorrencia]*((tblDados[GM_V]+tblDados[GS_V])&gt;0.5)))/G154,0))</f>
        <v>0.91666666666666663</v>
      </c>
      <c r="L154" s="11" cm="1">
        <f t="array" ref="L154">IF($A154="","",IFERROR((SUMPRODUCT((TRIM(tblDados[Mandante])=$A154)*tblDados[Primeira_Ocorrencia]*((tblDados[GM_M]+tblDados[GS_M])&gt;1.5))+SUMPRODUCT((TRIM(tblDados[Visitante])=$A154)*tblDados[Primeira_Ocorrencia]*((tblDados[GM_V]+tblDados[GS_V])&gt;1.5)))/G154,0))</f>
        <v>0.58333333333333337</v>
      </c>
      <c r="M154" s="11" cm="1">
        <f t="array" ref="M154">IF($A154="","",IFERROR((SUMPRODUCT((TRIM(tblDados[Mandante])=$A154)*tblDados[Primeira_Ocorrencia]*((tblDados[GM_M]+tblDados[GS_M])&gt;2.5))+SUMPRODUCT((TRIM(tblDados[Visitante])=$A154)*tblDados[Primeira_Ocorrencia]*((tblDados[GM_V]+tblDados[GS_V])&gt;2.5)))/G154,0))</f>
        <v>0.33333333333333331</v>
      </c>
      <c r="N154" s="11" cm="1">
        <f t="array" ref="N154">IF($A154="","",IFERROR((SUMPRODUCT((TRIM(tblDados[Mandante])=$A154)*tblDados[Primeira_Ocorrencia]*((tblDados[GM_M]+tblDados[GS_M])&gt;3.5))+SUMPRODUCT((TRIM(tblDados[Visitante])=$A154)*tblDados[Primeira_Ocorrencia]*((tblDados[GM_V]+tblDados[GS_V])&gt;3.5)))/G154,0))</f>
        <v>8.3333333333333329E-2</v>
      </c>
      <c r="O154" s="11" cm="1">
        <f t="array" ref="O154">IF($A154="","",IFERROR((SUMPRODUCT((TRIM(tblDados[Mandante])=$A154)*tblDados[Primeira_Ocorrencia]*(tblDados[GM_M]&gt;0)*(tblDados[GS_M]&gt;0))+SUMPRODUCT((TRIM(tblDados[Visitante])=$A154)*tblDados[Primeira_Ocorrencia]*(tblDados[GM_V]&gt;0)*(tblDados[GS_V]&gt;0)))/G154,0))</f>
        <v>0.41666666666666669</v>
      </c>
      <c r="P154" s="10" cm="1">
        <f t="array" ref="P154">IF($A154="","",IFERROR((SUMPRODUCT((TRIM(tblDados[Mandante])=$A154)*tblDados[Primeira_Ocorrencia]*tblDados[GM_M]^2)+SUMPRODUCT((TRIM(tblDados[Visitante])=$A154)*tblDados[Primeira_Ocorrencia]*tblDados[GM_V]^2))/G154-H154^2,0))</f>
        <v>0.47222222222222221</v>
      </c>
      <c r="Q154" s="10">
        <f t="shared" si="35"/>
        <v>0.68718427093627676</v>
      </c>
      <c r="R154" s="8" t="str">
        <f t="shared" si="36"/>
        <v>Poisson</v>
      </c>
      <c r="S154" s="10" cm="1">
        <f t="array" ref="S154">IF($A154="","",SUMPRODUCT((TRIM(tblDados[Mandante])=$A154)*tblDados[Primeira_Ocorrencia]*tblDados[GM_M]))</f>
        <v>7</v>
      </c>
      <c r="T154" s="10" cm="1">
        <f t="array" ref="T154">IF($A154="","",SUMPRODUCT((TRIM(tblDados[Visitante])=$A154)*tblDados[Primeira_Ocorrencia]*tblDados[GM_V]))</f>
        <v>3</v>
      </c>
      <c r="U154" s="10">
        <f t="shared" si="37"/>
        <v>10</v>
      </c>
      <c r="V154" s="10">
        <f t="shared" si="26"/>
        <v>0.83333333333333337</v>
      </c>
      <c r="W154" s="10" cm="1">
        <f t="array" ref="W154">IF($A154="","",SUMPRODUCT((TRIM(tblDados[Mandante])=$A154)*tblDados[Primeira_Ocorrencia]*tblDados[GS_M]))</f>
        <v>5</v>
      </c>
      <c r="X154" s="10" cm="1">
        <f t="array" ref="X154">IF($A154="","",SUMPRODUCT((TRIM(tblDados[Visitante])=$A154)*tblDados[Primeira_Ocorrencia]*tblDados[GS_V]))</f>
        <v>10</v>
      </c>
      <c r="Y154" s="10">
        <f t="shared" si="38"/>
        <v>15</v>
      </c>
      <c r="Z154" s="10">
        <f t="shared" si="27"/>
        <v>1.25</v>
      </c>
      <c r="AA154" s="10">
        <f t="shared" si="28"/>
        <v>1.1666666666666667</v>
      </c>
      <c r="AB154" s="10">
        <f t="shared" si="29"/>
        <v>0.83333333333333337</v>
      </c>
      <c r="AC154" s="10">
        <f t="shared" si="30"/>
        <v>0.5</v>
      </c>
      <c r="AD154" s="10">
        <f t="shared" si="31"/>
        <v>1.6666666666666667</v>
      </c>
    </row>
    <row r="155" spans="1:30" x14ac:dyDescent="0.3">
      <c r="A155" s="7" t="str">
        <v>AFC Eskilstuna</v>
      </c>
      <c r="B155" s="12" t="str" cm="1">
        <f t="array" ref="B155">IF($A155="","",_xlfn.LET(_xlpm.p,IFERROR(INDEX(tblDados[País],MATCH($A155,TRIM(tblDados[Mandante]),0)),INDEX(tblDados[País],MATCH($A155,TRIM(tblDados[Visitante]),0))),_xlpm.l,IFERROR(INDEX(tblDados[Liga],MATCH($A155,TRIM(tblDados[Mandante]),0)),INDEX(tblDados[Liga],MATCH($A155,TRIM(tblDados[Visitante]),0))),_xlpm.p&amp;" - "&amp;_xlpm.l))</f>
        <v>SWE - 1ª D Norra</v>
      </c>
      <c r="C155" s="10">
        <f t="shared" si="32"/>
        <v>2</v>
      </c>
      <c r="D155" s="10">
        <f t="shared" si="33"/>
        <v>3.5</v>
      </c>
      <c r="E155" s="9" cm="1">
        <f t="array" ref="E155">IF($A155="","",SUMPRODUCT((TRIM(tblDados[Mandante])=$A155)*tblDados[Primeira_Ocorrencia]))</f>
        <v>6</v>
      </c>
      <c r="F155" s="9" cm="1">
        <f t="array" ref="F155">IF($A155="","",SUMPRODUCT((TRIM(tblDados[Visitante])=$A155)*tblDados[Primeira_Ocorrencia]))</f>
        <v>6</v>
      </c>
      <c r="G155" s="9" cm="1">
        <f t="array" ref="G155">IF($A155="","",SUMPRODUCT((TRIM(tblDados[Mandante])=$A155)*tblDados[Primeira_Ocorrencia])+SUMPRODUCT((TRIM(tblDados[Visitante])=$A155)*tblDados[Primeira_Ocorrencia]))</f>
        <v>12</v>
      </c>
      <c r="H155" s="10">
        <f t="shared" si="34"/>
        <v>1.5833333333333333</v>
      </c>
      <c r="I155" s="10" cm="1">
        <f t="array" ref="I155">IF($A155="","",_xlfn.LET(_xlpm.p,IFERROR(INDEX(tblDados[País],MATCH($A155,TRIM(tblDados[Mandante]),0)),INDEX(tblDados[País],MATCH($A155,TRIM(tblDados[Visitante]),0))),_xlpm.l,IFERROR(INDEX(tblDados[Liga],MATCH($A155,TRIM(tblDados[Mandante]),0)),INDEX(tblDados[Liga],MATCH($A155,TRIM(tblDados[Visitante]),0))),IFERROR(SUMIFS(Ligas!$D$2:$D$39,Ligas!$H$2:$H$39,_xlpm.p,Ligas!$I$2:$I$39,_xlpm.l),0)))</f>
        <v>2.5</v>
      </c>
      <c r="J155" s="11" cm="1">
        <f t="array" ref="J155">IF($A155="","",IFERROR((SUMPRODUCT((TRIM(tblDados[Mandante])=$A155)*tblDados[Primeira_Ocorrencia]*(tblDados[GM_M]=0))+SUMPRODUCT((TRIM(tblDados[Visitante])=$A155)*tblDados[Primeira_Ocorrencia]*(tblDados[GM_V]=0)))/G155,0))</f>
        <v>0.25</v>
      </c>
      <c r="K155" s="11" cm="1">
        <f t="array" ref="K155">IF($A155="","",IFERROR((SUMPRODUCT((TRIM(tblDados[Mandante])=$A155)*tblDados[Primeira_Ocorrencia]*((tblDados[GM_M]+tblDados[GS_M])&gt;0.5))+SUMPRODUCT((TRIM(tblDados[Visitante])=$A155)*tblDados[Primeira_Ocorrencia]*((tblDados[GM_V]+tblDados[GS_V])&gt;0.5)))/G155,0))</f>
        <v>0.91666666666666663</v>
      </c>
      <c r="L155" s="11" cm="1">
        <f t="array" ref="L155">IF($A155="","",IFERROR((SUMPRODUCT((TRIM(tblDados[Mandante])=$A155)*tblDados[Primeira_Ocorrencia]*((tblDados[GM_M]+tblDados[GS_M])&gt;1.5))+SUMPRODUCT((TRIM(tblDados[Visitante])=$A155)*tblDados[Primeira_Ocorrencia]*((tblDados[GM_V]+tblDados[GS_V])&gt;1.5)))/G155,0))</f>
        <v>0.75</v>
      </c>
      <c r="M155" s="11" cm="1">
        <f t="array" ref="M155">IF($A155="","",IFERROR((SUMPRODUCT((TRIM(tblDados[Mandante])=$A155)*tblDados[Primeira_Ocorrencia]*((tblDados[GM_M]+tblDados[GS_M])&gt;2.5))+SUMPRODUCT((TRIM(tblDados[Visitante])=$A155)*tblDados[Primeira_Ocorrencia]*((tblDados[GM_V]+tblDados[GS_V])&gt;2.5)))/G155,0))</f>
        <v>0.58333333333333337</v>
      </c>
      <c r="N155" s="11" cm="1">
        <f t="array" ref="N155">IF($A155="","",IFERROR((SUMPRODUCT((TRIM(tblDados[Mandante])=$A155)*tblDados[Primeira_Ocorrencia]*((tblDados[GM_M]+tblDados[GS_M])&gt;3.5))+SUMPRODUCT((TRIM(tblDados[Visitante])=$A155)*tblDados[Primeira_Ocorrencia]*((tblDados[GM_V]+tblDados[GS_V])&gt;3.5)))/G155,0))</f>
        <v>0.33333333333333331</v>
      </c>
      <c r="O155" s="11" cm="1">
        <f t="array" ref="O155">IF($A155="","",IFERROR((SUMPRODUCT((TRIM(tblDados[Mandante])=$A155)*tblDados[Primeira_Ocorrencia]*(tblDados[GM_M]&gt;0)*(tblDados[GS_M]&gt;0))+SUMPRODUCT((TRIM(tblDados[Visitante])=$A155)*tblDados[Primeira_Ocorrencia]*(tblDados[GM_V]&gt;0)*(tblDados[GS_V]&gt;0)))/G155,0))</f>
        <v>0.5</v>
      </c>
      <c r="P155" s="10" cm="1">
        <f t="array" ref="P155">IF($A155="","",IFERROR((SUMPRODUCT((TRIM(tblDados[Mandante])=$A155)*tblDados[Primeira_Ocorrencia]*tblDados[GM_M]^2)+SUMPRODUCT((TRIM(tblDados[Visitante])=$A155)*tblDados[Primeira_Ocorrencia]*tblDados[GM_V]^2))/G155-H155^2,0))</f>
        <v>1.5763888888888888</v>
      </c>
      <c r="Q155" s="10">
        <f t="shared" si="35"/>
        <v>1.2555432644432802</v>
      </c>
      <c r="R155" s="8" t="str">
        <f t="shared" si="36"/>
        <v>Poisson</v>
      </c>
      <c r="S155" s="10" cm="1">
        <f t="array" ref="S155">IF($A155="","",SUMPRODUCT((TRIM(tblDados[Mandante])=$A155)*tblDados[Primeira_Ocorrencia]*tblDados[GM_M]))</f>
        <v>5</v>
      </c>
      <c r="T155" s="10" cm="1">
        <f t="array" ref="T155">IF($A155="","",SUMPRODUCT((TRIM(tblDados[Visitante])=$A155)*tblDados[Primeira_Ocorrencia]*tblDados[GM_V]))</f>
        <v>14</v>
      </c>
      <c r="U155" s="10">
        <f t="shared" si="37"/>
        <v>19</v>
      </c>
      <c r="V155" s="10">
        <f t="shared" si="26"/>
        <v>1.5833333333333333</v>
      </c>
      <c r="W155" s="10" cm="1">
        <f t="array" ref="W155">IF($A155="","",SUMPRODUCT((TRIM(tblDados[Mandante])=$A155)*tblDados[Primeira_Ocorrencia]*tblDados[GS_M]))</f>
        <v>7</v>
      </c>
      <c r="X155" s="10" cm="1">
        <f t="array" ref="X155">IF($A155="","",SUMPRODUCT((TRIM(tblDados[Visitante])=$A155)*tblDados[Primeira_Ocorrencia]*tblDados[GS_V]))</f>
        <v>7</v>
      </c>
      <c r="Y155" s="10">
        <f t="shared" si="38"/>
        <v>14</v>
      </c>
      <c r="Z155" s="10">
        <f t="shared" si="27"/>
        <v>1.1666666666666667</v>
      </c>
      <c r="AA155" s="10">
        <f t="shared" si="28"/>
        <v>0.83333333333333337</v>
      </c>
      <c r="AB155" s="10">
        <f t="shared" si="29"/>
        <v>1.1666666666666667</v>
      </c>
      <c r="AC155" s="10">
        <f t="shared" si="30"/>
        <v>2.3333333333333335</v>
      </c>
      <c r="AD155" s="10">
        <f t="shared" si="31"/>
        <v>1.1666666666666667</v>
      </c>
    </row>
    <row r="156" spans="1:30" x14ac:dyDescent="0.3">
      <c r="A156" s="7" t="str">
        <v>AFC Malmö</v>
      </c>
      <c r="B156" s="12" t="str" cm="1">
        <f t="array" ref="B156">IF($A156="","",_xlfn.LET(_xlpm.p,IFERROR(INDEX(tblDados[País],MATCH($A156,TRIM(tblDados[Mandante]),0)),INDEX(tblDados[País],MATCH($A156,TRIM(tblDados[Visitante]),0))),_xlpm.l,IFERROR(INDEX(tblDados[Liga],MATCH($A156,TRIM(tblDados[Mandante]),0)),INDEX(tblDados[Liga],MATCH($A156,TRIM(tblDados[Visitante]),0))),_xlpm.p&amp;" - "&amp;_xlpm.l))</f>
        <v>SWE - 1ª D Södra</v>
      </c>
      <c r="C156" s="10">
        <f t="shared" si="32"/>
        <v>3.1428571428571428</v>
      </c>
      <c r="D156" s="10">
        <f t="shared" si="33"/>
        <v>3.6</v>
      </c>
      <c r="E156" s="9" cm="1">
        <f t="array" ref="E156">IF($A156="","",SUMPRODUCT((TRIM(tblDados[Mandante])=$A156)*tblDados[Primeira_Ocorrencia]))</f>
        <v>7</v>
      </c>
      <c r="F156" s="9" cm="1">
        <f t="array" ref="F156">IF($A156="","",SUMPRODUCT((TRIM(tblDados[Visitante])=$A156)*tblDados[Primeira_Ocorrencia]))</f>
        <v>5</v>
      </c>
      <c r="G156" s="9" cm="1">
        <f t="array" ref="G156">IF($A156="","",SUMPRODUCT((TRIM(tblDados[Mandante])=$A156)*tblDados[Primeira_Ocorrencia])+SUMPRODUCT((TRIM(tblDados[Visitante])=$A156)*tblDados[Primeira_Ocorrencia]))</f>
        <v>12</v>
      </c>
      <c r="H156" s="10">
        <f t="shared" si="34"/>
        <v>2.25</v>
      </c>
      <c r="I156" s="10" cm="1">
        <f t="array" ref="I156">IF($A156="","",_xlfn.LET(_xlpm.p,IFERROR(INDEX(tblDados[País],MATCH($A156,TRIM(tblDados[Mandante]),0)),INDEX(tblDados[País],MATCH($A156,TRIM(tblDados[Visitante]),0))),_xlpm.l,IFERROR(INDEX(tblDados[Liga],MATCH($A156,TRIM(tblDados[Mandante]),0)),INDEX(tblDados[Liga],MATCH($A156,TRIM(tblDados[Visitante]),0))),IFERROR(SUMIFS(Ligas!$D$2:$D$39,Ligas!$H$2:$H$39,_xlpm.p,Ligas!$I$2:$I$39,_xlpm.l),0)))</f>
        <v>2.5</v>
      </c>
      <c r="J156" s="11" cm="1">
        <f t="array" ref="J156">IF($A156="","",IFERROR((SUMPRODUCT((TRIM(tblDados[Mandante])=$A156)*tblDados[Primeira_Ocorrencia]*(tblDados[GM_M]=0))+SUMPRODUCT((TRIM(tblDados[Visitante])=$A156)*tblDados[Primeira_Ocorrencia]*(tblDados[GM_V]=0)))/G156,0))</f>
        <v>8.3333333333333329E-2</v>
      </c>
      <c r="K156" s="11" cm="1">
        <f t="array" ref="K156">IF($A156="","",IFERROR((SUMPRODUCT((TRIM(tblDados[Mandante])=$A156)*tblDados[Primeira_Ocorrencia]*((tblDados[GM_M]+tblDados[GS_M])&gt;0.5))+SUMPRODUCT((TRIM(tblDados[Visitante])=$A156)*tblDados[Primeira_Ocorrencia]*((tblDados[GM_V]+tblDados[GS_V])&gt;0.5)))/G156,0))</f>
        <v>1</v>
      </c>
      <c r="L156" s="11" cm="1">
        <f t="array" ref="L156">IF($A156="","",IFERROR((SUMPRODUCT((TRIM(tblDados[Mandante])=$A156)*tblDados[Primeira_Ocorrencia]*((tblDados[GM_M]+tblDados[GS_M])&gt;1.5))+SUMPRODUCT((TRIM(tblDados[Visitante])=$A156)*tblDados[Primeira_Ocorrencia]*((tblDados[GM_V]+tblDados[GS_V])&gt;1.5)))/G156,0))</f>
        <v>0.83333333333333337</v>
      </c>
      <c r="M156" s="11" cm="1">
        <f t="array" ref="M156">IF($A156="","",IFERROR((SUMPRODUCT((TRIM(tblDados[Mandante])=$A156)*tblDados[Primeira_Ocorrencia]*((tblDados[GM_M]+tblDados[GS_M])&gt;2.5))+SUMPRODUCT((TRIM(tblDados[Visitante])=$A156)*tblDados[Primeira_Ocorrencia]*((tblDados[GM_V]+tblDados[GS_V])&gt;2.5)))/G156,0))</f>
        <v>0.75</v>
      </c>
      <c r="N156" s="11" cm="1">
        <f t="array" ref="N156">IF($A156="","",IFERROR((SUMPRODUCT((TRIM(tblDados[Mandante])=$A156)*tblDados[Primeira_Ocorrencia]*((tblDados[GM_M]+tblDados[GS_M])&gt;3.5))+SUMPRODUCT((TRIM(tblDados[Visitante])=$A156)*tblDados[Primeira_Ocorrencia]*((tblDados[GM_V]+tblDados[GS_V])&gt;3.5)))/G156,0))</f>
        <v>0.41666666666666669</v>
      </c>
      <c r="O156" s="11" cm="1">
        <f t="array" ref="O156">IF($A156="","",IFERROR((SUMPRODUCT((TRIM(tblDados[Mandante])=$A156)*tblDados[Primeira_Ocorrencia]*(tblDados[GM_M]&gt;0)*(tblDados[GS_M]&gt;0))+SUMPRODUCT((TRIM(tblDados[Visitante])=$A156)*tblDados[Primeira_Ocorrencia]*(tblDados[GM_V]&gt;0)*(tblDados[GS_V]&gt;0)))/G156,0))</f>
        <v>0.58333333333333337</v>
      </c>
      <c r="P156" s="10" cm="1">
        <f t="array" ref="P156">IF($A156="","",IFERROR((SUMPRODUCT((TRIM(tblDados[Mandante])=$A156)*tblDados[Primeira_Ocorrencia]*tblDados[GM_M]^2)+SUMPRODUCT((TRIM(tblDados[Visitante])=$A156)*tblDados[Primeira_Ocorrencia]*tblDados[GM_V]^2))/G156-H156^2,0))</f>
        <v>1.6875</v>
      </c>
      <c r="Q156" s="10">
        <f t="shared" si="35"/>
        <v>1.299038105676658</v>
      </c>
      <c r="R156" s="8" t="str">
        <f t="shared" si="36"/>
        <v>Poisson</v>
      </c>
      <c r="S156" s="10" cm="1">
        <f t="array" ref="S156">IF($A156="","",SUMPRODUCT((TRIM(tblDados[Mandante])=$A156)*tblDados[Primeira_Ocorrencia]*tblDados[GM_M]))</f>
        <v>12</v>
      </c>
      <c r="T156" s="10" cm="1">
        <f t="array" ref="T156">IF($A156="","",SUMPRODUCT((TRIM(tblDados[Visitante])=$A156)*tblDados[Primeira_Ocorrencia]*tblDados[GM_V]))</f>
        <v>15</v>
      </c>
      <c r="U156" s="10">
        <f t="shared" si="37"/>
        <v>27</v>
      </c>
      <c r="V156" s="10">
        <f t="shared" si="26"/>
        <v>2.25</v>
      </c>
      <c r="W156" s="10" cm="1">
        <f t="array" ref="W156">IF($A156="","",SUMPRODUCT((TRIM(tblDados[Mandante])=$A156)*tblDados[Primeira_Ocorrencia]*tblDados[GS_M]))</f>
        <v>10</v>
      </c>
      <c r="X156" s="10" cm="1">
        <f t="array" ref="X156">IF($A156="","",SUMPRODUCT((TRIM(tblDados[Visitante])=$A156)*tblDados[Primeira_Ocorrencia]*tblDados[GS_V]))</f>
        <v>3</v>
      </c>
      <c r="Y156" s="10">
        <f t="shared" si="38"/>
        <v>13</v>
      </c>
      <c r="Z156" s="10">
        <f t="shared" si="27"/>
        <v>1.0833333333333333</v>
      </c>
      <c r="AA156" s="10">
        <f t="shared" si="28"/>
        <v>1.7142857142857142</v>
      </c>
      <c r="AB156" s="10">
        <f t="shared" si="29"/>
        <v>1.4285714285714286</v>
      </c>
      <c r="AC156" s="10">
        <f t="shared" si="30"/>
        <v>3</v>
      </c>
      <c r="AD156" s="10">
        <f t="shared" si="31"/>
        <v>0.6</v>
      </c>
    </row>
    <row r="157" spans="1:30" x14ac:dyDescent="0.3">
      <c r="A157" s="7" t="str">
        <v>Afturelding</v>
      </c>
      <c r="B157" s="12" t="str" cm="1">
        <f t="array" ref="B157">IF($A157="","",_xlfn.LET(_xlpm.p,IFERROR(INDEX(tblDados[País],MATCH($A157,TRIM(tblDados[Mandante]),0)),INDEX(tblDados[País],MATCH($A157,TRIM(tblDados[Visitante]),0))),_xlpm.l,IFERROR(INDEX(tblDados[Liga],MATCH($A157,TRIM(tblDados[Mandante]),0)),INDEX(tblDados[Liga],MATCH($A157,TRIM(tblDados[Visitante]),0))),_xlpm.p&amp;" - "&amp;_xlpm.l))</f>
        <v>ISL - Lengjudeildin (1ªD)</v>
      </c>
      <c r="C157" s="10">
        <f t="shared" si="32"/>
        <v>5.6666666666666661</v>
      </c>
      <c r="D157" s="10">
        <f t="shared" si="33"/>
        <v>3.666666666666667</v>
      </c>
      <c r="E157" s="9" cm="1">
        <f t="array" ref="E157">IF($A157="","",SUMPRODUCT((TRIM(tblDados[Mandante])=$A157)*tblDados[Primeira_Ocorrencia]))</f>
        <v>6</v>
      </c>
      <c r="F157" s="9" cm="1">
        <f t="array" ref="F157">IF($A157="","",SUMPRODUCT((TRIM(tblDados[Visitante])=$A157)*tblDados[Primeira_Ocorrencia]))</f>
        <v>6</v>
      </c>
      <c r="G157" s="9" cm="1">
        <f t="array" ref="G157">IF($A157="","",SUMPRODUCT((TRIM(tblDados[Mandante])=$A157)*tblDados[Primeira_Ocorrencia])+SUMPRODUCT((TRIM(tblDados[Visitante])=$A157)*tblDados[Primeira_Ocorrencia]))</f>
        <v>12</v>
      </c>
      <c r="H157" s="10">
        <f t="shared" si="34"/>
        <v>3.1666666666666665</v>
      </c>
      <c r="I157" s="10" cm="1">
        <f t="array" ref="I157">IF($A157="","",_xlfn.LET(_xlpm.p,IFERROR(INDEX(tblDados[País],MATCH($A157,TRIM(tblDados[Mandante]),0)),INDEX(tblDados[País],MATCH($A157,TRIM(tblDados[Visitante]),0))),_xlpm.l,IFERROR(INDEX(tblDados[Liga],MATCH($A157,TRIM(tblDados[Mandante]),0)),INDEX(tblDados[Liga],MATCH($A157,TRIM(tblDados[Visitante]),0))),IFERROR(SUMIFS(Ligas!$D$2:$D$39,Ligas!$H$2:$H$39,_xlpm.p,Ligas!$I$2:$I$39,_xlpm.l),0)))</f>
        <v>3.55</v>
      </c>
      <c r="J157" s="11" cm="1">
        <f t="array" ref="J157">IF($A157="","",IFERROR((SUMPRODUCT((TRIM(tblDados[Mandante])=$A157)*tblDados[Primeira_Ocorrencia]*(tblDados[GM_M]=0))+SUMPRODUCT((TRIM(tblDados[Visitante])=$A157)*tblDados[Primeira_Ocorrencia]*(tblDados[GM_V]=0)))/G157,0))</f>
        <v>8.3333333333333329E-2</v>
      </c>
      <c r="K157" s="11" cm="1">
        <f t="array" ref="K157">IF($A157="","",IFERROR((SUMPRODUCT((TRIM(tblDados[Mandante])=$A157)*tblDados[Primeira_Ocorrencia]*((tblDados[GM_M]+tblDados[GS_M])&gt;0.5))+SUMPRODUCT((TRIM(tblDados[Visitante])=$A157)*tblDados[Primeira_Ocorrencia]*((tblDados[GM_V]+tblDados[GS_V])&gt;0.5)))/G157,0))</f>
        <v>1</v>
      </c>
      <c r="L157" s="11" cm="1">
        <f t="array" ref="L157">IF($A157="","",IFERROR((SUMPRODUCT((TRIM(tblDados[Mandante])=$A157)*tblDados[Primeira_Ocorrencia]*((tblDados[GM_M]+tblDados[GS_M])&gt;1.5))+SUMPRODUCT((TRIM(tblDados[Visitante])=$A157)*tblDados[Primeira_Ocorrencia]*((tblDados[GM_V]+tblDados[GS_V])&gt;1.5)))/G157,0))</f>
        <v>0.91666666666666663</v>
      </c>
      <c r="M157" s="11" cm="1">
        <f t="array" ref="M157">IF($A157="","",IFERROR((SUMPRODUCT((TRIM(tblDados[Mandante])=$A157)*tblDados[Primeira_Ocorrencia]*((tblDados[GM_M]+tblDados[GS_M])&gt;2.5))+SUMPRODUCT((TRIM(tblDados[Visitante])=$A157)*tblDados[Primeira_Ocorrencia]*((tblDados[GM_V]+tblDados[GS_V])&gt;2.5)))/G157,0))</f>
        <v>0.75</v>
      </c>
      <c r="N157" s="11" cm="1">
        <f t="array" ref="N157">IF($A157="","",IFERROR((SUMPRODUCT((TRIM(tblDados[Mandante])=$A157)*tblDados[Primeira_Ocorrencia]*((tblDados[GM_M]+tblDados[GS_M])&gt;3.5))+SUMPRODUCT((TRIM(tblDados[Visitante])=$A157)*tblDados[Primeira_Ocorrencia]*((tblDados[GM_V]+tblDados[GS_V])&gt;3.5)))/G157,0))</f>
        <v>0.66666666666666663</v>
      </c>
      <c r="O157" s="11" cm="1">
        <f t="array" ref="O157">IF($A157="","",IFERROR((SUMPRODUCT((TRIM(tblDados[Mandante])=$A157)*tblDados[Primeira_Ocorrencia]*(tblDados[GM_M]&gt;0)*(tblDados[GS_M]&gt;0))+SUMPRODUCT((TRIM(tblDados[Visitante])=$A157)*tblDados[Primeira_Ocorrencia]*(tblDados[GM_V]&gt;0)*(tblDados[GS_V]&gt;0)))/G157,0))</f>
        <v>0.75</v>
      </c>
      <c r="P157" s="10" cm="1">
        <f t="array" ref="P157">IF($A157="","",IFERROR((SUMPRODUCT((TRIM(tblDados[Mandante])=$A157)*tblDados[Primeira_Ocorrencia]*tblDados[GM_M]^2)+SUMPRODUCT((TRIM(tblDados[Visitante])=$A157)*tblDados[Primeira_Ocorrencia]*tblDados[GM_V]^2))/G157-H157^2,0))</f>
        <v>5.1388888888888893</v>
      </c>
      <c r="Q157" s="10">
        <f t="shared" si="35"/>
        <v>2.2669117514559072</v>
      </c>
      <c r="R157" s="8" t="str">
        <f t="shared" si="36"/>
        <v>Poisson</v>
      </c>
      <c r="S157" s="10" cm="1">
        <f t="array" ref="S157">IF($A157="","",SUMPRODUCT((TRIM(tblDados[Mandante])=$A157)*tblDados[Primeira_Ocorrencia]*tblDados[GM_M]))</f>
        <v>26</v>
      </c>
      <c r="T157" s="10" cm="1">
        <f t="array" ref="T157">IF($A157="","",SUMPRODUCT((TRIM(tblDados[Visitante])=$A157)*tblDados[Primeira_Ocorrencia]*tblDados[GM_V]))</f>
        <v>12</v>
      </c>
      <c r="U157" s="10">
        <f t="shared" si="37"/>
        <v>38</v>
      </c>
      <c r="V157" s="10">
        <f t="shared" si="26"/>
        <v>3.1666666666666665</v>
      </c>
      <c r="W157" s="10" cm="1">
        <f t="array" ref="W157">IF($A157="","",SUMPRODUCT((TRIM(tblDados[Mandante])=$A157)*tblDados[Primeira_Ocorrencia]*tblDados[GS_M]))</f>
        <v>8</v>
      </c>
      <c r="X157" s="10" cm="1">
        <f t="array" ref="X157">IF($A157="","",SUMPRODUCT((TRIM(tblDados[Visitante])=$A157)*tblDados[Primeira_Ocorrencia]*tblDados[GS_V]))</f>
        <v>10</v>
      </c>
      <c r="Y157" s="10">
        <f t="shared" si="38"/>
        <v>18</v>
      </c>
      <c r="Z157" s="10">
        <f t="shared" si="27"/>
        <v>1.5</v>
      </c>
      <c r="AA157" s="10">
        <f t="shared" si="28"/>
        <v>4.333333333333333</v>
      </c>
      <c r="AB157" s="10">
        <f t="shared" si="29"/>
        <v>1.3333333333333333</v>
      </c>
      <c r="AC157" s="10">
        <f t="shared" si="30"/>
        <v>2</v>
      </c>
      <c r="AD157" s="10">
        <f t="shared" si="31"/>
        <v>1.6666666666666667</v>
      </c>
    </row>
    <row r="158" spans="1:30" x14ac:dyDescent="0.3">
      <c r="A158" s="7" t="str">
        <v>Ahlafors IF</v>
      </c>
      <c r="B158" s="12" t="str" cm="1">
        <f t="array" ref="B158">IF($A158="","",_xlfn.LET(_xlpm.p,IFERROR(INDEX(tblDados[País],MATCH($A158,TRIM(tblDados[Mandante]),0)),INDEX(tblDados[País],MATCH($A158,TRIM(tblDados[Visitante]),0))),_xlpm.l,IFERROR(INDEX(tblDados[Liga],MATCH($A158,TRIM(tblDados[Mandante]),0)),INDEX(tblDados[Liga],MATCH($A158,TRIM(tblDados[Visitante]),0))),_xlpm.p&amp;" - "&amp;_xlpm.l))</f>
        <v>SWE - 2ª D Norra Götaland</v>
      </c>
      <c r="C158" s="10">
        <f t="shared" si="32"/>
        <v>3.4000000000000004</v>
      </c>
      <c r="D158" s="10">
        <f t="shared" si="33"/>
        <v>3.1428571428571428</v>
      </c>
      <c r="E158" s="9" cm="1">
        <f t="array" ref="E158">IF($A158="","",SUMPRODUCT((TRIM(tblDados[Mandante])=$A158)*tblDados[Primeira_Ocorrencia]))</f>
        <v>5</v>
      </c>
      <c r="F158" s="9" cm="1">
        <f t="array" ref="F158">IF($A158="","",SUMPRODUCT((TRIM(tblDados[Visitante])=$A158)*tblDados[Primeira_Ocorrencia]))</f>
        <v>7</v>
      </c>
      <c r="G158" s="9" cm="1">
        <f t="array" ref="G158">IF($A158="","",SUMPRODUCT((TRIM(tblDados[Mandante])=$A158)*tblDados[Primeira_Ocorrencia])+SUMPRODUCT((TRIM(tblDados[Visitante])=$A158)*tblDados[Primeira_Ocorrencia]))</f>
        <v>12</v>
      </c>
      <c r="H158" s="10">
        <f t="shared" si="34"/>
        <v>2.1666666666666665</v>
      </c>
      <c r="I158" s="10" cm="1">
        <f t="array" ref="I158">IF($A158="","",_xlfn.LET(_xlpm.p,IFERROR(INDEX(tblDados[País],MATCH($A158,TRIM(tblDados[Mandante]),0)),INDEX(tblDados[País],MATCH($A158,TRIM(tblDados[Visitante]),0))),_xlpm.l,IFERROR(INDEX(tblDados[Liga],MATCH($A158,TRIM(tblDados[Mandante]),0)),INDEX(tblDados[Liga],MATCH($A158,TRIM(tblDados[Visitante]),0))),IFERROR(SUMIFS(Ligas!$D$2:$D$39,Ligas!$H$2:$H$39,_xlpm.p,Ligas!$I$2:$I$39,_xlpm.l),0)))</f>
        <v>2.5</v>
      </c>
      <c r="J158" s="11" cm="1">
        <f t="array" ref="J158">IF($A158="","",IFERROR((SUMPRODUCT((TRIM(tblDados[Mandante])=$A158)*tblDados[Primeira_Ocorrencia]*(tblDados[GM_M]=0))+SUMPRODUCT((TRIM(tblDados[Visitante])=$A158)*tblDados[Primeira_Ocorrencia]*(tblDados[GM_V]=0)))/G158,0))</f>
        <v>8.3333333333333329E-2</v>
      </c>
      <c r="K158" s="11" cm="1">
        <f t="array" ref="K158">IF($A158="","",IFERROR((SUMPRODUCT((TRIM(tblDados[Mandante])=$A158)*tblDados[Primeira_Ocorrencia]*((tblDados[GM_M]+tblDados[GS_M])&gt;0.5))+SUMPRODUCT((TRIM(tblDados[Visitante])=$A158)*tblDados[Primeira_Ocorrencia]*((tblDados[GM_V]+tblDados[GS_V])&gt;0.5)))/G158,0))</f>
        <v>0.91666666666666663</v>
      </c>
      <c r="L158" s="11" cm="1">
        <f t="array" ref="L158">IF($A158="","",IFERROR((SUMPRODUCT((TRIM(tblDados[Mandante])=$A158)*tblDados[Primeira_Ocorrencia]*((tblDados[GM_M]+tblDados[GS_M])&gt;1.5))+SUMPRODUCT((TRIM(tblDados[Visitante])=$A158)*tblDados[Primeira_Ocorrencia]*((tblDados[GM_V]+tblDados[GS_V])&gt;1.5)))/G158,0))</f>
        <v>0.91666666666666663</v>
      </c>
      <c r="M158" s="11" cm="1">
        <f t="array" ref="M158">IF($A158="","",IFERROR((SUMPRODUCT((TRIM(tblDados[Mandante])=$A158)*tblDados[Primeira_Ocorrencia]*((tblDados[GM_M]+tblDados[GS_M])&gt;2.5))+SUMPRODUCT((TRIM(tblDados[Visitante])=$A158)*tblDados[Primeira_Ocorrencia]*((tblDados[GM_V]+tblDados[GS_V])&gt;2.5)))/G158,0))</f>
        <v>0.58333333333333337</v>
      </c>
      <c r="N158" s="11" cm="1">
        <f t="array" ref="N158">IF($A158="","",IFERROR((SUMPRODUCT((TRIM(tblDados[Mandante])=$A158)*tblDados[Primeira_Ocorrencia]*((tblDados[GM_M]+tblDados[GS_M])&gt;3.5))+SUMPRODUCT((TRIM(tblDados[Visitante])=$A158)*tblDados[Primeira_Ocorrencia]*((tblDados[GM_V]+tblDados[GS_V])&gt;3.5)))/G158,0))</f>
        <v>0.5</v>
      </c>
      <c r="O158" s="11" cm="1">
        <f t="array" ref="O158">IF($A158="","",IFERROR((SUMPRODUCT((TRIM(tblDados[Mandante])=$A158)*tblDados[Primeira_Ocorrencia]*(tblDados[GM_M]&gt;0)*(tblDados[GS_M]&gt;0))+SUMPRODUCT((TRIM(tblDados[Visitante])=$A158)*tblDados[Primeira_Ocorrencia]*(tblDados[GM_V]&gt;0)*(tblDados[GS_V]&gt;0)))/G158,0))</f>
        <v>0.58333333333333337</v>
      </c>
      <c r="P158" s="10" cm="1">
        <f t="array" ref="P158">IF($A158="","",IFERROR((SUMPRODUCT((TRIM(tblDados[Mandante])=$A158)*tblDados[Primeira_Ocorrencia]*tblDados[GM_M]^2)+SUMPRODUCT((TRIM(tblDados[Visitante])=$A158)*tblDados[Primeira_Ocorrencia]*tblDados[GM_V]^2))/G158-H158^2,0))</f>
        <v>1.9722222222222232</v>
      </c>
      <c r="Q158" s="10">
        <f t="shared" si="35"/>
        <v>1.4043582955293934</v>
      </c>
      <c r="R158" s="8" t="str">
        <f t="shared" si="36"/>
        <v>Poisson</v>
      </c>
      <c r="S158" s="10" cm="1">
        <f t="array" ref="S158">IF($A158="","",SUMPRODUCT((TRIM(tblDados[Mandante])=$A158)*tblDados[Primeira_Ocorrencia]*tblDados[GM_M]))</f>
        <v>11</v>
      </c>
      <c r="T158" s="10" cm="1">
        <f t="array" ref="T158">IF($A158="","",SUMPRODUCT((TRIM(tblDados[Visitante])=$A158)*tblDados[Primeira_Ocorrencia]*tblDados[GM_V]))</f>
        <v>15</v>
      </c>
      <c r="U158" s="10">
        <f t="shared" si="37"/>
        <v>26</v>
      </c>
      <c r="V158" s="10">
        <f t="shared" si="26"/>
        <v>2.1666666666666665</v>
      </c>
      <c r="W158" s="10" cm="1">
        <f t="array" ref="W158">IF($A158="","",SUMPRODUCT((TRIM(tblDados[Mandante])=$A158)*tblDados[Primeira_Ocorrencia]*tblDados[GS_M]))</f>
        <v>6</v>
      </c>
      <c r="X158" s="10" cm="1">
        <f t="array" ref="X158">IF($A158="","",SUMPRODUCT((TRIM(tblDados[Visitante])=$A158)*tblDados[Primeira_Ocorrencia]*tblDados[GS_V]))</f>
        <v>7</v>
      </c>
      <c r="Y158" s="10">
        <f t="shared" si="38"/>
        <v>13</v>
      </c>
      <c r="Z158" s="10">
        <f t="shared" si="27"/>
        <v>1.0833333333333333</v>
      </c>
      <c r="AA158" s="10">
        <f t="shared" si="28"/>
        <v>2.2000000000000002</v>
      </c>
      <c r="AB158" s="10">
        <f t="shared" si="29"/>
        <v>1.2</v>
      </c>
      <c r="AC158" s="10">
        <f t="shared" si="30"/>
        <v>2.1428571428571428</v>
      </c>
      <c r="AD158" s="10">
        <f t="shared" si="31"/>
        <v>1</v>
      </c>
    </row>
    <row r="159" spans="1:30" x14ac:dyDescent="0.3">
      <c r="A159" s="7" t="str">
        <v>AIK</v>
      </c>
      <c r="B159" s="12" t="str" cm="1">
        <f t="array" ref="B159">IF($A159="","",_xlfn.LET(_xlpm.p,IFERROR(INDEX(tblDados[País],MATCH($A159,TRIM(tblDados[Mandante]),0)),INDEX(tblDados[País],MATCH($A159,TRIM(tblDados[Visitante]),0))),_xlpm.l,IFERROR(INDEX(tblDados[Liga],MATCH($A159,TRIM(tblDados[Mandante]),0)),INDEX(tblDados[Liga],MATCH($A159,TRIM(tblDados[Visitante]),0))),_xlpm.p&amp;" - "&amp;_xlpm.l))</f>
        <v>SWE - Allsvenskan</v>
      </c>
      <c r="C159" s="10">
        <f t="shared" si="32"/>
        <v>3</v>
      </c>
      <c r="D159" s="10">
        <f t="shared" si="33"/>
        <v>2.8571428571428568</v>
      </c>
      <c r="E159" s="9" cm="1">
        <f t="array" ref="E159">IF($A159="","",SUMPRODUCT((TRIM(tblDados[Mandante])=$A159)*tblDados[Primeira_Ocorrencia]))</f>
        <v>5</v>
      </c>
      <c r="F159" s="9" cm="1">
        <f t="array" ref="F159">IF($A159="","",SUMPRODUCT((TRIM(tblDados[Visitante])=$A159)*tblDados[Primeira_Ocorrencia]))</f>
        <v>7</v>
      </c>
      <c r="G159" s="9" cm="1">
        <f t="array" ref="G159">IF($A159="","",SUMPRODUCT((TRIM(tblDados[Mandante])=$A159)*tblDados[Primeira_Ocorrencia])+SUMPRODUCT((TRIM(tblDados[Visitante])=$A159)*tblDados[Primeira_Ocorrencia]))</f>
        <v>12</v>
      </c>
      <c r="H159" s="10">
        <f t="shared" si="34"/>
        <v>1.3333333333333333</v>
      </c>
      <c r="I159" s="10" cm="1">
        <f t="array" ref="I159">IF($A159="","",_xlfn.LET(_xlpm.p,IFERROR(INDEX(tblDados[País],MATCH($A159,TRIM(tblDados[Mandante]),0)),INDEX(tblDados[País],MATCH($A159,TRIM(tblDados[Visitante]),0))),_xlpm.l,IFERROR(INDEX(tblDados[Liga],MATCH($A159,TRIM(tblDados[Mandante]),0)),INDEX(tblDados[Liga],MATCH($A159,TRIM(tblDados[Visitante]),0))),IFERROR(SUMIFS(Ligas!$D$2:$D$39,Ligas!$H$2:$H$39,_xlpm.p,Ligas!$I$2:$I$39,_xlpm.l),0)))</f>
        <v>2.5</v>
      </c>
      <c r="J159" s="11" cm="1">
        <f t="array" ref="J159">IF($A159="","",IFERROR((SUMPRODUCT((TRIM(tblDados[Mandante])=$A159)*tblDados[Primeira_Ocorrencia]*(tblDados[GM_M]=0))+SUMPRODUCT((TRIM(tblDados[Visitante])=$A159)*tblDados[Primeira_Ocorrencia]*(tblDados[GM_V]=0)))/G159,0))</f>
        <v>0.33333333333333331</v>
      </c>
      <c r="K159" s="11" cm="1">
        <f t="array" ref="K159">IF($A159="","",IFERROR((SUMPRODUCT((TRIM(tblDados[Mandante])=$A159)*tblDados[Primeira_Ocorrencia]*((tblDados[GM_M]+tblDados[GS_M])&gt;0.5))+SUMPRODUCT((TRIM(tblDados[Visitante])=$A159)*tblDados[Primeira_Ocorrencia]*((tblDados[GM_V]+tblDados[GS_V])&gt;0.5)))/G159,0))</f>
        <v>0.91666666666666663</v>
      </c>
      <c r="L159" s="11" cm="1">
        <f t="array" ref="L159">IF($A159="","",IFERROR((SUMPRODUCT((TRIM(tblDados[Mandante])=$A159)*tblDados[Primeira_Ocorrencia]*((tblDados[GM_M]+tblDados[GS_M])&gt;1.5))+SUMPRODUCT((TRIM(tblDados[Visitante])=$A159)*tblDados[Primeira_Ocorrencia]*((tblDados[GM_V]+tblDados[GS_V])&gt;1.5)))/G159,0))</f>
        <v>0.83333333333333337</v>
      </c>
      <c r="M159" s="11" cm="1">
        <f t="array" ref="M159">IF($A159="","",IFERROR((SUMPRODUCT((TRIM(tblDados[Mandante])=$A159)*tblDados[Primeira_Ocorrencia]*((tblDados[GM_M]+tblDados[GS_M])&gt;2.5))+SUMPRODUCT((TRIM(tblDados[Visitante])=$A159)*tblDados[Primeira_Ocorrencia]*((tblDados[GM_V]+tblDados[GS_V])&gt;2.5)))/G159,0))</f>
        <v>0.58333333333333337</v>
      </c>
      <c r="N159" s="11" cm="1">
        <f t="array" ref="N159">IF($A159="","",IFERROR((SUMPRODUCT((TRIM(tblDados[Mandante])=$A159)*tblDados[Primeira_Ocorrencia]*((tblDados[GM_M]+tblDados[GS_M])&gt;3.5))+SUMPRODUCT((TRIM(tblDados[Visitante])=$A159)*tblDados[Primeira_Ocorrencia]*((tblDados[GM_V]+tblDados[GS_V])&gt;3.5)))/G159,0))</f>
        <v>0.16666666666666666</v>
      </c>
      <c r="O159" s="11" cm="1">
        <f t="array" ref="O159">IF($A159="","",IFERROR((SUMPRODUCT((TRIM(tblDados[Mandante])=$A159)*tblDados[Primeira_Ocorrencia]*(tblDados[GM_M]&gt;0)*(tblDados[GS_M]&gt;0))+SUMPRODUCT((TRIM(tblDados[Visitante])=$A159)*tblDados[Primeira_Ocorrencia]*(tblDados[GM_V]&gt;0)*(tblDados[GS_V]&gt;0)))/G159,0))</f>
        <v>0.58333333333333337</v>
      </c>
      <c r="P159" s="10" cm="1">
        <f t="array" ref="P159">IF($A159="","",IFERROR((SUMPRODUCT((TRIM(tblDados[Mandante])=$A159)*tblDados[Primeira_Ocorrencia]*tblDados[GM_M]^2)+SUMPRODUCT((TRIM(tblDados[Visitante])=$A159)*tblDados[Primeira_Ocorrencia]*tblDados[GM_V]^2))/G159-H159^2,0))</f>
        <v>1.3888888888888888</v>
      </c>
      <c r="Q159" s="10">
        <f t="shared" si="35"/>
        <v>1.1785113019775793</v>
      </c>
      <c r="R159" s="8" t="str">
        <f t="shared" si="36"/>
        <v>Poisson</v>
      </c>
      <c r="S159" s="10" cm="1">
        <f t="array" ref="S159">IF($A159="","",SUMPRODUCT((TRIM(tblDados[Mandante])=$A159)*tblDados[Primeira_Ocorrencia]*tblDados[GM_M]))</f>
        <v>4</v>
      </c>
      <c r="T159" s="10" cm="1">
        <f t="array" ref="T159">IF($A159="","",SUMPRODUCT((TRIM(tblDados[Visitante])=$A159)*tblDados[Primeira_Ocorrencia]*tblDados[GM_V]))</f>
        <v>12</v>
      </c>
      <c r="U159" s="10">
        <f t="shared" si="37"/>
        <v>16</v>
      </c>
      <c r="V159" s="10">
        <f t="shared" si="26"/>
        <v>1.3333333333333333</v>
      </c>
      <c r="W159" s="10" cm="1">
        <f t="array" ref="W159">IF($A159="","",SUMPRODUCT((TRIM(tblDados[Mandante])=$A159)*tblDados[Primeira_Ocorrencia]*tblDados[GS_M]))</f>
        <v>11</v>
      </c>
      <c r="X159" s="10" cm="1">
        <f t="array" ref="X159">IF($A159="","",SUMPRODUCT((TRIM(tblDados[Visitante])=$A159)*tblDados[Primeira_Ocorrencia]*tblDados[GS_V]))</f>
        <v>8</v>
      </c>
      <c r="Y159" s="10">
        <f t="shared" si="38"/>
        <v>19</v>
      </c>
      <c r="Z159" s="10">
        <f t="shared" si="27"/>
        <v>1.5833333333333333</v>
      </c>
      <c r="AA159" s="10">
        <f t="shared" si="28"/>
        <v>0.8</v>
      </c>
      <c r="AB159" s="10">
        <f t="shared" si="29"/>
        <v>2.2000000000000002</v>
      </c>
      <c r="AC159" s="10">
        <f t="shared" si="30"/>
        <v>1.7142857142857142</v>
      </c>
      <c r="AD159" s="10">
        <f t="shared" si="31"/>
        <v>1.1428571428571428</v>
      </c>
    </row>
    <row r="160" spans="1:30" x14ac:dyDescent="0.3">
      <c r="A160" s="7" t="str">
        <v>Akranes (ÍA Akranes)</v>
      </c>
      <c r="B160" s="12" t="str" cm="1">
        <f t="array" ref="B160">IF($A160="","",_xlfn.LET(_xlpm.p,IFERROR(INDEX(tblDados[País],MATCH($A160,TRIM(tblDados[Mandante]),0)),INDEX(tblDados[País],MATCH($A160,TRIM(tblDados[Visitante]),0))),_xlpm.l,IFERROR(INDEX(tblDados[Liga],MATCH($A160,TRIM(tblDados[Mandante]),0)),INDEX(tblDados[Liga],MATCH($A160,TRIM(tblDados[Visitante]),0))),_xlpm.p&amp;" - "&amp;_xlpm.l))</f>
        <v>ISL - Besta-deild karla (PL)</v>
      </c>
      <c r="C160" s="10">
        <f t="shared" si="32"/>
        <v>3.1428571428571432</v>
      </c>
      <c r="D160" s="10">
        <f t="shared" si="33"/>
        <v>4.8</v>
      </c>
      <c r="E160" s="9" cm="1">
        <f t="array" ref="E160">IF($A160="","",SUMPRODUCT((TRIM(tblDados[Mandante])=$A160)*tblDados[Primeira_Ocorrencia]))</f>
        <v>7</v>
      </c>
      <c r="F160" s="9" cm="1">
        <f t="array" ref="F160">IF($A160="","",SUMPRODUCT((TRIM(tblDados[Visitante])=$A160)*tblDados[Primeira_Ocorrencia]))</f>
        <v>5</v>
      </c>
      <c r="G160" s="9" cm="1">
        <f t="array" ref="G160">IF($A160="","",SUMPRODUCT((TRIM(tblDados[Mandante])=$A160)*tblDados[Primeira_Ocorrencia])+SUMPRODUCT((TRIM(tblDados[Visitante])=$A160)*tblDados[Primeira_Ocorrencia]))</f>
        <v>12</v>
      </c>
      <c r="H160" s="10">
        <f t="shared" si="34"/>
        <v>1.9166666666666667</v>
      </c>
      <c r="I160" s="10" cm="1">
        <f t="array" ref="I160">IF($A160="","",_xlfn.LET(_xlpm.p,IFERROR(INDEX(tblDados[País],MATCH($A160,TRIM(tblDados[Mandante]),0)),INDEX(tblDados[País],MATCH($A160,TRIM(tblDados[Visitante]),0))),_xlpm.l,IFERROR(INDEX(tblDados[Liga],MATCH($A160,TRIM(tblDados[Mandante]),0)),INDEX(tblDados[Liga],MATCH($A160,TRIM(tblDados[Visitante]),0))),IFERROR(SUMIFS(Ligas!$D$2:$D$39,Ligas!$H$2:$H$39,_xlpm.p,Ligas!$I$2:$I$39,_xlpm.l),0)))</f>
        <v>2.5</v>
      </c>
      <c r="J160" s="11" cm="1">
        <f t="array" ref="J160">IF($A160="","",IFERROR((SUMPRODUCT((TRIM(tblDados[Mandante])=$A160)*tblDados[Primeira_Ocorrencia]*(tblDados[GM_M]=0))+SUMPRODUCT((TRIM(tblDados[Visitante])=$A160)*tblDados[Primeira_Ocorrencia]*(tblDados[GM_V]=0)))/G160,0))</f>
        <v>8.3333333333333329E-2</v>
      </c>
      <c r="K160" s="11" cm="1">
        <f t="array" ref="K160">IF($A160="","",IFERROR((SUMPRODUCT((TRIM(tblDados[Mandante])=$A160)*tblDados[Primeira_Ocorrencia]*((tblDados[GM_M]+tblDados[GS_M])&gt;0.5))+SUMPRODUCT((TRIM(tblDados[Visitante])=$A160)*tblDados[Primeira_Ocorrencia]*((tblDados[GM_V]+tblDados[GS_V])&gt;0.5)))/G160,0))</f>
        <v>1</v>
      </c>
      <c r="L160" s="11" cm="1">
        <f t="array" ref="L160">IF($A160="","",IFERROR((SUMPRODUCT((TRIM(tblDados[Mandante])=$A160)*tblDados[Primeira_Ocorrencia]*((tblDados[GM_M]+tblDados[GS_M])&gt;1.5))+SUMPRODUCT((TRIM(tblDados[Visitante])=$A160)*tblDados[Primeira_Ocorrencia]*((tblDados[GM_V]+tblDados[GS_V])&gt;1.5)))/G160,0))</f>
        <v>0.83333333333333337</v>
      </c>
      <c r="M160" s="11" cm="1">
        <f t="array" ref="M160">IF($A160="","",IFERROR((SUMPRODUCT((TRIM(tblDados[Mandante])=$A160)*tblDados[Primeira_Ocorrencia]*((tblDados[GM_M]+tblDados[GS_M])&gt;2.5))+SUMPRODUCT((TRIM(tblDados[Visitante])=$A160)*tblDados[Primeira_Ocorrencia]*((tblDados[GM_V]+tblDados[GS_V])&gt;2.5)))/G160,0))</f>
        <v>0.66666666666666663</v>
      </c>
      <c r="N160" s="11" cm="1">
        <f t="array" ref="N160">IF($A160="","",IFERROR((SUMPRODUCT((TRIM(tblDados[Mandante])=$A160)*tblDados[Primeira_Ocorrencia]*((tblDados[GM_M]+tblDados[GS_M])&gt;3.5))+SUMPRODUCT((TRIM(tblDados[Visitante])=$A160)*tblDados[Primeira_Ocorrencia]*((tblDados[GM_V]+tblDados[GS_V])&gt;3.5)))/G160,0))</f>
        <v>0.5</v>
      </c>
      <c r="O160" s="11" cm="1">
        <f t="array" ref="O160">IF($A160="","",IFERROR((SUMPRODUCT((TRIM(tblDados[Mandante])=$A160)*tblDados[Primeira_Ocorrencia]*(tblDados[GM_M]&gt;0)*(tblDados[GS_M]&gt;0))+SUMPRODUCT((TRIM(tblDados[Visitante])=$A160)*tblDados[Primeira_Ocorrencia]*(tblDados[GM_V]&gt;0)*(tblDados[GS_V]&gt;0)))/G160,0))</f>
        <v>0.66666666666666663</v>
      </c>
      <c r="P160" s="10" cm="1">
        <f t="array" ref="P160">IF($A160="","",IFERROR((SUMPRODUCT((TRIM(tblDados[Mandante])=$A160)*tblDados[Primeira_Ocorrencia]*tblDados[GM_M]^2)+SUMPRODUCT((TRIM(tblDados[Visitante])=$A160)*tblDados[Primeira_Ocorrencia]*tblDados[GM_V]^2))/G160-H160^2,0))</f>
        <v>1.4097222222222214</v>
      </c>
      <c r="Q160" s="10">
        <f t="shared" si="35"/>
        <v>1.1873172373979168</v>
      </c>
      <c r="R160" s="8" t="str">
        <f t="shared" si="36"/>
        <v>Poisson</v>
      </c>
      <c r="S160" s="10" cm="1">
        <f t="array" ref="S160">IF($A160="","",SUMPRODUCT((TRIM(tblDados[Mandante])=$A160)*tblDados[Primeira_Ocorrencia]*tblDados[GM_M]))</f>
        <v>13</v>
      </c>
      <c r="T160" s="10" cm="1">
        <f t="array" ref="T160">IF($A160="","",SUMPRODUCT((TRIM(tblDados[Visitante])=$A160)*tblDados[Primeira_Ocorrencia]*tblDados[GM_V]))</f>
        <v>10</v>
      </c>
      <c r="U160" s="10">
        <f t="shared" si="37"/>
        <v>23</v>
      </c>
      <c r="V160" s="10">
        <f t="shared" si="26"/>
        <v>1.9166666666666667</v>
      </c>
      <c r="W160" s="10" cm="1">
        <f t="array" ref="W160">IF($A160="","",SUMPRODUCT((TRIM(tblDados[Mandante])=$A160)*tblDados[Primeira_Ocorrencia]*tblDados[GS_M]))</f>
        <v>9</v>
      </c>
      <c r="X160" s="10" cm="1">
        <f t="array" ref="X160">IF($A160="","",SUMPRODUCT((TRIM(tblDados[Visitante])=$A160)*tblDados[Primeira_Ocorrencia]*tblDados[GS_V]))</f>
        <v>14</v>
      </c>
      <c r="Y160" s="10">
        <f t="shared" si="38"/>
        <v>23</v>
      </c>
      <c r="Z160" s="10">
        <f t="shared" si="27"/>
        <v>1.9166666666666667</v>
      </c>
      <c r="AA160" s="10">
        <f t="shared" si="28"/>
        <v>1.8571428571428572</v>
      </c>
      <c r="AB160" s="10">
        <f t="shared" si="29"/>
        <v>1.2857142857142858</v>
      </c>
      <c r="AC160" s="10">
        <f t="shared" si="30"/>
        <v>2</v>
      </c>
      <c r="AD160" s="10">
        <f t="shared" si="31"/>
        <v>2.8</v>
      </c>
    </row>
    <row r="161" spans="1:30" x14ac:dyDescent="0.3">
      <c r="A161" s="7" t="str">
        <v>Altona Magic</v>
      </c>
      <c r="B161" s="12" t="str" cm="1">
        <f t="array" ref="B161">IF($A161="","",_xlfn.LET(_xlpm.p,IFERROR(INDEX(tblDados[País],MATCH($A161,TRIM(tblDados[Mandante]),0)),INDEX(tblDados[País],MATCH($A161,TRIM(tblDados[Visitante]),0))),_xlpm.l,IFERROR(INDEX(tblDados[Liga],MATCH($A161,TRIM(tblDados[Mandante]),0)),INDEX(tblDados[Liga],MATCH($A161,TRIM(tblDados[Visitante]),0))),_xlpm.p&amp;" - "&amp;_xlpm.l))</f>
        <v>AUS - NPL Victoria</v>
      </c>
      <c r="C161" s="10">
        <f t="shared" si="32"/>
        <v>2</v>
      </c>
      <c r="D161" s="10">
        <f t="shared" si="33"/>
        <v>3.5</v>
      </c>
      <c r="E161" s="9" cm="1">
        <f t="array" ref="E161">IF($A161="","",SUMPRODUCT((TRIM(tblDados[Mandante])=$A161)*tblDados[Primeira_Ocorrencia]))</f>
        <v>6</v>
      </c>
      <c r="F161" s="9" cm="1">
        <f t="array" ref="F161">IF($A161="","",SUMPRODUCT((TRIM(tblDados[Visitante])=$A161)*tblDados[Primeira_Ocorrencia]))</f>
        <v>6</v>
      </c>
      <c r="G161" s="9" cm="1">
        <f t="array" ref="G161">IF($A161="","",SUMPRODUCT((TRIM(tblDados[Mandante])=$A161)*tblDados[Primeira_Ocorrencia])+SUMPRODUCT((TRIM(tblDados[Visitante])=$A161)*tblDados[Primeira_Ocorrencia]))</f>
        <v>12</v>
      </c>
      <c r="H161" s="10">
        <f t="shared" si="34"/>
        <v>1.1666666666666667</v>
      </c>
      <c r="I161" s="10" cm="1">
        <f t="array" ref="I161">IF($A161="","",_xlfn.LET(_xlpm.p,IFERROR(INDEX(tblDados[País],MATCH($A161,TRIM(tblDados[Mandante]),0)),INDEX(tblDados[País],MATCH($A161,TRIM(tblDados[Visitante]),0))),_xlpm.l,IFERROR(INDEX(tblDados[Liga],MATCH($A161,TRIM(tblDados[Mandante]),0)),INDEX(tblDados[Liga],MATCH($A161,TRIM(tblDados[Visitante]),0))),IFERROR(SUMIFS(Ligas!$D$2:$D$39,Ligas!$H$2:$H$39,_xlpm.p,Ligas!$I$2:$I$39,_xlpm.l),0)))</f>
        <v>2.89</v>
      </c>
      <c r="J161" s="11" cm="1">
        <f t="array" ref="J161">IF($A161="","",IFERROR((SUMPRODUCT((TRIM(tblDados[Mandante])=$A161)*tblDados[Primeira_Ocorrencia]*(tblDados[GM_M]=0))+SUMPRODUCT((TRIM(tblDados[Visitante])=$A161)*tblDados[Primeira_Ocorrencia]*(tblDados[GM_V]=0)))/G161,0))</f>
        <v>0.25</v>
      </c>
      <c r="K161" s="11" cm="1">
        <f t="array" ref="K161">IF($A161="","",IFERROR((SUMPRODUCT((TRIM(tblDados[Mandante])=$A161)*tblDados[Primeira_Ocorrencia]*((tblDados[GM_M]+tblDados[GS_M])&gt;0.5))+SUMPRODUCT((TRIM(tblDados[Visitante])=$A161)*tblDados[Primeira_Ocorrencia]*((tblDados[GM_V]+tblDados[GS_V])&gt;0.5)))/G161,0))</f>
        <v>0.91666666666666663</v>
      </c>
      <c r="L161" s="11" cm="1">
        <f t="array" ref="L161">IF($A161="","",IFERROR((SUMPRODUCT((TRIM(tblDados[Mandante])=$A161)*tblDados[Primeira_Ocorrencia]*((tblDados[GM_M]+tblDados[GS_M])&gt;1.5))+SUMPRODUCT((TRIM(tblDados[Visitante])=$A161)*tblDados[Primeira_Ocorrencia]*((tblDados[GM_V]+tblDados[GS_V])&gt;1.5)))/G161,0))</f>
        <v>0.75</v>
      </c>
      <c r="M161" s="11" cm="1">
        <f t="array" ref="M161">IF($A161="","",IFERROR((SUMPRODUCT((TRIM(tblDados[Mandante])=$A161)*tblDados[Primeira_Ocorrencia]*((tblDados[GM_M]+tblDados[GS_M])&gt;2.5))+SUMPRODUCT((TRIM(tblDados[Visitante])=$A161)*tblDados[Primeira_Ocorrencia]*((tblDados[GM_V]+tblDados[GS_V])&gt;2.5)))/G161,0))</f>
        <v>0.5</v>
      </c>
      <c r="N161" s="11" cm="1">
        <f t="array" ref="N161">IF($A161="","",IFERROR((SUMPRODUCT((TRIM(tblDados[Mandante])=$A161)*tblDados[Primeira_Ocorrencia]*((tblDados[GM_M]+tblDados[GS_M])&gt;3.5))+SUMPRODUCT((TRIM(tblDados[Visitante])=$A161)*tblDados[Primeira_Ocorrencia]*((tblDados[GM_V]+tblDados[GS_V])&gt;3.5)))/G161,0))</f>
        <v>0.33333333333333331</v>
      </c>
      <c r="O161" s="11" cm="1">
        <f t="array" ref="O161">IF($A161="","",IFERROR((SUMPRODUCT((TRIM(tblDados[Mandante])=$A161)*tblDados[Primeira_Ocorrencia]*(tblDados[GM_M]&gt;0)*(tblDados[GS_M]&gt;0))+SUMPRODUCT((TRIM(tblDados[Visitante])=$A161)*tblDados[Primeira_Ocorrencia]*(tblDados[GM_V]&gt;0)*(tblDados[GS_V]&gt;0)))/G161,0))</f>
        <v>0.5</v>
      </c>
      <c r="P161" s="10" cm="1">
        <f t="array" ref="P161">IF($A161="","",IFERROR((SUMPRODUCT((TRIM(tblDados[Mandante])=$A161)*tblDados[Primeira_Ocorrencia]*tblDados[GM_M]^2)+SUMPRODUCT((TRIM(tblDados[Visitante])=$A161)*tblDados[Primeira_Ocorrencia]*tblDados[GM_V]^2))/G161-H161^2,0))</f>
        <v>0.9722222222222221</v>
      </c>
      <c r="Q161" s="10">
        <f t="shared" si="35"/>
        <v>0.98601329718326924</v>
      </c>
      <c r="R161" s="8" t="str">
        <f t="shared" si="36"/>
        <v>Poisson</v>
      </c>
      <c r="S161" s="10" cm="1">
        <f t="array" ref="S161">IF($A161="","",SUMPRODUCT((TRIM(tblDados[Mandante])=$A161)*tblDados[Primeira_Ocorrencia]*tblDados[GM_M]))</f>
        <v>3</v>
      </c>
      <c r="T161" s="10" cm="1">
        <f t="array" ref="T161">IF($A161="","",SUMPRODUCT((TRIM(tblDados[Visitante])=$A161)*tblDados[Primeira_Ocorrencia]*tblDados[GM_V]))</f>
        <v>11</v>
      </c>
      <c r="U161" s="10">
        <f t="shared" si="37"/>
        <v>14</v>
      </c>
      <c r="V161" s="10">
        <f t="shared" si="26"/>
        <v>1.1666666666666667</v>
      </c>
      <c r="W161" s="10" cm="1">
        <f t="array" ref="W161">IF($A161="","",SUMPRODUCT((TRIM(tblDados[Mandante])=$A161)*tblDados[Primeira_Ocorrencia]*tblDados[GS_M]))</f>
        <v>9</v>
      </c>
      <c r="X161" s="10" cm="1">
        <f t="array" ref="X161">IF($A161="","",SUMPRODUCT((TRIM(tblDados[Visitante])=$A161)*tblDados[Primeira_Ocorrencia]*tblDados[GS_V]))</f>
        <v>10</v>
      </c>
      <c r="Y161" s="10">
        <f t="shared" si="38"/>
        <v>19</v>
      </c>
      <c r="Z161" s="10">
        <f t="shared" si="27"/>
        <v>1.5833333333333333</v>
      </c>
      <c r="AA161" s="10">
        <f t="shared" si="28"/>
        <v>0.5</v>
      </c>
      <c r="AB161" s="10">
        <f t="shared" si="29"/>
        <v>1.5</v>
      </c>
      <c r="AC161" s="10">
        <f t="shared" si="30"/>
        <v>1.8333333333333333</v>
      </c>
      <c r="AD161" s="10">
        <f t="shared" si="31"/>
        <v>1.6666666666666667</v>
      </c>
    </row>
    <row r="162" spans="1:30" x14ac:dyDescent="0.3">
      <c r="A162" s="7" t="str">
        <v>Amazonas</v>
      </c>
      <c r="B162" s="12" t="str" cm="1">
        <f t="array" ref="B162">IF($A162="","",_xlfn.LET(_xlpm.p,IFERROR(INDEX(tblDados[País],MATCH($A162,TRIM(tblDados[Mandante]),0)),INDEX(tblDados[País],MATCH($A162,TRIM(tblDados[Visitante]),0))),_xlpm.l,IFERROR(INDEX(tblDados[Liga],MATCH($A162,TRIM(tblDados[Mandante]),0)),INDEX(tblDados[Liga],MATCH($A162,TRIM(tblDados[Visitante]),0))),_xlpm.p&amp;" - "&amp;_xlpm.l))</f>
        <v>BRA - Série C</v>
      </c>
      <c r="C162" s="10">
        <f t="shared" si="32"/>
        <v>2</v>
      </c>
      <c r="D162" s="10">
        <f t="shared" si="33"/>
        <v>3.1666666666666665</v>
      </c>
      <c r="E162" s="9" cm="1">
        <f t="array" ref="E162">IF($A162="","",SUMPRODUCT((TRIM(tblDados[Mandante])=$A162)*tblDados[Primeira_Ocorrencia]))</f>
        <v>6</v>
      </c>
      <c r="F162" s="9" cm="1">
        <f t="array" ref="F162">IF($A162="","",SUMPRODUCT((TRIM(tblDados[Visitante])=$A162)*tblDados[Primeira_Ocorrencia]))</f>
        <v>6</v>
      </c>
      <c r="G162" s="9" cm="1">
        <f t="array" ref="G162">IF($A162="","",SUMPRODUCT((TRIM(tblDados[Mandante])=$A162)*tblDados[Primeira_Ocorrencia])+SUMPRODUCT((TRIM(tblDados[Visitante])=$A162)*tblDados[Primeira_Ocorrencia]))</f>
        <v>12</v>
      </c>
      <c r="H162" s="10">
        <f t="shared" si="34"/>
        <v>0.91666666666666663</v>
      </c>
      <c r="I162" s="10" cm="1">
        <f t="array" ref="I162">IF($A162="","",_xlfn.LET(_xlpm.p,IFERROR(INDEX(tblDados[País],MATCH($A162,TRIM(tblDados[Mandante]),0)),INDEX(tblDados[País],MATCH($A162,TRIM(tblDados[Visitante]),0))),_xlpm.l,IFERROR(INDEX(tblDados[Liga],MATCH($A162,TRIM(tblDados[Mandante]),0)),INDEX(tblDados[Liga],MATCH($A162,TRIM(tblDados[Visitante]),0))),IFERROR(SUMIFS(Ligas!$D$2:$D$39,Ligas!$H$2:$H$39,_xlpm.p,Ligas!$I$2:$I$39,_xlpm.l),0)))</f>
        <v>2.09</v>
      </c>
      <c r="J162" s="11" cm="1">
        <f t="array" ref="J162">IF($A162="","",IFERROR((SUMPRODUCT((TRIM(tblDados[Mandante])=$A162)*tblDados[Primeira_Ocorrencia]*(tblDados[GM_M]=0))+SUMPRODUCT((TRIM(tblDados[Visitante])=$A162)*tblDados[Primeira_Ocorrencia]*(tblDados[GM_V]=0)))/G162,0))</f>
        <v>0.41666666666666669</v>
      </c>
      <c r="K162" s="11" cm="1">
        <f t="array" ref="K162">IF($A162="","",IFERROR((SUMPRODUCT((TRIM(tblDados[Mandante])=$A162)*tblDados[Primeira_Ocorrencia]*((tblDados[GM_M]+tblDados[GS_M])&gt;0.5))+SUMPRODUCT((TRIM(tblDados[Visitante])=$A162)*tblDados[Primeira_Ocorrencia]*((tblDados[GM_V]+tblDados[GS_V])&gt;0.5)))/G162,0))</f>
        <v>1</v>
      </c>
      <c r="L162" s="11" cm="1">
        <f t="array" ref="L162">IF($A162="","",IFERROR((SUMPRODUCT((TRIM(tblDados[Mandante])=$A162)*tblDados[Primeira_Ocorrencia]*((tblDados[GM_M]+tblDados[GS_M])&gt;1.5))+SUMPRODUCT((TRIM(tblDados[Visitante])=$A162)*tblDados[Primeira_Ocorrencia]*((tblDados[GM_V]+tblDados[GS_V])&gt;1.5)))/G162,0))</f>
        <v>0.75</v>
      </c>
      <c r="M162" s="11" cm="1">
        <f t="array" ref="M162">IF($A162="","",IFERROR((SUMPRODUCT((TRIM(tblDados[Mandante])=$A162)*tblDados[Primeira_Ocorrencia]*((tblDados[GM_M]+tblDados[GS_M])&gt;2.5))+SUMPRODUCT((TRIM(tblDados[Visitante])=$A162)*tblDados[Primeira_Ocorrencia]*((tblDados[GM_V]+tblDados[GS_V])&gt;2.5)))/G162,0))</f>
        <v>0.5</v>
      </c>
      <c r="N162" s="11" cm="1">
        <f t="array" ref="N162">IF($A162="","",IFERROR((SUMPRODUCT((TRIM(tblDados[Mandante])=$A162)*tblDados[Primeira_Ocorrencia]*((tblDados[GM_M]+tblDados[GS_M])&gt;3.5))+SUMPRODUCT((TRIM(tblDados[Visitante])=$A162)*tblDados[Primeira_Ocorrencia]*((tblDados[GM_V]+tblDados[GS_V])&gt;3.5)))/G162,0))</f>
        <v>0.16666666666666666</v>
      </c>
      <c r="O162" s="11" cm="1">
        <f t="array" ref="O162">IF($A162="","",IFERROR((SUMPRODUCT((TRIM(tblDados[Mandante])=$A162)*tblDados[Primeira_Ocorrencia]*(tblDados[GM_M]&gt;0)*(tblDados[GS_M]&gt;0))+SUMPRODUCT((TRIM(tblDados[Visitante])=$A162)*tblDados[Primeira_Ocorrencia]*(tblDados[GM_V]&gt;0)*(tblDados[GS_V]&gt;0)))/G162,0))</f>
        <v>0.41666666666666669</v>
      </c>
      <c r="P162" s="10" cm="1">
        <f t="array" ref="P162">IF($A162="","",IFERROR((SUMPRODUCT((TRIM(tblDados[Mandante])=$A162)*tblDados[Primeira_Ocorrencia]*tblDados[GM_M]^2)+SUMPRODUCT((TRIM(tblDados[Visitante])=$A162)*tblDados[Primeira_Ocorrencia]*tblDados[GM_V]^2))/G162-H162^2,0))</f>
        <v>0.90972222222222232</v>
      </c>
      <c r="Q162" s="10">
        <f t="shared" si="35"/>
        <v>0.95379359518829976</v>
      </c>
      <c r="R162" s="8" t="str">
        <f t="shared" si="36"/>
        <v>Poisson</v>
      </c>
      <c r="S162" s="10" cm="1">
        <f t="array" ref="S162">IF($A162="","",SUMPRODUCT((TRIM(tblDados[Mandante])=$A162)*tblDados[Primeira_Ocorrencia]*tblDados[GM_M]))</f>
        <v>5</v>
      </c>
      <c r="T162" s="10" cm="1">
        <f t="array" ref="T162">IF($A162="","",SUMPRODUCT((TRIM(tblDados[Visitante])=$A162)*tblDados[Primeira_Ocorrencia]*tblDados[GM_V]))</f>
        <v>6</v>
      </c>
      <c r="U162" s="10">
        <f t="shared" si="37"/>
        <v>11</v>
      </c>
      <c r="V162" s="10">
        <f t="shared" si="26"/>
        <v>0.91666666666666663</v>
      </c>
      <c r="W162" s="10" cm="1">
        <f t="array" ref="W162">IF($A162="","",SUMPRODUCT((TRIM(tblDados[Mandante])=$A162)*tblDados[Primeira_Ocorrencia]*tblDados[GS_M]))</f>
        <v>7</v>
      </c>
      <c r="X162" s="10" cm="1">
        <f t="array" ref="X162">IF($A162="","",SUMPRODUCT((TRIM(tblDados[Visitante])=$A162)*tblDados[Primeira_Ocorrencia]*tblDados[GS_V]))</f>
        <v>13</v>
      </c>
      <c r="Y162" s="10">
        <f t="shared" si="38"/>
        <v>20</v>
      </c>
      <c r="Z162" s="10">
        <f t="shared" si="27"/>
        <v>1.6666666666666667</v>
      </c>
      <c r="AA162" s="10">
        <f t="shared" si="28"/>
        <v>0.83333333333333337</v>
      </c>
      <c r="AB162" s="10">
        <f t="shared" si="29"/>
        <v>1.1666666666666667</v>
      </c>
      <c r="AC162" s="10">
        <f t="shared" si="30"/>
        <v>1</v>
      </c>
      <c r="AD162" s="10">
        <f t="shared" si="31"/>
        <v>2.1666666666666665</v>
      </c>
    </row>
    <row r="163" spans="1:30" x14ac:dyDescent="0.3">
      <c r="A163" s="7" t="str">
        <v>Anápolis</v>
      </c>
      <c r="B163" s="12" t="str" cm="1">
        <f t="array" ref="B163">IF($A163="","",_xlfn.LET(_xlpm.p,IFERROR(INDEX(tblDados[País],MATCH($A163,TRIM(tblDados[Mandante]),0)),INDEX(tblDados[País],MATCH($A163,TRIM(tblDados[Visitante]),0))),_xlpm.l,IFERROR(INDEX(tblDados[Liga],MATCH($A163,TRIM(tblDados[Mandante]),0)),INDEX(tblDados[Liga],MATCH($A163,TRIM(tblDados[Visitante]),0))),_xlpm.p&amp;" - "&amp;_xlpm.l))</f>
        <v>BRA - Série C</v>
      </c>
      <c r="C163" s="10">
        <f t="shared" si="32"/>
        <v>1.6666666666666667</v>
      </c>
      <c r="D163" s="10">
        <f t="shared" si="33"/>
        <v>2.166666666666667</v>
      </c>
      <c r="E163" s="9" cm="1">
        <f t="array" ref="E163">IF($A163="","",SUMPRODUCT((TRIM(tblDados[Mandante])=$A163)*tblDados[Primeira_Ocorrencia]))</f>
        <v>6</v>
      </c>
      <c r="F163" s="9" cm="1">
        <f t="array" ref="F163">IF($A163="","",SUMPRODUCT((TRIM(tblDados[Visitante])=$A163)*tblDados[Primeira_Ocorrencia]))</f>
        <v>6</v>
      </c>
      <c r="G163" s="9" cm="1">
        <f t="array" ref="G163">IF($A163="","",SUMPRODUCT((TRIM(tblDados[Mandante])=$A163)*tblDados[Primeira_Ocorrencia])+SUMPRODUCT((TRIM(tblDados[Visitante])=$A163)*tblDados[Primeira_Ocorrencia]))</f>
        <v>12</v>
      </c>
      <c r="H163" s="10">
        <f t="shared" si="34"/>
        <v>0.91666666666666663</v>
      </c>
      <c r="I163" s="10" cm="1">
        <f t="array" ref="I163">IF($A163="","",_xlfn.LET(_xlpm.p,IFERROR(INDEX(tblDados[País],MATCH($A163,TRIM(tblDados[Mandante]),0)),INDEX(tblDados[País],MATCH($A163,TRIM(tblDados[Visitante]),0))),_xlpm.l,IFERROR(INDEX(tblDados[Liga],MATCH($A163,TRIM(tblDados[Mandante]),0)),INDEX(tblDados[Liga],MATCH($A163,TRIM(tblDados[Visitante]),0))),IFERROR(SUMIFS(Ligas!$D$2:$D$39,Ligas!$H$2:$H$39,_xlpm.p,Ligas!$I$2:$I$39,_xlpm.l),0)))</f>
        <v>2.09</v>
      </c>
      <c r="J163" s="11" cm="1">
        <f t="array" ref="J163">IF($A163="","",IFERROR((SUMPRODUCT((TRIM(tblDados[Mandante])=$A163)*tblDados[Primeira_Ocorrencia]*(tblDados[GM_M]=0))+SUMPRODUCT((TRIM(tblDados[Visitante])=$A163)*tblDados[Primeira_Ocorrencia]*(tblDados[GM_V]=0)))/G163,0))</f>
        <v>0.5</v>
      </c>
      <c r="K163" s="11" cm="1">
        <f t="array" ref="K163">IF($A163="","",IFERROR((SUMPRODUCT((TRIM(tblDados[Mandante])=$A163)*tblDados[Primeira_Ocorrencia]*((tblDados[GM_M]+tblDados[GS_M])&gt;0.5))+SUMPRODUCT((TRIM(tblDados[Visitante])=$A163)*tblDados[Primeira_Ocorrencia]*((tblDados[GM_V]+tblDados[GS_V])&gt;0.5)))/G163,0))</f>
        <v>0.91666666666666663</v>
      </c>
      <c r="L163" s="11" cm="1">
        <f t="array" ref="L163">IF($A163="","",IFERROR((SUMPRODUCT((TRIM(tblDados[Mandante])=$A163)*tblDados[Primeira_Ocorrencia]*((tblDados[GM_M]+tblDados[GS_M])&gt;1.5))+SUMPRODUCT((TRIM(tblDados[Visitante])=$A163)*tblDados[Primeira_Ocorrencia]*((tblDados[GM_V]+tblDados[GS_V])&gt;1.5)))/G163,0))</f>
        <v>0.58333333333333337</v>
      </c>
      <c r="M163" s="11" cm="1">
        <f t="array" ref="M163">IF($A163="","",IFERROR((SUMPRODUCT((TRIM(tblDados[Mandante])=$A163)*tblDados[Primeira_Ocorrencia]*((tblDados[GM_M]+tblDados[GS_M])&gt;2.5))+SUMPRODUCT((TRIM(tblDados[Visitante])=$A163)*tblDados[Primeira_Ocorrencia]*((tblDados[GM_V]+tblDados[GS_V])&gt;2.5)))/G163,0))</f>
        <v>0.25</v>
      </c>
      <c r="N163" s="11" cm="1">
        <f t="array" ref="N163">IF($A163="","",IFERROR((SUMPRODUCT((TRIM(tblDados[Mandante])=$A163)*tblDados[Primeira_Ocorrencia]*((tblDados[GM_M]+tblDados[GS_M])&gt;3.5))+SUMPRODUCT((TRIM(tblDados[Visitante])=$A163)*tblDados[Primeira_Ocorrencia]*((tblDados[GM_V]+tblDados[GS_V])&gt;3.5)))/G163,0))</f>
        <v>8.3333333333333329E-2</v>
      </c>
      <c r="O163" s="11" cm="1">
        <f t="array" ref="O163">IF($A163="","",IFERROR((SUMPRODUCT((TRIM(tblDados[Mandante])=$A163)*tblDados[Primeira_Ocorrencia]*(tblDados[GM_M]&gt;0)*(tblDados[GS_M]&gt;0))+SUMPRODUCT((TRIM(tblDados[Visitante])=$A163)*tblDados[Primeira_Ocorrencia]*(tblDados[GM_V]&gt;0)*(tblDados[GS_V]&gt;0)))/G163,0))</f>
        <v>0.41666666666666669</v>
      </c>
      <c r="P163" s="10" cm="1">
        <f t="array" ref="P163">IF($A163="","",IFERROR((SUMPRODUCT((TRIM(tblDados[Mandante])=$A163)*tblDados[Primeira_Ocorrencia]*tblDados[GM_M]^2)+SUMPRODUCT((TRIM(tblDados[Visitante])=$A163)*tblDados[Primeira_Ocorrencia]*tblDados[GM_V]^2))/G163-H163^2,0))</f>
        <v>1.4097222222222223</v>
      </c>
      <c r="Q163" s="10">
        <f t="shared" si="35"/>
        <v>1.1873172373979173</v>
      </c>
      <c r="R163" s="8" t="str">
        <f t="shared" si="36"/>
        <v>Poisson</v>
      </c>
      <c r="S163" s="10" cm="1">
        <f t="array" ref="S163">IF($A163="","",SUMPRODUCT((TRIM(tblDados[Mandante])=$A163)*tblDados[Primeira_Ocorrencia]*tblDados[GM_M]))</f>
        <v>5</v>
      </c>
      <c r="T163" s="10" cm="1">
        <f t="array" ref="T163">IF($A163="","",SUMPRODUCT((TRIM(tblDados[Visitante])=$A163)*tblDados[Primeira_Ocorrencia]*tblDados[GM_V]))</f>
        <v>6</v>
      </c>
      <c r="U163" s="10">
        <f t="shared" si="37"/>
        <v>11</v>
      </c>
      <c r="V163" s="10">
        <f t="shared" si="26"/>
        <v>0.91666666666666663</v>
      </c>
      <c r="W163" s="10" cm="1">
        <f t="array" ref="W163">IF($A163="","",SUMPRODUCT((TRIM(tblDados[Mandante])=$A163)*tblDados[Primeira_Ocorrencia]*tblDados[GS_M]))</f>
        <v>5</v>
      </c>
      <c r="X163" s="10" cm="1">
        <f t="array" ref="X163">IF($A163="","",SUMPRODUCT((TRIM(tblDados[Visitante])=$A163)*tblDados[Primeira_Ocorrencia]*tblDados[GS_V]))</f>
        <v>7</v>
      </c>
      <c r="Y163" s="10">
        <f t="shared" si="38"/>
        <v>12</v>
      </c>
      <c r="Z163" s="10">
        <f t="shared" si="27"/>
        <v>1</v>
      </c>
      <c r="AA163" s="10">
        <f t="shared" si="28"/>
        <v>0.83333333333333337</v>
      </c>
      <c r="AB163" s="10">
        <f t="shared" si="29"/>
        <v>0.83333333333333337</v>
      </c>
      <c r="AC163" s="10">
        <f t="shared" si="30"/>
        <v>1</v>
      </c>
      <c r="AD163" s="10">
        <f t="shared" si="31"/>
        <v>1.1666666666666667</v>
      </c>
    </row>
    <row r="164" spans="1:30" x14ac:dyDescent="0.3">
      <c r="A164" s="7" t="str">
        <v>Ängelholms FF</v>
      </c>
      <c r="B164" s="12" t="str" cm="1">
        <f t="array" ref="B164">IF($A164="","",_xlfn.LET(_xlpm.p,IFERROR(INDEX(tblDados[País],MATCH($A164,TRIM(tblDados[Mandante]),0)),INDEX(tblDados[País],MATCH($A164,TRIM(tblDados[Visitante]),0))),_xlpm.l,IFERROR(INDEX(tblDados[Liga],MATCH($A164,TRIM(tblDados[Mandante]),0)),INDEX(tblDados[Liga],MATCH($A164,TRIM(tblDados[Visitante]),0))),_xlpm.p&amp;" - "&amp;_xlpm.l))</f>
        <v>SWE - 1ª D Södra</v>
      </c>
      <c r="C164" s="10">
        <f t="shared" si="32"/>
        <v>3.4000000000000004</v>
      </c>
      <c r="D164" s="10">
        <f t="shared" si="33"/>
        <v>3.1428571428571428</v>
      </c>
      <c r="E164" s="9" cm="1">
        <f t="array" ref="E164">IF($A164="","",SUMPRODUCT((TRIM(tblDados[Mandante])=$A164)*tblDados[Primeira_Ocorrencia]))</f>
        <v>5</v>
      </c>
      <c r="F164" s="9" cm="1">
        <f t="array" ref="F164">IF($A164="","",SUMPRODUCT((TRIM(tblDados[Visitante])=$A164)*tblDados[Primeira_Ocorrencia]))</f>
        <v>7</v>
      </c>
      <c r="G164" s="9" cm="1">
        <f t="array" ref="G164">IF($A164="","",SUMPRODUCT((TRIM(tblDados[Mandante])=$A164)*tblDados[Primeira_Ocorrencia])+SUMPRODUCT((TRIM(tblDados[Visitante])=$A164)*tblDados[Primeira_Ocorrencia]))</f>
        <v>12</v>
      </c>
      <c r="H164" s="10">
        <f t="shared" si="34"/>
        <v>1.75</v>
      </c>
      <c r="I164" s="10" cm="1">
        <f t="array" ref="I164">IF($A164="","",_xlfn.LET(_xlpm.p,IFERROR(INDEX(tblDados[País],MATCH($A164,TRIM(tblDados[Mandante]),0)),INDEX(tblDados[País],MATCH($A164,TRIM(tblDados[Visitante]),0))),_xlpm.l,IFERROR(INDEX(tblDados[Liga],MATCH($A164,TRIM(tblDados[Mandante]),0)),INDEX(tblDados[Liga],MATCH($A164,TRIM(tblDados[Visitante]),0))),IFERROR(SUMIFS(Ligas!$D$2:$D$39,Ligas!$H$2:$H$39,_xlpm.p,Ligas!$I$2:$I$39,_xlpm.l),0)))</f>
        <v>2.5</v>
      </c>
      <c r="J164" s="11" cm="1">
        <f t="array" ref="J164">IF($A164="","",IFERROR((SUMPRODUCT((TRIM(tblDados[Mandante])=$A164)*tblDados[Primeira_Ocorrencia]*(tblDados[GM_M]=0))+SUMPRODUCT((TRIM(tblDados[Visitante])=$A164)*tblDados[Primeira_Ocorrencia]*(tblDados[GM_V]=0)))/G164,0))</f>
        <v>0.25</v>
      </c>
      <c r="K164" s="11" cm="1">
        <f t="array" ref="K164">IF($A164="","",IFERROR((SUMPRODUCT((TRIM(tblDados[Mandante])=$A164)*tblDados[Primeira_Ocorrencia]*((tblDados[GM_M]+tblDados[GS_M])&gt;0.5))+SUMPRODUCT((TRIM(tblDados[Visitante])=$A164)*tblDados[Primeira_Ocorrencia]*((tblDados[GM_V]+tblDados[GS_V])&gt;0.5)))/G164,0))</f>
        <v>1</v>
      </c>
      <c r="L164" s="11" cm="1">
        <f t="array" ref="L164">IF($A164="","",IFERROR((SUMPRODUCT((TRIM(tblDados[Mandante])=$A164)*tblDados[Primeira_Ocorrencia]*((tblDados[GM_M]+tblDados[GS_M])&gt;1.5))+SUMPRODUCT((TRIM(tblDados[Visitante])=$A164)*tblDados[Primeira_Ocorrencia]*((tblDados[GM_V]+tblDados[GS_V])&gt;1.5)))/G164,0))</f>
        <v>0.83333333333333337</v>
      </c>
      <c r="M164" s="11" cm="1">
        <f t="array" ref="M164">IF($A164="","",IFERROR((SUMPRODUCT((TRIM(tblDados[Mandante])=$A164)*tblDados[Primeira_Ocorrencia]*((tblDados[GM_M]+tblDados[GS_M])&gt;2.5))+SUMPRODUCT((TRIM(tblDados[Visitante])=$A164)*tblDados[Primeira_Ocorrencia]*((tblDados[GM_V]+tblDados[GS_V])&gt;2.5)))/G164,0))</f>
        <v>0.58333333333333337</v>
      </c>
      <c r="N164" s="11" cm="1">
        <f t="array" ref="N164">IF($A164="","",IFERROR((SUMPRODUCT((TRIM(tblDados[Mandante])=$A164)*tblDados[Primeira_Ocorrencia]*((tblDados[GM_M]+tblDados[GS_M])&gt;3.5))+SUMPRODUCT((TRIM(tblDados[Visitante])=$A164)*tblDados[Primeira_Ocorrencia]*((tblDados[GM_V]+tblDados[GS_V])&gt;3.5)))/G164,0))</f>
        <v>0.41666666666666669</v>
      </c>
      <c r="O164" s="11" cm="1">
        <f t="array" ref="O164">IF($A164="","",IFERROR((SUMPRODUCT((TRIM(tblDados[Mandante])=$A164)*tblDados[Primeira_Ocorrencia]*(tblDados[GM_M]&gt;0)*(tblDados[GS_M]&gt;0))+SUMPRODUCT((TRIM(tblDados[Visitante])=$A164)*tblDados[Primeira_Ocorrencia]*(tblDados[GM_V]&gt;0)*(tblDados[GS_V]&gt;0)))/G164,0))</f>
        <v>0.66666666666666663</v>
      </c>
      <c r="P164" s="10" cm="1">
        <f t="array" ref="P164">IF($A164="","",IFERROR((SUMPRODUCT((TRIM(tblDados[Mandante])=$A164)*tblDados[Primeira_Ocorrencia]*tblDados[GM_M]^2)+SUMPRODUCT((TRIM(tblDados[Visitante])=$A164)*tblDados[Primeira_Ocorrencia]*tblDados[GM_V]^2))/G164-H164^2,0))</f>
        <v>2.854166666666667</v>
      </c>
      <c r="Q164" s="10">
        <f t="shared" si="35"/>
        <v>1.6894279110594412</v>
      </c>
      <c r="R164" s="8" t="str">
        <f t="shared" si="36"/>
        <v>Poisson</v>
      </c>
      <c r="S164" s="10" cm="1">
        <f t="array" ref="S164">IF($A164="","",SUMPRODUCT((TRIM(tblDados[Mandante])=$A164)*tblDados[Primeira_Ocorrencia]*tblDados[GM_M]))</f>
        <v>9</v>
      </c>
      <c r="T164" s="10" cm="1">
        <f t="array" ref="T164">IF($A164="","",SUMPRODUCT((TRIM(tblDados[Visitante])=$A164)*tblDados[Primeira_Ocorrencia]*tblDados[GM_V]))</f>
        <v>12</v>
      </c>
      <c r="U164" s="10">
        <f t="shared" si="37"/>
        <v>21</v>
      </c>
      <c r="V164" s="10">
        <f t="shared" si="26"/>
        <v>1.75</v>
      </c>
      <c r="W164" s="10" cm="1">
        <f t="array" ref="W164">IF($A164="","",SUMPRODUCT((TRIM(tblDados[Mandante])=$A164)*tblDados[Primeira_Ocorrencia]*tblDados[GS_M]))</f>
        <v>8</v>
      </c>
      <c r="X164" s="10" cm="1">
        <f t="array" ref="X164">IF($A164="","",SUMPRODUCT((TRIM(tblDados[Visitante])=$A164)*tblDados[Primeira_Ocorrencia]*tblDados[GS_V]))</f>
        <v>10</v>
      </c>
      <c r="Y164" s="10">
        <f t="shared" si="38"/>
        <v>18</v>
      </c>
      <c r="Z164" s="10">
        <f t="shared" si="27"/>
        <v>1.5</v>
      </c>
      <c r="AA164" s="10">
        <f t="shared" si="28"/>
        <v>1.8</v>
      </c>
      <c r="AB164" s="10">
        <f t="shared" si="29"/>
        <v>1.6</v>
      </c>
      <c r="AC164" s="10">
        <f t="shared" si="30"/>
        <v>1.7142857142857142</v>
      </c>
      <c r="AD164" s="10">
        <f t="shared" si="31"/>
        <v>1.4285714285714286</v>
      </c>
    </row>
    <row r="165" spans="1:30" x14ac:dyDescent="0.3">
      <c r="A165" s="7" t="str">
        <v>Apia L Tigers</v>
      </c>
      <c r="B165" s="12" t="str" cm="1">
        <f t="array" ref="B165">IF($A165="","",_xlfn.LET(_xlpm.p,IFERROR(INDEX(tblDados[País],MATCH($A165,TRIM(tblDados[Mandante]),0)),INDEX(tblDados[País],MATCH($A165,TRIM(tblDados[Visitante]),0))),_xlpm.l,IFERROR(INDEX(tblDados[Liga],MATCH($A165,TRIM(tblDados[Mandante]),0)),INDEX(tblDados[Liga],MATCH($A165,TRIM(tblDados[Visitante]),0))),_xlpm.p&amp;" - "&amp;_xlpm.l))</f>
        <v>AUS - NPL New South Wales</v>
      </c>
      <c r="C165" s="10">
        <f t="shared" si="32"/>
        <v>2.8</v>
      </c>
      <c r="D165" s="10">
        <f t="shared" si="33"/>
        <v>3.7142857142857144</v>
      </c>
      <c r="E165" s="9" cm="1">
        <f t="array" ref="E165">IF($A165="","",SUMPRODUCT((TRIM(tblDados[Mandante])=$A165)*tblDados[Primeira_Ocorrencia]))</f>
        <v>5</v>
      </c>
      <c r="F165" s="9" cm="1">
        <f t="array" ref="F165">IF($A165="","",SUMPRODUCT((TRIM(tblDados[Visitante])=$A165)*tblDados[Primeira_Ocorrencia]))</f>
        <v>7</v>
      </c>
      <c r="G165" s="9" cm="1">
        <f t="array" ref="G165">IF($A165="","",SUMPRODUCT((TRIM(tblDados[Mandante])=$A165)*tblDados[Primeira_Ocorrencia])+SUMPRODUCT((TRIM(tblDados[Visitante])=$A165)*tblDados[Primeira_Ocorrencia]))</f>
        <v>12</v>
      </c>
      <c r="H165" s="10">
        <f t="shared" si="34"/>
        <v>2.1666666666666665</v>
      </c>
      <c r="I165" s="10" cm="1">
        <f t="array" ref="I165">IF($A165="","",_xlfn.LET(_xlpm.p,IFERROR(INDEX(tblDados[País],MATCH($A165,TRIM(tblDados[Mandante]),0)),INDEX(tblDados[País],MATCH($A165,TRIM(tblDados[Visitante]),0))),_xlpm.l,IFERROR(INDEX(tblDados[Liga],MATCH($A165,TRIM(tblDados[Mandante]),0)),INDEX(tblDados[Liga],MATCH($A165,TRIM(tblDados[Visitante]),0))),IFERROR(SUMIFS(Ligas!$D$2:$D$39,Ligas!$H$2:$H$39,_xlpm.p,Ligas!$I$2:$I$39,_xlpm.l),0)))</f>
        <v>3.61</v>
      </c>
      <c r="J165" s="11" cm="1">
        <f t="array" ref="J165">IF($A165="","",IFERROR((SUMPRODUCT((TRIM(tblDados[Mandante])=$A165)*tblDados[Primeira_Ocorrencia]*(tblDados[GM_M]=0))+SUMPRODUCT((TRIM(tblDados[Visitante])=$A165)*tblDados[Primeira_Ocorrencia]*(tblDados[GM_V]=0)))/G165,0))</f>
        <v>0.16666666666666666</v>
      </c>
      <c r="K165" s="11" cm="1">
        <f t="array" ref="K165">IF($A165="","",IFERROR((SUMPRODUCT((TRIM(tblDados[Mandante])=$A165)*tblDados[Primeira_Ocorrencia]*((tblDados[GM_M]+tblDados[GS_M])&gt;0.5))+SUMPRODUCT((TRIM(tblDados[Visitante])=$A165)*tblDados[Primeira_Ocorrencia]*((tblDados[GM_V]+tblDados[GS_V])&gt;0.5)))/G165,0))</f>
        <v>0.91666666666666663</v>
      </c>
      <c r="L165" s="11" cm="1">
        <f t="array" ref="L165">IF($A165="","",IFERROR((SUMPRODUCT((TRIM(tblDados[Mandante])=$A165)*tblDados[Primeira_Ocorrencia]*((tblDados[GM_M]+tblDados[GS_M])&gt;1.5))+SUMPRODUCT((TRIM(tblDados[Visitante])=$A165)*tblDados[Primeira_Ocorrencia]*((tblDados[GM_V]+tblDados[GS_V])&gt;1.5)))/G165,0))</f>
        <v>0.91666666666666663</v>
      </c>
      <c r="M165" s="11" cm="1">
        <f t="array" ref="M165">IF($A165="","",IFERROR((SUMPRODUCT((TRIM(tblDados[Mandante])=$A165)*tblDados[Primeira_Ocorrencia]*((tblDados[GM_M]+tblDados[GS_M])&gt;2.5))+SUMPRODUCT((TRIM(tblDados[Visitante])=$A165)*tblDados[Primeira_Ocorrencia]*((tblDados[GM_V]+tblDados[GS_V])&gt;2.5)))/G165,0))</f>
        <v>0.58333333333333337</v>
      </c>
      <c r="N165" s="11" cm="1">
        <f t="array" ref="N165">IF($A165="","",IFERROR((SUMPRODUCT((TRIM(tblDados[Mandante])=$A165)*tblDados[Primeira_Ocorrencia]*((tblDados[GM_M]+tblDados[GS_M])&gt;3.5))+SUMPRODUCT((TRIM(tblDados[Visitante])=$A165)*tblDados[Primeira_Ocorrencia]*((tblDados[GM_V]+tblDados[GS_V])&gt;3.5)))/G165,0))</f>
        <v>0.41666666666666669</v>
      </c>
      <c r="O165" s="11" cm="1">
        <f t="array" ref="O165">IF($A165="","",IFERROR((SUMPRODUCT((TRIM(tblDados[Mandante])=$A165)*tblDados[Primeira_Ocorrencia]*(tblDados[GM_M]&gt;0)*(tblDados[GS_M]&gt;0))+SUMPRODUCT((TRIM(tblDados[Visitante])=$A165)*tblDados[Primeira_Ocorrencia]*(tblDados[GM_V]&gt;0)*(tblDados[GS_V]&gt;0)))/G165,0))</f>
        <v>0.66666666666666663</v>
      </c>
      <c r="P165" s="10" cm="1">
        <f t="array" ref="P165">IF($A165="","",IFERROR((SUMPRODUCT((TRIM(tblDados[Mandante])=$A165)*tblDados[Primeira_Ocorrencia]*tblDados[GM_M]^2)+SUMPRODUCT((TRIM(tblDados[Visitante])=$A165)*tblDados[Primeira_Ocorrencia]*tblDados[GM_V]^2))/G165-H165^2,0))</f>
        <v>1.9722222222222232</v>
      </c>
      <c r="Q165" s="10">
        <f t="shared" si="35"/>
        <v>1.4043582955293934</v>
      </c>
      <c r="R165" s="8" t="str">
        <f t="shared" si="36"/>
        <v>Poisson</v>
      </c>
      <c r="S165" s="10" cm="1">
        <f t="array" ref="S165">IF($A165="","",SUMPRODUCT((TRIM(tblDados[Mandante])=$A165)*tblDados[Primeira_Ocorrencia]*tblDados[GM_M]))</f>
        <v>9</v>
      </c>
      <c r="T165" s="10" cm="1">
        <f t="array" ref="T165">IF($A165="","",SUMPRODUCT((TRIM(tblDados[Visitante])=$A165)*tblDados[Primeira_Ocorrencia]*tblDados[GM_V]))</f>
        <v>17</v>
      </c>
      <c r="U165" s="10">
        <f t="shared" si="37"/>
        <v>26</v>
      </c>
      <c r="V165" s="10">
        <f t="shared" si="26"/>
        <v>2.1666666666666665</v>
      </c>
      <c r="W165" s="10" cm="1">
        <f t="array" ref="W165">IF($A165="","",SUMPRODUCT((TRIM(tblDados[Mandante])=$A165)*tblDados[Primeira_Ocorrencia]*tblDados[GS_M]))</f>
        <v>5</v>
      </c>
      <c r="X165" s="10" cm="1">
        <f t="array" ref="X165">IF($A165="","",SUMPRODUCT((TRIM(tblDados[Visitante])=$A165)*tblDados[Primeira_Ocorrencia]*tblDados[GS_V]))</f>
        <v>9</v>
      </c>
      <c r="Y165" s="10">
        <f t="shared" si="38"/>
        <v>14</v>
      </c>
      <c r="Z165" s="10">
        <f t="shared" si="27"/>
        <v>1.1666666666666667</v>
      </c>
      <c r="AA165" s="10">
        <f t="shared" si="28"/>
        <v>1.8</v>
      </c>
      <c r="AB165" s="10">
        <f t="shared" si="29"/>
        <v>1</v>
      </c>
      <c r="AC165" s="10">
        <f t="shared" si="30"/>
        <v>2.4285714285714284</v>
      </c>
      <c r="AD165" s="10">
        <f t="shared" si="31"/>
        <v>1.2857142857142858</v>
      </c>
    </row>
    <row r="166" spans="1:30" x14ac:dyDescent="0.3">
      <c r="A166" s="7" t="str">
        <v>Åsane Fotball</v>
      </c>
      <c r="B166" s="12" t="str" cm="1">
        <f t="array" ref="B166">IF($A166="","",_xlfn.LET(_xlpm.p,IFERROR(INDEX(tblDados[País],MATCH($A166,TRIM(tblDados[Mandante]),0)),INDEX(tblDados[País],MATCH($A166,TRIM(tblDados[Visitante]),0))),_xlpm.l,IFERROR(INDEX(tblDados[Liga],MATCH($A166,TRIM(tblDados[Mandante]),0)),INDEX(tblDados[Liga],MATCH($A166,TRIM(tblDados[Visitante]),0))),_xlpm.p&amp;" - "&amp;_xlpm.l))</f>
        <v>NOR - OBOS-ligaen</v>
      </c>
      <c r="C166" s="10">
        <f t="shared" si="32"/>
        <v>3.2857142857142856</v>
      </c>
      <c r="D166" s="10">
        <f t="shared" si="33"/>
        <v>4</v>
      </c>
      <c r="E166" s="9" cm="1">
        <f t="array" ref="E166">IF($A166="","",SUMPRODUCT((TRIM(tblDados[Mandante])=$A166)*tblDados[Primeira_Ocorrencia]))</f>
        <v>7</v>
      </c>
      <c r="F166" s="9" cm="1">
        <f t="array" ref="F166">IF($A166="","",SUMPRODUCT((TRIM(tblDados[Visitante])=$A166)*tblDados[Primeira_Ocorrencia]))</f>
        <v>5</v>
      </c>
      <c r="G166" s="9" cm="1">
        <f t="array" ref="G166">IF($A166="","",SUMPRODUCT((TRIM(tblDados[Mandante])=$A166)*tblDados[Primeira_Ocorrencia])+SUMPRODUCT((TRIM(tblDados[Visitante])=$A166)*tblDados[Primeira_Ocorrencia]))</f>
        <v>12</v>
      </c>
      <c r="H166" s="10">
        <f t="shared" si="34"/>
        <v>1.5833333333333333</v>
      </c>
      <c r="I166" s="10" cm="1">
        <f t="array" ref="I166">IF($A166="","",_xlfn.LET(_xlpm.p,IFERROR(INDEX(tblDados[País],MATCH($A166,TRIM(tblDados[Mandante]),0)),INDEX(tblDados[País],MATCH($A166,TRIM(tblDados[Visitante]),0))),_xlpm.l,IFERROR(INDEX(tblDados[Liga],MATCH($A166,TRIM(tblDados[Mandante]),0)),INDEX(tblDados[Liga],MATCH($A166,TRIM(tblDados[Visitante]),0))),IFERROR(SUMIFS(Ligas!$D$2:$D$39,Ligas!$H$2:$H$39,_xlpm.p,Ligas!$I$2:$I$39,_xlpm.l),0)))</f>
        <v>2.5</v>
      </c>
      <c r="J166" s="11" cm="1">
        <f t="array" ref="J166">IF($A166="","",IFERROR((SUMPRODUCT((TRIM(tblDados[Mandante])=$A166)*tblDados[Primeira_Ocorrencia]*(tblDados[GM_M]=0))+SUMPRODUCT((TRIM(tblDados[Visitante])=$A166)*tblDados[Primeira_Ocorrencia]*(tblDados[GM_V]=0)))/G166,0))</f>
        <v>0.16666666666666666</v>
      </c>
      <c r="K166" s="11" cm="1">
        <f t="array" ref="K166">IF($A166="","",IFERROR((SUMPRODUCT((TRIM(tblDados[Mandante])=$A166)*tblDados[Primeira_Ocorrencia]*((tblDados[GM_M]+tblDados[GS_M])&gt;0.5))+SUMPRODUCT((TRIM(tblDados[Visitante])=$A166)*tblDados[Primeira_Ocorrencia]*((tblDados[GM_V]+tblDados[GS_V])&gt;0.5)))/G166,0))</f>
        <v>1</v>
      </c>
      <c r="L166" s="11" cm="1">
        <f t="array" ref="L166">IF($A166="","",IFERROR((SUMPRODUCT((TRIM(tblDados[Mandante])=$A166)*tblDados[Primeira_Ocorrencia]*((tblDados[GM_M]+tblDados[GS_M])&gt;1.5))+SUMPRODUCT((TRIM(tblDados[Visitante])=$A166)*tblDados[Primeira_Ocorrencia]*((tblDados[GM_V]+tblDados[GS_V])&gt;1.5)))/G166,0))</f>
        <v>0.91666666666666663</v>
      </c>
      <c r="M166" s="11" cm="1">
        <f t="array" ref="M166">IF($A166="","",IFERROR((SUMPRODUCT((TRIM(tblDados[Mandante])=$A166)*tblDados[Primeira_Ocorrencia]*((tblDados[GM_M]+tblDados[GS_M])&gt;2.5))+SUMPRODUCT((TRIM(tblDados[Visitante])=$A166)*tblDados[Primeira_Ocorrencia]*((tblDados[GM_V]+tblDados[GS_V])&gt;2.5)))/G166,0))</f>
        <v>0.75</v>
      </c>
      <c r="N166" s="11" cm="1">
        <f t="array" ref="N166">IF($A166="","",IFERROR((SUMPRODUCT((TRIM(tblDados[Mandante])=$A166)*tblDados[Primeira_Ocorrencia]*((tblDados[GM_M]+tblDados[GS_M])&gt;3.5))+SUMPRODUCT((TRIM(tblDados[Visitante])=$A166)*tblDados[Primeira_Ocorrencia]*((tblDados[GM_V]+tblDados[GS_V])&gt;3.5)))/G166,0))</f>
        <v>0.33333333333333331</v>
      </c>
      <c r="O166" s="11" cm="1">
        <f t="array" ref="O166">IF($A166="","",IFERROR((SUMPRODUCT((TRIM(tblDados[Mandante])=$A166)*tblDados[Primeira_Ocorrencia]*(tblDados[GM_M]&gt;0)*(tblDados[GS_M]&gt;0))+SUMPRODUCT((TRIM(tblDados[Visitante])=$A166)*tblDados[Primeira_Ocorrencia]*(tblDados[GM_V]&gt;0)*(tblDados[GS_V]&gt;0)))/G166,0))</f>
        <v>0.58333333333333337</v>
      </c>
      <c r="P166" s="10" cm="1">
        <f t="array" ref="P166">IF($A166="","",IFERROR((SUMPRODUCT((TRIM(tblDados[Mandante])=$A166)*tblDados[Primeira_Ocorrencia]*tblDados[GM_M]^2)+SUMPRODUCT((TRIM(tblDados[Visitante])=$A166)*tblDados[Primeira_Ocorrencia]*tblDados[GM_V]^2))/G166-H166^2,0))</f>
        <v>1.0763888888888893</v>
      </c>
      <c r="Q166" s="10">
        <f t="shared" si="35"/>
        <v>1.0374916331657278</v>
      </c>
      <c r="R166" s="8" t="str">
        <f t="shared" si="36"/>
        <v>Poisson</v>
      </c>
      <c r="S166" s="10" cm="1">
        <f t="array" ref="S166">IF($A166="","",SUMPRODUCT((TRIM(tblDados[Mandante])=$A166)*tblDados[Primeira_Ocorrencia]*tblDados[GM_M]))</f>
        <v>14</v>
      </c>
      <c r="T166" s="10" cm="1">
        <f t="array" ref="T166">IF($A166="","",SUMPRODUCT((TRIM(tblDados[Visitante])=$A166)*tblDados[Primeira_Ocorrencia]*tblDados[GM_V]))</f>
        <v>5</v>
      </c>
      <c r="U166" s="10">
        <f t="shared" si="37"/>
        <v>19</v>
      </c>
      <c r="V166" s="10">
        <f t="shared" si="26"/>
        <v>1.5833333333333333</v>
      </c>
      <c r="W166" s="10" cm="1">
        <f t="array" ref="W166">IF($A166="","",SUMPRODUCT((TRIM(tblDados[Mandante])=$A166)*tblDados[Primeira_Ocorrencia]*tblDados[GS_M]))</f>
        <v>9</v>
      </c>
      <c r="X166" s="10" cm="1">
        <f t="array" ref="X166">IF($A166="","",SUMPRODUCT((TRIM(tblDados[Visitante])=$A166)*tblDados[Primeira_Ocorrencia]*tblDados[GS_V]))</f>
        <v>15</v>
      </c>
      <c r="Y166" s="10">
        <f t="shared" si="38"/>
        <v>24</v>
      </c>
      <c r="Z166" s="10">
        <f t="shared" si="27"/>
        <v>2</v>
      </c>
      <c r="AA166" s="10">
        <f t="shared" si="28"/>
        <v>2</v>
      </c>
      <c r="AB166" s="10">
        <f t="shared" si="29"/>
        <v>1.2857142857142858</v>
      </c>
      <c r="AC166" s="10">
        <f t="shared" si="30"/>
        <v>1</v>
      </c>
      <c r="AD166" s="10">
        <f t="shared" si="31"/>
        <v>3</v>
      </c>
    </row>
    <row r="167" spans="1:30" x14ac:dyDescent="0.3">
      <c r="A167" s="7" t="str">
        <v>Assyriska FF</v>
      </c>
      <c r="B167" s="12" t="str" cm="1">
        <f t="array" ref="B167">IF($A167="","",_xlfn.LET(_xlpm.p,IFERROR(INDEX(tblDados[País],MATCH($A167,TRIM(tblDados[Mandante]),0)),INDEX(tblDados[País],MATCH($A167,TRIM(tblDados[Visitante]),0))),_xlpm.l,IFERROR(INDEX(tblDados[Liga],MATCH($A167,TRIM(tblDados[Mandante]),0)),INDEX(tblDados[Liga],MATCH($A167,TRIM(tblDados[Visitante]),0))),_xlpm.p&amp;" - "&amp;_xlpm.l))</f>
        <v>SWE - 1ª D Norra</v>
      </c>
      <c r="C167" s="10">
        <f t="shared" si="32"/>
        <v>4.833333333333333</v>
      </c>
      <c r="D167" s="10">
        <f t="shared" si="33"/>
        <v>2.5</v>
      </c>
      <c r="E167" s="9" cm="1">
        <f t="array" ref="E167">IF($A167="","",SUMPRODUCT((TRIM(tblDados[Mandante])=$A167)*tblDados[Primeira_Ocorrencia]))</f>
        <v>6</v>
      </c>
      <c r="F167" s="9" cm="1">
        <f t="array" ref="F167">IF($A167="","",SUMPRODUCT((TRIM(tblDados[Visitante])=$A167)*tblDados[Primeira_Ocorrencia]))</f>
        <v>6</v>
      </c>
      <c r="G167" s="9" cm="1">
        <f t="array" ref="G167">IF($A167="","",SUMPRODUCT((TRIM(tblDados[Mandante])=$A167)*tblDados[Primeira_Ocorrencia])+SUMPRODUCT((TRIM(tblDados[Visitante])=$A167)*tblDados[Primeira_Ocorrencia]))</f>
        <v>12</v>
      </c>
      <c r="H167" s="10">
        <f t="shared" si="34"/>
        <v>1.75</v>
      </c>
      <c r="I167" s="10" cm="1">
        <f t="array" ref="I167">IF($A167="","",_xlfn.LET(_xlpm.p,IFERROR(INDEX(tblDados[País],MATCH($A167,TRIM(tblDados[Mandante]),0)),INDEX(tblDados[País],MATCH($A167,TRIM(tblDados[Visitante]),0))),_xlpm.l,IFERROR(INDEX(tblDados[Liga],MATCH($A167,TRIM(tblDados[Mandante]),0)),INDEX(tblDados[Liga],MATCH($A167,TRIM(tblDados[Visitante]),0))),IFERROR(SUMIFS(Ligas!$D$2:$D$39,Ligas!$H$2:$H$39,_xlpm.p,Ligas!$I$2:$I$39,_xlpm.l),0)))</f>
        <v>2.5</v>
      </c>
      <c r="J167" s="11" cm="1">
        <f t="array" ref="J167">IF($A167="","",IFERROR((SUMPRODUCT((TRIM(tblDados[Mandante])=$A167)*tblDados[Primeira_Ocorrencia]*(tblDados[GM_M]=0))+SUMPRODUCT((TRIM(tblDados[Visitante])=$A167)*tblDados[Primeira_Ocorrencia]*(tblDados[GM_V]=0)))/G167,0))</f>
        <v>0.33333333333333331</v>
      </c>
      <c r="K167" s="11" cm="1">
        <f t="array" ref="K167">IF($A167="","",IFERROR((SUMPRODUCT((TRIM(tblDados[Mandante])=$A167)*tblDados[Primeira_Ocorrencia]*((tblDados[GM_M]+tblDados[GS_M])&gt;0.5))+SUMPRODUCT((TRIM(tblDados[Visitante])=$A167)*tblDados[Primeira_Ocorrencia]*((tblDados[GM_V]+tblDados[GS_V])&gt;0.5)))/G167,0))</f>
        <v>0.91666666666666663</v>
      </c>
      <c r="L167" s="11" cm="1">
        <f t="array" ref="L167">IF($A167="","",IFERROR((SUMPRODUCT((TRIM(tblDados[Mandante])=$A167)*tblDados[Primeira_Ocorrencia]*((tblDados[GM_M]+tblDados[GS_M])&gt;1.5))+SUMPRODUCT((TRIM(tblDados[Visitante])=$A167)*tblDados[Primeira_Ocorrencia]*((tblDados[GM_V]+tblDados[GS_V])&gt;1.5)))/G167,0))</f>
        <v>0.83333333333333337</v>
      </c>
      <c r="M167" s="11" cm="1">
        <f t="array" ref="M167">IF($A167="","",IFERROR((SUMPRODUCT((TRIM(tblDados[Mandante])=$A167)*tblDados[Primeira_Ocorrencia]*((tblDados[GM_M]+tblDados[GS_M])&gt;2.5))+SUMPRODUCT((TRIM(tblDados[Visitante])=$A167)*tblDados[Primeira_Ocorrencia]*((tblDados[GM_V]+tblDados[GS_V])&gt;2.5)))/G167,0))</f>
        <v>0.66666666666666663</v>
      </c>
      <c r="N167" s="11" cm="1">
        <f t="array" ref="N167">IF($A167="","",IFERROR((SUMPRODUCT((TRIM(tblDados[Mandante])=$A167)*tblDados[Primeira_Ocorrencia]*((tblDados[GM_M]+tblDados[GS_M])&gt;3.5))+SUMPRODUCT((TRIM(tblDados[Visitante])=$A167)*tblDados[Primeira_Ocorrencia]*((tblDados[GM_V]+tblDados[GS_V])&gt;3.5)))/G167,0))</f>
        <v>0.58333333333333337</v>
      </c>
      <c r="O167" s="11" cm="1">
        <f t="array" ref="O167">IF($A167="","",IFERROR((SUMPRODUCT((TRIM(tblDados[Mandante])=$A167)*tblDados[Primeira_Ocorrencia]*(tblDados[GM_M]&gt;0)*(tblDados[GS_M]&gt;0))+SUMPRODUCT((TRIM(tblDados[Visitante])=$A167)*tblDados[Primeira_Ocorrencia]*(tblDados[GM_V]&gt;0)*(tblDados[GS_V]&gt;0)))/G167,0))</f>
        <v>0.5</v>
      </c>
      <c r="P167" s="10" cm="1">
        <f t="array" ref="P167">IF($A167="","",IFERROR((SUMPRODUCT((TRIM(tblDados[Mandante])=$A167)*tblDados[Primeira_Ocorrencia]*tblDados[GM_M]^2)+SUMPRODUCT((TRIM(tblDados[Visitante])=$A167)*tblDados[Primeira_Ocorrencia]*tblDados[GM_V]^2))/G167-H167^2,0))</f>
        <v>2.020833333333333</v>
      </c>
      <c r="Q167" s="10">
        <f t="shared" si="35"/>
        <v>1.4215601757693317</v>
      </c>
      <c r="R167" s="8" t="str">
        <f t="shared" si="36"/>
        <v>Poisson</v>
      </c>
      <c r="S167" s="10" cm="1">
        <f t="array" ref="S167">IF($A167="","",SUMPRODUCT((TRIM(tblDados[Mandante])=$A167)*tblDados[Primeira_Ocorrencia]*tblDados[GM_M]))</f>
        <v>16</v>
      </c>
      <c r="T167" s="10" cm="1">
        <f t="array" ref="T167">IF($A167="","",SUMPRODUCT((TRIM(tblDados[Visitante])=$A167)*tblDados[Primeira_Ocorrencia]*tblDados[GM_V]))</f>
        <v>5</v>
      </c>
      <c r="U167" s="10">
        <f t="shared" si="37"/>
        <v>21</v>
      </c>
      <c r="V167" s="10">
        <f t="shared" si="26"/>
        <v>1.75</v>
      </c>
      <c r="W167" s="10" cm="1">
        <f t="array" ref="W167">IF($A167="","",SUMPRODUCT((TRIM(tblDados[Mandante])=$A167)*tblDados[Primeira_Ocorrencia]*tblDados[GS_M]))</f>
        <v>13</v>
      </c>
      <c r="X167" s="10" cm="1">
        <f t="array" ref="X167">IF($A167="","",SUMPRODUCT((TRIM(tblDados[Visitante])=$A167)*tblDados[Primeira_Ocorrencia]*tblDados[GS_V]))</f>
        <v>10</v>
      </c>
      <c r="Y167" s="10">
        <f t="shared" si="38"/>
        <v>23</v>
      </c>
      <c r="Z167" s="10">
        <f t="shared" si="27"/>
        <v>1.9166666666666667</v>
      </c>
      <c r="AA167" s="10">
        <f t="shared" si="28"/>
        <v>2.6666666666666665</v>
      </c>
      <c r="AB167" s="10">
        <f t="shared" si="29"/>
        <v>2.1666666666666665</v>
      </c>
      <c r="AC167" s="10">
        <f t="shared" si="30"/>
        <v>0.83333333333333337</v>
      </c>
      <c r="AD167" s="10">
        <f t="shared" si="31"/>
        <v>1.6666666666666667</v>
      </c>
    </row>
    <row r="168" spans="1:30" x14ac:dyDescent="0.3">
      <c r="A168" s="7" t="str">
        <v>Åstorps FF</v>
      </c>
      <c r="B168" s="12" t="str" cm="1">
        <f t="array" ref="B168">IF($A168="","",_xlfn.LET(_xlpm.p,IFERROR(INDEX(tblDados[País],MATCH($A168,TRIM(tblDados[Mandante]),0)),INDEX(tblDados[País],MATCH($A168,TRIM(tblDados[Visitante]),0))),_xlpm.l,IFERROR(INDEX(tblDados[Liga],MATCH($A168,TRIM(tblDados[Mandante]),0)),INDEX(tblDados[Liga],MATCH($A168,TRIM(tblDados[Visitante]),0))),_xlpm.p&amp;" - "&amp;_xlpm.l))</f>
        <v>SWE - 2ª D Västra Götaland</v>
      </c>
      <c r="C168" s="10">
        <f t="shared" si="32"/>
        <v>2.166666666666667</v>
      </c>
      <c r="D168" s="10">
        <f t="shared" si="33"/>
        <v>3.833333333333333</v>
      </c>
      <c r="E168" s="9" cm="1">
        <f t="array" ref="E168">IF($A168="","",SUMPRODUCT((TRIM(tblDados[Mandante])=$A168)*tblDados[Primeira_Ocorrencia]))</f>
        <v>6</v>
      </c>
      <c r="F168" s="9" cm="1">
        <f t="array" ref="F168">IF($A168="","",SUMPRODUCT((TRIM(tblDados[Visitante])=$A168)*tblDados[Primeira_Ocorrencia]))</f>
        <v>6</v>
      </c>
      <c r="G168" s="9" cm="1">
        <f t="array" ref="G168">IF($A168="","",SUMPRODUCT((TRIM(tblDados[Mandante])=$A168)*tblDados[Primeira_Ocorrencia])+SUMPRODUCT((TRIM(tblDados[Visitante])=$A168)*tblDados[Primeira_Ocorrencia]))</f>
        <v>12</v>
      </c>
      <c r="H168" s="10">
        <f t="shared" si="34"/>
        <v>1.1666666666666667</v>
      </c>
      <c r="I168" s="10" cm="1">
        <f t="array" ref="I168">IF($A168="","",_xlfn.LET(_xlpm.p,IFERROR(INDEX(tblDados[País],MATCH($A168,TRIM(tblDados[Mandante]),0)),INDEX(tblDados[País],MATCH($A168,TRIM(tblDados[Visitante]),0))),_xlpm.l,IFERROR(INDEX(tblDados[Liga],MATCH($A168,TRIM(tblDados[Mandante]),0)),INDEX(tblDados[Liga],MATCH($A168,TRIM(tblDados[Visitante]),0))),IFERROR(SUMIFS(Ligas!$D$2:$D$39,Ligas!$H$2:$H$39,_xlpm.p,Ligas!$I$2:$I$39,_xlpm.l),0)))</f>
        <v>2.5</v>
      </c>
      <c r="J168" s="11" cm="1">
        <f t="array" ref="J168">IF($A168="","",IFERROR((SUMPRODUCT((TRIM(tblDados[Mandante])=$A168)*tblDados[Primeira_Ocorrencia]*(tblDados[GM_M]=0))+SUMPRODUCT((TRIM(tblDados[Visitante])=$A168)*tblDados[Primeira_Ocorrencia]*(tblDados[GM_V]=0)))/G168,0))</f>
        <v>0.33333333333333331</v>
      </c>
      <c r="K168" s="11" cm="1">
        <f t="array" ref="K168">IF($A168="","",IFERROR((SUMPRODUCT((TRIM(tblDados[Mandante])=$A168)*tblDados[Primeira_Ocorrencia]*((tblDados[GM_M]+tblDados[GS_M])&gt;0.5))+SUMPRODUCT((TRIM(tblDados[Visitante])=$A168)*tblDados[Primeira_Ocorrencia]*((tblDados[GM_V]+tblDados[GS_V])&gt;0.5)))/G168,0))</f>
        <v>1</v>
      </c>
      <c r="L168" s="11" cm="1">
        <f t="array" ref="L168">IF($A168="","",IFERROR((SUMPRODUCT((TRIM(tblDados[Mandante])=$A168)*tblDados[Primeira_Ocorrencia]*((tblDados[GM_M]+tblDados[GS_M])&gt;1.5))+SUMPRODUCT((TRIM(tblDados[Visitante])=$A168)*tblDados[Primeira_Ocorrencia]*((tblDados[GM_V]+tblDados[GS_V])&gt;1.5)))/G168,0))</f>
        <v>1</v>
      </c>
      <c r="M168" s="11" cm="1">
        <f t="array" ref="M168">IF($A168="","",IFERROR((SUMPRODUCT((TRIM(tblDados[Mandante])=$A168)*tblDados[Primeira_Ocorrencia]*((tblDados[GM_M]+tblDados[GS_M])&gt;2.5))+SUMPRODUCT((TRIM(tblDados[Visitante])=$A168)*tblDados[Primeira_Ocorrencia]*((tblDados[GM_V]+tblDados[GS_V])&gt;2.5)))/G168,0))</f>
        <v>0.58333333333333337</v>
      </c>
      <c r="N168" s="11" cm="1">
        <f t="array" ref="N168">IF($A168="","",IFERROR((SUMPRODUCT((TRIM(tblDados[Mandante])=$A168)*tblDados[Primeira_Ocorrencia]*((tblDados[GM_M]+tblDados[GS_M])&gt;3.5))+SUMPRODUCT((TRIM(tblDados[Visitante])=$A168)*tblDados[Primeira_Ocorrencia]*((tblDados[GM_V]+tblDados[GS_V])&gt;3.5)))/G168,0))</f>
        <v>0.25</v>
      </c>
      <c r="O168" s="11" cm="1">
        <f t="array" ref="O168">IF($A168="","",IFERROR((SUMPRODUCT((TRIM(tblDados[Mandante])=$A168)*tblDados[Primeira_Ocorrencia]*(tblDados[GM_M]&gt;0)*(tblDados[GS_M]&gt;0))+SUMPRODUCT((TRIM(tblDados[Visitante])=$A168)*tblDados[Primeira_Ocorrencia]*(tblDados[GM_V]&gt;0)*(tblDados[GS_V]&gt;0)))/G168,0))</f>
        <v>0.66666666666666663</v>
      </c>
      <c r="P168" s="10" cm="1">
        <f t="array" ref="P168">IF($A168="","",IFERROR((SUMPRODUCT((TRIM(tblDados[Mandante])=$A168)*tblDados[Primeira_Ocorrencia]*tblDados[GM_M]^2)+SUMPRODUCT((TRIM(tblDados[Visitante])=$A168)*tblDados[Primeira_Ocorrencia]*tblDados[GM_V]^2))/G168-H168^2,0))</f>
        <v>1.3055555555555551</v>
      </c>
      <c r="Q168" s="10">
        <f t="shared" si="35"/>
        <v>1.1426091000668406</v>
      </c>
      <c r="R168" s="8" t="str">
        <f t="shared" si="36"/>
        <v>Poisson</v>
      </c>
      <c r="S168" s="10" cm="1">
        <f t="array" ref="S168">IF($A168="","",SUMPRODUCT((TRIM(tblDados[Mandante])=$A168)*tblDados[Primeira_Ocorrencia]*tblDados[GM_M]))</f>
        <v>3</v>
      </c>
      <c r="T168" s="10" cm="1">
        <f t="array" ref="T168">IF($A168="","",SUMPRODUCT((TRIM(tblDados[Visitante])=$A168)*tblDados[Primeira_Ocorrencia]*tblDados[GM_V]))</f>
        <v>11</v>
      </c>
      <c r="U168" s="10">
        <f t="shared" si="37"/>
        <v>14</v>
      </c>
      <c r="V168" s="10">
        <f t="shared" si="26"/>
        <v>1.1666666666666667</v>
      </c>
      <c r="W168" s="10" cm="1">
        <f t="array" ref="W168">IF($A168="","",SUMPRODUCT((TRIM(tblDados[Mandante])=$A168)*tblDados[Primeira_Ocorrencia]*tblDados[GS_M]))</f>
        <v>10</v>
      </c>
      <c r="X168" s="10" cm="1">
        <f t="array" ref="X168">IF($A168="","",SUMPRODUCT((TRIM(tblDados[Visitante])=$A168)*tblDados[Primeira_Ocorrencia]*tblDados[GS_V]))</f>
        <v>12</v>
      </c>
      <c r="Y168" s="10">
        <f t="shared" si="38"/>
        <v>22</v>
      </c>
      <c r="Z168" s="10">
        <f t="shared" si="27"/>
        <v>1.8333333333333333</v>
      </c>
      <c r="AA168" s="10">
        <f t="shared" si="28"/>
        <v>0.5</v>
      </c>
      <c r="AB168" s="10">
        <f t="shared" si="29"/>
        <v>1.6666666666666667</v>
      </c>
      <c r="AC168" s="10">
        <f t="shared" si="30"/>
        <v>1.8333333333333333</v>
      </c>
      <c r="AD168" s="10">
        <f t="shared" si="31"/>
        <v>2</v>
      </c>
    </row>
    <row r="169" spans="1:30" x14ac:dyDescent="0.3">
      <c r="A169" s="7" t="str">
        <v>Athletico-PR</v>
      </c>
      <c r="B169" s="12" t="str" cm="1">
        <f t="array" ref="B169">IF($A169="","",_xlfn.LET(_xlpm.p,IFERROR(INDEX(tblDados[País],MATCH($A169,TRIM(tblDados[Mandante]),0)),INDEX(tblDados[País],MATCH($A169,TRIM(tblDados[Visitante]),0))),_xlpm.l,IFERROR(INDEX(tblDados[Liga],MATCH($A169,TRIM(tblDados[Mandante]),0)),INDEX(tblDados[Liga],MATCH($A169,TRIM(tblDados[Visitante]),0))),_xlpm.p&amp;" - "&amp;_xlpm.l))</f>
        <v>BRA - Série A</v>
      </c>
      <c r="C169" s="10">
        <f t="shared" si="32"/>
        <v>1.8333333333333333</v>
      </c>
      <c r="D169" s="10">
        <f t="shared" si="33"/>
        <v>1.8333333333333335</v>
      </c>
      <c r="E169" s="9" cm="1">
        <f t="array" ref="E169">IF($A169="","",SUMPRODUCT((TRIM(tblDados[Mandante])=$A169)*tblDados[Primeira_Ocorrencia]))</f>
        <v>6</v>
      </c>
      <c r="F169" s="9" cm="1">
        <f t="array" ref="F169">IF($A169="","",SUMPRODUCT((TRIM(tblDados[Visitante])=$A169)*tblDados[Primeira_Ocorrencia]))</f>
        <v>6</v>
      </c>
      <c r="G169" s="9" cm="1">
        <f t="array" ref="G169">IF($A169="","",SUMPRODUCT((TRIM(tblDados[Mandante])=$A169)*tblDados[Primeira_Ocorrencia])+SUMPRODUCT((TRIM(tblDados[Visitante])=$A169)*tblDados[Primeira_Ocorrencia]))</f>
        <v>12</v>
      </c>
      <c r="H169" s="10">
        <f t="shared" si="34"/>
        <v>1.1666666666666667</v>
      </c>
      <c r="I169" s="10" cm="1">
        <f t="array" ref="I169">IF($A169="","",_xlfn.LET(_xlpm.p,IFERROR(INDEX(tblDados[País],MATCH($A169,TRIM(tblDados[Mandante]),0)),INDEX(tblDados[País],MATCH($A169,TRIM(tblDados[Visitante]),0))),_xlpm.l,IFERROR(INDEX(tblDados[Liga],MATCH($A169,TRIM(tblDados[Mandante]),0)),INDEX(tblDados[Liga],MATCH($A169,TRIM(tblDados[Visitante]),0))),IFERROR(SUMIFS(Ligas!$D$2:$D$39,Ligas!$H$2:$H$39,_xlpm.p,Ligas!$I$2:$I$39,_xlpm.l),0)))</f>
        <v>2.59</v>
      </c>
      <c r="J169" s="11" cm="1">
        <f t="array" ref="J169">IF($A169="","",IFERROR((SUMPRODUCT((TRIM(tblDados[Mandante])=$A169)*tblDados[Primeira_Ocorrencia]*(tblDados[GM_M]=0))+SUMPRODUCT((TRIM(tblDados[Visitante])=$A169)*tblDados[Primeira_Ocorrencia]*(tblDados[GM_V]=0)))/G169,0))</f>
        <v>0.33333333333333331</v>
      </c>
      <c r="K169" s="11" cm="1">
        <f t="array" ref="K169">IF($A169="","",IFERROR((SUMPRODUCT((TRIM(tblDados[Mandante])=$A169)*tblDados[Primeira_Ocorrencia]*((tblDados[GM_M]+tblDados[GS_M])&gt;0.5))+SUMPRODUCT((TRIM(tblDados[Visitante])=$A169)*tblDados[Primeira_Ocorrencia]*((tblDados[GM_V]+tblDados[GS_V])&gt;0.5)))/G169,0))</f>
        <v>0.83333333333333337</v>
      </c>
      <c r="L169" s="11" cm="1">
        <f t="array" ref="L169">IF($A169="","",IFERROR((SUMPRODUCT((TRIM(tblDados[Mandante])=$A169)*tblDados[Primeira_Ocorrencia]*((tblDados[GM_M]+tblDados[GS_M])&gt;1.5))+SUMPRODUCT((TRIM(tblDados[Visitante])=$A169)*tblDados[Primeira_Ocorrencia]*((tblDados[GM_V]+tblDados[GS_V])&gt;1.5)))/G169,0))</f>
        <v>0.58333333333333337</v>
      </c>
      <c r="M169" s="11" cm="1">
        <f t="array" ref="M169">IF($A169="","",IFERROR((SUMPRODUCT((TRIM(tblDados[Mandante])=$A169)*tblDados[Primeira_Ocorrencia]*((tblDados[GM_M]+tblDados[GS_M])&gt;2.5))+SUMPRODUCT((TRIM(tblDados[Visitante])=$A169)*tblDados[Primeira_Ocorrencia]*((tblDados[GM_V]+tblDados[GS_V])&gt;2.5)))/G169,0))</f>
        <v>0.33333333333333331</v>
      </c>
      <c r="N169" s="11" cm="1">
        <f t="array" ref="N169">IF($A169="","",IFERROR((SUMPRODUCT((TRIM(tblDados[Mandante])=$A169)*tblDados[Primeira_Ocorrencia]*((tblDados[GM_M]+tblDados[GS_M])&gt;3.5))+SUMPRODUCT((TRIM(tblDados[Visitante])=$A169)*tblDados[Primeira_Ocorrencia]*((tblDados[GM_V]+tblDados[GS_V])&gt;3.5)))/G169,0))</f>
        <v>8.3333333333333329E-2</v>
      </c>
      <c r="O169" s="11" cm="1">
        <f t="array" ref="O169">IF($A169="","",IFERROR((SUMPRODUCT((TRIM(tblDados[Mandante])=$A169)*tblDados[Primeira_Ocorrencia]*(tblDados[GM_M]&gt;0)*(tblDados[GS_M]&gt;0))+SUMPRODUCT((TRIM(tblDados[Visitante])=$A169)*tblDados[Primeira_Ocorrencia]*(tblDados[GM_V]&gt;0)*(tblDados[GS_V]&gt;0)))/G169,0))</f>
        <v>0.41666666666666669</v>
      </c>
      <c r="P169" s="10" cm="1">
        <f t="array" ref="P169">IF($A169="","",IFERROR((SUMPRODUCT((TRIM(tblDados[Mandante])=$A169)*tblDados[Primeira_Ocorrencia]*tblDados[GM_M]^2)+SUMPRODUCT((TRIM(tblDados[Visitante])=$A169)*tblDados[Primeira_Ocorrencia]*tblDados[GM_V]^2))/G169-H169^2,0))</f>
        <v>0.9722222222222221</v>
      </c>
      <c r="Q169" s="10">
        <f t="shared" si="35"/>
        <v>0.98601329718326924</v>
      </c>
      <c r="R169" s="8" t="str">
        <f t="shared" si="36"/>
        <v>Poisson</v>
      </c>
      <c r="S169" s="10" cm="1">
        <f t="array" ref="S169">IF($A169="","",SUMPRODUCT((TRIM(tblDados[Mandante])=$A169)*tblDados[Primeira_Ocorrencia]*tblDados[GM_M]))</f>
        <v>9</v>
      </c>
      <c r="T169" s="10" cm="1">
        <f t="array" ref="T169">IF($A169="","",SUMPRODUCT((TRIM(tblDados[Visitante])=$A169)*tblDados[Primeira_Ocorrencia]*tblDados[GM_V]))</f>
        <v>5</v>
      </c>
      <c r="U169" s="10">
        <f t="shared" si="37"/>
        <v>14</v>
      </c>
      <c r="V169" s="10">
        <f t="shared" si="26"/>
        <v>1.1666666666666667</v>
      </c>
      <c r="W169" s="10" cm="1">
        <f t="array" ref="W169">IF($A169="","",SUMPRODUCT((TRIM(tblDados[Mandante])=$A169)*tblDados[Primeira_Ocorrencia]*tblDados[GS_M]))</f>
        <v>2</v>
      </c>
      <c r="X169" s="10" cm="1">
        <f t="array" ref="X169">IF($A169="","",SUMPRODUCT((TRIM(tblDados[Visitante])=$A169)*tblDados[Primeira_Ocorrencia]*tblDados[GS_V]))</f>
        <v>6</v>
      </c>
      <c r="Y169" s="10">
        <f t="shared" si="38"/>
        <v>8</v>
      </c>
      <c r="Z169" s="10">
        <f t="shared" si="27"/>
        <v>0.66666666666666663</v>
      </c>
      <c r="AA169" s="10">
        <f t="shared" si="28"/>
        <v>1.5</v>
      </c>
      <c r="AB169" s="10">
        <f t="shared" si="29"/>
        <v>0.33333333333333331</v>
      </c>
      <c r="AC169" s="10">
        <f t="shared" si="30"/>
        <v>0.83333333333333337</v>
      </c>
      <c r="AD169" s="10">
        <f t="shared" si="31"/>
        <v>1</v>
      </c>
    </row>
    <row r="170" spans="1:30" x14ac:dyDescent="0.3">
      <c r="A170" s="7" t="str">
        <v>Atlanta United FC</v>
      </c>
      <c r="B170" s="12" t="str" cm="1">
        <f t="array" ref="B170">IF($A170="","",_xlfn.LET(_xlpm.p,IFERROR(INDEX(tblDados[País],MATCH($A170,TRIM(tblDados[Mandante]),0)),INDEX(tblDados[País],MATCH($A170,TRIM(tblDados[Visitante]),0))),_xlpm.l,IFERROR(INDEX(tblDados[Liga],MATCH($A170,TRIM(tblDados[Mandante]),0)),INDEX(tblDados[Liga],MATCH($A170,TRIM(tblDados[Visitante]),0))),_xlpm.p&amp;" - "&amp;_xlpm.l))</f>
        <v>USA - MLS-East</v>
      </c>
      <c r="C170" s="10">
        <f t="shared" si="32"/>
        <v>3</v>
      </c>
      <c r="D170" s="10">
        <f t="shared" si="33"/>
        <v>2.875</v>
      </c>
      <c r="E170" s="9" cm="1">
        <f t="array" ref="E170">IF($A170="","",SUMPRODUCT((TRIM(tblDados[Mandante])=$A170)*tblDados[Primeira_Ocorrencia]))</f>
        <v>4</v>
      </c>
      <c r="F170" s="9" cm="1">
        <f t="array" ref="F170">IF($A170="","",SUMPRODUCT((TRIM(tblDados[Visitante])=$A170)*tblDados[Primeira_Ocorrencia]))</f>
        <v>8</v>
      </c>
      <c r="G170" s="9" cm="1">
        <f t="array" ref="G170">IF($A170="","",SUMPRODUCT((TRIM(tblDados[Mandante])=$A170)*tblDados[Primeira_Ocorrencia])+SUMPRODUCT((TRIM(tblDados[Visitante])=$A170)*tblDados[Primeira_Ocorrencia]))</f>
        <v>12</v>
      </c>
      <c r="H170" s="10">
        <f t="shared" si="34"/>
        <v>1.0833333333333333</v>
      </c>
      <c r="I170" s="10" cm="1">
        <f t="array" ref="I170">IF($A170="","",_xlfn.LET(_xlpm.p,IFERROR(INDEX(tblDados[País],MATCH($A170,TRIM(tblDados[Mandante]),0)),INDEX(tblDados[País],MATCH($A170,TRIM(tblDados[Visitante]),0))),_xlpm.l,IFERROR(INDEX(tblDados[Liga],MATCH($A170,TRIM(tblDados[Mandante]),0)),INDEX(tblDados[Liga],MATCH($A170,TRIM(tblDados[Visitante]),0))),IFERROR(SUMIFS(Ligas!$D$2:$D$39,Ligas!$H$2:$H$39,_xlpm.p,Ligas!$I$2:$I$39,_xlpm.l),0)))</f>
        <v>3.3</v>
      </c>
      <c r="J170" s="11" cm="1">
        <f t="array" ref="J170">IF($A170="","",IFERROR((SUMPRODUCT((TRIM(tblDados[Mandante])=$A170)*tblDados[Primeira_Ocorrencia]*(tblDados[GM_M]=0))+SUMPRODUCT((TRIM(tblDados[Visitante])=$A170)*tblDados[Primeira_Ocorrencia]*(tblDados[GM_V]=0)))/G170,0))</f>
        <v>0.33333333333333331</v>
      </c>
      <c r="K170" s="11" cm="1">
        <f t="array" ref="K170">IF($A170="","",IFERROR((SUMPRODUCT((TRIM(tblDados[Mandante])=$A170)*tblDados[Primeira_Ocorrencia]*((tblDados[GM_M]+tblDados[GS_M])&gt;0.5))+SUMPRODUCT((TRIM(tblDados[Visitante])=$A170)*tblDados[Primeira_Ocorrencia]*((tblDados[GM_V]+tblDados[GS_V])&gt;0.5)))/G170,0))</f>
        <v>1</v>
      </c>
      <c r="L170" s="11" cm="1">
        <f t="array" ref="L170">IF($A170="","",IFERROR((SUMPRODUCT((TRIM(tblDados[Mandante])=$A170)*tblDados[Primeira_Ocorrencia]*((tblDados[GM_M]+tblDados[GS_M])&gt;1.5))+SUMPRODUCT((TRIM(tblDados[Visitante])=$A170)*tblDados[Primeira_Ocorrencia]*((tblDados[GM_V]+tblDados[GS_V])&gt;1.5)))/G170,0))</f>
        <v>0.83333333333333337</v>
      </c>
      <c r="M170" s="11" cm="1">
        <f t="array" ref="M170">IF($A170="","",IFERROR((SUMPRODUCT((TRIM(tblDados[Mandante])=$A170)*tblDados[Primeira_Ocorrencia]*((tblDados[GM_M]+tblDados[GS_M])&gt;2.5))+SUMPRODUCT((TRIM(tblDados[Visitante])=$A170)*tblDados[Primeira_Ocorrencia]*((tblDados[GM_V]+tblDados[GS_V])&gt;2.5)))/G170,0))</f>
        <v>0.58333333333333337</v>
      </c>
      <c r="N170" s="11" cm="1">
        <f t="array" ref="N170">IF($A170="","",IFERROR((SUMPRODUCT((TRIM(tblDados[Mandante])=$A170)*tblDados[Primeira_Ocorrencia]*((tblDados[GM_M]+tblDados[GS_M])&gt;3.5))+SUMPRODUCT((TRIM(tblDados[Visitante])=$A170)*tblDados[Primeira_Ocorrencia]*((tblDados[GM_V]+tblDados[GS_V])&gt;3.5)))/G170,0))</f>
        <v>0.33333333333333331</v>
      </c>
      <c r="O170" s="11" cm="1">
        <f t="array" ref="O170">IF($A170="","",IFERROR((SUMPRODUCT((TRIM(tblDados[Mandante])=$A170)*tblDados[Primeira_Ocorrencia]*(tblDados[GM_M]&gt;0)*(tblDados[GS_M]&gt;0))+SUMPRODUCT((TRIM(tblDados[Visitante])=$A170)*tblDados[Primeira_Ocorrencia]*(tblDados[GM_V]&gt;0)*(tblDados[GS_V]&gt;0)))/G170,0))</f>
        <v>0.66666666666666663</v>
      </c>
      <c r="P170" s="10" cm="1">
        <f t="array" ref="P170">IF($A170="","",IFERROR((SUMPRODUCT((TRIM(tblDados[Mandante])=$A170)*tblDados[Primeira_Ocorrencia]*tblDados[GM_M]^2)+SUMPRODUCT((TRIM(tblDados[Visitante])=$A170)*tblDados[Primeira_Ocorrencia]*tblDados[GM_V]^2))/G170-H170^2,0))</f>
        <v>0.90972222222222254</v>
      </c>
      <c r="Q170" s="10">
        <f t="shared" si="35"/>
        <v>0.95379359518829987</v>
      </c>
      <c r="R170" s="8" t="str">
        <f t="shared" si="36"/>
        <v>Poisson</v>
      </c>
      <c r="S170" s="10" cm="1">
        <f t="array" ref="S170">IF($A170="","",SUMPRODUCT((TRIM(tblDados[Mandante])=$A170)*tblDados[Primeira_Ocorrencia]*tblDados[GM_M]))</f>
        <v>5</v>
      </c>
      <c r="T170" s="10" cm="1">
        <f t="array" ref="T170">IF($A170="","",SUMPRODUCT((TRIM(tblDados[Visitante])=$A170)*tblDados[Primeira_Ocorrencia]*tblDados[GM_V]))</f>
        <v>8</v>
      </c>
      <c r="U170" s="10">
        <f t="shared" si="37"/>
        <v>13</v>
      </c>
      <c r="V170" s="10">
        <f t="shared" si="26"/>
        <v>1.0833333333333333</v>
      </c>
      <c r="W170" s="10" cm="1">
        <f t="array" ref="W170">IF($A170="","",SUMPRODUCT((TRIM(tblDados[Mandante])=$A170)*tblDados[Primeira_Ocorrencia]*tblDados[GS_M]))</f>
        <v>7</v>
      </c>
      <c r="X170" s="10" cm="1">
        <f t="array" ref="X170">IF($A170="","",SUMPRODUCT((TRIM(tblDados[Visitante])=$A170)*tblDados[Primeira_Ocorrencia]*tblDados[GS_V]))</f>
        <v>15</v>
      </c>
      <c r="Y170" s="10">
        <f t="shared" si="38"/>
        <v>22</v>
      </c>
      <c r="Z170" s="10">
        <f t="shared" si="27"/>
        <v>1.8333333333333333</v>
      </c>
      <c r="AA170" s="10">
        <f t="shared" si="28"/>
        <v>1.25</v>
      </c>
      <c r="AB170" s="10">
        <f t="shared" si="29"/>
        <v>1.75</v>
      </c>
      <c r="AC170" s="10">
        <f t="shared" si="30"/>
        <v>1</v>
      </c>
      <c r="AD170" s="10">
        <f t="shared" si="31"/>
        <v>1.875</v>
      </c>
    </row>
    <row r="171" spans="1:30" x14ac:dyDescent="0.3">
      <c r="A171" s="7" t="str">
        <v>Atlantis FC</v>
      </c>
      <c r="B171" s="12" t="str" cm="1">
        <f t="array" ref="B171">IF($A171="","",_xlfn.LET(_xlpm.p,IFERROR(INDEX(tblDados[País],MATCH($A171,TRIM(tblDados[Mandante]),0)),INDEX(tblDados[País],MATCH($A171,TRIM(tblDados[Visitante]),0))),_xlpm.l,IFERROR(INDEX(tblDados[Liga],MATCH($A171,TRIM(tblDados[Mandante]),0)),INDEX(tblDados[Liga],MATCH($A171,TRIM(tblDados[Visitante]),0))),_xlpm.p&amp;" - "&amp;_xlpm.l))</f>
        <v>FIN - Kakkonen A</v>
      </c>
      <c r="C171" s="10">
        <f t="shared" si="32"/>
        <v>6.8333333333333339</v>
      </c>
      <c r="D171" s="10">
        <f t="shared" si="33"/>
        <v>5</v>
      </c>
      <c r="E171" s="9" cm="1">
        <f t="array" ref="E171">IF($A171="","",SUMPRODUCT((TRIM(tblDados[Mandante])=$A171)*tblDados[Primeira_Ocorrencia]))</f>
        <v>6</v>
      </c>
      <c r="F171" s="9" cm="1">
        <f t="array" ref="F171">IF($A171="","",SUMPRODUCT((TRIM(tblDados[Visitante])=$A171)*tblDados[Primeira_Ocorrencia]))</f>
        <v>6</v>
      </c>
      <c r="G171" s="9" cm="1">
        <f t="array" ref="G171">IF($A171="","",SUMPRODUCT((TRIM(tblDados[Mandante])=$A171)*tblDados[Primeira_Ocorrencia])+SUMPRODUCT((TRIM(tblDados[Visitante])=$A171)*tblDados[Primeira_Ocorrencia]))</f>
        <v>12</v>
      </c>
      <c r="H171" s="10">
        <f t="shared" si="34"/>
        <v>3.6666666666666665</v>
      </c>
      <c r="I171" s="10" cm="1">
        <f t="array" ref="I171">IF($A171="","",_xlfn.LET(_xlpm.p,IFERROR(INDEX(tblDados[País],MATCH($A171,TRIM(tblDados[Mandante]),0)),INDEX(tblDados[País],MATCH($A171,TRIM(tblDados[Visitante]),0))),_xlpm.l,IFERROR(INDEX(tblDados[Liga],MATCH($A171,TRIM(tblDados[Mandante]),0)),INDEX(tblDados[Liga],MATCH($A171,TRIM(tblDados[Visitante]),0))),IFERROR(SUMIFS(Ligas!$D$2:$D$39,Ligas!$H$2:$H$39,_xlpm.p,Ligas!$I$2:$I$39,_xlpm.l),0)))</f>
        <v>3.79</v>
      </c>
      <c r="J171" s="11" cm="1">
        <f t="array" ref="J171">IF($A171="","",IFERROR((SUMPRODUCT((TRIM(tblDados[Mandante])=$A171)*tblDados[Primeira_Ocorrencia]*(tblDados[GM_M]=0))+SUMPRODUCT((TRIM(tblDados[Visitante])=$A171)*tblDados[Primeira_Ocorrencia]*(tblDados[GM_V]=0)))/G171,0))</f>
        <v>8.3333333333333329E-2</v>
      </c>
      <c r="K171" s="11" cm="1">
        <f t="array" ref="K171">IF($A171="","",IFERROR((SUMPRODUCT((TRIM(tblDados[Mandante])=$A171)*tblDados[Primeira_Ocorrencia]*((tblDados[GM_M]+tblDados[GS_M])&gt;0.5))+SUMPRODUCT((TRIM(tblDados[Visitante])=$A171)*tblDados[Primeira_Ocorrencia]*((tblDados[GM_V]+tblDados[GS_V])&gt;0.5)))/G171,0))</f>
        <v>1</v>
      </c>
      <c r="L171" s="11" cm="1">
        <f t="array" ref="L171">IF($A171="","",IFERROR((SUMPRODUCT((TRIM(tblDados[Mandante])=$A171)*tblDados[Primeira_Ocorrencia]*((tblDados[GM_M]+tblDados[GS_M])&gt;1.5))+SUMPRODUCT((TRIM(tblDados[Visitante])=$A171)*tblDados[Primeira_Ocorrencia]*((tblDados[GM_V]+tblDados[GS_V])&gt;1.5)))/G171,0))</f>
        <v>0.91666666666666663</v>
      </c>
      <c r="M171" s="11" cm="1">
        <f t="array" ref="M171">IF($A171="","",IFERROR((SUMPRODUCT((TRIM(tblDados[Mandante])=$A171)*tblDados[Primeira_Ocorrencia]*((tblDados[GM_M]+tblDados[GS_M])&gt;2.5))+SUMPRODUCT((TRIM(tblDados[Visitante])=$A171)*tblDados[Primeira_Ocorrencia]*((tblDados[GM_V]+tblDados[GS_V])&gt;2.5)))/G171,0))</f>
        <v>0.91666666666666663</v>
      </c>
      <c r="N171" s="11" cm="1">
        <f t="array" ref="N171">IF($A171="","",IFERROR((SUMPRODUCT((TRIM(tblDados[Mandante])=$A171)*tblDados[Primeira_Ocorrencia]*((tblDados[GM_M]+tblDados[GS_M])&gt;3.5))+SUMPRODUCT((TRIM(tblDados[Visitante])=$A171)*tblDados[Primeira_Ocorrencia]*((tblDados[GM_V]+tblDados[GS_V])&gt;3.5)))/G171,0))</f>
        <v>0.83333333333333337</v>
      </c>
      <c r="O171" s="11" cm="1">
        <f t="array" ref="O171">IF($A171="","",IFERROR((SUMPRODUCT((TRIM(tblDados[Mandante])=$A171)*tblDados[Primeira_Ocorrencia]*(tblDados[GM_M]&gt;0)*(tblDados[GS_M]&gt;0))+SUMPRODUCT((TRIM(tblDados[Visitante])=$A171)*tblDados[Primeira_Ocorrencia]*(tblDados[GM_V]&gt;0)*(tblDados[GS_V]&gt;0)))/G171,0))</f>
        <v>0.83333333333333337</v>
      </c>
      <c r="P171" s="10" cm="1">
        <f t="array" ref="P171">IF($A171="","",IFERROR((SUMPRODUCT((TRIM(tblDados[Mandante])=$A171)*tblDados[Primeira_Ocorrencia]*tblDados[GM_M]^2)+SUMPRODUCT((TRIM(tblDados[Visitante])=$A171)*tblDados[Primeira_Ocorrencia]*tblDados[GM_V]^2))/G171-H171^2,0))</f>
        <v>4.0555555555555571</v>
      </c>
      <c r="Q171" s="10">
        <f t="shared" si="35"/>
        <v>2.0138409955990957</v>
      </c>
      <c r="R171" s="8" t="str">
        <f t="shared" si="36"/>
        <v>Poisson</v>
      </c>
      <c r="S171" s="10" cm="1">
        <f t="array" ref="S171">IF($A171="","",SUMPRODUCT((TRIM(tblDados[Mandante])=$A171)*tblDados[Primeira_Ocorrencia]*tblDados[GM_M]))</f>
        <v>28</v>
      </c>
      <c r="T171" s="10" cm="1">
        <f t="array" ref="T171">IF($A171="","",SUMPRODUCT((TRIM(tblDados[Visitante])=$A171)*tblDados[Primeira_Ocorrencia]*tblDados[GM_V]))</f>
        <v>16</v>
      </c>
      <c r="U171" s="10">
        <f t="shared" si="37"/>
        <v>44</v>
      </c>
      <c r="V171" s="10">
        <f t="shared" si="26"/>
        <v>3.6666666666666665</v>
      </c>
      <c r="W171" s="10" cm="1">
        <f t="array" ref="W171">IF($A171="","",SUMPRODUCT((TRIM(tblDados[Mandante])=$A171)*tblDados[Primeira_Ocorrencia]*tblDados[GS_M]))</f>
        <v>13</v>
      </c>
      <c r="X171" s="10" cm="1">
        <f t="array" ref="X171">IF($A171="","",SUMPRODUCT((TRIM(tblDados[Visitante])=$A171)*tblDados[Primeira_Ocorrencia]*tblDados[GS_V]))</f>
        <v>14</v>
      </c>
      <c r="Y171" s="10">
        <f t="shared" si="38"/>
        <v>27</v>
      </c>
      <c r="Z171" s="10">
        <f t="shared" si="27"/>
        <v>2.25</v>
      </c>
      <c r="AA171" s="10">
        <f t="shared" si="28"/>
        <v>4.666666666666667</v>
      </c>
      <c r="AB171" s="10">
        <f t="shared" si="29"/>
        <v>2.1666666666666665</v>
      </c>
      <c r="AC171" s="10">
        <f t="shared" si="30"/>
        <v>2.6666666666666665</v>
      </c>
      <c r="AD171" s="10">
        <f t="shared" si="31"/>
        <v>2.3333333333333335</v>
      </c>
    </row>
    <row r="172" spans="1:30" x14ac:dyDescent="0.3">
      <c r="A172" s="7" t="str">
        <v>Atlético Ottawa</v>
      </c>
      <c r="B172" s="12" t="str" cm="1">
        <f t="array" ref="B172">IF($A172="","",_xlfn.LET(_xlpm.p,IFERROR(INDEX(tblDados[País],MATCH($A172,TRIM(tblDados[Mandante]),0)),INDEX(tblDados[País],MATCH($A172,TRIM(tblDados[Visitante]),0))),_xlpm.l,IFERROR(INDEX(tblDados[Liga],MATCH($A172,TRIM(tblDados[Mandante]),0)),INDEX(tblDados[Liga],MATCH($A172,TRIM(tblDados[Visitante]),0))),_xlpm.p&amp;" - "&amp;_xlpm.l))</f>
        <v>CAN - Premier League</v>
      </c>
      <c r="C172" s="10">
        <f t="shared" si="32"/>
        <v>3.5714285714285712</v>
      </c>
      <c r="D172" s="10">
        <f t="shared" si="33"/>
        <v>4</v>
      </c>
      <c r="E172" s="9" cm="1">
        <f t="array" ref="E172">IF($A172="","",SUMPRODUCT((TRIM(tblDados[Mandante])=$A172)*tblDados[Primeira_Ocorrencia]))</f>
        <v>7</v>
      </c>
      <c r="F172" s="9" cm="1">
        <f t="array" ref="F172">IF($A172="","",SUMPRODUCT((TRIM(tblDados[Visitante])=$A172)*tblDados[Primeira_Ocorrencia]))</f>
        <v>5</v>
      </c>
      <c r="G172" s="9" cm="1">
        <f t="array" ref="G172">IF($A172="","",SUMPRODUCT((TRIM(tblDados[Mandante])=$A172)*tblDados[Primeira_Ocorrencia])+SUMPRODUCT((TRIM(tblDados[Visitante])=$A172)*tblDados[Primeira_Ocorrencia]))</f>
        <v>12</v>
      </c>
      <c r="H172" s="10">
        <f t="shared" si="34"/>
        <v>1.8333333333333333</v>
      </c>
      <c r="I172" s="10" cm="1">
        <f t="array" ref="I172">IF($A172="","",_xlfn.LET(_xlpm.p,IFERROR(INDEX(tblDados[País],MATCH($A172,TRIM(tblDados[Mandante]),0)),INDEX(tblDados[País],MATCH($A172,TRIM(tblDados[Visitante]),0))),_xlpm.l,IFERROR(INDEX(tblDados[Liga],MATCH($A172,TRIM(tblDados[Mandante]),0)),INDEX(tblDados[Liga],MATCH($A172,TRIM(tblDados[Visitante]),0))),IFERROR(SUMIFS(Ligas!$D$2:$D$39,Ligas!$H$2:$H$39,_xlpm.p,Ligas!$I$2:$I$39,_xlpm.l),0)))</f>
        <v>2.5</v>
      </c>
      <c r="J172" s="11" cm="1">
        <f t="array" ref="J172">IF($A172="","",IFERROR((SUMPRODUCT((TRIM(tblDados[Mandante])=$A172)*tblDados[Primeira_Ocorrencia]*(tblDados[GM_M]=0))+SUMPRODUCT((TRIM(tblDados[Visitante])=$A172)*tblDados[Primeira_Ocorrencia]*(tblDados[GM_V]=0)))/G172,0))</f>
        <v>8.3333333333333329E-2</v>
      </c>
      <c r="K172" s="11" cm="1">
        <f t="array" ref="K172">IF($A172="","",IFERROR((SUMPRODUCT((TRIM(tblDados[Mandante])=$A172)*tblDados[Primeira_Ocorrencia]*((tblDados[GM_M]+tblDados[GS_M])&gt;0.5))+SUMPRODUCT((TRIM(tblDados[Visitante])=$A172)*tblDados[Primeira_Ocorrencia]*((tblDados[GM_V]+tblDados[GS_V])&gt;0.5)))/G172,0))</f>
        <v>1</v>
      </c>
      <c r="L172" s="11" cm="1">
        <f t="array" ref="L172">IF($A172="","",IFERROR((SUMPRODUCT((TRIM(tblDados[Mandante])=$A172)*tblDados[Primeira_Ocorrencia]*((tblDados[GM_M]+tblDados[GS_M])&gt;1.5))+SUMPRODUCT((TRIM(tblDados[Visitante])=$A172)*tblDados[Primeira_Ocorrencia]*((tblDados[GM_V]+tblDados[GS_V])&gt;1.5)))/G172,0))</f>
        <v>0.91666666666666663</v>
      </c>
      <c r="M172" s="11" cm="1">
        <f t="array" ref="M172">IF($A172="","",IFERROR((SUMPRODUCT((TRIM(tblDados[Mandante])=$A172)*tblDados[Primeira_Ocorrencia]*((tblDados[GM_M]+tblDados[GS_M])&gt;2.5))+SUMPRODUCT((TRIM(tblDados[Visitante])=$A172)*tblDados[Primeira_Ocorrencia]*((tblDados[GM_V]+tblDados[GS_V])&gt;2.5)))/G172,0))</f>
        <v>0.83333333333333337</v>
      </c>
      <c r="N172" s="11" cm="1">
        <f t="array" ref="N172">IF($A172="","",IFERROR((SUMPRODUCT((TRIM(tblDados[Mandante])=$A172)*tblDados[Primeira_Ocorrencia]*((tblDados[GM_M]+tblDados[GS_M])&gt;3.5))+SUMPRODUCT((TRIM(tblDados[Visitante])=$A172)*tblDados[Primeira_Ocorrencia]*((tblDados[GM_V]+tblDados[GS_V])&gt;3.5)))/G172,0))</f>
        <v>0.5</v>
      </c>
      <c r="O172" s="11" cm="1">
        <f t="array" ref="O172">IF($A172="","",IFERROR((SUMPRODUCT((TRIM(tblDados[Mandante])=$A172)*tblDados[Primeira_Ocorrencia]*(tblDados[GM_M]&gt;0)*(tblDados[GS_M]&gt;0))+SUMPRODUCT((TRIM(tblDados[Visitante])=$A172)*tblDados[Primeira_Ocorrencia]*(tblDados[GM_V]&gt;0)*(tblDados[GS_V]&gt;0)))/G172,0))</f>
        <v>0.83333333333333337</v>
      </c>
      <c r="P172" s="10" cm="1">
        <f t="array" ref="P172">IF($A172="","",IFERROR((SUMPRODUCT((TRIM(tblDados[Mandante])=$A172)*tblDados[Primeira_Ocorrencia]*tblDados[GM_M]^2)+SUMPRODUCT((TRIM(tblDados[Visitante])=$A172)*tblDados[Primeira_Ocorrencia]*tblDados[GM_V]^2))/G172-H172^2,0))</f>
        <v>1.6388888888888893</v>
      </c>
      <c r="Q172" s="10">
        <f t="shared" si="35"/>
        <v>1.2801909579781015</v>
      </c>
      <c r="R172" s="8" t="str">
        <f t="shared" si="36"/>
        <v>Poisson</v>
      </c>
      <c r="S172" s="10" cm="1">
        <f t="array" ref="S172">IF($A172="","",SUMPRODUCT((TRIM(tblDados[Mandante])=$A172)*tblDados[Primeira_Ocorrencia]*tblDados[GM_M]))</f>
        <v>14</v>
      </c>
      <c r="T172" s="10" cm="1">
        <f t="array" ref="T172">IF($A172="","",SUMPRODUCT((TRIM(tblDados[Visitante])=$A172)*tblDados[Primeira_Ocorrencia]*tblDados[GM_V]))</f>
        <v>8</v>
      </c>
      <c r="U172" s="10">
        <f t="shared" si="37"/>
        <v>22</v>
      </c>
      <c r="V172" s="10">
        <f t="shared" si="26"/>
        <v>1.8333333333333333</v>
      </c>
      <c r="W172" s="10" cm="1">
        <f t="array" ref="W172">IF($A172="","",SUMPRODUCT((TRIM(tblDados[Mandante])=$A172)*tblDados[Primeira_Ocorrencia]*tblDados[GS_M]))</f>
        <v>11</v>
      </c>
      <c r="X172" s="10" cm="1">
        <f t="array" ref="X172">IF($A172="","",SUMPRODUCT((TRIM(tblDados[Visitante])=$A172)*tblDados[Primeira_Ocorrencia]*tblDados[GS_V]))</f>
        <v>12</v>
      </c>
      <c r="Y172" s="10">
        <f t="shared" si="38"/>
        <v>23</v>
      </c>
      <c r="Z172" s="10">
        <f t="shared" si="27"/>
        <v>1.9166666666666667</v>
      </c>
      <c r="AA172" s="10">
        <f t="shared" si="28"/>
        <v>2</v>
      </c>
      <c r="AB172" s="10">
        <f t="shared" si="29"/>
        <v>1.5714285714285714</v>
      </c>
      <c r="AC172" s="10">
        <f t="shared" si="30"/>
        <v>1.6</v>
      </c>
      <c r="AD172" s="10">
        <f t="shared" si="31"/>
        <v>2.4</v>
      </c>
    </row>
    <row r="173" spans="1:30" x14ac:dyDescent="0.3">
      <c r="A173" s="7" t="str">
        <v>Atlético-MG</v>
      </c>
      <c r="B173" s="12" t="str" cm="1">
        <f t="array" ref="B173">IF($A173="","",_xlfn.LET(_xlpm.p,IFERROR(INDEX(tblDados[País],MATCH($A173,TRIM(tblDados[Mandante]),0)),INDEX(tblDados[País],MATCH($A173,TRIM(tblDados[Visitante]),0))),_xlpm.l,IFERROR(INDEX(tblDados[Liga],MATCH($A173,TRIM(tblDados[Mandante]),0)),INDEX(tblDados[Liga],MATCH($A173,TRIM(tblDados[Visitante]),0))),_xlpm.p&amp;" - "&amp;_xlpm.l))</f>
        <v>BRA - Série A</v>
      </c>
      <c r="C173" s="10">
        <f t="shared" si="32"/>
        <v>3</v>
      </c>
      <c r="D173" s="10">
        <f t="shared" si="33"/>
        <v>2.2857142857142856</v>
      </c>
      <c r="E173" s="9" cm="1">
        <f t="array" ref="E173">IF($A173="","",SUMPRODUCT((TRIM(tblDados[Mandante])=$A173)*tblDados[Primeira_Ocorrencia]))</f>
        <v>5</v>
      </c>
      <c r="F173" s="9" cm="1">
        <f t="array" ref="F173">IF($A173="","",SUMPRODUCT((TRIM(tblDados[Visitante])=$A173)*tblDados[Primeira_Ocorrencia]))</f>
        <v>7</v>
      </c>
      <c r="G173" s="9" cm="1">
        <f t="array" ref="G173">IF($A173="","",SUMPRODUCT((TRIM(tblDados[Mandante])=$A173)*tblDados[Primeira_Ocorrencia])+SUMPRODUCT((TRIM(tblDados[Visitante])=$A173)*tblDados[Primeira_Ocorrencia]))</f>
        <v>12</v>
      </c>
      <c r="H173" s="10">
        <f t="shared" si="34"/>
        <v>1.4166666666666667</v>
      </c>
      <c r="I173" s="10" cm="1">
        <f t="array" ref="I173">IF($A173="","",_xlfn.LET(_xlpm.p,IFERROR(INDEX(tblDados[País],MATCH($A173,TRIM(tblDados[Mandante]),0)),INDEX(tblDados[País],MATCH($A173,TRIM(tblDados[Visitante]),0))),_xlpm.l,IFERROR(INDEX(tblDados[Liga],MATCH($A173,TRIM(tblDados[Mandante]),0)),INDEX(tblDados[Liga],MATCH($A173,TRIM(tblDados[Visitante]),0))),IFERROR(SUMIFS(Ligas!$D$2:$D$39,Ligas!$H$2:$H$39,_xlpm.p,Ligas!$I$2:$I$39,_xlpm.l),0)))</f>
        <v>2.59</v>
      </c>
      <c r="J173" s="11" cm="1">
        <f t="array" ref="J173">IF($A173="","",IFERROR((SUMPRODUCT((TRIM(tblDados[Mandante])=$A173)*tblDados[Primeira_Ocorrencia]*(tblDados[GM_M]=0))+SUMPRODUCT((TRIM(tblDados[Visitante])=$A173)*tblDados[Primeira_Ocorrencia]*(tblDados[GM_V]=0)))/G173,0))</f>
        <v>0.33333333333333331</v>
      </c>
      <c r="K173" s="11" cm="1">
        <f t="array" ref="K173">IF($A173="","",IFERROR((SUMPRODUCT((TRIM(tblDados[Mandante])=$A173)*tblDados[Primeira_Ocorrencia]*((tblDados[GM_M]+tblDados[GS_M])&gt;0.5))+SUMPRODUCT((TRIM(tblDados[Visitante])=$A173)*tblDados[Primeira_Ocorrencia]*((tblDados[GM_V]+tblDados[GS_V])&gt;0.5)))/G173,0))</f>
        <v>1</v>
      </c>
      <c r="L173" s="11" cm="1">
        <f t="array" ref="L173">IF($A173="","",IFERROR((SUMPRODUCT((TRIM(tblDados[Mandante])=$A173)*tblDados[Primeira_Ocorrencia]*((tblDados[GM_M]+tblDados[GS_M])&gt;1.5))+SUMPRODUCT((TRIM(tblDados[Visitante])=$A173)*tblDados[Primeira_Ocorrencia]*((tblDados[GM_V]+tblDados[GS_V])&gt;1.5)))/G173,0))</f>
        <v>0.75</v>
      </c>
      <c r="M173" s="11" cm="1">
        <f t="array" ref="M173">IF($A173="","",IFERROR((SUMPRODUCT((TRIM(tblDados[Mandante])=$A173)*tblDados[Primeira_Ocorrencia]*((tblDados[GM_M]+tblDados[GS_M])&gt;2.5))+SUMPRODUCT((TRIM(tblDados[Visitante])=$A173)*tblDados[Primeira_Ocorrencia]*((tblDados[GM_V]+tblDados[GS_V])&gt;2.5)))/G173,0))</f>
        <v>0.5</v>
      </c>
      <c r="N173" s="11" cm="1">
        <f t="array" ref="N173">IF($A173="","",IFERROR((SUMPRODUCT((TRIM(tblDados[Mandante])=$A173)*tblDados[Primeira_Ocorrencia]*((tblDados[GM_M]+tblDados[GS_M])&gt;3.5))+SUMPRODUCT((TRIM(tblDados[Visitante])=$A173)*tblDados[Primeira_Ocorrencia]*((tblDados[GM_V]+tblDados[GS_V])&gt;3.5)))/G173,0))</f>
        <v>0.33333333333333331</v>
      </c>
      <c r="O173" s="11" cm="1">
        <f t="array" ref="O173">IF($A173="","",IFERROR((SUMPRODUCT((TRIM(tblDados[Mandante])=$A173)*tblDados[Primeira_Ocorrencia]*(tblDados[GM_M]&gt;0)*(tblDados[GS_M]&gt;0))+SUMPRODUCT((TRIM(tblDados[Visitante])=$A173)*tblDados[Primeira_Ocorrencia]*(tblDados[GM_V]&gt;0)*(tblDados[GS_V]&gt;0)))/G173,0))</f>
        <v>0.5</v>
      </c>
      <c r="P173" s="10" cm="1">
        <f t="array" ref="P173">IF($A173="","",IFERROR((SUMPRODUCT((TRIM(tblDados[Mandante])=$A173)*tblDados[Primeira_Ocorrencia]*tblDados[GM_M]^2)+SUMPRODUCT((TRIM(tblDados[Visitante])=$A173)*tblDados[Primeira_Ocorrencia]*tblDados[GM_V]^2))/G173-H173^2,0))</f>
        <v>1.7430555555555554</v>
      </c>
      <c r="Q173" s="10">
        <f t="shared" si="35"/>
        <v>1.3202482931462383</v>
      </c>
      <c r="R173" s="8" t="str">
        <f t="shared" si="36"/>
        <v>Poisson</v>
      </c>
      <c r="S173" s="10" cm="1">
        <f t="array" ref="S173">IF($A173="","",SUMPRODUCT((TRIM(tblDados[Mandante])=$A173)*tblDados[Primeira_Ocorrencia]*tblDados[GM_M]))</f>
        <v>7</v>
      </c>
      <c r="T173" s="10" cm="1">
        <f t="array" ref="T173">IF($A173="","",SUMPRODUCT((TRIM(tblDados[Visitante])=$A173)*tblDados[Primeira_Ocorrencia]*tblDados[GM_V]))</f>
        <v>10</v>
      </c>
      <c r="U173" s="10">
        <f t="shared" si="37"/>
        <v>17</v>
      </c>
      <c r="V173" s="10">
        <f t="shared" si="26"/>
        <v>1.4166666666666667</v>
      </c>
      <c r="W173" s="10" cm="1">
        <f t="array" ref="W173">IF($A173="","",SUMPRODUCT((TRIM(tblDados[Mandante])=$A173)*tblDados[Primeira_Ocorrencia]*tblDados[GS_M]))</f>
        <v>8</v>
      </c>
      <c r="X173" s="10" cm="1">
        <f t="array" ref="X173">IF($A173="","",SUMPRODUCT((TRIM(tblDados[Visitante])=$A173)*tblDados[Primeira_Ocorrencia]*tblDados[GS_V]))</f>
        <v>6</v>
      </c>
      <c r="Y173" s="10">
        <f t="shared" si="38"/>
        <v>14</v>
      </c>
      <c r="Z173" s="10">
        <f t="shared" si="27"/>
        <v>1.1666666666666667</v>
      </c>
      <c r="AA173" s="10">
        <f t="shared" si="28"/>
        <v>1.4</v>
      </c>
      <c r="AB173" s="10">
        <f t="shared" si="29"/>
        <v>1.6</v>
      </c>
      <c r="AC173" s="10">
        <f t="shared" si="30"/>
        <v>1.4285714285714286</v>
      </c>
      <c r="AD173" s="10">
        <f t="shared" si="31"/>
        <v>0.8571428571428571</v>
      </c>
    </row>
    <row r="174" spans="1:30" x14ac:dyDescent="0.3">
      <c r="A174" s="7" t="str">
        <v>Åtvidabergs FF</v>
      </c>
      <c r="B174" s="12" t="str" cm="1">
        <f t="array" ref="B174">IF($A174="","",_xlfn.LET(_xlpm.p,IFERROR(INDEX(tblDados[País],MATCH($A174,TRIM(tblDados[Mandante]),0)),INDEX(tblDados[País],MATCH($A174,TRIM(tblDados[Visitante]),0))),_xlpm.l,IFERROR(INDEX(tblDados[Liga],MATCH($A174,TRIM(tblDados[Mandante]),0)),INDEX(tblDados[Liga],MATCH($A174,TRIM(tblDados[Visitante]),0))),_xlpm.p&amp;" - "&amp;_xlpm.l))</f>
        <v>SWE - 1ª D Södra</v>
      </c>
      <c r="C174" s="10">
        <f t="shared" si="32"/>
        <v>4.2</v>
      </c>
      <c r="D174" s="10">
        <f t="shared" si="33"/>
        <v>3.2857142857142856</v>
      </c>
      <c r="E174" s="9" cm="1">
        <f t="array" ref="E174">IF($A174="","",SUMPRODUCT((TRIM(tblDados[Mandante])=$A174)*tblDados[Primeira_Ocorrencia]))</f>
        <v>5</v>
      </c>
      <c r="F174" s="9" cm="1">
        <f t="array" ref="F174">IF($A174="","",SUMPRODUCT((TRIM(tblDados[Visitante])=$A174)*tblDados[Primeira_Ocorrencia]))</f>
        <v>7</v>
      </c>
      <c r="G174" s="9" cm="1">
        <f t="array" ref="G174">IF($A174="","",SUMPRODUCT((TRIM(tblDados[Mandante])=$A174)*tblDados[Primeira_Ocorrencia])+SUMPRODUCT((TRIM(tblDados[Visitante])=$A174)*tblDados[Primeira_Ocorrencia]))</f>
        <v>12</v>
      </c>
      <c r="H174" s="10">
        <f t="shared" si="34"/>
        <v>2.1666666666666665</v>
      </c>
      <c r="I174" s="10" cm="1">
        <f t="array" ref="I174">IF($A174="","",_xlfn.LET(_xlpm.p,IFERROR(INDEX(tblDados[País],MATCH($A174,TRIM(tblDados[Mandante]),0)),INDEX(tblDados[País],MATCH($A174,TRIM(tblDados[Visitante]),0))),_xlpm.l,IFERROR(INDEX(tblDados[Liga],MATCH($A174,TRIM(tblDados[Mandante]),0)),INDEX(tblDados[Liga],MATCH($A174,TRIM(tblDados[Visitante]),0))),IFERROR(SUMIFS(Ligas!$D$2:$D$39,Ligas!$H$2:$H$39,_xlpm.p,Ligas!$I$2:$I$39,_xlpm.l),0)))</f>
        <v>2.5</v>
      </c>
      <c r="J174" s="11" cm="1">
        <f t="array" ref="J174">IF($A174="","",IFERROR((SUMPRODUCT((TRIM(tblDados[Mandante])=$A174)*tblDados[Primeira_Ocorrencia]*(tblDados[GM_M]=0))+SUMPRODUCT((TRIM(tblDados[Visitante])=$A174)*tblDados[Primeira_Ocorrencia]*(tblDados[GM_V]=0)))/G174,0))</f>
        <v>0.16666666666666666</v>
      </c>
      <c r="K174" s="11" cm="1">
        <f t="array" ref="K174">IF($A174="","",IFERROR((SUMPRODUCT((TRIM(tblDados[Mandante])=$A174)*tblDados[Primeira_Ocorrencia]*((tblDados[GM_M]+tblDados[GS_M])&gt;0.5))+SUMPRODUCT((TRIM(tblDados[Visitante])=$A174)*tblDados[Primeira_Ocorrencia]*((tblDados[GM_V]+tblDados[GS_V])&gt;0.5)))/G174,0))</f>
        <v>0.91666666666666663</v>
      </c>
      <c r="L174" s="11" cm="1">
        <f t="array" ref="L174">IF($A174="","",IFERROR((SUMPRODUCT((TRIM(tblDados[Mandante])=$A174)*tblDados[Primeira_Ocorrencia]*((tblDados[GM_M]+tblDados[GS_M])&gt;1.5))+SUMPRODUCT((TRIM(tblDados[Visitante])=$A174)*tblDados[Primeira_Ocorrencia]*((tblDados[GM_V]+tblDados[GS_V])&gt;1.5)))/G174,0))</f>
        <v>0.91666666666666663</v>
      </c>
      <c r="M174" s="11" cm="1">
        <f t="array" ref="M174">IF($A174="","",IFERROR((SUMPRODUCT((TRIM(tblDados[Mandante])=$A174)*tblDados[Primeira_Ocorrencia]*((tblDados[GM_M]+tblDados[GS_M])&gt;2.5))+SUMPRODUCT((TRIM(tblDados[Visitante])=$A174)*tblDados[Primeira_Ocorrencia]*((tblDados[GM_V]+tblDados[GS_V])&gt;2.5)))/G174,0))</f>
        <v>0.83333333333333337</v>
      </c>
      <c r="N174" s="11" cm="1">
        <f t="array" ref="N174">IF($A174="","",IFERROR((SUMPRODUCT((TRIM(tblDados[Mandante])=$A174)*tblDados[Primeira_Ocorrencia]*((tblDados[GM_M]+tblDados[GS_M])&gt;3.5))+SUMPRODUCT((TRIM(tblDados[Visitante])=$A174)*tblDados[Primeira_Ocorrencia]*((tblDados[GM_V]+tblDados[GS_V])&gt;3.5)))/G174,0))</f>
        <v>0.58333333333333337</v>
      </c>
      <c r="O174" s="11" cm="1">
        <f t="array" ref="O174">IF($A174="","",IFERROR((SUMPRODUCT((TRIM(tblDados[Mandante])=$A174)*tblDados[Primeira_Ocorrencia]*(tblDados[GM_M]&gt;0)*(tblDados[GS_M]&gt;0))+SUMPRODUCT((TRIM(tblDados[Visitante])=$A174)*tblDados[Primeira_Ocorrencia]*(tblDados[GM_V]&gt;0)*(tblDados[GS_V]&gt;0)))/G174,0))</f>
        <v>0.66666666666666663</v>
      </c>
      <c r="P174" s="10" cm="1">
        <f t="array" ref="P174">IF($A174="","",IFERROR((SUMPRODUCT((TRIM(tblDados[Mandante])=$A174)*tblDados[Primeira_Ocorrencia]*tblDados[GM_M]^2)+SUMPRODUCT((TRIM(tblDados[Visitante])=$A174)*tblDados[Primeira_Ocorrencia]*tblDados[GM_V]^2))/G174-H174^2,0))</f>
        <v>1.4722222222222232</v>
      </c>
      <c r="Q174" s="10">
        <f t="shared" si="35"/>
        <v>1.2133516482134201</v>
      </c>
      <c r="R174" s="8" t="str">
        <f t="shared" si="36"/>
        <v>Poisson</v>
      </c>
      <c r="S174" s="10" cm="1">
        <f t="array" ref="S174">IF($A174="","",SUMPRODUCT((TRIM(tblDados[Mandante])=$A174)*tblDados[Primeira_Ocorrencia]*tblDados[GM_M]))</f>
        <v>13</v>
      </c>
      <c r="T174" s="10" cm="1">
        <f t="array" ref="T174">IF($A174="","",SUMPRODUCT((TRIM(tblDados[Visitante])=$A174)*tblDados[Primeira_Ocorrencia]*tblDados[GM_V]))</f>
        <v>13</v>
      </c>
      <c r="U174" s="10">
        <f t="shared" si="37"/>
        <v>26</v>
      </c>
      <c r="V174" s="10">
        <f t="shared" si="26"/>
        <v>2.1666666666666665</v>
      </c>
      <c r="W174" s="10" cm="1">
        <f t="array" ref="W174">IF($A174="","",SUMPRODUCT((TRIM(tblDados[Mandante])=$A174)*tblDados[Primeira_Ocorrencia]*tblDados[GS_M]))</f>
        <v>8</v>
      </c>
      <c r="X174" s="10" cm="1">
        <f t="array" ref="X174">IF($A174="","",SUMPRODUCT((TRIM(tblDados[Visitante])=$A174)*tblDados[Primeira_Ocorrencia]*tblDados[GS_V]))</f>
        <v>10</v>
      </c>
      <c r="Y174" s="10">
        <f t="shared" si="38"/>
        <v>18</v>
      </c>
      <c r="Z174" s="10">
        <f t="shared" si="27"/>
        <v>1.5</v>
      </c>
      <c r="AA174" s="10">
        <f t="shared" si="28"/>
        <v>2.6</v>
      </c>
      <c r="AB174" s="10">
        <f t="shared" si="29"/>
        <v>1.6</v>
      </c>
      <c r="AC174" s="10">
        <f t="shared" si="30"/>
        <v>1.8571428571428572</v>
      </c>
      <c r="AD174" s="10">
        <f t="shared" si="31"/>
        <v>1.4285714285714286</v>
      </c>
    </row>
    <row r="175" spans="1:30" x14ac:dyDescent="0.3">
      <c r="A175" s="7" t="str">
        <v>Audax Italiano</v>
      </c>
      <c r="B175" s="12" t="str" cm="1">
        <f t="array" ref="B175">IF($A175="","",_xlfn.LET(_xlpm.p,IFERROR(INDEX(tblDados[País],MATCH($A175,TRIM(tblDados[Mandante]),0)),INDEX(tblDados[País],MATCH($A175,TRIM(tblDados[Visitante]),0))),_xlpm.l,IFERROR(INDEX(tblDados[Liga],MATCH($A175,TRIM(tblDados[Mandante]),0)),INDEX(tblDados[Liga],MATCH($A175,TRIM(tblDados[Visitante]),0))),_xlpm.p&amp;" - "&amp;_xlpm.l))</f>
        <v>CHI - Liga de Primera</v>
      </c>
      <c r="C175" s="10">
        <f t="shared" si="32"/>
        <v>3.2857142857142856</v>
      </c>
      <c r="D175" s="10">
        <f t="shared" si="33"/>
        <v>2.4000000000000004</v>
      </c>
      <c r="E175" s="9" cm="1">
        <f t="array" ref="E175">IF($A175="","",SUMPRODUCT((TRIM(tblDados[Mandante])=$A175)*tblDados[Primeira_Ocorrencia]))</f>
        <v>7</v>
      </c>
      <c r="F175" s="9" cm="1">
        <f t="array" ref="F175">IF($A175="","",SUMPRODUCT((TRIM(tblDados[Visitante])=$A175)*tblDados[Primeira_Ocorrencia]))</f>
        <v>5</v>
      </c>
      <c r="G175" s="9" cm="1">
        <f t="array" ref="G175">IF($A175="","",SUMPRODUCT((TRIM(tblDados[Mandante])=$A175)*tblDados[Primeira_Ocorrencia])+SUMPRODUCT((TRIM(tblDados[Visitante])=$A175)*tblDados[Primeira_Ocorrencia]))</f>
        <v>12</v>
      </c>
      <c r="H175" s="10">
        <f t="shared" si="34"/>
        <v>1.3333333333333333</v>
      </c>
      <c r="I175" s="10" cm="1">
        <f t="array" ref="I175">IF($A175="","",_xlfn.LET(_xlpm.p,IFERROR(INDEX(tblDados[País],MATCH($A175,TRIM(tblDados[Mandante]),0)),INDEX(tblDados[País],MATCH($A175,TRIM(tblDados[Visitante]),0))),_xlpm.l,IFERROR(INDEX(tblDados[Liga],MATCH($A175,TRIM(tblDados[Mandante]),0)),INDEX(tblDados[Liga],MATCH($A175,TRIM(tblDados[Visitante]),0))),IFERROR(SUMIFS(Ligas!$D$2:$D$39,Ligas!$H$2:$H$39,_xlpm.p,Ligas!$I$2:$I$39,_xlpm.l),0)))</f>
        <v>2.5</v>
      </c>
      <c r="J175" s="11" cm="1">
        <f t="array" ref="J175">IF($A175="","",IFERROR((SUMPRODUCT((TRIM(tblDados[Mandante])=$A175)*tblDados[Primeira_Ocorrencia]*(tblDados[GM_M]=0))+SUMPRODUCT((TRIM(tblDados[Visitante])=$A175)*tblDados[Primeira_Ocorrencia]*(tblDados[GM_V]=0)))/G175,0))</f>
        <v>0.25</v>
      </c>
      <c r="K175" s="11" cm="1">
        <f t="array" ref="K175">IF($A175="","",IFERROR((SUMPRODUCT((TRIM(tblDados[Mandante])=$A175)*tblDados[Primeira_Ocorrencia]*((tblDados[GM_M]+tblDados[GS_M])&gt;0.5))+SUMPRODUCT((TRIM(tblDados[Visitante])=$A175)*tblDados[Primeira_Ocorrencia]*((tblDados[GM_V]+tblDados[GS_V])&gt;0.5)))/G175,0))</f>
        <v>0.91666666666666663</v>
      </c>
      <c r="L175" s="11" cm="1">
        <f t="array" ref="L175">IF($A175="","",IFERROR((SUMPRODUCT((TRIM(tblDados[Mandante])=$A175)*tblDados[Primeira_Ocorrencia]*((tblDados[GM_M]+tblDados[GS_M])&gt;1.5))+SUMPRODUCT((TRIM(tblDados[Visitante])=$A175)*tblDados[Primeira_Ocorrencia]*((tblDados[GM_V]+tblDados[GS_V])&gt;1.5)))/G175,0))</f>
        <v>0.75</v>
      </c>
      <c r="M175" s="11" cm="1">
        <f t="array" ref="M175">IF($A175="","",IFERROR((SUMPRODUCT((TRIM(tblDados[Mandante])=$A175)*tblDados[Primeira_Ocorrencia]*((tblDados[GM_M]+tblDados[GS_M])&gt;2.5))+SUMPRODUCT((TRIM(tblDados[Visitante])=$A175)*tblDados[Primeira_Ocorrencia]*((tblDados[GM_V]+tblDados[GS_V])&gt;2.5)))/G175,0))</f>
        <v>0.66666666666666663</v>
      </c>
      <c r="N175" s="11" cm="1">
        <f t="array" ref="N175">IF($A175="","",IFERROR((SUMPRODUCT((TRIM(tblDados[Mandante])=$A175)*tblDados[Primeira_Ocorrencia]*((tblDados[GM_M]+tblDados[GS_M])&gt;3.5))+SUMPRODUCT((TRIM(tblDados[Visitante])=$A175)*tblDados[Primeira_Ocorrencia]*((tblDados[GM_V]+tblDados[GS_V])&gt;3.5)))/G175,0))</f>
        <v>0.25</v>
      </c>
      <c r="O175" s="11" cm="1">
        <f t="array" ref="O175">IF($A175="","",IFERROR((SUMPRODUCT((TRIM(tblDados[Mandante])=$A175)*tblDados[Primeira_Ocorrencia]*(tblDados[GM_M]&gt;0)*(tblDados[GS_M]&gt;0))+SUMPRODUCT((TRIM(tblDados[Visitante])=$A175)*tblDados[Primeira_Ocorrencia]*(tblDados[GM_V]&gt;0)*(tblDados[GS_V]&gt;0)))/G175,0))</f>
        <v>0.58333333333333337</v>
      </c>
      <c r="P175" s="10" cm="1">
        <f t="array" ref="P175">IF($A175="","",IFERROR((SUMPRODUCT((TRIM(tblDados[Mandante])=$A175)*tblDados[Primeira_Ocorrencia]*tblDados[GM_M]^2)+SUMPRODUCT((TRIM(tblDados[Visitante])=$A175)*tblDados[Primeira_Ocorrencia]*tblDados[GM_V]^2))/G175-H175^2,0))</f>
        <v>1.0555555555555558</v>
      </c>
      <c r="Q175" s="10">
        <f t="shared" si="35"/>
        <v>1.0274023338281628</v>
      </c>
      <c r="R175" s="8" t="str">
        <f t="shared" si="36"/>
        <v>Poisson</v>
      </c>
      <c r="S175" s="10" cm="1">
        <f t="array" ref="S175">IF($A175="","",SUMPRODUCT((TRIM(tblDados[Mandante])=$A175)*tblDados[Primeira_Ocorrencia]*tblDados[GM_M]))</f>
        <v>12</v>
      </c>
      <c r="T175" s="10" cm="1">
        <f t="array" ref="T175">IF($A175="","",SUMPRODUCT((TRIM(tblDados[Visitante])=$A175)*tblDados[Primeira_Ocorrencia]*tblDados[GM_V]))</f>
        <v>4</v>
      </c>
      <c r="U175" s="10">
        <f t="shared" si="37"/>
        <v>16</v>
      </c>
      <c r="V175" s="10">
        <f t="shared" si="26"/>
        <v>1.3333333333333333</v>
      </c>
      <c r="W175" s="10" cm="1">
        <f t="array" ref="W175">IF($A175="","",SUMPRODUCT((TRIM(tblDados[Mandante])=$A175)*tblDados[Primeira_Ocorrencia]*tblDados[GS_M]))</f>
        <v>11</v>
      </c>
      <c r="X175" s="10" cm="1">
        <f t="array" ref="X175">IF($A175="","",SUMPRODUCT((TRIM(tblDados[Visitante])=$A175)*tblDados[Primeira_Ocorrencia]*tblDados[GS_V]))</f>
        <v>8</v>
      </c>
      <c r="Y175" s="10">
        <f t="shared" si="38"/>
        <v>19</v>
      </c>
      <c r="Z175" s="10">
        <f t="shared" si="27"/>
        <v>1.5833333333333333</v>
      </c>
      <c r="AA175" s="10">
        <f t="shared" si="28"/>
        <v>1.7142857142857142</v>
      </c>
      <c r="AB175" s="10">
        <f t="shared" si="29"/>
        <v>1.5714285714285714</v>
      </c>
      <c r="AC175" s="10">
        <f t="shared" si="30"/>
        <v>0.8</v>
      </c>
      <c r="AD175" s="10">
        <f t="shared" si="31"/>
        <v>1.6</v>
      </c>
    </row>
    <row r="176" spans="1:30" x14ac:dyDescent="0.3">
      <c r="A176" s="7" t="str">
        <v>Austin FC</v>
      </c>
      <c r="B176" s="12" t="str" cm="1">
        <f t="array" ref="B176">IF($A176="","",_xlfn.LET(_xlpm.p,IFERROR(INDEX(tblDados[País],MATCH($A176,TRIM(tblDados[Mandante]),0)),INDEX(tblDados[País],MATCH($A176,TRIM(tblDados[Visitante]),0))),_xlpm.l,IFERROR(INDEX(tblDados[Liga],MATCH($A176,TRIM(tblDados[Mandante]),0)),INDEX(tblDados[Liga],MATCH($A176,TRIM(tblDados[Visitante]),0))),_xlpm.p&amp;" - "&amp;_xlpm.l))</f>
        <v>USA - MLS-West</v>
      </c>
      <c r="C176" s="10">
        <f t="shared" si="32"/>
        <v>2.75</v>
      </c>
      <c r="D176" s="10">
        <f t="shared" si="33"/>
        <v>4</v>
      </c>
      <c r="E176" s="9" cm="1">
        <f t="array" ref="E176">IF($A176="","",SUMPRODUCT((TRIM(tblDados[Mandante])=$A176)*tblDados[Primeira_Ocorrencia]))</f>
        <v>4</v>
      </c>
      <c r="F176" s="9" cm="1">
        <f t="array" ref="F176">IF($A176="","",SUMPRODUCT((TRIM(tblDados[Visitante])=$A176)*tblDados[Primeira_Ocorrencia]))</f>
        <v>8</v>
      </c>
      <c r="G176" s="9" cm="1">
        <f t="array" ref="G176">IF($A176="","",SUMPRODUCT((TRIM(tblDados[Mandante])=$A176)*tblDados[Primeira_Ocorrencia])+SUMPRODUCT((TRIM(tblDados[Visitante])=$A176)*tblDados[Primeira_Ocorrencia]))</f>
        <v>12</v>
      </c>
      <c r="H176" s="10">
        <f t="shared" si="34"/>
        <v>1.3333333333333333</v>
      </c>
      <c r="I176" s="10" cm="1">
        <f t="array" ref="I176">IF($A176="","",_xlfn.LET(_xlpm.p,IFERROR(INDEX(tblDados[País],MATCH($A176,TRIM(tblDados[Mandante]),0)),INDEX(tblDados[País],MATCH($A176,TRIM(tblDados[Visitante]),0))),_xlpm.l,IFERROR(INDEX(tblDados[Liga],MATCH($A176,TRIM(tblDados[Mandante]),0)),INDEX(tblDados[Liga],MATCH($A176,TRIM(tblDados[Visitante]),0))),IFERROR(SUMIFS(Ligas!$D$2:$D$39,Ligas!$H$2:$H$39,_xlpm.p,Ligas!$I$2:$I$39,_xlpm.l),0)))</f>
        <v>3.3</v>
      </c>
      <c r="J176" s="11" cm="1">
        <f t="array" ref="J176">IF($A176="","",IFERROR((SUMPRODUCT((TRIM(tblDados[Mandante])=$A176)*tblDados[Primeira_Ocorrencia]*(tblDados[GM_M]=0))+SUMPRODUCT((TRIM(tblDados[Visitante])=$A176)*tblDados[Primeira_Ocorrencia]*(tblDados[GM_V]=0)))/G176,0))</f>
        <v>0.33333333333333331</v>
      </c>
      <c r="K176" s="11" cm="1">
        <f t="array" ref="K176">IF($A176="","",IFERROR((SUMPRODUCT((TRIM(tblDados[Mandante])=$A176)*tblDados[Primeira_Ocorrencia]*((tblDados[GM_M]+tblDados[GS_M])&gt;0.5))+SUMPRODUCT((TRIM(tblDados[Visitante])=$A176)*tblDados[Primeira_Ocorrencia]*((tblDados[GM_V]+tblDados[GS_V])&gt;0.5)))/G176,0))</f>
        <v>1</v>
      </c>
      <c r="L176" s="11" cm="1">
        <f t="array" ref="L176">IF($A176="","",IFERROR((SUMPRODUCT((TRIM(tblDados[Mandante])=$A176)*tblDados[Primeira_Ocorrencia]*((tblDados[GM_M]+tblDados[GS_M])&gt;1.5))+SUMPRODUCT((TRIM(tblDados[Visitante])=$A176)*tblDados[Primeira_Ocorrencia]*((tblDados[GM_V]+tblDados[GS_V])&gt;1.5)))/G176,0))</f>
        <v>0.91666666666666663</v>
      </c>
      <c r="M176" s="11" cm="1">
        <f t="array" ref="M176">IF($A176="","",IFERROR((SUMPRODUCT((TRIM(tblDados[Mandante])=$A176)*tblDados[Primeira_Ocorrencia]*((tblDados[GM_M]+tblDados[GS_M])&gt;2.5))+SUMPRODUCT((TRIM(tblDados[Visitante])=$A176)*tblDados[Primeira_Ocorrencia]*((tblDados[GM_V]+tblDados[GS_V])&gt;2.5)))/G176,0))</f>
        <v>0.75</v>
      </c>
      <c r="N176" s="11" cm="1">
        <f t="array" ref="N176">IF($A176="","",IFERROR((SUMPRODUCT((TRIM(tblDados[Mandante])=$A176)*tblDados[Primeira_Ocorrencia]*((tblDados[GM_M]+tblDados[GS_M])&gt;3.5))+SUMPRODUCT((TRIM(tblDados[Visitante])=$A176)*tblDados[Primeira_Ocorrencia]*((tblDados[GM_V]+tblDados[GS_V])&gt;3.5)))/G176,0))</f>
        <v>0.5</v>
      </c>
      <c r="O176" s="11" cm="1">
        <f t="array" ref="O176">IF($A176="","",IFERROR((SUMPRODUCT((TRIM(tblDados[Mandante])=$A176)*tblDados[Primeira_Ocorrencia]*(tblDados[GM_M]&gt;0)*(tblDados[GS_M]&gt;0))+SUMPRODUCT((TRIM(tblDados[Visitante])=$A176)*tblDados[Primeira_Ocorrencia]*(tblDados[GM_V]&gt;0)*(tblDados[GS_V]&gt;0)))/G176,0))</f>
        <v>0.5</v>
      </c>
      <c r="P176" s="10" cm="1">
        <f t="array" ref="P176">IF($A176="","",IFERROR((SUMPRODUCT((TRIM(tblDados[Mandante])=$A176)*tblDados[Primeira_Ocorrencia]*tblDados[GM_M]^2)+SUMPRODUCT((TRIM(tblDados[Visitante])=$A176)*tblDados[Primeira_Ocorrencia]*tblDados[GM_V]^2))/G176-H176^2,0))</f>
        <v>1.2222222222222223</v>
      </c>
      <c r="Q176" s="10">
        <f t="shared" si="35"/>
        <v>1.1055415967851334</v>
      </c>
      <c r="R176" s="8" t="str">
        <f t="shared" si="36"/>
        <v>Poisson</v>
      </c>
      <c r="S176" s="10" cm="1">
        <f t="array" ref="S176">IF($A176="","",SUMPRODUCT((TRIM(tblDados[Mandante])=$A176)*tblDados[Primeira_Ocorrencia]*tblDados[GM_M]))</f>
        <v>8</v>
      </c>
      <c r="T176" s="10" cm="1">
        <f t="array" ref="T176">IF($A176="","",SUMPRODUCT((TRIM(tblDados[Visitante])=$A176)*tblDados[Primeira_Ocorrencia]*tblDados[GM_V]))</f>
        <v>8</v>
      </c>
      <c r="U176" s="10">
        <f t="shared" si="37"/>
        <v>16</v>
      </c>
      <c r="V176" s="10">
        <f t="shared" si="26"/>
        <v>1.3333333333333333</v>
      </c>
      <c r="W176" s="10" cm="1">
        <f t="array" ref="W176">IF($A176="","",SUMPRODUCT((TRIM(tblDados[Mandante])=$A176)*tblDados[Primeira_Ocorrencia]*tblDados[GS_M]))</f>
        <v>3</v>
      </c>
      <c r="X176" s="10" cm="1">
        <f t="array" ref="X176">IF($A176="","",SUMPRODUCT((TRIM(tblDados[Visitante])=$A176)*tblDados[Primeira_Ocorrencia]*tblDados[GS_V]))</f>
        <v>24</v>
      </c>
      <c r="Y176" s="10">
        <f t="shared" si="38"/>
        <v>27</v>
      </c>
      <c r="Z176" s="10">
        <f t="shared" si="27"/>
        <v>2.25</v>
      </c>
      <c r="AA176" s="10">
        <f t="shared" si="28"/>
        <v>2</v>
      </c>
      <c r="AB176" s="10">
        <f t="shared" si="29"/>
        <v>0.75</v>
      </c>
      <c r="AC176" s="10">
        <f t="shared" si="30"/>
        <v>1</v>
      </c>
      <c r="AD176" s="10">
        <f t="shared" si="31"/>
        <v>3</v>
      </c>
    </row>
    <row r="177" spans="1:30" x14ac:dyDescent="0.3">
      <c r="A177" s="7" t="str">
        <v>Avondale FC</v>
      </c>
      <c r="B177" s="12" t="str" cm="1">
        <f t="array" ref="B177">IF($A177="","",_xlfn.LET(_xlpm.p,IFERROR(INDEX(tblDados[País],MATCH($A177,TRIM(tblDados[Mandante]),0)),INDEX(tblDados[País],MATCH($A177,TRIM(tblDados[Visitante]),0))),_xlpm.l,IFERROR(INDEX(tblDados[Liga],MATCH($A177,TRIM(tblDados[Mandante]),0)),INDEX(tblDados[Liga],MATCH($A177,TRIM(tblDados[Visitante]),0))),_xlpm.p&amp;" - "&amp;_xlpm.l))</f>
        <v>AUS - NPL Victoria</v>
      </c>
      <c r="C177" s="10">
        <f t="shared" si="32"/>
        <v>5.166666666666667</v>
      </c>
      <c r="D177" s="10">
        <f t="shared" si="33"/>
        <v>3.3333333333333335</v>
      </c>
      <c r="E177" s="9" cm="1">
        <f t="array" ref="E177">IF($A177="","",SUMPRODUCT((TRIM(tblDados[Mandante])=$A177)*tblDados[Primeira_Ocorrencia]))</f>
        <v>6</v>
      </c>
      <c r="F177" s="9" cm="1">
        <f t="array" ref="F177">IF($A177="","",SUMPRODUCT((TRIM(tblDados[Visitante])=$A177)*tblDados[Primeira_Ocorrencia]))</f>
        <v>6</v>
      </c>
      <c r="G177" s="9" cm="1">
        <f t="array" ref="G177">IF($A177="","",SUMPRODUCT((TRIM(tblDados[Mandante])=$A177)*tblDados[Primeira_Ocorrencia])+SUMPRODUCT((TRIM(tblDados[Visitante])=$A177)*tblDados[Primeira_Ocorrencia]))</f>
        <v>12</v>
      </c>
      <c r="H177" s="10">
        <f t="shared" si="34"/>
        <v>2.9166666666666665</v>
      </c>
      <c r="I177" s="10" cm="1">
        <f t="array" ref="I177">IF($A177="","",_xlfn.LET(_xlpm.p,IFERROR(INDEX(tblDados[País],MATCH($A177,TRIM(tblDados[Mandante]),0)),INDEX(tblDados[País],MATCH($A177,TRIM(tblDados[Visitante]),0))),_xlpm.l,IFERROR(INDEX(tblDados[Liga],MATCH($A177,TRIM(tblDados[Mandante]),0)),INDEX(tblDados[Liga],MATCH($A177,TRIM(tblDados[Visitante]),0))),IFERROR(SUMIFS(Ligas!$D$2:$D$39,Ligas!$H$2:$H$39,_xlpm.p,Ligas!$I$2:$I$39,_xlpm.l),0)))</f>
        <v>2.89</v>
      </c>
      <c r="J177" s="11" cm="1">
        <f t="array" ref="J177">IF($A177="","",IFERROR((SUMPRODUCT((TRIM(tblDados[Mandante])=$A177)*tblDados[Primeira_Ocorrencia]*(tblDados[GM_M]=0))+SUMPRODUCT((TRIM(tblDados[Visitante])=$A177)*tblDados[Primeira_Ocorrencia]*(tblDados[GM_V]=0)))/G177,0))</f>
        <v>0.16666666666666666</v>
      </c>
      <c r="K177" s="11" cm="1">
        <f t="array" ref="K177">IF($A177="","",IFERROR((SUMPRODUCT((TRIM(tblDados[Mandante])=$A177)*tblDados[Primeira_Ocorrencia]*((tblDados[GM_M]+tblDados[GS_M])&gt;0.5))+SUMPRODUCT((TRIM(tblDados[Visitante])=$A177)*tblDados[Primeira_Ocorrencia]*((tblDados[GM_V]+tblDados[GS_V])&gt;0.5)))/G177,0))</f>
        <v>1</v>
      </c>
      <c r="L177" s="11" cm="1">
        <f t="array" ref="L177">IF($A177="","",IFERROR((SUMPRODUCT((TRIM(tblDados[Mandante])=$A177)*tblDados[Primeira_Ocorrencia]*((tblDados[GM_M]+tblDados[GS_M])&gt;1.5))+SUMPRODUCT((TRIM(tblDados[Visitante])=$A177)*tblDados[Primeira_Ocorrencia]*((tblDados[GM_V]+tblDados[GS_V])&gt;1.5)))/G177,0))</f>
        <v>1</v>
      </c>
      <c r="M177" s="11" cm="1">
        <f t="array" ref="M177">IF($A177="","",IFERROR((SUMPRODUCT((TRIM(tblDados[Mandante])=$A177)*tblDados[Primeira_Ocorrencia]*((tblDados[GM_M]+tblDados[GS_M])&gt;2.5))+SUMPRODUCT((TRIM(tblDados[Visitante])=$A177)*tblDados[Primeira_Ocorrencia]*((tblDados[GM_V]+tblDados[GS_V])&gt;2.5)))/G177,0))</f>
        <v>0.75</v>
      </c>
      <c r="N177" s="11" cm="1">
        <f t="array" ref="N177">IF($A177="","",IFERROR((SUMPRODUCT((TRIM(tblDados[Mandante])=$A177)*tblDados[Primeira_Ocorrencia]*((tblDados[GM_M]+tblDados[GS_M])&gt;3.5))+SUMPRODUCT((TRIM(tblDados[Visitante])=$A177)*tblDados[Primeira_Ocorrencia]*((tblDados[GM_V]+tblDados[GS_V])&gt;3.5)))/G177,0))</f>
        <v>0.58333333333333337</v>
      </c>
      <c r="O177" s="11" cm="1">
        <f t="array" ref="O177">IF($A177="","",IFERROR((SUMPRODUCT((TRIM(tblDados[Mandante])=$A177)*tblDados[Primeira_Ocorrencia]*(tblDados[GM_M]&gt;0)*(tblDados[GS_M]&gt;0))+SUMPRODUCT((TRIM(tblDados[Visitante])=$A177)*tblDados[Primeira_Ocorrencia]*(tblDados[GM_V]&gt;0)*(tblDados[GS_V]&gt;0)))/G177,0))</f>
        <v>0.5</v>
      </c>
      <c r="P177" s="10" cm="1">
        <f t="array" ref="P177">IF($A177="","",IFERROR((SUMPRODUCT((TRIM(tblDados[Mandante])=$A177)*tblDados[Primeira_Ocorrencia]*tblDados[GM_M]^2)+SUMPRODUCT((TRIM(tblDados[Visitante])=$A177)*tblDados[Primeira_Ocorrencia]*tblDados[GM_V]^2))/G177-H177^2,0))</f>
        <v>8.2430555555555571</v>
      </c>
      <c r="Q177" s="10">
        <f t="shared" si="35"/>
        <v>2.8710721961587029</v>
      </c>
      <c r="R177" s="8" t="str">
        <f t="shared" si="36"/>
        <v>Binomial Negativa</v>
      </c>
      <c r="S177" s="10" cm="1">
        <f t="array" ref="S177">IF($A177="","",SUMPRODUCT((TRIM(tblDados[Mandante])=$A177)*tblDados[Primeira_Ocorrencia]*tblDados[GM_M]))</f>
        <v>25</v>
      </c>
      <c r="T177" s="10" cm="1">
        <f t="array" ref="T177">IF($A177="","",SUMPRODUCT((TRIM(tblDados[Visitante])=$A177)*tblDados[Primeira_Ocorrencia]*tblDados[GM_V]))</f>
        <v>10</v>
      </c>
      <c r="U177" s="10">
        <f t="shared" si="37"/>
        <v>35</v>
      </c>
      <c r="V177" s="10">
        <f t="shared" si="26"/>
        <v>2.9166666666666665</v>
      </c>
      <c r="W177" s="10" cm="1">
        <f t="array" ref="W177">IF($A177="","",SUMPRODUCT((TRIM(tblDados[Mandante])=$A177)*tblDados[Primeira_Ocorrencia]*tblDados[GS_M]))</f>
        <v>6</v>
      </c>
      <c r="X177" s="10" cm="1">
        <f t="array" ref="X177">IF($A177="","",SUMPRODUCT((TRIM(tblDados[Visitante])=$A177)*tblDados[Primeira_Ocorrencia]*tblDados[GS_V]))</f>
        <v>10</v>
      </c>
      <c r="Y177" s="10">
        <f t="shared" si="38"/>
        <v>16</v>
      </c>
      <c r="Z177" s="10">
        <f t="shared" si="27"/>
        <v>1.3333333333333333</v>
      </c>
      <c r="AA177" s="10">
        <f t="shared" si="28"/>
        <v>4.166666666666667</v>
      </c>
      <c r="AB177" s="10">
        <f t="shared" si="29"/>
        <v>1</v>
      </c>
      <c r="AC177" s="10">
        <f t="shared" si="30"/>
        <v>1.6666666666666667</v>
      </c>
      <c r="AD177" s="10">
        <f t="shared" si="31"/>
        <v>1.6666666666666667</v>
      </c>
    </row>
    <row r="178" spans="1:30" x14ac:dyDescent="0.3">
      <c r="A178" s="7" t="str">
        <v>Barra FC</v>
      </c>
      <c r="B178" s="12" t="str" cm="1">
        <f t="array" ref="B178">IF($A178="","",_xlfn.LET(_xlpm.p,IFERROR(INDEX(tblDados[País],MATCH($A178,TRIM(tblDados[Mandante]),0)),INDEX(tblDados[País],MATCH($A178,TRIM(tblDados[Visitante]),0))),_xlpm.l,IFERROR(INDEX(tblDados[Liga],MATCH($A178,TRIM(tblDados[Mandante]),0)),INDEX(tblDados[Liga],MATCH($A178,TRIM(tblDados[Visitante]),0))),_xlpm.p&amp;" - "&amp;_xlpm.l))</f>
        <v>BRA - Série C</v>
      </c>
      <c r="C178" s="10">
        <f t="shared" si="32"/>
        <v>2.2000000000000002</v>
      </c>
      <c r="D178" s="10">
        <f t="shared" si="33"/>
        <v>2.2857142857142856</v>
      </c>
      <c r="E178" s="9" cm="1">
        <f t="array" ref="E178">IF($A178="","",SUMPRODUCT((TRIM(tblDados[Mandante])=$A178)*tblDados[Primeira_Ocorrencia]))</f>
        <v>5</v>
      </c>
      <c r="F178" s="9" cm="1">
        <f t="array" ref="F178">IF($A178="","",SUMPRODUCT((TRIM(tblDados[Visitante])=$A178)*tblDados[Primeira_Ocorrencia]))</f>
        <v>7</v>
      </c>
      <c r="G178" s="9" cm="1">
        <f t="array" ref="G178">IF($A178="","",SUMPRODUCT((TRIM(tblDados[Mandante])=$A178)*tblDados[Primeira_Ocorrencia])+SUMPRODUCT((TRIM(tblDados[Visitante])=$A178)*tblDados[Primeira_Ocorrencia]))</f>
        <v>12</v>
      </c>
      <c r="H178" s="10">
        <f t="shared" si="34"/>
        <v>1</v>
      </c>
      <c r="I178" s="10" cm="1">
        <f t="array" ref="I178">IF($A178="","",_xlfn.LET(_xlpm.p,IFERROR(INDEX(tblDados[País],MATCH($A178,TRIM(tblDados[Mandante]),0)),INDEX(tblDados[País],MATCH($A178,TRIM(tblDados[Visitante]),0))),_xlpm.l,IFERROR(INDEX(tblDados[Liga],MATCH($A178,TRIM(tblDados[Mandante]),0)),INDEX(tblDados[Liga],MATCH($A178,TRIM(tblDados[Visitante]),0))),IFERROR(SUMIFS(Ligas!$D$2:$D$39,Ligas!$H$2:$H$39,_xlpm.p,Ligas!$I$2:$I$39,_xlpm.l),0)))</f>
        <v>2.09</v>
      </c>
      <c r="J178" s="11" cm="1">
        <f t="array" ref="J178">IF($A178="","",IFERROR((SUMPRODUCT((TRIM(tblDados[Mandante])=$A178)*tblDados[Primeira_Ocorrencia]*(tblDados[GM_M]=0))+SUMPRODUCT((TRIM(tblDados[Visitante])=$A178)*tblDados[Primeira_Ocorrencia]*(tblDados[GM_V]=0)))/G178,0))</f>
        <v>0.41666666666666669</v>
      </c>
      <c r="K178" s="11" cm="1">
        <f t="array" ref="K178">IF($A178="","",IFERROR((SUMPRODUCT((TRIM(tblDados[Mandante])=$A178)*tblDados[Primeira_Ocorrencia]*((tblDados[GM_M]+tblDados[GS_M])&gt;0.5))+SUMPRODUCT((TRIM(tblDados[Visitante])=$A178)*tblDados[Primeira_Ocorrencia]*((tblDados[GM_V]+tblDados[GS_V])&gt;0.5)))/G178,0))</f>
        <v>0.91666666666666663</v>
      </c>
      <c r="L178" s="11" cm="1">
        <f t="array" ref="L178">IF($A178="","",IFERROR((SUMPRODUCT((TRIM(tblDados[Mandante])=$A178)*tblDados[Primeira_Ocorrencia]*((tblDados[GM_M]+tblDados[GS_M])&gt;1.5))+SUMPRODUCT((TRIM(tblDados[Visitante])=$A178)*tblDados[Primeira_Ocorrencia]*((tblDados[GM_V]+tblDados[GS_V])&gt;1.5)))/G178,0))</f>
        <v>0.75</v>
      </c>
      <c r="M178" s="11" cm="1">
        <f t="array" ref="M178">IF($A178="","",IFERROR((SUMPRODUCT((TRIM(tblDados[Mandante])=$A178)*tblDados[Primeira_Ocorrencia]*((tblDados[GM_M]+tblDados[GS_M])&gt;2.5))+SUMPRODUCT((TRIM(tblDados[Visitante])=$A178)*tblDados[Primeira_Ocorrencia]*((tblDados[GM_V]+tblDados[GS_V])&gt;2.5)))/G178,0))</f>
        <v>0.41666666666666669</v>
      </c>
      <c r="N178" s="11" cm="1">
        <f t="array" ref="N178">IF($A178="","",IFERROR((SUMPRODUCT((TRIM(tblDados[Mandante])=$A178)*tblDados[Primeira_Ocorrencia]*((tblDados[GM_M]+tblDados[GS_M])&gt;3.5))+SUMPRODUCT((TRIM(tblDados[Visitante])=$A178)*tblDados[Primeira_Ocorrencia]*((tblDados[GM_V]+tblDados[GS_V])&gt;3.5)))/G178,0))</f>
        <v>0.16666666666666666</v>
      </c>
      <c r="O178" s="11" cm="1">
        <f t="array" ref="O178">IF($A178="","",IFERROR((SUMPRODUCT((TRIM(tblDados[Mandante])=$A178)*tblDados[Primeira_Ocorrencia]*(tblDados[GM_M]&gt;0)*(tblDados[GS_M]&gt;0))+SUMPRODUCT((TRIM(tblDados[Visitante])=$A178)*tblDados[Primeira_Ocorrencia]*(tblDados[GM_V]&gt;0)*(tblDados[GS_V]&gt;0)))/G178,0))</f>
        <v>0.5</v>
      </c>
      <c r="P178" s="10" cm="1">
        <f t="array" ref="P178">IF($A178="","",IFERROR((SUMPRODUCT((TRIM(tblDados[Mandante])=$A178)*tblDados[Primeira_Ocorrencia]*tblDados[GM_M]^2)+SUMPRODUCT((TRIM(tblDados[Visitante])=$A178)*tblDados[Primeira_Ocorrencia]*tblDados[GM_V]^2))/G178-H178^2,0))</f>
        <v>1.1666666666666665</v>
      </c>
      <c r="Q178" s="10">
        <f t="shared" si="35"/>
        <v>1.0801234497346432</v>
      </c>
      <c r="R178" s="8" t="str">
        <f t="shared" si="36"/>
        <v>Poisson</v>
      </c>
      <c r="S178" s="10" cm="1">
        <f t="array" ref="S178">IF($A178="","",SUMPRODUCT((TRIM(tblDados[Mandante])=$A178)*tblDados[Primeira_Ocorrencia]*tblDados[GM_M]))</f>
        <v>4</v>
      </c>
      <c r="T178" s="10" cm="1">
        <f t="array" ref="T178">IF($A178="","",SUMPRODUCT((TRIM(tblDados[Visitante])=$A178)*tblDados[Primeira_Ocorrencia]*tblDados[GM_V]))</f>
        <v>8</v>
      </c>
      <c r="U178" s="10">
        <f t="shared" si="37"/>
        <v>12</v>
      </c>
      <c r="V178" s="10">
        <f t="shared" si="26"/>
        <v>1</v>
      </c>
      <c r="W178" s="10" cm="1">
        <f t="array" ref="W178">IF($A178="","",SUMPRODUCT((TRIM(tblDados[Mandante])=$A178)*tblDados[Primeira_Ocorrencia]*tblDados[GS_M]))</f>
        <v>7</v>
      </c>
      <c r="X178" s="10" cm="1">
        <f t="array" ref="X178">IF($A178="","",SUMPRODUCT((TRIM(tblDados[Visitante])=$A178)*tblDados[Primeira_Ocorrencia]*tblDados[GS_V]))</f>
        <v>8</v>
      </c>
      <c r="Y178" s="10">
        <f t="shared" si="38"/>
        <v>15</v>
      </c>
      <c r="Z178" s="10">
        <f t="shared" si="27"/>
        <v>1.25</v>
      </c>
      <c r="AA178" s="10">
        <f t="shared" si="28"/>
        <v>0.8</v>
      </c>
      <c r="AB178" s="10">
        <f t="shared" si="29"/>
        <v>1.4</v>
      </c>
      <c r="AC178" s="10">
        <f t="shared" si="30"/>
        <v>1.1428571428571428</v>
      </c>
      <c r="AD178" s="10">
        <f t="shared" si="31"/>
        <v>1.1428571428571428</v>
      </c>
    </row>
    <row r="179" spans="1:30" x14ac:dyDescent="0.3">
      <c r="A179" s="7" t="str">
        <v>Beijing Guoan</v>
      </c>
      <c r="B179" s="12" t="str" cm="1">
        <f t="array" ref="B179">IF($A179="","",_xlfn.LET(_xlpm.p,IFERROR(INDEX(tblDados[País],MATCH($A179,TRIM(tblDados[Mandante]),0)),INDEX(tblDados[País],MATCH($A179,TRIM(tblDados[Visitante]),0))),_xlpm.l,IFERROR(INDEX(tblDados[Liga],MATCH($A179,TRIM(tblDados[Mandante]),0)),INDEX(tblDados[Liga],MATCH($A179,TRIM(tblDados[Visitante]),0))),_xlpm.p&amp;" - "&amp;_xlpm.l))</f>
        <v>CHN - Super League</v>
      </c>
      <c r="C179" s="10">
        <f t="shared" si="32"/>
        <v>3.1111111111111112</v>
      </c>
      <c r="D179" s="10">
        <f t="shared" si="33"/>
        <v>3.666666666666667</v>
      </c>
      <c r="E179" s="9" cm="1">
        <f t="array" ref="E179">IF($A179="","",SUMPRODUCT((TRIM(tblDados[Mandante])=$A179)*tblDados[Primeira_Ocorrencia]))</f>
        <v>9</v>
      </c>
      <c r="F179" s="9" cm="1">
        <f t="array" ref="F179">IF($A179="","",SUMPRODUCT((TRIM(tblDados[Visitante])=$A179)*tblDados[Primeira_Ocorrencia]))</f>
        <v>3</v>
      </c>
      <c r="G179" s="9" cm="1">
        <f t="array" ref="G179">IF($A179="","",SUMPRODUCT((TRIM(tblDados[Mandante])=$A179)*tblDados[Primeira_Ocorrencia])+SUMPRODUCT((TRIM(tblDados[Visitante])=$A179)*tblDados[Primeira_Ocorrencia]))</f>
        <v>12</v>
      </c>
      <c r="H179" s="10">
        <f t="shared" si="34"/>
        <v>2.1666666666666665</v>
      </c>
      <c r="I179" s="10" cm="1">
        <f t="array" ref="I179">IF($A179="","",_xlfn.LET(_xlpm.p,IFERROR(INDEX(tblDados[País],MATCH($A179,TRIM(tblDados[Mandante]),0)),INDEX(tblDados[País],MATCH($A179,TRIM(tblDados[Visitante]),0))),_xlpm.l,IFERROR(INDEX(tblDados[Liga],MATCH($A179,TRIM(tblDados[Mandante]),0)),INDEX(tblDados[Liga],MATCH($A179,TRIM(tblDados[Visitante]),0))),IFERROR(SUMIFS(Ligas!$D$2:$D$39,Ligas!$H$2:$H$39,_xlpm.p,Ligas!$I$2:$I$39,_xlpm.l),0)))</f>
        <v>2.5</v>
      </c>
      <c r="J179" s="11" cm="1">
        <f t="array" ref="J179">IF($A179="","",IFERROR((SUMPRODUCT((TRIM(tblDados[Mandante])=$A179)*tblDados[Primeira_Ocorrencia]*(tblDados[GM_M]=0))+SUMPRODUCT((TRIM(tblDados[Visitante])=$A179)*tblDados[Primeira_Ocorrencia]*(tblDados[GM_V]=0)))/G179,0))</f>
        <v>0</v>
      </c>
      <c r="K179" s="11" cm="1">
        <f t="array" ref="K179">IF($A179="","",IFERROR((SUMPRODUCT((TRIM(tblDados[Mandante])=$A179)*tblDados[Primeira_Ocorrencia]*((tblDados[GM_M]+tblDados[GS_M])&gt;0.5))+SUMPRODUCT((TRIM(tblDados[Visitante])=$A179)*tblDados[Primeira_Ocorrencia]*((tblDados[GM_V]+tblDados[GS_V])&gt;0.5)))/G179,0))</f>
        <v>1</v>
      </c>
      <c r="L179" s="11" cm="1">
        <f t="array" ref="L179">IF($A179="","",IFERROR((SUMPRODUCT((TRIM(tblDados[Mandante])=$A179)*tblDados[Primeira_Ocorrencia]*((tblDados[GM_M]+tblDados[GS_M])&gt;1.5))+SUMPRODUCT((TRIM(tblDados[Visitante])=$A179)*tblDados[Primeira_Ocorrencia]*((tblDados[GM_V]+tblDados[GS_V])&gt;1.5)))/G179,0))</f>
        <v>0.91666666666666663</v>
      </c>
      <c r="M179" s="11" cm="1">
        <f t="array" ref="M179">IF($A179="","",IFERROR((SUMPRODUCT((TRIM(tblDados[Mandante])=$A179)*tblDados[Primeira_Ocorrencia]*((tblDados[GM_M]+tblDados[GS_M])&gt;2.5))+SUMPRODUCT((TRIM(tblDados[Visitante])=$A179)*tblDados[Primeira_Ocorrencia]*((tblDados[GM_V]+tblDados[GS_V])&gt;2.5)))/G179,0))</f>
        <v>0.66666666666666663</v>
      </c>
      <c r="N179" s="11" cm="1">
        <f t="array" ref="N179">IF($A179="","",IFERROR((SUMPRODUCT((TRIM(tblDados[Mandante])=$A179)*tblDados[Primeira_Ocorrencia]*((tblDados[GM_M]+tblDados[GS_M])&gt;3.5))+SUMPRODUCT((TRIM(tblDados[Visitante])=$A179)*tblDados[Primeira_Ocorrencia]*((tblDados[GM_V]+tblDados[GS_V])&gt;3.5)))/G179,0))</f>
        <v>0.41666666666666669</v>
      </c>
      <c r="O179" s="11" cm="1">
        <f t="array" ref="O179">IF($A179="","",IFERROR((SUMPRODUCT((TRIM(tblDados[Mandante])=$A179)*tblDados[Primeira_Ocorrencia]*(tblDados[GM_M]&gt;0)*(tblDados[GS_M]&gt;0))+SUMPRODUCT((TRIM(tblDados[Visitante])=$A179)*tblDados[Primeira_Ocorrencia]*(tblDados[GM_V]&gt;0)*(tblDados[GS_V]&gt;0)))/G179,0))</f>
        <v>0.66666666666666663</v>
      </c>
      <c r="P179" s="10" cm="1">
        <f t="array" ref="P179">IF($A179="","",IFERROR((SUMPRODUCT((TRIM(tblDados[Mandante])=$A179)*tblDados[Primeira_Ocorrencia]*tblDados[GM_M]^2)+SUMPRODUCT((TRIM(tblDados[Visitante])=$A179)*tblDados[Primeira_Ocorrencia]*tblDados[GM_V]^2))/G179-H179^2,0))</f>
        <v>1.1388888888888893</v>
      </c>
      <c r="Q179" s="10">
        <f t="shared" si="35"/>
        <v>1.0671873729054751</v>
      </c>
      <c r="R179" s="8" t="str">
        <f t="shared" si="36"/>
        <v>Poisson</v>
      </c>
      <c r="S179" s="10" cm="1">
        <f t="array" ref="S179">IF($A179="","",SUMPRODUCT((TRIM(tblDados[Mandante])=$A179)*tblDados[Primeira_Ocorrencia]*tblDados[GM_M]))</f>
        <v>20</v>
      </c>
      <c r="T179" s="10" cm="1">
        <f t="array" ref="T179">IF($A179="","",SUMPRODUCT((TRIM(tblDados[Visitante])=$A179)*tblDados[Primeira_Ocorrencia]*tblDados[GM_V]))</f>
        <v>6</v>
      </c>
      <c r="U179" s="10">
        <f t="shared" si="37"/>
        <v>26</v>
      </c>
      <c r="V179" s="10">
        <f t="shared" si="26"/>
        <v>2.1666666666666665</v>
      </c>
      <c r="W179" s="10" cm="1">
        <f t="array" ref="W179">IF($A179="","",SUMPRODUCT((TRIM(tblDados[Mandante])=$A179)*tblDados[Primeira_Ocorrencia]*tblDados[GS_M]))</f>
        <v>8</v>
      </c>
      <c r="X179" s="10" cm="1">
        <f t="array" ref="X179">IF($A179="","",SUMPRODUCT((TRIM(tblDados[Visitante])=$A179)*tblDados[Primeira_Ocorrencia]*tblDados[GS_V]))</f>
        <v>5</v>
      </c>
      <c r="Y179" s="10">
        <f t="shared" si="38"/>
        <v>13</v>
      </c>
      <c r="Z179" s="10">
        <f t="shared" si="27"/>
        <v>1.0833333333333333</v>
      </c>
      <c r="AA179" s="10">
        <f t="shared" si="28"/>
        <v>2.2222222222222223</v>
      </c>
      <c r="AB179" s="10">
        <f t="shared" si="29"/>
        <v>0.88888888888888884</v>
      </c>
      <c r="AC179" s="10">
        <f t="shared" si="30"/>
        <v>2</v>
      </c>
      <c r="AD179" s="10">
        <f t="shared" si="31"/>
        <v>1.6666666666666667</v>
      </c>
    </row>
    <row r="180" spans="1:30" x14ac:dyDescent="0.3">
      <c r="A180" s="7" t="str">
        <v>Bentleigh Greens</v>
      </c>
      <c r="B180" s="12" t="str" cm="1">
        <f t="array" ref="B180">IF($A180="","",_xlfn.LET(_xlpm.p,IFERROR(INDEX(tblDados[País],MATCH($A180,TRIM(tblDados[Mandante]),0)),INDEX(tblDados[País],MATCH($A180,TRIM(tblDados[Visitante]),0))),_xlpm.l,IFERROR(INDEX(tblDados[Liga],MATCH($A180,TRIM(tblDados[Mandante]),0)),INDEX(tblDados[Liga],MATCH($A180,TRIM(tblDados[Visitante]),0))),_xlpm.p&amp;" - "&amp;_xlpm.l))</f>
        <v>AUS - NPL Victoria</v>
      </c>
      <c r="C180" s="10">
        <f t="shared" si="32"/>
        <v>3.375</v>
      </c>
      <c r="D180" s="10">
        <f t="shared" si="33"/>
        <v>2.75</v>
      </c>
      <c r="E180" s="9" cm="1">
        <f t="array" ref="E180">IF($A180="","",SUMPRODUCT((TRIM(tblDados[Mandante])=$A180)*tblDados[Primeira_Ocorrencia]))</f>
        <v>8</v>
      </c>
      <c r="F180" s="9" cm="1">
        <f t="array" ref="F180">IF($A180="","",SUMPRODUCT((TRIM(tblDados[Visitante])=$A180)*tblDados[Primeira_Ocorrencia]))</f>
        <v>4</v>
      </c>
      <c r="G180" s="9" cm="1">
        <f t="array" ref="G180">IF($A180="","",SUMPRODUCT((TRIM(tblDados[Mandante])=$A180)*tblDados[Primeira_Ocorrencia])+SUMPRODUCT((TRIM(tblDados[Visitante])=$A180)*tblDados[Primeira_Ocorrencia]))</f>
        <v>12</v>
      </c>
      <c r="H180" s="10">
        <f t="shared" si="34"/>
        <v>0.58333333333333337</v>
      </c>
      <c r="I180" s="10" cm="1">
        <f t="array" ref="I180">IF($A180="","",_xlfn.LET(_xlpm.p,IFERROR(INDEX(tblDados[País],MATCH($A180,TRIM(tblDados[Mandante]),0)),INDEX(tblDados[País],MATCH($A180,TRIM(tblDados[Visitante]),0))),_xlpm.l,IFERROR(INDEX(tblDados[Liga],MATCH($A180,TRIM(tblDados[Mandante]),0)),INDEX(tblDados[Liga],MATCH($A180,TRIM(tblDados[Visitante]),0))),IFERROR(SUMIFS(Ligas!$D$2:$D$39,Ligas!$H$2:$H$39,_xlpm.p,Ligas!$I$2:$I$39,_xlpm.l),0)))</f>
        <v>2.89</v>
      </c>
      <c r="J180" s="11" cm="1">
        <f t="array" ref="J180">IF($A180="","",IFERROR((SUMPRODUCT((TRIM(tblDados[Mandante])=$A180)*tblDados[Primeira_Ocorrencia]*(tblDados[GM_M]=0))+SUMPRODUCT((TRIM(tblDados[Visitante])=$A180)*tblDados[Primeira_Ocorrencia]*(tblDados[GM_V]=0)))/G180,0))</f>
        <v>0.58333333333333337</v>
      </c>
      <c r="K180" s="11" cm="1">
        <f t="array" ref="K180">IF($A180="","",IFERROR((SUMPRODUCT((TRIM(tblDados[Mandante])=$A180)*tblDados[Primeira_Ocorrencia]*((tblDados[GM_M]+tblDados[GS_M])&gt;0.5))+SUMPRODUCT((TRIM(tblDados[Visitante])=$A180)*tblDados[Primeira_Ocorrencia]*((tblDados[GM_V]+tblDados[GS_V])&gt;0.5)))/G180,0))</f>
        <v>0.83333333333333337</v>
      </c>
      <c r="L180" s="11" cm="1">
        <f t="array" ref="L180">IF($A180="","",IFERROR((SUMPRODUCT((TRIM(tblDados[Mandante])=$A180)*tblDados[Primeira_Ocorrencia]*((tblDados[GM_M]+tblDados[GS_M])&gt;1.5))+SUMPRODUCT((TRIM(tblDados[Visitante])=$A180)*tblDados[Primeira_Ocorrencia]*((tblDados[GM_V]+tblDados[GS_V])&gt;1.5)))/G180,0))</f>
        <v>0.66666666666666663</v>
      </c>
      <c r="M180" s="11" cm="1">
        <f t="array" ref="M180">IF($A180="","",IFERROR((SUMPRODUCT((TRIM(tblDados[Mandante])=$A180)*tblDados[Primeira_Ocorrencia]*((tblDados[GM_M]+tblDados[GS_M])&gt;2.5))+SUMPRODUCT((TRIM(tblDados[Visitante])=$A180)*tblDados[Primeira_Ocorrencia]*((tblDados[GM_V]+tblDados[GS_V])&gt;2.5)))/G180,0))</f>
        <v>0.66666666666666663</v>
      </c>
      <c r="N180" s="11" cm="1">
        <f t="array" ref="N180">IF($A180="","",IFERROR((SUMPRODUCT((TRIM(tblDados[Mandante])=$A180)*tblDados[Primeira_Ocorrencia]*((tblDados[GM_M]+tblDados[GS_M])&gt;3.5))+SUMPRODUCT((TRIM(tblDados[Visitante])=$A180)*tblDados[Primeira_Ocorrencia]*((tblDados[GM_V]+tblDados[GS_V])&gt;3.5)))/G180,0))</f>
        <v>0.41666666666666669</v>
      </c>
      <c r="O180" s="11" cm="1">
        <f t="array" ref="O180">IF($A180="","",IFERROR((SUMPRODUCT((TRIM(tblDados[Mandante])=$A180)*tblDados[Primeira_Ocorrencia]*(tblDados[GM_M]&gt;0)*(tblDados[GS_M]&gt;0))+SUMPRODUCT((TRIM(tblDados[Visitante])=$A180)*tblDados[Primeira_Ocorrencia]*(tblDados[GM_V]&gt;0)*(tblDados[GS_V]&gt;0)))/G180,0))</f>
        <v>0.41666666666666669</v>
      </c>
      <c r="P180" s="10" cm="1">
        <f t="array" ref="P180">IF($A180="","",IFERROR((SUMPRODUCT((TRIM(tblDados[Mandante])=$A180)*tblDados[Primeira_Ocorrencia]*tblDados[GM_M]^2)+SUMPRODUCT((TRIM(tblDados[Visitante])=$A180)*tblDados[Primeira_Ocorrencia]*tblDados[GM_V]^2))/G180-H180^2,0))</f>
        <v>0.57638888888888884</v>
      </c>
      <c r="Q180" s="10">
        <f t="shared" si="35"/>
        <v>0.75920279826202486</v>
      </c>
      <c r="R180" s="8" t="str">
        <f t="shared" si="36"/>
        <v>Poisson</v>
      </c>
      <c r="S180" s="10" cm="1">
        <f t="array" ref="S180">IF($A180="","",SUMPRODUCT((TRIM(tblDados[Mandante])=$A180)*tblDados[Primeira_Ocorrencia]*tblDados[GM_M]))</f>
        <v>6</v>
      </c>
      <c r="T180" s="10" cm="1">
        <f t="array" ref="T180">IF($A180="","",SUMPRODUCT((TRIM(tblDados[Visitante])=$A180)*tblDados[Primeira_Ocorrencia]*tblDados[GM_V]))</f>
        <v>1</v>
      </c>
      <c r="U180" s="10">
        <f t="shared" si="37"/>
        <v>7</v>
      </c>
      <c r="V180" s="10">
        <f t="shared" si="26"/>
        <v>0.58333333333333337</v>
      </c>
      <c r="W180" s="10" cm="1">
        <f t="array" ref="W180">IF($A180="","",SUMPRODUCT((TRIM(tblDados[Mandante])=$A180)*tblDados[Primeira_Ocorrencia]*tblDados[GS_M]))</f>
        <v>21</v>
      </c>
      <c r="X180" s="10" cm="1">
        <f t="array" ref="X180">IF($A180="","",SUMPRODUCT((TRIM(tblDados[Visitante])=$A180)*tblDados[Primeira_Ocorrencia]*tblDados[GS_V]))</f>
        <v>10</v>
      </c>
      <c r="Y180" s="10">
        <f t="shared" si="38"/>
        <v>31</v>
      </c>
      <c r="Z180" s="10">
        <f t="shared" si="27"/>
        <v>2.5833333333333335</v>
      </c>
      <c r="AA180" s="10">
        <f t="shared" si="28"/>
        <v>0.75</v>
      </c>
      <c r="AB180" s="10">
        <f t="shared" si="29"/>
        <v>2.625</v>
      </c>
      <c r="AC180" s="10">
        <f t="shared" si="30"/>
        <v>0.25</v>
      </c>
      <c r="AD180" s="10">
        <f t="shared" si="31"/>
        <v>2.5</v>
      </c>
    </row>
    <row r="181" spans="1:30" x14ac:dyDescent="0.3">
      <c r="A181" s="7" t="str">
        <v>BK Astrio</v>
      </c>
      <c r="B181" s="12" t="str" cm="1">
        <f t="array" ref="B181">IF($A181="","",_xlfn.LET(_xlpm.p,IFERROR(INDEX(tblDados[País],MATCH($A181,TRIM(tblDados[Mandante]),0)),INDEX(tblDados[País],MATCH($A181,TRIM(tblDados[Visitante]),0))),_xlpm.l,IFERROR(INDEX(tblDados[Liga],MATCH($A181,TRIM(tblDados[Mandante]),0)),INDEX(tblDados[Liga],MATCH($A181,TRIM(tblDados[Visitante]),0))),_xlpm.p&amp;" - "&amp;_xlpm.l))</f>
        <v>SWE - 2ª D Västra Götaland</v>
      </c>
      <c r="C181" s="10">
        <f t="shared" si="32"/>
        <v>3.333333333333333</v>
      </c>
      <c r="D181" s="10">
        <f t="shared" si="33"/>
        <v>3.666666666666667</v>
      </c>
      <c r="E181" s="9" cm="1">
        <f t="array" ref="E181">IF($A181="","",SUMPRODUCT((TRIM(tblDados[Mandante])=$A181)*tblDados[Primeira_Ocorrencia]))</f>
        <v>6</v>
      </c>
      <c r="F181" s="9" cm="1">
        <f t="array" ref="F181">IF($A181="","",SUMPRODUCT((TRIM(tblDados[Visitante])=$A181)*tblDados[Primeira_Ocorrencia]))</f>
        <v>6</v>
      </c>
      <c r="G181" s="9" cm="1">
        <f t="array" ref="G181">IF($A181="","",SUMPRODUCT((TRIM(tblDados[Mandante])=$A181)*tblDados[Primeira_Ocorrencia])+SUMPRODUCT((TRIM(tblDados[Visitante])=$A181)*tblDados[Primeira_Ocorrencia]))</f>
        <v>12</v>
      </c>
      <c r="H181" s="10">
        <f t="shared" si="34"/>
        <v>0.75</v>
      </c>
      <c r="I181" s="10" cm="1">
        <f t="array" ref="I181">IF($A181="","",_xlfn.LET(_xlpm.p,IFERROR(INDEX(tblDados[País],MATCH($A181,TRIM(tblDados[Mandante]),0)),INDEX(tblDados[País],MATCH($A181,TRIM(tblDados[Visitante]),0))),_xlpm.l,IFERROR(INDEX(tblDados[Liga],MATCH($A181,TRIM(tblDados[Mandante]),0)),INDEX(tblDados[Liga],MATCH($A181,TRIM(tblDados[Visitante]),0))),IFERROR(SUMIFS(Ligas!$D$2:$D$39,Ligas!$H$2:$H$39,_xlpm.p,Ligas!$I$2:$I$39,_xlpm.l),0)))</f>
        <v>2.5</v>
      </c>
      <c r="J181" s="11" cm="1">
        <f t="array" ref="J181">IF($A181="","",IFERROR((SUMPRODUCT((TRIM(tblDados[Mandante])=$A181)*tblDados[Primeira_Ocorrencia]*(tblDados[GM_M]=0))+SUMPRODUCT((TRIM(tblDados[Visitante])=$A181)*tblDados[Primeira_Ocorrencia]*(tblDados[GM_V]=0)))/G181,0))</f>
        <v>0.5</v>
      </c>
      <c r="K181" s="11" cm="1">
        <f t="array" ref="K181">IF($A181="","",IFERROR((SUMPRODUCT((TRIM(tblDados[Mandante])=$A181)*tblDados[Primeira_Ocorrencia]*((tblDados[GM_M]+tblDados[GS_M])&gt;0.5))+SUMPRODUCT((TRIM(tblDados[Visitante])=$A181)*tblDados[Primeira_Ocorrencia]*((tblDados[GM_V]+tblDados[GS_V])&gt;0.5)))/G181,0))</f>
        <v>0.91666666666666663</v>
      </c>
      <c r="L181" s="11" cm="1">
        <f t="array" ref="L181">IF($A181="","",IFERROR((SUMPRODUCT((TRIM(tblDados[Mandante])=$A181)*tblDados[Primeira_Ocorrencia]*((tblDados[GM_M]+tblDados[GS_M])&gt;1.5))+SUMPRODUCT((TRIM(tblDados[Visitante])=$A181)*tblDados[Primeira_Ocorrencia]*((tblDados[GM_V]+tblDados[GS_V])&gt;1.5)))/G181,0))</f>
        <v>0.91666666666666663</v>
      </c>
      <c r="M181" s="11" cm="1">
        <f t="array" ref="M181">IF($A181="","",IFERROR((SUMPRODUCT((TRIM(tblDados[Mandante])=$A181)*tblDados[Primeira_Ocorrencia]*((tblDados[GM_M]+tblDados[GS_M])&gt;2.5))+SUMPRODUCT((TRIM(tblDados[Visitante])=$A181)*tblDados[Primeira_Ocorrencia]*((tblDados[GM_V]+tblDados[GS_V])&gt;2.5)))/G181,0))</f>
        <v>0.75</v>
      </c>
      <c r="N181" s="11" cm="1">
        <f t="array" ref="N181">IF($A181="","",IFERROR((SUMPRODUCT((TRIM(tblDados[Mandante])=$A181)*tblDados[Primeira_Ocorrencia]*((tblDados[GM_M]+tblDados[GS_M])&gt;3.5))+SUMPRODUCT((TRIM(tblDados[Visitante])=$A181)*tblDados[Primeira_Ocorrencia]*((tblDados[GM_V]+tblDados[GS_V])&gt;3.5)))/G181,0))</f>
        <v>0.41666666666666669</v>
      </c>
      <c r="O181" s="11" cm="1">
        <f t="array" ref="O181">IF($A181="","",IFERROR((SUMPRODUCT((TRIM(tblDados[Mandante])=$A181)*tblDados[Primeira_Ocorrencia]*(tblDados[GM_M]&gt;0)*(tblDados[GS_M]&gt;0))+SUMPRODUCT((TRIM(tblDados[Visitante])=$A181)*tblDados[Primeira_Ocorrencia]*(tblDados[GM_V]&gt;0)*(tblDados[GS_V]&gt;0)))/G181,0))</f>
        <v>0.5</v>
      </c>
      <c r="P181" s="10" cm="1">
        <f t="array" ref="P181">IF($A181="","",IFERROR((SUMPRODUCT((TRIM(tblDados[Mandante])=$A181)*tblDados[Primeira_Ocorrencia]*tblDados[GM_M]^2)+SUMPRODUCT((TRIM(tblDados[Visitante])=$A181)*tblDados[Primeira_Ocorrencia]*tblDados[GM_V]^2))/G181-H181^2,0))</f>
        <v>0.85416666666666674</v>
      </c>
      <c r="Q181" s="10">
        <f t="shared" si="35"/>
        <v>0.92421137553411814</v>
      </c>
      <c r="R181" s="8" t="str">
        <f t="shared" si="36"/>
        <v>Poisson</v>
      </c>
      <c r="S181" s="10" cm="1">
        <f t="array" ref="S181">IF($A181="","",SUMPRODUCT((TRIM(tblDados[Mandante])=$A181)*tblDados[Primeira_Ocorrencia]*tblDados[GM_M]))</f>
        <v>4</v>
      </c>
      <c r="T181" s="10" cm="1">
        <f t="array" ref="T181">IF($A181="","",SUMPRODUCT((TRIM(tblDados[Visitante])=$A181)*tblDados[Primeira_Ocorrencia]*tblDados[GM_V]))</f>
        <v>5</v>
      </c>
      <c r="U181" s="10">
        <f t="shared" si="37"/>
        <v>9</v>
      </c>
      <c r="V181" s="10">
        <f t="shared" si="26"/>
        <v>0.75</v>
      </c>
      <c r="W181" s="10" cm="1">
        <f t="array" ref="W181">IF($A181="","",SUMPRODUCT((TRIM(tblDados[Mandante])=$A181)*tblDados[Primeira_Ocorrencia]*tblDados[GS_M]))</f>
        <v>16</v>
      </c>
      <c r="X181" s="10" cm="1">
        <f t="array" ref="X181">IF($A181="","",SUMPRODUCT((TRIM(tblDados[Visitante])=$A181)*tblDados[Primeira_Ocorrencia]*tblDados[GS_V]))</f>
        <v>17</v>
      </c>
      <c r="Y181" s="10">
        <f t="shared" si="38"/>
        <v>33</v>
      </c>
      <c r="Z181" s="10">
        <f t="shared" si="27"/>
        <v>2.75</v>
      </c>
      <c r="AA181" s="10">
        <f t="shared" si="28"/>
        <v>0.66666666666666663</v>
      </c>
      <c r="AB181" s="10">
        <f t="shared" si="29"/>
        <v>2.6666666666666665</v>
      </c>
      <c r="AC181" s="10">
        <f t="shared" si="30"/>
        <v>0.83333333333333337</v>
      </c>
      <c r="AD181" s="10">
        <f t="shared" si="31"/>
        <v>2.8333333333333335</v>
      </c>
    </row>
    <row r="182" spans="1:30" x14ac:dyDescent="0.3">
      <c r="A182" s="7" t="str">
        <v>BK Häcken</v>
      </c>
      <c r="B182" s="12" t="str" cm="1">
        <f t="array" ref="B182">IF($A182="","",_xlfn.LET(_xlpm.p,IFERROR(INDEX(tblDados[País],MATCH($A182,TRIM(tblDados[Mandante]),0)),INDEX(tblDados[País],MATCH($A182,TRIM(tblDados[Visitante]),0))),_xlpm.l,IFERROR(INDEX(tblDados[Liga],MATCH($A182,TRIM(tblDados[Mandante]),0)),INDEX(tblDados[Liga],MATCH($A182,TRIM(tblDados[Visitante]),0))),_xlpm.p&amp;" - "&amp;_xlpm.l))</f>
        <v>SWE - Allsvenskan</v>
      </c>
      <c r="C182" s="10">
        <f t="shared" si="32"/>
        <v>3.6666666666666665</v>
      </c>
      <c r="D182" s="10">
        <f t="shared" si="33"/>
        <v>2.833333333333333</v>
      </c>
      <c r="E182" s="9" cm="1">
        <f t="array" ref="E182">IF($A182="","",SUMPRODUCT((TRIM(tblDados[Mandante])=$A182)*tblDados[Primeira_Ocorrencia]))</f>
        <v>6</v>
      </c>
      <c r="F182" s="9" cm="1">
        <f t="array" ref="F182">IF($A182="","",SUMPRODUCT((TRIM(tblDados[Visitante])=$A182)*tblDados[Primeira_Ocorrencia]))</f>
        <v>6</v>
      </c>
      <c r="G182" s="9" cm="1">
        <f t="array" ref="G182">IF($A182="","",SUMPRODUCT((TRIM(tblDados[Mandante])=$A182)*tblDados[Primeira_Ocorrencia])+SUMPRODUCT((TRIM(tblDados[Visitante])=$A182)*tblDados[Primeira_Ocorrencia]))</f>
        <v>12</v>
      </c>
      <c r="H182" s="10">
        <f t="shared" si="34"/>
        <v>1.5833333333333333</v>
      </c>
      <c r="I182" s="10" cm="1">
        <f t="array" ref="I182">IF($A182="","",_xlfn.LET(_xlpm.p,IFERROR(INDEX(tblDados[País],MATCH($A182,TRIM(tblDados[Mandante]),0)),INDEX(tblDados[País],MATCH($A182,TRIM(tblDados[Visitante]),0))),_xlpm.l,IFERROR(INDEX(tblDados[Liga],MATCH($A182,TRIM(tblDados[Mandante]),0)),INDEX(tblDados[Liga],MATCH($A182,TRIM(tblDados[Visitante]),0))),IFERROR(SUMIFS(Ligas!$D$2:$D$39,Ligas!$H$2:$H$39,_xlpm.p,Ligas!$I$2:$I$39,_xlpm.l),0)))</f>
        <v>2.5</v>
      </c>
      <c r="J182" s="11" cm="1">
        <f t="array" ref="J182">IF($A182="","",IFERROR((SUMPRODUCT((TRIM(tblDados[Mandante])=$A182)*tblDados[Primeira_Ocorrencia]*(tblDados[GM_M]=0))+SUMPRODUCT((TRIM(tblDados[Visitante])=$A182)*tblDados[Primeira_Ocorrencia]*(tblDados[GM_V]=0)))/G182,0))</f>
        <v>0.16666666666666666</v>
      </c>
      <c r="K182" s="11" cm="1">
        <f t="array" ref="K182">IF($A182="","",IFERROR((SUMPRODUCT((TRIM(tblDados[Mandante])=$A182)*tblDados[Primeira_Ocorrencia]*((tblDados[GM_M]+tblDados[GS_M])&gt;0.5))+SUMPRODUCT((TRIM(tblDados[Visitante])=$A182)*tblDados[Primeira_Ocorrencia]*((tblDados[GM_V]+tblDados[GS_V])&gt;0.5)))/G182,0))</f>
        <v>0.91666666666666663</v>
      </c>
      <c r="L182" s="11" cm="1">
        <f t="array" ref="L182">IF($A182="","",IFERROR((SUMPRODUCT((TRIM(tblDados[Mandante])=$A182)*tblDados[Primeira_Ocorrencia]*((tblDados[GM_M]+tblDados[GS_M])&gt;1.5))+SUMPRODUCT((TRIM(tblDados[Visitante])=$A182)*tblDados[Primeira_Ocorrencia]*((tblDados[GM_V]+tblDados[GS_V])&gt;1.5)))/G182,0))</f>
        <v>0.83333333333333337</v>
      </c>
      <c r="M182" s="11" cm="1">
        <f t="array" ref="M182">IF($A182="","",IFERROR((SUMPRODUCT((TRIM(tblDados[Mandante])=$A182)*tblDados[Primeira_Ocorrencia]*((tblDados[GM_M]+tblDados[GS_M])&gt;2.5))+SUMPRODUCT((TRIM(tblDados[Visitante])=$A182)*tblDados[Primeira_Ocorrencia]*((tblDados[GM_V]+tblDados[GS_V])&gt;2.5)))/G182,0))</f>
        <v>0.5</v>
      </c>
      <c r="N182" s="11" cm="1">
        <f t="array" ref="N182">IF($A182="","",IFERROR((SUMPRODUCT((TRIM(tblDados[Mandante])=$A182)*tblDados[Primeira_Ocorrencia]*((tblDados[GM_M]+tblDados[GS_M])&gt;3.5))+SUMPRODUCT((TRIM(tblDados[Visitante])=$A182)*tblDados[Primeira_Ocorrencia]*((tblDados[GM_V]+tblDados[GS_V])&gt;3.5)))/G182,0))</f>
        <v>0.41666666666666669</v>
      </c>
      <c r="O182" s="11" cm="1">
        <f t="array" ref="O182">IF($A182="","",IFERROR((SUMPRODUCT((TRIM(tblDados[Mandante])=$A182)*tblDados[Primeira_Ocorrencia]*(tblDados[GM_M]&gt;0)*(tblDados[GS_M]&gt;0))+SUMPRODUCT((TRIM(tblDados[Visitante])=$A182)*tblDados[Primeira_Ocorrencia]*(tblDados[GM_V]&gt;0)*(tblDados[GS_V]&gt;0)))/G182,0))</f>
        <v>0.66666666666666663</v>
      </c>
      <c r="P182" s="10" cm="1">
        <f t="array" ref="P182">IF($A182="","",IFERROR((SUMPRODUCT((TRIM(tblDados[Mandante])=$A182)*tblDados[Primeira_Ocorrencia]*tblDados[GM_M]^2)+SUMPRODUCT((TRIM(tblDados[Visitante])=$A182)*tblDados[Primeira_Ocorrencia]*tblDados[GM_V]^2))/G182-H182^2,0))</f>
        <v>1.0763888888888893</v>
      </c>
      <c r="Q182" s="10">
        <f t="shared" si="35"/>
        <v>1.0374916331657278</v>
      </c>
      <c r="R182" s="8" t="str">
        <f t="shared" si="36"/>
        <v>Poisson</v>
      </c>
      <c r="S182" s="10" cm="1">
        <f t="array" ref="S182">IF($A182="","",SUMPRODUCT((TRIM(tblDados[Mandante])=$A182)*tblDados[Primeira_Ocorrencia]*tblDados[GM_M]))</f>
        <v>11</v>
      </c>
      <c r="T182" s="10" cm="1">
        <f t="array" ref="T182">IF($A182="","",SUMPRODUCT((TRIM(tblDados[Visitante])=$A182)*tblDados[Primeira_Ocorrencia]*tblDados[GM_V]))</f>
        <v>8</v>
      </c>
      <c r="U182" s="10">
        <f t="shared" si="37"/>
        <v>19</v>
      </c>
      <c r="V182" s="10">
        <f t="shared" si="26"/>
        <v>1.5833333333333333</v>
      </c>
      <c r="W182" s="10" cm="1">
        <f t="array" ref="W182">IF($A182="","",SUMPRODUCT((TRIM(tblDados[Mandante])=$A182)*tblDados[Primeira_Ocorrencia]*tblDados[GS_M]))</f>
        <v>11</v>
      </c>
      <c r="X182" s="10" cm="1">
        <f t="array" ref="X182">IF($A182="","",SUMPRODUCT((TRIM(tblDados[Visitante])=$A182)*tblDados[Primeira_Ocorrencia]*tblDados[GS_V]))</f>
        <v>9</v>
      </c>
      <c r="Y182" s="10">
        <f t="shared" si="38"/>
        <v>20</v>
      </c>
      <c r="Z182" s="10">
        <f t="shared" si="27"/>
        <v>1.6666666666666667</v>
      </c>
      <c r="AA182" s="10">
        <f t="shared" si="28"/>
        <v>1.8333333333333333</v>
      </c>
      <c r="AB182" s="10">
        <f t="shared" si="29"/>
        <v>1.8333333333333333</v>
      </c>
      <c r="AC182" s="10">
        <f t="shared" si="30"/>
        <v>1.3333333333333333</v>
      </c>
      <c r="AD182" s="10">
        <f t="shared" si="31"/>
        <v>1.5</v>
      </c>
    </row>
    <row r="183" spans="1:30" x14ac:dyDescent="0.3">
      <c r="A183" s="7" t="str">
        <v>BK Olympic</v>
      </c>
      <c r="B183" s="12" t="str" cm="1">
        <f t="array" ref="B183">IF($A183="","",_xlfn.LET(_xlpm.p,IFERROR(INDEX(tblDados[País],MATCH($A183,TRIM(tblDados[Mandante]),0)),INDEX(tblDados[País],MATCH($A183,TRIM(tblDados[Visitante]),0))),_xlpm.l,IFERROR(INDEX(tblDados[Liga],MATCH($A183,TRIM(tblDados[Mandante]),0)),INDEX(tblDados[Liga],MATCH($A183,TRIM(tblDados[Visitante]),0))),_xlpm.p&amp;" - "&amp;_xlpm.l))</f>
        <v>SWE - 1ª D Södra</v>
      </c>
      <c r="C183" s="10">
        <f t="shared" si="32"/>
        <v>3.833333333333333</v>
      </c>
      <c r="D183" s="10">
        <f t="shared" si="33"/>
        <v>2.3333333333333335</v>
      </c>
      <c r="E183" s="9" cm="1">
        <f t="array" ref="E183">IF($A183="","",SUMPRODUCT((TRIM(tblDados[Mandante])=$A183)*tblDados[Primeira_Ocorrencia]))</f>
        <v>6</v>
      </c>
      <c r="F183" s="9" cm="1">
        <f t="array" ref="F183">IF($A183="","",SUMPRODUCT((TRIM(tblDados[Visitante])=$A183)*tblDados[Primeira_Ocorrencia]))</f>
        <v>6</v>
      </c>
      <c r="G183" s="9" cm="1">
        <f t="array" ref="G183">IF($A183="","",SUMPRODUCT((TRIM(tblDados[Mandante])=$A183)*tblDados[Primeira_Ocorrencia])+SUMPRODUCT((TRIM(tblDados[Visitante])=$A183)*tblDados[Primeira_Ocorrencia]))</f>
        <v>12</v>
      </c>
      <c r="H183" s="10">
        <f t="shared" si="34"/>
        <v>1.5</v>
      </c>
      <c r="I183" s="10" cm="1">
        <f t="array" ref="I183">IF($A183="","",_xlfn.LET(_xlpm.p,IFERROR(INDEX(tblDados[País],MATCH($A183,TRIM(tblDados[Mandante]),0)),INDEX(tblDados[País],MATCH($A183,TRIM(tblDados[Visitante]),0))),_xlpm.l,IFERROR(INDEX(tblDados[Liga],MATCH($A183,TRIM(tblDados[Mandante]),0)),INDEX(tblDados[Liga],MATCH($A183,TRIM(tblDados[Visitante]),0))),IFERROR(SUMIFS(Ligas!$D$2:$D$39,Ligas!$H$2:$H$39,_xlpm.p,Ligas!$I$2:$I$39,_xlpm.l),0)))</f>
        <v>2.5</v>
      </c>
      <c r="J183" s="11" cm="1">
        <f t="array" ref="J183">IF($A183="","",IFERROR((SUMPRODUCT((TRIM(tblDados[Mandante])=$A183)*tblDados[Primeira_Ocorrencia]*(tblDados[GM_M]=0))+SUMPRODUCT((TRIM(tblDados[Visitante])=$A183)*tblDados[Primeira_Ocorrencia]*(tblDados[GM_V]=0)))/G183,0))</f>
        <v>0.16666666666666666</v>
      </c>
      <c r="K183" s="11" cm="1">
        <f t="array" ref="K183">IF($A183="","",IFERROR((SUMPRODUCT((TRIM(tblDados[Mandante])=$A183)*tblDados[Primeira_Ocorrencia]*((tblDados[GM_M]+tblDados[GS_M])&gt;0.5))+SUMPRODUCT((TRIM(tblDados[Visitante])=$A183)*tblDados[Primeira_Ocorrencia]*((tblDados[GM_V]+tblDados[GS_V])&gt;0.5)))/G183,0))</f>
        <v>1</v>
      </c>
      <c r="L183" s="11" cm="1">
        <f t="array" ref="L183">IF($A183="","",IFERROR((SUMPRODUCT((TRIM(tblDados[Mandante])=$A183)*tblDados[Primeira_Ocorrencia]*((tblDados[GM_M]+tblDados[GS_M])&gt;1.5))+SUMPRODUCT((TRIM(tblDados[Visitante])=$A183)*tblDados[Primeira_Ocorrencia]*((tblDados[GM_V]+tblDados[GS_V])&gt;1.5)))/G183,0))</f>
        <v>0.91666666666666663</v>
      </c>
      <c r="M183" s="11" cm="1">
        <f t="array" ref="M183">IF($A183="","",IFERROR((SUMPRODUCT((TRIM(tblDados[Mandante])=$A183)*tblDados[Primeira_Ocorrencia]*((tblDados[GM_M]+tblDados[GS_M])&gt;2.5))+SUMPRODUCT((TRIM(tblDados[Visitante])=$A183)*tblDados[Primeira_Ocorrencia]*((tblDados[GM_V]+tblDados[GS_V])&gt;2.5)))/G183,0))</f>
        <v>0.66666666666666663</v>
      </c>
      <c r="N183" s="11" cm="1">
        <f t="array" ref="N183">IF($A183="","",IFERROR((SUMPRODUCT((TRIM(tblDados[Mandante])=$A183)*tblDados[Primeira_Ocorrencia]*((tblDados[GM_M]+tblDados[GS_M])&gt;3.5))+SUMPRODUCT((TRIM(tblDados[Visitante])=$A183)*tblDados[Primeira_Ocorrencia]*((tblDados[GM_V]+tblDados[GS_V])&gt;3.5)))/G183,0))</f>
        <v>0.33333333333333331</v>
      </c>
      <c r="O183" s="11" cm="1">
        <f t="array" ref="O183">IF($A183="","",IFERROR((SUMPRODUCT((TRIM(tblDados[Mandante])=$A183)*tblDados[Primeira_Ocorrencia]*(tblDados[GM_M]&gt;0)*(tblDados[GS_M]&gt;0))+SUMPRODUCT((TRIM(tblDados[Visitante])=$A183)*tblDados[Primeira_Ocorrencia]*(tblDados[GM_V]&gt;0)*(tblDados[GS_V]&gt;0)))/G183,0))</f>
        <v>0.75</v>
      </c>
      <c r="P183" s="10" cm="1">
        <f t="array" ref="P183">IF($A183="","",IFERROR((SUMPRODUCT((TRIM(tblDados[Mandante])=$A183)*tblDados[Primeira_Ocorrencia]*tblDados[GM_M]^2)+SUMPRODUCT((TRIM(tblDados[Visitante])=$A183)*tblDados[Primeira_Ocorrencia]*tblDados[GM_V]^2))/G183-H183^2,0))</f>
        <v>0.91666666666666652</v>
      </c>
      <c r="Q183" s="10">
        <f t="shared" si="35"/>
        <v>0.95742710775633799</v>
      </c>
      <c r="R183" s="8" t="str">
        <f t="shared" si="36"/>
        <v>Poisson</v>
      </c>
      <c r="S183" s="10" cm="1">
        <f t="array" ref="S183">IF($A183="","",SUMPRODUCT((TRIM(tblDados[Mandante])=$A183)*tblDados[Primeira_Ocorrencia]*tblDados[GM_M]))</f>
        <v>13</v>
      </c>
      <c r="T183" s="10" cm="1">
        <f t="array" ref="T183">IF($A183="","",SUMPRODUCT((TRIM(tblDados[Visitante])=$A183)*tblDados[Primeira_Ocorrencia]*tblDados[GM_V]))</f>
        <v>5</v>
      </c>
      <c r="U183" s="10">
        <f t="shared" si="37"/>
        <v>18</v>
      </c>
      <c r="V183" s="10">
        <f t="shared" si="26"/>
        <v>1.5</v>
      </c>
      <c r="W183" s="10" cm="1">
        <f t="array" ref="W183">IF($A183="","",SUMPRODUCT((TRIM(tblDados[Mandante])=$A183)*tblDados[Primeira_Ocorrencia]*tblDados[GS_M]))</f>
        <v>10</v>
      </c>
      <c r="X183" s="10" cm="1">
        <f t="array" ref="X183">IF($A183="","",SUMPRODUCT((TRIM(tblDados[Visitante])=$A183)*tblDados[Primeira_Ocorrencia]*tblDados[GS_V]))</f>
        <v>9</v>
      </c>
      <c r="Y183" s="10">
        <f t="shared" si="38"/>
        <v>19</v>
      </c>
      <c r="Z183" s="10">
        <f t="shared" si="27"/>
        <v>1.5833333333333333</v>
      </c>
      <c r="AA183" s="10">
        <f t="shared" si="28"/>
        <v>2.1666666666666665</v>
      </c>
      <c r="AB183" s="10">
        <f t="shared" si="29"/>
        <v>1.6666666666666667</v>
      </c>
      <c r="AC183" s="10">
        <f t="shared" si="30"/>
        <v>0.83333333333333337</v>
      </c>
      <c r="AD183" s="10">
        <f t="shared" si="31"/>
        <v>1.5</v>
      </c>
    </row>
    <row r="184" spans="1:30" x14ac:dyDescent="0.3">
      <c r="A184" s="7" t="str">
        <v>Blacktown City</v>
      </c>
      <c r="B184" s="12" t="str" cm="1">
        <f t="array" ref="B184">IF($A184="","",_xlfn.LET(_xlpm.p,IFERROR(INDEX(tblDados[País],MATCH($A184,TRIM(tblDados[Mandante]),0)),INDEX(tblDados[País],MATCH($A184,TRIM(tblDados[Visitante]),0))),_xlpm.l,IFERROR(INDEX(tblDados[Liga],MATCH($A184,TRIM(tblDados[Mandante]),0)),INDEX(tblDados[Liga],MATCH($A184,TRIM(tblDados[Visitante]),0))),_xlpm.p&amp;" - "&amp;_xlpm.l))</f>
        <v>AUS - NPL New South Wales</v>
      </c>
      <c r="C184" s="10">
        <f t="shared" si="32"/>
        <v>3</v>
      </c>
      <c r="D184" s="10">
        <f t="shared" si="33"/>
        <v>2.5</v>
      </c>
      <c r="E184" s="9" cm="1">
        <f t="array" ref="E184">IF($A184="","",SUMPRODUCT((TRIM(tblDados[Mandante])=$A184)*tblDados[Primeira_Ocorrencia]))</f>
        <v>6</v>
      </c>
      <c r="F184" s="9" cm="1">
        <f t="array" ref="F184">IF($A184="","",SUMPRODUCT((TRIM(tblDados[Visitante])=$A184)*tblDados[Primeira_Ocorrencia]))</f>
        <v>6</v>
      </c>
      <c r="G184" s="9" cm="1">
        <f t="array" ref="G184">IF($A184="","",SUMPRODUCT((TRIM(tblDados[Mandante])=$A184)*tblDados[Primeira_Ocorrencia])+SUMPRODUCT((TRIM(tblDados[Visitante])=$A184)*tblDados[Primeira_Ocorrencia]))</f>
        <v>12</v>
      </c>
      <c r="H184" s="10">
        <f t="shared" si="34"/>
        <v>1.4166666666666667</v>
      </c>
      <c r="I184" s="10" cm="1">
        <f t="array" ref="I184">IF($A184="","",_xlfn.LET(_xlpm.p,IFERROR(INDEX(tblDados[País],MATCH($A184,TRIM(tblDados[Mandante]),0)),INDEX(tblDados[País],MATCH($A184,TRIM(tblDados[Visitante]),0))),_xlpm.l,IFERROR(INDEX(tblDados[Liga],MATCH($A184,TRIM(tblDados[Mandante]),0)),INDEX(tblDados[Liga],MATCH($A184,TRIM(tblDados[Visitante]),0))),IFERROR(SUMIFS(Ligas!$D$2:$D$39,Ligas!$H$2:$H$39,_xlpm.p,Ligas!$I$2:$I$39,_xlpm.l),0)))</f>
        <v>3.61</v>
      </c>
      <c r="J184" s="11" cm="1">
        <f t="array" ref="J184">IF($A184="","",IFERROR((SUMPRODUCT((TRIM(tblDados[Mandante])=$A184)*tblDados[Primeira_Ocorrencia]*(tblDados[GM_M]=0))+SUMPRODUCT((TRIM(tblDados[Visitante])=$A184)*tblDados[Primeira_Ocorrencia]*(tblDados[GM_V]=0)))/G184,0))</f>
        <v>0.33333333333333331</v>
      </c>
      <c r="K184" s="11" cm="1">
        <f t="array" ref="K184">IF($A184="","",IFERROR((SUMPRODUCT((TRIM(tblDados[Mandante])=$A184)*tblDados[Primeira_Ocorrencia]*((tblDados[GM_M]+tblDados[GS_M])&gt;0.5))+SUMPRODUCT((TRIM(tblDados[Visitante])=$A184)*tblDados[Primeira_Ocorrencia]*((tblDados[GM_V]+tblDados[GS_V])&gt;0.5)))/G184,0))</f>
        <v>0.83333333333333337</v>
      </c>
      <c r="L184" s="11" cm="1">
        <f t="array" ref="L184">IF($A184="","",IFERROR((SUMPRODUCT((TRIM(tblDados[Mandante])=$A184)*tblDados[Primeira_Ocorrencia]*((tblDados[GM_M]+tblDados[GS_M])&gt;1.5))+SUMPRODUCT((TRIM(tblDados[Visitante])=$A184)*tblDados[Primeira_Ocorrencia]*((tblDados[GM_V]+tblDados[GS_V])&gt;1.5)))/G184,0))</f>
        <v>0.83333333333333337</v>
      </c>
      <c r="M184" s="11" cm="1">
        <f t="array" ref="M184">IF($A184="","",IFERROR((SUMPRODUCT((TRIM(tblDados[Mandante])=$A184)*tblDados[Primeira_Ocorrencia]*((tblDados[GM_M]+tblDados[GS_M])&gt;2.5))+SUMPRODUCT((TRIM(tblDados[Visitante])=$A184)*tblDados[Primeira_Ocorrencia]*((tblDados[GM_V]+tblDados[GS_V])&gt;2.5)))/G184,0))</f>
        <v>0.58333333333333337</v>
      </c>
      <c r="N184" s="11" cm="1">
        <f t="array" ref="N184">IF($A184="","",IFERROR((SUMPRODUCT((TRIM(tblDados[Mandante])=$A184)*tblDados[Primeira_Ocorrencia]*((tblDados[GM_M]+tblDados[GS_M])&gt;3.5))+SUMPRODUCT((TRIM(tblDados[Visitante])=$A184)*tblDados[Primeira_Ocorrencia]*((tblDados[GM_V]+tblDados[GS_V])&gt;3.5)))/G184,0))</f>
        <v>0.33333333333333331</v>
      </c>
      <c r="O184" s="11" cm="1">
        <f t="array" ref="O184">IF($A184="","",IFERROR((SUMPRODUCT((TRIM(tblDados[Mandante])=$A184)*tblDados[Primeira_Ocorrencia]*(tblDados[GM_M]&gt;0)*(tblDados[GS_M]&gt;0))+SUMPRODUCT((TRIM(tblDados[Visitante])=$A184)*tblDados[Primeira_Ocorrencia]*(tblDados[GM_V]&gt;0)*(tblDados[GS_V]&gt;0)))/G184,0))</f>
        <v>0.5</v>
      </c>
      <c r="P184" s="10" cm="1">
        <f t="array" ref="P184">IF($A184="","",IFERROR((SUMPRODUCT((TRIM(tblDados[Mandante])=$A184)*tblDados[Primeira_Ocorrencia]*tblDados[GM_M]^2)+SUMPRODUCT((TRIM(tblDados[Visitante])=$A184)*tblDados[Primeira_Ocorrencia]*tblDados[GM_V]^2))/G184-H184^2,0))</f>
        <v>1.7430555555555554</v>
      </c>
      <c r="Q184" s="10">
        <f t="shared" si="35"/>
        <v>1.3202482931462383</v>
      </c>
      <c r="R184" s="8" t="str">
        <f t="shared" si="36"/>
        <v>Poisson</v>
      </c>
      <c r="S184" s="10" cm="1">
        <f t="array" ref="S184">IF($A184="","",SUMPRODUCT((TRIM(tblDados[Mandante])=$A184)*tblDados[Primeira_Ocorrencia]*tblDados[GM_M]))</f>
        <v>9</v>
      </c>
      <c r="T184" s="10" cm="1">
        <f t="array" ref="T184">IF($A184="","",SUMPRODUCT((TRIM(tblDados[Visitante])=$A184)*tblDados[Primeira_Ocorrencia]*tblDados[GM_V]))</f>
        <v>8</v>
      </c>
      <c r="U184" s="10">
        <f t="shared" si="37"/>
        <v>17</v>
      </c>
      <c r="V184" s="10">
        <f t="shared" si="26"/>
        <v>1.4166666666666667</v>
      </c>
      <c r="W184" s="10" cm="1">
        <f t="array" ref="W184">IF($A184="","",SUMPRODUCT((TRIM(tblDados[Mandante])=$A184)*tblDados[Primeira_Ocorrencia]*tblDados[GS_M]))</f>
        <v>9</v>
      </c>
      <c r="X184" s="10" cm="1">
        <f t="array" ref="X184">IF($A184="","",SUMPRODUCT((TRIM(tblDados[Visitante])=$A184)*tblDados[Primeira_Ocorrencia]*tblDados[GS_V]))</f>
        <v>7</v>
      </c>
      <c r="Y184" s="10">
        <f t="shared" si="38"/>
        <v>16</v>
      </c>
      <c r="Z184" s="10">
        <f t="shared" si="27"/>
        <v>1.3333333333333333</v>
      </c>
      <c r="AA184" s="10">
        <f t="shared" si="28"/>
        <v>1.5</v>
      </c>
      <c r="AB184" s="10">
        <f t="shared" si="29"/>
        <v>1.5</v>
      </c>
      <c r="AC184" s="10">
        <f t="shared" si="30"/>
        <v>1.3333333333333333</v>
      </c>
      <c r="AD184" s="10">
        <f t="shared" si="31"/>
        <v>1.1666666666666667</v>
      </c>
    </row>
    <row r="185" spans="1:30" x14ac:dyDescent="0.3">
      <c r="A185" s="7" t="str">
        <v>Botafogo-PB</v>
      </c>
      <c r="B185" s="12" t="str" cm="1">
        <f t="array" ref="B185">IF($A185="","",_xlfn.LET(_xlpm.p,IFERROR(INDEX(tblDados[País],MATCH($A185,TRIM(tblDados[Mandante]),0)),INDEX(tblDados[País],MATCH($A185,TRIM(tblDados[Visitante]),0))),_xlpm.l,IFERROR(INDEX(tblDados[Liga],MATCH($A185,TRIM(tblDados[Mandante]),0)),INDEX(tblDados[Liga],MATCH($A185,TRIM(tblDados[Visitante]),0))),_xlpm.p&amp;" - "&amp;_xlpm.l))</f>
        <v>BRA - Série C</v>
      </c>
      <c r="C185" s="10">
        <f t="shared" si="32"/>
        <v>2.3333333333333335</v>
      </c>
      <c r="D185" s="10">
        <f t="shared" si="33"/>
        <v>3</v>
      </c>
      <c r="E185" s="9" cm="1">
        <f t="array" ref="E185">IF($A185="","",SUMPRODUCT((TRIM(tblDados[Mandante])=$A185)*tblDados[Primeira_Ocorrencia]))</f>
        <v>6</v>
      </c>
      <c r="F185" s="9" cm="1">
        <f t="array" ref="F185">IF($A185="","",SUMPRODUCT((TRIM(tblDados[Visitante])=$A185)*tblDados[Primeira_Ocorrencia]))</f>
        <v>6</v>
      </c>
      <c r="G185" s="9" cm="1">
        <f t="array" ref="G185">IF($A185="","",SUMPRODUCT((TRIM(tblDados[Mandante])=$A185)*tblDados[Primeira_Ocorrencia])+SUMPRODUCT((TRIM(tblDados[Visitante])=$A185)*tblDados[Primeira_Ocorrencia]))</f>
        <v>12</v>
      </c>
      <c r="H185" s="10">
        <f t="shared" si="34"/>
        <v>1.5</v>
      </c>
      <c r="I185" s="10" cm="1">
        <f t="array" ref="I185">IF($A185="","",_xlfn.LET(_xlpm.p,IFERROR(INDEX(tblDados[País],MATCH($A185,TRIM(tblDados[Mandante]),0)),INDEX(tblDados[País],MATCH($A185,TRIM(tblDados[Visitante]),0))),_xlpm.l,IFERROR(INDEX(tblDados[Liga],MATCH($A185,TRIM(tblDados[Mandante]),0)),INDEX(tblDados[Liga],MATCH($A185,TRIM(tblDados[Visitante]),0))),IFERROR(SUMIFS(Ligas!$D$2:$D$39,Ligas!$H$2:$H$39,_xlpm.p,Ligas!$I$2:$I$39,_xlpm.l),0)))</f>
        <v>2.09</v>
      </c>
      <c r="J185" s="11" cm="1">
        <f t="array" ref="J185">IF($A185="","",IFERROR((SUMPRODUCT((TRIM(tblDados[Mandante])=$A185)*tblDados[Primeira_Ocorrencia]*(tblDados[GM_M]=0))+SUMPRODUCT((TRIM(tblDados[Visitante])=$A185)*tblDados[Primeira_Ocorrencia]*(tblDados[GM_V]=0)))/G185,0))</f>
        <v>0.16666666666666666</v>
      </c>
      <c r="K185" s="11" cm="1">
        <f t="array" ref="K185">IF($A185="","",IFERROR((SUMPRODUCT((TRIM(tblDados[Mandante])=$A185)*tblDados[Primeira_Ocorrencia]*((tblDados[GM_M]+tblDados[GS_M])&gt;0.5))+SUMPRODUCT((TRIM(tblDados[Visitante])=$A185)*tblDados[Primeira_Ocorrencia]*((tblDados[GM_V]+tblDados[GS_V])&gt;0.5)))/G185,0))</f>
        <v>1</v>
      </c>
      <c r="L185" s="11" cm="1">
        <f t="array" ref="L185">IF($A185="","",IFERROR((SUMPRODUCT((TRIM(tblDados[Mandante])=$A185)*tblDados[Primeira_Ocorrencia]*((tblDados[GM_M]+tblDados[GS_M])&gt;1.5))+SUMPRODUCT((TRIM(tblDados[Visitante])=$A185)*tblDados[Primeira_Ocorrencia]*((tblDados[GM_V]+tblDados[GS_V])&gt;1.5)))/G185,0))</f>
        <v>0.83333333333333337</v>
      </c>
      <c r="M185" s="11" cm="1">
        <f t="array" ref="M185">IF($A185="","",IFERROR((SUMPRODUCT((TRIM(tblDados[Mandante])=$A185)*tblDados[Primeira_Ocorrencia]*((tblDados[GM_M]+tblDados[GS_M])&gt;2.5))+SUMPRODUCT((TRIM(tblDados[Visitante])=$A185)*tblDados[Primeira_Ocorrencia]*((tblDados[GM_V]+tblDados[GS_V])&gt;2.5)))/G185,0))</f>
        <v>0.41666666666666669</v>
      </c>
      <c r="N185" s="11" cm="1">
        <f t="array" ref="N185">IF($A185="","",IFERROR((SUMPRODUCT((TRIM(tblDados[Mandante])=$A185)*tblDados[Primeira_Ocorrencia]*((tblDados[GM_M]+tblDados[GS_M])&gt;3.5))+SUMPRODUCT((TRIM(tblDados[Visitante])=$A185)*tblDados[Primeira_Ocorrencia]*((tblDados[GM_V]+tblDados[GS_V])&gt;3.5)))/G185,0))</f>
        <v>0.25</v>
      </c>
      <c r="O185" s="11" cm="1">
        <f t="array" ref="O185">IF($A185="","",IFERROR((SUMPRODUCT((TRIM(tblDados[Mandante])=$A185)*tblDados[Primeira_Ocorrencia]*(tblDados[GM_M]&gt;0)*(tblDados[GS_M]&gt;0))+SUMPRODUCT((TRIM(tblDados[Visitante])=$A185)*tblDados[Primeira_Ocorrencia]*(tblDados[GM_V]&gt;0)*(tblDados[GS_V]&gt;0)))/G185,0))</f>
        <v>0.5</v>
      </c>
      <c r="P185" s="10" cm="1">
        <f t="array" ref="P185">IF($A185="","",IFERROR((SUMPRODUCT((TRIM(tblDados[Mandante])=$A185)*tblDados[Primeira_Ocorrencia]*tblDados[GM_M]^2)+SUMPRODUCT((TRIM(tblDados[Visitante])=$A185)*tblDados[Primeira_Ocorrencia]*tblDados[GM_V]^2))/G185-H185^2,0))</f>
        <v>0.58333333333333348</v>
      </c>
      <c r="Q185" s="10">
        <f t="shared" si="35"/>
        <v>0.76376261582597338</v>
      </c>
      <c r="R185" s="8" t="str">
        <f t="shared" si="36"/>
        <v>Poisson</v>
      </c>
      <c r="S185" s="10" cm="1">
        <f t="array" ref="S185">IF($A185="","",SUMPRODUCT((TRIM(tblDados[Mandante])=$A185)*tblDados[Primeira_Ocorrencia]*tblDados[GM_M]))</f>
        <v>10</v>
      </c>
      <c r="T185" s="10" cm="1">
        <f t="array" ref="T185">IF($A185="","",SUMPRODUCT((TRIM(tblDados[Visitante])=$A185)*tblDados[Primeira_Ocorrencia]*tblDados[GM_V]))</f>
        <v>8</v>
      </c>
      <c r="U185" s="10">
        <f t="shared" si="37"/>
        <v>18</v>
      </c>
      <c r="V185" s="10">
        <f t="shared" si="26"/>
        <v>1.5</v>
      </c>
      <c r="W185" s="10" cm="1">
        <f t="array" ref="W185">IF($A185="","",SUMPRODUCT((TRIM(tblDados[Mandante])=$A185)*tblDados[Primeira_Ocorrencia]*tblDados[GS_M]))</f>
        <v>4</v>
      </c>
      <c r="X185" s="10" cm="1">
        <f t="array" ref="X185">IF($A185="","",SUMPRODUCT((TRIM(tblDados[Visitante])=$A185)*tblDados[Primeira_Ocorrencia]*tblDados[GS_V]))</f>
        <v>10</v>
      </c>
      <c r="Y185" s="10">
        <f t="shared" si="38"/>
        <v>14</v>
      </c>
      <c r="Z185" s="10">
        <f t="shared" si="27"/>
        <v>1.1666666666666667</v>
      </c>
      <c r="AA185" s="10">
        <f t="shared" si="28"/>
        <v>1.6666666666666667</v>
      </c>
      <c r="AB185" s="10">
        <f t="shared" si="29"/>
        <v>0.66666666666666663</v>
      </c>
      <c r="AC185" s="10">
        <f t="shared" si="30"/>
        <v>1.3333333333333333</v>
      </c>
      <c r="AD185" s="10">
        <f t="shared" si="31"/>
        <v>1.6666666666666667</v>
      </c>
    </row>
    <row r="186" spans="1:30" x14ac:dyDescent="0.3">
      <c r="A186" s="7" t="str">
        <v>Botafogo-RJ</v>
      </c>
      <c r="B186" s="12" t="str" cm="1">
        <f t="array" ref="B186">IF($A186="","",_xlfn.LET(_xlpm.p,IFERROR(INDEX(tblDados[País],MATCH($A186,TRIM(tblDados[Mandante]),0)),INDEX(tblDados[País],MATCH($A186,TRIM(tblDados[Visitante]),0))),_xlpm.l,IFERROR(INDEX(tblDados[Liga],MATCH($A186,TRIM(tblDados[Mandante]),0)),INDEX(tblDados[Liga],MATCH($A186,TRIM(tblDados[Visitante]),0))),_xlpm.p&amp;" - "&amp;_xlpm.l))</f>
        <v>BRA - Série A</v>
      </c>
      <c r="C186" s="10">
        <f t="shared" si="32"/>
        <v>3</v>
      </c>
      <c r="D186" s="10">
        <f t="shared" si="33"/>
        <v>2.666666666666667</v>
      </c>
      <c r="E186" s="9" cm="1">
        <f t="array" ref="E186">IF($A186="","",SUMPRODUCT((TRIM(tblDados[Mandante])=$A186)*tblDados[Primeira_Ocorrencia]))</f>
        <v>6</v>
      </c>
      <c r="F186" s="9" cm="1">
        <f t="array" ref="F186">IF($A186="","",SUMPRODUCT((TRIM(tblDados[Visitante])=$A186)*tblDados[Primeira_Ocorrencia]))</f>
        <v>6</v>
      </c>
      <c r="G186" s="9" cm="1">
        <f t="array" ref="G186">IF($A186="","",SUMPRODUCT((TRIM(tblDados[Mandante])=$A186)*tblDados[Primeira_Ocorrencia])+SUMPRODUCT((TRIM(tblDados[Visitante])=$A186)*tblDados[Primeira_Ocorrencia]))</f>
        <v>12</v>
      </c>
      <c r="H186" s="10">
        <f t="shared" si="34"/>
        <v>1.6666666666666667</v>
      </c>
      <c r="I186" s="10" cm="1">
        <f t="array" ref="I186">IF($A186="","",_xlfn.LET(_xlpm.p,IFERROR(INDEX(tblDados[País],MATCH($A186,TRIM(tblDados[Mandante]),0)),INDEX(tblDados[País],MATCH($A186,TRIM(tblDados[Visitante]),0))),_xlpm.l,IFERROR(INDEX(tblDados[Liga],MATCH($A186,TRIM(tblDados[Mandante]),0)),INDEX(tblDados[Liga],MATCH($A186,TRIM(tblDados[Visitante]),0))),IFERROR(SUMIFS(Ligas!$D$2:$D$39,Ligas!$H$2:$H$39,_xlpm.p,Ligas!$I$2:$I$39,_xlpm.l),0)))</f>
        <v>2.59</v>
      </c>
      <c r="J186" s="11" cm="1">
        <f t="array" ref="J186">IF($A186="","",IFERROR((SUMPRODUCT((TRIM(tblDados[Mandante])=$A186)*tblDados[Primeira_Ocorrencia]*(tblDados[GM_M]=0))+SUMPRODUCT((TRIM(tblDados[Visitante])=$A186)*tblDados[Primeira_Ocorrencia]*(tblDados[GM_V]=0)))/G186,0))</f>
        <v>8.3333333333333329E-2</v>
      </c>
      <c r="K186" s="11" cm="1">
        <f t="array" ref="K186">IF($A186="","",IFERROR((SUMPRODUCT((TRIM(tblDados[Mandante])=$A186)*tblDados[Primeira_Ocorrencia]*((tblDados[GM_M]+tblDados[GS_M])&gt;0.5))+SUMPRODUCT((TRIM(tblDados[Visitante])=$A186)*tblDados[Primeira_Ocorrencia]*((tblDados[GM_V]+tblDados[GS_V])&gt;0.5)))/G186,0))</f>
        <v>0.91666666666666663</v>
      </c>
      <c r="L186" s="11" cm="1">
        <f t="array" ref="L186">IF($A186="","",IFERROR((SUMPRODUCT((TRIM(tblDados[Mandante])=$A186)*tblDados[Primeira_Ocorrencia]*((tblDados[GM_M]+tblDados[GS_M])&gt;1.5))+SUMPRODUCT((TRIM(tblDados[Visitante])=$A186)*tblDados[Primeira_Ocorrencia]*((tblDados[GM_V]+tblDados[GS_V])&gt;1.5)))/G186,0))</f>
        <v>0.83333333333333337</v>
      </c>
      <c r="M186" s="11" cm="1">
        <f t="array" ref="M186">IF($A186="","",IFERROR((SUMPRODUCT((TRIM(tblDados[Mandante])=$A186)*tblDados[Primeira_Ocorrencia]*((tblDados[GM_M]+tblDados[GS_M])&gt;2.5))+SUMPRODUCT((TRIM(tblDados[Visitante])=$A186)*tblDados[Primeira_Ocorrencia]*((tblDados[GM_V]+tblDados[GS_V])&gt;2.5)))/G186,0))</f>
        <v>0.66666666666666663</v>
      </c>
      <c r="N186" s="11" cm="1">
        <f t="array" ref="N186">IF($A186="","",IFERROR((SUMPRODUCT((TRIM(tblDados[Mandante])=$A186)*tblDados[Primeira_Ocorrencia]*((tblDados[GM_M]+tblDados[GS_M])&gt;3.5))+SUMPRODUCT((TRIM(tblDados[Visitante])=$A186)*tblDados[Primeira_Ocorrencia]*((tblDados[GM_V]+tblDados[GS_V])&gt;3.5)))/G186,0))</f>
        <v>0.33333333333333331</v>
      </c>
      <c r="O186" s="11" cm="1">
        <f t="array" ref="O186">IF($A186="","",IFERROR((SUMPRODUCT((TRIM(tblDados[Mandante])=$A186)*tblDados[Primeira_Ocorrencia]*(tblDados[GM_M]&gt;0)*(tblDados[GS_M]&gt;0))+SUMPRODUCT((TRIM(tblDados[Visitante])=$A186)*tblDados[Primeira_Ocorrencia]*(tblDados[GM_V]&gt;0)*(tblDados[GS_V]&gt;0)))/G186,0))</f>
        <v>0.83333333333333337</v>
      </c>
      <c r="P186" s="10" cm="1">
        <f t="array" ref="P186">IF($A186="","",IFERROR((SUMPRODUCT((TRIM(tblDados[Mandante])=$A186)*tblDados[Primeira_Ocorrencia]*tblDados[GM_M]^2)+SUMPRODUCT((TRIM(tblDados[Visitante])=$A186)*tblDados[Primeira_Ocorrencia]*tblDados[GM_V]^2))/G186-H186^2,0))</f>
        <v>1.0555555555555554</v>
      </c>
      <c r="Q186" s="10">
        <f t="shared" si="35"/>
        <v>1.0274023338281626</v>
      </c>
      <c r="R186" s="8" t="str">
        <f t="shared" si="36"/>
        <v>Poisson</v>
      </c>
      <c r="S186" s="10" cm="1">
        <f t="array" ref="S186">IF($A186="","",SUMPRODUCT((TRIM(tblDados[Mandante])=$A186)*tblDados[Primeira_Ocorrencia]*tblDados[GM_M]))</f>
        <v>10</v>
      </c>
      <c r="T186" s="10" cm="1">
        <f t="array" ref="T186">IF($A186="","",SUMPRODUCT((TRIM(tblDados[Visitante])=$A186)*tblDados[Primeira_Ocorrencia]*tblDados[GM_V]))</f>
        <v>10</v>
      </c>
      <c r="U186" s="10">
        <f t="shared" si="37"/>
        <v>20</v>
      </c>
      <c r="V186" s="10">
        <f t="shared" si="26"/>
        <v>1.6666666666666667</v>
      </c>
      <c r="W186" s="10" cm="1">
        <f t="array" ref="W186">IF($A186="","",SUMPRODUCT((TRIM(tblDados[Mandante])=$A186)*tblDados[Primeira_Ocorrencia]*tblDados[GS_M]))</f>
        <v>8</v>
      </c>
      <c r="X186" s="10" cm="1">
        <f t="array" ref="X186">IF($A186="","",SUMPRODUCT((TRIM(tblDados[Visitante])=$A186)*tblDados[Primeira_Ocorrencia]*tblDados[GS_V]))</f>
        <v>6</v>
      </c>
      <c r="Y186" s="10">
        <f t="shared" si="38"/>
        <v>14</v>
      </c>
      <c r="Z186" s="10">
        <f t="shared" si="27"/>
        <v>1.1666666666666667</v>
      </c>
      <c r="AA186" s="10">
        <f t="shared" si="28"/>
        <v>1.6666666666666667</v>
      </c>
      <c r="AB186" s="10">
        <f t="shared" si="29"/>
        <v>1.3333333333333333</v>
      </c>
      <c r="AC186" s="10">
        <f t="shared" si="30"/>
        <v>1.6666666666666667</v>
      </c>
      <c r="AD186" s="10">
        <f t="shared" si="31"/>
        <v>1</v>
      </c>
    </row>
    <row r="187" spans="1:30" x14ac:dyDescent="0.3">
      <c r="A187" s="7" t="str">
        <v>Breidablik</v>
      </c>
      <c r="B187" s="12" t="str" cm="1">
        <f t="array" ref="B187">IF($A187="","",_xlfn.LET(_xlpm.p,IFERROR(INDEX(tblDados[País],MATCH($A187,TRIM(tblDados[Mandante]),0)),INDEX(tblDados[País],MATCH($A187,TRIM(tblDados[Visitante]),0))),_xlpm.l,IFERROR(INDEX(tblDados[Liga],MATCH($A187,TRIM(tblDados[Mandante]),0)),INDEX(tblDados[Liga],MATCH($A187,TRIM(tblDados[Visitante]),0))),_xlpm.p&amp;" - "&amp;_xlpm.l))</f>
        <v>ISL - Besta-deild karla (PL)</v>
      </c>
      <c r="C187" s="10">
        <f t="shared" si="32"/>
        <v>4.3333333333333339</v>
      </c>
      <c r="D187" s="10">
        <f t="shared" si="33"/>
        <v>4</v>
      </c>
      <c r="E187" s="9" cm="1">
        <f t="array" ref="E187">IF($A187="","",SUMPRODUCT((TRIM(tblDados[Mandante])=$A187)*tblDados[Primeira_Ocorrencia]))</f>
        <v>6</v>
      </c>
      <c r="F187" s="9" cm="1">
        <f t="array" ref="F187">IF($A187="","",SUMPRODUCT((TRIM(tblDados[Visitante])=$A187)*tblDados[Primeira_Ocorrencia]))</f>
        <v>6</v>
      </c>
      <c r="G187" s="9" cm="1">
        <f t="array" ref="G187">IF($A187="","",SUMPRODUCT((TRIM(tblDados[Mandante])=$A187)*tblDados[Primeira_Ocorrencia])+SUMPRODUCT((TRIM(tblDados[Visitante])=$A187)*tblDados[Primeira_Ocorrencia]))</f>
        <v>12</v>
      </c>
      <c r="H187" s="10">
        <f t="shared" si="34"/>
        <v>2.0833333333333335</v>
      </c>
      <c r="I187" s="10" cm="1">
        <f t="array" ref="I187">IF($A187="","",_xlfn.LET(_xlpm.p,IFERROR(INDEX(tblDados[País],MATCH($A187,TRIM(tblDados[Mandante]),0)),INDEX(tblDados[País],MATCH($A187,TRIM(tblDados[Visitante]),0))),_xlpm.l,IFERROR(INDEX(tblDados[Liga],MATCH($A187,TRIM(tblDados[Mandante]),0)),INDEX(tblDados[Liga],MATCH($A187,TRIM(tblDados[Visitante]),0))),IFERROR(SUMIFS(Ligas!$D$2:$D$39,Ligas!$H$2:$H$39,_xlpm.p,Ligas!$I$2:$I$39,_xlpm.l),0)))</f>
        <v>2.5</v>
      </c>
      <c r="J187" s="11" cm="1">
        <f t="array" ref="J187">IF($A187="","",IFERROR((SUMPRODUCT((TRIM(tblDados[Mandante])=$A187)*tblDados[Primeira_Ocorrencia]*(tblDados[GM_M]=0))+SUMPRODUCT((TRIM(tblDados[Visitante])=$A187)*tblDados[Primeira_Ocorrencia]*(tblDados[GM_V]=0)))/G187,0))</f>
        <v>0.16666666666666666</v>
      </c>
      <c r="K187" s="11" cm="1">
        <f t="array" ref="K187">IF($A187="","",IFERROR((SUMPRODUCT((TRIM(tblDados[Mandante])=$A187)*tblDados[Primeira_Ocorrencia]*((tblDados[GM_M]+tblDados[GS_M])&gt;0.5))+SUMPRODUCT((TRIM(tblDados[Visitante])=$A187)*tblDados[Primeira_Ocorrencia]*((tblDados[GM_V]+tblDados[GS_V])&gt;0.5)))/G187,0))</f>
        <v>0.91666666666666663</v>
      </c>
      <c r="L187" s="11" cm="1">
        <f t="array" ref="L187">IF($A187="","",IFERROR((SUMPRODUCT((TRIM(tblDados[Mandante])=$A187)*tblDados[Primeira_Ocorrencia]*((tblDados[GM_M]+tblDados[GS_M])&gt;1.5))+SUMPRODUCT((TRIM(tblDados[Visitante])=$A187)*tblDados[Primeira_Ocorrencia]*((tblDados[GM_V]+tblDados[GS_V])&gt;1.5)))/G187,0))</f>
        <v>0.75</v>
      </c>
      <c r="M187" s="11" cm="1">
        <f t="array" ref="M187">IF($A187="","",IFERROR((SUMPRODUCT((TRIM(tblDados[Mandante])=$A187)*tblDados[Primeira_Ocorrencia]*((tblDados[GM_M]+tblDados[GS_M])&gt;2.5))+SUMPRODUCT((TRIM(tblDados[Visitante])=$A187)*tblDados[Primeira_Ocorrencia]*((tblDados[GM_V]+tblDados[GS_V])&gt;2.5)))/G187,0))</f>
        <v>0.75</v>
      </c>
      <c r="N187" s="11" cm="1">
        <f t="array" ref="N187">IF($A187="","",IFERROR((SUMPRODUCT((TRIM(tblDados[Mandante])=$A187)*tblDados[Primeira_Ocorrencia]*((tblDados[GM_M]+tblDados[GS_M])&gt;3.5))+SUMPRODUCT((TRIM(tblDados[Visitante])=$A187)*tblDados[Primeira_Ocorrencia]*((tblDados[GM_V]+tblDados[GS_V])&gt;3.5)))/G187,0))</f>
        <v>0.58333333333333337</v>
      </c>
      <c r="O187" s="11" cm="1">
        <f t="array" ref="O187">IF($A187="","",IFERROR((SUMPRODUCT((TRIM(tblDados[Mandante])=$A187)*tblDados[Primeira_Ocorrencia]*(tblDados[GM_M]&gt;0)*(tblDados[GS_M]&gt;0))+SUMPRODUCT((TRIM(tblDados[Visitante])=$A187)*tblDados[Primeira_Ocorrencia]*(tblDados[GM_V]&gt;0)*(tblDados[GS_V]&gt;0)))/G187,0))</f>
        <v>0.75</v>
      </c>
      <c r="P187" s="10" cm="1">
        <f t="array" ref="P187">IF($A187="","",IFERROR((SUMPRODUCT((TRIM(tblDados[Mandante])=$A187)*tblDados[Primeira_Ocorrencia]*tblDados[GM_M]^2)+SUMPRODUCT((TRIM(tblDados[Visitante])=$A187)*tblDados[Primeira_Ocorrencia]*tblDados[GM_V]^2))/G187-H187^2,0))</f>
        <v>2.7430555555555545</v>
      </c>
      <c r="Q187" s="10">
        <f t="shared" si="35"/>
        <v>1.6562172428626489</v>
      </c>
      <c r="R187" s="8" t="str">
        <f t="shared" si="36"/>
        <v>Poisson</v>
      </c>
      <c r="S187" s="10" cm="1">
        <f t="array" ref="S187">IF($A187="","",SUMPRODUCT((TRIM(tblDados[Mandante])=$A187)*tblDados[Primeira_Ocorrencia]*tblDados[GM_M]))</f>
        <v>14</v>
      </c>
      <c r="T187" s="10" cm="1">
        <f t="array" ref="T187">IF($A187="","",SUMPRODUCT((TRIM(tblDados[Visitante])=$A187)*tblDados[Primeira_Ocorrencia]*tblDados[GM_V]))</f>
        <v>11</v>
      </c>
      <c r="U187" s="10">
        <f t="shared" si="37"/>
        <v>25</v>
      </c>
      <c r="V187" s="10">
        <f t="shared" si="26"/>
        <v>2.0833333333333335</v>
      </c>
      <c r="W187" s="10" cm="1">
        <f t="array" ref="W187">IF($A187="","",SUMPRODUCT((TRIM(tblDados[Mandante])=$A187)*tblDados[Primeira_Ocorrencia]*tblDados[GS_M]))</f>
        <v>12</v>
      </c>
      <c r="X187" s="10" cm="1">
        <f t="array" ref="X187">IF($A187="","",SUMPRODUCT((TRIM(tblDados[Visitante])=$A187)*tblDados[Primeira_Ocorrencia]*tblDados[GS_V]))</f>
        <v>13</v>
      </c>
      <c r="Y187" s="10">
        <f t="shared" si="38"/>
        <v>25</v>
      </c>
      <c r="Z187" s="10">
        <f t="shared" si="27"/>
        <v>2.0833333333333335</v>
      </c>
      <c r="AA187" s="10">
        <f t="shared" si="28"/>
        <v>2.3333333333333335</v>
      </c>
      <c r="AB187" s="10">
        <f t="shared" si="29"/>
        <v>2</v>
      </c>
      <c r="AC187" s="10">
        <f t="shared" si="30"/>
        <v>1.8333333333333333</v>
      </c>
      <c r="AD187" s="10">
        <f t="shared" si="31"/>
        <v>2.1666666666666665</v>
      </c>
    </row>
    <row r="188" spans="1:30" x14ac:dyDescent="0.3">
      <c r="A188" s="7" t="str">
        <v>Brusque</v>
      </c>
      <c r="B188" s="12" t="str" cm="1">
        <f t="array" ref="B188">IF($A188="","",_xlfn.LET(_xlpm.p,IFERROR(INDEX(tblDados[País],MATCH($A188,TRIM(tblDados[Mandante]),0)),INDEX(tblDados[País],MATCH($A188,TRIM(tblDados[Visitante]),0))),_xlpm.l,IFERROR(INDEX(tblDados[Liga],MATCH($A188,TRIM(tblDados[Mandante]),0)),INDEX(tblDados[Liga],MATCH($A188,TRIM(tblDados[Visitante]),0))),_xlpm.p&amp;" - "&amp;_xlpm.l))</f>
        <v>BRA - Série C</v>
      </c>
      <c r="C188" s="10">
        <f t="shared" si="32"/>
        <v>2.166666666666667</v>
      </c>
      <c r="D188" s="10">
        <f t="shared" si="33"/>
        <v>2.1666666666666665</v>
      </c>
      <c r="E188" s="9" cm="1">
        <f t="array" ref="E188">IF($A188="","",SUMPRODUCT((TRIM(tblDados[Mandante])=$A188)*tblDados[Primeira_Ocorrencia]))</f>
        <v>6</v>
      </c>
      <c r="F188" s="9" cm="1">
        <f t="array" ref="F188">IF($A188="","",SUMPRODUCT((TRIM(tblDados[Visitante])=$A188)*tblDados[Primeira_Ocorrencia]))</f>
        <v>6</v>
      </c>
      <c r="G188" s="9" cm="1">
        <f t="array" ref="G188">IF($A188="","",SUMPRODUCT((TRIM(tblDados[Mandante])=$A188)*tblDados[Primeira_Ocorrencia])+SUMPRODUCT((TRIM(tblDados[Visitante])=$A188)*tblDados[Primeira_Ocorrencia]))</f>
        <v>12</v>
      </c>
      <c r="H188" s="10">
        <f t="shared" si="34"/>
        <v>1.1666666666666667</v>
      </c>
      <c r="I188" s="10" cm="1">
        <f t="array" ref="I188">IF($A188="","",_xlfn.LET(_xlpm.p,IFERROR(INDEX(tblDados[País],MATCH($A188,TRIM(tblDados[Mandante]),0)),INDEX(tblDados[País],MATCH($A188,TRIM(tblDados[Visitante]),0))),_xlpm.l,IFERROR(INDEX(tblDados[Liga],MATCH($A188,TRIM(tblDados[Mandante]),0)),INDEX(tblDados[Liga],MATCH($A188,TRIM(tblDados[Visitante]),0))),IFERROR(SUMIFS(Ligas!$D$2:$D$39,Ligas!$H$2:$H$39,_xlpm.p,Ligas!$I$2:$I$39,_xlpm.l),0)))</f>
        <v>2.09</v>
      </c>
      <c r="J188" s="11" cm="1">
        <f t="array" ref="J188">IF($A188="","",IFERROR((SUMPRODUCT((TRIM(tblDados[Mandante])=$A188)*tblDados[Primeira_Ocorrencia]*(tblDados[GM_M]=0))+SUMPRODUCT((TRIM(tblDados[Visitante])=$A188)*tblDados[Primeira_Ocorrencia]*(tblDados[GM_V]=0)))/G188,0))</f>
        <v>0.33333333333333331</v>
      </c>
      <c r="K188" s="11" cm="1">
        <f t="array" ref="K188">IF($A188="","",IFERROR((SUMPRODUCT((TRIM(tblDados[Mandante])=$A188)*tblDados[Primeira_Ocorrencia]*((tblDados[GM_M]+tblDados[GS_M])&gt;0.5))+SUMPRODUCT((TRIM(tblDados[Visitante])=$A188)*tblDados[Primeira_Ocorrencia]*((tblDados[GM_V]+tblDados[GS_V])&gt;0.5)))/G188,0))</f>
        <v>1</v>
      </c>
      <c r="L188" s="11" cm="1">
        <f t="array" ref="L188">IF($A188="","",IFERROR((SUMPRODUCT((TRIM(tblDados[Mandante])=$A188)*tblDados[Primeira_Ocorrencia]*((tblDados[GM_M]+tblDados[GS_M])&gt;1.5))+SUMPRODUCT((TRIM(tblDados[Visitante])=$A188)*tblDados[Primeira_Ocorrencia]*((tblDados[GM_V]+tblDados[GS_V])&gt;1.5)))/G188,0))</f>
        <v>0.58333333333333337</v>
      </c>
      <c r="M188" s="11" cm="1">
        <f t="array" ref="M188">IF($A188="","",IFERROR((SUMPRODUCT((TRIM(tblDados[Mandante])=$A188)*tblDados[Primeira_Ocorrencia]*((tblDados[GM_M]+tblDados[GS_M])&gt;2.5))+SUMPRODUCT((TRIM(tblDados[Visitante])=$A188)*tblDados[Primeira_Ocorrencia]*((tblDados[GM_V]+tblDados[GS_V])&gt;2.5)))/G188,0))</f>
        <v>0.41666666666666669</v>
      </c>
      <c r="N188" s="11" cm="1">
        <f t="array" ref="N188">IF($A188="","",IFERROR((SUMPRODUCT((TRIM(tblDados[Mandante])=$A188)*tblDados[Primeira_Ocorrencia]*((tblDados[GM_M]+tblDados[GS_M])&gt;3.5))+SUMPRODUCT((TRIM(tblDados[Visitante])=$A188)*tblDados[Primeira_Ocorrencia]*((tblDados[GM_V]+tblDados[GS_V])&gt;3.5)))/G188,0))</f>
        <v>0.16666666666666666</v>
      </c>
      <c r="O188" s="11" cm="1">
        <f t="array" ref="O188">IF($A188="","",IFERROR((SUMPRODUCT((TRIM(tblDados[Mandante])=$A188)*tblDados[Primeira_Ocorrencia]*(tblDados[GM_M]&gt;0)*(tblDados[GS_M]&gt;0))+SUMPRODUCT((TRIM(tblDados[Visitante])=$A188)*tblDados[Primeira_Ocorrencia]*(tblDados[GM_V]&gt;0)*(tblDados[GS_V]&gt;0)))/G188,0))</f>
        <v>0.41666666666666669</v>
      </c>
      <c r="P188" s="10" cm="1">
        <f t="array" ref="P188">IF($A188="","",IFERROR((SUMPRODUCT((TRIM(tblDados[Mandante])=$A188)*tblDados[Primeira_Ocorrencia]*tblDados[GM_M]^2)+SUMPRODUCT((TRIM(tblDados[Visitante])=$A188)*tblDados[Primeira_Ocorrencia]*tblDados[GM_V]^2))/G188-H188^2,0))</f>
        <v>1.1388888888888886</v>
      </c>
      <c r="Q188" s="10">
        <f t="shared" si="35"/>
        <v>1.0671873729054746</v>
      </c>
      <c r="R188" s="8" t="str">
        <f t="shared" si="36"/>
        <v>Poisson</v>
      </c>
      <c r="S188" s="10" cm="1">
        <f t="array" ref="S188">IF($A188="","",SUMPRODUCT((TRIM(tblDados[Mandante])=$A188)*tblDados[Primeira_Ocorrencia]*tblDados[GM_M]))</f>
        <v>10</v>
      </c>
      <c r="T188" s="10" cm="1">
        <f t="array" ref="T188">IF($A188="","",SUMPRODUCT((TRIM(tblDados[Visitante])=$A188)*tblDados[Primeira_Ocorrencia]*tblDados[GM_V]))</f>
        <v>4</v>
      </c>
      <c r="U188" s="10">
        <f t="shared" si="37"/>
        <v>14</v>
      </c>
      <c r="V188" s="10">
        <f t="shared" si="26"/>
        <v>1.1666666666666667</v>
      </c>
      <c r="W188" s="10" cm="1">
        <f t="array" ref="W188">IF($A188="","",SUMPRODUCT((TRIM(tblDados[Mandante])=$A188)*tblDados[Primeira_Ocorrencia]*tblDados[GS_M]))</f>
        <v>3</v>
      </c>
      <c r="X188" s="10" cm="1">
        <f t="array" ref="X188">IF($A188="","",SUMPRODUCT((TRIM(tblDados[Visitante])=$A188)*tblDados[Primeira_Ocorrencia]*tblDados[GS_V]))</f>
        <v>9</v>
      </c>
      <c r="Y188" s="10">
        <f t="shared" si="38"/>
        <v>12</v>
      </c>
      <c r="Z188" s="10">
        <f t="shared" si="27"/>
        <v>1</v>
      </c>
      <c r="AA188" s="10">
        <f t="shared" si="28"/>
        <v>1.6666666666666667</v>
      </c>
      <c r="AB188" s="10">
        <f t="shared" si="29"/>
        <v>0.5</v>
      </c>
      <c r="AC188" s="10">
        <f t="shared" si="30"/>
        <v>0.66666666666666663</v>
      </c>
      <c r="AD188" s="10">
        <f t="shared" si="31"/>
        <v>1.5</v>
      </c>
    </row>
    <row r="189" spans="1:30" x14ac:dyDescent="0.3">
      <c r="A189" s="7" t="str">
        <v>Bryne FK</v>
      </c>
      <c r="B189" s="12" t="str" cm="1">
        <f t="array" ref="B189">IF($A189="","",_xlfn.LET(_xlpm.p,IFERROR(INDEX(tblDados[País],MATCH($A189,TRIM(tblDados[Mandante]),0)),INDEX(tblDados[País],MATCH($A189,TRIM(tblDados[Visitante]),0))),_xlpm.l,IFERROR(INDEX(tblDados[Liga],MATCH($A189,TRIM(tblDados[Mandante]),0)),INDEX(tblDados[Liga],MATCH($A189,TRIM(tblDados[Visitante]),0))),_xlpm.p&amp;" - "&amp;_xlpm.l))</f>
        <v>NOR - OBOS-ligaen</v>
      </c>
      <c r="C189" s="10">
        <f t="shared" si="32"/>
        <v>2.4</v>
      </c>
      <c r="D189" s="10">
        <f t="shared" si="33"/>
        <v>2.7142857142857144</v>
      </c>
      <c r="E189" s="9" cm="1">
        <f t="array" ref="E189">IF($A189="","",SUMPRODUCT((TRIM(tblDados[Mandante])=$A189)*tblDados[Primeira_Ocorrencia]))</f>
        <v>5</v>
      </c>
      <c r="F189" s="9" cm="1">
        <f t="array" ref="F189">IF($A189="","",SUMPRODUCT((TRIM(tblDados[Visitante])=$A189)*tblDados[Primeira_Ocorrencia]))</f>
        <v>7</v>
      </c>
      <c r="G189" s="9" cm="1">
        <f t="array" ref="G189">IF($A189="","",SUMPRODUCT((TRIM(tblDados[Mandante])=$A189)*tblDados[Primeira_Ocorrencia])+SUMPRODUCT((TRIM(tblDados[Visitante])=$A189)*tblDados[Primeira_Ocorrencia]))</f>
        <v>12</v>
      </c>
      <c r="H189" s="10">
        <f t="shared" si="34"/>
        <v>1.4166666666666667</v>
      </c>
      <c r="I189" s="10" cm="1">
        <f t="array" ref="I189">IF($A189="","",_xlfn.LET(_xlpm.p,IFERROR(INDEX(tblDados[País],MATCH($A189,TRIM(tblDados[Mandante]),0)),INDEX(tblDados[País],MATCH($A189,TRIM(tblDados[Visitante]),0))),_xlpm.l,IFERROR(INDEX(tblDados[Liga],MATCH($A189,TRIM(tblDados[Mandante]),0)),INDEX(tblDados[Liga],MATCH($A189,TRIM(tblDados[Visitante]),0))),IFERROR(SUMIFS(Ligas!$D$2:$D$39,Ligas!$H$2:$H$39,_xlpm.p,Ligas!$I$2:$I$39,_xlpm.l),0)))</f>
        <v>2.5</v>
      </c>
      <c r="J189" s="11" cm="1">
        <f t="array" ref="J189">IF($A189="","",IFERROR((SUMPRODUCT((TRIM(tblDados[Mandante])=$A189)*tblDados[Primeira_Ocorrencia]*(tblDados[GM_M]=0))+SUMPRODUCT((TRIM(tblDados[Visitante])=$A189)*tblDados[Primeira_Ocorrencia]*(tblDados[GM_V]=0)))/G189,0))</f>
        <v>0.33333333333333331</v>
      </c>
      <c r="K189" s="11" cm="1">
        <f t="array" ref="K189">IF($A189="","",IFERROR((SUMPRODUCT((TRIM(tblDados[Mandante])=$A189)*tblDados[Primeira_Ocorrencia]*((tblDados[GM_M]+tblDados[GS_M])&gt;0.5))+SUMPRODUCT((TRIM(tblDados[Visitante])=$A189)*tblDados[Primeira_Ocorrencia]*((tblDados[GM_V]+tblDados[GS_V])&gt;0.5)))/G189,0))</f>
        <v>1</v>
      </c>
      <c r="L189" s="11" cm="1">
        <f t="array" ref="L189">IF($A189="","",IFERROR((SUMPRODUCT((TRIM(tblDados[Mandante])=$A189)*tblDados[Primeira_Ocorrencia]*((tblDados[GM_M]+tblDados[GS_M])&gt;1.5))+SUMPRODUCT((TRIM(tblDados[Visitante])=$A189)*tblDados[Primeira_Ocorrencia]*((tblDados[GM_V]+tblDados[GS_V])&gt;1.5)))/G189,0))</f>
        <v>0.75</v>
      </c>
      <c r="M189" s="11" cm="1">
        <f t="array" ref="M189">IF($A189="","",IFERROR((SUMPRODUCT((TRIM(tblDados[Mandante])=$A189)*tblDados[Primeira_Ocorrencia]*((tblDados[GM_M]+tblDados[GS_M])&gt;2.5))+SUMPRODUCT((TRIM(tblDados[Visitante])=$A189)*tblDados[Primeira_Ocorrencia]*((tblDados[GM_V]+tblDados[GS_V])&gt;2.5)))/G189,0))</f>
        <v>0.41666666666666669</v>
      </c>
      <c r="N189" s="11" cm="1">
        <f t="array" ref="N189">IF($A189="","",IFERROR((SUMPRODUCT((TRIM(tblDados[Mandante])=$A189)*tblDados[Primeira_Ocorrencia]*((tblDados[GM_M]+tblDados[GS_M])&gt;3.5))+SUMPRODUCT((TRIM(tblDados[Visitante])=$A189)*tblDados[Primeira_Ocorrencia]*((tblDados[GM_V]+tblDados[GS_V])&gt;3.5)))/G189,0))</f>
        <v>0.16666666666666666</v>
      </c>
      <c r="O189" s="11" cm="1">
        <f t="array" ref="O189">IF($A189="","",IFERROR((SUMPRODUCT((TRIM(tblDados[Mandante])=$A189)*tblDados[Primeira_Ocorrencia]*(tblDados[GM_M]&gt;0)*(tblDados[GS_M]&gt;0))+SUMPRODUCT((TRIM(tblDados[Visitante])=$A189)*tblDados[Primeira_Ocorrencia]*(tblDados[GM_V]&gt;0)*(tblDados[GS_V]&gt;0)))/G189,0))</f>
        <v>0.33333333333333331</v>
      </c>
      <c r="P189" s="10" cm="1">
        <f t="array" ref="P189">IF($A189="","",IFERROR((SUMPRODUCT((TRIM(tblDados[Mandante])=$A189)*tblDados[Primeira_Ocorrencia]*tblDados[GM_M]^2)+SUMPRODUCT((TRIM(tblDados[Visitante])=$A189)*tblDados[Primeira_Ocorrencia]*tblDados[GM_V]^2))/G189-H189^2,0))</f>
        <v>1.7430555555555554</v>
      </c>
      <c r="Q189" s="10">
        <f t="shared" si="35"/>
        <v>1.3202482931462383</v>
      </c>
      <c r="R189" s="8" t="str">
        <f t="shared" si="36"/>
        <v>Poisson</v>
      </c>
      <c r="S189" s="10" cm="1">
        <f t="array" ref="S189">IF($A189="","",SUMPRODUCT((TRIM(tblDados[Mandante])=$A189)*tblDados[Primeira_Ocorrencia]*tblDados[GM_M]))</f>
        <v>7</v>
      </c>
      <c r="T189" s="10" cm="1">
        <f t="array" ref="T189">IF($A189="","",SUMPRODUCT((TRIM(tblDados[Visitante])=$A189)*tblDados[Primeira_Ocorrencia]*tblDados[GM_V]))</f>
        <v>10</v>
      </c>
      <c r="U189" s="10">
        <f t="shared" si="37"/>
        <v>17</v>
      </c>
      <c r="V189" s="10">
        <f t="shared" si="26"/>
        <v>1.4166666666666667</v>
      </c>
      <c r="W189" s="10" cm="1">
        <f t="array" ref="W189">IF($A189="","",SUMPRODUCT((TRIM(tblDados[Mandante])=$A189)*tblDados[Primeira_Ocorrencia]*tblDados[GS_M]))</f>
        <v>5</v>
      </c>
      <c r="X189" s="10" cm="1">
        <f t="array" ref="X189">IF($A189="","",SUMPRODUCT((TRIM(tblDados[Visitante])=$A189)*tblDados[Primeira_Ocorrencia]*tblDados[GS_V]))</f>
        <v>9</v>
      </c>
      <c r="Y189" s="10">
        <f t="shared" si="38"/>
        <v>14</v>
      </c>
      <c r="Z189" s="10">
        <f t="shared" si="27"/>
        <v>1.1666666666666667</v>
      </c>
      <c r="AA189" s="10">
        <f t="shared" si="28"/>
        <v>1.4</v>
      </c>
      <c r="AB189" s="10">
        <f t="shared" si="29"/>
        <v>1</v>
      </c>
      <c r="AC189" s="10">
        <f t="shared" si="30"/>
        <v>1.4285714285714286</v>
      </c>
      <c r="AD189" s="10">
        <f t="shared" si="31"/>
        <v>1.2857142857142858</v>
      </c>
    </row>
    <row r="190" spans="1:30" x14ac:dyDescent="0.3">
      <c r="A190" s="7" t="str">
        <v>Caroline Springs George Cross</v>
      </c>
      <c r="B190" s="12" t="str" cm="1">
        <f t="array" ref="B190">IF($A190="","",_xlfn.LET(_xlpm.p,IFERROR(INDEX(tblDados[País],MATCH($A190,TRIM(tblDados[Mandante]),0)),INDEX(tblDados[País],MATCH($A190,TRIM(tblDados[Visitante]),0))),_xlpm.l,IFERROR(INDEX(tblDados[Liga],MATCH($A190,TRIM(tblDados[Mandante]),0)),INDEX(tblDados[Liga],MATCH($A190,TRIM(tblDados[Visitante]),0))),_xlpm.p&amp;" - "&amp;_xlpm.l))</f>
        <v>AUS - NPL Victoria</v>
      </c>
      <c r="C190" s="10">
        <f t="shared" si="32"/>
        <v>2.666666666666667</v>
      </c>
      <c r="D190" s="10">
        <f t="shared" si="33"/>
        <v>2.5</v>
      </c>
      <c r="E190" s="9" cm="1">
        <f t="array" ref="E190">IF($A190="","",SUMPRODUCT((TRIM(tblDados[Mandante])=$A190)*tblDados[Primeira_Ocorrencia]))</f>
        <v>6</v>
      </c>
      <c r="F190" s="9" cm="1">
        <f t="array" ref="F190">IF($A190="","",SUMPRODUCT((TRIM(tblDados[Visitante])=$A190)*tblDados[Primeira_Ocorrencia]))</f>
        <v>6</v>
      </c>
      <c r="G190" s="9" cm="1">
        <f t="array" ref="G190">IF($A190="","",SUMPRODUCT((TRIM(tblDados[Mandante])=$A190)*tblDados[Primeira_Ocorrencia])+SUMPRODUCT((TRIM(tblDados[Visitante])=$A190)*tblDados[Primeira_Ocorrencia]))</f>
        <v>12</v>
      </c>
      <c r="H190" s="10">
        <f t="shared" si="34"/>
        <v>1.4166666666666667</v>
      </c>
      <c r="I190" s="10" cm="1">
        <f t="array" ref="I190">IF($A190="","",_xlfn.LET(_xlpm.p,IFERROR(INDEX(tblDados[País],MATCH($A190,TRIM(tblDados[Mandante]),0)),INDEX(tblDados[País],MATCH($A190,TRIM(tblDados[Visitante]),0))),_xlpm.l,IFERROR(INDEX(tblDados[Liga],MATCH($A190,TRIM(tblDados[Mandante]),0)),INDEX(tblDados[Liga],MATCH($A190,TRIM(tblDados[Visitante]),0))),IFERROR(SUMIFS(Ligas!$D$2:$D$39,Ligas!$H$2:$H$39,_xlpm.p,Ligas!$I$2:$I$39,_xlpm.l),0)))</f>
        <v>2.89</v>
      </c>
      <c r="J190" s="11" cm="1">
        <f t="array" ref="J190">IF($A190="","",IFERROR((SUMPRODUCT((TRIM(tblDados[Mandante])=$A190)*tblDados[Primeira_Ocorrencia]*(tblDados[GM_M]=0))+SUMPRODUCT((TRIM(tblDados[Visitante])=$A190)*tblDados[Primeira_Ocorrencia]*(tblDados[GM_V]=0)))/G190,0))</f>
        <v>0.33333333333333331</v>
      </c>
      <c r="K190" s="11" cm="1">
        <f t="array" ref="K190">IF($A190="","",IFERROR((SUMPRODUCT((TRIM(tblDados[Mandante])=$A190)*tblDados[Primeira_Ocorrencia]*((tblDados[GM_M]+tblDados[GS_M])&gt;0.5))+SUMPRODUCT((TRIM(tblDados[Visitante])=$A190)*tblDados[Primeira_Ocorrencia]*((tblDados[GM_V]+tblDados[GS_V])&gt;0.5)))/G190,0))</f>
        <v>0.75</v>
      </c>
      <c r="L190" s="11" cm="1">
        <f t="array" ref="L190">IF($A190="","",IFERROR((SUMPRODUCT((TRIM(tblDados[Mandante])=$A190)*tblDados[Primeira_Ocorrencia]*((tblDados[GM_M]+tblDados[GS_M])&gt;1.5))+SUMPRODUCT((TRIM(tblDados[Visitante])=$A190)*tblDados[Primeira_Ocorrencia]*((tblDados[GM_V]+tblDados[GS_V])&gt;1.5)))/G190,0))</f>
        <v>0.66666666666666663</v>
      </c>
      <c r="M190" s="11" cm="1">
        <f t="array" ref="M190">IF($A190="","",IFERROR((SUMPRODUCT((TRIM(tblDados[Mandante])=$A190)*tblDados[Primeira_Ocorrencia]*((tblDados[GM_M]+tblDados[GS_M])&gt;2.5))+SUMPRODUCT((TRIM(tblDados[Visitante])=$A190)*tblDados[Primeira_Ocorrencia]*((tblDados[GM_V]+tblDados[GS_V])&gt;2.5)))/G190,0))</f>
        <v>0.41666666666666669</v>
      </c>
      <c r="N190" s="11" cm="1">
        <f t="array" ref="N190">IF($A190="","",IFERROR((SUMPRODUCT((TRIM(tblDados[Mandante])=$A190)*tblDados[Primeira_Ocorrencia]*((tblDados[GM_M]+tblDados[GS_M])&gt;3.5))+SUMPRODUCT((TRIM(tblDados[Visitante])=$A190)*tblDados[Primeira_Ocorrencia]*((tblDados[GM_V]+tblDados[GS_V])&gt;3.5)))/G190,0))</f>
        <v>0.41666666666666669</v>
      </c>
      <c r="O190" s="11" cm="1">
        <f t="array" ref="O190">IF($A190="","",IFERROR((SUMPRODUCT((TRIM(tblDados[Mandante])=$A190)*tblDados[Primeira_Ocorrencia]*(tblDados[GM_M]&gt;0)*(tblDados[GS_M]&gt;0))+SUMPRODUCT((TRIM(tblDados[Visitante])=$A190)*tblDados[Primeira_Ocorrencia]*(tblDados[GM_V]&gt;0)*(tblDados[GS_V]&gt;0)))/G190,0))</f>
        <v>0.5</v>
      </c>
      <c r="P190" s="10" cm="1">
        <f t="array" ref="P190">IF($A190="","",IFERROR((SUMPRODUCT((TRIM(tblDados[Mandante])=$A190)*tblDados[Primeira_Ocorrencia]*tblDados[GM_M]^2)+SUMPRODUCT((TRIM(tblDados[Visitante])=$A190)*tblDados[Primeira_Ocorrencia]*tblDados[GM_V]^2))/G190-H190^2,0))</f>
        <v>1.7430555555555554</v>
      </c>
      <c r="Q190" s="10">
        <f t="shared" si="35"/>
        <v>1.3202482931462383</v>
      </c>
      <c r="R190" s="8" t="str">
        <f t="shared" si="36"/>
        <v>Poisson</v>
      </c>
      <c r="S190" s="10" cm="1">
        <f t="array" ref="S190">IF($A190="","",SUMPRODUCT((TRIM(tblDados[Mandante])=$A190)*tblDados[Primeira_Ocorrencia]*tblDados[GM_M]))</f>
        <v>7</v>
      </c>
      <c r="T190" s="10" cm="1">
        <f t="array" ref="T190">IF($A190="","",SUMPRODUCT((TRIM(tblDados[Visitante])=$A190)*tblDados[Primeira_Ocorrencia]*tblDados[GM_V]))</f>
        <v>10</v>
      </c>
      <c r="U190" s="10">
        <f t="shared" si="37"/>
        <v>17</v>
      </c>
      <c r="V190" s="10">
        <f t="shared" si="26"/>
        <v>1.4166666666666667</v>
      </c>
      <c r="W190" s="10" cm="1">
        <f t="array" ref="W190">IF($A190="","",SUMPRODUCT((TRIM(tblDados[Mandante])=$A190)*tblDados[Primeira_Ocorrencia]*tblDados[GS_M]))</f>
        <v>9</v>
      </c>
      <c r="X190" s="10" cm="1">
        <f t="array" ref="X190">IF($A190="","",SUMPRODUCT((TRIM(tblDados[Visitante])=$A190)*tblDados[Primeira_Ocorrencia]*tblDados[GS_V]))</f>
        <v>5</v>
      </c>
      <c r="Y190" s="10">
        <f t="shared" si="38"/>
        <v>14</v>
      </c>
      <c r="Z190" s="10">
        <f t="shared" si="27"/>
        <v>1.1666666666666667</v>
      </c>
      <c r="AA190" s="10">
        <f t="shared" si="28"/>
        <v>1.1666666666666667</v>
      </c>
      <c r="AB190" s="10">
        <f t="shared" si="29"/>
        <v>1.5</v>
      </c>
      <c r="AC190" s="10">
        <f t="shared" si="30"/>
        <v>1.6666666666666667</v>
      </c>
      <c r="AD190" s="10">
        <f t="shared" si="31"/>
        <v>0.83333333333333337</v>
      </c>
    </row>
    <row r="191" spans="1:30" x14ac:dyDescent="0.3">
      <c r="A191" s="7" t="str">
        <v>Cavalry FC</v>
      </c>
      <c r="B191" s="12" t="str" cm="1">
        <f t="array" ref="B191">IF($A191="","",_xlfn.LET(_xlpm.p,IFERROR(INDEX(tblDados[País],MATCH($A191,TRIM(tblDados[Mandante]),0)),INDEX(tblDados[País],MATCH($A191,TRIM(tblDados[Visitante]),0))),_xlpm.l,IFERROR(INDEX(tblDados[Liga],MATCH($A191,TRIM(tblDados[Mandante]),0)),INDEX(tblDados[Liga],MATCH($A191,TRIM(tblDados[Visitante]),0))),_xlpm.p&amp;" - "&amp;_xlpm.l))</f>
        <v>CAN - Premier League</v>
      </c>
      <c r="C191" s="10">
        <f t="shared" si="32"/>
        <v>2.8333333333333335</v>
      </c>
      <c r="D191" s="10">
        <f t="shared" si="33"/>
        <v>2.333333333333333</v>
      </c>
      <c r="E191" s="9" cm="1">
        <f t="array" ref="E191">IF($A191="","",SUMPRODUCT((TRIM(tblDados[Mandante])=$A191)*tblDados[Primeira_Ocorrencia]))</f>
        <v>6</v>
      </c>
      <c r="F191" s="9" cm="1">
        <f t="array" ref="F191">IF($A191="","",SUMPRODUCT((TRIM(tblDados[Visitante])=$A191)*tblDados[Primeira_Ocorrencia]))</f>
        <v>6</v>
      </c>
      <c r="G191" s="9" cm="1">
        <f t="array" ref="G191">IF($A191="","",SUMPRODUCT((TRIM(tblDados[Mandante])=$A191)*tblDados[Primeira_Ocorrencia])+SUMPRODUCT((TRIM(tblDados[Visitante])=$A191)*tblDados[Primeira_Ocorrencia]))</f>
        <v>12</v>
      </c>
      <c r="H191" s="10">
        <f t="shared" si="34"/>
        <v>2.0833333333333335</v>
      </c>
      <c r="I191" s="10" cm="1">
        <f t="array" ref="I191">IF($A191="","",_xlfn.LET(_xlpm.p,IFERROR(INDEX(tblDados[País],MATCH($A191,TRIM(tblDados[Mandante]),0)),INDEX(tblDados[País],MATCH($A191,TRIM(tblDados[Visitante]),0))),_xlpm.l,IFERROR(INDEX(tblDados[Liga],MATCH($A191,TRIM(tblDados[Mandante]),0)),INDEX(tblDados[Liga],MATCH($A191,TRIM(tblDados[Visitante]),0))),IFERROR(SUMIFS(Ligas!$D$2:$D$39,Ligas!$H$2:$H$39,_xlpm.p,Ligas!$I$2:$I$39,_xlpm.l),0)))</f>
        <v>2.5</v>
      </c>
      <c r="J191" s="11" cm="1">
        <f t="array" ref="J191">IF($A191="","",IFERROR((SUMPRODUCT((TRIM(tblDados[Mandante])=$A191)*tblDados[Primeira_Ocorrencia]*(tblDados[GM_M]=0))+SUMPRODUCT((TRIM(tblDados[Visitante])=$A191)*tblDados[Primeira_Ocorrencia]*(tblDados[GM_V]=0)))/G191,0))</f>
        <v>0.16666666666666666</v>
      </c>
      <c r="K191" s="11" cm="1">
        <f t="array" ref="K191">IF($A191="","",IFERROR((SUMPRODUCT((TRIM(tblDados[Mandante])=$A191)*tblDados[Primeira_Ocorrencia]*((tblDados[GM_M]+tblDados[GS_M])&gt;0.5))+SUMPRODUCT((TRIM(tblDados[Visitante])=$A191)*tblDados[Primeira_Ocorrencia]*((tblDados[GM_V]+tblDados[GS_V])&gt;0.5)))/G191,0))</f>
        <v>1</v>
      </c>
      <c r="L191" s="11" cm="1">
        <f t="array" ref="L191">IF($A191="","",IFERROR((SUMPRODUCT((TRIM(tblDados[Mandante])=$A191)*tblDados[Primeira_Ocorrencia]*((tblDados[GM_M]+tblDados[GS_M])&gt;1.5))+SUMPRODUCT((TRIM(tblDados[Visitante])=$A191)*tblDados[Primeira_Ocorrencia]*((tblDados[GM_V]+tblDados[GS_V])&gt;1.5)))/G191,0))</f>
        <v>0.75</v>
      </c>
      <c r="M191" s="11" cm="1">
        <f t="array" ref="M191">IF($A191="","",IFERROR((SUMPRODUCT((TRIM(tblDados[Mandante])=$A191)*tblDados[Primeira_Ocorrencia]*((tblDados[GM_M]+tblDados[GS_M])&gt;2.5))+SUMPRODUCT((TRIM(tblDados[Visitante])=$A191)*tblDados[Primeira_Ocorrencia]*((tblDados[GM_V]+tblDados[GS_V])&gt;2.5)))/G191,0))</f>
        <v>0.41666666666666669</v>
      </c>
      <c r="N191" s="11" cm="1">
        <f t="array" ref="N191">IF($A191="","",IFERROR((SUMPRODUCT((TRIM(tblDados[Mandante])=$A191)*tblDados[Primeira_Ocorrencia]*((tblDados[GM_M]+tblDados[GS_M])&gt;3.5))+SUMPRODUCT((TRIM(tblDados[Visitante])=$A191)*tblDados[Primeira_Ocorrencia]*((tblDados[GM_V]+tblDados[GS_V])&gt;3.5)))/G191,0))</f>
        <v>0.16666666666666666</v>
      </c>
      <c r="O191" s="11" cm="1">
        <f t="array" ref="O191">IF($A191="","",IFERROR((SUMPRODUCT((TRIM(tblDados[Mandante])=$A191)*tblDados[Primeira_Ocorrencia]*(tblDados[GM_M]&gt;0)*(tblDados[GS_M]&gt;0))+SUMPRODUCT((TRIM(tblDados[Visitante])=$A191)*tblDados[Primeira_Ocorrencia]*(tblDados[GM_V]&gt;0)*(tblDados[GS_V]&gt;0)))/G191,0))</f>
        <v>0.33333333333333331</v>
      </c>
      <c r="P191" s="10" cm="1">
        <f t="array" ref="P191">IF($A191="","",IFERROR((SUMPRODUCT((TRIM(tblDados[Mandante])=$A191)*tblDados[Primeira_Ocorrencia]*tblDados[GM_M]^2)+SUMPRODUCT((TRIM(tblDados[Visitante])=$A191)*tblDados[Primeira_Ocorrencia]*tblDados[GM_V]^2))/G191-H191^2,0))</f>
        <v>2.5763888888888884</v>
      </c>
      <c r="Q191" s="10">
        <f t="shared" si="35"/>
        <v>1.6051133570215184</v>
      </c>
      <c r="R191" s="8" t="str">
        <f t="shared" si="36"/>
        <v>Poisson</v>
      </c>
      <c r="S191" s="10" cm="1">
        <f t="array" ref="S191">IF($A191="","",SUMPRODUCT((TRIM(tblDados[Mandante])=$A191)*tblDados[Primeira_Ocorrencia]*tblDados[GM_M]))</f>
        <v>14</v>
      </c>
      <c r="T191" s="10" cm="1">
        <f t="array" ref="T191">IF($A191="","",SUMPRODUCT((TRIM(tblDados[Visitante])=$A191)*tblDados[Primeira_Ocorrencia]*tblDados[GM_V]))</f>
        <v>11</v>
      </c>
      <c r="U191" s="10">
        <f t="shared" si="37"/>
        <v>25</v>
      </c>
      <c r="V191" s="10">
        <f t="shared" si="26"/>
        <v>2.0833333333333335</v>
      </c>
      <c r="W191" s="10" cm="1">
        <f t="array" ref="W191">IF($A191="","",SUMPRODUCT((TRIM(tblDados[Mandante])=$A191)*tblDados[Primeira_Ocorrencia]*tblDados[GS_M]))</f>
        <v>3</v>
      </c>
      <c r="X191" s="10" cm="1">
        <f t="array" ref="X191">IF($A191="","",SUMPRODUCT((TRIM(tblDados[Visitante])=$A191)*tblDados[Primeira_Ocorrencia]*tblDados[GS_V]))</f>
        <v>3</v>
      </c>
      <c r="Y191" s="10">
        <f t="shared" si="38"/>
        <v>6</v>
      </c>
      <c r="Z191" s="10">
        <f t="shared" si="27"/>
        <v>0.5</v>
      </c>
      <c r="AA191" s="10">
        <f t="shared" si="28"/>
        <v>2.3333333333333335</v>
      </c>
      <c r="AB191" s="10">
        <f t="shared" si="29"/>
        <v>0.5</v>
      </c>
      <c r="AC191" s="10">
        <f t="shared" si="30"/>
        <v>1.8333333333333333</v>
      </c>
      <c r="AD191" s="10">
        <f t="shared" si="31"/>
        <v>0.5</v>
      </c>
    </row>
    <row r="192" spans="1:30" x14ac:dyDescent="0.3">
      <c r="A192" s="7" t="str">
        <v>Caxias</v>
      </c>
      <c r="B192" s="12" t="str" cm="1">
        <f t="array" ref="B192">IF($A192="","",_xlfn.LET(_xlpm.p,IFERROR(INDEX(tblDados[País],MATCH($A192,TRIM(tblDados[Mandante]),0)),INDEX(tblDados[País],MATCH($A192,TRIM(tblDados[Visitante]),0))),_xlpm.l,IFERROR(INDEX(tblDados[Liga],MATCH($A192,TRIM(tblDados[Mandante]),0)),INDEX(tblDados[Liga],MATCH($A192,TRIM(tblDados[Visitante]),0))),_xlpm.p&amp;" - "&amp;_xlpm.l))</f>
        <v>BRA - Série C</v>
      </c>
      <c r="C192" s="10">
        <f t="shared" si="32"/>
        <v>2</v>
      </c>
      <c r="D192" s="10">
        <f t="shared" si="33"/>
        <v>1.3333333333333335</v>
      </c>
      <c r="E192" s="9" cm="1">
        <f t="array" ref="E192">IF($A192="","",SUMPRODUCT((TRIM(tblDados[Mandante])=$A192)*tblDados[Primeira_Ocorrencia]))</f>
        <v>6</v>
      </c>
      <c r="F192" s="9" cm="1">
        <f t="array" ref="F192">IF($A192="","",SUMPRODUCT((TRIM(tblDados[Visitante])=$A192)*tblDados[Primeira_Ocorrencia]))</f>
        <v>6</v>
      </c>
      <c r="G192" s="9" cm="1">
        <f t="array" ref="G192">IF($A192="","",SUMPRODUCT((TRIM(tblDados[Mandante])=$A192)*tblDados[Primeira_Ocorrencia])+SUMPRODUCT((TRIM(tblDados[Visitante])=$A192)*tblDados[Primeira_Ocorrencia]))</f>
        <v>12</v>
      </c>
      <c r="H192" s="10">
        <f t="shared" si="34"/>
        <v>1</v>
      </c>
      <c r="I192" s="10" cm="1">
        <f t="array" ref="I192">IF($A192="","",_xlfn.LET(_xlpm.p,IFERROR(INDEX(tblDados[País],MATCH($A192,TRIM(tblDados[Mandante]),0)),INDEX(tblDados[País],MATCH($A192,TRIM(tblDados[Visitante]),0))),_xlpm.l,IFERROR(INDEX(tblDados[Liga],MATCH($A192,TRIM(tblDados[Mandante]),0)),INDEX(tblDados[Liga],MATCH($A192,TRIM(tblDados[Visitante]),0))),IFERROR(SUMIFS(Ligas!$D$2:$D$39,Ligas!$H$2:$H$39,_xlpm.p,Ligas!$I$2:$I$39,_xlpm.l),0)))</f>
        <v>2.09</v>
      </c>
      <c r="J192" s="11" cm="1">
        <f t="array" ref="J192">IF($A192="","",IFERROR((SUMPRODUCT((TRIM(tblDados[Mandante])=$A192)*tblDados[Primeira_Ocorrencia]*(tblDados[GM_M]=0))+SUMPRODUCT((TRIM(tblDados[Visitante])=$A192)*tblDados[Primeira_Ocorrencia]*(tblDados[GM_V]=0)))/G192,0))</f>
        <v>0.25</v>
      </c>
      <c r="K192" s="11" cm="1">
        <f t="array" ref="K192">IF($A192="","",IFERROR((SUMPRODUCT((TRIM(tblDados[Mandante])=$A192)*tblDados[Primeira_Ocorrencia]*((tblDados[GM_M]+tblDados[GS_M])&gt;0.5))+SUMPRODUCT((TRIM(tblDados[Visitante])=$A192)*tblDados[Primeira_Ocorrencia]*((tblDados[GM_V]+tblDados[GS_V])&gt;0.5)))/G192,0))</f>
        <v>0.75</v>
      </c>
      <c r="L192" s="11" cm="1">
        <f t="array" ref="L192">IF($A192="","",IFERROR((SUMPRODUCT((TRIM(tblDados[Mandante])=$A192)*tblDados[Primeira_Ocorrencia]*((tblDados[GM_M]+tblDados[GS_M])&gt;1.5))+SUMPRODUCT((TRIM(tblDados[Visitante])=$A192)*tblDados[Primeira_Ocorrencia]*((tblDados[GM_V]+tblDados[GS_V])&gt;1.5)))/G192,0))</f>
        <v>0.66666666666666663</v>
      </c>
      <c r="M192" s="11" cm="1">
        <f t="array" ref="M192">IF($A192="","",IFERROR((SUMPRODUCT((TRIM(tblDados[Mandante])=$A192)*tblDados[Primeira_Ocorrencia]*((tblDados[GM_M]+tblDados[GS_M])&gt;2.5))+SUMPRODUCT((TRIM(tblDados[Visitante])=$A192)*tblDados[Primeira_Ocorrencia]*((tblDados[GM_V]+tblDados[GS_V])&gt;2.5)))/G192,0))</f>
        <v>0.25</v>
      </c>
      <c r="N192" s="11" cm="1">
        <f t="array" ref="N192">IF($A192="","",IFERROR((SUMPRODUCT((TRIM(tblDados[Mandante])=$A192)*tblDados[Primeira_Ocorrencia]*((tblDados[GM_M]+tblDados[GS_M])&gt;3.5))+SUMPRODUCT((TRIM(tblDados[Visitante])=$A192)*tblDados[Primeira_Ocorrencia]*((tblDados[GM_V]+tblDados[GS_V])&gt;3.5)))/G192,0))</f>
        <v>0</v>
      </c>
      <c r="O192" s="11" cm="1">
        <f t="array" ref="O192">IF($A192="","",IFERROR((SUMPRODUCT((TRIM(tblDados[Mandante])=$A192)*tblDados[Primeira_Ocorrencia]*(tblDados[GM_M]&gt;0)*(tblDados[GS_M]&gt;0))+SUMPRODUCT((TRIM(tblDados[Visitante])=$A192)*tblDados[Primeira_Ocorrencia]*(tblDados[GM_V]&gt;0)*(tblDados[GS_V]&gt;0)))/G192,0))</f>
        <v>0.5</v>
      </c>
      <c r="P192" s="10" cm="1">
        <f t="array" ref="P192">IF($A192="","",IFERROR((SUMPRODUCT((TRIM(tblDados[Mandante])=$A192)*tblDados[Primeira_Ocorrencia]*tblDados[GM_M]^2)+SUMPRODUCT((TRIM(tblDados[Visitante])=$A192)*tblDados[Primeira_Ocorrencia]*tblDados[GM_V]^2))/G192-H192^2,0))</f>
        <v>0.5</v>
      </c>
      <c r="Q192" s="10">
        <f t="shared" si="35"/>
        <v>0.70710678118654757</v>
      </c>
      <c r="R192" s="8" t="str">
        <f t="shared" si="36"/>
        <v>Poisson</v>
      </c>
      <c r="S192" s="10" cm="1">
        <f t="array" ref="S192">IF($A192="","",SUMPRODUCT((TRIM(tblDados[Mandante])=$A192)*tblDados[Primeira_Ocorrencia]*tblDados[GM_M]))</f>
        <v>7</v>
      </c>
      <c r="T192" s="10" cm="1">
        <f t="array" ref="T192">IF($A192="","",SUMPRODUCT((TRIM(tblDados[Visitante])=$A192)*tblDados[Primeira_Ocorrencia]*tblDados[GM_V]))</f>
        <v>5</v>
      </c>
      <c r="U192" s="10">
        <f t="shared" si="37"/>
        <v>12</v>
      </c>
      <c r="V192" s="10">
        <f t="shared" si="26"/>
        <v>1</v>
      </c>
      <c r="W192" s="10" cm="1">
        <f t="array" ref="W192">IF($A192="","",SUMPRODUCT((TRIM(tblDados[Mandante])=$A192)*tblDados[Primeira_Ocorrencia]*tblDados[GS_M]))</f>
        <v>5</v>
      </c>
      <c r="X192" s="10" cm="1">
        <f t="array" ref="X192">IF($A192="","",SUMPRODUCT((TRIM(tblDados[Visitante])=$A192)*tblDados[Primeira_Ocorrencia]*tblDados[GS_V]))</f>
        <v>3</v>
      </c>
      <c r="Y192" s="10">
        <f t="shared" si="38"/>
        <v>8</v>
      </c>
      <c r="Z192" s="10">
        <f t="shared" si="27"/>
        <v>0.66666666666666663</v>
      </c>
      <c r="AA192" s="10">
        <f t="shared" si="28"/>
        <v>1.1666666666666667</v>
      </c>
      <c r="AB192" s="10">
        <f t="shared" si="29"/>
        <v>0.83333333333333337</v>
      </c>
      <c r="AC192" s="10">
        <f t="shared" si="30"/>
        <v>0.83333333333333337</v>
      </c>
      <c r="AD192" s="10">
        <f t="shared" si="31"/>
        <v>0.5</v>
      </c>
    </row>
    <row r="193" spans="1:30" x14ac:dyDescent="0.3">
      <c r="A193" s="7" t="str">
        <v>CF Montréal</v>
      </c>
      <c r="B193" s="12" t="str" cm="1">
        <f t="array" ref="B193">IF($A193="","",_xlfn.LET(_xlpm.p,IFERROR(INDEX(tblDados[País],MATCH($A193,TRIM(tblDados[Mandante]),0)),INDEX(tblDados[País],MATCH($A193,TRIM(tblDados[Visitante]),0))),_xlpm.l,IFERROR(INDEX(tblDados[Liga],MATCH($A193,TRIM(tblDados[Mandante]),0)),INDEX(tblDados[Liga],MATCH($A193,TRIM(tblDados[Visitante]),0))),_xlpm.p&amp;" - "&amp;_xlpm.l))</f>
        <v>USA - MLS-East</v>
      </c>
      <c r="C193" s="10">
        <f t="shared" si="32"/>
        <v>2.4444444444444446</v>
      </c>
      <c r="D193" s="10">
        <f t="shared" si="33"/>
        <v>4.333333333333333</v>
      </c>
      <c r="E193" s="9" cm="1">
        <f t="array" ref="E193">IF($A193="","",SUMPRODUCT((TRIM(tblDados[Mandante])=$A193)*tblDados[Primeira_Ocorrencia]))</f>
        <v>9</v>
      </c>
      <c r="F193" s="9" cm="1">
        <f t="array" ref="F193">IF($A193="","",SUMPRODUCT((TRIM(tblDados[Visitante])=$A193)*tblDados[Primeira_Ocorrencia]))</f>
        <v>3</v>
      </c>
      <c r="G193" s="9" cm="1">
        <f t="array" ref="G193">IF($A193="","",SUMPRODUCT((TRIM(tblDados[Mandante])=$A193)*tblDados[Primeira_Ocorrencia])+SUMPRODUCT((TRIM(tblDados[Visitante])=$A193)*tblDados[Primeira_Ocorrencia]))</f>
        <v>12</v>
      </c>
      <c r="H193" s="10">
        <f t="shared" si="34"/>
        <v>1.4166666666666667</v>
      </c>
      <c r="I193" s="10" cm="1">
        <f t="array" ref="I193">IF($A193="","",_xlfn.LET(_xlpm.p,IFERROR(INDEX(tblDados[País],MATCH($A193,TRIM(tblDados[Mandante]),0)),INDEX(tblDados[País],MATCH($A193,TRIM(tblDados[Visitante]),0))),_xlpm.l,IFERROR(INDEX(tblDados[Liga],MATCH($A193,TRIM(tblDados[Mandante]),0)),INDEX(tblDados[Liga],MATCH($A193,TRIM(tblDados[Visitante]),0))),IFERROR(SUMIFS(Ligas!$D$2:$D$39,Ligas!$H$2:$H$39,_xlpm.p,Ligas!$I$2:$I$39,_xlpm.l),0)))</f>
        <v>3.3</v>
      </c>
      <c r="J193" s="11" cm="1">
        <f t="array" ref="J193">IF($A193="","",IFERROR((SUMPRODUCT((TRIM(tblDados[Mandante])=$A193)*tblDados[Primeira_Ocorrencia]*(tblDados[GM_M]=0))+SUMPRODUCT((TRIM(tblDados[Visitante])=$A193)*tblDados[Primeira_Ocorrencia]*(tblDados[GM_V]=0)))/G193,0))</f>
        <v>0.33333333333333331</v>
      </c>
      <c r="K193" s="11" cm="1">
        <f t="array" ref="K193">IF($A193="","",IFERROR((SUMPRODUCT((TRIM(tblDados[Mandante])=$A193)*tblDados[Primeira_Ocorrencia]*((tblDados[GM_M]+tblDados[GS_M])&gt;0.5))+SUMPRODUCT((TRIM(tblDados[Visitante])=$A193)*tblDados[Primeira_Ocorrencia]*((tblDados[GM_V]+tblDados[GS_V])&gt;0.5)))/G193,0))</f>
        <v>0.91666666666666663</v>
      </c>
      <c r="L193" s="11" cm="1">
        <f t="array" ref="L193">IF($A193="","",IFERROR((SUMPRODUCT((TRIM(tblDados[Mandante])=$A193)*tblDados[Primeira_Ocorrencia]*((tblDados[GM_M]+tblDados[GS_M])&gt;1.5))+SUMPRODUCT((TRIM(tblDados[Visitante])=$A193)*tblDados[Primeira_Ocorrencia]*((tblDados[GM_V]+tblDados[GS_V])&gt;1.5)))/G193,0))</f>
        <v>0.66666666666666663</v>
      </c>
      <c r="M193" s="11" cm="1">
        <f t="array" ref="M193">IF($A193="","",IFERROR((SUMPRODUCT((TRIM(tblDados[Mandante])=$A193)*tblDados[Primeira_Ocorrencia]*((tblDados[GM_M]+tblDados[GS_M])&gt;2.5))+SUMPRODUCT((TRIM(tblDados[Visitante])=$A193)*tblDados[Primeira_Ocorrencia]*((tblDados[GM_V]+tblDados[GS_V])&gt;2.5)))/G193,0))</f>
        <v>0.5</v>
      </c>
      <c r="N193" s="11" cm="1">
        <f t="array" ref="N193">IF($A193="","",IFERROR((SUMPRODUCT((TRIM(tblDados[Mandante])=$A193)*tblDados[Primeira_Ocorrencia]*((tblDados[GM_M]+tblDados[GS_M])&gt;3.5))+SUMPRODUCT((TRIM(tblDados[Visitante])=$A193)*tblDados[Primeira_Ocorrencia]*((tblDados[GM_V]+tblDados[GS_V])&gt;3.5)))/G193,0))</f>
        <v>0.41666666666666669</v>
      </c>
      <c r="O193" s="11" cm="1">
        <f t="array" ref="O193">IF($A193="","",IFERROR((SUMPRODUCT((TRIM(tblDados[Mandante])=$A193)*tblDados[Primeira_Ocorrencia]*(tblDados[GM_M]&gt;0)*(tblDados[GS_M]&gt;0))+SUMPRODUCT((TRIM(tblDados[Visitante])=$A193)*tblDados[Primeira_Ocorrencia]*(tblDados[GM_V]&gt;0)*(tblDados[GS_V]&gt;0)))/G193,0))</f>
        <v>0.5</v>
      </c>
      <c r="P193" s="10" cm="1">
        <f t="array" ref="P193">IF($A193="","",IFERROR((SUMPRODUCT((TRIM(tblDados[Mandante])=$A193)*tblDados[Primeira_Ocorrencia]*tblDados[GM_M]^2)+SUMPRODUCT((TRIM(tblDados[Visitante])=$A193)*tblDados[Primeira_Ocorrencia]*tblDados[GM_V]^2))/G193-H193^2,0))</f>
        <v>1.9097222222222219</v>
      </c>
      <c r="Q193" s="10">
        <f t="shared" si="35"/>
        <v>1.3819269959814164</v>
      </c>
      <c r="R193" s="8" t="str">
        <f t="shared" si="36"/>
        <v>Poisson</v>
      </c>
      <c r="S193" s="10" cm="1">
        <f t="array" ref="S193">IF($A193="","",SUMPRODUCT((TRIM(tblDados[Mandante])=$A193)*tblDados[Primeira_Ocorrencia]*tblDados[GM_M]))</f>
        <v>12</v>
      </c>
      <c r="T193" s="10" cm="1">
        <f t="array" ref="T193">IF($A193="","",SUMPRODUCT((TRIM(tblDados[Visitante])=$A193)*tblDados[Primeira_Ocorrencia]*tblDados[GM_V]))</f>
        <v>5</v>
      </c>
      <c r="U193" s="10">
        <f t="shared" si="37"/>
        <v>17</v>
      </c>
      <c r="V193" s="10">
        <f t="shared" si="26"/>
        <v>1.4166666666666667</v>
      </c>
      <c r="W193" s="10" cm="1">
        <f t="array" ref="W193">IF($A193="","",SUMPRODUCT((TRIM(tblDados[Mandante])=$A193)*tblDados[Primeira_Ocorrencia]*tblDados[GS_M]))</f>
        <v>10</v>
      </c>
      <c r="X193" s="10" cm="1">
        <f t="array" ref="X193">IF($A193="","",SUMPRODUCT((TRIM(tblDados[Visitante])=$A193)*tblDados[Primeira_Ocorrencia]*tblDados[GS_V]))</f>
        <v>8</v>
      </c>
      <c r="Y193" s="10">
        <f t="shared" si="38"/>
        <v>18</v>
      </c>
      <c r="Z193" s="10">
        <f t="shared" si="27"/>
        <v>1.5</v>
      </c>
      <c r="AA193" s="10">
        <f t="shared" si="28"/>
        <v>1.3333333333333333</v>
      </c>
      <c r="AB193" s="10">
        <f t="shared" si="29"/>
        <v>1.1111111111111112</v>
      </c>
      <c r="AC193" s="10">
        <f t="shared" si="30"/>
        <v>1.6666666666666667</v>
      </c>
      <c r="AD193" s="10">
        <f t="shared" si="31"/>
        <v>2.6666666666666665</v>
      </c>
    </row>
    <row r="194" spans="1:30" x14ac:dyDescent="0.3">
      <c r="A194" s="7" t="str">
        <v>Changchun Yatai</v>
      </c>
      <c r="B194" s="12" t="str" cm="1">
        <f t="array" ref="B194">IF($A194="","",_xlfn.LET(_xlpm.p,IFERROR(INDEX(tblDados[País],MATCH($A194,TRIM(tblDados[Mandante]),0)),INDEX(tblDados[País],MATCH($A194,TRIM(tblDados[Visitante]),0))),_xlpm.l,IFERROR(INDEX(tblDados[Liga],MATCH($A194,TRIM(tblDados[Mandante]),0)),INDEX(tblDados[Liga],MATCH($A194,TRIM(tblDados[Visitante]),0))),_xlpm.p&amp;" - "&amp;_xlpm.l))</f>
        <v>CHN - League One</v>
      </c>
      <c r="C194" s="10">
        <f t="shared" si="32"/>
        <v>3.7142857142857144</v>
      </c>
      <c r="D194" s="10">
        <f t="shared" si="33"/>
        <v>4</v>
      </c>
      <c r="E194" s="9" cm="1">
        <f t="array" ref="E194">IF($A194="","",SUMPRODUCT((TRIM(tblDados[Mandante])=$A194)*tblDados[Primeira_Ocorrencia]))</f>
        <v>7</v>
      </c>
      <c r="F194" s="9" cm="1">
        <f t="array" ref="F194">IF($A194="","",SUMPRODUCT((TRIM(tblDados[Visitante])=$A194)*tblDados[Primeira_Ocorrencia]))</f>
        <v>5</v>
      </c>
      <c r="G194" s="9" cm="1">
        <f t="array" ref="G194">IF($A194="","",SUMPRODUCT((TRIM(tblDados[Mandante])=$A194)*tblDados[Primeira_Ocorrencia])+SUMPRODUCT((TRIM(tblDados[Visitante])=$A194)*tblDados[Primeira_Ocorrencia]))</f>
        <v>12</v>
      </c>
      <c r="H194" s="10">
        <f t="shared" si="34"/>
        <v>1.5833333333333333</v>
      </c>
      <c r="I194" s="10" cm="1">
        <f t="array" ref="I194">IF($A194="","",_xlfn.LET(_xlpm.p,IFERROR(INDEX(tblDados[País],MATCH($A194,TRIM(tblDados[Mandante]),0)),INDEX(tblDados[País],MATCH($A194,TRIM(tblDados[Visitante]),0))),_xlpm.l,IFERROR(INDEX(tblDados[Liga],MATCH($A194,TRIM(tblDados[Mandante]),0)),INDEX(tblDados[Liga],MATCH($A194,TRIM(tblDados[Visitante]),0))),IFERROR(SUMIFS(Ligas!$D$2:$D$39,Ligas!$H$2:$H$39,_xlpm.p,Ligas!$I$2:$I$39,_xlpm.l),0)))</f>
        <v>2.5</v>
      </c>
      <c r="J194" s="11" cm="1">
        <f t="array" ref="J194">IF($A194="","",IFERROR((SUMPRODUCT((TRIM(tblDados[Mandante])=$A194)*tblDados[Primeira_Ocorrencia]*(tblDados[GM_M]=0))+SUMPRODUCT((TRIM(tblDados[Visitante])=$A194)*tblDados[Primeira_Ocorrencia]*(tblDados[GM_V]=0)))/G194,0))</f>
        <v>8.3333333333333329E-2</v>
      </c>
      <c r="K194" s="11" cm="1">
        <f t="array" ref="K194">IF($A194="","",IFERROR((SUMPRODUCT((TRIM(tblDados[Mandante])=$A194)*tblDados[Primeira_Ocorrencia]*((tblDados[GM_M]+tblDados[GS_M])&gt;0.5))+SUMPRODUCT((TRIM(tblDados[Visitante])=$A194)*tblDados[Primeira_Ocorrencia]*((tblDados[GM_V]+tblDados[GS_V])&gt;0.5)))/G194,0))</f>
        <v>1</v>
      </c>
      <c r="L194" s="11" cm="1">
        <f t="array" ref="L194">IF($A194="","",IFERROR((SUMPRODUCT((TRIM(tblDados[Mandante])=$A194)*tblDados[Primeira_Ocorrencia]*((tblDados[GM_M]+tblDados[GS_M])&gt;1.5))+SUMPRODUCT((TRIM(tblDados[Visitante])=$A194)*tblDados[Primeira_Ocorrencia]*((tblDados[GM_V]+tblDados[GS_V])&gt;1.5)))/G194,0))</f>
        <v>1</v>
      </c>
      <c r="M194" s="11" cm="1">
        <f t="array" ref="M194">IF($A194="","",IFERROR((SUMPRODUCT((TRIM(tblDados[Mandante])=$A194)*tblDados[Primeira_Ocorrencia]*((tblDados[GM_M]+tblDados[GS_M])&gt;2.5))+SUMPRODUCT((TRIM(tblDados[Visitante])=$A194)*tblDados[Primeira_Ocorrencia]*((tblDados[GM_V]+tblDados[GS_V])&gt;2.5)))/G194,0))</f>
        <v>1</v>
      </c>
      <c r="N194" s="11" cm="1">
        <f t="array" ref="N194">IF($A194="","",IFERROR((SUMPRODUCT((TRIM(tblDados[Mandante])=$A194)*tblDados[Primeira_Ocorrencia]*((tblDados[GM_M]+tblDados[GS_M])&gt;3.5))+SUMPRODUCT((TRIM(tblDados[Visitante])=$A194)*tblDados[Primeira_Ocorrencia]*((tblDados[GM_V]+tblDados[GS_V])&gt;3.5)))/G194,0))</f>
        <v>0.58333333333333337</v>
      </c>
      <c r="O194" s="11" cm="1">
        <f t="array" ref="O194">IF($A194="","",IFERROR((SUMPRODUCT((TRIM(tblDados[Mandante])=$A194)*tblDados[Primeira_Ocorrencia]*(tblDados[GM_M]&gt;0)*(tblDados[GS_M]&gt;0))+SUMPRODUCT((TRIM(tblDados[Visitante])=$A194)*tblDados[Primeira_Ocorrencia]*(tblDados[GM_V]&gt;0)*(tblDados[GS_V]&gt;0)))/G194,0))</f>
        <v>0.91666666666666663</v>
      </c>
      <c r="P194" s="10" cm="1">
        <f t="array" ref="P194">IF($A194="","",IFERROR((SUMPRODUCT((TRIM(tblDados[Mandante])=$A194)*tblDados[Primeira_Ocorrencia]*tblDados[GM_M]^2)+SUMPRODUCT((TRIM(tblDados[Visitante])=$A194)*tblDados[Primeira_Ocorrencia]*tblDados[GM_V]^2))/G194-H194^2,0))</f>
        <v>0.7430555555555558</v>
      </c>
      <c r="Q194" s="10">
        <f t="shared" si="35"/>
        <v>0.86200670273238356</v>
      </c>
      <c r="R194" s="8" t="str">
        <f t="shared" si="36"/>
        <v>Poisson</v>
      </c>
      <c r="S194" s="10" cm="1">
        <f t="array" ref="S194">IF($A194="","",SUMPRODUCT((TRIM(tblDados[Mandante])=$A194)*tblDados[Primeira_Ocorrencia]*tblDados[GM_M]))</f>
        <v>9</v>
      </c>
      <c r="T194" s="10" cm="1">
        <f t="array" ref="T194">IF($A194="","",SUMPRODUCT((TRIM(tblDados[Visitante])=$A194)*tblDados[Primeira_Ocorrencia]*tblDados[GM_V]))</f>
        <v>10</v>
      </c>
      <c r="U194" s="10">
        <f t="shared" si="37"/>
        <v>19</v>
      </c>
      <c r="V194" s="10">
        <f t="shared" ref="V194:V257" si="39">IF($A194="","",IFERROR(U194/G194,0))</f>
        <v>1.5833333333333333</v>
      </c>
      <c r="W194" s="10" cm="1">
        <f t="array" ref="W194">IF($A194="","",SUMPRODUCT((TRIM(tblDados[Mandante])=$A194)*tblDados[Primeira_Ocorrencia]*tblDados[GS_M]))</f>
        <v>17</v>
      </c>
      <c r="X194" s="10" cm="1">
        <f t="array" ref="X194">IF($A194="","",SUMPRODUCT((TRIM(tblDados[Visitante])=$A194)*tblDados[Primeira_Ocorrencia]*tblDados[GS_V]))</f>
        <v>10</v>
      </c>
      <c r="Y194" s="10">
        <f t="shared" si="38"/>
        <v>27</v>
      </c>
      <c r="Z194" s="10">
        <f t="shared" ref="Z194:Z257" si="40">IF($A194="","",IFERROR(Y194/G194,0))</f>
        <v>2.25</v>
      </c>
      <c r="AA194" s="10">
        <f t="shared" ref="AA194:AA257" si="41">IF($A194="","",IF($E194=0,"",$S194/$E194))</f>
        <v>1.2857142857142858</v>
      </c>
      <c r="AB194" s="10">
        <f t="shared" ref="AB194:AB257" si="42">IF($A194="","",IF($E194=0,"",$W194/$E194))</f>
        <v>2.4285714285714284</v>
      </c>
      <c r="AC194" s="10">
        <f t="shared" ref="AC194:AC257" si="43">IF($A194="","",IF($F194=0,"",$T194/$F194))</f>
        <v>2</v>
      </c>
      <c r="AD194" s="10">
        <f t="shared" ref="AD194:AD257" si="44">IF($A194="","",IF($F194=0,"",$X194/$F194))</f>
        <v>2</v>
      </c>
    </row>
    <row r="195" spans="1:30" x14ac:dyDescent="0.3">
      <c r="A195" s="7" t="str">
        <v>Charlotte FC</v>
      </c>
      <c r="B195" s="12" t="str" cm="1">
        <f t="array" ref="B195">IF($A195="","",_xlfn.LET(_xlpm.p,IFERROR(INDEX(tblDados[País],MATCH($A195,TRIM(tblDados[Mandante]),0)),INDEX(tblDados[País],MATCH($A195,TRIM(tblDados[Visitante]),0))),_xlpm.l,IFERROR(INDEX(tblDados[Liga],MATCH($A195,TRIM(tblDados[Mandante]),0)),INDEX(tblDados[Liga],MATCH($A195,TRIM(tblDados[Visitante]),0))),_xlpm.p&amp;" - "&amp;_xlpm.l))</f>
        <v>USA - MLS-East</v>
      </c>
      <c r="C195" s="10">
        <f t="shared" ref="C195:C258" si="45">IF($A195="","",IF($E195=0,"",$AA195+$AB195))</f>
        <v>2.833333333333333</v>
      </c>
      <c r="D195" s="10">
        <f t="shared" ref="D195:D258" si="46">IF($A195="","",IF($F195=0,"",$AC195+$AD195))</f>
        <v>3.333333333333333</v>
      </c>
      <c r="E195" s="9" cm="1">
        <f t="array" ref="E195">IF($A195="","",SUMPRODUCT((TRIM(tblDados[Mandante])=$A195)*tblDados[Primeira_Ocorrencia]))</f>
        <v>6</v>
      </c>
      <c r="F195" s="9" cm="1">
        <f t="array" ref="F195">IF($A195="","",SUMPRODUCT((TRIM(tblDados[Visitante])=$A195)*tblDados[Primeira_Ocorrencia]))</f>
        <v>6</v>
      </c>
      <c r="G195" s="9" cm="1">
        <f t="array" ref="G195">IF($A195="","",SUMPRODUCT((TRIM(tblDados[Mandante])=$A195)*tblDados[Primeira_Ocorrencia])+SUMPRODUCT((TRIM(tblDados[Visitante])=$A195)*tblDados[Primeira_Ocorrencia]))</f>
        <v>12</v>
      </c>
      <c r="H195" s="10">
        <f t="shared" ref="H195:H258" si="47">IF($A195="","",IFERROR($U195/$G195,0))</f>
        <v>1.4166666666666667</v>
      </c>
      <c r="I195" s="10" cm="1">
        <f t="array" ref="I195">IF($A195="","",_xlfn.LET(_xlpm.p,IFERROR(INDEX(tblDados[País],MATCH($A195,TRIM(tblDados[Mandante]),0)),INDEX(tblDados[País],MATCH($A195,TRIM(tblDados[Visitante]),0))),_xlpm.l,IFERROR(INDEX(tblDados[Liga],MATCH($A195,TRIM(tblDados[Mandante]),0)),INDEX(tblDados[Liga],MATCH($A195,TRIM(tblDados[Visitante]),0))),IFERROR(SUMIFS(Ligas!$D$2:$D$39,Ligas!$H$2:$H$39,_xlpm.p,Ligas!$I$2:$I$39,_xlpm.l),0)))</f>
        <v>3.3</v>
      </c>
      <c r="J195" s="11" cm="1">
        <f t="array" ref="J195">IF($A195="","",IFERROR((SUMPRODUCT((TRIM(tblDados[Mandante])=$A195)*tblDados[Primeira_Ocorrencia]*(tblDados[GM_M]=0))+SUMPRODUCT((TRIM(tblDados[Visitante])=$A195)*tblDados[Primeira_Ocorrencia]*(tblDados[GM_V]=0)))/G195,0))</f>
        <v>0.16666666666666666</v>
      </c>
      <c r="K195" s="11" cm="1">
        <f t="array" ref="K195">IF($A195="","",IFERROR((SUMPRODUCT((TRIM(tblDados[Mandante])=$A195)*tblDados[Primeira_Ocorrencia]*((tblDados[GM_M]+tblDados[GS_M])&gt;0.5))+SUMPRODUCT((TRIM(tblDados[Visitante])=$A195)*tblDados[Primeira_Ocorrencia]*((tblDados[GM_V]+tblDados[GS_V])&gt;0.5)))/G195,0))</f>
        <v>1</v>
      </c>
      <c r="L195" s="11" cm="1">
        <f t="array" ref="L195">IF($A195="","",IFERROR((SUMPRODUCT((TRIM(tblDados[Mandante])=$A195)*tblDados[Primeira_Ocorrencia]*((tblDados[GM_M]+tblDados[GS_M])&gt;1.5))+SUMPRODUCT((TRIM(tblDados[Visitante])=$A195)*tblDados[Primeira_Ocorrencia]*((tblDados[GM_V]+tblDados[GS_V])&gt;1.5)))/G195,0))</f>
        <v>0.75</v>
      </c>
      <c r="M195" s="11" cm="1">
        <f t="array" ref="M195">IF($A195="","",IFERROR((SUMPRODUCT((TRIM(tblDados[Mandante])=$A195)*tblDados[Primeira_Ocorrencia]*((tblDados[GM_M]+tblDados[GS_M])&gt;2.5))+SUMPRODUCT((TRIM(tblDados[Visitante])=$A195)*tblDados[Primeira_Ocorrencia]*((tblDados[GM_V]+tblDados[GS_V])&gt;2.5)))/G195,0))</f>
        <v>0.66666666666666663</v>
      </c>
      <c r="N195" s="11" cm="1">
        <f t="array" ref="N195">IF($A195="","",IFERROR((SUMPRODUCT((TRIM(tblDados[Mandante])=$A195)*tblDados[Primeira_Ocorrencia]*((tblDados[GM_M]+tblDados[GS_M])&gt;3.5))+SUMPRODUCT((TRIM(tblDados[Visitante])=$A195)*tblDados[Primeira_Ocorrencia]*((tblDados[GM_V]+tblDados[GS_V])&gt;3.5)))/G195,0))</f>
        <v>0.41666666666666669</v>
      </c>
      <c r="O195" s="11" cm="1">
        <f t="array" ref="O195">IF($A195="","",IFERROR((SUMPRODUCT((TRIM(tblDados[Mandante])=$A195)*tblDados[Primeira_Ocorrencia]*(tblDados[GM_M]&gt;0)*(tblDados[GS_M]&gt;0))+SUMPRODUCT((TRIM(tblDados[Visitante])=$A195)*tblDados[Primeira_Ocorrencia]*(tblDados[GM_V]&gt;0)*(tblDados[GS_V]&gt;0)))/G195,0))</f>
        <v>0.66666666666666663</v>
      </c>
      <c r="P195" s="10" cm="1">
        <f t="array" ref="P195">IF($A195="","",IFERROR((SUMPRODUCT((TRIM(tblDados[Mandante])=$A195)*tblDados[Primeira_Ocorrencia]*tblDados[GM_M]^2)+SUMPRODUCT((TRIM(tblDados[Visitante])=$A195)*tblDados[Primeira_Ocorrencia]*tblDados[GM_V]^2))/G195-H195^2,0))</f>
        <v>0.74305555555555536</v>
      </c>
      <c r="Q195" s="10">
        <f t="shared" ref="Q195:Q258" si="48">IF($A195="","",IFERROR(SQRT(MAX(P195,0)),0))</f>
        <v>0.86200670273238322</v>
      </c>
      <c r="R195" s="8" t="str">
        <f t="shared" ref="R195:R258" si="49">IF(A195="","",IF(OR(G195&lt;5,H195=0),"Amostra Insuficiente",IF(_xlfn.CHISQ.DIST.RT(G195*P195/H195,G195-1)&lt;0.05,"Binomial Negativa","Poisson")))</f>
        <v>Poisson</v>
      </c>
      <c r="S195" s="10" cm="1">
        <f t="array" ref="S195">IF($A195="","",SUMPRODUCT((TRIM(tblDados[Mandante])=$A195)*tblDados[Primeira_Ocorrencia]*tblDados[GM_M]))</f>
        <v>9</v>
      </c>
      <c r="T195" s="10" cm="1">
        <f t="array" ref="T195">IF($A195="","",SUMPRODUCT((TRIM(tblDados[Visitante])=$A195)*tblDados[Primeira_Ocorrencia]*tblDados[GM_V]))</f>
        <v>8</v>
      </c>
      <c r="U195" s="10">
        <f t="shared" ref="U195:U258" si="50">IF($A195="","",S195+T195)</f>
        <v>17</v>
      </c>
      <c r="V195" s="10">
        <f t="shared" si="39"/>
        <v>1.4166666666666667</v>
      </c>
      <c r="W195" s="10" cm="1">
        <f t="array" ref="W195">IF($A195="","",SUMPRODUCT((TRIM(tblDados[Mandante])=$A195)*tblDados[Primeira_Ocorrencia]*tblDados[GS_M]))</f>
        <v>8</v>
      </c>
      <c r="X195" s="10" cm="1">
        <f t="array" ref="X195">IF($A195="","",SUMPRODUCT((TRIM(tblDados[Visitante])=$A195)*tblDados[Primeira_Ocorrencia]*tblDados[GS_V]))</f>
        <v>12</v>
      </c>
      <c r="Y195" s="10">
        <f t="shared" ref="Y195:Y258" si="51">IF($A195="","",W195+X195)</f>
        <v>20</v>
      </c>
      <c r="Z195" s="10">
        <f t="shared" si="40"/>
        <v>1.6666666666666667</v>
      </c>
      <c r="AA195" s="10">
        <f t="shared" si="41"/>
        <v>1.5</v>
      </c>
      <c r="AB195" s="10">
        <f t="shared" si="42"/>
        <v>1.3333333333333333</v>
      </c>
      <c r="AC195" s="10">
        <f t="shared" si="43"/>
        <v>1.3333333333333333</v>
      </c>
      <c r="AD195" s="10">
        <f t="shared" si="44"/>
        <v>2</v>
      </c>
    </row>
    <row r="196" spans="1:30" x14ac:dyDescent="0.3">
      <c r="A196" s="7" t="str">
        <v>Chicago Fire FC</v>
      </c>
      <c r="B196" s="12" t="str" cm="1">
        <f t="array" ref="B196">IF($A196="","",_xlfn.LET(_xlpm.p,IFERROR(INDEX(tblDados[País],MATCH($A196,TRIM(tblDados[Mandante]),0)),INDEX(tblDados[País],MATCH($A196,TRIM(tblDados[Visitante]),0))),_xlpm.l,IFERROR(INDEX(tblDados[Liga],MATCH($A196,TRIM(tblDados[Mandante]),0)),INDEX(tblDados[Liga],MATCH($A196,TRIM(tblDados[Visitante]),0))),_xlpm.p&amp;" - "&amp;_xlpm.l))</f>
        <v>USA - MLS-East</v>
      </c>
      <c r="C196" s="10">
        <f t="shared" si="45"/>
        <v>3.1428571428571428</v>
      </c>
      <c r="D196" s="10">
        <f t="shared" si="46"/>
        <v>4.2</v>
      </c>
      <c r="E196" s="9" cm="1">
        <f t="array" ref="E196">IF($A196="","",SUMPRODUCT((TRIM(tblDados[Mandante])=$A196)*tblDados[Primeira_Ocorrencia]))</f>
        <v>7</v>
      </c>
      <c r="F196" s="9" cm="1">
        <f t="array" ref="F196">IF($A196="","",SUMPRODUCT((TRIM(tblDados[Visitante])=$A196)*tblDados[Primeira_Ocorrencia]))</f>
        <v>5</v>
      </c>
      <c r="G196" s="9" cm="1">
        <f t="array" ref="G196">IF($A196="","",SUMPRODUCT((TRIM(tblDados[Mandante])=$A196)*tblDados[Primeira_Ocorrencia])+SUMPRODUCT((TRIM(tblDados[Visitante])=$A196)*tblDados[Primeira_Ocorrencia]))</f>
        <v>12</v>
      </c>
      <c r="H196" s="10">
        <f t="shared" si="47"/>
        <v>2.0833333333333335</v>
      </c>
      <c r="I196" s="10" cm="1">
        <f t="array" ref="I196">IF($A196="","",_xlfn.LET(_xlpm.p,IFERROR(INDEX(tblDados[País],MATCH($A196,TRIM(tblDados[Mandante]),0)),INDEX(tblDados[País],MATCH($A196,TRIM(tblDados[Visitante]),0))),_xlpm.l,IFERROR(INDEX(tblDados[Liga],MATCH($A196,TRIM(tblDados[Mandante]),0)),INDEX(tblDados[Liga],MATCH($A196,TRIM(tblDados[Visitante]),0))),IFERROR(SUMIFS(Ligas!$D$2:$D$39,Ligas!$H$2:$H$39,_xlpm.p,Ligas!$I$2:$I$39,_xlpm.l),0)))</f>
        <v>3.3</v>
      </c>
      <c r="J196" s="11" cm="1">
        <f t="array" ref="J196">IF($A196="","",IFERROR((SUMPRODUCT((TRIM(tblDados[Mandante])=$A196)*tblDados[Primeira_Ocorrencia]*(tblDados[GM_M]=0))+SUMPRODUCT((TRIM(tblDados[Visitante])=$A196)*tblDados[Primeira_Ocorrencia]*(tblDados[GM_V]=0)))/G196,0))</f>
        <v>0</v>
      </c>
      <c r="K196" s="11" cm="1">
        <f t="array" ref="K196">IF($A196="","",IFERROR((SUMPRODUCT((TRIM(tblDados[Mandante])=$A196)*tblDados[Primeira_Ocorrencia]*((tblDados[GM_M]+tblDados[GS_M])&gt;0.5))+SUMPRODUCT((TRIM(tblDados[Visitante])=$A196)*tblDados[Primeira_Ocorrencia]*((tblDados[GM_V]+tblDados[GS_V])&gt;0.5)))/G196,0))</f>
        <v>1</v>
      </c>
      <c r="L196" s="11" cm="1">
        <f t="array" ref="L196">IF($A196="","",IFERROR((SUMPRODUCT((TRIM(tblDados[Mandante])=$A196)*tblDados[Primeira_Ocorrencia]*((tblDados[GM_M]+tblDados[GS_M])&gt;1.5))+SUMPRODUCT((TRIM(tblDados[Visitante])=$A196)*tblDados[Primeira_Ocorrencia]*((tblDados[GM_V]+tblDados[GS_V])&gt;1.5)))/G196,0))</f>
        <v>0.83333333333333337</v>
      </c>
      <c r="M196" s="11" cm="1">
        <f t="array" ref="M196">IF($A196="","",IFERROR((SUMPRODUCT((TRIM(tblDados[Mandante])=$A196)*tblDados[Primeira_Ocorrencia]*((tblDados[GM_M]+tblDados[GS_M])&gt;2.5))+SUMPRODUCT((TRIM(tblDados[Visitante])=$A196)*tblDados[Primeira_Ocorrencia]*((tblDados[GM_V]+tblDados[GS_V])&gt;2.5)))/G196,0))</f>
        <v>0.75</v>
      </c>
      <c r="N196" s="11" cm="1">
        <f t="array" ref="N196">IF($A196="","",IFERROR((SUMPRODUCT((TRIM(tblDados[Mandante])=$A196)*tblDados[Primeira_Ocorrencia]*((tblDados[GM_M]+tblDados[GS_M])&gt;3.5))+SUMPRODUCT((TRIM(tblDados[Visitante])=$A196)*tblDados[Primeira_Ocorrencia]*((tblDados[GM_V]+tblDados[GS_V])&gt;3.5)))/G196,0))</f>
        <v>0.58333333333333337</v>
      </c>
      <c r="O196" s="11" cm="1">
        <f t="array" ref="O196">IF($A196="","",IFERROR((SUMPRODUCT((TRIM(tblDados[Mandante])=$A196)*tblDados[Primeira_Ocorrencia]*(tblDados[GM_M]&gt;0)*(tblDados[GS_M]&gt;0))+SUMPRODUCT((TRIM(tblDados[Visitante])=$A196)*tblDados[Primeira_Ocorrencia]*(tblDados[GM_V]&gt;0)*(tblDados[GS_V]&gt;0)))/G196,0))</f>
        <v>0.66666666666666663</v>
      </c>
      <c r="P196" s="10" cm="1">
        <f t="array" ref="P196">IF($A196="","",IFERROR((SUMPRODUCT((TRIM(tblDados[Mandante])=$A196)*tblDados[Primeira_Ocorrencia]*tblDados[GM_M]^2)+SUMPRODUCT((TRIM(tblDados[Visitante])=$A196)*tblDados[Primeira_Ocorrencia]*tblDados[GM_V]^2))/G196-H196^2,0))</f>
        <v>1.2430555555555545</v>
      </c>
      <c r="Q196" s="10">
        <f t="shared" si="48"/>
        <v>1.1149240133549705</v>
      </c>
      <c r="R196" s="8" t="str">
        <f t="shared" si="49"/>
        <v>Poisson</v>
      </c>
      <c r="S196" s="10" cm="1">
        <f t="array" ref="S196">IF($A196="","",SUMPRODUCT((TRIM(tblDados[Mandante])=$A196)*tblDados[Primeira_Ocorrencia]*tblDados[GM_M]))</f>
        <v>14</v>
      </c>
      <c r="T196" s="10" cm="1">
        <f t="array" ref="T196">IF($A196="","",SUMPRODUCT((TRIM(tblDados[Visitante])=$A196)*tblDados[Primeira_Ocorrencia]*tblDados[GM_V]))</f>
        <v>11</v>
      </c>
      <c r="U196" s="10">
        <f t="shared" si="50"/>
        <v>25</v>
      </c>
      <c r="V196" s="10">
        <f t="shared" si="39"/>
        <v>2.0833333333333335</v>
      </c>
      <c r="W196" s="10" cm="1">
        <f t="array" ref="W196">IF($A196="","",SUMPRODUCT((TRIM(tblDados[Mandante])=$A196)*tblDados[Primeira_Ocorrencia]*tblDados[GS_M]))</f>
        <v>8</v>
      </c>
      <c r="X196" s="10" cm="1">
        <f t="array" ref="X196">IF($A196="","",SUMPRODUCT((TRIM(tblDados[Visitante])=$A196)*tblDados[Primeira_Ocorrencia]*tblDados[GS_V]))</f>
        <v>10</v>
      </c>
      <c r="Y196" s="10">
        <f t="shared" si="51"/>
        <v>18</v>
      </c>
      <c r="Z196" s="10">
        <f t="shared" si="40"/>
        <v>1.5</v>
      </c>
      <c r="AA196" s="10">
        <f t="shared" si="41"/>
        <v>2</v>
      </c>
      <c r="AB196" s="10">
        <f t="shared" si="42"/>
        <v>1.1428571428571428</v>
      </c>
      <c r="AC196" s="10">
        <f t="shared" si="43"/>
        <v>2.2000000000000002</v>
      </c>
      <c r="AD196" s="10">
        <f t="shared" si="44"/>
        <v>2</v>
      </c>
    </row>
    <row r="197" spans="1:30" x14ac:dyDescent="0.3">
      <c r="A197" s="7" t="str">
        <v>Colo-Colo</v>
      </c>
      <c r="B197" s="12" t="str" cm="1">
        <f t="array" ref="B197">IF($A197="","",_xlfn.LET(_xlpm.p,IFERROR(INDEX(tblDados[País],MATCH($A197,TRIM(tblDados[Mandante]),0)),INDEX(tblDados[País],MATCH($A197,TRIM(tblDados[Visitante]),0))),_xlpm.l,IFERROR(INDEX(tblDados[Liga],MATCH($A197,TRIM(tblDados[Mandante]),0)),INDEX(tblDados[Liga],MATCH($A197,TRIM(tblDados[Visitante]),0))),_xlpm.p&amp;" - "&amp;_xlpm.l))</f>
        <v>CHI - Liga de Primera</v>
      </c>
      <c r="C197" s="10">
        <f t="shared" si="45"/>
        <v>3.666666666666667</v>
      </c>
      <c r="D197" s="10">
        <f t="shared" si="46"/>
        <v>3.5</v>
      </c>
      <c r="E197" s="9" cm="1">
        <f t="array" ref="E197">IF($A197="","",SUMPRODUCT((TRIM(tblDados[Mandante])=$A197)*tblDados[Primeira_Ocorrencia]))</f>
        <v>6</v>
      </c>
      <c r="F197" s="9" cm="1">
        <f t="array" ref="F197">IF($A197="","",SUMPRODUCT((TRIM(tblDados[Visitante])=$A197)*tblDados[Primeira_Ocorrencia]))</f>
        <v>6</v>
      </c>
      <c r="G197" s="9" cm="1">
        <f t="array" ref="G197">IF($A197="","",SUMPRODUCT((TRIM(tblDados[Mandante])=$A197)*tblDados[Primeira_Ocorrencia])+SUMPRODUCT((TRIM(tblDados[Visitante])=$A197)*tblDados[Primeira_Ocorrencia]))</f>
        <v>12</v>
      </c>
      <c r="H197" s="10">
        <f t="shared" si="47"/>
        <v>2.5833333333333335</v>
      </c>
      <c r="I197" s="10" cm="1">
        <f t="array" ref="I197">IF($A197="","",_xlfn.LET(_xlpm.p,IFERROR(INDEX(tblDados[País],MATCH($A197,TRIM(tblDados[Mandante]),0)),INDEX(tblDados[País],MATCH($A197,TRIM(tblDados[Visitante]),0))),_xlpm.l,IFERROR(INDEX(tblDados[Liga],MATCH($A197,TRIM(tblDados[Mandante]),0)),INDEX(tblDados[Liga],MATCH($A197,TRIM(tblDados[Visitante]),0))),IFERROR(SUMIFS(Ligas!$D$2:$D$39,Ligas!$H$2:$H$39,_xlpm.p,Ligas!$I$2:$I$39,_xlpm.l),0)))</f>
        <v>2.5</v>
      </c>
      <c r="J197" s="11" cm="1">
        <f t="array" ref="J197">IF($A197="","",IFERROR((SUMPRODUCT((TRIM(tblDados[Mandante])=$A197)*tblDados[Primeira_Ocorrencia]*(tblDados[GM_M]=0))+SUMPRODUCT((TRIM(tblDados[Visitante])=$A197)*tblDados[Primeira_Ocorrencia]*(tblDados[GM_V]=0)))/G197,0))</f>
        <v>8.3333333333333329E-2</v>
      </c>
      <c r="K197" s="11" cm="1">
        <f t="array" ref="K197">IF($A197="","",IFERROR((SUMPRODUCT((TRIM(tblDados[Mandante])=$A197)*tblDados[Primeira_Ocorrencia]*((tblDados[GM_M]+tblDados[GS_M])&gt;0.5))+SUMPRODUCT((TRIM(tblDados[Visitante])=$A197)*tblDados[Primeira_Ocorrencia]*((tblDados[GM_V]+tblDados[GS_V])&gt;0.5)))/G197,0))</f>
        <v>1</v>
      </c>
      <c r="L197" s="11" cm="1">
        <f t="array" ref="L197">IF($A197="","",IFERROR((SUMPRODUCT((TRIM(tblDados[Mandante])=$A197)*tblDados[Primeira_Ocorrencia]*((tblDados[GM_M]+tblDados[GS_M])&gt;1.5))+SUMPRODUCT((TRIM(tblDados[Visitante])=$A197)*tblDados[Primeira_Ocorrencia]*((tblDados[GM_V]+tblDados[GS_V])&gt;1.5)))/G197,0))</f>
        <v>0.75</v>
      </c>
      <c r="M197" s="11" cm="1">
        <f t="array" ref="M197">IF($A197="","",IFERROR((SUMPRODUCT((TRIM(tblDados[Mandante])=$A197)*tblDados[Primeira_Ocorrencia]*((tblDados[GM_M]+tblDados[GS_M])&gt;2.5))+SUMPRODUCT((TRIM(tblDados[Visitante])=$A197)*tblDados[Primeira_Ocorrencia]*((tblDados[GM_V]+tblDados[GS_V])&gt;2.5)))/G197,0))</f>
        <v>0.66666666666666663</v>
      </c>
      <c r="N197" s="11" cm="1">
        <f t="array" ref="N197">IF($A197="","",IFERROR((SUMPRODUCT((TRIM(tblDados[Mandante])=$A197)*tblDados[Primeira_Ocorrencia]*((tblDados[GM_M]+tblDados[GS_M])&gt;3.5))+SUMPRODUCT((TRIM(tblDados[Visitante])=$A197)*tblDados[Primeira_Ocorrencia]*((tblDados[GM_V]+tblDados[GS_V])&gt;3.5)))/G197,0))</f>
        <v>0.41666666666666669</v>
      </c>
      <c r="O197" s="11" cm="1">
        <f t="array" ref="O197">IF($A197="","",IFERROR((SUMPRODUCT((TRIM(tblDados[Mandante])=$A197)*tblDados[Primeira_Ocorrencia]*(tblDados[GM_M]&gt;0)*(tblDados[GS_M]&gt;0))+SUMPRODUCT((TRIM(tblDados[Visitante])=$A197)*tblDados[Primeira_Ocorrencia]*(tblDados[GM_V]&gt;0)*(tblDados[GS_V]&gt;0)))/G197,0))</f>
        <v>0.58333333333333337</v>
      </c>
      <c r="P197" s="10" cm="1">
        <f t="array" ref="P197">IF($A197="","",IFERROR((SUMPRODUCT((TRIM(tblDados[Mandante])=$A197)*tblDados[Primeira_Ocorrencia]*tblDados[GM_M]^2)+SUMPRODUCT((TRIM(tblDados[Visitante])=$A197)*tblDados[Primeira_Ocorrencia]*tblDados[GM_V]^2))/G197-H197^2,0))</f>
        <v>2.4097222222222223</v>
      </c>
      <c r="Q197" s="10">
        <f t="shared" si="48"/>
        <v>1.5523280008497631</v>
      </c>
      <c r="R197" s="8" t="str">
        <f t="shared" si="49"/>
        <v>Poisson</v>
      </c>
      <c r="S197" s="10" cm="1">
        <f t="array" ref="S197">IF($A197="","",SUMPRODUCT((TRIM(tblDados[Mandante])=$A197)*tblDados[Primeira_Ocorrencia]*tblDados[GM_M]))</f>
        <v>17</v>
      </c>
      <c r="T197" s="10" cm="1">
        <f t="array" ref="T197">IF($A197="","",SUMPRODUCT((TRIM(tblDados[Visitante])=$A197)*tblDados[Primeira_Ocorrencia]*tblDados[GM_V]))</f>
        <v>14</v>
      </c>
      <c r="U197" s="10">
        <f t="shared" si="50"/>
        <v>31</v>
      </c>
      <c r="V197" s="10">
        <f t="shared" si="39"/>
        <v>2.5833333333333335</v>
      </c>
      <c r="W197" s="10" cm="1">
        <f t="array" ref="W197">IF($A197="","",SUMPRODUCT((TRIM(tblDados[Mandante])=$A197)*tblDados[Primeira_Ocorrencia]*tblDados[GS_M]))</f>
        <v>5</v>
      </c>
      <c r="X197" s="10" cm="1">
        <f t="array" ref="X197">IF($A197="","",SUMPRODUCT((TRIM(tblDados[Visitante])=$A197)*tblDados[Primeira_Ocorrencia]*tblDados[GS_V]))</f>
        <v>7</v>
      </c>
      <c r="Y197" s="10">
        <f t="shared" si="51"/>
        <v>12</v>
      </c>
      <c r="Z197" s="10">
        <f t="shared" si="40"/>
        <v>1</v>
      </c>
      <c r="AA197" s="10">
        <f t="shared" si="41"/>
        <v>2.8333333333333335</v>
      </c>
      <c r="AB197" s="10">
        <f t="shared" si="42"/>
        <v>0.83333333333333337</v>
      </c>
      <c r="AC197" s="10">
        <f t="shared" si="43"/>
        <v>2.3333333333333335</v>
      </c>
      <c r="AD197" s="10">
        <f t="shared" si="44"/>
        <v>1.1666666666666667</v>
      </c>
    </row>
    <row r="198" spans="1:30" x14ac:dyDescent="0.3">
      <c r="A198" s="7" t="str">
        <v>Colorado Rapids</v>
      </c>
      <c r="B198" s="12" t="str" cm="1">
        <f t="array" ref="B198">IF($A198="","",_xlfn.LET(_xlpm.p,IFERROR(INDEX(tblDados[País],MATCH($A198,TRIM(tblDados[Mandante]),0)),INDEX(tblDados[País],MATCH($A198,TRIM(tblDados[Visitante]),0))),_xlpm.l,IFERROR(INDEX(tblDados[Liga],MATCH($A198,TRIM(tblDados[Mandante]),0)),INDEX(tblDados[Liga],MATCH($A198,TRIM(tblDados[Visitante]),0))),_xlpm.p&amp;" - "&amp;_xlpm.l))</f>
        <v>USA - MLS-West</v>
      </c>
      <c r="C198" s="10">
        <f t="shared" si="45"/>
        <v>3.1666666666666665</v>
      </c>
      <c r="D198" s="10">
        <f t="shared" si="46"/>
        <v>1.6666666666666667</v>
      </c>
      <c r="E198" s="9" cm="1">
        <f t="array" ref="E198">IF($A198="","",SUMPRODUCT((TRIM(tblDados[Mandante])=$A198)*tblDados[Primeira_Ocorrencia]))</f>
        <v>6</v>
      </c>
      <c r="F198" s="9" cm="1">
        <f t="array" ref="F198">IF($A198="","",SUMPRODUCT((TRIM(tblDados[Visitante])=$A198)*tblDados[Primeira_Ocorrencia]))</f>
        <v>6</v>
      </c>
      <c r="G198" s="9" cm="1">
        <f t="array" ref="G198">IF($A198="","",SUMPRODUCT((TRIM(tblDados[Mandante])=$A198)*tblDados[Primeira_Ocorrencia])+SUMPRODUCT((TRIM(tblDados[Visitante])=$A198)*tblDados[Primeira_Ocorrencia]))</f>
        <v>12</v>
      </c>
      <c r="H198" s="10">
        <f t="shared" si="47"/>
        <v>1.1666666666666667</v>
      </c>
      <c r="I198" s="10" cm="1">
        <f t="array" ref="I198">IF($A198="","",_xlfn.LET(_xlpm.p,IFERROR(INDEX(tblDados[País],MATCH($A198,TRIM(tblDados[Mandante]),0)),INDEX(tblDados[País],MATCH($A198,TRIM(tblDados[Visitante]),0))),_xlpm.l,IFERROR(INDEX(tblDados[Liga],MATCH($A198,TRIM(tblDados[Mandante]),0)),INDEX(tblDados[Liga],MATCH($A198,TRIM(tblDados[Visitante]),0))),IFERROR(SUMIFS(Ligas!$D$2:$D$39,Ligas!$H$2:$H$39,_xlpm.p,Ligas!$I$2:$I$39,_xlpm.l),0)))</f>
        <v>3.3</v>
      </c>
      <c r="J198" s="11" cm="1">
        <f t="array" ref="J198">IF($A198="","",IFERROR((SUMPRODUCT((TRIM(tblDados[Mandante])=$A198)*tblDados[Primeira_Ocorrencia]*(tblDados[GM_M]=0))+SUMPRODUCT((TRIM(tblDados[Visitante])=$A198)*tblDados[Primeira_Ocorrencia]*(tblDados[GM_V]=0)))/G198,0))</f>
        <v>0.33333333333333331</v>
      </c>
      <c r="K198" s="11" cm="1">
        <f t="array" ref="K198">IF($A198="","",IFERROR((SUMPRODUCT((TRIM(tblDados[Mandante])=$A198)*tblDados[Primeira_Ocorrencia]*((tblDados[GM_M]+tblDados[GS_M])&gt;0.5))+SUMPRODUCT((TRIM(tblDados[Visitante])=$A198)*tblDados[Primeira_Ocorrencia]*((tblDados[GM_V]+tblDados[GS_V])&gt;0.5)))/G198,0))</f>
        <v>0.91666666666666663</v>
      </c>
      <c r="L198" s="11" cm="1">
        <f t="array" ref="L198">IF($A198="","",IFERROR((SUMPRODUCT((TRIM(tblDados[Mandante])=$A198)*tblDados[Primeira_Ocorrencia]*((tblDados[GM_M]+tblDados[GS_M])&gt;1.5))+SUMPRODUCT((TRIM(tblDados[Visitante])=$A198)*tblDados[Primeira_Ocorrencia]*((tblDados[GM_V]+tblDados[GS_V])&gt;1.5)))/G198,0))</f>
        <v>0.41666666666666669</v>
      </c>
      <c r="M198" s="11" cm="1">
        <f t="array" ref="M198">IF($A198="","",IFERROR((SUMPRODUCT((TRIM(tblDados[Mandante])=$A198)*tblDados[Primeira_Ocorrencia]*((tblDados[GM_M]+tblDados[GS_M])&gt;2.5))+SUMPRODUCT((TRIM(tblDados[Visitante])=$A198)*tblDados[Primeira_Ocorrencia]*((tblDados[GM_V]+tblDados[GS_V])&gt;2.5)))/G198,0))</f>
        <v>0.41666666666666669</v>
      </c>
      <c r="N198" s="11" cm="1">
        <f t="array" ref="N198">IF($A198="","",IFERROR((SUMPRODUCT((TRIM(tblDados[Mandante])=$A198)*tblDados[Primeira_Ocorrencia]*((tblDados[GM_M]+tblDados[GS_M])&gt;3.5))+SUMPRODUCT((TRIM(tblDados[Visitante])=$A198)*tblDados[Primeira_Ocorrencia]*((tblDados[GM_V]+tblDados[GS_V])&gt;3.5)))/G198,0))</f>
        <v>0.25</v>
      </c>
      <c r="O198" s="11" cm="1">
        <f t="array" ref="O198">IF($A198="","",IFERROR((SUMPRODUCT((TRIM(tblDados[Mandante])=$A198)*tblDados[Primeira_Ocorrencia]*(tblDados[GM_M]&gt;0)*(tblDados[GS_M]&gt;0))+SUMPRODUCT((TRIM(tblDados[Visitante])=$A198)*tblDados[Primeira_Ocorrencia]*(tblDados[GM_V]&gt;0)*(tblDados[GS_V]&gt;0)))/G198,0))</f>
        <v>0.41666666666666669</v>
      </c>
      <c r="P198" s="10" cm="1">
        <f t="array" ref="P198">IF($A198="","",IFERROR((SUMPRODUCT((TRIM(tblDados[Mandante])=$A198)*tblDados[Primeira_Ocorrencia]*tblDados[GM_M]^2)+SUMPRODUCT((TRIM(tblDados[Visitante])=$A198)*tblDados[Primeira_Ocorrencia]*tblDados[GM_V]^2))/G198-H198^2,0))</f>
        <v>2.4722222222222223</v>
      </c>
      <c r="Q198" s="10">
        <f t="shared" si="48"/>
        <v>1.5723301886761007</v>
      </c>
      <c r="R198" s="8" t="str">
        <f t="shared" si="49"/>
        <v>Binomial Negativa</v>
      </c>
      <c r="S198" s="10" cm="1">
        <f t="array" ref="S198">IF($A198="","",SUMPRODUCT((TRIM(tblDados[Mandante])=$A198)*tblDados[Primeira_Ocorrencia]*tblDados[GM_M]))</f>
        <v>11</v>
      </c>
      <c r="T198" s="10" cm="1">
        <f t="array" ref="T198">IF($A198="","",SUMPRODUCT((TRIM(tblDados[Visitante])=$A198)*tblDados[Primeira_Ocorrencia]*tblDados[GM_V]))</f>
        <v>3</v>
      </c>
      <c r="U198" s="10">
        <f t="shared" si="50"/>
        <v>14</v>
      </c>
      <c r="V198" s="10">
        <f t="shared" si="39"/>
        <v>1.1666666666666667</v>
      </c>
      <c r="W198" s="10" cm="1">
        <f t="array" ref="W198">IF($A198="","",SUMPRODUCT((TRIM(tblDados[Mandante])=$A198)*tblDados[Primeira_Ocorrencia]*tblDados[GS_M]))</f>
        <v>8</v>
      </c>
      <c r="X198" s="10" cm="1">
        <f t="array" ref="X198">IF($A198="","",SUMPRODUCT((TRIM(tblDados[Visitante])=$A198)*tblDados[Primeira_Ocorrencia]*tblDados[GS_V]))</f>
        <v>7</v>
      </c>
      <c r="Y198" s="10">
        <f t="shared" si="51"/>
        <v>15</v>
      </c>
      <c r="Z198" s="10">
        <f t="shared" si="40"/>
        <v>1.25</v>
      </c>
      <c r="AA198" s="10">
        <f t="shared" si="41"/>
        <v>1.8333333333333333</v>
      </c>
      <c r="AB198" s="10">
        <f t="shared" si="42"/>
        <v>1.3333333333333333</v>
      </c>
      <c r="AC198" s="10">
        <f t="shared" si="43"/>
        <v>0.5</v>
      </c>
      <c r="AD198" s="10">
        <f t="shared" si="44"/>
        <v>1.1666666666666667</v>
      </c>
    </row>
    <row r="199" spans="1:30" x14ac:dyDescent="0.3">
      <c r="A199" s="7" t="str">
        <v>Columbus Crew</v>
      </c>
      <c r="B199" s="12" t="str" cm="1">
        <f t="array" ref="B199">IF($A199="","",_xlfn.LET(_xlpm.p,IFERROR(INDEX(tblDados[País],MATCH($A199,TRIM(tblDados[Mandante]),0)),INDEX(tblDados[País],MATCH($A199,TRIM(tblDados[Visitante]),0))),_xlpm.l,IFERROR(INDEX(tblDados[Liga],MATCH($A199,TRIM(tblDados[Mandante]),0)),INDEX(tblDados[Liga],MATCH($A199,TRIM(tblDados[Visitante]),0))),_xlpm.p&amp;" - "&amp;_xlpm.l))</f>
        <v>USA - MLS-East</v>
      </c>
      <c r="C199" s="10">
        <f t="shared" si="45"/>
        <v>2.8571428571428568</v>
      </c>
      <c r="D199" s="10">
        <f t="shared" si="46"/>
        <v>3.4000000000000004</v>
      </c>
      <c r="E199" s="9" cm="1">
        <f t="array" ref="E199">IF($A199="","",SUMPRODUCT((TRIM(tblDados[Mandante])=$A199)*tblDados[Primeira_Ocorrencia]))</f>
        <v>7</v>
      </c>
      <c r="F199" s="9" cm="1">
        <f t="array" ref="F199">IF($A199="","",SUMPRODUCT((TRIM(tblDados[Visitante])=$A199)*tblDados[Primeira_Ocorrencia]))</f>
        <v>5</v>
      </c>
      <c r="G199" s="9" cm="1">
        <f t="array" ref="G199">IF($A199="","",SUMPRODUCT((TRIM(tblDados[Mandante])=$A199)*tblDados[Primeira_Ocorrencia])+SUMPRODUCT((TRIM(tblDados[Visitante])=$A199)*tblDados[Primeira_Ocorrencia]))</f>
        <v>12</v>
      </c>
      <c r="H199" s="10">
        <f t="shared" si="47"/>
        <v>1.5</v>
      </c>
      <c r="I199" s="10" cm="1">
        <f t="array" ref="I199">IF($A199="","",_xlfn.LET(_xlpm.p,IFERROR(INDEX(tblDados[País],MATCH($A199,TRIM(tblDados[Mandante]),0)),INDEX(tblDados[País],MATCH($A199,TRIM(tblDados[Visitante]),0))),_xlpm.l,IFERROR(INDEX(tblDados[Liga],MATCH($A199,TRIM(tblDados[Mandante]),0)),INDEX(tblDados[Liga],MATCH($A199,TRIM(tblDados[Visitante]),0))),IFERROR(SUMIFS(Ligas!$D$2:$D$39,Ligas!$H$2:$H$39,_xlpm.p,Ligas!$I$2:$I$39,_xlpm.l),0)))</f>
        <v>3.3</v>
      </c>
      <c r="J199" s="11" cm="1">
        <f t="array" ref="J199">IF($A199="","",IFERROR((SUMPRODUCT((TRIM(tblDados[Mandante])=$A199)*tblDados[Primeira_Ocorrencia]*(tblDados[GM_M]=0))+SUMPRODUCT((TRIM(tblDados[Visitante])=$A199)*tblDados[Primeira_Ocorrencia]*(tblDados[GM_V]=0)))/G199,0))</f>
        <v>8.3333333333333329E-2</v>
      </c>
      <c r="K199" s="11" cm="1">
        <f t="array" ref="K199">IF($A199="","",IFERROR((SUMPRODUCT((TRIM(tblDados[Mandante])=$A199)*tblDados[Primeira_Ocorrencia]*((tblDados[GM_M]+tblDados[GS_M])&gt;0.5))+SUMPRODUCT((TRIM(tblDados[Visitante])=$A199)*tblDados[Primeira_Ocorrencia]*((tblDados[GM_V]+tblDados[GS_V])&gt;0.5)))/G199,0))</f>
        <v>1</v>
      </c>
      <c r="L199" s="11" cm="1">
        <f t="array" ref="L199">IF($A199="","",IFERROR((SUMPRODUCT((TRIM(tblDados[Mandante])=$A199)*tblDados[Primeira_Ocorrencia]*((tblDados[GM_M]+tblDados[GS_M])&gt;1.5))+SUMPRODUCT((TRIM(tblDados[Visitante])=$A199)*tblDados[Primeira_Ocorrencia]*((tblDados[GM_V]+tblDados[GS_V])&gt;1.5)))/G199,0))</f>
        <v>1</v>
      </c>
      <c r="M199" s="11" cm="1">
        <f t="array" ref="M199">IF($A199="","",IFERROR((SUMPRODUCT((TRIM(tblDados[Mandante])=$A199)*tblDados[Primeira_Ocorrencia]*((tblDados[GM_M]+tblDados[GS_M])&gt;2.5))+SUMPRODUCT((TRIM(tblDados[Visitante])=$A199)*tblDados[Primeira_Ocorrencia]*((tblDados[GM_V]+tblDados[GS_V])&gt;2.5)))/G199,0))</f>
        <v>0.66666666666666663</v>
      </c>
      <c r="N199" s="11" cm="1">
        <f t="array" ref="N199">IF($A199="","",IFERROR((SUMPRODUCT((TRIM(tblDados[Mandante])=$A199)*tblDados[Primeira_Ocorrencia]*((tblDados[GM_M]+tblDados[GS_M])&gt;3.5))+SUMPRODUCT((TRIM(tblDados[Visitante])=$A199)*tblDados[Primeira_Ocorrencia]*((tblDados[GM_V]+tblDados[GS_V])&gt;3.5)))/G199,0))</f>
        <v>0.25</v>
      </c>
      <c r="O199" s="11" cm="1">
        <f t="array" ref="O199">IF($A199="","",IFERROR((SUMPRODUCT((TRIM(tblDados[Mandante])=$A199)*tblDados[Primeira_Ocorrencia]*(tblDados[GM_M]&gt;0)*(tblDados[GS_M]&gt;0))+SUMPRODUCT((TRIM(tblDados[Visitante])=$A199)*tblDados[Primeira_Ocorrencia]*(tblDados[GM_V]&gt;0)*(tblDados[GS_V]&gt;0)))/G199,0))</f>
        <v>0.75</v>
      </c>
      <c r="P199" s="10" cm="1">
        <f t="array" ref="P199">IF($A199="","",IFERROR((SUMPRODUCT((TRIM(tblDados[Mandante])=$A199)*tblDados[Primeira_Ocorrencia]*tblDados[GM_M]^2)+SUMPRODUCT((TRIM(tblDados[Visitante])=$A199)*tblDados[Primeira_Ocorrencia]*tblDados[GM_V]^2))/G199-H199^2,0))</f>
        <v>0.41666666666666652</v>
      </c>
      <c r="Q199" s="10">
        <f t="shared" si="48"/>
        <v>0.64549722436790269</v>
      </c>
      <c r="R199" s="8" t="str">
        <f t="shared" si="49"/>
        <v>Poisson</v>
      </c>
      <c r="S199" s="10" cm="1">
        <f t="array" ref="S199">IF($A199="","",SUMPRODUCT((TRIM(tblDados[Mandante])=$A199)*tblDados[Primeira_Ocorrencia]*tblDados[GM_M]))</f>
        <v>12</v>
      </c>
      <c r="T199" s="10" cm="1">
        <f t="array" ref="T199">IF($A199="","",SUMPRODUCT((TRIM(tblDados[Visitante])=$A199)*tblDados[Primeira_Ocorrencia]*tblDados[GM_V]))</f>
        <v>6</v>
      </c>
      <c r="U199" s="10">
        <f t="shared" si="50"/>
        <v>18</v>
      </c>
      <c r="V199" s="10">
        <f t="shared" si="39"/>
        <v>1.5</v>
      </c>
      <c r="W199" s="10" cm="1">
        <f t="array" ref="W199">IF($A199="","",SUMPRODUCT((TRIM(tblDados[Mandante])=$A199)*tblDados[Primeira_Ocorrencia]*tblDados[GS_M]))</f>
        <v>8</v>
      </c>
      <c r="X199" s="10" cm="1">
        <f t="array" ref="X199">IF($A199="","",SUMPRODUCT((TRIM(tblDados[Visitante])=$A199)*tblDados[Primeira_Ocorrencia]*tblDados[GS_V]))</f>
        <v>11</v>
      </c>
      <c r="Y199" s="10">
        <f t="shared" si="51"/>
        <v>19</v>
      </c>
      <c r="Z199" s="10">
        <f t="shared" si="40"/>
        <v>1.5833333333333333</v>
      </c>
      <c r="AA199" s="10">
        <f t="shared" si="41"/>
        <v>1.7142857142857142</v>
      </c>
      <c r="AB199" s="10">
        <f t="shared" si="42"/>
        <v>1.1428571428571428</v>
      </c>
      <c r="AC199" s="10">
        <f t="shared" si="43"/>
        <v>1.2</v>
      </c>
      <c r="AD199" s="10">
        <f t="shared" si="44"/>
        <v>2.2000000000000002</v>
      </c>
    </row>
    <row r="200" spans="1:30" x14ac:dyDescent="0.3">
      <c r="A200" s="7" t="str">
        <v>Confiança</v>
      </c>
      <c r="B200" s="12" t="str" cm="1">
        <f t="array" ref="B200">IF($A200="","",_xlfn.LET(_xlpm.p,IFERROR(INDEX(tblDados[País],MATCH($A200,TRIM(tblDados[Mandante]),0)),INDEX(tblDados[País],MATCH($A200,TRIM(tblDados[Visitante]),0))),_xlpm.l,IFERROR(INDEX(tblDados[Liga],MATCH($A200,TRIM(tblDados[Mandante]),0)),INDEX(tblDados[Liga],MATCH($A200,TRIM(tblDados[Visitante]),0))),_xlpm.p&amp;" - "&amp;_xlpm.l))</f>
        <v>BRA - Série C</v>
      </c>
      <c r="C200" s="10">
        <f t="shared" si="45"/>
        <v>2.333333333333333</v>
      </c>
      <c r="D200" s="10">
        <f t="shared" si="46"/>
        <v>3</v>
      </c>
      <c r="E200" s="9" cm="1">
        <f t="array" ref="E200">IF($A200="","",SUMPRODUCT((TRIM(tblDados[Mandante])=$A200)*tblDados[Primeira_Ocorrencia]))</f>
        <v>6</v>
      </c>
      <c r="F200" s="9" cm="1">
        <f t="array" ref="F200">IF($A200="","",SUMPRODUCT((TRIM(tblDados[Visitante])=$A200)*tblDados[Primeira_Ocorrencia]))</f>
        <v>6</v>
      </c>
      <c r="G200" s="9" cm="1">
        <f t="array" ref="G200">IF($A200="","",SUMPRODUCT((TRIM(tblDados[Mandante])=$A200)*tblDados[Primeira_Ocorrencia])+SUMPRODUCT((TRIM(tblDados[Visitante])=$A200)*tblDados[Primeira_Ocorrencia]))</f>
        <v>12</v>
      </c>
      <c r="H200" s="10">
        <f t="shared" si="47"/>
        <v>0.91666666666666663</v>
      </c>
      <c r="I200" s="10" cm="1">
        <f t="array" ref="I200">IF($A200="","",_xlfn.LET(_xlpm.p,IFERROR(INDEX(tblDados[País],MATCH($A200,TRIM(tblDados[Mandante]),0)),INDEX(tblDados[País],MATCH($A200,TRIM(tblDados[Visitante]),0))),_xlpm.l,IFERROR(INDEX(tblDados[Liga],MATCH($A200,TRIM(tblDados[Mandante]),0)),INDEX(tblDados[Liga],MATCH($A200,TRIM(tblDados[Visitante]),0))),IFERROR(SUMIFS(Ligas!$D$2:$D$39,Ligas!$H$2:$H$39,_xlpm.p,Ligas!$I$2:$I$39,_xlpm.l),0)))</f>
        <v>2.09</v>
      </c>
      <c r="J200" s="11" cm="1">
        <f t="array" ref="J200">IF($A200="","",IFERROR((SUMPRODUCT((TRIM(tblDados[Mandante])=$A200)*tblDados[Primeira_Ocorrencia]*(tblDados[GM_M]=0))+SUMPRODUCT((TRIM(tblDados[Visitante])=$A200)*tblDados[Primeira_Ocorrencia]*(tblDados[GM_V]=0)))/G200,0))</f>
        <v>0.25</v>
      </c>
      <c r="K200" s="11" cm="1">
        <f t="array" ref="K200">IF($A200="","",IFERROR((SUMPRODUCT((TRIM(tblDados[Mandante])=$A200)*tblDados[Primeira_Ocorrencia]*((tblDados[GM_M]+tblDados[GS_M])&gt;0.5))+SUMPRODUCT((TRIM(tblDados[Visitante])=$A200)*tblDados[Primeira_Ocorrencia]*((tblDados[GM_V]+tblDados[GS_V])&gt;0.5)))/G200,0))</f>
        <v>1</v>
      </c>
      <c r="L200" s="11" cm="1">
        <f t="array" ref="L200">IF($A200="","",IFERROR((SUMPRODUCT((TRIM(tblDados[Mandante])=$A200)*tblDados[Primeira_Ocorrencia]*((tblDados[GM_M]+tblDados[GS_M])&gt;1.5))+SUMPRODUCT((TRIM(tblDados[Visitante])=$A200)*tblDados[Primeira_Ocorrencia]*((tblDados[GM_V]+tblDados[GS_V])&gt;1.5)))/G200,0))</f>
        <v>0.91666666666666663</v>
      </c>
      <c r="M200" s="11" cm="1">
        <f t="array" ref="M200">IF($A200="","",IFERROR((SUMPRODUCT((TRIM(tblDados[Mandante])=$A200)*tblDados[Primeira_Ocorrencia]*((tblDados[GM_M]+tblDados[GS_M])&gt;2.5))+SUMPRODUCT((TRIM(tblDados[Visitante])=$A200)*tblDados[Primeira_Ocorrencia]*((tblDados[GM_V]+tblDados[GS_V])&gt;2.5)))/G200,0))</f>
        <v>0.5</v>
      </c>
      <c r="N200" s="11" cm="1">
        <f t="array" ref="N200">IF($A200="","",IFERROR((SUMPRODUCT((TRIM(tblDados[Mandante])=$A200)*tblDados[Primeira_Ocorrencia]*((tblDados[GM_M]+tblDados[GS_M])&gt;3.5))+SUMPRODUCT((TRIM(tblDados[Visitante])=$A200)*tblDados[Primeira_Ocorrencia]*((tblDados[GM_V]+tblDados[GS_V])&gt;3.5)))/G200,0))</f>
        <v>0.25</v>
      </c>
      <c r="O200" s="11" cm="1">
        <f t="array" ref="O200">IF($A200="","",IFERROR((SUMPRODUCT((TRIM(tblDados[Mandante])=$A200)*tblDados[Primeira_Ocorrencia]*(tblDados[GM_M]&gt;0)*(tblDados[GS_M]&gt;0))+SUMPRODUCT((TRIM(tblDados[Visitante])=$A200)*tblDados[Primeira_Ocorrencia]*(tblDados[GM_V]&gt;0)*(tblDados[GS_V]&gt;0)))/G200,0))</f>
        <v>0.66666666666666663</v>
      </c>
      <c r="P200" s="10" cm="1">
        <f t="array" ref="P200">IF($A200="","",IFERROR((SUMPRODUCT((TRIM(tblDados[Mandante])=$A200)*tblDados[Primeira_Ocorrencia]*tblDados[GM_M]^2)+SUMPRODUCT((TRIM(tblDados[Visitante])=$A200)*tblDados[Primeira_Ocorrencia]*tblDados[GM_V]^2))/G200-H200^2,0))</f>
        <v>0.40972222222222232</v>
      </c>
      <c r="Q200" s="10">
        <f t="shared" si="48"/>
        <v>0.64009547898905073</v>
      </c>
      <c r="R200" s="8" t="str">
        <f t="shared" si="49"/>
        <v>Poisson</v>
      </c>
      <c r="S200" s="10" cm="1">
        <f t="array" ref="S200">IF($A200="","",SUMPRODUCT((TRIM(tblDados[Mandante])=$A200)*tblDados[Primeira_Ocorrencia]*tblDados[GM_M]))</f>
        <v>6</v>
      </c>
      <c r="T200" s="10" cm="1">
        <f t="array" ref="T200">IF($A200="","",SUMPRODUCT((TRIM(tblDados[Visitante])=$A200)*tblDados[Primeira_Ocorrencia]*tblDados[GM_V]))</f>
        <v>5</v>
      </c>
      <c r="U200" s="10">
        <f t="shared" si="50"/>
        <v>11</v>
      </c>
      <c r="V200" s="10">
        <f t="shared" si="39"/>
        <v>0.91666666666666663</v>
      </c>
      <c r="W200" s="10" cm="1">
        <f t="array" ref="W200">IF($A200="","",SUMPRODUCT((TRIM(tblDados[Mandante])=$A200)*tblDados[Primeira_Ocorrencia]*tblDados[GS_M]))</f>
        <v>8</v>
      </c>
      <c r="X200" s="10" cm="1">
        <f t="array" ref="X200">IF($A200="","",SUMPRODUCT((TRIM(tblDados[Visitante])=$A200)*tblDados[Primeira_Ocorrencia]*tblDados[GS_V]))</f>
        <v>13</v>
      </c>
      <c r="Y200" s="10">
        <f t="shared" si="51"/>
        <v>21</v>
      </c>
      <c r="Z200" s="10">
        <f t="shared" si="40"/>
        <v>1.75</v>
      </c>
      <c r="AA200" s="10">
        <f t="shared" si="41"/>
        <v>1</v>
      </c>
      <c r="AB200" s="10">
        <f t="shared" si="42"/>
        <v>1.3333333333333333</v>
      </c>
      <c r="AC200" s="10">
        <f t="shared" si="43"/>
        <v>0.83333333333333337</v>
      </c>
      <c r="AD200" s="10">
        <f t="shared" si="44"/>
        <v>2.1666666666666665</v>
      </c>
    </row>
    <row r="201" spans="1:30" x14ac:dyDescent="0.3">
      <c r="A201" s="7" t="str">
        <v>Coquimbo Unido</v>
      </c>
      <c r="B201" s="12" t="str" cm="1">
        <f t="array" ref="B201">IF($A201="","",_xlfn.LET(_xlpm.p,IFERROR(INDEX(tblDados[País],MATCH($A201,TRIM(tblDados[Mandante]),0)),INDEX(tblDados[País],MATCH($A201,TRIM(tblDados[Visitante]),0))),_xlpm.l,IFERROR(INDEX(tblDados[Liga],MATCH($A201,TRIM(tblDados[Mandante]),0)),INDEX(tblDados[Liga],MATCH($A201,TRIM(tblDados[Visitante]),0))),_xlpm.p&amp;" - "&amp;_xlpm.l))</f>
        <v>CHI - Liga de Primera</v>
      </c>
      <c r="C201" s="10">
        <f t="shared" si="45"/>
        <v>2.1666666666666665</v>
      </c>
      <c r="D201" s="10">
        <f t="shared" si="46"/>
        <v>3.5</v>
      </c>
      <c r="E201" s="9" cm="1">
        <f t="array" ref="E201">IF($A201="","",SUMPRODUCT((TRIM(tblDados[Mandante])=$A201)*tblDados[Primeira_Ocorrencia]))</f>
        <v>6</v>
      </c>
      <c r="F201" s="9" cm="1">
        <f t="array" ref="F201">IF($A201="","",SUMPRODUCT((TRIM(tblDados[Visitante])=$A201)*tblDados[Primeira_Ocorrencia]))</f>
        <v>6</v>
      </c>
      <c r="G201" s="9" cm="1">
        <f t="array" ref="G201">IF($A201="","",SUMPRODUCT((TRIM(tblDados[Mandante])=$A201)*tblDados[Primeira_Ocorrencia])+SUMPRODUCT((TRIM(tblDados[Visitante])=$A201)*tblDados[Primeira_Ocorrencia]))</f>
        <v>12</v>
      </c>
      <c r="H201" s="10">
        <f t="shared" si="47"/>
        <v>1.5833333333333333</v>
      </c>
      <c r="I201" s="10" cm="1">
        <f t="array" ref="I201">IF($A201="","",_xlfn.LET(_xlpm.p,IFERROR(INDEX(tblDados[País],MATCH($A201,TRIM(tblDados[Mandante]),0)),INDEX(tblDados[País],MATCH($A201,TRIM(tblDados[Visitante]),0))),_xlpm.l,IFERROR(INDEX(tblDados[Liga],MATCH($A201,TRIM(tblDados[Mandante]),0)),INDEX(tblDados[Liga],MATCH($A201,TRIM(tblDados[Visitante]),0))),IFERROR(SUMIFS(Ligas!$D$2:$D$39,Ligas!$H$2:$H$39,_xlpm.p,Ligas!$I$2:$I$39,_xlpm.l),0)))</f>
        <v>2.5</v>
      </c>
      <c r="J201" s="11" cm="1">
        <f t="array" ref="J201">IF($A201="","",IFERROR((SUMPRODUCT((TRIM(tblDados[Mandante])=$A201)*tblDados[Primeira_Ocorrencia]*(tblDados[GM_M]=0))+SUMPRODUCT((TRIM(tblDados[Visitante])=$A201)*tblDados[Primeira_Ocorrencia]*(tblDados[GM_V]=0)))/G201,0))</f>
        <v>0.16666666666666666</v>
      </c>
      <c r="K201" s="11" cm="1">
        <f t="array" ref="K201">IF($A201="","",IFERROR((SUMPRODUCT((TRIM(tblDados[Mandante])=$A201)*tblDados[Primeira_Ocorrencia]*((tblDados[GM_M]+tblDados[GS_M])&gt;0.5))+SUMPRODUCT((TRIM(tblDados[Visitante])=$A201)*tblDados[Primeira_Ocorrencia]*((tblDados[GM_V]+tblDados[GS_V])&gt;0.5)))/G201,0))</f>
        <v>0.91666666666666663</v>
      </c>
      <c r="L201" s="11" cm="1">
        <f t="array" ref="L201">IF($A201="","",IFERROR((SUMPRODUCT((TRIM(tblDados[Mandante])=$A201)*tblDados[Primeira_Ocorrencia]*((tblDados[GM_M]+tblDados[GS_M])&gt;1.5))+SUMPRODUCT((TRIM(tblDados[Visitante])=$A201)*tblDados[Primeira_Ocorrencia]*((tblDados[GM_V]+tblDados[GS_V])&gt;1.5)))/G201,0))</f>
        <v>0.83333333333333337</v>
      </c>
      <c r="M201" s="11" cm="1">
        <f t="array" ref="M201">IF($A201="","",IFERROR((SUMPRODUCT((TRIM(tblDados[Mandante])=$A201)*tblDados[Primeira_Ocorrencia]*((tblDados[GM_M]+tblDados[GS_M])&gt;2.5))+SUMPRODUCT((TRIM(tblDados[Visitante])=$A201)*tblDados[Primeira_Ocorrencia]*((tblDados[GM_V]+tblDados[GS_V])&gt;2.5)))/G201,0))</f>
        <v>0.58333333333333337</v>
      </c>
      <c r="N201" s="11" cm="1">
        <f t="array" ref="N201">IF($A201="","",IFERROR((SUMPRODUCT((TRIM(tblDados[Mandante])=$A201)*tblDados[Primeira_Ocorrencia]*((tblDados[GM_M]+tblDados[GS_M])&gt;3.5))+SUMPRODUCT((TRIM(tblDados[Visitante])=$A201)*tblDados[Primeira_Ocorrencia]*((tblDados[GM_V]+tblDados[GS_V])&gt;3.5)))/G201,0))</f>
        <v>0.33333333333333331</v>
      </c>
      <c r="O201" s="11" cm="1">
        <f t="array" ref="O201">IF($A201="","",IFERROR((SUMPRODUCT((TRIM(tblDados[Mandante])=$A201)*tblDados[Primeira_Ocorrencia]*(tblDados[GM_M]&gt;0)*(tblDados[GS_M]&gt;0))+SUMPRODUCT((TRIM(tblDados[Visitante])=$A201)*tblDados[Primeira_Ocorrencia]*(tblDados[GM_V]&gt;0)*(tblDados[GS_V]&gt;0)))/G201,0))</f>
        <v>0.75</v>
      </c>
      <c r="P201" s="10" cm="1">
        <f t="array" ref="P201">IF($A201="","",IFERROR((SUMPRODUCT((TRIM(tblDados[Mandante])=$A201)*tblDados[Primeira_Ocorrencia]*tblDados[GM_M]^2)+SUMPRODUCT((TRIM(tblDados[Visitante])=$A201)*tblDados[Primeira_Ocorrencia]*tblDados[GM_V]^2))/G201-H201^2,0))</f>
        <v>1.2430555555555558</v>
      </c>
      <c r="Q201" s="10">
        <f t="shared" si="48"/>
        <v>1.1149240133549712</v>
      </c>
      <c r="R201" s="8" t="str">
        <f t="shared" si="49"/>
        <v>Poisson</v>
      </c>
      <c r="S201" s="10" cm="1">
        <f t="array" ref="S201">IF($A201="","",SUMPRODUCT((TRIM(tblDados[Mandante])=$A201)*tblDados[Primeira_Ocorrencia]*tblDados[GM_M]))</f>
        <v>8</v>
      </c>
      <c r="T201" s="10" cm="1">
        <f t="array" ref="T201">IF($A201="","",SUMPRODUCT((TRIM(tblDados[Visitante])=$A201)*tblDados[Primeira_Ocorrencia]*tblDados[GM_V]))</f>
        <v>11</v>
      </c>
      <c r="U201" s="10">
        <f t="shared" si="50"/>
        <v>19</v>
      </c>
      <c r="V201" s="10">
        <f t="shared" si="39"/>
        <v>1.5833333333333333</v>
      </c>
      <c r="W201" s="10" cm="1">
        <f t="array" ref="W201">IF($A201="","",SUMPRODUCT((TRIM(tblDados[Mandante])=$A201)*tblDados[Primeira_Ocorrencia]*tblDados[GS_M]))</f>
        <v>5</v>
      </c>
      <c r="X201" s="10" cm="1">
        <f t="array" ref="X201">IF($A201="","",SUMPRODUCT((TRIM(tblDados[Visitante])=$A201)*tblDados[Primeira_Ocorrencia]*tblDados[GS_V]))</f>
        <v>10</v>
      </c>
      <c r="Y201" s="10">
        <f t="shared" si="51"/>
        <v>15</v>
      </c>
      <c r="Z201" s="10">
        <f t="shared" si="40"/>
        <v>1.25</v>
      </c>
      <c r="AA201" s="10">
        <f t="shared" si="41"/>
        <v>1.3333333333333333</v>
      </c>
      <c r="AB201" s="10">
        <f t="shared" si="42"/>
        <v>0.83333333333333337</v>
      </c>
      <c r="AC201" s="10">
        <f t="shared" si="43"/>
        <v>1.8333333333333333</v>
      </c>
      <c r="AD201" s="10">
        <f t="shared" si="44"/>
        <v>1.6666666666666667</v>
      </c>
    </row>
    <row r="202" spans="1:30" x14ac:dyDescent="0.3">
      <c r="A202" s="7" t="str">
        <v>Corinthians</v>
      </c>
      <c r="B202" s="12" t="str" cm="1">
        <f t="array" ref="B202">IF($A202="","",_xlfn.LET(_xlpm.p,IFERROR(INDEX(tblDados[País],MATCH($A202,TRIM(tblDados[Mandante]),0)),INDEX(tblDados[País],MATCH($A202,TRIM(tblDados[Visitante]),0))),_xlpm.l,IFERROR(INDEX(tblDados[Liga],MATCH($A202,TRIM(tblDados[Mandante]),0)),INDEX(tblDados[Liga],MATCH($A202,TRIM(tblDados[Visitante]),0))),_xlpm.p&amp;" - "&amp;_xlpm.l))</f>
        <v>BRA - Série A</v>
      </c>
      <c r="C202" s="10">
        <f t="shared" si="45"/>
        <v>1.5714285714285714</v>
      </c>
      <c r="D202" s="10">
        <f t="shared" si="46"/>
        <v>2.5999999999999996</v>
      </c>
      <c r="E202" s="9" cm="1">
        <f t="array" ref="E202">IF($A202="","",SUMPRODUCT((TRIM(tblDados[Mandante])=$A202)*tblDados[Primeira_Ocorrencia]))</f>
        <v>7</v>
      </c>
      <c r="F202" s="9" cm="1">
        <f t="array" ref="F202">IF($A202="","",SUMPRODUCT((TRIM(tblDados[Visitante])=$A202)*tblDados[Primeira_Ocorrencia]))</f>
        <v>5</v>
      </c>
      <c r="G202" s="9" cm="1">
        <f t="array" ref="G202">IF($A202="","",SUMPRODUCT((TRIM(tblDados[Mandante])=$A202)*tblDados[Primeira_Ocorrencia])+SUMPRODUCT((TRIM(tblDados[Visitante])=$A202)*tblDados[Primeira_Ocorrencia]))</f>
        <v>12</v>
      </c>
      <c r="H202" s="10">
        <f t="shared" si="47"/>
        <v>1.1666666666666667</v>
      </c>
      <c r="I202" s="10" cm="1">
        <f t="array" ref="I202">IF($A202="","",_xlfn.LET(_xlpm.p,IFERROR(INDEX(tblDados[País],MATCH($A202,TRIM(tblDados[Mandante]),0)),INDEX(tblDados[País],MATCH($A202,TRIM(tblDados[Visitante]),0))),_xlpm.l,IFERROR(INDEX(tblDados[Liga],MATCH($A202,TRIM(tblDados[Mandante]),0)),INDEX(tblDados[Liga],MATCH($A202,TRIM(tblDados[Visitante]),0))),IFERROR(SUMIFS(Ligas!$D$2:$D$39,Ligas!$H$2:$H$39,_xlpm.p,Ligas!$I$2:$I$39,_xlpm.l),0)))</f>
        <v>2.59</v>
      </c>
      <c r="J202" s="11" cm="1">
        <f t="array" ref="J202">IF($A202="","",IFERROR((SUMPRODUCT((TRIM(tblDados[Mandante])=$A202)*tblDados[Primeira_Ocorrencia]*(tblDados[GM_M]=0))+SUMPRODUCT((TRIM(tblDados[Visitante])=$A202)*tblDados[Primeira_Ocorrencia]*(tblDados[GM_V]=0)))/G202,0))</f>
        <v>0.33333333333333331</v>
      </c>
      <c r="K202" s="11" cm="1">
        <f t="array" ref="K202">IF($A202="","",IFERROR((SUMPRODUCT((TRIM(tblDados[Mandante])=$A202)*tblDados[Primeira_Ocorrencia]*((tblDados[GM_M]+tblDados[GS_M])&gt;0.5))+SUMPRODUCT((TRIM(tblDados[Visitante])=$A202)*tblDados[Primeira_Ocorrencia]*((tblDados[GM_V]+tblDados[GS_V])&gt;0.5)))/G202,0))</f>
        <v>0.75</v>
      </c>
      <c r="L202" s="11" cm="1">
        <f t="array" ref="L202">IF($A202="","",IFERROR((SUMPRODUCT((TRIM(tblDados[Mandante])=$A202)*tblDados[Primeira_Ocorrencia]*((tblDados[GM_M]+tblDados[GS_M])&gt;1.5))+SUMPRODUCT((TRIM(tblDados[Visitante])=$A202)*tblDados[Primeira_Ocorrencia]*((tblDados[GM_V]+tblDados[GS_V])&gt;1.5)))/G202,0))</f>
        <v>0.5</v>
      </c>
      <c r="M202" s="11" cm="1">
        <f t="array" ref="M202">IF($A202="","",IFERROR((SUMPRODUCT((TRIM(tblDados[Mandante])=$A202)*tblDados[Primeira_Ocorrencia]*((tblDados[GM_M]+tblDados[GS_M])&gt;2.5))+SUMPRODUCT((TRIM(tblDados[Visitante])=$A202)*tblDados[Primeira_Ocorrencia]*((tblDados[GM_V]+tblDados[GS_V])&gt;2.5)))/G202,0))</f>
        <v>0.41666666666666669</v>
      </c>
      <c r="N202" s="11" cm="1">
        <f t="array" ref="N202">IF($A202="","",IFERROR((SUMPRODUCT((TRIM(tblDados[Mandante])=$A202)*tblDados[Primeira_Ocorrencia]*((tblDados[GM_M]+tblDados[GS_M])&gt;3.5))+SUMPRODUCT((TRIM(tblDados[Visitante])=$A202)*tblDados[Primeira_Ocorrencia]*((tblDados[GM_V]+tblDados[GS_V])&gt;3.5)))/G202,0))</f>
        <v>0.25</v>
      </c>
      <c r="O202" s="11" cm="1">
        <f t="array" ref="O202">IF($A202="","",IFERROR((SUMPRODUCT((TRIM(tblDados[Mandante])=$A202)*tblDados[Primeira_Ocorrencia]*(tblDados[GM_M]&gt;0)*(tblDados[GS_M]&gt;0))+SUMPRODUCT((TRIM(tblDados[Visitante])=$A202)*tblDados[Primeira_Ocorrencia]*(tblDados[GM_V]&gt;0)*(tblDados[GS_V]&gt;0)))/G202,0))</f>
        <v>0.41666666666666669</v>
      </c>
      <c r="P202" s="10" cm="1">
        <f t="array" ref="P202">IF($A202="","",IFERROR((SUMPRODUCT((TRIM(tblDados[Mandante])=$A202)*tblDados[Primeira_Ocorrencia]*tblDados[GM_M]^2)+SUMPRODUCT((TRIM(tblDados[Visitante])=$A202)*tblDados[Primeira_Ocorrencia]*tblDados[GM_V]^2))/G202-H202^2,0))</f>
        <v>1.3055555555555551</v>
      </c>
      <c r="Q202" s="10">
        <f t="shared" si="48"/>
        <v>1.1426091000668406</v>
      </c>
      <c r="R202" s="8" t="str">
        <f t="shared" si="49"/>
        <v>Poisson</v>
      </c>
      <c r="S202" s="10" cm="1">
        <f t="array" ref="S202">IF($A202="","",SUMPRODUCT((TRIM(tblDados[Mandante])=$A202)*tblDados[Primeira_Ocorrencia]*tblDados[GM_M]))</f>
        <v>8</v>
      </c>
      <c r="T202" s="10" cm="1">
        <f t="array" ref="T202">IF($A202="","",SUMPRODUCT((TRIM(tblDados[Visitante])=$A202)*tblDados[Primeira_Ocorrencia]*tblDados[GM_V]))</f>
        <v>6</v>
      </c>
      <c r="U202" s="10">
        <f t="shared" si="50"/>
        <v>14</v>
      </c>
      <c r="V202" s="10">
        <f t="shared" si="39"/>
        <v>1.1666666666666667</v>
      </c>
      <c r="W202" s="10" cm="1">
        <f t="array" ref="W202">IF($A202="","",SUMPRODUCT((TRIM(tblDados[Mandante])=$A202)*tblDados[Primeira_Ocorrencia]*tblDados[GS_M]))</f>
        <v>3</v>
      </c>
      <c r="X202" s="10" cm="1">
        <f t="array" ref="X202">IF($A202="","",SUMPRODUCT((TRIM(tblDados[Visitante])=$A202)*tblDados[Primeira_Ocorrencia]*tblDados[GS_V]))</f>
        <v>7</v>
      </c>
      <c r="Y202" s="10">
        <f t="shared" si="51"/>
        <v>10</v>
      </c>
      <c r="Z202" s="10">
        <f t="shared" si="40"/>
        <v>0.83333333333333337</v>
      </c>
      <c r="AA202" s="10">
        <f t="shared" si="41"/>
        <v>1.1428571428571428</v>
      </c>
      <c r="AB202" s="10">
        <f t="shared" si="42"/>
        <v>0.42857142857142855</v>
      </c>
      <c r="AC202" s="10">
        <f t="shared" si="43"/>
        <v>1.2</v>
      </c>
      <c r="AD202" s="10">
        <f t="shared" si="44"/>
        <v>1.4</v>
      </c>
    </row>
    <row r="203" spans="1:30" x14ac:dyDescent="0.3">
      <c r="A203" s="7" t="str">
        <v>Cruzeiro</v>
      </c>
      <c r="B203" s="12" t="str" cm="1">
        <f t="array" ref="B203">IF($A203="","",_xlfn.LET(_xlpm.p,IFERROR(INDEX(tblDados[País],MATCH($A203,TRIM(tblDados[Mandante]),0)),INDEX(tblDados[País],MATCH($A203,TRIM(tblDados[Visitante]),0))),_xlpm.l,IFERROR(INDEX(tblDados[Liga],MATCH($A203,TRIM(tblDados[Mandante]),0)),INDEX(tblDados[Liga],MATCH($A203,TRIM(tblDados[Visitante]),0))),_xlpm.p&amp;" - "&amp;_xlpm.l))</f>
        <v>BRA - Série A</v>
      </c>
      <c r="C203" s="10">
        <f t="shared" si="45"/>
        <v>2.5</v>
      </c>
      <c r="D203" s="10">
        <f t="shared" si="46"/>
        <v>2.5</v>
      </c>
      <c r="E203" s="9" cm="1">
        <f t="array" ref="E203">IF($A203="","",SUMPRODUCT((TRIM(tblDados[Mandante])=$A203)*tblDados[Primeira_Ocorrencia]))</f>
        <v>6</v>
      </c>
      <c r="F203" s="9" cm="1">
        <f t="array" ref="F203">IF($A203="","",SUMPRODUCT((TRIM(tblDados[Visitante])=$A203)*tblDados[Primeira_Ocorrencia]))</f>
        <v>6</v>
      </c>
      <c r="G203" s="9" cm="1">
        <f t="array" ref="G203">IF($A203="","",SUMPRODUCT((TRIM(tblDados[Mandante])=$A203)*tblDados[Primeira_Ocorrencia])+SUMPRODUCT((TRIM(tblDados[Visitante])=$A203)*tblDados[Primeira_Ocorrencia]))</f>
        <v>12</v>
      </c>
      <c r="H203" s="10">
        <f t="shared" si="47"/>
        <v>1.3333333333333333</v>
      </c>
      <c r="I203" s="10" cm="1">
        <f t="array" ref="I203">IF($A203="","",_xlfn.LET(_xlpm.p,IFERROR(INDEX(tblDados[País],MATCH($A203,TRIM(tblDados[Mandante]),0)),INDEX(tblDados[País],MATCH($A203,TRIM(tblDados[Visitante]),0))),_xlpm.l,IFERROR(INDEX(tblDados[Liga],MATCH($A203,TRIM(tblDados[Mandante]),0)),INDEX(tblDados[Liga],MATCH($A203,TRIM(tblDados[Visitante]),0))),IFERROR(SUMIFS(Ligas!$D$2:$D$39,Ligas!$H$2:$H$39,_xlpm.p,Ligas!$I$2:$I$39,_xlpm.l),0)))</f>
        <v>2.59</v>
      </c>
      <c r="J203" s="11" cm="1">
        <f t="array" ref="J203">IF($A203="","",IFERROR((SUMPRODUCT((TRIM(tblDados[Mandante])=$A203)*tblDados[Primeira_Ocorrencia]*(tblDados[GM_M]=0))+SUMPRODUCT((TRIM(tblDados[Visitante])=$A203)*tblDados[Primeira_Ocorrencia]*(tblDados[GM_V]=0)))/G203,0))</f>
        <v>8.3333333333333329E-2</v>
      </c>
      <c r="K203" s="11" cm="1">
        <f t="array" ref="K203">IF($A203="","",IFERROR((SUMPRODUCT((TRIM(tblDados[Mandante])=$A203)*tblDados[Primeira_Ocorrencia]*((tblDados[GM_M]+tblDados[GS_M])&gt;0.5))+SUMPRODUCT((TRIM(tblDados[Visitante])=$A203)*tblDados[Primeira_Ocorrencia]*((tblDados[GM_V]+tblDados[GS_V])&gt;0.5)))/G203,0))</f>
        <v>1</v>
      </c>
      <c r="L203" s="11" cm="1">
        <f t="array" ref="L203">IF($A203="","",IFERROR((SUMPRODUCT((TRIM(tblDados[Mandante])=$A203)*tblDados[Primeira_Ocorrencia]*((tblDados[GM_M]+tblDados[GS_M])&gt;1.5))+SUMPRODUCT((TRIM(tblDados[Visitante])=$A203)*tblDados[Primeira_Ocorrencia]*((tblDados[GM_V]+tblDados[GS_V])&gt;1.5)))/G203,0))</f>
        <v>0.75</v>
      </c>
      <c r="M203" s="11" cm="1">
        <f t="array" ref="M203">IF($A203="","",IFERROR((SUMPRODUCT((TRIM(tblDados[Mandante])=$A203)*tblDados[Primeira_Ocorrencia]*((tblDados[GM_M]+tblDados[GS_M])&gt;2.5))+SUMPRODUCT((TRIM(tblDados[Visitante])=$A203)*tblDados[Primeira_Ocorrencia]*((tblDados[GM_V]+tblDados[GS_V])&gt;2.5)))/G203,0))</f>
        <v>0.5</v>
      </c>
      <c r="N203" s="11" cm="1">
        <f t="array" ref="N203">IF($A203="","",IFERROR((SUMPRODUCT((TRIM(tblDados[Mandante])=$A203)*tblDados[Primeira_Ocorrencia]*((tblDados[GM_M]+tblDados[GS_M])&gt;3.5))+SUMPRODUCT((TRIM(tblDados[Visitante])=$A203)*tblDados[Primeira_Ocorrencia]*((tblDados[GM_V]+tblDados[GS_V])&gt;3.5)))/G203,0))</f>
        <v>0.16666666666666666</v>
      </c>
      <c r="O203" s="11" cm="1">
        <f t="array" ref="O203">IF($A203="","",IFERROR((SUMPRODUCT((TRIM(tblDados[Mandante])=$A203)*tblDados[Primeira_Ocorrencia]*(tblDados[GM_M]&gt;0)*(tblDados[GS_M]&gt;0))+SUMPRODUCT((TRIM(tblDados[Visitante])=$A203)*tblDados[Primeira_Ocorrencia]*(tblDados[GM_V]&gt;0)*(tblDados[GS_V]&gt;0)))/G203,0))</f>
        <v>0.66666666666666663</v>
      </c>
      <c r="P203" s="10" cm="1">
        <f t="array" ref="P203">IF($A203="","",IFERROR((SUMPRODUCT((TRIM(tblDados[Mandante])=$A203)*tblDados[Primeira_Ocorrencia]*tblDados[GM_M]^2)+SUMPRODUCT((TRIM(tblDados[Visitante])=$A203)*tblDados[Primeira_Ocorrencia]*tblDados[GM_V]^2))/G203-H203^2,0))</f>
        <v>0.38888888888888884</v>
      </c>
      <c r="Q203" s="10">
        <f t="shared" si="48"/>
        <v>0.62360956446232352</v>
      </c>
      <c r="R203" s="8" t="str">
        <f t="shared" si="49"/>
        <v>Poisson</v>
      </c>
      <c r="S203" s="10" cm="1">
        <f t="array" ref="S203">IF($A203="","",SUMPRODUCT((TRIM(tblDados[Mandante])=$A203)*tblDados[Primeira_Ocorrencia]*tblDados[GM_M]))</f>
        <v>8</v>
      </c>
      <c r="T203" s="10" cm="1">
        <f t="array" ref="T203">IF($A203="","",SUMPRODUCT((TRIM(tblDados[Visitante])=$A203)*tblDados[Primeira_Ocorrencia]*tblDados[GM_V]))</f>
        <v>8</v>
      </c>
      <c r="U203" s="10">
        <f t="shared" si="50"/>
        <v>16</v>
      </c>
      <c r="V203" s="10">
        <f t="shared" si="39"/>
        <v>1.3333333333333333</v>
      </c>
      <c r="W203" s="10" cm="1">
        <f t="array" ref="W203">IF($A203="","",SUMPRODUCT((TRIM(tblDados[Mandante])=$A203)*tblDados[Primeira_Ocorrencia]*tblDados[GS_M]))</f>
        <v>7</v>
      </c>
      <c r="X203" s="10" cm="1">
        <f t="array" ref="X203">IF($A203="","",SUMPRODUCT((TRIM(tblDados[Visitante])=$A203)*tblDados[Primeira_Ocorrencia]*tblDados[GS_V]))</f>
        <v>7</v>
      </c>
      <c r="Y203" s="10">
        <f t="shared" si="51"/>
        <v>14</v>
      </c>
      <c r="Z203" s="10">
        <f t="shared" si="40"/>
        <v>1.1666666666666667</v>
      </c>
      <c r="AA203" s="10">
        <f t="shared" si="41"/>
        <v>1.3333333333333333</v>
      </c>
      <c r="AB203" s="10">
        <f t="shared" si="42"/>
        <v>1.1666666666666667</v>
      </c>
      <c r="AC203" s="10">
        <f t="shared" si="43"/>
        <v>1.3333333333333333</v>
      </c>
      <c r="AD203" s="10">
        <f t="shared" si="44"/>
        <v>1.1666666666666667</v>
      </c>
    </row>
    <row r="204" spans="1:30" x14ac:dyDescent="0.3">
      <c r="A204" s="7" t="str">
        <v>D.C. United</v>
      </c>
      <c r="B204" s="12" t="str" cm="1">
        <f t="array" ref="B204">IF($A204="","",_xlfn.LET(_xlpm.p,IFERROR(INDEX(tblDados[País],MATCH($A204,TRIM(tblDados[Mandante]),0)),INDEX(tblDados[País],MATCH($A204,TRIM(tblDados[Visitante]),0))),_xlpm.l,IFERROR(INDEX(tblDados[Liga],MATCH($A204,TRIM(tblDados[Mandante]),0)),INDEX(tblDados[Liga],MATCH($A204,TRIM(tblDados[Visitante]),0))),_xlpm.p&amp;" - "&amp;_xlpm.l))</f>
        <v>USA - MLS-East</v>
      </c>
      <c r="C204" s="10">
        <f t="shared" si="45"/>
        <v>4.333333333333333</v>
      </c>
      <c r="D204" s="10">
        <f t="shared" si="46"/>
        <v>2.833333333333333</v>
      </c>
      <c r="E204" s="9" cm="1">
        <f t="array" ref="E204">IF($A204="","",SUMPRODUCT((TRIM(tblDados[Mandante])=$A204)*tblDados[Primeira_Ocorrencia]))</f>
        <v>6</v>
      </c>
      <c r="F204" s="9" cm="1">
        <f t="array" ref="F204">IF($A204="","",SUMPRODUCT((TRIM(tblDados[Visitante])=$A204)*tblDados[Primeira_Ocorrencia]))</f>
        <v>6</v>
      </c>
      <c r="G204" s="9" cm="1">
        <f t="array" ref="G204">IF($A204="","",SUMPRODUCT((TRIM(tblDados[Mandante])=$A204)*tblDados[Primeira_Ocorrencia])+SUMPRODUCT((TRIM(tblDados[Visitante])=$A204)*tblDados[Primeira_Ocorrencia]))</f>
        <v>12</v>
      </c>
      <c r="H204" s="10">
        <f t="shared" si="47"/>
        <v>1.8333333333333333</v>
      </c>
      <c r="I204" s="10" cm="1">
        <f t="array" ref="I204">IF($A204="","",_xlfn.LET(_xlpm.p,IFERROR(INDEX(tblDados[País],MATCH($A204,TRIM(tblDados[Mandante]),0)),INDEX(tblDados[País],MATCH($A204,TRIM(tblDados[Visitante]),0))),_xlpm.l,IFERROR(INDEX(tblDados[Liga],MATCH($A204,TRIM(tblDados[Mandante]),0)),INDEX(tblDados[Liga],MATCH($A204,TRIM(tblDados[Visitante]),0))),IFERROR(SUMIFS(Ligas!$D$2:$D$39,Ligas!$H$2:$H$39,_xlpm.p,Ligas!$I$2:$I$39,_xlpm.l),0)))</f>
        <v>3.3</v>
      </c>
      <c r="J204" s="11" cm="1">
        <f t="array" ref="J204">IF($A204="","",IFERROR((SUMPRODUCT((TRIM(tblDados[Mandante])=$A204)*tblDados[Primeira_Ocorrencia]*(tblDados[GM_M]=0))+SUMPRODUCT((TRIM(tblDados[Visitante])=$A204)*tblDados[Primeira_Ocorrencia]*(tblDados[GM_V]=0)))/G204,0))</f>
        <v>0.16666666666666666</v>
      </c>
      <c r="K204" s="11" cm="1">
        <f t="array" ref="K204">IF($A204="","",IFERROR((SUMPRODUCT((TRIM(tblDados[Mandante])=$A204)*tblDados[Primeira_Ocorrencia]*((tblDados[GM_M]+tblDados[GS_M])&gt;0.5))+SUMPRODUCT((TRIM(tblDados[Visitante])=$A204)*tblDados[Primeira_Ocorrencia]*((tblDados[GM_V]+tblDados[GS_V])&gt;0.5)))/G204,0))</f>
        <v>0.91666666666666663</v>
      </c>
      <c r="L204" s="11" cm="1">
        <f t="array" ref="L204">IF($A204="","",IFERROR((SUMPRODUCT((TRIM(tblDados[Mandante])=$A204)*tblDados[Primeira_Ocorrencia]*((tblDados[GM_M]+tblDados[GS_M])&gt;1.5))+SUMPRODUCT((TRIM(tblDados[Visitante])=$A204)*tblDados[Primeira_Ocorrencia]*((tblDados[GM_V]+tblDados[GS_V])&gt;1.5)))/G204,0))</f>
        <v>0.83333333333333337</v>
      </c>
      <c r="M204" s="11" cm="1">
        <f t="array" ref="M204">IF($A204="","",IFERROR((SUMPRODUCT((TRIM(tblDados[Mandante])=$A204)*tblDados[Primeira_Ocorrencia]*((tblDados[GM_M]+tblDados[GS_M])&gt;2.5))+SUMPRODUCT((TRIM(tblDados[Visitante])=$A204)*tblDados[Primeira_Ocorrencia]*((tblDados[GM_V]+tblDados[GS_V])&gt;2.5)))/G204,0))</f>
        <v>0.58333333333333337</v>
      </c>
      <c r="N204" s="11" cm="1">
        <f t="array" ref="N204">IF($A204="","",IFERROR((SUMPRODUCT((TRIM(tblDados[Mandante])=$A204)*tblDados[Primeira_Ocorrencia]*((tblDados[GM_M]+tblDados[GS_M])&gt;3.5))+SUMPRODUCT((TRIM(tblDados[Visitante])=$A204)*tblDados[Primeira_Ocorrencia]*((tblDados[GM_V]+tblDados[GS_V])&gt;3.5)))/G204,0))</f>
        <v>0.5</v>
      </c>
      <c r="O204" s="11" cm="1">
        <f t="array" ref="O204">IF($A204="","",IFERROR((SUMPRODUCT((TRIM(tblDados[Mandante])=$A204)*tblDados[Primeira_Ocorrencia]*(tblDados[GM_M]&gt;0)*(tblDados[GS_M]&gt;0))+SUMPRODUCT((TRIM(tblDados[Visitante])=$A204)*tblDados[Primeira_Ocorrencia]*(tblDados[GM_V]&gt;0)*(tblDados[GS_V]&gt;0)))/G204,0))</f>
        <v>0.75</v>
      </c>
      <c r="P204" s="10" cm="1">
        <f t="array" ref="P204">IF($A204="","",IFERROR((SUMPRODUCT((TRIM(tblDados[Mandante])=$A204)*tblDados[Primeira_Ocorrencia]*tblDados[GM_M]^2)+SUMPRODUCT((TRIM(tblDados[Visitante])=$A204)*tblDados[Primeira_Ocorrencia]*tblDados[GM_V]^2))/G204-H204^2,0))</f>
        <v>1.6388888888888893</v>
      </c>
      <c r="Q204" s="10">
        <f t="shared" si="48"/>
        <v>1.2801909579781015</v>
      </c>
      <c r="R204" s="8" t="str">
        <f t="shared" si="49"/>
        <v>Poisson</v>
      </c>
      <c r="S204" s="10" cm="1">
        <f t="array" ref="S204">IF($A204="","",SUMPRODUCT((TRIM(tblDados[Mandante])=$A204)*tblDados[Primeira_Ocorrencia]*tblDados[GM_M]))</f>
        <v>13</v>
      </c>
      <c r="T204" s="10" cm="1">
        <f t="array" ref="T204">IF($A204="","",SUMPRODUCT((TRIM(tblDados[Visitante])=$A204)*tblDados[Primeira_Ocorrencia]*tblDados[GM_V]))</f>
        <v>9</v>
      </c>
      <c r="U204" s="10">
        <f t="shared" si="50"/>
        <v>22</v>
      </c>
      <c r="V204" s="10">
        <f t="shared" si="39"/>
        <v>1.8333333333333333</v>
      </c>
      <c r="W204" s="10" cm="1">
        <f t="array" ref="W204">IF($A204="","",SUMPRODUCT((TRIM(tblDados[Mandante])=$A204)*tblDados[Primeira_Ocorrencia]*tblDados[GS_M]))</f>
        <v>13</v>
      </c>
      <c r="X204" s="10" cm="1">
        <f t="array" ref="X204">IF($A204="","",SUMPRODUCT((TRIM(tblDados[Visitante])=$A204)*tblDados[Primeira_Ocorrencia]*tblDados[GS_V]))</f>
        <v>8</v>
      </c>
      <c r="Y204" s="10">
        <f t="shared" si="51"/>
        <v>21</v>
      </c>
      <c r="Z204" s="10">
        <f t="shared" si="40"/>
        <v>1.75</v>
      </c>
      <c r="AA204" s="10">
        <f t="shared" si="41"/>
        <v>2.1666666666666665</v>
      </c>
      <c r="AB204" s="10">
        <f t="shared" si="42"/>
        <v>2.1666666666666665</v>
      </c>
      <c r="AC204" s="10">
        <f t="shared" si="43"/>
        <v>1.5</v>
      </c>
      <c r="AD204" s="10">
        <f t="shared" si="44"/>
        <v>1.3333333333333333</v>
      </c>
    </row>
    <row r="205" spans="1:30" x14ac:dyDescent="0.3">
      <c r="A205" s="7" t="str">
        <v>Dalian Yingbo</v>
      </c>
      <c r="B205" s="12" t="str" cm="1">
        <f t="array" ref="B205">IF($A205="","",_xlfn.LET(_xlpm.p,IFERROR(INDEX(tblDados[País],MATCH($A205,TRIM(tblDados[Mandante]),0)),INDEX(tblDados[País],MATCH($A205,TRIM(tblDados[Visitante]),0))),_xlpm.l,IFERROR(INDEX(tblDados[Liga],MATCH($A205,TRIM(tblDados[Mandante]),0)),INDEX(tblDados[Liga],MATCH($A205,TRIM(tblDados[Visitante]),0))),_xlpm.p&amp;" - "&amp;_xlpm.l))</f>
        <v>CHN - Super League</v>
      </c>
      <c r="C205" s="10">
        <f t="shared" si="45"/>
        <v>3.666666666666667</v>
      </c>
      <c r="D205" s="10">
        <f t="shared" si="46"/>
        <v>2.8333333333333335</v>
      </c>
      <c r="E205" s="9" cm="1">
        <f t="array" ref="E205">IF($A205="","",SUMPRODUCT((TRIM(tblDados[Mandante])=$A205)*tblDados[Primeira_Ocorrencia]))</f>
        <v>6</v>
      </c>
      <c r="F205" s="9" cm="1">
        <f t="array" ref="F205">IF($A205="","",SUMPRODUCT((TRIM(tblDados[Visitante])=$A205)*tblDados[Primeira_Ocorrencia]))</f>
        <v>6</v>
      </c>
      <c r="G205" s="9" cm="1">
        <f t="array" ref="G205">IF($A205="","",SUMPRODUCT((TRIM(tblDados[Mandante])=$A205)*tblDados[Primeira_Ocorrencia])+SUMPRODUCT((TRIM(tblDados[Visitante])=$A205)*tblDados[Primeira_Ocorrencia]))</f>
        <v>12</v>
      </c>
      <c r="H205" s="10">
        <f t="shared" si="47"/>
        <v>1.4166666666666667</v>
      </c>
      <c r="I205" s="10" cm="1">
        <f t="array" ref="I205">IF($A205="","",_xlfn.LET(_xlpm.p,IFERROR(INDEX(tblDados[País],MATCH($A205,TRIM(tblDados[Mandante]),0)),INDEX(tblDados[País],MATCH($A205,TRIM(tblDados[Visitante]),0))),_xlpm.l,IFERROR(INDEX(tblDados[Liga],MATCH($A205,TRIM(tblDados[Mandante]),0)),INDEX(tblDados[Liga],MATCH($A205,TRIM(tblDados[Visitante]),0))),IFERROR(SUMIFS(Ligas!$D$2:$D$39,Ligas!$H$2:$H$39,_xlpm.p,Ligas!$I$2:$I$39,_xlpm.l),0)))</f>
        <v>2.5</v>
      </c>
      <c r="J205" s="11" cm="1">
        <f t="array" ref="J205">IF($A205="","",IFERROR((SUMPRODUCT((TRIM(tblDados[Mandante])=$A205)*tblDados[Primeira_Ocorrencia]*(tblDados[GM_M]=0))+SUMPRODUCT((TRIM(tblDados[Visitante])=$A205)*tblDados[Primeira_Ocorrencia]*(tblDados[GM_V]=0)))/G205,0))</f>
        <v>0.16666666666666666</v>
      </c>
      <c r="K205" s="11" cm="1">
        <f t="array" ref="K205">IF($A205="","",IFERROR((SUMPRODUCT((TRIM(tblDados[Mandante])=$A205)*tblDados[Primeira_Ocorrencia]*((tblDados[GM_M]+tblDados[GS_M])&gt;0.5))+SUMPRODUCT((TRIM(tblDados[Visitante])=$A205)*tblDados[Primeira_Ocorrencia]*((tblDados[GM_V]+tblDados[GS_V])&gt;0.5)))/G205,0))</f>
        <v>1</v>
      </c>
      <c r="L205" s="11" cm="1">
        <f t="array" ref="L205">IF($A205="","",IFERROR((SUMPRODUCT((TRIM(tblDados[Mandante])=$A205)*tblDados[Primeira_Ocorrencia]*((tblDados[GM_M]+tblDados[GS_M])&gt;1.5))+SUMPRODUCT((TRIM(tblDados[Visitante])=$A205)*tblDados[Primeira_Ocorrencia]*((tblDados[GM_V]+tblDados[GS_V])&gt;1.5)))/G205,0))</f>
        <v>0.83333333333333337</v>
      </c>
      <c r="M205" s="11" cm="1">
        <f t="array" ref="M205">IF($A205="","",IFERROR((SUMPRODUCT((TRIM(tblDados[Mandante])=$A205)*tblDados[Primeira_Ocorrencia]*((tblDados[GM_M]+tblDados[GS_M])&gt;2.5))+SUMPRODUCT((TRIM(tblDados[Visitante])=$A205)*tblDados[Primeira_Ocorrencia]*((tblDados[GM_V]+tblDados[GS_V])&gt;2.5)))/G205,0))</f>
        <v>0.58333333333333337</v>
      </c>
      <c r="N205" s="11" cm="1">
        <f t="array" ref="N205">IF($A205="","",IFERROR((SUMPRODUCT((TRIM(tblDados[Mandante])=$A205)*tblDados[Primeira_Ocorrencia]*((tblDados[GM_M]+tblDados[GS_M])&gt;3.5))+SUMPRODUCT((TRIM(tblDados[Visitante])=$A205)*tblDados[Primeira_Ocorrencia]*((tblDados[GM_V]+tblDados[GS_V])&gt;3.5)))/G205,0))</f>
        <v>0.5</v>
      </c>
      <c r="O205" s="11" cm="1">
        <f t="array" ref="O205">IF($A205="","",IFERROR((SUMPRODUCT((TRIM(tblDados[Mandante])=$A205)*tblDados[Primeira_Ocorrencia]*(tblDados[GM_M]&gt;0)*(tblDados[GS_M]&gt;0))+SUMPRODUCT((TRIM(tblDados[Visitante])=$A205)*tblDados[Primeira_Ocorrencia]*(tblDados[GM_V]&gt;0)*(tblDados[GS_V]&gt;0)))/G205,0))</f>
        <v>0.66666666666666663</v>
      </c>
      <c r="P205" s="10" cm="1">
        <f t="array" ref="P205">IF($A205="","",IFERROR((SUMPRODUCT((TRIM(tblDados[Mandante])=$A205)*tblDados[Primeira_Ocorrencia]*tblDados[GM_M]^2)+SUMPRODUCT((TRIM(tblDados[Visitante])=$A205)*tblDados[Primeira_Ocorrencia]*tblDados[GM_V]^2))/G205-H205^2,0))</f>
        <v>0.90972222222222188</v>
      </c>
      <c r="Q205" s="10">
        <f t="shared" si="48"/>
        <v>0.95379359518829954</v>
      </c>
      <c r="R205" s="8" t="str">
        <f t="shared" si="49"/>
        <v>Poisson</v>
      </c>
      <c r="S205" s="10" cm="1">
        <f t="array" ref="S205">IF($A205="","",SUMPRODUCT((TRIM(tblDados[Mandante])=$A205)*tblDados[Primeira_Ocorrencia]*tblDados[GM_M]))</f>
        <v>12</v>
      </c>
      <c r="T205" s="10" cm="1">
        <f t="array" ref="T205">IF($A205="","",SUMPRODUCT((TRIM(tblDados[Visitante])=$A205)*tblDados[Primeira_Ocorrencia]*tblDados[GM_V]))</f>
        <v>5</v>
      </c>
      <c r="U205" s="10">
        <f t="shared" si="50"/>
        <v>17</v>
      </c>
      <c r="V205" s="10">
        <f t="shared" si="39"/>
        <v>1.4166666666666667</v>
      </c>
      <c r="W205" s="10" cm="1">
        <f t="array" ref="W205">IF($A205="","",SUMPRODUCT((TRIM(tblDados[Mandante])=$A205)*tblDados[Primeira_Ocorrencia]*tblDados[GS_M]))</f>
        <v>10</v>
      </c>
      <c r="X205" s="10" cm="1">
        <f t="array" ref="X205">IF($A205="","",SUMPRODUCT((TRIM(tblDados[Visitante])=$A205)*tblDados[Primeira_Ocorrencia]*tblDados[GS_V]))</f>
        <v>12</v>
      </c>
      <c r="Y205" s="10">
        <f t="shared" si="51"/>
        <v>22</v>
      </c>
      <c r="Z205" s="10">
        <f t="shared" si="40"/>
        <v>1.8333333333333333</v>
      </c>
      <c r="AA205" s="10">
        <f t="shared" si="41"/>
        <v>2</v>
      </c>
      <c r="AB205" s="10">
        <f t="shared" si="42"/>
        <v>1.6666666666666667</v>
      </c>
      <c r="AC205" s="10">
        <f t="shared" si="43"/>
        <v>0.83333333333333337</v>
      </c>
      <c r="AD205" s="10">
        <f t="shared" si="44"/>
        <v>2</v>
      </c>
    </row>
    <row r="206" spans="1:30" x14ac:dyDescent="0.3">
      <c r="A206" s="7" t="str">
        <v>Dalstorps IF</v>
      </c>
      <c r="B206" s="12" t="str" cm="1">
        <f t="array" ref="B206">IF($A206="","",_xlfn.LET(_xlpm.p,IFERROR(INDEX(tblDados[País],MATCH($A206,TRIM(tblDados[Mandante]),0)),INDEX(tblDados[País],MATCH($A206,TRIM(tblDados[Visitante]),0))),_xlpm.l,IFERROR(INDEX(tblDados[Liga],MATCH($A206,TRIM(tblDados[Mandante]),0)),INDEX(tblDados[Liga],MATCH($A206,TRIM(tblDados[Visitante]),0))),_xlpm.p&amp;" - "&amp;_xlpm.l))</f>
        <v>SWE - 2ª D Västra Götaland</v>
      </c>
      <c r="C206" s="10">
        <f t="shared" si="45"/>
        <v>3.5714285714285712</v>
      </c>
      <c r="D206" s="10">
        <f t="shared" si="46"/>
        <v>2.8</v>
      </c>
      <c r="E206" s="9" cm="1">
        <f t="array" ref="E206">IF($A206="","",SUMPRODUCT((TRIM(tblDados[Mandante])=$A206)*tblDados[Primeira_Ocorrencia]))</f>
        <v>7</v>
      </c>
      <c r="F206" s="9" cm="1">
        <f t="array" ref="F206">IF($A206="","",SUMPRODUCT((TRIM(tblDados[Visitante])=$A206)*tblDados[Primeira_Ocorrencia]))</f>
        <v>5</v>
      </c>
      <c r="G206" s="9" cm="1">
        <f t="array" ref="G206">IF($A206="","",SUMPRODUCT((TRIM(tblDados[Mandante])=$A206)*tblDados[Primeira_Ocorrencia])+SUMPRODUCT((TRIM(tblDados[Visitante])=$A206)*tblDados[Primeira_Ocorrencia]))</f>
        <v>12</v>
      </c>
      <c r="H206" s="10">
        <f t="shared" si="47"/>
        <v>2.0833333333333335</v>
      </c>
      <c r="I206" s="10" cm="1">
        <f t="array" ref="I206">IF($A206="","",_xlfn.LET(_xlpm.p,IFERROR(INDEX(tblDados[País],MATCH($A206,TRIM(tblDados[Mandante]),0)),INDEX(tblDados[País],MATCH($A206,TRIM(tblDados[Visitante]),0))),_xlpm.l,IFERROR(INDEX(tblDados[Liga],MATCH($A206,TRIM(tblDados[Mandante]),0)),INDEX(tblDados[Liga],MATCH($A206,TRIM(tblDados[Visitante]),0))),IFERROR(SUMIFS(Ligas!$D$2:$D$39,Ligas!$H$2:$H$39,_xlpm.p,Ligas!$I$2:$I$39,_xlpm.l),0)))</f>
        <v>2.5</v>
      </c>
      <c r="J206" s="11" cm="1">
        <f t="array" ref="J206">IF($A206="","",IFERROR((SUMPRODUCT((TRIM(tblDados[Mandante])=$A206)*tblDados[Primeira_Ocorrencia]*(tblDados[GM_M]=0))+SUMPRODUCT((TRIM(tblDados[Visitante])=$A206)*tblDados[Primeira_Ocorrencia]*(tblDados[GM_V]=0)))/G206,0))</f>
        <v>8.3333333333333329E-2</v>
      </c>
      <c r="K206" s="11" cm="1">
        <f t="array" ref="K206">IF($A206="","",IFERROR((SUMPRODUCT((TRIM(tblDados[Mandante])=$A206)*tblDados[Primeira_Ocorrencia]*((tblDados[GM_M]+tblDados[GS_M])&gt;0.5))+SUMPRODUCT((TRIM(tblDados[Visitante])=$A206)*tblDados[Primeira_Ocorrencia]*((tblDados[GM_V]+tblDados[GS_V])&gt;0.5)))/G206,0))</f>
        <v>1</v>
      </c>
      <c r="L206" s="11" cm="1">
        <f t="array" ref="L206">IF($A206="","",IFERROR((SUMPRODUCT((TRIM(tblDados[Mandante])=$A206)*tblDados[Primeira_Ocorrencia]*((tblDados[GM_M]+tblDados[GS_M])&gt;1.5))+SUMPRODUCT((TRIM(tblDados[Visitante])=$A206)*tblDados[Primeira_Ocorrencia]*((tblDados[GM_V]+tblDados[GS_V])&gt;1.5)))/G206,0))</f>
        <v>0.75</v>
      </c>
      <c r="M206" s="11" cm="1">
        <f t="array" ref="M206">IF($A206="","",IFERROR((SUMPRODUCT((TRIM(tblDados[Mandante])=$A206)*tblDados[Primeira_Ocorrencia]*((tblDados[GM_M]+tblDados[GS_M])&gt;2.5))+SUMPRODUCT((TRIM(tblDados[Visitante])=$A206)*tblDados[Primeira_Ocorrencia]*((tblDados[GM_V]+tblDados[GS_V])&gt;2.5)))/G206,0))</f>
        <v>0.58333333333333337</v>
      </c>
      <c r="N206" s="11" cm="1">
        <f t="array" ref="N206">IF($A206="","",IFERROR((SUMPRODUCT((TRIM(tblDados[Mandante])=$A206)*tblDados[Primeira_Ocorrencia]*((tblDados[GM_M]+tblDados[GS_M])&gt;3.5))+SUMPRODUCT((TRIM(tblDados[Visitante])=$A206)*tblDados[Primeira_Ocorrencia]*((tblDados[GM_V]+tblDados[GS_V])&gt;3.5)))/G206,0))</f>
        <v>0.58333333333333337</v>
      </c>
      <c r="O206" s="11" cm="1">
        <f t="array" ref="O206">IF($A206="","",IFERROR((SUMPRODUCT((TRIM(tblDados[Mandante])=$A206)*tblDados[Primeira_Ocorrencia]*(tblDados[GM_M]&gt;0)*(tblDados[GS_M]&gt;0))+SUMPRODUCT((TRIM(tblDados[Visitante])=$A206)*tblDados[Primeira_Ocorrencia]*(tblDados[GM_V]&gt;0)*(tblDados[GS_V]&gt;0)))/G206,0))</f>
        <v>0.66666666666666663</v>
      </c>
      <c r="P206" s="10" cm="1">
        <f t="array" ref="P206">IF($A206="","",IFERROR((SUMPRODUCT((TRIM(tblDados[Mandante])=$A206)*tblDados[Primeira_Ocorrencia]*tblDados[GM_M]^2)+SUMPRODUCT((TRIM(tblDados[Visitante])=$A206)*tblDados[Primeira_Ocorrencia]*tblDados[GM_V]^2))/G206-H206^2,0))</f>
        <v>1.5763888888888884</v>
      </c>
      <c r="Q206" s="10">
        <f t="shared" si="48"/>
        <v>1.25554326444328</v>
      </c>
      <c r="R206" s="8" t="str">
        <f t="shared" si="49"/>
        <v>Poisson</v>
      </c>
      <c r="S206" s="10" cm="1">
        <f t="array" ref="S206">IF($A206="","",SUMPRODUCT((TRIM(tblDados[Mandante])=$A206)*tblDados[Primeira_Ocorrencia]*tblDados[GM_M]))</f>
        <v>17</v>
      </c>
      <c r="T206" s="10" cm="1">
        <f t="array" ref="T206">IF($A206="","",SUMPRODUCT((TRIM(tblDados[Visitante])=$A206)*tblDados[Primeira_Ocorrencia]*tblDados[GM_V]))</f>
        <v>8</v>
      </c>
      <c r="U206" s="10">
        <f t="shared" si="50"/>
        <v>25</v>
      </c>
      <c r="V206" s="10">
        <f t="shared" si="39"/>
        <v>2.0833333333333335</v>
      </c>
      <c r="W206" s="10" cm="1">
        <f t="array" ref="W206">IF($A206="","",SUMPRODUCT((TRIM(tblDados[Mandante])=$A206)*tblDados[Primeira_Ocorrencia]*tblDados[GS_M]))</f>
        <v>8</v>
      </c>
      <c r="X206" s="10" cm="1">
        <f t="array" ref="X206">IF($A206="","",SUMPRODUCT((TRIM(tblDados[Visitante])=$A206)*tblDados[Primeira_Ocorrencia]*tblDados[GS_V]))</f>
        <v>6</v>
      </c>
      <c r="Y206" s="10">
        <f t="shared" si="51"/>
        <v>14</v>
      </c>
      <c r="Z206" s="10">
        <f t="shared" si="40"/>
        <v>1.1666666666666667</v>
      </c>
      <c r="AA206" s="10">
        <f t="shared" si="41"/>
        <v>2.4285714285714284</v>
      </c>
      <c r="AB206" s="10">
        <f t="shared" si="42"/>
        <v>1.1428571428571428</v>
      </c>
      <c r="AC206" s="10">
        <f t="shared" si="43"/>
        <v>1.6</v>
      </c>
      <c r="AD206" s="10">
        <f t="shared" si="44"/>
        <v>1.2</v>
      </c>
    </row>
    <row r="207" spans="1:30" x14ac:dyDescent="0.3">
      <c r="A207" s="7" t="str">
        <v>Dandenong City</v>
      </c>
      <c r="B207" s="12" t="str" cm="1">
        <f t="array" ref="B207">IF($A207="","",_xlfn.LET(_xlpm.p,IFERROR(INDEX(tblDados[País],MATCH($A207,TRIM(tblDados[Mandante]),0)),INDEX(tblDados[País],MATCH($A207,TRIM(tblDados[Visitante]),0))),_xlpm.l,IFERROR(INDEX(tblDados[Liga],MATCH($A207,TRIM(tblDados[Mandante]),0)),INDEX(tblDados[Liga],MATCH($A207,TRIM(tblDados[Visitante]),0))),_xlpm.p&amp;" - "&amp;_xlpm.l))</f>
        <v>AUS - NPL Victoria</v>
      </c>
      <c r="C207" s="10">
        <f t="shared" si="45"/>
        <v>3.2</v>
      </c>
      <c r="D207" s="10">
        <f t="shared" si="46"/>
        <v>1.8571428571428572</v>
      </c>
      <c r="E207" s="9" cm="1">
        <f t="array" ref="E207">IF($A207="","",SUMPRODUCT((TRIM(tblDados[Mandante])=$A207)*tblDados[Primeira_Ocorrencia]))</f>
        <v>5</v>
      </c>
      <c r="F207" s="9" cm="1">
        <f t="array" ref="F207">IF($A207="","",SUMPRODUCT((TRIM(tblDados[Visitante])=$A207)*tblDados[Primeira_Ocorrencia]))</f>
        <v>7</v>
      </c>
      <c r="G207" s="9" cm="1">
        <f t="array" ref="G207">IF($A207="","",SUMPRODUCT((TRIM(tblDados[Mandante])=$A207)*tblDados[Primeira_Ocorrencia])+SUMPRODUCT((TRIM(tblDados[Visitante])=$A207)*tblDados[Primeira_Ocorrencia]))</f>
        <v>12</v>
      </c>
      <c r="H207" s="10">
        <f t="shared" si="47"/>
        <v>1.4166666666666667</v>
      </c>
      <c r="I207" s="10" cm="1">
        <f t="array" ref="I207">IF($A207="","",_xlfn.LET(_xlpm.p,IFERROR(INDEX(tblDados[País],MATCH($A207,TRIM(tblDados[Mandante]),0)),INDEX(tblDados[País],MATCH($A207,TRIM(tblDados[Visitante]),0))),_xlpm.l,IFERROR(INDEX(tblDados[Liga],MATCH($A207,TRIM(tblDados[Mandante]),0)),INDEX(tblDados[Liga],MATCH($A207,TRIM(tblDados[Visitante]),0))),IFERROR(SUMIFS(Ligas!$D$2:$D$39,Ligas!$H$2:$H$39,_xlpm.p,Ligas!$I$2:$I$39,_xlpm.l),0)))</f>
        <v>2.89</v>
      </c>
      <c r="J207" s="11" cm="1">
        <f t="array" ref="J207">IF($A207="","",IFERROR((SUMPRODUCT((TRIM(tblDados[Mandante])=$A207)*tblDados[Primeira_Ocorrencia]*(tblDados[GM_M]=0))+SUMPRODUCT((TRIM(tblDados[Visitante])=$A207)*tblDados[Primeira_Ocorrencia]*(tblDados[GM_V]=0)))/G207,0))</f>
        <v>0.33333333333333331</v>
      </c>
      <c r="K207" s="11" cm="1">
        <f t="array" ref="K207">IF($A207="","",IFERROR((SUMPRODUCT((TRIM(tblDados[Mandante])=$A207)*tblDados[Primeira_Ocorrencia]*((tblDados[GM_M]+tblDados[GS_M])&gt;0.5))+SUMPRODUCT((TRIM(tblDados[Visitante])=$A207)*tblDados[Primeira_Ocorrencia]*((tblDados[GM_V]+tblDados[GS_V])&gt;0.5)))/G207,0))</f>
        <v>0.83333333333333337</v>
      </c>
      <c r="L207" s="11" cm="1">
        <f t="array" ref="L207">IF($A207="","",IFERROR((SUMPRODUCT((TRIM(tblDados[Mandante])=$A207)*tblDados[Primeira_Ocorrencia]*((tblDados[GM_M]+tblDados[GS_M])&gt;1.5))+SUMPRODUCT((TRIM(tblDados[Visitante])=$A207)*tblDados[Primeira_Ocorrencia]*((tblDados[GM_V]+tblDados[GS_V])&gt;1.5)))/G207,0))</f>
        <v>0.66666666666666663</v>
      </c>
      <c r="M207" s="11" cm="1">
        <f t="array" ref="M207">IF($A207="","",IFERROR((SUMPRODUCT((TRIM(tblDados[Mandante])=$A207)*tblDados[Primeira_Ocorrencia]*((tblDados[GM_M]+tblDados[GS_M])&gt;2.5))+SUMPRODUCT((TRIM(tblDados[Visitante])=$A207)*tblDados[Primeira_Ocorrencia]*((tblDados[GM_V]+tblDados[GS_V])&gt;2.5)))/G207,0))</f>
        <v>0.5</v>
      </c>
      <c r="N207" s="11" cm="1">
        <f t="array" ref="N207">IF($A207="","",IFERROR((SUMPRODUCT((TRIM(tblDados[Mandante])=$A207)*tblDados[Primeira_Ocorrencia]*((tblDados[GM_M]+tblDados[GS_M])&gt;3.5))+SUMPRODUCT((TRIM(tblDados[Visitante])=$A207)*tblDados[Primeira_Ocorrencia]*((tblDados[GM_V]+tblDados[GS_V])&gt;3.5)))/G207,0))</f>
        <v>0.25</v>
      </c>
      <c r="O207" s="11" cm="1">
        <f t="array" ref="O207">IF($A207="","",IFERROR((SUMPRODUCT((TRIM(tblDados[Mandante])=$A207)*tblDados[Primeira_Ocorrencia]*(tblDados[GM_M]&gt;0)*(tblDados[GS_M]&gt;0))+SUMPRODUCT((TRIM(tblDados[Visitante])=$A207)*tblDados[Primeira_Ocorrencia]*(tblDados[GM_V]&gt;0)*(tblDados[GS_V]&gt;0)))/G207,0))</f>
        <v>0.5</v>
      </c>
      <c r="P207" s="10" cm="1">
        <f t="array" ref="P207">IF($A207="","",IFERROR((SUMPRODUCT((TRIM(tblDados[Mandante])=$A207)*tblDados[Primeira_Ocorrencia]*tblDados[GM_M]^2)+SUMPRODUCT((TRIM(tblDados[Visitante])=$A207)*tblDados[Primeira_Ocorrencia]*tblDados[GM_V]^2))/G207-H207^2,0))</f>
        <v>1.7430555555555554</v>
      </c>
      <c r="Q207" s="10">
        <f t="shared" si="48"/>
        <v>1.3202482931462383</v>
      </c>
      <c r="R207" s="8" t="str">
        <f t="shared" si="49"/>
        <v>Poisson</v>
      </c>
      <c r="S207" s="10" cm="1">
        <f t="array" ref="S207">IF($A207="","",SUMPRODUCT((TRIM(tblDados[Mandante])=$A207)*tblDados[Primeira_Ocorrencia]*tblDados[GM_M]))</f>
        <v>10</v>
      </c>
      <c r="T207" s="10" cm="1">
        <f t="array" ref="T207">IF($A207="","",SUMPRODUCT((TRIM(tblDados[Visitante])=$A207)*tblDados[Primeira_Ocorrencia]*tblDados[GM_V]))</f>
        <v>7</v>
      </c>
      <c r="U207" s="10">
        <f t="shared" si="50"/>
        <v>17</v>
      </c>
      <c r="V207" s="10">
        <f t="shared" si="39"/>
        <v>1.4166666666666667</v>
      </c>
      <c r="W207" s="10" cm="1">
        <f t="array" ref="W207">IF($A207="","",SUMPRODUCT((TRIM(tblDados[Mandante])=$A207)*tblDados[Primeira_Ocorrencia]*tblDados[GS_M]))</f>
        <v>6</v>
      </c>
      <c r="X207" s="10" cm="1">
        <f t="array" ref="X207">IF($A207="","",SUMPRODUCT((TRIM(tblDados[Visitante])=$A207)*tblDados[Primeira_Ocorrencia]*tblDados[GS_V]))</f>
        <v>6</v>
      </c>
      <c r="Y207" s="10">
        <f t="shared" si="51"/>
        <v>12</v>
      </c>
      <c r="Z207" s="10">
        <f t="shared" si="40"/>
        <v>1</v>
      </c>
      <c r="AA207" s="10">
        <f t="shared" si="41"/>
        <v>2</v>
      </c>
      <c r="AB207" s="10">
        <f t="shared" si="42"/>
        <v>1.2</v>
      </c>
      <c r="AC207" s="10">
        <f t="shared" si="43"/>
        <v>1</v>
      </c>
      <c r="AD207" s="10">
        <f t="shared" si="44"/>
        <v>0.8571428571428571</v>
      </c>
    </row>
    <row r="208" spans="1:30" x14ac:dyDescent="0.3">
      <c r="A208" s="7" t="str">
        <v>Degerfors IF</v>
      </c>
      <c r="B208" s="12" t="str" cm="1">
        <f t="array" ref="B208">IF($A208="","",_xlfn.LET(_xlpm.p,IFERROR(INDEX(tblDados[País],MATCH($A208,TRIM(tblDados[Mandante]),0)),INDEX(tblDados[País],MATCH($A208,TRIM(tblDados[Visitante]),0))),_xlpm.l,IFERROR(INDEX(tblDados[Liga],MATCH($A208,TRIM(tblDados[Mandante]),0)),INDEX(tblDados[Liga],MATCH($A208,TRIM(tblDados[Visitante]),0))),_xlpm.p&amp;" - "&amp;_xlpm.l))</f>
        <v>SWE - Allsvenskan</v>
      </c>
      <c r="C208" s="10">
        <f t="shared" si="45"/>
        <v>2.6</v>
      </c>
      <c r="D208" s="10">
        <f t="shared" si="46"/>
        <v>2.5714285714285716</v>
      </c>
      <c r="E208" s="9" cm="1">
        <f t="array" ref="E208">IF($A208="","",SUMPRODUCT((TRIM(tblDados[Mandante])=$A208)*tblDados[Primeira_Ocorrencia]))</f>
        <v>5</v>
      </c>
      <c r="F208" s="9" cm="1">
        <f t="array" ref="F208">IF($A208="","",SUMPRODUCT((TRIM(tblDados[Visitante])=$A208)*tblDados[Primeira_Ocorrencia]))</f>
        <v>7</v>
      </c>
      <c r="G208" s="9" cm="1">
        <f t="array" ref="G208">IF($A208="","",SUMPRODUCT((TRIM(tblDados[Mandante])=$A208)*tblDados[Primeira_Ocorrencia])+SUMPRODUCT((TRIM(tblDados[Visitante])=$A208)*tblDados[Primeira_Ocorrencia]))</f>
        <v>12</v>
      </c>
      <c r="H208" s="10">
        <f t="shared" si="47"/>
        <v>0.75</v>
      </c>
      <c r="I208" s="10" cm="1">
        <f t="array" ref="I208">IF($A208="","",_xlfn.LET(_xlpm.p,IFERROR(INDEX(tblDados[País],MATCH($A208,TRIM(tblDados[Mandante]),0)),INDEX(tblDados[País],MATCH($A208,TRIM(tblDados[Visitante]),0))),_xlpm.l,IFERROR(INDEX(tblDados[Liga],MATCH($A208,TRIM(tblDados[Mandante]),0)),INDEX(tblDados[Liga],MATCH($A208,TRIM(tblDados[Visitante]),0))),IFERROR(SUMIFS(Ligas!$D$2:$D$39,Ligas!$H$2:$H$39,_xlpm.p,Ligas!$I$2:$I$39,_xlpm.l),0)))</f>
        <v>2.5</v>
      </c>
      <c r="J208" s="11" cm="1">
        <f t="array" ref="J208">IF($A208="","",IFERROR((SUMPRODUCT((TRIM(tblDados[Mandante])=$A208)*tblDados[Primeira_Ocorrencia]*(tblDados[GM_M]=0))+SUMPRODUCT((TRIM(tblDados[Visitante])=$A208)*tblDados[Primeira_Ocorrencia]*(tblDados[GM_V]=0)))/G208,0))</f>
        <v>0.41666666666666669</v>
      </c>
      <c r="K208" s="11" cm="1">
        <f t="array" ref="K208">IF($A208="","",IFERROR((SUMPRODUCT((TRIM(tblDados[Mandante])=$A208)*tblDados[Primeira_Ocorrencia]*((tblDados[GM_M]+tblDados[GS_M])&gt;0.5))+SUMPRODUCT((TRIM(tblDados[Visitante])=$A208)*tblDados[Primeira_Ocorrencia]*((tblDados[GM_V]+tblDados[GS_V])&gt;0.5)))/G208,0))</f>
        <v>1</v>
      </c>
      <c r="L208" s="11" cm="1">
        <f t="array" ref="L208">IF($A208="","",IFERROR((SUMPRODUCT((TRIM(tblDados[Mandante])=$A208)*tblDados[Primeira_Ocorrencia]*((tblDados[GM_M]+tblDados[GS_M])&gt;1.5))+SUMPRODUCT((TRIM(tblDados[Visitante])=$A208)*tblDados[Primeira_Ocorrencia]*((tblDados[GM_V]+tblDados[GS_V])&gt;1.5)))/G208,0))</f>
        <v>0.83333333333333337</v>
      </c>
      <c r="M208" s="11" cm="1">
        <f t="array" ref="M208">IF($A208="","",IFERROR((SUMPRODUCT((TRIM(tblDados[Mandante])=$A208)*tblDados[Primeira_Ocorrencia]*((tblDados[GM_M]+tblDados[GS_M])&gt;2.5))+SUMPRODUCT((TRIM(tblDados[Visitante])=$A208)*tblDados[Primeira_Ocorrencia]*((tblDados[GM_V]+tblDados[GS_V])&gt;2.5)))/G208,0))</f>
        <v>0.41666666666666669</v>
      </c>
      <c r="N208" s="11" cm="1">
        <f t="array" ref="N208">IF($A208="","",IFERROR((SUMPRODUCT((TRIM(tblDados[Mandante])=$A208)*tblDados[Primeira_Ocorrencia]*((tblDados[GM_M]+tblDados[GS_M])&gt;3.5))+SUMPRODUCT((TRIM(tblDados[Visitante])=$A208)*tblDados[Primeira_Ocorrencia]*((tblDados[GM_V]+tblDados[GS_V])&gt;3.5)))/G208,0))</f>
        <v>0.25</v>
      </c>
      <c r="O208" s="11" cm="1">
        <f t="array" ref="O208">IF($A208="","",IFERROR((SUMPRODUCT((TRIM(tblDados[Mandante])=$A208)*tblDados[Primeira_Ocorrencia]*(tblDados[GM_M]&gt;0)*(tblDados[GS_M]&gt;0))+SUMPRODUCT((TRIM(tblDados[Visitante])=$A208)*tblDados[Primeira_Ocorrencia]*(tblDados[GM_V]&gt;0)*(tblDados[GS_V]&gt;0)))/G208,0))</f>
        <v>0.58333333333333337</v>
      </c>
      <c r="P208" s="10" cm="1">
        <f t="array" ref="P208">IF($A208="","",IFERROR((SUMPRODUCT((TRIM(tblDados[Mandante])=$A208)*tblDados[Primeira_Ocorrencia]*tblDados[GM_M]^2)+SUMPRODUCT((TRIM(tblDados[Visitante])=$A208)*tblDados[Primeira_Ocorrencia]*tblDados[GM_V]^2))/G208-H208^2,0))</f>
        <v>0.52083333333333326</v>
      </c>
      <c r="Q208" s="10">
        <f t="shared" si="48"/>
        <v>0.72168783648703216</v>
      </c>
      <c r="R208" s="8" t="str">
        <f t="shared" si="49"/>
        <v>Poisson</v>
      </c>
      <c r="S208" s="10" cm="1">
        <f t="array" ref="S208">IF($A208="","",SUMPRODUCT((TRIM(tblDados[Mandante])=$A208)*tblDados[Primeira_Ocorrencia]*tblDados[GM_M]))</f>
        <v>4</v>
      </c>
      <c r="T208" s="10" cm="1">
        <f t="array" ref="T208">IF($A208="","",SUMPRODUCT((TRIM(tblDados[Visitante])=$A208)*tblDados[Primeira_Ocorrencia]*tblDados[GM_V]))</f>
        <v>5</v>
      </c>
      <c r="U208" s="10">
        <f t="shared" si="50"/>
        <v>9</v>
      </c>
      <c r="V208" s="10">
        <f t="shared" si="39"/>
        <v>0.75</v>
      </c>
      <c r="W208" s="10" cm="1">
        <f t="array" ref="W208">IF($A208="","",SUMPRODUCT((TRIM(tblDados[Mandante])=$A208)*tblDados[Primeira_Ocorrencia]*tblDados[GS_M]))</f>
        <v>9</v>
      </c>
      <c r="X208" s="10" cm="1">
        <f t="array" ref="X208">IF($A208="","",SUMPRODUCT((TRIM(tblDados[Visitante])=$A208)*tblDados[Primeira_Ocorrencia]*tblDados[GS_V]))</f>
        <v>13</v>
      </c>
      <c r="Y208" s="10">
        <f t="shared" si="51"/>
        <v>22</v>
      </c>
      <c r="Z208" s="10">
        <f t="shared" si="40"/>
        <v>1.8333333333333333</v>
      </c>
      <c r="AA208" s="10">
        <f t="shared" si="41"/>
        <v>0.8</v>
      </c>
      <c r="AB208" s="10">
        <f t="shared" si="42"/>
        <v>1.8</v>
      </c>
      <c r="AC208" s="10">
        <f t="shared" si="43"/>
        <v>0.7142857142857143</v>
      </c>
      <c r="AD208" s="10">
        <f t="shared" si="44"/>
        <v>1.8571428571428572</v>
      </c>
    </row>
    <row r="209" spans="1:30" x14ac:dyDescent="0.3">
      <c r="A209" s="7" t="str">
        <v>Deportes Limache</v>
      </c>
      <c r="B209" s="12" t="str" cm="1">
        <f t="array" ref="B209">IF($A209="","",_xlfn.LET(_xlpm.p,IFERROR(INDEX(tblDados[País],MATCH($A209,TRIM(tblDados[Mandante]),0)),INDEX(tblDados[País],MATCH($A209,TRIM(tblDados[Visitante]),0))),_xlpm.l,IFERROR(INDEX(tblDados[Liga],MATCH($A209,TRIM(tblDados[Mandante]),0)),INDEX(tblDados[Liga],MATCH($A209,TRIM(tblDados[Visitante]),0))),_xlpm.p&amp;" - "&amp;_xlpm.l))</f>
        <v>CHI - Liga de Primera</v>
      </c>
      <c r="C209" s="10">
        <f t="shared" si="45"/>
        <v>3.4</v>
      </c>
      <c r="D209" s="10">
        <f t="shared" si="46"/>
        <v>3.8571428571428568</v>
      </c>
      <c r="E209" s="9" cm="1">
        <f t="array" ref="E209">IF($A209="","",SUMPRODUCT((TRIM(tblDados[Mandante])=$A209)*tblDados[Primeira_Ocorrencia]))</f>
        <v>5</v>
      </c>
      <c r="F209" s="9" cm="1">
        <f t="array" ref="F209">IF($A209="","",SUMPRODUCT((TRIM(tblDados[Visitante])=$A209)*tblDados[Primeira_Ocorrencia]))</f>
        <v>7</v>
      </c>
      <c r="G209" s="9" cm="1">
        <f t="array" ref="G209">IF($A209="","",SUMPRODUCT((TRIM(tblDados[Mandante])=$A209)*tblDados[Primeira_Ocorrencia])+SUMPRODUCT((TRIM(tblDados[Visitante])=$A209)*tblDados[Primeira_Ocorrencia]))</f>
        <v>12</v>
      </c>
      <c r="H209" s="10">
        <f t="shared" si="47"/>
        <v>1.9166666666666667</v>
      </c>
      <c r="I209" s="10" cm="1">
        <f t="array" ref="I209">IF($A209="","",_xlfn.LET(_xlpm.p,IFERROR(INDEX(tblDados[País],MATCH($A209,TRIM(tblDados[Mandante]),0)),INDEX(tblDados[País],MATCH($A209,TRIM(tblDados[Visitante]),0))),_xlpm.l,IFERROR(INDEX(tblDados[Liga],MATCH($A209,TRIM(tblDados[Mandante]),0)),INDEX(tblDados[Liga],MATCH($A209,TRIM(tblDados[Visitante]),0))),IFERROR(SUMIFS(Ligas!$D$2:$D$39,Ligas!$H$2:$H$39,_xlpm.p,Ligas!$I$2:$I$39,_xlpm.l),0)))</f>
        <v>2.5</v>
      </c>
      <c r="J209" s="11" cm="1">
        <f t="array" ref="J209">IF($A209="","",IFERROR((SUMPRODUCT((TRIM(tblDados[Mandante])=$A209)*tblDados[Primeira_Ocorrencia]*(tblDados[GM_M]=0))+SUMPRODUCT((TRIM(tblDados[Visitante])=$A209)*tblDados[Primeira_Ocorrencia]*(tblDados[GM_V]=0)))/G209,0))</f>
        <v>0.25</v>
      </c>
      <c r="K209" s="11" cm="1">
        <f t="array" ref="K209">IF($A209="","",IFERROR((SUMPRODUCT((TRIM(tblDados[Mandante])=$A209)*tblDados[Primeira_Ocorrencia]*((tblDados[GM_M]+tblDados[GS_M])&gt;0.5))+SUMPRODUCT((TRIM(tblDados[Visitante])=$A209)*tblDados[Primeira_Ocorrencia]*((tblDados[GM_V]+tblDados[GS_V])&gt;0.5)))/G209,0))</f>
        <v>1</v>
      </c>
      <c r="L209" s="11" cm="1">
        <f t="array" ref="L209">IF($A209="","",IFERROR((SUMPRODUCT((TRIM(tblDados[Mandante])=$A209)*tblDados[Primeira_Ocorrencia]*((tblDados[GM_M]+tblDados[GS_M])&gt;1.5))+SUMPRODUCT((TRIM(tblDados[Visitante])=$A209)*tblDados[Primeira_Ocorrencia]*((tblDados[GM_V]+tblDados[GS_V])&gt;1.5)))/G209,0))</f>
        <v>0.83333333333333337</v>
      </c>
      <c r="M209" s="11" cm="1">
        <f t="array" ref="M209">IF($A209="","",IFERROR((SUMPRODUCT((TRIM(tblDados[Mandante])=$A209)*tblDados[Primeira_Ocorrencia]*((tblDados[GM_M]+tblDados[GS_M])&gt;2.5))+SUMPRODUCT((TRIM(tblDados[Visitante])=$A209)*tblDados[Primeira_Ocorrencia]*((tblDados[GM_V]+tblDados[GS_V])&gt;2.5)))/G209,0))</f>
        <v>0.75</v>
      </c>
      <c r="N209" s="11" cm="1">
        <f t="array" ref="N209">IF($A209="","",IFERROR((SUMPRODUCT((TRIM(tblDados[Mandante])=$A209)*tblDados[Primeira_Ocorrencia]*((tblDados[GM_M]+tblDados[GS_M])&gt;3.5))+SUMPRODUCT((TRIM(tblDados[Visitante])=$A209)*tblDados[Primeira_Ocorrencia]*((tblDados[GM_V]+tblDados[GS_V])&gt;3.5)))/G209,0))</f>
        <v>0.58333333333333337</v>
      </c>
      <c r="O209" s="11" cm="1">
        <f t="array" ref="O209">IF($A209="","",IFERROR((SUMPRODUCT((TRIM(tblDados[Mandante])=$A209)*tblDados[Primeira_Ocorrencia]*(tblDados[GM_M]&gt;0)*(tblDados[GS_M]&gt;0))+SUMPRODUCT((TRIM(tblDados[Visitante])=$A209)*tblDados[Primeira_Ocorrencia]*(tblDados[GM_V]&gt;0)*(tblDados[GS_V]&gt;0)))/G209,0))</f>
        <v>0.5</v>
      </c>
      <c r="P209" s="10" cm="1">
        <f t="array" ref="P209">IF($A209="","",IFERROR((SUMPRODUCT((TRIM(tblDados[Mandante])=$A209)*tblDados[Primeira_Ocorrencia]*tblDados[GM_M]^2)+SUMPRODUCT((TRIM(tblDados[Visitante])=$A209)*tblDados[Primeira_Ocorrencia]*tblDados[GM_V]^2))/G209-H209^2,0))</f>
        <v>2.4097222222222214</v>
      </c>
      <c r="Q209" s="10">
        <f t="shared" si="48"/>
        <v>1.5523280008497629</v>
      </c>
      <c r="R209" s="8" t="str">
        <f t="shared" si="49"/>
        <v>Poisson</v>
      </c>
      <c r="S209" s="10" cm="1">
        <f t="array" ref="S209">IF($A209="","",SUMPRODUCT((TRIM(tblDados[Mandante])=$A209)*tblDados[Primeira_Ocorrencia]*tblDados[GM_M]))</f>
        <v>12</v>
      </c>
      <c r="T209" s="10" cm="1">
        <f t="array" ref="T209">IF($A209="","",SUMPRODUCT((TRIM(tblDados[Visitante])=$A209)*tblDados[Primeira_Ocorrencia]*tblDados[GM_V]))</f>
        <v>11</v>
      </c>
      <c r="U209" s="10">
        <f t="shared" si="50"/>
        <v>23</v>
      </c>
      <c r="V209" s="10">
        <f t="shared" si="39"/>
        <v>1.9166666666666667</v>
      </c>
      <c r="W209" s="10" cm="1">
        <f t="array" ref="W209">IF($A209="","",SUMPRODUCT((TRIM(tblDados[Mandante])=$A209)*tblDados[Primeira_Ocorrencia]*tblDados[GS_M]))</f>
        <v>5</v>
      </c>
      <c r="X209" s="10" cm="1">
        <f t="array" ref="X209">IF($A209="","",SUMPRODUCT((TRIM(tblDados[Visitante])=$A209)*tblDados[Primeira_Ocorrencia]*tblDados[GS_V]))</f>
        <v>16</v>
      </c>
      <c r="Y209" s="10">
        <f t="shared" si="51"/>
        <v>21</v>
      </c>
      <c r="Z209" s="10">
        <f t="shared" si="40"/>
        <v>1.75</v>
      </c>
      <c r="AA209" s="10">
        <f t="shared" si="41"/>
        <v>2.4</v>
      </c>
      <c r="AB209" s="10">
        <f t="shared" si="42"/>
        <v>1</v>
      </c>
      <c r="AC209" s="10">
        <f t="shared" si="43"/>
        <v>1.5714285714285714</v>
      </c>
      <c r="AD209" s="10">
        <f t="shared" si="44"/>
        <v>2.2857142857142856</v>
      </c>
    </row>
    <row r="210" spans="1:30" x14ac:dyDescent="0.3">
      <c r="A210" s="7" t="str">
        <v>Deportivo Cuenca</v>
      </c>
      <c r="B210" s="12" t="str" cm="1">
        <f t="array" ref="B210">IF($A210="","",_xlfn.LET(_xlpm.p,IFERROR(INDEX(tblDados[País],MATCH($A210,TRIM(tblDados[Mandante]),0)),INDEX(tblDados[País],MATCH($A210,TRIM(tblDados[Visitante]),0))),_xlpm.l,IFERROR(INDEX(tblDados[Liga],MATCH($A210,TRIM(tblDados[Mandante]),0)),INDEX(tblDados[Liga],MATCH($A210,TRIM(tblDados[Visitante]),0))),_xlpm.p&amp;" - "&amp;_xlpm.l))</f>
        <v>ECU - LigaPro Serie A</v>
      </c>
      <c r="C210" s="10">
        <f t="shared" si="45"/>
        <v>2</v>
      </c>
      <c r="D210" s="10">
        <f t="shared" si="46"/>
        <v>1.6666666666666667</v>
      </c>
      <c r="E210" s="9" cm="1">
        <f t="array" ref="E210">IF($A210="","",SUMPRODUCT((TRIM(tblDados[Mandante])=$A210)*tblDados[Primeira_Ocorrencia]))</f>
        <v>6</v>
      </c>
      <c r="F210" s="9" cm="1">
        <f t="array" ref="F210">IF($A210="","",SUMPRODUCT((TRIM(tblDados[Visitante])=$A210)*tblDados[Primeira_Ocorrencia]))</f>
        <v>6</v>
      </c>
      <c r="G210" s="9" cm="1">
        <f t="array" ref="G210">IF($A210="","",SUMPRODUCT((TRIM(tblDados[Mandante])=$A210)*tblDados[Primeira_Ocorrencia])+SUMPRODUCT((TRIM(tblDados[Visitante])=$A210)*tblDados[Primeira_Ocorrencia]))</f>
        <v>12</v>
      </c>
      <c r="H210" s="10">
        <f t="shared" si="47"/>
        <v>0.75</v>
      </c>
      <c r="I210" s="10" cm="1">
        <f t="array" ref="I210">IF($A210="","",_xlfn.LET(_xlpm.p,IFERROR(INDEX(tblDados[País],MATCH($A210,TRIM(tblDados[Mandante]),0)),INDEX(tblDados[País],MATCH($A210,TRIM(tblDados[Visitante]),0))),_xlpm.l,IFERROR(INDEX(tblDados[Liga],MATCH($A210,TRIM(tblDados[Mandante]),0)),INDEX(tblDados[Liga],MATCH($A210,TRIM(tblDados[Visitante]),0))),IFERROR(SUMIFS(Ligas!$D$2:$D$39,Ligas!$H$2:$H$39,_xlpm.p,Ligas!$I$2:$I$39,_xlpm.l),0)))</f>
        <v>2.5</v>
      </c>
      <c r="J210" s="11" cm="1">
        <f t="array" ref="J210">IF($A210="","",IFERROR((SUMPRODUCT((TRIM(tblDados[Mandante])=$A210)*tblDados[Primeira_Ocorrencia]*(tblDados[GM_M]=0))+SUMPRODUCT((TRIM(tblDados[Visitante])=$A210)*tblDados[Primeira_Ocorrencia]*(tblDados[GM_V]=0)))/G210,0))</f>
        <v>0.41666666666666669</v>
      </c>
      <c r="K210" s="11" cm="1">
        <f t="array" ref="K210">IF($A210="","",IFERROR((SUMPRODUCT((TRIM(tblDados[Mandante])=$A210)*tblDados[Primeira_Ocorrencia]*((tblDados[GM_M]+tblDados[GS_M])&gt;0.5))+SUMPRODUCT((TRIM(tblDados[Visitante])=$A210)*tblDados[Primeira_Ocorrencia]*((tblDados[GM_V]+tblDados[GS_V])&gt;0.5)))/G210,0))</f>
        <v>1</v>
      </c>
      <c r="L210" s="11" cm="1">
        <f t="array" ref="L210">IF($A210="","",IFERROR((SUMPRODUCT((TRIM(tblDados[Mandante])=$A210)*tblDados[Primeira_Ocorrencia]*((tblDados[GM_M]+tblDados[GS_M])&gt;1.5))+SUMPRODUCT((TRIM(tblDados[Visitante])=$A210)*tblDados[Primeira_Ocorrencia]*((tblDados[GM_V]+tblDados[GS_V])&gt;1.5)))/G210,0))</f>
        <v>0.58333333333333337</v>
      </c>
      <c r="M210" s="11" cm="1">
        <f t="array" ref="M210">IF($A210="","",IFERROR((SUMPRODUCT((TRIM(tblDados[Mandante])=$A210)*tblDados[Primeira_Ocorrencia]*((tblDados[GM_M]+tblDados[GS_M])&gt;2.5))+SUMPRODUCT((TRIM(tblDados[Visitante])=$A210)*tblDados[Primeira_Ocorrencia]*((tblDados[GM_V]+tblDados[GS_V])&gt;2.5)))/G210,0))</f>
        <v>0.25</v>
      </c>
      <c r="N210" s="11" cm="1">
        <f t="array" ref="N210">IF($A210="","",IFERROR((SUMPRODUCT((TRIM(tblDados[Mandante])=$A210)*tblDados[Primeira_Ocorrencia]*((tblDados[GM_M]+tblDados[GS_M])&gt;3.5))+SUMPRODUCT((TRIM(tblDados[Visitante])=$A210)*tblDados[Primeira_Ocorrencia]*((tblDados[GM_V]+tblDados[GS_V])&gt;3.5)))/G210,0))</f>
        <v>0</v>
      </c>
      <c r="O210" s="11" cm="1">
        <f t="array" ref="O210">IF($A210="","",IFERROR((SUMPRODUCT((TRIM(tblDados[Mandante])=$A210)*tblDados[Primeira_Ocorrencia]*(tblDados[GM_M]&gt;0)*(tblDados[GS_M]&gt;0))+SUMPRODUCT((TRIM(tblDados[Visitante])=$A210)*tblDados[Primeira_Ocorrencia]*(tblDados[GM_V]&gt;0)*(tblDados[GS_V]&gt;0)))/G210,0))</f>
        <v>0.33333333333333331</v>
      </c>
      <c r="P210" s="10" cm="1">
        <f t="array" ref="P210">IF($A210="","",IFERROR((SUMPRODUCT((TRIM(tblDados[Mandante])=$A210)*tblDados[Primeira_Ocorrencia]*tblDados[GM_M]^2)+SUMPRODUCT((TRIM(tblDados[Visitante])=$A210)*tblDados[Primeira_Ocorrencia]*tblDados[GM_V]^2))/G210-H210^2,0))</f>
        <v>0.52083333333333326</v>
      </c>
      <c r="Q210" s="10">
        <f t="shared" si="48"/>
        <v>0.72168783648703216</v>
      </c>
      <c r="R210" s="8" t="str">
        <f t="shared" si="49"/>
        <v>Poisson</v>
      </c>
      <c r="S210" s="10" cm="1">
        <f t="array" ref="S210">IF($A210="","",SUMPRODUCT((TRIM(tblDados[Mandante])=$A210)*tblDados[Primeira_Ocorrencia]*tblDados[GM_M]))</f>
        <v>6</v>
      </c>
      <c r="T210" s="10" cm="1">
        <f t="array" ref="T210">IF($A210="","",SUMPRODUCT((TRIM(tblDados[Visitante])=$A210)*tblDados[Primeira_Ocorrencia]*tblDados[GM_V]))</f>
        <v>3</v>
      </c>
      <c r="U210" s="10">
        <f t="shared" si="50"/>
        <v>9</v>
      </c>
      <c r="V210" s="10">
        <f t="shared" si="39"/>
        <v>0.75</v>
      </c>
      <c r="W210" s="10" cm="1">
        <f t="array" ref="W210">IF($A210="","",SUMPRODUCT((TRIM(tblDados[Mandante])=$A210)*tblDados[Primeira_Ocorrencia]*tblDados[GS_M]))</f>
        <v>6</v>
      </c>
      <c r="X210" s="10" cm="1">
        <f t="array" ref="X210">IF($A210="","",SUMPRODUCT((TRIM(tblDados[Visitante])=$A210)*tblDados[Primeira_Ocorrencia]*tblDados[GS_V]))</f>
        <v>7</v>
      </c>
      <c r="Y210" s="10">
        <f t="shared" si="51"/>
        <v>13</v>
      </c>
      <c r="Z210" s="10">
        <f t="shared" si="40"/>
        <v>1.0833333333333333</v>
      </c>
      <c r="AA210" s="10">
        <f t="shared" si="41"/>
        <v>1</v>
      </c>
      <c r="AB210" s="10">
        <f t="shared" si="42"/>
        <v>1</v>
      </c>
      <c r="AC210" s="10">
        <f t="shared" si="43"/>
        <v>0.5</v>
      </c>
      <c r="AD210" s="10">
        <f t="shared" si="44"/>
        <v>1.1666666666666667</v>
      </c>
    </row>
    <row r="211" spans="1:30" x14ac:dyDescent="0.3">
      <c r="A211" s="7" t="str">
        <v>Egersunds IK</v>
      </c>
      <c r="B211" s="12" t="str" cm="1">
        <f t="array" ref="B211">IF($A211="","",_xlfn.LET(_xlpm.p,IFERROR(INDEX(tblDados[País],MATCH($A211,TRIM(tblDados[Mandante]),0)),INDEX(tblDados[País],MATCH($A211,TRIM(tblDados[Visitante]),0))),_xlpm.l,IFERROR(INDEX(tblDados[Liga],MATCH($A211,TRIM(tblDados[Mandante]),0)),INDEX(tblDados[Liga],MATCH($A211,TRIM(tblDados[Visitante]),0))),_xlpm.p&amp;" - "&amp;_xlpm.l))</f>
        <v>NOR - OBOS-ligaen</v>
      </c>
      <c r="C211" s="10">
        <f t="shared" si="45"/>
        <v>3</v>
      </c>
      <c r="D211" s="10">
        <f t="shared" si="46"/>
        <v>4.666666666666667</v>
      </c>
      <c r="E211" s="9" cm="1">
        <f t="array" ref="E211">IF($A211="","",SUMPRODUCT((TRIM(tblDados[Mandante])=$A211)*tblDados[Primeira_Ocorrencia]))</f>
        <v>6</v>
      </c>
      <c r="F211" s="9" cm="1">
        <f t="array" ref="F211">IF($A211="","",SUMPRODUCT((TRIM(tblDados[Visitante])=$A211)*tblDados[Primeira_Ocorrencia]))</f>
        <v>6</v>
      </c>
      <c r="G211" s="9" cm="1">
        <f t="array" ref="G211">IF($A211="","",SUMPRODUCT((TRIM(tblDados[Mandante])=$A211)*tblDados[Primeira_Ocorrencia])+SUMPRODUCT((TRIM(tblDados[Visitante])=$A211)*tblDados[Primeira_Ocorrencia]))</f>
        <v>12</v>
      </c>
      <c r="H211" s="10">
        <f t="shared" si="47"/>
        <v>1.75</v>
      </c>
      <c r="I211" s="10" cm="1">
        <f t="array" ref="I211">IF($A211="","",_xlfn.LET(_xlpm.p,IFERROR(INDEX(tblDados[País],MATCH($A211,TRIM(tblDados[Mandante]),0)),INDEX(tblDados[País],MATCH($A211,TRIM(tblDados[Visitante]),0))),_xlpm.l,IFERROR(INDEX(tblDados[Liga],MATCH($A211,TRIM(tblDados[Mandante]),0)),INDEX(tblDados[Liga],MATCH($A211,TRIM(tblDados[Visitante]),0))),IFERROR(SUMIFS(Ligas!$D$2:$D$39,Ligas!$H$2:$H$39,_xlpm.p,Ligas!$I$2:$I$39,_xlpm.l),0)))</f>
        <v>2.5</v>
      </c>
      <c r="J211" s="11" cm="1">
        <f t="array" ref="J211">IF($A211="","",IFERROR((SUMPRODUCT((TRIM(tblDados[Mandante])=$A211)*tblDados[Primeira_Ocorrencia]*(tblDados[GM_M]=0))+SUMPRODUCT((TRIM(tblDados[Visitante])=$A211)*tblDados[Primeira_Ocorrencia]*(tblDados[GM_V]=0)))/G211,0))</f>
        <v>0.25</v>
      </c>
      <c r="K211" s="11" cm="1">
        <f t="array" ref="K211">IF($A211="","",IFERROR((SUMPRODUCT((TRIM(tblDados[Mandante])=$A211)*tblDados[Primeira_Ocorrencia]*((tblDados[GM_M]+tblDados[GS_M])&gt;0.5))+SUMPRODUCT((TRIM(tblDados[Visitante])=$A211)*tblDados[Primeira_Ocorrencia]*((tblDados[GM_V]+tblDados[GS_V])&gt;0.5)))/G211,0))</f>
        <v>0.91666666666666663</v>
      </c>
      <c r="L211" s="11" cm="1">
        <f t="array" ref="L211">IF($A211="","",IFERROR((SUMPRODUCT((TRIM(tblDados[Mandante])=$A211)*tblDados[Primeira_Ocorrencia]*((tblDados[GM_M]+tblDados[GS_M])&gt;1.5))+SUMPRODUCT((TRIM(tblDados[Visitante])=$A211)*tblDados[Primeira_Ocorrencia]*((tblDados[GM_V]+tblDados[GS_V])&gt;1.5)))/G211,0))</f>
        <v>0.83333333333333337</v>
      </c>
      <c r="M211" s="11" cm="1">
        <f t="array" ref="M211">IF($A211="","",IFERROR((SUMPRODUCT((TRIM(tblDados[Mandante])=$A211)*tblDados[Primeira_Ocorrencia]*((tblDados[GM_M]+tblDados[GS_M])&gt;2.5))+SUMPRODUCT((TRIM(tblDados[Visitante])=$A211)*tblDados[Primeira_Ocorrencia]*((tblDados[GM_V]+tblDados[GS_V])&gt;2.5)))/G211,0))</f>
        <v>0.66666666666666663</v>
      </c>
      <c r="N211" s="11" cm="1">
        <f t="array" ref="N211">IF($A211="","",IFERROR((SUMPRODUCT((TRIM(tblDados[Mandante])=$A211)*tblDados[Primeira_Ocorrencia]*((tblDados[GM_M]+tblDados[GS_M])&gt;3.5))+SUMPRODUCT((TRIM(tblDados[Visitante])=$A211)*tblDados[Primeira_Ocorrencia]*((tblDados[GM_V]+tblDados[GS_V])&gt;3.5)))/G211,0))</f>
        <v>0.58333333333333337</v>
      </c>
      <c r="O211" s="11" cm="1">
        <f t="array" ref="O211">IF($A211="","",IFERROR((SUMPRODUCT((TRIM(tblDados[Mandante])=$A211)*tblDados[Primeira_Ocorrencia]*(tblDados[GM_M]&gt;0)*(tblDados[GS_M]&gt;0))+SUMPRODUCT((TRIM(tblDados[Visitante])=$A211)*tblDados[Primeira_Ocorrencia]*(tblDados[GM_V]&gt;0)*(tblDados[GS_V]&gt;0)))/G211,0))</f>
        <v>0.5</v>
      </c>
      <c r="P211" s="10" cm="1">
        <f t="array" ref="P211">IF($A211="","",IFERROR((SUMPRODUCT((TRIM(tblDados[Mandante])=$A211)*tblDados[Primeira_Ocorrencia]*tblDados[GM_M]^2)+SUMPRODUCT((TRIM(tblDados[Visitante])=$A211)*tblDados[Primeira_Ocorrencia]*tblDados[GM_V]^2))/G211-H211^2,0))</f>
        <v>2.020833333333333</v>
      </c>
      <c r="Q211" s="10">
        <f t="shared" si="48"/>
        <v>1.4215601757693317</v>
      </c>
      <c r="R211" s="8" t="str">
        <f t="shared" si="49"/>
        <v>Poisson</v>
      </c>
      <c r="S211" s="10" cm="1">
        <f t="array" ref="S211">IF($A211="","",SUMPRODUCT((TRIM(tblDados[Mandante])=$A211)*tblDados[Primeira_Ocorrencia]*tblDados[GM_M]))</f>
        <v>10</v>
      </c>
      <c r="T211" s="10" cm="1">
        <f t="array" ref="T211">IF($A211="","",SUMPRODUCT((TRIM(tblDados[Visitante])=$A211)*tblDados[Primeira_Ocorrencia]*tblDados[GM_V]))</f>
        <v>11</v>
      </c>
      <c r="U211" s="10">
        <f t="shared" si="50"/>
        <v>21</v>
      </c>
      <c r="V211" s="10">
        <f t="shared" si="39"/>
        <v>1.75</v>
      </c>
      <c r="W211" s="10" cm="1">
        <f t="array" ref="W211">IF($A211="","",SUMPRODUCT((TRIM(tblDados[Mandante])=$A211)*tblDados[Primeira_Ocorrencia]*tblDados[GS_M]))</f>
        <v>8</v>
      </c>
      <c r="X211" s="10" cm="1">
        <f t="array" ref="X211">IF($A211="","",SUMPRODUCT((TRIM(tblDados[Visitante])=$A211)*tblDados[Primeira_Ocorrencia]*tblDados[GS_V]))</f>
        <v>17</v>
      </c>
      <c r="Y211" s="10">
        <f t="shared" si="51"/>
        <v>25</v>
      </c>
      <c r="Z211" s="10">
        <f t="shared" si="40"/>
        <v>2.0833333333333335</v>
      </c>
      <c r="AA211" s="10">
        <f t="shared" si="41"/>
        <v>1.6666666666666667</v>
      </c>
      <c r="AB211" s="10">
        <f t="shared" si="42"/>
        <v>1.3333333333333333</v>
      </c>
      <c r="AC211" s="10">
        <f t="shared" si="43"/>
        <v>1.8333333333333333</v>
      </c>
      <c r="AD211" s="10">
        <f t="shared" si="44"/>
        <v>2.8333333333333335</v>
      </c>
    </row>
    <row r="212" spans="1:30" x14ac:dyDescent="0.3">
      <c r="A212" s="7" t="str">
        <v>Emelec</v>
      </c>
      <c r="B212" s="12" t="str" cm="1">
        <f t="array" ref="B212">IF($A212="","",_xlfn.LET(_xlpm.p,IFERROR(INDEX(tblDados[País],MATCH($A212,TRIM(tblDados[Mandante]),0)),INDEX(tblDados[País],MATCH($A212,TRIM(tblDados[Visitante]),0))),_xlpm.l,IFERROR(INDEX(tblDados[Liga],MATCH($A212,TRIM(tblDados[Mandante]),0)),INDEX(tblDados[Liga],MATCH($A212,TRIM(tblDados[Visitante]),0))),_xlpm.p&amp;" - "&amp;_xlpm.l))</f>
        <v>ECU - LigaPro Serie A</v>
      </c>
      <c r="C212" s="10">
        <f t="shared" si="45"/>
        <v>1.5</v>
      </c>
      <c r="D212" s="10">
        <f t="shared" si="46"/>
        <v>2.3333333333333335</v>
      </c>
      <c r="E212" s="9" cm="1">
        <f t="array" ref="E212">IF($A212="","",SUMPRODUCT((TRIM(tblDados[Mandante])=$A212)*tblDados[Primeira_Ocorrencia]))</f>
        <v>6</v>
      </c>
      <c r="F212" s="9" cm="1">
        <f t="array" ref="F212">IF($A212="","",SUMPRODUCT((TRIM(tblDados[Visitante])=$A212)*tblDados[Primeira_Ocorrencia]))</f>
        <v>6</v>
      </c>
      <c r="G212" s="9" cm="1">
        <f t="array" ref="G212">IF($A212="","",SUMPRODUCT((TRIM(tblDados[Mandante])=$A212)*tblDados[Primeira_Ocorrencia])+SUMPRODUCT((TRIM(tblDados[Visitante])=$A212)*tblDados[Primeira_Ocorrencia]))</f>
        <v>12</v>
      </c>
      <c r="H212" s="10">
        <f t="shared" si="47"/>
        <v>0.83333333333333337</v>
      </c>
      <c r="I212" s="10" cm="1">
        <f t="array" ref="I212">IF($A212="","",_xlfn.LET(_xlpm.p,IFERROR(INDEX(tblDados[País],MATCH($A212,TRIM(tblDados[Mandante]),0)),INDEX(tblDados[País],MATCH($A212,TRIM(tblDados[Visitante]),0))),_xlpm.l,IFERROR(INDEX(tblDados[Liga],MATCH($A212,TRIM(tblDados[Mandante]),0)),INDEX(tblDados[Liga],MATCH($A212,TRIM(tblDados[Visitante]),0))),IFERROR(SUMIFS(Ligas!$D$2:$D$39,Ligas!$H$2:$H$39,_xlpm.p,Ligas!$I$2:$I$39,_xlpm.l),0)))</f>
        <v>2.5</v>
      </c>
      <c r="J212" s="11" cm="1">
        <f t="array" ref="J212">IF($A212="","",IFERROR((SUMPRODUCT((TRIM(tblDados[Mandante])=$A212)*tblDados[Primeira_Ocorrencia]*(tblDados[GM_M]=0))+SUMPRODUCT((TRIM(tblDados[Visitante])=$A212)*tblDados[Primeira_Ocorrencia]*(tblDados[GM_V]=0)))/G212,0))</f>
        <v>0.33333333333333331</v>
      </c>
      <c r="K212" s="11" cm="1">
        <f t="array" ref="K212">IF($A212="","",IFERROR((SUMPRODUCT((TRIM(tblDados[Mandante])=$A212)*tblDados[Primeira_Ocorrencia]*((tblDados[GM_M]+tblDados[GS_M])&gt;0.5))+SUMPRODUCT((TRIM(tblDados[Visitante])=$A212)*tblDados[Primeira_Ocorrencia]*((tblDados[GM_V]+tblDados[GS_V])&gt;0.5)))/G212,0))</f>
        <v>0.75</v>
      </c>
      <c r="L212" s="11" cm="1">
        <f t="array" ref="L212">IF($A212="","",IFERROR((SUMPRODUCT((TRIM(tblDados[Mandante])=$A212)*tblDados[Primeira_Ocorrencia]*((tblDados[GM_M]+tblDados[GS_M])&gt;1.5))+SUMPRODUCT((TRIM(tblDados[Visitante])=$A212)*tblDados[Primeira_Ocorrencia]*((tblDados[GM_V]+tblDados[GS_V])&gt;1.5)))/G212,0))</f>
        <v>0.66666666666666663</v>
      </c>
      <c r="M212" s="11" cm="1">
        <f t="array" ref="M212">IF($A212="","",IFERROR((SUMPRODUCT((TRIM(tblDados[Mandante])=$A212)*tblDados[Primeira_Ocorrencia]*((tblDados[GM_M]+tblDados[GS_M])&gt;2.5))+SUMPRODUCT((TRIM(tblDados[Visitante])=$A212)*tblDados[Primeira_Ocorrencia]*((tblDados[GM_V]+tblDados[GS_V])&gt;2.5)))/G212,0))</f>
        <v>0.16666666666666666</v>
      </c>
      <c r="N212" s="11" cm="1">
        <f t="array" ref="N212">IF($A212="","",IFERROR((SUMPRODUCT((TRIM(tblDados[Mandante])=$A212)*tblDados[Primeira_Ocorrencia]*((tblDados[GM_M]+tblDados[GS_M])&gt;3.5))+SUMPRODUCT((TRIM(tblDados[Visitante])=$A212)*tblDados[Primeira_Ocorrencia]*((tblDados[GM_V]+tblDados[GS_V])&gt;3.5)))/G212,0))</f>
        <v>8.3333333333333329E-2</v>
      </c>
      <c r="O212" s="11" cm="1">
        <f t="array" ref="O212">IF($A212="","",IFERROR((SUMPRODUCT((TRIM(tblDados[Mandante])=$A212)*tblDados[Primeira_Ocorrencia]*(tblDados[GM_M]&gt;0)*(tblDados[GS_M]&gt;0))+SUMPRODUCT((TRIM(tblDados[Visitante])=$A212)*tblDados[Primeira_Ocorrencia]*(tblDados[GM_V]&gt;0)*(tblDados[GS_V]&gt;0)))/G212,0))</f>
        <v>0.41666666666666669</v>
      </c>
      <c r="P212" s="10" cm="1">
        <f t="array" ref="P212">IF($A212="","",IFERROR((SUMPRODUCT((TRIM(tblDados[Mandante])=$A212)*tblDados[Primeira_Ocorrencia]*tblDados[GM_M]^2)+SUMPRODUCT((TRIM(tblDados[Visitante])=$A212)*tblDados[Primeira_Ocorrencia]*tblDados[GM_V]^2))/G212-H212^2,0))</f>
        <v>0.47222222222222221</v>
      </c>
      <c r="Q212" s="10">
        <f t="shared" si="48"/>
        <v>0.68718427093627676</v>
      </c>
      <c r="R212" s="8" t="str">
        <f t="shared" si="49"/>
        <v>Poisson</v>
      </c>
      <c r="S212" s="10" cm="1">
        <f t="array" ref="S212">IF($A212="","",SUMPRODUCT((TRIM(tblDados[Mandante])=$A212)*tblDados[Primeira_Ocorrencia]*tblDados[GM_M]))</f>
        <v>5</v>
      </c>
      <c r="T212" s="10" cm="1">
        <f t="array" ref="T212">IF($A212="","",SUMPRODUCT((TRIM(tblDados[Visitante])=$A212)*tblDados[Primeira_Ocorrencia]*tblDados[GM_V]))</f>
        <v>5</v>
      </c>
      <c r="U212" s="10">
        <f t="shared" si="50"/>
        <v>10</v>
      </c>
      <c r="V212" s="10">
        <f t="shared" si="39"/>
        <v>0.83333333333333337</v>
      </c>
      <c r="W212" s="10" cm="1">
        <f t="array" ref="W212">IF($A212="","",SUMPRODUCT((TRIM(tblDados[Mandante])=$A212)*tblDados[Primeira_Ocorrencia]*tblDados[GS_M]))</f>
        <v>4</v>
      </c>
      <c r="X212" s="10" cm="1">
        <f t="array" ref="X212">IF($A212="","",SUMPRODUCT((TRIM(tblDados[Visitante])=$A212)*tblDados[Primeira_Ocorrencia]*tblDados[GS_V]))</f>
        <v>9</v>
      </c>
      <c r="Y212" s="10">
        <f t="shared" si="51"/>
        <v>13</v>
      </c>
      <c r="Z212" s="10">
        <f t="shared" si="40"/>
        <v>1.0833333333333333</v>
      </c>
      <c r="AA212" s="10">
        <f t="shared" si="41"/>
        <v>0.83333333333333337</v>
      </c>
      <c r="AB212" s="10">
        <f t="shared" si="42"/>
        <v>0.66666666666666663</v>
      </c>
      <c r="AC212" s="10">
        <f t="shared" si="43"/>
        <v>0.83333333333333337</v>
      </c>
      <c r="AD212" s="10">
        <f t="shared" si="44"/>
        <v>1.5</v>
      </c>
    </row>
    <row r="213" spans="1:30" x14ac:dyDescent="0.3">
      <c r="A213" s="7" t="str">
        <v>Enköpings SK</v>
      </c>
      <c r="B213" s="12" t="str" cm="1">
        <f t="array" ref="B213">IF($A213="","",_xlfn.LET(_xlpm.p,IFERROR(INDEX(tblDados[País],MATCH($A213,TRIM(tblDados[Mandante]),0)),INDEX(tblDados[País],MATCH($A213,TRIM(tblDados[Visitante]),0))),_xlpm.l,IFERROR(INDEX(tblDados[Liga],MATCH($A213,TRIM(tblDados[Mandante]),0)),INDEX(tblDados[Liga],MATCH($A213,TRIM(tblDados[Visitante]),0))),_xlpm.p&amp;" - "&amp;_xlpm.l))</f>
        <v>SWE - 1ª D Norra</v>
      </c>
      <c r="C213" s="10">
        <f t="shared" si="45"/>
        <v>2.3333333333333335</v>
      </c>
      <c r="D213" s="10">
        <f t="shared" si="46"/>
        <v>3.166666666666667</v>
      </c>
      <c r="E213" s="9" cm="1">
        <f t="array" ref="E213">IF($A213="","",SUMPRODUCT((TRIM(tblDados[Mandante])=$A213)*tblDados[Primeira_Ocorrencia]))</f>
        <v>6</v>
      </c>
      <c r="F213" s="9" cm="1">
        <f t="array" ref="F213">IF($A213="","",SUMPRODUCT((TRIM(tblDados[Visitante])=$A213)*tblDados[Primeira_Ocorrencia]))</f>
        <v>6</v>
      </c>
      <c r="G213" s="9" cm="1">
        <f t="array" ref="G213">IF($A213="","",SUMPRODUCT((TRIM(tblDados[Mandante])=$A213)*tblDados[Primeira_Ocorrencia])+SUMPRODUCT((TRIM(tblDados[Visitante])=$A213)*tblDados[Primeira_Ocorrencia]))</f>
        <v>12</v>
      </c>
      <c r="H213" s="10">
        <f t="shared" si="47"/>
        <v>1.5</v>
      </c>
      <c r="I213" s="10" cm="1">
        <f t="array" ref="I213">IF($A213="","",_xlfn.LET(_xlpm.p,IFERROR(INDEX(tblDados[País],MATCH($A213,TRIM(tblDados[Mandante]),0)),INDEX(tblDados[País],MATCH($A213,TRIM(tblDados[Visitante]),0))),_xlpm.l,IFERROR(INDEX(tblDados[Liga],MATCH($A213,TRIM(tblDados[Mandante]),0)),INDEX(tblDados[Liga],MATCH($A213,TRIM(tblDados[Visitante]),0))),IFERROR(SUMIFS(Ligas!$D$2:$D$39,Ligas!$H$2:$H$39,_xlpm.p,Ligas!$I$2:$I$39,_xlpm.l),0)))</f>
        <v>2.5</v>
      </c>
      <c r="J213" s="11" cm="1">
        <f t="array" ref="J213">IF($A213="","",IFERROR((SUMPRODUCT((TRIM(tblDados[Mandante])=$A213)*tblDados[Primeira_Ocorrencia]*(tblDados[GM_M]=0))+SUMPRODUCT((TRIM(tblDados[Visitante])=$A213)*tblDados[Primeira_Ocorrencia]*(tblDados[GM_V]=0)))/G213,0))</f>
        <v>0.16666666666666666</v>
      </c>
      <c r="K213" s="11" cm="1">
        <f t="array" ref="K213">IF($A213="","",IFERROR((SUMPRODUCT((TRIM(tblDados[Mandante])=$A213)*tblDados[Primeira_Ocorrencia]*((tblDados[GM_M]+tblDados[GS_M])&gt;0.5))+SUMPRODUCT((TRIM(tblDados[Visitante])=$A213)*tblDados[Primeira_Ocorrencia]*((tblDados[GM_V]+tblDados[GS_V])&gt;0.5)))/G213,0))</f>
        <v>1</v>
      </c>
      <c r="L213" s="11" cm="1">
        <f t="array" ref="L213">IF($A213="","",IFERROR((SUMPRODUCT((TRIM(tblDados[Mandante])=$A213)*tblDados[Primeira_Ocorrencia]*((tblDados[GM_M]+tblDados[GS_M])&gt;1.5))+SUMPRODUCT((TRIM(tblDados[Visitante])=$A213)*tblDados[Primeira_Ocorrencia]*((tblDados[GM_V]+tblDados[GS_V])&gt;1.5)))/G213,0))</f>
        <v>0.83333333333333337</v>
      </c>
      <c r="M213" s="11" cm="1">
        <f t="array" ref="M213">IF($A213="","",IFERROR((SUMPRODUCT((TRIM(tblDados[Mandante])=$A213)*tblDados[Primeira_Ocorrencia]*((tblDados[GM_M]+tblDados[GS_M])&gt;2.5))+SUMPRODUCT((TRIM(tblDados[Visitante])=$A213)*tblDados[Primeira_Ocorrencia]*((tblDados[GM_V]+tblDados[GS_V])&gt;2.5)))/G213,0))</f>
        <v>0.58333333333333337</v>
      </c>
      <c r="N213" s="11" cm="1">
        <f t="array" ref="N213">IF($A213="","",IFERROR((SUMPRODUCT((TRIM(tblDados[Mandante])=$A213)*tblDados[Primeira_Ocorrencia]*((tblDados[GM_M]+tblDados[GS_M])&gt;3.5))+SUMPRODUCT((TRIM(tblDados[Visitante])=$A213)*tblDados[Primeira_Ocorrencia]*((tblDados[GM_V]+tblDados[GS_V])&gt;3.5)))/G213,0))</f>
        <v>0.16666666666666666</v>
      </c>
      <c r="O213" s="11" cm="1">
        <f t="array" ref="O213">IF($A213="","",IFERROR((SUMPRODUCT((TRIM(tblDados[Mandante])=$A213)*tblDados[Primeira_Ocorrencia]*(tblDados[GM_M]&gt;0)*(tblDados[GS_M]&gt;0))+SUMPRODUCT((TRIM(tblDados[Visitante])=$A213)*tblDados[Primeira_Ocorrencia]*(tblDados[GM_V]&gt;0)*(tblDados[GS_V]&gt;0)))/G213,0))</f>
        <v>0.58333333333333337</v>
      </c>
      <c r="P213" s="10" cm="1">
        <f t="array" ref="P213">IF($A213="","",IFERROR((SUMPRODUCT((TRIM(tblDados[Mandante])=$A213)*tblDados[Primeira_Ocorrencia]*tblDados[GM_M]^2)+SUMPRODUCT((TRIM(tblDados[Visitante])=$A213)*tblDados[Primeira_Ocorrencia]*tblDados[GM_V]^2))/G213-H213^2,0))</f>
        <v>0.91666666666666652</v>
      </c>
      <c r="Q213" s="10">
        <f t="shared" si="48"/>
        <v>0.95742710775633799</v>
      </c>
      <c r="R213" s="8" t="str">
        <f t="shared" si="49"/>
        <v>Poisson</v>
      </c>
      <c r="S213" s="10" cm="1">
        <f t="array" ref="S213">IF($A213="","",SUMPRODUCT((TRIM(tblDados[Mandante])=$A213)*tblDados[Primeira_Ocorrencia]*tblDados[GM_M]))</f>
        <v>9</v>
      </c>
      <c r="T213" s="10" cm="1">
        <f t="array" ref="T213">IF($A213="","",SUMPRODUCT((TRIM(tblDados[Visitante])=$A213)*tblDados[Primeira_Ocorrencia]*tblDados[GM_V]))</f>
        <v>9</v>
      </c>
      <c r="U213" s="10">
        <f t="shared" si="50"/>
        <v>18</v>
      </c>
      <c r="V213" s="10">
        <f t="shared" si="39"/>
        <v>1.5</v>
      </c>
      <c r="W213" s="10" cm="1">
        <f t="array" ref="W213">IF($A213="","",SUMPRODUCT((TRIM(tblDados[Mandante])=$A213)*tblDados[Primeira_Ocorrencia]*tblDados[GS_M]))</f>
        <v>5</v>
      </c>
      <c r="X213" s="10" cm="1">
        <f t="array" ref="X213">IF($A213="","",SUMPRODUCT((TRIM(tblDados[Visitante])=$A213)*tblDados[Primeira_Ocorrencia]*tblDados[GS_V]))</f>
        <v>10</v>
      </c>
      <c r="Y213" s="10">
        <f t="shared" si="51"/>
        <v>15</v>
      </c>
      <c r="Z213" s="10">
        <f t="shared" si="40"/>
        <v>1.25</v>
      </c>
      <c r="AA213" s="10">
        <f t="shared" si="41"/>
        <v>1.5</v>
      </c>
      <c r="AB213" s="10">
        <f t="shared" si="42"/>
        <v>0.83333333333333337</v>
      </c>
      <c r="AC213" s="10">
        <f t="shared" si="43"/>
        <v>1.5</v>
      </c>
      <c r="AD213" s="10">
        <f t="shared" si="44"/>
        <v>1.6666666666666667</v>
      </c>
    </row>
    <row r="214" spans="1:30" x14ac:dyDescent="0.3">
      <c r="A214" s="7" t="str">
        <v>Eskilsminne IF</v>
      </c>
      <c r="B214" s="12" t="str" cm="1">
        <f t="array" ref="B214">IF($A214="","",_xlfn.LET(_xlpm.p,IFERROR(INDEX(tblDados[País],MATCH($A214,TRIM(tblDados[Mandante]),0)),INDEX(tblDados[País],MATCH($A214,TRIM(tblDados[Visitante]),0))),_xlpm.l,IFERROR(INDEX(tblDados[Liga],MATCH($A214,TRIM(tblDados[Mandante]),0)),INDEX(tblDados[Liga],MATCH($A214,TRIM(tblDados[Visitante]),0))),_xlpm.p&amp;" - "&amp;_xlpm.l))</f>
        <v>SWE - 1ª D Södra</v>
      </c>
      <c r="C214" s="10">
        <f t="shared" si="45"/>
        <v>3.4285714285714284</v>
      </c>
      <c r="D214" s="10">
        <f t="shared" si="46"/>
        <v>4</v>
      </c>
      <c r="E214" s="9" cm="1">
        <f t="array" ref="E214">IF($A214="","",SUMPRODUCT((TRIM(tblDados[Mandante])=$A214)*tblDados[Primeira_Ocorrencia]))</f>
        <v>7</v>
      </c>
      <c r="F214" s="9" cm="1">
        <f t="array" ref="F214">IF($A214="","",SUMPRODUCT((TRIM(tblDados[Visitante])=$A214)*tblDados[Primeira_Ocorrencia]))</f>
        <v>5</v>
      </c>
      <c r="G214" s="9" cm="1">
        <f t="array" ref="G214">IF($A214="","",SUMPRODUCT((TRIM(tblDados[Mandante])=$A214)*tblDados[Primeira_Ocorrencia])+SUMPRODUCT((TRIM(tblDados[Visitante])=$A214)*tblDados[Primeira_Ocorrencia]))</f>
        <v>12</v>
      </c>
      <c r="H214" s="10">
        <f t="shared" si="47"/>
        <v>1.5833333333333333</v>
      </c>
      <c r="I214" s="10" cm="1">
        <f t="array" ref="I214">IF($A214="","",_xlfn.LET(_xlpm.p,IFERROR(INDEX(tblDados[País],MATCH($A214,TRIM(tblDados[Mandante]),0)),INDEX(tblDados[País],MATCH($A214,TRIM(tblDados[Visitante]),0))),_xlpm.l,IFERROR(INDEX(tblDados[Liga],MATCH($A214,TRIM(tblDados[Mandante]),0)),INDEX(tblDados[Liga],MATCH($A214,TRIM(tblDados[Visitante]),0))),IFERROR(SUMIFS(Ligas!$D$2:$D$39,Ligas!$H$2:$H$39,_xlpm.p,Ligas!$I$2:$I$39,_xlpm.l),0)))</f>
        <v>2.5</v>
      </c>
      <c r="J214" s="11" cm="1">
        <f t="array" ref="J214">IF($A214="","",IFERROR((SUMPRODUCT((TRIM(tblDados[Mandante])=$A214)*tblDados[Primeira_Ocorrencia]*(tblDados[GM_M]=0))+SUMPRODUCT((TRIM(tblDados[Visitante])=$A214)*tblDados[Primeira_Ocorrencia]*(tblDados[GM_V]=0)))/G214,0))</f>
        <v>0.25</v>
      </c>
      <c r="K214" s="11" cm="1">
        <f t="array" ref="K214">IF($A214="","",IFERROR((SUMPRODUCT((TRIM(tblDados[Mandante])=$A214)*tblDados[Primeira_Ocorrencia]*((tblDados[GM_M]+tblDados[GS_M])&gt;0.5))+SUMPRODUCT((TRIM(tblDados[Visitante])=$A214)*tblDados[Primeira_Ocorrencia]*((tblDados[GM_V]+tblDados[GS_V])&gt;0.5)))/G214,0))</f>
        <v>0.91666666666666663</v>
      </c>
      <c r="L214" s="11" cm="1">
        <f t="array" ref="L214">IF($A214="","",IFERROR((SUMPRODUCT((TRIM(tblDados[Mandante])=$A214)*tblDados[Primeira_Ocorrencia]*((tblDados[GM_M]+tblDados[GS_M])&gt;1.5))+SUMPRODUCT((TRIM(tblDados[Visitante])=$A214)*tblDados[Primeira_Ocorrencia]*((tblDados[GM_V]+tblDados[GS_V])&gt;1.5)))/G214,0))</f>
        <v>0.91666666666666663</v>
      </c>
      <c r="M214" s="11" cm="1">
        <f t="array" ref="M214">IF($A214="","",IFERROR((SUMPRODUCT((TRIM(tblDados[Mandante])=$A214)*tblDados[Primeira_Ocorrencia]*((tblDados[GM_M]+tblDados[GS_M])&gt;2.5))+SUMPRODUCT((TRIM(tblDados[Visitante])=$A214)*tblDados[Primeira_Ocorrencia]*((tblDados[GM_V]+tblDados[GS_V])&gt;2.5)))/G214,0))</f>
        <v>0.75</v>
      </c>
      <c r="N214" s="11" cm="1">
        <f t="array" ref="N214">IF($A214="","",IFERROR((SUMPRODUCT((TRIM(tblDados[Mandante])=$A214)*tblDados[Primeira_Ocorrencia]*((tblDados[GM_M]+tblDados[GS_M])&gt;3.5))+SUMPRODUCT((TRIM(tblDados[Visitante])=$A214)*tblDados[Primeira_Ocorrencia]*((tblDados[GM_V]+tblDados[GS_V])&gt;3.5)))/G214,0))</f>
        <v>0.58333333333333337</v>
      </c>
      <c r="O214" s="11" cm="1">
        <f t="array" ref="O214">IF($A214="","",IFERROR((SUMPRODUCT((TRIM(tblDados[Mandante])=$A214)*tblDados[Primeira_Ocorrencia]*(tblDados[GM_M]&gt;0)*(tblDados[GS_M]&gt;0))+SUMPRODUCT((TRIM(tblDados[Visitante])=$A214)*tblDados[Primeira_Ocorrencia]*(tblDados[GM_V]&gt;0)*(tblDados[GS_V]&gt;0)))/G214,0))</f>
        <v>0.58333333333333337</v>
      </c>
      <c r="P214" s="10" cm="1">
        <f t="array" ref="P214">IF($A214="","",IFERROR((SUMPRODUCT((TRIM(tblDados[Mandante])=$A214)*tblDados[Primeira_Ocorrencia]*tblDados[GM_M]^2)+SUMPRODUCT((TRIM(tblDados[Visitante])=$A214)*tblDados[Primeira_Ocorrencia]*tblDados[GM_V]^2))/G214-H214^2,0))</f>
        <v>1.5763888888888888</v>
      </c>
      <c r="Q214" s="10">
        <f t="shared" si="48"/>
        <v>1.2555432644432802</v>
      </c>
      <c r="R214" s="8" t="str">
        <f t="shared" si="49"/>
        <v>Poisson</v>
      </c>
      <c r="S214" s="10" cm="1">
        <f t="array" ref="S214">IF($A214="","",SUMPRODUCT((TRIM(tblDados[Mandante])=$A214)*tblDados[Primeira_Ocorrencia]*tblDados[GM_M]))</f>
        <v>12</v>
      </c>
      <c r="T214" s="10" cm="1">
        <f t="array" ref="T214">IF($A214="","",SUMPRODUCT((TRIM(tblDados[Visitante])=$A214)*tblDados[Primeira_Ocorrencia]*tblDados[GM_V]))</f>
        <v>7</v>
      </c>
      <c r="U214" s="10">
        <f t="shared" si="50"/>
        <v>19</v>
      </c>
      <c r="V214" s="10">
        <f t="shared" si="39"/>
        <v>1.5833333333333333</v>
      </c>
      <c r="W214" s="10" cm="1">
        <f t="array" ref="W214">IF($A214="","",SUMPRODUCT((TRIM(tblDados[Mandante])=$A214)*tblDados[Primeira_Ocorrencia]*tblDados[GS_M]))</f>
        <v>12</v>
      </c>
      <c r="X214" s="10" cm="1">
        <f t="array" ref="X214">IF($A214="","",SUMPRODUCT((TRIM(tblDados[Visitante])=$A214)*tblDados[Primeira_Ocorrencia]*tblDados[GS_V]))</f>
        <v>13</v>
      </c>
      <c r="Y214" s="10">
        <f t="shared" si="51"/>
        <v>25</v>
      </c>
      <c r="Z214" s="10">
        <f t="shared" si="40"/>
        <v>2.0833333333333335</v>
      </c>
      <c r="AA214" s="10">
        <f t="shared" si="41"/>
        <v>1.7142857142857142</v>
      </c>
      <c r="AB214" s="10">
        <f t="shared" si="42"/>
        <v>1.7142857142857142</v>
      </c>
      <c r="AC214" s="10">
        <f t="shared" si="43"/>
        <v>1.4</v>
      </c>
      <c r="AD214" s="10">
        <f t="shared" si="44"/>
        <v>2.6</v>
      </c>
    </row>
    <row r="215" spans="1:30" x14ac:dyDescent="0.3">
      <c r="A215" s="7" t="str">
        <v>Falkenbergs FF</v>
      </c>
      <c r="B215" s="12" t="str" cm="1">
        <f t="array" ref="B215">IF($A215="","",_xlfn.LET(_xlpm.p,IFERROR(INDEX(tblDados[País],MATCH($A215,TRIM(tblDados[Mandante]),0)),INDEX(tblDados[País],MATCH($A215,TRIM(tblDados[Visitante]),0))),_xlpm.l,IFERROR(INDEX(tblDados[Liga],MATCH($A215,TRIM(tblDados[Mandante]),0)),INDEX(tblDados[Liga],MATCH($A215,TRIM(tblDados[Visitante]),0))),_xlpm.p&amp;" - "&amp;_xlpm.l))</f>
        <v>SWE - Superettan</v>
      </c>
      <c r="C215" s="10">
        <f t="shared" si="45"/>
        <v>3.166666666666667</v>
      </c>
      <c r="D215" s="10">
        <f t="shared" si="46"/>
        <v>4.5</v>
      </c>
      <c r="E215" s="9" cm="1">
        <f t="array" ref="E215">IF($A215="","",SUMPRODUCT((TRIM(tblDados[Mandante])=$A215)*tblDados[Primeira_Ocorrencia]))</f>
        <v>6</v>
      </c>
      <c r="F215" s="9" cm="1">
        <f t="array" ref="F215">IF($A215="","",SUMPRODUCT((TRIM(tblDados[Visitante])=$A215)*tblDados[Primeira_Ocorrencia]))</f>
        <v>6</v>
      </c>
      <c r="G215" s="9" cm="1">
        <f t="array" ref="G215">IF($A215="","",SUMPRODUCT((TRIM(tblDados[Mandante])=$A215)*tblDados[Primeira_Ocorrencia])+SUMPRODUCT((TRIM(tblDados[Visitante])=$A215)*tblDados[Primeira_Ocorrencia]))</f>
        <v>12</v>
      </c>
      <c r="H215" s="10">
        <f t="shared" si="47"/>
        <v>2.0833333333333335</v>
      </c>
      <c r="I215" s="10" cm="1">
        <f t="array" ref="I215">IF($A215="","",_xlfn.LET(_xlpm.p,IFERROR(INDEX(tblDados[País],MATCH($A215,TRIM(tblDados[Mandante]),0)),INDEX(tblDados[País],MATCH($A215,TRIM(tblDados[Visitante]),0))),_xlpm.l,IFERROR(INDEX(tblDados[Liga],MATCH($A215,TRIM(tblDados[Mandante]),0)),INDEX(tblDados[Liga],MATCH($A215,TRIM(tblDados[Visitante]),0))),IFERROR(SUMIFS(Ligas!$D$2:$D$39,Ligas!$H$2:$H$39,_xlpm.p,Ligas!$I$2:$I$39,_xlpm.l),0)))</f>
        <v>2.5</v>
      </c>
      <c r="J215" s="11" cm="1">
        <f t="array" ref="J215">IF($A215="","",IFERROR((SUMPRODUCT((TRIM(tblDados[Mandante])=$A215)*tblDados[Primeira_Ocorrencia]*(tblDados[GM_M]=0))+SUMPRODUCT((TRIM(tblDados[Visitante])=$A215)*tblDados[Primeira_Ocorrencia]*(tblDados[GM_V]=0)))/G215,0))</f>
        <v>8.3333333333333329E-2</v>
      </c>
      <c r="K215" s="11" cm="1">
        <f t="array" ref="K215">IF($A215="","",IFERROR((SUMPRODUCT((TRIM(tblDados[Mandante])=$A215)*tblDados[Primeira_Ocorrencia]*((tblDados[GM_M]+tblDados[GS_M])&gt;0.5))+SUMPRODUCT((TRIM(tblDados[Visitante])=$A215)*tblDados[Primeira_Ocorrencia]*((tblDados[GM_V]+tblDados[GS_V])&gt;0.5)))/G215,0))</f>
        <v>1</v>
      </c>
      <c r="L215" s="11" cm="1">
        <f t="array" ref="L215">IF($A215="","",IFERROR((SUMPRODUCT((TRIM(tblDados[Mandante])=$A215)*tblDados[Primeira_Ocorrencia]*((tblDados[GM_M]+tblDados[GS_M])&gt;1.5))+SUMPRODUCT((TRIM(tblDados[Visitante])=$A215)*tblDados[Primeira_Ocorrencia]*((tblDados[GM_V]+tblDados[GS_V])&gt;1.5)))/G215,0))</f>
        <v>1</v>
      </c>
      <c r="M215" s="11" cm="1">
        <f t="array" ref="M215">IF($A215="","",IFERROR((SUMPRODUCT((TRIM(tblDados[Mandante])=$A215)*tblDados[Primeira_Ocorrencia]*((tblDados[GM_M]+tblDados[GS_M])&gt;2.5))+SUMPRODUCT((TRIM(tblDados[Visitante])=$A215)*tblDados[Primeira_Ocorrencia]*((tblDados[GM_V]+tblDados[GS_V])&gt;2.5)))/G215,0))</f>
        <v>0.83333333333333337</v>
      </c>
      <c r="N215" s="11" cm="1">
        <f t="array" ref="N215">IF($A215="","",IFERROR((SUMPRODUCT((TRIM(tblDados[Mandante])=$A215)*tblDados[Primeira_Ocorrencia]*((tblDados[GM_M]+tblDados[GS_M])&gt;3.5))+SUMPRODUCT((TRIM(tblDados[Visitante])=$A215)*tblDados[Primeira_Ocorrencia]*((tblDados[GM_V]+tblDados[GS_V])&gt;3.5)))/G215,0))</f>
        <v>0.5</v>
      </c>
      <c r="O215" s="11" cm="1">
        <f t="array" ref="O215">IF($A215="","",IFERROR((SUMPRODUCT((TRIM(tblDados[Mandante])=$A215)*tblDados[Primeira_Ocorrencia]*(tblDados[GM_M]&gt;0)*(tblDados[GS_M]&gt;0))+SUMPRODUCT((TRIM(tblDados[Visitante])=$A215)*tblDados[Primeira_Ocorrencia]*(tblDados[GM_V]&gt;0)*(tblDados[GS_V]&gt;0)))/G215,0))</f>
        <v>0.91666666666666663</v>
      </c>
      <c r="P215" s="10" cm="1">
        <f t="array" ref="P215">IF($A215="","",IFERROR((SUMPRODUCT((TRIM(tblDados[Mandante])=$A215)*tblDados[Primeira_Ocorrencia]*tblDados[GM_M]^2)+SUMPRODUCT((TRIM(tblDados[Visitante])=$A215)*tblDados[Primeira_Ocorrencia]*tblDados[GM_V]^2))/G215-H215^2,0))</f>
        <v>1.4097222222222214</v>
      </c>
      <c r="Q215" s="10">
        <f t="shared" si="48"/>
        <v>1.1873172373979168</v>
      </c>
      <c r="R215" s="8" t="str">
        <f t="shared" si="49"/>
        <v>Poisson</v>
      </c>
      <c r="S215" s="10" cm="1">
        <f t="array" ref="S215">IF($A215="","",SUMPRODUCT((TRIM(tblDados[Mandante])=$A215)*tblDados[Primeira_Ocorrencia]*tblDados[GM_M]))</f>
        <v>9</v>
      </c>
      <c r="T215" s="10" cm="1">
        <f t="array" ref="T215">IF($A215="","",SUMPRODUCT((TRIM(tblDados[Visitante])=$A215)*tblDados[Primeira_Ocorrencia]*tblDados[GM_V]))</f>
        <v>16</v>
      </c>
      <c r="U215" s="10">
        <f t="shared" si="50"/>
        <v>25</v>
      </c>
      <c r="V215" s="10">
        <f t="shared" si="39"/>
        <v>2.0833333333333335</v>
      </c>
      <c r="W215" s="10" cm="1">
        <f t="array" ref="W215">IF($A215="","",SUMPRODUCT((TRIM(tblDados[Mandante])=$A215)*tblDados[Primeira_Ocorrencia]*tblDados[GS_M]))</f>
        <v>10</v>
      </c>
      <c r="X215" s="10" cm="1">
        <f t="array" ref="X215">IF($A215="","",SUMPRODUCT((TRIM(tblDados[Visitante])=$A215)*tblDados[Primeira_Ocorrencia]*tblDados[GS_V]))</f>
        <v>11</v>
      </c>
      <c r="Y215" s="10">
        <f t="shared" si="51"/>
        <v>21</v>
      </c>
      <c r="Z215" s="10">
        <f t="shared" si="40"/>
        <v>1.75</v>
      </c>
      <c r="AA215" s="10">
        <f t="shared" si="41"/>
        <v>1.5</v>
      </c>
      <c r="AB215" s="10">
        <f t="shared" si="42"/>
        <v>1.6666666666666667</v>
      </c>
      <c r="AC215" s="10">
        <f t="shared" si="43"/>
        <v>2.6666666666666665</v>
      </c>
      <c r="AD215" s="10">
        <f t="shared" si="44"/>
        <v>1.8333333333333333</v>
      </c>
    </row>
    <row r="216" spans="1:30" x14ac:dyDescent="0.3">
      <c r="A216" s="7" t="str">
        <v>FBK Karlstad</v>
      </c>
      <c r="B216" s="12" t="str" cm="1">
        <f t="array" ref="B216">IF($A216="","",_xlfn.LET(_xlpm.p,IFERROR(INDEX(tblDados[País],MATCH($A216,TRIM(tblDados[Mandante]),0)),INDEX(tblDados[País],MATCH($A216,TRIM(tblDados[Visitante]),0))),_xlpm.l,IFERROR(INDEX(tblDados[Liga],MATCH($A216,TRIM(tblDados[Mandante]),0)),INDEX(tblDados[Liga],MATCH($A216,TRIM(tblDados[Visitante]),0))),_xlpm.p&amp;" - "&amp;_xlpm.l))</f>
        <v>SWE - 1ª D Norra</v>
      </c>
      <c r="C216" s="10">
        <f t="shared" si="45"/>
        <v>3</v>
      </c>
      <c r="D216" s="10">
        <f t="shared" si="46"/>
        <v>3</v>
      </c>
      <c r="E216" s="9" cm="1">
        <f t="array" ref="E216">IF($A216="","",SUMPRODUCT((TRIM(tblDados[Mandante])=$A216)*tblDados[Primeira_Ocorrencia]))</f>
        <v>6</v>
      </c>
      <c r="F216" s="9" cm="1">
        <f t="array" ref="F216">IF($A216="","",SUMPRODUCT((TRIM(tblDados[Visitante])=$A216)*tblDados[Primeira_Ocorrencia]))</f>
        <v>6</v>
      </c>
      <c r="G216" s="9" cm="1">
        <f t="array" ref="G216">IF($A216="","",SUMPRODUCT((TRIM(tblDados[Mandante])=$A216)*tblDados[Primeira_Ocorrencia])+SUMPRODUCT((TRIM(tblDados[Visitante])=$A216)*tblDados[Primeira_Ocorrencia]))</f>
        <v>12</v>
      </c>
      <c r="H216" s="10">
        <f t="shared" si="47"/>
        <v>1.4166666666666667</v>
      </c>
      <c r="I216" s="10" cm="1">
        <f t="array" ref="I216">IF($A216="","",_xlfn.LET(_xlpm.p,IFERROR(INDEX(tblDados[País],MATCH($A216,TRIM(tblDados[Mandante]),0)),INDEX(tblDados[País],MATCH($A216,TRIM(tblDados[Visitante]),0))),_xlpm.l,IFERROR(INDEX(tblDados[Liga],MATCH($A216,TRIM(tblDados[Mandante]),0)),INDEX(tblDados[Liga],MATCH($A216,TRIM(tblDados[Visitante]),0))),IFERROR(SUMIFS(Ligas!$D$2:$D$39,Ligas!$H$2:$H$39,_xlpm.p,Ligas!$I$2:$I$39,_xlpm.l),0)))</f>
        <v>2.5</v>
      </c>
      <c r="J216" s="11" cm="1">
        <f t="array" ref="J216">IF($A216="","",IFERROR((SUMPRODUCT((TRIM(tblDados[Mandante])=$A216)*tblDados[Primeira_Ocorrencia]*(tblDados[GM_M]=0))+SUMPRODUCT((TRIM(tblDados[Visitante])=$A216)*tblDados[Primeira_Ocorrencia]*(tblDados[GM_V]=0)))/G216,0))</f>
        <v>0.25</v>
      </c>
      <c r="K216" s="11" cm="1">
        <f t="array" ref="K216">IF($A216="","",IFERROR((SUMPRODUCT((TRIM(tblDados[Mandante])=$A216)*tblDados[Primeira_Ocorrencia]*((tblDados[GM_M]+tblDados[GS_M])&gt;0.5))+SUMPRODUCT((TRIM(tblDados[Visitante])=$A216)*tblDados[Primeira_Ocorrencia]*((tblDados[GM_V]+tblDados[GS_V])&gt;0.5)))/G216,0))</f>
        <v>0.91666666666666663</v>
      </c>
      <c r="L216" s="11" cm="1">
        <f t="array" ref="L216">IF($A216="","",IFERROR((SUMPRODUCT((TRIM(tblDados[Mandante])=$A216)*tblDados[Primeira_Ocorrencia]*((tblDados[GM_M]+tblDados[GS_M])&gt;1.5))+SUMPRODUCT((TRIM(tblDados[Visitante])=$A216)*tblDados[Primeira_Ocorrencia]*((tblDados[GM_V]+tblDados[GS_V])&gt;1.5)))/G216,0))</f>
        <v>0.91666666666666663</v>
      </c>
      <c r="M216" s="11" cm="1">
        <f t="array" ref="M216">IF($A216="","",IFERROR((SUMPRODUCT((TRIM(tblDados[Mandante])=$A216)*tblDados[Primeira_Ocorrencia]*((tblDados[GM_M]+tblDados[GS_M])&gt;2.5))+SUMPRODUCT((TRIM(tblDados[Visitante])=$A216)*tblDados[Primeira_Ocorrencia]*((tblDados[GM_V]+tblDados[GS_V])&gt;2.5)))/G216,0))</f>
        <v>0.33333333333333331</v>
      </c>
      <c r="N216" s="11" cm="1">
        <f t="array" ref="N216">IF($A216="","",IFERROR((SUMPRODUCT((TRIM(tblDados[Mandante])=$A216)*tblDados[Primeira_Ocorrencia]*((tblDados[GM_M]+tblDados[GS_M])&gt;3.5))+SUMPRODUCT((TRIM(tblDados[Visitante])=$A216)*tblDados[Primeira_Ocorrencia]*((tblDados[GM_V]+tblDados[GS_V])&gt;3.5)))/G216,0))</f>
        <v>0.33333333333333331</v>
      </c>
      <c r="O216" s="11" cm="1">
        <f t="array" ref="O216">IF($A216="","",IFERROR((SUMPRODUCT((TRIM(tblDados[Mandante])=$A216)*tblDados[Primeira_Ocorrencia]*(tblDados[GM_M]&gt;0)*(tblDados[GS_M]&gt;0))+SUMPRODUCT((TRIM(tblDados[Visitante])=$A216)*tblDados[Primeira_Ocorrencia]*(tblDados[GM_V]&gt;0)*(tblDados[GS_V]&gt;0)))/G216,0))</f>
        <v>0.5</v>
      </c>
      <c r="P216" s="10" cm="1">
        <f t="array" ref="P216">IF($A216="","",IFERROR((SUMPRODUCT((TRIM(tblDados[Mandante])=$A216)*tblDados[Primeira_Ocorrencia]*tblDados[GM_M]^2)+SUMPRODUCT((TRIM(tblDados[Visitante])=$A216)*tblDados[Primeira_Ocorrencia]*tblDados[GM_V]^2))/G216-H216^2,0))</f>
        <v>1.7430555555555554</v>
      </c>
      <c r="Q216" s="10">
        <f t="shared" si="48"/>
        <v>1.3202482931462383</v>
      </c>
      <c r="R216" s="8" t="str">
        <f t="shared" si="49"/>
        <v>Poisson</v>
      </c>
      <c r="S216" s="10" cm="1">
        <f t="array" ref="S216">IF($A216="","",SUMPRODUCT((TRIM(tblDados[Mandante])=$A216)*tblDados[Primeira_Ocorrencia]*tblDados[GM_M]))</f>
        <v>5</v>
      </c>
      <c r="T216" s="10" cm="1">
        <f t="array" ref="T216">IF($A216="","",SUMPRODUCT((TRIM(tblDados[Visitante])=$A216)*tblDados[Primeira_Ocorrencia]*tblDados[GM_V]))</f>
        <v>12</v>
      </c>
      <c r="U216" s="10">
        <f t="shared" si="50"/>
        <v>17</v>
      </c>
      <c r="V216" s="10">
        <f t="shared" si="39"/>
        <v>1.4166666666666667</v>
      </c>
      <c r="W216" s="10" cm="1">
        <f t="array" ref="W216">IF($A216="","",SUMPRODUCT((TRIM(tblDados[Mandante])=$A216)*tblDados[Primeira_Ocorrencia]*tblDados[GS_M]))</f>
        <v>13</v>
      </c>
      <c r="X216" s="10" cm="1">
        <f t="array" ref="X216">IF($A216="","",SUMPRODUCT((TRIM(tblDados[Visitante])=$A216)*tblDados[Primeira_Ocorrencia]*tblDados[GS_V]))</f>
        <v>6</v>
      </c>
      <c r="Y216" s="10">
        <f t="shared" si="51"/>
        <v>19</v>
      </c>
      <c r="Z216" s="10">
        <f t="shared" si="40"/>
        <v>1.5833333333333333</v>
      </c>
      <c r="AA216" s="10">
        <f t="shared" si="41"/>
        <v>0.83333333333333337</v>
      </c>
      <c r="AB216" s="10">
        <f t="shared" si="42"/>
        <v>2.1666666666666665</v>
      </c>
      <c r="AC216" s="10">
        <f t="shared" si="43"/>
        <v>2</v>
      </c>
      <c r="AD216" s="10">
        <f t="shared" si="44"/>
        <v>1</v>
      </c>
    </row>
    <row r="217" spans="1:30" x14ac:dyDescent="0.3">
      <c r="A217" s="7" t="str">
        <v>FC Cincinnati</v>
      </c>
      <c r="B217" s="12" t="str" cm="1">
        <f t="array" ref="B217">IF($A217="","",_xlfn.LET(_xlpm.p,IFERROR(INDEX(tblDados[País],MATCH($A217,TRIM(tblDados[Mandante]),0)),INDEX(tblDados[País],MATCH($A217,TRIM(tblDados[Visitante]),0))),_xlpm.l,IFERROR(INDEX(tblDados[Liga],MATCH($A217,TRIM(tblDados[Mandante]),0)),INDEX(tblDados[Liga],MATCH($A217,TRIM(tblDados[Visitante]),0))),_xlpm.p&amp;" - "&amp;_xlpm.l))</f>
        <v>USA - MLS-Cross</v>
      </c>
      <c r="C217" s="10">
        <f t="shared" si="45"/>
        <v>6.1666666666666661</v>
      </c>
      <c r="D217" s="10">
        <f t="shared" si="46"/>
        <v>4.666666666666667</v>
      </c>
      <c r="E217" s="9" cm="1">
        <f t="array" ref="E217">IF($A217="","",SUMPRODUCT((TRIM(tblDados[Mandante])=$A217)*tblDados[Primeira_Ocorrencia]))</f>
        <v>6</v>
      </c>
      <c r="F217" s="9" cm="1">
        <f t="array" ref="F217">IF($A217="","",SUMPRODUCT((TRIM(tblDados[Visitante])=$A217)*tblDados[Primeira_Ocorrencia]))</f>
        <v>6</v>
      </c>
      <c r="G217" s="9" cm="1">
        <f t="array" ref="G217">IF($A217="","",SUMPRODUCT((TRIM(tblDados[Mandante])=$A217)*tblDados[Primeira_Ocorrencia])+SUMPRODUCT((TRIM(tblDados[Visitante])=$A217)*tblDados[Primeira_Ocorrencia]))</f>
        <v>12</v>
      </c>
      <c r="H217" s="10">
        <f t="shared" si="47"/>
        <v>3</v>
      </c>
      <c r="I217" s="10" cm="1">
        <f t="array" ref="I217">IF($A217="","",_xlfn.LET(_xlpm.p,IFERROR(INDEX(tblDados[País],MATCH($A217,TRIM(tblDados[Mandante]),0)),INDEX(tblDados[País],MATCH($A217,TRIM(tblDados[Visitante]),0))),_xlpm.l,IFERROR(INDEX(tblDados[Liga],MATCH($A217,TRIM(tblDados[Mandante]),0)),INDEX(tblDados[Liga],MATCH($A217,TRIM(tblDados[Visitante]),0))),IFERROR(SUMIFS(Ligas!$D$2:$D$39,Ligas!$H$2:$H$39,_xlpm.p,Ligas!$I$2:$I$39,_xlpm.l),0)))</f>
        <v>3.3</v>
      </c>
      <c r="J217" s="11" cm="1">
        <f t="array" ref="J217">IF($A217="","",IFERROR((SUMPRODUCT((TRIM(tblDados[Mandante])=$A217)*tblDados[Primeira_Ocorrencia]*(tblDados[GM_M]=0))+SUMPRODUCT((TRIM(tblDados[Visitante])=$A217)*tblDados[Primeira_Ocorrencia]*(tblDados[GM_V]=0)))/G217,0))</f>
        <v>0</v>
      </c>
      <c r="K217" s="11" cm="1">
        <f t="array" ref="K217">IF($A217="","",IFERROR((SUMPRODUCT((TRIM(tblDados[Mandante])=$A217)*tblDados[Primeira_Ocorrencia]*((tblDados[GM_M]+tblDados[GS_M])&gt;0.5))+SUMPRODUCT((TRIM(tblDados[Visitante])=$A217)*tblDados[Primeira_Ocorrencia]*((tblDados[GM_V]+tblDados[GS_V])&gt;0.5)))/G217,0))</f>
        <v>1</v>
      </c>
      <c r="L217" s="11" cm="1">
        <f t="array" ref="L217">IF($A217="","",IFERROR((SUMPRODUCT((TRIM(tblDados[Mandante])=$A217)*tblDados[Primeira_Ocorrencia]*((tblDados[GM_M]+tblDados[GS_M])&gt;1.5))+SUMPRODUCT((TRIM(tblDados[Visitante])=$A217)*tblDados[Primeira_Ocorrencia]*((tblDados[GM_V]+tblDados[GS_V])&gt;1.5)))/G217,0))</f>
        <v>1</v>
      </c>
      <c r="M217" s="11" cm="1">
        <f t="array" ref="M217">IF($A217="","",IFERROR((SUMPRODUCT((TRIM(tblDados[Mandante])=$A217)*tblDados[Primeira_Ocorrencia]*((tblDados[GM_M]+tblDados[GS_M])&gt;2.5))+SUMPRODUCT((TRIM(tblDados[Visitante])=$A217)*tblDados[Primeira_Ocorrencia]*((tblDados[GM_V]+tblDados[GS_V])&gt;2.5)))/G217,0))</f>
        <v>0.83333333333333337</v>
      </c>
      <c r="N217" s="11" cm="1">
        <f t="array" ref="N217">IF($A217="","",IFERROR((SUMPRODUCT((TRIM(tblDados[Mandante])=$A217)*tblDados[Primeira_Ocorrencia]*((tblDados[GM_M]+tblDados[GS_M])&gt;3.5))+SUMPRODUCT((TRIM(tblDados[Visitante])=$A217)*tblDados[Primeira_Ocorrencia]*((tblDados[GM_V]+tblDados[GS_V])&gt;3.5)))/G217,0))</f>
        <v>0.75</v>
      </c>
      <c r="O217" s="11" cm="1">
        <f t="array" ref="O217">IF($A217="","",IFERROR((SUMPRODUCT((TRIM(tblDados[Mandante])=$A217)*tblDados[Primeira_Ocorrencia]*(tblDados[GM_M]&gt;0)*(tblDados[GS_M]&gt;0))+SUMPRODUCT((TRIM(tblDados[Visitante])=$A217)*tblDados[Primeira_Ocorrencia]*(tblDados[GM_V]&gt;0)*(tblDados[GS_V]&gt;0)))/G217,0))</f>
        <v>0.91666666666666663</v>
      </c>
      <c r="P217" s="10" cm="1">
        <f t="array" ref="P217">IF($A217="","",IFERROR((SUMPRODUCT((TRIM(tblDados[Mandante])=$A217)*tblDados[Primeira_Ocorrencia]*tblDados[GM_M]^2)+SUMPRODUCT((TRIM(tblDados[Visitante])=$A217)*tblDados[Primeira_Ocorrencia]*tblDados[GM_V]^2))/G217-H217^2,0))</f>
        <v>1.8333333333333339</v>
      </c>
      <c r="Q217" s="10">
        <f t="shared" si="48"/>
        <v>1.3540064007726602</v>
      </c>
      <c r="R217" s="8" t="str">
        <f t="shared" si="49"/>
        <v>Poisson</v>
      </c>
      <c r="S217" s="10" cm="1">
        <f t="array" ref="S217">IF($A217="","",SUMPRODUCT((TRIM(tblDados[Mandante])=$A217)*tblDados[Primeira_Ocorrencia]*tblDados[GM_M]))</f>
        <v>22</v>
      </c>
      <c r="T217" s="10" cm="1">
        <f t="array" ref="T217">IF($A217="","",SUMPRODUCT((TRIM(tblDados[Visitante])=$A217)*tblDados[Primeira_Ocorrencia]*tblDados[GM_V]))</f>
        <v>14</v>
      </c>
      <c r="U217" s="10">
        <f t="shared" si="50"/>
        <v>36</v>
      </c>
      <c r="V217" s="10">
        <f t="shared" si="39"/>
        <v>3</v>
      </c>
      <c r="W217" s="10" cm="1">
        <f t="array" ref="W217">IF($A217="","",SUMPRODUCT((TRIM(tblDados[Mandante])=$A217)*tblDados[Primeira_Ocorrencia]*tblDados[GS_M]))</f>
        <v>15</v>
      </c>
      <c r="X217" s="10" cm="1">
        <f t="array" ref="X217">IF($A217="","",SUMPRODUCT((TRIM(tblDados[Visitante])=$A217)*tblDados[Primeira_Ocorrencia]*tblDados[GS_V]))</f>
        <v>14</v>
      </c>
      <c r="Y217" s="10">
        <f t="shared" si="51"/>
        <v>29</v>
      </c>
      <c r="Z217" s="10">
        <f t="shared" si="40"/>
        <v>2.4166666666666665</v>
      </c>
      <c r="AA217" s="10">
        <f t="shared" si="41"/>
        <v>3.6666666666666665</v>
      </c>
      <c r="AB217" s="10">
        <f t="shared" si="42"/>
        <v>2.5</v>
      </c>
      <c r="AC217" s="10">
        <f t="shared" si="43"/>
        <v>2.3333333333333335</v>
      </c>
      <c r="AD217" s="10">
        <f t="shared" si="44"/>
        <v>2.3333333333333335</v>
      </c>
    </row>
    <row r="218" spans="1:30" x14ac:dyDescent="0.3">
      <c r="A218" s="7" t="str">
        <v>FC Dallas</v>
      </c>
      <c r="B218" s="12" t="str" cm="1">
        <f t="array" ref="B218">IF($A218="","",_xlfn.LET(_xlpm.p,IFERROR(INDEX(tblDados[País],MATCH($A218,TRIM(tblDados[Mandante]),0)),INDEX(tblDados[País],MATCH($A218,TRIM(tblDados[Visitante]),0))),_xlpm.l,IFERROR(INDEX(tblDados[Liga],MATCH($A218,TRIM(tblDados[Mandante]),0)),INDEX(tblDados[Liga],MATCH($A218,TRIM(tblDados[Visitante]),0))),_xlpm.p&amp;" - "&amp;_xlpm.l))</f>
        <v>USA - MLS-West</v>
      </c>
      <c r="C218" s="10">
        <f t="shared" si="45"/>
        <v>3.2</v>
      </c>
      <c r="D218" s="10">
        <f t="shared" si="46"/>
        <v>2.5714285714285712</v>
      </c>
      <c r="E218" s="9" cm="1">
        <f t="array" ref="E218">IF($A218="","",SUMPRODUCT((TRIM(tblDados[Mandante])=$A218)*tblDados[Primeira_Ocorrencia]))</f>
        <v>5</v>
      </c>
      <c r="F218" s="9" cm="1">
        <f t="array" ref="F218">IF($A218="","",SUMPRODUCT((TRIM(tblDados[Visitante])=$A218)*tblDados[Primeira_Ocorrencia]))</f>
        <v>7</v>
      </c>
      <c r="G218" s="9" cm="1">
        <f t="array" ref="G218">IF($A218="","",SUMPRODUCT((TRIM(tblDados[Mandante])=$A218)*tblDados[Primeira_Ocorrencia])+SUMPRODUCT((TRIM(tblDados[Visitante])=$A218)*tblDados[Primeira_Ocorrencia]))</f>
        <v>12</v>
      </c>
      <c r="H218" s="10">
        <f t="shared" si="47"/>
        <v>1.5</v>
      </c>
      <c r="I218" s="10" cm="1">
        <f t="array" ref="I218">IF($A218="","",_xlfn.LET(_xlpm.p,IFERROR(INDEX(tblDados[País],MATCH($A218,TRIM(tblDados[Mandante]),0)),INDEX(tblDados[País],MATCH($A218,TRIM(tblDados[Visitante]),0))),_xlpm.l,IFERROR(INDEX(tblDados[Liga],MATCH($A218,TRIM(tblDados[Mandante]),0)),INDEX(tblDados[Liga],MATCH($A218,TRIM(tblDados[Visitante]),0))),IFERROR(SUMIFS(Ligas!$D$2:$D$39,Ligas!$H$2:$H$39,_xlpm.p,Ligas!$I$2:$I$39,_xlpm.l),0)))</f>
        <v>3.3</v>
      </c>
      <c r="J218" s="11" cm="1">
        <f t="array" ref="J218">IF($A218="","",IFERROR((SUMPRODUCT((TRIM(tblDados[Mandante])=$A218)*tblDados[Primeira_Ocorrencia]*(tblDados[GM_M]=0))+SUMPRODUCT((TRIM(tblDados[Visitante])=$A218)*tblDados[Primeira_Ocorrencia]*(tblDados[GM_V]=0)))/G218,0))</f>
        <v>0.25</v>
      </c>
      <c r="K218" s="11" cm="1">
        <f t="array" ref="K218">IF($A218="","",IFERROR((SUMPRODUCT((TRIM(tblDados[Mandante])=$A218)*tblDados[Primeira_Ocorrencia]*((tblDados[GM_M]+tblDados[GS_M])&gt;0.5))+SUMPRODUCT((TRIM(tblDados[Visitante])=$A218)*tblDados[Primeira_Ocorrencia]*((tblDados[GM_V]+tblDados[GS_V])&gt;0.5)))/G218,0))</f>
        <v>0.91666666666666663</v>
      </c>
      <c r="L218" s="11" cm="1">
        <f t="array" ref="L218">IF($A218="","",IFERROR((SUMPRODUCT((TRIM(tblDados[Mandante])=$A218)*tblDados[Primeira_Ocorrencia]*((tblDados[GM_M]+tblDados[GS_M])&gt;1.5))+SUMPRODUCT((TRIM(tblDados[Visitante])=$A218)*tblDados[Primeira_Ocorrencia]*((tblDados[GM_V]+tblDados[GS_V])&gt;1.5)))/G218,0))</f>
        <v>0.75</v>
      </c>
      <c r="M218" s="11" cm="1">
        <f t="array" ref="M218">IF($A218="","",IFERROR((SUMPRODUCT((TRIM(tblDados[Mandante])=$A218)*tblDados[Primeira_Ocorrencia]*((tblDados[GM_M]+tblDados[GS_M])&gt;2.5))+SUMPRODUCT((TRIM(tblDados[Visitante])=$A218)*tblDados[Primeira_Ocorrencia]*((tblDados[GM_V]+tblDados[GS_V])&gt;2.5)))/G218,0))</f>
        <v>0.58333333333333337</v>
      </c>
      <c r="N218" s="11" cm="1">
        <f t="array" ref="N218">IF($A218="","",IFERROR((SUMPRODUCT((TRIM(tblDados[Mandante])=$A218)*tblDados[Primeira_Ocorrencia]*((tblDados[GM_M]+tblDados[GS_M])&gt;3.5))+SUMPRODUCT((TRIM(tblDados[Visitante])=$A218)*tblDados[Primeira_Ocorrencia]*((tblDados[GM_V]+tblDados[GS_V])&gt;3.5)))/G218,0))</f>
        <v>0.41666666666666669</v>
      </c>
      <c r="O218" s="11" cm="1">
        <f t="array" ref="O218">IF($A218="","",IFERROR((SUMPRODUCT((TRIM(tblDados[Mandante])=$A218)*tblDados[Primeira_Ocorrencia]*(tblDados[GM_M]&gt;0)*(tblDados[GS_M]&gt;0))+SUMPRODUCT((TRIM(tblDados[Visitante])=$A218)*tblDados[Primeira_Ocorrencia]*(tblDados[GM_V]&gt;0)*(tblDados[GS_V]&gt;0)))/G218,0))</f>
        <v>0.66666666666666663</v>
      </c>
      <c r="P218" s="10" cm="1">
        <f t="array" ref="P218">IF($A218="","",IFERROR((SUMPRODUCT((TRIM(tblDados[Mandante])=$A218)*tblDados[Primeira_Ocorrencia]*tblDados[GM_M]^2)+SUMPRODUCT((TRIM(tblDados[Visitante])=$A218)*tblDados[Primeira_Ocorrencia]*tblDados[GM_V]^2))/G218-H218^2,0))</f>
        <v>1.0833333333333335</v>
      </c>
      <c r="Q218" s="10">
        <f t="shared" si="48"/>
        <v>1.0408329997330665</v>
      </c>
      <c r="R218" s="8" t="str">
        <f t="shared" si="49"/>
        <v>Poisson</v>
      </c>
      <c r="S218" s="10" cm="1">
        <f t="array" ref="S218">IF($A218="","",SUMPRODUCT((TRIM(tblDados[Mandante])=$A218)*tblDados[Primeira_Ocorrencia]*tblDados[GM_M]))</f>
        <v>8</v>
      </c>
      <c r="T218" s="10" cm="1">
        <f t="array" ref="T218">IF($A218="","",SUMPRODUCT((TRIM(tblDados[Visitante])=$A218)*tblDados[Primeira_Ocorrencia]*tblDados[GM_V]))</f>
        <v>10</v>
      </c>
      <c r="U218" s="10">
        <f t="shared" si="50"/>
        <v>18</v>
      </c>
      <c r="V218" s="10">
        <f t="shared" si="39"/>
        <v>1.5</v>
      </c>
      <c r="W218" s="10" cm="1">
        <f t="array" ref="W218">IF($A218="","",SUMPRODUCT((TRIM(tblDados[Mandante])=$A218)*tblDados[Primeira_Ocorrencia]*tblDados[GS_M]))</f>
        <v>8</v>
      </c>
      <c r="X218" s="10" cm="1">
        <f t="array" ref="X218">IF($A218="","",SUMPRODUCT((TRIM(tblDados[Visitante])=$A218)*tblDados[Primeira_Ocorrencia]*tblDados[GS_V]))</f>
        <v>8</v>
      </c>
      <c r="Y218" s="10">
        <f t="shared" si="51"/>
        <v>16</v>
      </c>
      <c r="Z218" s="10">
        <f t="shared" si="40"/>
        <v>1.3333333333333333</v>
      </c>
      <c r="AA218" s="10">
        <f t="shared" si="41"/>
        <v>1.6</v>
      </c>
      <c r="AB218" s="10">
        <f t="shared" si="42"/>
        <v>1.6</v>
      </c>
      <c r="AC218" s="10">
        <f t="shared" si="43"/>
        <v>1.4285714285714286</v>
      </c>
      <c r="AD218" s="10">
        <f t="shared" si="44"/>
        <v>1.1428571428571428</v>
      </c>
    </row>
    <row r="219" spans="1:30" x14ac:dyDescent="0.3">
      <c r="A219" s="7" t="str">
        <v>FC Järfälla</v>
      </c>
      <c r="B219" s="12" t="str" cm="1">
        <f t="array" ref="B219">IF($A219="","",_xlfn.LET(_xlpm.p,IFERROR(INDEX(tblDados[País],MATCH($A219,TRIM(tblDados[Mandante]),0)),INDEX(tblDados[País],MATCH($A219,TRIM(tblDados[Visitante]),0))),_xlpm.l,IFERROR(INDEX(tblDados[Liga],MATCH($A219,TRIM(tblDados[Mandante]),0)),INDEX(tblDados[Liga],MATCH($A219,TRIM(tblDados[Visitante]),0))),_xlpm.p&amp;" - "&amp;_xlpm.l))</f>
        <v>SWE - 1ª D Norra</v>
      </c>
      <c r="C219" s="10">
        <f t="shared" si="45"/>
        <v>4.666666666666667</v>
      </c>
      <c r="D219" s="10">
        <f t="shared" si="46"/>
        <v>3.6666666666666665</v>
      </c>
      <c r="E219" s="9" cm="1">
        <f t="array" ref="E219">IF($A219="","",SUMPRODUCT((TRIM(tblDados[Mandante])=$A219)*tblDados[Primeira_Ocorrencia]))</f>
        <v>6</v>
      </c>
      <c r="F219" s="9" cm="1">
        <f t="array" ref="F219">IF($A219="","",SUMPRODUCT((TRIM(tblDados[Visitante])=$A219)*tblDados[Primeira_Ocorrencia]))</f>
        <v>6</v>
      </c>
      <c r="G219" s="9" cm="1">
        <f t="array" ref="G219">IF($A219="","",SUMPRODUCT((TRIM(tblDados[Mandante])=$A219)*tblDados[Primeira_Ocorrencia])+SUMPRODUCT((TRIM(tblDados[Visitante])=$A219)*tblDados[Primeira_Ocorrencia]))</f>
        <v>12</v>
      </c>
      <c r="H219" s="10">
        <f t="shared" si="47"/>
        <v>1.5833333333333333</v>
      </c>
      <c r="I219" s="10" cm="1">
        <f t="array" ref="I219">IF($A219="","",_xlfn.LET(_xlpm.p,IFERROR(INDEX(tblDados[País],MATCH($A219,TRIM(tblDados[Mandante]),0)),INDEX(tblDados[País],MATCH($A219,TRIM(tblDados[Visitante]),0))),_xlpm.l,IFERROR(INDEX(tblDados[Liga],MATCH($A219,TRIM(tblDados[Mandante]),0)),INDEX(tblDados[Liga],MATCH($A219,TRIM(tblDados[Visitante]),0))),IFERROR(SUMIFS(Ligas!$D$2:$D$39,Ligas!$H$2:$H$39,_xlpm.p,Ligas!$I$2:$I$39,_xlpm.l),0)))</f>
        <v>2.5</v>
      </c>
      <c r="J219" s="11" cm="1">
        <f t="array" ref="J219">IF($A219="","",IFERROR((SUMPRODUCT((TRIM(tblDados[Mandante])=$A219)*tblDados[Primeira_Ocorrencia]*(tblDados[GM_M]=0))+SUMPRODUCT((TRIM(tblDados[Visitante])=$A219)*tblDados[Primeira_Ocorrencia]*(tblDados[GM_V]=0)))/G219,0))</f>
        <v>0.25</v>
      </c>
      <c r="K219" s="11" cm="1">
        <f t="array" ref="K219">IF($A219="","",IFERROR((SUMPRODUCT((TRIM(tblDados[Mandante])=$A219)*tblDados[Primeira_Ocorrencia]*((tblDados[GM_M]+tblDados[GS_M])&gt;0.5))+SUMPRODUCT((TRIM(tblDados[Visitante])=$A219)*tblDados[Primeira_Ocorrencia]*((tblDados[GM_V]+tblDados[GS_V])&gt;0.5)))/G219,0))</f>
        <v>1</v>
      </c>
      <c r="L219" s="11" cm="1">
        <f t="array" ref="L219">IF($A219="","",IFERROR((SUMPRODUCT((TRIM(tblDados[Mandante])=$A219)*tblDados[Primeira_Ocorrencia]*((tblDados[GM_M]+tblDados[GS_M])&gt;1.5))+SUMPRODUCT((TRIM(tblDados[Visitante])=$A219)*tblDados[Primeira_Ocorrencia]*((tblDados[GM_V]+tblDados[GS_V])&gt;1.5)))/G219,0))</f>
        <v>1</v>
      </c>
      <c r="M219" s="11" cm="1">
        <f t="array" ref="M219">IF($A219="","",IFERROR((SUMPRODUCT((TRIM(tblDados[Mandante])=$A219)*tblDados[Primeira_Ocorrencia]*((tblDados[GM_M]+tblDados[GS_M])&gt;2.5))+SUMPRODUCT((TRIM(tblDados[Visitante])=$A219)*tblDados[Primeira_Ocorrencia]*((tblDados[GM_V]+tblDados[GS_V])&gt;2.5)))/G219,0))</f>
        <v>0.83333333333333337</v>
      </c>
      <c r="N219" s="11" cm="1">
        <f t="array" ref="N219">IF($A219="","",IFERROR((SUMPRODUCT((TRIM(tblDados[Mandante])=$A219)*tblDados[Primeira_Ocorrencia]*((tblDados[GM_M]+tblDados[GS_M])&gt;3.5))+SUMPRODUCT((TRIM(tblDados[Visitante])=$A219)*tblDados[Primeira_Ocorrencia]*((tblDados[GM_V]+tblDados[GS_V])&gt;3.5)))/G219,0))</f>
        <v>0.75</v>
      </c>
      <c r="O219" s="11" cm="1">
        <f t="array" ref="O219">IF($A219="","",IFERROR((SUMPRODUCT((TRIM(tblDados[Mandante])=$A219)*tblDados[Primeira_Ocorrencia]*(tblDados[GM_M]&gt;0)*(tblDados[GS_M]&gt;0))+SUMPRODUCT((TRIM(tblDados[Visitante])=$A219)*tblDados[Primeira_Ocorrencia]*(tblDados[GM_V]&gt;0)*(tblDados[GS_V]&gt;0)))/G219,0))</f>
        <v>0.66666666666666663</v>
      </c>
      <c r="P219" s="10" cm="1">
        <f t="array" ref="P219">IF($A219="","",IFERROR((SUMPRODUCT((TRIM(tblDados[Mandante])=$A219)*tblDados[Primeira_Ocorrencia]*tblDados[GM_M]^2)+SUMPRODUCT((TRIM(tblDados[Visitante])=$A219)*tblDados[Primeira_Ocorrencia]*tblDados[GM_V]^2))/G219-H219^2,0))</f>
        <v>1.7430555555555558</v>
      </c>
      <c r="Q219" s="10">
        <f t="shared" si="48"/>
        <v>1.3202482931462385</v>
      </c>
      <c r="R219" s="8" t="str">
        <f t="shared" si="49"/>
        <v>Poisson</v>
      </c>
      <c r="S219" s="10" cm="1">
        <f t="array" ref="S219">IF($A219="","",SUMPRODUCT((TRIM(tblDados[Mandante])=$A219)*tblDados[Primeira_Ocorrencia]*tblDados[GM_M]))</f>
        <v>8</v>
      </c>
      <c r="T219" s="10" cm="1">
        <f t="array" ref="T219">IF($A219="","",SUMPRODUCT((TRIM(tblDados[Visitante])=$A219)*tblDados[Primeira_Ocorrencia]*tblDados[GM_V]))</f>
        <v>11</v>
      </c>
      <c r="U219" s="10">
        <f t="shared" si="50"/>
        <v>19</v>
      </c>
      <c r="V219" s="10">
        <f t="shared" si="39"/>
        <v>1.5833333333333333</v>
      </c>
      <c r="W219" s="10" cm="1">
        <f t="array" ref="W219">IF($A219="","",SUMPRODUCT((TRIM(tblDados[Mandante])=$A219)*tblDados[Primeira_Ocorrencia]*tblDados[GS_M]))</f>
        <v>20</v>
      </c>
      <c r="X219" s="10" cm="1">
        <f t="array" ref="X219">IF($A219="","",SUMPRODUCT((TRIM(tblDados[Visitante])=$A219)*tblDados[Primeira_Ocorrencia]*tblDados[GS_V]))</f>
        <v>11</v>
      </c>
      <c r="Y219" s="10">
        <f t="shared" si="51"/>
        <v>31</v>
      </c>
      <c r="Z219" s="10">
        <f t="shared" si="40"/>
        <v>2.5833333333333335</v>
      </c>
      <c r="AA219" s="10">
        <f t="shared" si="41"/>
        <v>1.3333333333333333</v>
      </c>
      <c r="AB219" s="10">
        <f t="shared" si="42"/>
        <v>3.3333333333333335</v>
      </c>
      <c r="AC219" s="10">
        <f t="shared" si="43"/>
        <v>1.8333333333333333</v>
      </c>
      <c r="AD219" s="10">
        <f t="shared" si="44"/>
        <v>1.8333333333333333</v>
      </c>
    </row>
    <row r="220" spans="1:30" x14ac:dyDescent="0.3">
      <c r="A220" s="7" t="str">
        <v>FC Lahti</v>
      </c>
      <c r="B220" s="12" t="str" cm="1">
        <f t="array" ref="B220">IF($A220="","",_xlfn.LET(_xlpm.p,IFERROR(INDEX(tblDados[País],MATCH($A220,TRIM(tblDados[Mandante]),0)),INDEX(tblDados[País],MATCH($A220,TRIM(tblDados[Visitante]),0))),_xlpm.l,IFERROR(INDEX(tblDados[Liga],MATCH($A220,TRIM(tblDados[Mandante]),0)),INDEX(tblDados[Liga],MATCH($A220,TRIM(tblDados[Visitante]),0))),_xlpm.p&amp;" - "&amp;_xlpm.l))</f>
        <v>FIN - Veikkausliiga</v>
      </c>
      <c r="C220" s="10">
        <f t="shared" si="45"/>
        <v>2.4285714285714288</v>
      </c>
      <c r="D220" s="10">
        <f t="shared" si="46"/>
        <v>1.8</v>
      </c>
      <c r="E220" s="9" cm="1">
        <f t="array" ref="E220">IF($A220="","",SUMPRODUCT((TRIM(tblDados[Mandante])=$A220)*tblDados[Primeira_Ocorrencia]))</f>
        <v>7</v>
      </c>
      <c r="F220" s="9" cm="1">
        <f t="array" ref="F220">IF($A220="","",SUMPRODUCT((TRIM(tblDados[Visitante])=$A220)*tblDados[Primeira_Ocorrencia]))</f>
        <v>5</v>
      </c>
      <c r="G220" s="9" cm="1">
        <f t="array" ref="G220">IF($A220="","",SUMPRODUCT((TRIM(tblDados[Mandante])=$A220)*tblDados[Primeira_Ocorrencia])+SUMPRODUCT((TRIM(tblDados[Visitante])=$A220)*tblDados[Primeira_Ocorrencia]))</f>
        <v>12</v>
      </c>
      <c r="H220" s="10">
        <f t="shared" si="47"/>
        <v>1.4166666666666667</v>
      </c>
      <c r="I220" s="10" cm="1">
        <f t="array" ref="I220">IF($A220="","",_xlfn.LET(_xlpm.p,IFERROR(INDEX(tblDados[País],MATCH($A220,TRIM(tblDados[Mandante]),0)),INDEX(tblDados[País],MATCH($A220,TRIM(tblDados[Visitante]),0))),_xlpm.l,IFERROR(INDEX(tblDados[Liga],MATCH($A220,TRIM(tblDados[Mandante]),0)),INDEX(tblDados[Liga],MATCH($A220,TRIM(tblDados[Visitante]),0))),IFERROR(SUMIFS(Ligas!$D$2:$D$39,Ligas!$H$2:$H$39,_xlpm.p,Ligas!$I$2:$I$39,_xlpm.l),0)))</f>
        <v>2.6</v>
      </c>
      <c r="J220" s="11" cm="1">
        <f t="array" ref="J220">IF($A220="","",IFERROR((SUMPRODUCT((TRIM(tblDados[Mandante])=$A220)*tblDados[Primeira_Ocorrencia]*(tblDados[GM_M]=0))+SUMPRODUCT((TRIM(tblDados[Visitante])=$A220)*tblDados[Primeira_Ocorrencia]*(tblDados[GM_V]=0)))/G220,0))</f>
        <v>0.25</v>
      </c>
      <c r="K220" s="11" cm="1">
        <f t="array" ref="K220">IF($A220="","",IFERROR((SUMPRODUCT((TRIM(tblDados[Mandante])=$A220)*tblDados[Primeira_Ocorrencia]*((tblDados[GM_M]+tblDados[GS_M])&gt;0.5))+SUMPRODUCT((TRIM(tblDados[Visitante])=$A220)*tblDados[Primeira_Ocorrencia]*((tblDados[GM_V]+tblDados[GS_V])&gt;0.5)))/G220,0))</f>
        <v>0.91666666666666663</v>
      </c>
      <c r="L220" s="11" cm="1">
        <f t="array" ref="L220">IF($A220="","",IFERROR((SUMPRODUCT((TRIM(tblDados[Mandante])=$A220)*tblDados[Primeira_Ocorrencia]*((tblDados[GM_M]+tblDados[GS_M])&gt;1.5))+SUMPRODUCT((TRIM(tblDados[Visitante])=$A220)*tblDados[Primeira_Ocorrencia]*((tblDados[GM_V]+tblDados[GS_V])&gt;1.5)))/G220,0))</f>
        <v>0.66666666666666663</v>
      </c>
      <c r="M220" s="11" cm="1">
        <f t="array" ref="M220">IF($A220="","",IFERROR((SUMPRODUCT((TRIM(tblDados[Mandante])=$A220)*tblDados[Primeira_Ocorrencia]*((tblDados[GM_M]+tblDados[GS_M])&gt;2.5))+SUMPRODUCT((TRIM(tblDados[Visitante])=$A220)*tblDados[Primeira_Ocorrencia]*((tblDados[GM_V]+tblDados[GS_V])&gt;2.5)))/G220,0))</f>
        <v>0.25</v>
      </c>
      <c r="N220" s="11" cm="1">
        <f t="array" ref="N220">IF($A220="","",IFERROR((SUMPRODUCT((TRIM(tblDados[Mandante])=$A220)*tblDados[Primeira_Ocorrencia]*((tblDados[GM_M]+tblDados[GS_M])&gt;3.5))+SUMPRODUCT((TRIM(tblDados[Visitante])=$A220)*tblDados[Primeira_Ocorrencia]*((tblDados[GM_V]+tblDados[GS_V])&gt;3.5)))/G220,0))</f>
        <v>0.16666666666666666</v>
      </c>
      <c r="O220" s="11" cm="1">
        <f t="array" ref="O220">IF($A220="","",IFERROR((SUMPRODUCT((TRIM(tblDados[Mandante])=$A220)*tblDados[Primeira_Ocorrencia]*(tblDados[GM_M]&gt;0)*(tblDados[GS_M]&gt;0))+SUMPRODUCT((TRIM(tblDados[Visitante])=$A220)*tblDados[Primeira_Ocorrencia]*(tblDados[GM_V]&gt;0)*(tblDados[GS_V]&gt;0)))/G220,0))</f>
        <v>0.33333333333333331</v>
      </c>
      <c r="P220" s="10" cm="1">
        <f t="array" ref="P220">IF($A220="","",IFERROR((SUMPRODUCT((TRIM(tblDados[Mandante])=$A220)*tblDados[Primeira_Ocorrencia]*tblDados[GM_M]^2)+SUMPRODUCT((TRIM(tblDados[Visitante])=$A220)*tblDados[Primeira_Ocorrencia]*tblDados[GM_V]^2))/G220-H220^2,0))</f>
        <v>1.7430555555555554</v>
      </c>
      <c r="Q220" s="10">
        <f t="shared" si="48"/>
        <v>1.3202482931462383</v>
      </c>
      <c r="R220" s="8" t="str">
        <f t="shared" si="49"/>
        <v>Poisson</v>
      </c>
      <c r="S220" s="10" cm="1">
        <f t="array" ref="S220">IF($A220="","",SUMPRODUCT((TRIM(tblDados[Mandante])=$A220)*tblDados[Primeira_Ocorrencia]*tblDados[GM_M]))</f>
        <v>13</v>
      </c>
      <c r="T220" s="10" cm="1">
        <f t="array" ref="T220">IF($A220="","",SUMPRODUCT((TRIM(tblDados[Visitante])=$A220)*tblDados[Primeira_Ocorrencia]*tblDados[GM_V]))</f>
        <v>4</v>
      </c>
      <c r="U220" s="10">
        <f t="shared" si="50"/>
        <v>17</v>
      </c>
      <c r="V220" s="10">
        <f t="shared" si="39"/>
        <v>1.4166666666666667</v>
      </c>
      <c r="W220" s="10" cm="1">
        <f t="array" ref="W220">IF($A220="","",SUMPRODUCT((TRIM(tblDados[Mandante])=$A220)*tblDados[Primeira_Ocorrencia]*tblDados[GS_M]))</f>
        <v>4</v>
      </c>
      <c r="X220" s="10" cm="1">
        <f t="array" ref="X220">IF($A220="","",SUMPRODUCT((TRIM(tblDados[Visitante])=$A220)*tblDados[Primeira_Ocorrencia]*tblDados[GS_V]))</f>
        <v>5</v>
      </c>
      <c r="Y220" s="10">
        <f t="shared" si="51"/>
        <v>9</v>
      </c>
      <c r="Z220" s="10">
        <f t="shared" si="40"/>
        <v>0.75</v>
      </c>
      <c r="AA220" s="10">
        <f t="shared" si="41"/>
        <v>1.8571428571428572</v>
      </c>
      <c r="AB220" s="10">
        <f t="shared" si="42"/>
        <v>0.5714285714285714</v>
      </c>
      <c r="AC220" s="10">
        <f t="shared" si="43"/>
        <v>0.8</v>
      </c>
      <c r="AD220" s="10">
        <f t="shared" si="44"/>
        <v>1</v>
      </c>
    </row>
    <row r="221" spans="1:30" x14ac:dyDescent="0.3">
      <c r="A221" s="7" t="str">
        <v>FC Rosengård</v>
      </c>
      <c r="B221" s="12" t="str" cm="1">
        <f t="array" ref="B221">IF($A221="","",_xlfn.LET(_xlpm.p,IFERROR(INDEX(tblDados[País],MATCH($A221,TRIM(tblDados[Mandante]),0)),INDEX(tblDados[País],MATCH($A221,TRIM(tblDados[Visitante]),0))),_xlpm.l,IFERROR(INDEX(tblDados[Liga],MATCH($A221,TRIM(tblDados[Mandante]),0)),INDEX(tblDados[Liga],MATCH($A221,TRIM(tblDados[Visitante]),0))),_xlpm.p&amp;" - "&amp;_xlpm.l))</f>
        <v>SWE - 1ª D Södra</v>
      </c>
      <c r="C221" s="10">
        <f t="shared" si="45"/>
        <v>3.2</v>
      </c>
      <c r="D221" s="10">
        <f t="shared" si="46"/>
        <v>3</v>
      </c>
      <c r="E221" s="9" cm="1">
        <f t="array" ref="E221">IF($A221="","",SUMPRODUCT((TRIM(tblDados[Mandante])=$A221)*tblDados[Primeira_Ocorrencia]))</f>
        <v>5</v>
      </c>
      <c r="F221" s="9" cm="1">
        <f t="array" ref="F221">IF($A221="","",SUMPRODUCT((TRIM(tblDados[Visitante])=$A221)*tblDados[Primeira_Ocorrencia]))</f>
        <v>7</v>
      </c>
      <c r="G221" s="9" cm="1">
        <f t="array" ref="G221">IF($A221="","",SUMPRODUCT((TRIM(tblDados[Mandante])=$A221)*tblDados[Primeira_Ocorrencia])+SUMPRODUCT((TRIM(tblDados[Visitante])=$A221)*tblDados[Primeira_Ocorrencia]))</f>
        <v>12</v>
      </c>
      <c r="H221" s="10">
        <f t="shared" si="47"/>
        <v>1.9166666666666667</v>
      </c>
      <c r="I221" s="10" cm="1">
        <f t="array" ref="I221">IF($A221="","",_xlfn.LET(_xlpm.p,IFERROR(INDEX(tblDados[País],MATCH($A221,TRIM(tblDados[Mandante]),0)),INDEX(tblDados[País],MATCH($A221,TRIM(tblDados[Visitante]),0))),_xlpm.l,IFERROR(INDEX(tblDados[Liga],MATCH($A221,TRIM(tblDados[Mandante]),0)),INDEX(tblDados[Liga],MATCH($A221,TRIM(tblDados[Visitante]),0))),IFERROR(SUMIFS(Ligas!$D$2:$D$39,Ligas!$H$2:$H$39,_xlpm.p,Ligas!$I$2:$I$39,_xlpm.l),0)))</f>
        <v>2.5</v>
      </c>
      <c r="J221" s="11" cm="1">
        <f t="array" ref="J221">IF($A221="","",IFERROR((SUMPRODUCT((TRIM(tblDados[Mandante])=$A221)*tblDados[Primeira_Ocorrencia]*(tblDados[GM_M]=0))+SUMPRODUCT((TRIM(tblDados[Visitante])=$A221)*tblDados[Primeira_Ocorrencia]*(tblDados[GM_V]=0)))/G221,0))</f>
        <v>0.16666666666666666</v>
      </c>
      <c r="K221" s="11" cm="1">
        <f t="array" ref="K221">IF($A221="","",IFERROR((SUMPRODUCT((TRIM(tblDados[Mandante])=$A221)*tblDados[Primeira_Ocorrencia]*((tblDados[GM_M]+tblDados[GS_M])&gt;0.5))+SUMPRODUCT((TRIM(tblDados[Visitante])=$A221)*tblDados[Primeira_Ocorrencia]*((tblDados[GM_V]+tblDados[GS_V])&gt;0.5)))/G221,0))</f>
        <v>0.91666666666666663</v>
      </c>
      <c r="L221" s="11" cm="1">
        <f t="array" ref="L221">IF($A221="","",IFERROR((SUMPRODUCT((TRIM(tblDados[Mandante])=$A221)*tblDados[Primeira_Ocorrencia]*((tblDados[GM_M]+tblDados[GS_M])&gt;1.5))+SUMPRODUCT((TRIM(tblDados[Visitante])=$A221)*tblDados[Primeira_Ocorrencia]*((tblDados[GM_V]+tblDados[GS_V])&gt;1.5)))/G221,0))</f>
        <v>0.75</v>
      </c>
      <c r="M221" s="11" cm="1">
        <f t="array" ref="M221">IF($A221="","",IFERROR((SUMPRODUCT((TRIM(tblDados[Mandante])=$A221)*tblDados[Primeira_Ocorrencia]*((tblDados[GM_M]+tblDados[GS_M])&gt;2.5))+SUMPRODUCT((TRIM(tblDados[Visitante])=$A221)*tblDados[Primeira_Ocorrencia]*((tblDados[GM_V]+tblDados[GS_V])&gt;2.5)))/G221,0))</f>
        <v>0.66666666666666663</v>
      </c>
      <c r="N221" s="11" cm="1">
        <f t="array" ref="N221">IF($A221="","",IFERROR((SUMPRODUCT((TRIM(tblDados[Mandante])=$A221)*tblDados[Primeira_Ocorrencia]*((tblDados[GM_M]+tblDados[GS_M])&gt;3.5))+SUMPRODUCT((TRIM(tblDados[Visitante])=$A221)*tblDados[Primeira_Ocorrencia]*((tblDados[GM_V]+tblDados[GS_V])&gt;3.5)))/G221,0))</f>
        <v>0.33333333333333331</v>
      </c>
      <c r="O221" s="11" cm="1">
        <f t="array" ref="O221">IF($A221="","",IFERROR((SUMPRODUCT((TRIM(tblDados[Mandante])=$A221)*tblDados[Primeira_Ocorrencia]*(tblDados[GM_M]&gt;0)*(tblDados[GS_M]&gt;0))+SUMPRODUCT((TRIM(tblDados[Visitante])=$A221)*tblDados[Primeira_Ocorrencia]*(tblDados[GM_V]&gt;0)*(tblDados[GS_V]&gt;0)))/G221,0))</f>
        <v>0.58333333333333337</v>
      </c>
      <c r="P221" s="10" cm="1">
        <f t="array" ref="P221">IF($A221="","",IFERROR((SUMPRODUCT((TRIM(tblDados[Mandante])=$A221)*tblDados[Primeira_Ocorrencia]*tblDados[GM_M]^2)+SUMPRODUCT((TRIM(tblDados[Visitante])=$A221)*tblDados[Primeira_Ocorrencia]*tblDados[GM_V]^2))/G221-H221^2,0))</f>
        <v>1.4097222222222214</v>
      </c>
      <c r="Q221" s="10">
        <f t="shared" si="48"/>
        <v>1.1873172373979168</v>
      </c>
      <c r="R221" s="8" t="str">
        <f t="shared" si="49"/>
        <v>Poisson</v>
      </c>
      <c r="S221" s="10" cm="1">
        <f t="array" ref="S221">IF($A221="","",SUMPRODUCT((TRIM(tblDados[Mandante])=$A221)*tblDados[Primeira_Ocorrencia]*tblDados[GM_M]))</f>
        <v>10</v>
      </c>
      <c r="T221" s="10" cm="1">
        <f t="array" ref="T221">IF($A221="","",SUMPRODUCT((TRIM(tblDados[Visitante])=$A221)*tblDados[Primeira_Ocorrencia]*tblDados[GM_V]))</f>
        <v>13</v>
      </c>
      <c r="U221" s="10">
        <f t="shared" si="50"/>
        <v>23</v>
      </c>
      <c r="V221" s="10">
        <f t="shared" si="39"/>
        <v>1.9166666666666667</v>
      </c>
      <c r="W221" s="10" cm="1">
        <f t="array" ref="W221">IF($A221="","",SUMPRODUCT((TRIM(tblDados[Mandante])=$A221)*tblDados[Primeira_Ocorrencia]*tblDados[GS_M]))</f>
        <v>6</v>
      </c>
      <c r="X221" s="10" cm="1">
        <f t="array" ref="X221">IF($A221="","",SUMPRODUCT((TRIM(tblDados[Visitante])=$A221)*tblDados[Primeira_Ocorrencia]*tblDados[GS_V]))</f>
        <v>8</v>
      </c>
      <c r="Y221" s="10">
        <f t="shared" si="51"/>
        <v>14</v>
      </c>
      <c r="Z221" s="10">
        <f t="shared" si="40"/>
        <v>1.1666666666666667</v>
      </c>
      <c r="AA221" s="10">
        <f t="shared" si="41"/>
        <v>2</v>
      </c>
      <c r="AB221" s="10">
        <f t="shared" si="42"/>
        <v>1.2</v>
      </c>
      <c r="AC221" s="10">
        <f t="shared" si="43"/>
        <v>1.8571428571428572</v>
      </c>
      <c r="AD221" s="10">
        <f t="shared" si="44"/>
        <v>1.1428571428571428</v>
      </c>
    </row>
    <row r="222" spans="1:30" x14ac:dyDescent="0.3">
      <c r="A222" s="7" t="str">
        <v>FC Trollhättan</v>
      </c>
      <c r="B222" s="12" t="str" cm="1">
        <f t="array" ref="B222">IF($A222="","",_xlfn.LET(_xlpm.p,IFERROR(INDEX(tblDados[País],MATCH($A222,TRIM(tblDados[Mandante]),0)),INDEX(tblDados[País],MATCH($A222,TRIM(tblDados[Visitante]),0))),_xlpm.l,IFERROR(INDEX(tblDados[Liga],MATCH($A222,TRIM(tblDados[Mandante]),0)),INDEX(tblDados[Liga],MATCH($A222,TRIM(tblDados[Visitante]),0))),_xlpm.p&amp;" - "&amp;_xlpm.l))</f>
        <v>SWE - 1ª D Södra</v>
      </c>
      <c r="C222" s="10">
        <f t="shared" si="45"/>
        <v>2.4285714285714284</v>
      </c>
      <c r="D222" s="10">
        <f t="shared" si="46"/>
        <v>2.8</v>
      </c>
      <c r="E222" s="9" cm="1">
        <f t="array" ref="E222">IF($A222="","",SUMPRODUCT((TRIM(tblDados[Mandante])=$A222)*tblDados[Primeira_Ocorrencia]))</f>
        <v>7</v>
      </c>
      <c r="F222" s="9" cm="1">
        <f t="array" ref="F222">IF($A222="","",SUMPRODUCT((TRIM(tblDados[Visitante])=$A222)*tblDados[Primeira_Ocorrencia]))</f>
        <v>5</v>
      </c>
      <c r="G222" s="9" cm="1">
        <f t="array" ref="G222">IF($A222="","",SUMPRODUCT((TRIM(tblDados[Mandante])=$A222)*tblDados[Primeira_Ocorrencia])+SUMPRODUCT((TRIM(tblDados[Visitante])=$A222)*tblDados[Primeira_Ocorrencia]))</f>
        <v>12</v>
      </c>
      <c r="H222" s="10">
        <f t="shared" si="47"/>
        <v>0.91666666666666663</v>
      </c>
      <c r="I222" s="10" cm="1">
        <f t="array" ref="I222">IF($A222="","",_xlfn.LET(_xlpm.p,IFERROR(INDEX(tblDados[País],MATCH($A222,TRIM(tblDados[Mandante]),0)),INDEX(tblDados[País],MATCH($A222,TRIM(tblDados[Visitante]),0))),_xlpm.l,IFERROR(INDEX(tblDados[Liga],MATCH($A222,TRIM(tblDados[Mandante]),0)),INDEX(tblDados[Liga],MATCH($A222,TRIM(tblDados[Visitante]),0))),IFERROR(SUMIFS(Ligas!$D$2:$D$39,Ligas!$H$2:$H$39,_xlpm.p,Ligas!$I$2:$I$39,_xlpm.l),0)))</f>
        <v>2.5</v>
      </c>
      <c r="J222" s="11" cm="1">
        <f t="array" ref="J222">IF($A222="","",IFERROR((SUMPRODUCT((TRIM(tblDados[Mandante])=$A222)*tblDados[Primeira_Ocorrencia]*(tblDados[GM_M]=0))+SUMPRODUCT((TRIM(tblDados[Visitante])=$A222)*tblDados[Primeira_Ocorrencia]*(tblDados[GM_V]=0)))/G222,0))</f>
        <v>0.33333333333333331</v>
      </c>
      <c r="K222" s="11" cm="1">
        <f t="array" ref="K222">IF($A222="","",IFERROR((SUMPRODUCT((TRIM(tblDados[Mandante])=$A222)*tblDados[Primeira_Ocorrencia]*((tblDados[GM_M]+tblDados[GS_M])&gt;0.5))+SUMPRODUCT((TRIM(tblDados[Visitante])=$A222)*tblDados[Primeira_Ocorrencia]*((tblDados[GM_V]+tblDados[GS_V])&gt;0.5)))/G222,0))</f>
        <v>1</v>
      </c>
      <c r="L222" s="11" cm="1">
        <f t="array" ref="L222">IF($A222="","",IFERROR((SUMPRODUCT((TRIM(tblDados[Mandante])=$A222)*tblDados[Primeira_Ocorrencia]*((tblDados[GM_M]+tblDados[GS_M])&gt;1.5))+SUMPRODUCT((TRIM(tblDados[Visitante])=$A222)*tblDados[Primeira_Ocorrencia]*((tblDados[GM_V]+tblDados[GS_V])&gt;1.5)))/G222,0))</f>
        <v>0.83333333333333337</v>
      </c>
      <c r="M222" s="11" cm="1">
        <f t="array" ref="M222">IF($A222="","",IFERROR((SUMPRODUCT((TRIM(tblDados[Mandante])=$A222)*tblDados[Primeira_Ocorrencia]*((tblDados[GM_M]+tblDados[GS_M])&gt;2.5))+SUMPRODUCT((TRIM(tblDados[Visitante])=$A222)*tblDados[Primeira_Ocorrencia]*((tblDados[GM_V]+tblDados[GS_V])&gt;2.5)))/G222,0))</f>
        <v>0.25</v>
      </c>
      <c r="N222" s="11" cm="1">
        <f t="array" ref="N222">IF($A222="","",IFERROR((SUMPRODUCT((TRIM(tblDados[Mandante])=$A222)*tblDados[Primeira_Ocorrencia]*((tblDados[GM_M]+tblDados[GS_M])&gt;3.5))+SUMPRODUCT((TRIM(tblDados[Visitante])=$A222)*tblDados[Primeira_Ocorrencia]*((tblDados[GM_V]+tblDados[GS_V])&gt;3.5)))/G222,0))</f>
        <v>0.25</v>
      </c>
      <c r="O222" s="11" cm="1">
        <f t="array" ref="O222">IF($A222="","",IFERROR((SUMPRODUCT((TRIM(tblDados[Mandante])=$A222)*tblDados[Primeira_Ocorrencia]*(tblDados[GM_M]&gt;0)*(tblDados[GS_M]&gt;0))+SUMPRODUCT((TRIM(tblDados[Visitante])=$A222)*tblDados[Primeira_Ocorrencia]*(tblDados[GM_V]&gt;0)*(tblDados[GS_V]&gt;0)))/G222,0))</f>
        <v>0.58333333333333337</v>
      </c>
      <c r="P222" s="10" cm="1">
        <f t="array" ref="P222">IF($A222="","",IFERROR((SUMPRODUCT((TRIM(tblDados[Mandante])=$A222)*tblDados[Primeira_Ocorrencia]*tblDados[GM_M]^2)+SUMPRODUCT((TRIM(tblDados[Visitante])=$A222)*tblDados[Primeira_Ocorrencia]*tblDados[GM_V]^2))/G222-H222^2,0))</f>
        <v>0.74305555555555558</v>
      </c>
      <c r="Q222" s="10">
        <f t="shared" si="48"/>
        <v>0.86200670273238333</v>
      </c>
      <c r="R222" s="8" t="str">
        <f t="shared" si="49"/>
        <v>Poisson</v>
      </c>
      <c r="S222" s="10" cm="1">
        <f t="array" ref="S222">IF($A222="","",SUMPRODUCT((TRIM(tblDados[Mandante])=$A222)*tblDados[Primeira_Ocorrencia]*tblDados[GM_M]))</f>
        <v>6</v>
      </c>
      <c r="T222" s="10" cm="1">
        <f t="array" ref="T222">IF($A222="","",SUMPRODUCT((TRIM(tblDados[Visitante])=$A222)*tblDados[Primeira_Ocorrencia]*tblDados[GM_V]))</f>
        <v>5</v>
      </c>
      <c r="U222" s="10">
        <f t="shared" si="50"/>
        <v>11</v>
      </c>
      <c r="V222" s="10">
        <f t="shared" si="39"/>
        <v>0.91666666666666663</v>
      </c>
      <c r="W222" s="10" cm="1">
        <f t="array" ref="W222">IF($A222="","",SUMPRODUCT((TRIM(tblDados[Mandante])=$A222)*tblDados[Primeira_Ocorrencia]*tblDados[GS_M]))</f>
        <v>11</v>
      </c>
      <c r="X222" s="10" cm="1">
        <f t="array" ref="X222">IF($A222="","",SUMPRODUCT((TRIM(tblDados[Visitante])=$A222)*tblDados[Primeira_Ocorrencia]*tblDados[GS_V]))</f>
        <v>9</v>
      </c>
      <c r="Y222" s="10">
        <f t="shared" si="51"/>
        <v>20</v>
      </c>
      <c r="Z222" s="10">
        <f t="shared" si="40"/>
        <v>1.6666666666666667</v>
      </c>
      <c r="AA222" s="10">
        <f t="shared" si="41"/>
        <v>0.8571428571428571</v>
      </c>
      <c r="AB222" s="10">
        <f t="shared" si="42"/>
        <v>1.5714285714285714</v>
      </c>
      <c r="AC222" s="10">
        <f t="shared" si="43"/>
        <v>1</v>
      </c>
      <c r="AD222" s="10">
        <f t="shared" si="44"/>
        <v>1.8</v>
      </c>
    </row>
    <row r="223" spans="1:30" x14ac:dyDescent="0.3">
      <c r="A223" s="7" t="str">
        <v>FC Vaajakoski</v>
      </c>
      <c r="B223" s="12" t="str" cm="1">
        <f t="array" ref="B223">IF($A223="","",_xlfn.LET(_xlpm.p,IFERROR(INDEX(tblDados[País],MATCH($A223,TRIM(tblDados[Mandante]),0)),INDEX(tblDados[País],MATCH($A223,TRIM(tblDados[Visitante]),0))),_xlpm.l,IFERROR(INDEX(tblDados[Liga],MATCH($A223,TRIM(tblDados[Mandante]),0)),INDEX(tblDados[Liga],MATCH($A223,TRIM(tblDados[Visitante]),0))),_xlpm.p&amp;" - "&amp;_xlpm.l))</f>
        <v>FIN - Kakkonen C</v>
      </c>
      <c r="C223" s="10">
        <f t="shared" si="45"/>
        <v>6</v>
      </c>
      <c r="D223" s="10">
        <f t="shared" si="46"/>
        <v>3.8571428571428568</v>
      </c>
      <c r="E223" s="9" cm="1">
        <f t="array" ref="E223">IF($A223="","",SUMPRODUCT((TRIM(tblDados[Mandante])=$A223)*tblDados[Primeira_Ocorrencia]))</f>
        <v>5</v>
      </c>
      <c r="F223" s="9" cm="1">
        <f t="array" ref="F223">IF($A223="","",SUMPRODUCT((TRIM(tblDados[Visitante])=$A223)*tblDados[Primeira_Ocorrencia]))</f>
        <v>7</v>
      </c>
      <c r="G223" s="9" cm="1">
        <f t="array" ref="G223">IF($A223="","",SUMPRODUCT((TRIM(tblDados[Mandante])=$A223)*tblDados[Primeira_Ocorrencia])+SUMPRODUCT((TRIM(tblDados[Visitante])=$A223)*tblDados[Primeira_Ocorrencia]))</f>
        <v>12</v>
      </c>
      <c r="H223" s="10">
        <f t="shared" si="47"/>
        <v>2.0833333333333335</v>
      </c>
      <c r="I223" s="10" cm="1">
        <f t="array" ref="I223">IF($A223="","",_xlfn.LET(_xlpm.p,IFERROR(INDEX(tblDados[País],MATCH($A223,TRIM(tblDados[Mandante]),0)),INDEX(tblDados[País],MATCH($A223,TRIM(tblDados[Visitante]),0))),_xlpm.l,IFERROR(INDEX(tblDados[Liga],MATCH($A223,TRIM(tblDados[Mandante]),0)),INDEX(tblDados[Liga],MATCH($A223,TRIM(tblDados[Visitante]),0))),IFERROR(SUMIFS(Ligas!$D$2:$D$39,Ligas!$H$2:$H$39,_xlpm.p,Ligas!$I$2:$I$39,_xlpm.l),0)))</f>
        <v>4.32</v>
      </c>
      <c r="J223" s="11" cm="1">
        <f t="array" ref="J223">IF($A223="","",IFERROR((SUMPRODUCT((TRIM(tblDados[Mandante])=$A223)*tblDados[Primeira_Ocorrencia]*(tblDados[GM_M]=0))+SUMPRODUCT((TRIM(tblDados[Visitante])=$A223)*tblDados[Primeira_Ocorrencia]*(tblDados[GM_V]=0)))/G223,0))</f>
        <v>0.25</v>
      </c>
      <c r="K223" s="11" cm="1">
        <f t="array" ref="K223">IF($A223="","",IFERROR((SUMPRODUCT((TRIM(tblDados[Mandante])=$A223)*tblDados[Primeira_Ocorrencia]*((tblDados[GM_M]+tblDados[GS_M])&gt;0.5))+SUMPRODUCT((TRIM(tblDados[Visitante])=$A223)*tblDados[Primeira_Ocorrencia]*((tblDados[GM_V]+tblDados[GS_V])&gt;0.5)))/G223,0))</f>
        <v>1</v>
      </c>
      <c r="L223" s="11" cm="1">
        <f t="array" ref="L223">IF($A223="","",IFERROR((SUMPRODUCT((TRIM(tblDados[Mandante])=$A223)*tblDados[Primeira_Ocorrencia]*((tblDados[GM_M]+tblDados[GS_M])&gt;1.5))+SUMPRODUCT((TRIM(tblDados[Visitante])=$A223)*tblDados[Primeira_Ocorrencia]*((tblDados[GM_V]+tblDados[GS_V])&gt;1.5)))/G223,0))</f>
        <v>0.83333333333333337</v>
      </c>
      <c r="M223" s="11" cm="1">
        <f t="array" ref="M223">IF($A223="","",IFERROR((SUMPRODUCT((TRIM(tblDados[Mandante])=$A223)*tblDados[Primeira_Ocorrencia]*((tblDados[GM_M]+tblDados[GS_M])&gt;2.5))+SUMPRODUCT((TRIM(tblDados[Visitante])=$A223)*tblDados[Primeira_Ocorrencia]*((tblDados[GM_V]+tblDados[GS_V])&gt;2.5)))/G223,0))</f>
        <v>0.83333333333333337</v>
      </c>
      <c r="N223" s="11" cm="1">
        <f t="array" ref="N223">IF($A223="","",IFERROR((SUMPRODUCT((TRIM(tblDados[Mandante])=$A223)*tblDados[Primeira_Ocorrencia]*((tblDados[GM_M]+tblDados[GS_M])&gt;3.5))+SUMPRODUCT((TRIM(tblDados[Visitante])=$A223)*tblDados[Primeira_Ocorrencia]*((tblDados[GM_V]+tblDados[GS_V])&gt;3.5)))/G223,0))</f>
        <v>0.75</v>
      </c>
      <c r="O223" s="11" cm="1">
        <f t="array" ref="O223">IF($A223="","",IFERROR((SUMPRODUCT((TRIM(tblDados[Mandante])=$A223)*tblDados[Primeira_Ocorrencia]*(tblDados[GM_M]&gt;0)*(tblDados[GS_M]&gt;0))+SUMPRODUCT((TRIM(tblDados[Visitante])=$A223)*tblDados[Primeira_Ocorrencia]*(tblDados[GM_V]&gt;0)*(tblDados[GS_V]&gt;0)))/G223,0))</f>
        <v>0.66666666666666663</v>
      </c>
      <c r="P223" s="10" cm="1">
        <f t="array" ref="P223">IF($A223="","",IFERROR((SUMPRODUCT((TRIM(tblDados[Mandante])=$A223)*tblDados[Primeira_Ocorrencia]*tblDados[GM_M]^2)+SUMPRODUCT((TRIM(tblDados[Visitante])=$A223)*tblDados[Primeira_Ocorrencia]*tblDados[GM_V]^2))/G223-H223^2,0))</f>
        <v>2.4097222222222214</v>
      </c>
      <c r="Q223" s="10">
        <f t="shared" si="48"/>
        <v>1.5523280008497629</v>
      </c>
      <c r="R223" s="8" t="str">
        <f t="shared" si="49"/>
        <v>Poisson</v>
      </c>
      <c r="S223" s="10" cm="1">
        <f t="array" ref="S223">IF($A223="","",SUMPRODUCT((TRIM(tblDados[Mandante])=$A223)*tblDados[Primeira_Ocorrencia]*tblDados[GM_M]))</f>
        <v>15</v>
      </c>
      <c r="T223" s="10" cm="1">
        <f t="array" ref="T223">IF($A223="","",SUMPRODUCT((TRIM(tblDados[Visitante])=$A223)*tblDados[Primeira_Ocorrencia]*tblDados[GM_V]))</f>
        <v>10</v>
      </c>
      <c r="U223" s="10">
        <f t="shared" si="50"/>
        <v>25</v>
      </c>
      <c r="V223" s="10">
        <f t="shared" si="39"/>
        <v>2.0833333333333335</v>
      </c>
      <c r="W223" s="10" cm="1">
        <f t="array" ref="W223">IF($A223="","",SUMPRODUCT((TRIM(tblDados[Mandante])=$A223)*tblDados[Primeira_Ocorrencia]*tblDados[GS_M]))</f>
        <v>15</v>
      </c>
      <c r="X223" s="10" cm="1">
        <f t="array" ref="X223">IF($A223="","",SUMPRODUCT((TRIM(tblDados[Visitante])=$A223)*tblDados[Primeira_Ocorrencia]*tblDados[GS_V]))</f>
        <v>17</v>
      </c>
      <c r="Y223" s="10">
        <f t="shared" si="51"/>
        <v>32</v>
      </c>
      <c r="Z223" s="10">
        <f t="shared" si="40"/>
        <v>2.6666666666666665</v>
      </c>
      <c r="AA223" s="10">
        <f t="shared" si="41"/>
        <v>3</v>
      </c>
      <c r="AB223" s="10">
        <f t="shared" si="42"/>
        <v>3</v>
      </c>
      <c r="AC223" s="10">
        <f t="shared" si="43"/>
        <v>1.4285714285714286</v>
      </c>
      <c r="AD223" s="10">
        <f t="shared" si="44"/>
        <v>2.4285714285714284</v>
      </c>
    </row>
    <row r="224" spans="1:30" x14ac:dyDescent="0.3">
      <c r="A224" s="7" t="str">
        <v>Ferroviária</v>
      </c>
      <c r="B224" s="12" t="str" cm="1">
        <f t="array" ref="B224">IF($A224="","",_xlfn.LET(_xlpm.p,IFERROR(INDEX(tblDados[País],MATCH($A224,TRIM(tblDados[Mandante]),0)),INDEX(tblDados[País],MATCH($A224,TRIM(tblDados[Visitante]),0))),_xlpm.l,IFERROR(INDEX(tblDados[Liga],MATCH($A224,TRIM(tblDados[Mandante]),0)),INDEX(tblDados[Liga],MATCH($A224,TRIM(tblDados[Visitante]),0))),_xlpm.p&amp;" - "&amp;_xlpm.l))</f>
        <v>BRA - Série C</v>
      </c>
      <c r="C224" s="10">
        <f t="shared" si="45"/>
        <v>1</v>
      </c>
      <c r="D224" s="10">
        <f t="shared" si="46"/>
        <v>2.333333333333333</v>
      </c>
      <c r="E224" s="9" cm="1">
        <f t="array" ref="E224">IF($A224="","",SUMPRODUCT((TRIM(tblDados[Mandante])=$A224)*tblDados[Primeira_Ocorrencia]))</f>
        <v>6</v>
      </c>
      <c r="F224" s="9" cm="1">
        <f t="array" ref="F224">IF($A224="","",SUMPRODUCT((TRIM(tblDados[Visitante])=$A224)*tblDados[Primeira_Ocorrencia]))</f>
        <v>6</v>
      </c>
      <c r="G224" s="9" cm="1">
        <f t="array" ref="G224">IF($A224="","",SUMPRODUCT((TRIM(tblDados[Mandante])=$A224)*tblDados[Primeira_Ocorrencia])+SUMPRODUCT((TRIM(tblDados[Visitante])=$A224)*tblDados[Primeira_Ocorrencia]))</f>
        <v>12</v>
      </c>
      <c r="H224" s="10">
        <f t="shared" si="47"/>
        <v>1.0833333333333333</v>
      </c>
      <c r="I224" s="10" cm="1">
        <f t="array" ref="I224">IF($A224="","",_xlfn.LET(_xlpm.p,IFERROR(INDEX(tblDados[País],MATCH($A224,TRIM(tblDados[Mandante]),0)),INDEX(tblDados[País],MATCH($A224,TRIM(tblDados[Visitante]),0))),_xlpm.l,IFERROR(INDEX(tblDados[Liga],MATCH($A224,TRIM(tblDados[Mandante]),0)),INDEX(tblDados[Liga],MATCH($A224,TRIM(tblDados[Visitante]),0))),IFERROR(SUMIFS(Ligas!$D$2:$D$39,Ligas!$H$2:$H$39,_xlpm.p,Ligas!$I$2:$I$39,_xlpm.l),0)))</f>
        <v>2.09</v>
      </c>
      <c r="J224" s="11" cm="1">
        <f t="array" ref="J224">IF($A224="","",IFERROR((SUMPRODUCT((TRIM(tblDados[Mandante])=$A224)*tblDados[Primeira_Ocorrencia]*(tblDados[GM_M]=0))+SUMPRODUCT((TRIM(tblDados[Visitante])=$A224)*tblDados[Primeira_Ocorrencia]*(tblDados[GM_V]=0)))/G224,0))</f>
        <v>0.33333333333333331</v>
      </c>
      <c r="K224" s="11" cm="1">
        <f t="array" ref="K224">IF($A224="","",IFERROR((SUMPRODUCT((TRIM(tblDados[Mandante])=$A224)*tblDados[Primeira_Ocorrencia]*((tblDados[GM_M]+tblDados[GS_M])&gt;0.5))+SUMPRODUCT((TRIM(tblDados[Visitante])=$A224)*tblDados[Primeira_Ocorrencia]*((tblDados[GM_V]+tblDados[GS_V])&gt;0.5)))/G224,0))</f>
        <v>0.83333333333333337</v>
      </c>
      <c r="L224" s="11" cm="1">
        <f t="array" ref="L224">IF($A224="","",IFERROR((SUMPRODUCT((TRIM(tblDados[Mandante])=$A224)*tblDados[Primeira_Ocorrencia]*((tblDados[GM_M]+tblDados[GS_M])&gt;1.5))+SUMPRODUCT((TRIM(tblDados[Visitante])=$A224)*tblDados[Primeira_Ocorrencia]*((tblDados[GM_V]+tblDados[GS_V])&gt;1.5)))/G224,0))</f>
        <v>0.41666666666666669</v>
      </c>
      <c r="M224" s="11" cm="1">
        <f t="array" ref="M224">IF($A224="","",IFERROR((SUMPRODUCT((TRIM(tblDados[Mandante])=$A224)*tblDados[Primeira_Ocorrencia]*((tblDados[GM_M]+tblDados[GS_M])&gt;2.5))+SUMPRODUCT((TRIM(tblDados[Visitante])=$A224)*tblDados[Primeira_Ocorrencia]*((tblDados[GM_V]+tblDados[GS_V])&gt;2.5)))/G224,0))</f>
        <v>0.25</v>
      </c>
      <c r="N224" s="11" cm="1">
        <f t="array" ref="N224">IF($A224="","",IFERROR((SUMPRODUCT((TRIM(tblDados[Mandante])=$A224)*tblDados[Primeira_Ocorrencia]*((tblDados[GM_M]+tblDados[GS_M])&gt;3.5))+SUMPRODUCT((TRIM(tblDados[Visitante])=$A224)*tblDados[Primeira_Ocorrencia]*((tblDados[GM_V]+tblDados[GS_V])&gt;3.5)))/G224,0))</f>
        <v>0.16666666666666666</v>
      </c>
      <c r="O224" s="11" cm="1">
        <f t="array" ref="O224">IF($A224="","",IFERROR((SUMPRODUCT((TRIM(tblDados[Mandante])=$A224)*tblDados[Primeira_Ocorrencia]*(tblDados[GM_M]&gt;0)*(tblDados[GS_M]&gt;0))+SUMPRODUCT((TRIM(tblDados[Visitante])=$A224)*tblDados[Primeira_Ocorrencia]*(tblDados[GM_V]&gt;0)*(tblDados[GS_V]&gt;0)))/G224,0))</f>
        <v>0.33333333333333331</v>
      </c>
      <c r="P224" s="10" cm="1">
        <f t="array" ref="P224">IF($A224="","",IFERROR((SUMPRODUCT((TRIM(tblDados[Mandante])=$A224)*tblDados[Primeira_Ocorrencia]*tblDados[GM_M]^2)+SUMPRODUCT((TRIM(tblDados[Visitante])=$A224)*tblDados[Primeira_Ocorrencia]*tblDados[GM_V]^2))/G224-H224^2,0))</f>
        <v>0.90972222222222254</v>
      </c>
      <c r="Q224" s="10">
        <f t="shared" si="48"/>
        <v>0.95379359518829987</v>
      </c>
      <c r="R224" s="8" t="str">
        <f t="shared" si="49"/>
        <v>Poisson</v>
      </c>
      <c r="S224" s="10" cm="1">
        <f t="array" ref="S224">IF($A224="","",SUMPRODUCT((TRIM(tblDados[Mandante])=$A224)*tblDados[Primeira_Ocorrencia]*tblDados[GM_M]))</f>
        <v>5</v>
      </c>
      <c r="T224" s="10" cm="1">
        <f t="array" ref="T224">IF($A224="","",SUMPRODUCT((TRIM(tblDados[Visitante])=$A224)*tblDados[Primeira_Ocorrencia]*tblDados[GM_V]))</f>
        <v>8</v>
      </c>
      <c r="U224" s="10">
        <f t="shared" si="50"/>
        <v>13</v>
      </c>
      <c r="V224" s="10">
        <f t="shared" si="39"/>
        <v>1.0833333333333333</v>
      </c>
      <c r="W224" s="10" cm="1">
        <f t="array" ref="W224">IF($A224="","",SUMPRODUCT((TRIM(tblDados[Mandante])=$A224)*tblDados[Primeira_Ocorrencia]*tblDados[GS_M]))</f>
        <v>1</v>
      </c>
      <c r="X224" s="10" cm="1">
        <f t="array" ref="X224">IF($A224="","",SUMPRODUCT((TRIM(tblDados[Visitante])=$A224)*tblDados[Primeira_Ocorrencia]*tblDados[GS_V]))</f>
        <v>6</v>
      </c>
      <c r="Y224" s="10">
        <f t="shared" si="51"/>
        <v>7</v>
      </c>
      <c r="Z224" s="10">
        <f t="shared" si="40"/>
        <v>0.58333333333333337</v>
      </c>
      <c r="AA224" s="10">
        <f t="shared" si="41"/>
        <v>0.83333333333333337</v>
      </c>
      <c r="AB224" s="10">
        <f t="shared" si="42"/>
        <v>0.16666666666666666</v>
      </c>
      <c r="AC224" s="10">
        <f t="shared" si="43"/>
        <v>1.3333333333333333</v>
      </c>
      <c r="AD224" s="10">
        <f t="shared" si="44"/>
        <v>1</v>
      </c>
    </row>
    <row r="225" spans="1:30" x14ac:dyDescent="0.3">
      <c r="A225" s="7" t="str">
        <v>FF Jaro</v>
      </c>
      <c r="B225" s="12" t="str" cm="1">
        <f t="array" ref="B225">IF($A225="","",_xlfn.LET(_xlpm.p,IFERROR(INDEX(tblDados[País],MATCH($A225,TRIM(tblDados[Mandante]),0)),INDEX(tblDados[País],MATCH($A225,TRIM(tblDados[Visitante]),0))),_xlpm.l,IFERROR(INDEX(tblDados[Liga],MATCH($A225,TRIM(tblDados[Mandante]),0)),INDEX(tblDados[Liga],MATCH($A225,TRIM(tblDados[Visitante]),0))),_xlpm.p&amp;" - "&amp;_xlpm.l))</f>
        <v>FIN - Veikkausliiga</v>
      </c>
      <c r="C225" s="10">
        <f t="shared" si="45"/>
        <v>3</v>
      </c>
      <c r="D225" s="10">
        <f t="shared" si="46"/>
        <v>3.8333333333333335</v>
      </c>
      <c r="E225" s="9" cm="1">
        <f t="array" ref="E225">IF($A225="","",SUMPRODUCT((TRIM(tblDados[Mandante])=$A225)*tblDados[Primeira_Ocorrencia]))</f>
        <v>6</v>
      </c>
      <c r="F225" s="9" cm="1">
        <f t="array" ref="F225">IF($A225="","",SUMPRODUCT((TRIM(tblDados[Visitante])=$A225)*tblDados[Primeira_Ocorrencia]))</f>
        <v>6</v>
      </c>
      <c r="G225" s="9" cm="1">
        <f t="array" ref="G225">IF($A225="","",SUMPRODUCT((TRIM(tblDados[Mandante])=$A225)*tblDados[Primeira_Ocorrencia])+SUMPRODUCT((TRIM(tblDados[Visitante])=$A225)*tblDados[Primeira_Ocorrencia]))</f>
        <v>12</v>
      </c>
      <c r="H225" s="10">
        <f t="shared" si="47"/>
        <v>1.0833333333333333</v>
      </c>
      <c r="I225" s="10" cm="1">
        <f t="array" ref="I225">IF($A225="","",_xlfn.LET(_xlpm.p,IFERROR(INDEX(tblDados[País],MATCH($A225,TRIM(tblDados[Mandante]),0)),INDEX(tblDados[País],MATCH($A225,TRIM(tblDados[Visitante]),0))),_xlpm.l,IFERROR(INDEX(tblDados[Liga],MATCH($A225,TRIM(tblDados[Mandante]),0)),INDEX(tblDados[Liga],MATCH($A225,TRIM(tblDados[Visitante]),0))),IFERROR(SUMIFS(Ligas!$D$2:$D$39,Ligas!$H$2:$H$39,_xlpm.p,Ligas!$I$2:$I$39,_xlpm.l),0)))</f>
        <v>2.6</v>
      </c>
      <c r="J225" s="11" cm="1">
        <f t="array" ref="J225">IF($A225="","",IFERROR((SUMPRODUCT((TRIM(tblDados[Mandante])=$A225)*tblDados[Primeira_Ocorrencia]*(tblDados[GM_M]=0))+SUMPRODUCT((TRIM(tblDados[Visitante])=$A225)*tblDados[Primeira_Ocorrencia]*(tblDados[GM_V]=0)))/G225,0))</f>
        <v>0.41666666666666669</v>
      </c>
      <c r="K225" s="11" cm="1">
        <f t="array" ref="K225">IF($A225="","",IFERROR((SUMPRODUCT((TRIM(tblDados[Mandante])=$A225)*tblDados[Primeira_Ocorrencia]*((tblDados[GM_M]+tblDados[GS_M])&gt;0.5))+SUMPRODUCT((TRIM(tblDados[Visitante])=$A225)*tblDados[Primeira_Ocorrencia]*((tblDados[GM_V]+tblDados[GS_V])&gt;0.5)))/G225,0))</f>
        <v>0.91666666666666663</v>
      </c>
      <c r="L225" s="11" cm="1">
        <f t="array" ref="L225">IF($A225="","",IFERROR((SUMPRODUCT((TRIM(tblDados[Mandante])=$A225)*tblDados[Primeira_Ocorrencia]*((tblDados[GM_M]+tblDados[GS_M])&gt;1.5))+SUMPRODUCT((TRIM(tblDados[Visitante])=$A225)*tblDados[Primeira_Ocorrencia]*((tblDados[GM_V]+tblDados[GS_V])&gt;1.5)))/G225,0))</f>
        <v>0.91666666666666663</v>
      </c>
      <c r="M225" s="11" cm="1">
        <f t="array" ref="M225">IF($A225="","",IFERROR((SUMPRODUCT((TRIM(tblDados[Mandante])=$A225)*tblDados[Primeira_Ocorrencia]*((tblDados[GM_M]+tblDados[GS_M])&gt;2.5))+SUMPRODUCT((TRIM(tblDados[Visitante])=$A225)*tblDados[Primeira_Ocorrencia]*((tblDados[GM_V]+tblDados[GS_V])&gt;2.5)))/G225,0))</f>
        <v>0.75</v>
      </c>
      <c r="N225" s="11" cm="1">
        <f t="array" ref="N225">IF($A225="","",IFERROR((SUMPRODUCT((TRIM(tblDados[Mandante])=$A225)*tblDados[Primeira_Ocorrencia]*((tblDados[GM_M]+tblDados[GS_M])&gt;3.5))+SUMPRODUCT((TRIM(tblDados[Visitante])=$A225)*tblDados[Primeira_Ocorrencia]*((tblDados[GM_V]+tblDados[GS_V])&gt;3.5)))/G225,0))</f>
        <v>0.33333333333333331</v>
      </c>
      <c r="O225" s="11" cm="1">
        <f t="array" ref="O225">IF($A225="","",IFERROR((SUMPRODUCT((TRIM(tblDados[Mandante])=$A225)*tblDados[Primeira_Ocorrencia]*(tblDados[GM_M]&gt;0)*(tblDados[GS_M]&gt;0))+SUMPRODUCT((TRIM(tblDados[Visitante])=$A225)*tblDados[Primeira_Ocorrencia]*(tblDados[GM_V]&gt;0)*(tblDados[GS_V]&gt;0)))/G225,0))</f>
        <v>0.5</v>
      </c>
      <c r="P225" s="10" cm="1">
        <f t="array" ref="P225">IF($A225="","",IFERROR((SUMPRODUCT((TRIM(tblDados[Mandante])=$A225)*tblDados[Primeira_Ocorrencia]*tblDados[GM_M]^2)+SUMPRODUCT((TRIM(tblDados[Visitante])=$A225)*tblDados[Primeira_Ocorrencia]*tblDados[GM_V]^2))/G225-H225^2,0))</f>
        <v>1.0763888888888891</v>
      </c>
      <c r="Q225" s="10">
        <f t="shared" si="48"/>
        <v>1.0374916331657278</v>
      </c>
      <c r="R225" s="8" t="str">
        <f t="shared" si="49"/>
        <v>Poisson</v>
      </c>
      <c r="S225" s="10" cm="1">
        <f t="array" ref="S225">IF($A225="","",SUMPRODUCT((TRIM(tblDados[Mandante])=$A225)*tblDados[Primeira_Ocorrencia]*tblDados[GM_M]))</f>
        <v>10</v>
      </c>
      <c r="T225" s="10" cm="1">
        <f t="array" ref="T225">IF($A225="","",SUMPRODUCT((TRIM(tblDados[Visitante])=$A225)*tblDados[Primeira_Ocorrencia]*tblDados[GM_V]))</f>
        <v>3</v>
      </c>
      <c r="U225" s="10">
        <f t="shared" si="50"/>
        <v>13</v>
      </c>
      <c r="V225" s="10">
        <f t="shared" si="39"/>
        <v>1.0833333333333333</v>
      </c>
      <c r="W225" s="10" cm="1">
        <f t="array" ref="W225">IF($A225="","",SUMPRODUCT((TRIM(tblDados[Mandante])=$A225)*tblDados[Primeira_Ocorrencia]*tblDados[GS_M]))</f>
        <v>8</v>
      </c>
      <c r="X225" s="10" cm="1">
        <f t="array" ref="X225">IF($A225="","",SUMPRODUCT((TRIM(tblDados[Visitante])=$A225)*tblDados[Primeira_Ocorrencia]*tblDados[GS_V]))</f>
        <v>20</v>
      </c>
      <c r="Y225" s="10">
        <f t="shared" si="51"/>
        <v>28</v>
      </c>
      <c r="Z225" s="10">
        <f t="shared" si="40"/>
        <v>2.3333333333333335</v>
      </c>
      <c r="AA225" s="10">
        <f t="shared" si="41"/>
        <v>1.6666666666666667</v>
      </c>
      <c r="AB225" s="10">
        <f t="shared" si="42"/>
        <v>1.3333333333333333</v>
      </c>
      <c r="AC225" s="10">
        <f t="shared" si="43"/>
        <v>0.5</v>
      </c>
      <c r="AD225" s="10">
        <f t="shared" si="44"/>
        <v>3.3333333333333335</v>
      </c>
    </row>
    <row r="226" spans="1:30" x14ac:dyDescent="0.3">
      <c r="A226" s="7" t="str">
        <v>Figueirense</v>
      </c>
      <c r="B226" s="12" t="str" cm="1">
        <f t="array" ref="B226">IF($A226="","",_xlfn.LET(_xlpm.p,IFERROR(INDEX(tblDados[País],MATCH($A226,TRIM(tblDados[Mandante]),0)),INDEX(tblDados[País],MATCH($A226,TRIM(tblDados[Visitante]),0))),_xlpm.l,IFERROR(INDEX(tblDados[Liga],MATCH($A226,TRIM(tblDados[Mandante]),0)),INDEX(tblDados[Liga],MATCH($A226,TRIM(tblDados[Visitante]),0))),_xlpm.p&amp;" - "&amp;_xlpm.l))</f>
        <v>BRA - Série C</v>
      </c>
      <c r="C226" s="10">
        <f t="shared" si="45"/>
        <v>2.1666666666666665</v>
      </c>
      <c r="D226" s="10">
        <f t="shared" si="46"/>
        <v>1.8333333333333335</v>
      </c>
      <c r="E226" s="9" cm="1">
        <f t="array" ref="E226">IF($A226="","",SUMPRODUCT((TRIM(tblDados[Mandante])=$A226)*tblDados[Primeira_Ocorrencia]))</f>
        <v>6</v>
      </c>
      <c r="F226" s="9" cm="1">
        <f t="array" ref="F226">IF($A226="","",SUMPRODUCT((TRIM(tblDados[Visitante])=$A226)*tblDados[Primeira_Ocorrencia]))</f>
        <v>6</v>
      </c>
      <c r="G226" s="9" cm="1">
        <f t="array" ref="G226">IF($A226="","",SUMPRODUCT((TRIM(tblDados[Mandante])=$A226)*tblDados[Primeira_Ocorrencia])+SUMPRODUCT((TRIM(tblDados[Visitante])=$A226)*tblDados[Primeira_Ocorrencia]))</f>
        <v>12</v>
      </c>
      <c r="H226" s="10">
        <f t="shared" si="47"/>
        <v>1</v>
      </c>
      <c r="I226" s="10" cm="1">
        <f t="array" ref="I226">IF($A226="","",_xlfn.LET(_xlpm.p,IFERROR(INDEX(tblDados[País],MATCH($A226,TRIM(tblDados[Mandante]),0)),INDEX(tblDados[País],MATCH($A226,TRIM(tblDados[Visitante]),0))),_xlpm.l,IFERROR(INDEX(tblDados[Liga],MATCH($A226,TRIM(tblDados[Mandante]),0)),INDEX(tblDados[Liga],MATCH($A226,TRIM(tblDados[Visitante]),0))),IFERROR(SUMIFS(Ligas!$D$2:$D$39,Ligas!$H$2:$H$39,_xlpm.p,Ligas!$I$2:$I$39,_xlpm.l),0)))</f>
        <v>2.09</v>
      </c>
      <c r="J226" s="11" cm="1">
        <f t="array" ref="J226">IF($A226="","",IFERROR((SUMPRODUCT((TRIM(tblDados[Mandante])=$A226)*tblDados[Primeira_Ocorrencia]*(tblDados[GM_M]=0))+SUMPRODUCT((TRIM(tblDados[Visitante])=$A226)*tblDados[Primeira_Ocorrencia]*(tblDados[GM_V]=0)))/G226,0))</f>
        <v>0.33333333333333331</v>
      </c>
      <c r="K226" s="11" cm="1">
        <f t="array" ref="K226">IF($A226="","",IFERROR((SUMPRODUCT((TRIM(tblDados[Mandante])=$A226)*tblDados[Primeira_Ocorrencia]*((tblDados[GM_M]+tblDados[GS_M])&gt;0.5))+SUMPRODUCT((TRIM(tblDados[Visitante])=$A226)*tblDados[Primeira_Ocorrencia]*((tblDados[GM_V]+tblDados[GS_V])&gt;0.5)))/G226,0))</f>
        <v>0.83333333333333337</v>
      </c>
      <c r="L226" s="11" cm="1">
        <f t="array" ref="L226">IF($A226="","",IFERROR((SUMPRODUCT((TRIM(tblDados[Mandante])=$A226)*tblDados[Primeira_Ocorrencia]*((tblDados[GM_M]+tblDados[GS_M])&gt;1.5))+SUMPRODUCT((TRIM(tblDados[Visitante])=$A226)*tblDados[Primeira_Ocorrencia]*((tblDados[GM_V]+tblDados[GS_V])&gt;1.5)))/G226,0))</f>
        <v>0.58333333333333337</v>
      </c>
      <c r="M226" s="11" cm="1">
        <f t="array" ref="M226">IF($A226="","",IFERROR((SUMPRODUCT((TRIM(tblDados[Mandante])=$A226)*tblDados[Primeira_Ocorrencia]*((tblDados[GM_M]+tblDados[GS_M])&gt;2.5))+SUMPRODUCT((TRIM(tblDados[Visitante])=$A226)*tblDados[Primeira_Ocorrencia]*((tblDados[GM_V]+tblDados[GS_V])&gt;2.5)))/G226,0))</f>
        <v>0.41666666666666669</v>
      </c>
      <c r="N226" s="11" cm="1">
        <f t="array" ref="N226">IF($A226="","",IFERROR((SUMPRODUCT((TRIM(tblDados[Mandante])=$A226)*tblDados[Primeira_Ocorrencia]*((tblDados[GM_M]+tblDados[GS_M])&gt;3.5))+SUMPRODUCT((TRIM(tblDados[Visitante])=$A226)*tblDados[Primeira_Ocorrencia]*((tblDados[GM_V]+tblDados[GS_V])&gt;3.5)))/G226,0))</f>
        <v>0.16666666666666666</v>
      </c>
      <c r="O226" s="11" cm="1">
        <f t="array" ref="O226">IF($A226="","",IFERROR((SUMPRODUCT((TRIM(tblDados[Mandante])=$A226)*tblDados[Primeira_Ocorrencia]*(tblDados[GM_M]&gt;0)*(tblDados[GS_M]&gt;0))+SUMPRODUCT((TRIM(tblDados[Visitante])=$A226)*tblDados[Primeira_Ocorrencia]*(tblDados[GM_V]&gt;0)*(tblDados[GS_V]&gt;0)))/G226,0))</f>
        <v>0.41666666666666669</v>
      </c>
      <c r="P226" s="10" cm="1">
        <f t="array" ref="P226">IF($A226="","",IFERROR((SUMPRODUCT((TRIM(tblDados[Mandante])=$A226)*tblDados[Primeira_Ocorrencia]*tblDados[GM_M]^2)+SUMPRODUCT((TRIM(tblDados[Visitante])=$A226)*tblDados[Primeira_Ocorrencia]*tblDados[GM_V]^2))/G226-H226^2,0))</f>
        <v>0.66666666666666674</v>
      </c>
      <c r="Q226" s="10">
        <f t="shared" si="48"/>
        <v>0.81649658092772603</v>
      </c>
      <c r="R226" s="8" t="str">
        <f t="shared" si="49"/>
        <v>Poisson</v>
      </c>
      <c r="S226" s="10" cm="1">
        <f t="array" ref="S226">IF($A226="","",SUMPRODUCT((TRIM(tblDados[Mandante])=$A226)*tblDados[Primeira_Ocorrencia]*tblDados[GM_M]))</f>
        <v>5</v>
      </c>
      <c r="T226" s="10" cm="1">
        <f t="array" ref="T226">IF($A226="","",SUMPRODUCT((TRIM(tblDados[Visitante])=$A226)*tblDados[Primeira_Ocorrencia]*tblDados[GM_V]))</f>
        <v>7</v>
      </c>
      <c r="U226" s="10">
        <f t="shared" si="50"/>
        <v>12</v>
      </c>
      <c r="V226" s="10">
        <f t="shared" si="39"/>
        <v>1</v>
      </c>
      <c r="W226" s="10" cm="1">
        <f t="array" ref="W226">IF($A226="","",SUMPRODUCT((TRIM(tblDados[Mandante])=$A226)*tblDados[Primeira_Ocorrencia]*tblDados[GS_M]))</f>
        <v>8</v>
      </c>
      <c r="X226" s="10" cm="1">
        <f t="array" ref="X226">IF($A226="","",SUMPRODUCT((TRIM(tblDados[Visitante])=$A226)*tblDados[Primeira_Ocorrencia]*tblDados[GS_V]))</f>
        <v>4</v>
      </c>
      <c r="Y226" s="10">
        <f t="shared" si="51"/>
        <v>12</v>
      </c>
      <c r="Z226" s="10">
        <f t="shared" si="40"/>
        <v>1</v>
      </c>
      <c r="AA226" s="10">
        <f t="shared" si="41"/>
        <v>0.83333333333333337</v>
      </c>
      <c r="AB226" s="10">
        <f t="shared" si="42"/>
        <v>1.3333333333333333</v>
      </c>
      <c r="AC226" s="10">
        <f t="shared" si="43"/>
        <v>1.1666666666666667</v>
      </c>
      <c r="AD226" s="10">
        <f t="shared" si="44"/>
        <v>0.66666666666666663</v>
      </c>
    </row>
    <row r="227" spans="1:30" x14ac:dyDescent="0.3">
      <c r="A227" s="7" t="str">
        <v>FK Haugesund</v>
      </c>
      <c r="B227" s="12" t="str" cm="1">
        <f t="array" ref="B227">IF($A227="","",_xlfn.LET(_xlpm.p,IFERROR(INDEX(tblDados[País],MATCH($A227,TRIM(tblDados[Mandante]),0)),INDEX(tblDados[País],MATCH($A227,TRIM(tblDados[Visitante]),0))),_xlpm.l,IFERROR(INDEX(tblDados[Liga],MATCH($A227,TRIM(tblDados[Mandante]),0)),INDEX(tblDados[Liga],MATCH($A227,TRIM(tblDados[Visitante]),0))),_xlpm.p&amp;" - "&amp;_xlpm.l))</f>
        <v>NOR - OBOS-ligaen</v>
      </c>
      <c r="C227" s="10">
        <f t="shared" si="45"/>
        <v>4.8333333333333339</v>
      </c>
      <c r="D227" s="10">
        <f t="shared" si="46"/>
        <v>6.3333333333333339</v>
      </c>
      <c r="E227" s="9" cm="1">
        <f t="array" ref="E227">IF($A227="","",SUMPRODUCT((TRIM(tblDados[Mandante])=$A227)*tblDados[Primeira_Ocorrencia]))</f>
        <v>6</v>
      </c>
      <c r="F227" s="9" cm="1">
        <f t="array" ref="F227">IF($A227="","",SUMPRODUCT((TRIM(tblDados[Visitante])=$A227)*tblDados[Primeira_Ocorrencia]))</f>
        <v>6</v>
      </c>
      <c r="G227" s="9" cm="1">
        <f t="array" ref="G227">IF($A227="","",SUMPRODUCT((TRIM(tblDados[Mandante])=$A227)*tblDados[Primeira_Ocorrencia])+SUMPRODUCT((TRIM(tblDados[Visitante])=$A227)*tblDados[Primeira_Ocorrencia]))</f>
        <v>12</v>
      </c>
      <c r="H227" s="10">
        <f t="shared" si="47"/>
        <v>3.4166666666666665</v>
      </c>
      <c r="I227" s="10" cm="1">
        <f t="array" ref="I227">IF($A227="","",_xlfn.LET(_xlpm.p,IFERROR(INDEX(tblDados[País],MATCH($A227,TRIM(tblDados[Mandante]),0)),INDEX(tblDados[País],MATCH($A227,TRIM(tblDados[Visitante]),0))),_xlpm.l,IFERROR(INDEX(tblDados[Liga],MATCH($A227,TRIM(tblDados[Mandante]),0)),INDEX(tblDados[Liga],MATCH($A227,TRIM(tblDados[Visitante]),0))),IFERROR(SUMIFS(Ligas!$D$2:$D$39,Ligas!$H$2:$H$39,_xlpm.p,Ligas!$I$2:$I$39,_xlpm.l),0)))</f>
        <v>2.5</v>
      </c>
      <c r="J227" s="11" cm="1">
        <f t="array" ref="J227">IF($A227="","",IFERROR((SUMPRODUCT((TRIM(tblDados[Mandante])=$A227)*tblDados[Primeira_Ocorrencia]*(tblDados[GM_M]=0))+SUMPRODUCT((TRIM(tblDados[Visitante])=$A227)*tblDados[Primeira_Ocorrencia]*(tblDados[GM_V]=0)))/G227,0))</f>
        <v>0</v>
      </c>
      <c r="K227" s="11" cm="1">
        <f t="array" ref="K227">IF($A227="","",IFERROR((SUMPRODUCT((TRIM(tblDados[Mandante])=$A227)*tblDados[Primeira_Ocorrencia]*((tblDados[GM_M]+tblDados[GS_M])&gt;0.5))+SUMPRODUCT((TRIM(tblDados[Visitante])=$A227)*tblDados[Primeira_Ocorrencia]*((tblDados[GM_V]+tblDados[GS_V])&gt;0.5)))/G227,0))</f>
        <v>1</v>
      </c>
      <c r="L227" s="11" cm="1">
        <f t="array" ref="L227">IF($A227="","",IFERROR((SUMPRODUCT((TRIM(tblDados[Mandante])=$A227)*tblDados[Primeira_Ocorrencia]*((tblDados[GM_M]+tblDados[GS_M])&gt;1.5))+SUMPRODUCT((TRIM(tblDados[Visitante])=$A227)*tblDados[Primeira_Ocorrencia]*((tblDados[GM_V]+tblDados[GS_V])&gt;1.5)))/G227,0))</f>
        <v>1</v>
      </c>
      <c r="M227" s="11" cm="1">
        <f t="array" ref="M227">IF($A227="","",IFERROR((SUMPRODUCT((TRIM(tblDados[Mandante])=$A227)*tblDados[Primeira_Ocorrencia]*((tblDados[GM_M]+tblDados[GS_M])&gt;2.5))+SUMPRODUCT((TRIM(tblDados[Visitante])=$A227)*tblDados[Primeira_Ocorrencia]*((tblDados[GM_V]+tblDados[GS_V])&gt;2.5)))/G227,0))</f>
        <v>0.91666666666666663</v>
      </c>
      <c r="N227" s="11" cm="1">
        <f t="array" ref="N227">IF($A227="","",IFERROR((SUMPRODUCT((TRIM(tblDados[Mandante])=$A227)*tblDados[Primeira_Ocorrencia]*((tblDados[GM_M]+tblDados[GS_M])&gt;3.5))+SUMPRODUCT((TRIM(tblDados[Visitante])=$A227)*tblDados[Primeira_Ocorrencia]*((tblDados[GM_V]+tblDados[GS_V])&gt;3.5)))/G227,0))</f>
        <v>0.83333333333333337</v>
      </c>
      <c r="O227" s="11" cm="1">
        <f t="array" ref="O227">IF($A227="","",IFERROR((SUMPRODUCT((TRIM(tblDados[Mandante])=$A227)*tblDados[Primeira_Ocorrencia]*(tblDados[GM_M]&gt;0)*(tblDados[GS_M]&gt;0))+SUMPRODUCT((TRIM(tblDados[Visitante])=$A227)*tblDados[Primeira_Ocorrencia]*(tblDados[GM_V]&gt;0)*(tblDados[GS_V]&gt;0)))/G227,0))</f>
        <v>0.91666666666666663</v>
      </c>
      <c r="P227" s="10" cm="1">
        <f t="array" ref="P227">IF($A227="","",IFERROR((SUMPRODUCT((TRIM(tblDados[Mandante])=$A227)*tblDados[Primeira_Ocorrencia]*tblDados[GM_M]^2)+SUMPRODUCT((TRIM(tblDados[Visitante])=$A227)*tblDados[Primeira_Ocorrencia]*tblDados[GM_V]^2))/G227-H227^2,0))</f>
        <v>3.9097222222222232</v>
      </c>
      <c r="Q227" s="10">
        <f t="shared" si="48"/>
        <v>1.977301752950779</v>
      </c>
      <c r="R227" s="8" t="str">
        <f t="shared" si="49"/>
        <v>Poisson</v>
      </c>
      <c r="S227" s="10" cm="1">
        <f t="array" ref="S227">IF($A227="","",SUMPRODUCT((TRIM(tblDados[Mandante])=$A227)*tblDados[Primeira_Ocorrencia]*tblDados[GM_M]))</f>
        <v>20</v>
      </c>
      <c r="T227" s="10" cm="1">
        <f t="array" ref="T227">IF($A227="","",SUMPRODUCT((TRIM(tblDados[Visitante])=$A227)*tblDados[Primeira_Ocorrencia]*tblDados[GM_V]))</f>
        <v>21</v>
      </c>
      <c r="U227" s="10">
        <f t="shared" si="50"/>
        <v>41</v>
      </c>
      <c r="V227" s="10">
        <f t="shared" si="39"/>
        <v>3.4166666666666665</v>
      </c>
      <c r="W227" s="10" cm="1">
        <f t="array" ref="W227">IF($A227="","",SUMPRODUCT((TRIM(tblDados[Mandante])=$A227)*tblDados[Primeira_Ocorrencia]*tblDados[GS_M]))</f>
        <v>9</v>
      </c>
      <c r="X227" s="10" cm="1">
        <f t="array" ref="X227">IF($A227="","",SUMPRODUCT((TRIM(tblDados[Visitante])=$A227)*tblDados[Primeira_Ocorrencia]*tblDados[GS_V]))</f>
        <v>17</v>
      </c>
      <c r="Y227" s="10">
        <f t="shared" si="51"/>
        <v>26</v>
      </c>
      <c r="Z227" s="10">
        <f t="shared" si="40"/>
        <v>2.1666666666666665</v>
      </c>
      <c r="AA227" s="10">
        <f t="shared" si="41"/>
        <v>3.3333333333333335</v>
      </c>
      <c r="AB227" s="10">
        <f t="shared" si="42"/>
        <v>1.5</v>
      </c>
      <c r="AC227" s="10">
        <f t="shared" si="43"/>
        <v>3.5</v>
      </c>
      <c r="AD227" s="10">
        <f t="shared" si="44"/>
        <v>2.8333333333333335</v>
      </c>
    </row>
    <row r="228" spans="1:30" x14ac:dyDescent="0.3">
      <c r="A228" s="7" t="str">
        <v>FK Karlskrona</v>
      </c>
      <c r="B228" s="12" t="str" cm="1">
        <f t="array" ref="B228">IF($A228="","",_xlfn.LET(_xlpm.p,IFERROR(INDEX(tblDados[País],MATCH($A228,TRIM(tblDados[Mandante]),0)),INDEX(tblDados[País],MATCH($A228,TRIM(tblDados[Visitante]),0))),_xlpm.l,IFERROR(INDEX(tblDados[Liga],MATCH($A228,TRIM(tblDados[Mandante]),0)),INDEX(tblDados[Liga],MATCH($A228,TRIM(tblDados[Visitante]),0))),_xlpm.p&amp;" - "&amp;_xlpm.l))</f>
        <v>SWE - 2ª D Södra Götaland</v>
      </c>
      <c r="C228" s="10">
        <f t="shared" si="45"/>
        <v>3.333333333333333</v>
      </c>
      <c r="D228" s="10">
        <f t="shared" si="46"/>
        <v>3.833333333333333</v>
      </c>
      <c r="E228" s="9" cm="1">
        <f t="array" ref="E228">IF($A228="","",SUMPRODUCT((TRIM(tblDados[Mandante])=$A228)*tblDados[Primeira_Ocorrencia]))</f>
        <v>6</v>
      </c>
      <c r="F228" s="9" cm="1">
        <f t="array" ref="F228">IF($A228="","",SUMPRODUCT((TRIM(tblDados[Visitante])=$A228)*tblDados[Primeira_Ocorrencia]))</f>
        <v>6</v>
      </c>
      <c r="G228" s="9" cm="1">
        <f t="array" ref="G228">IF($A228="","",SUMPRODUCT((TRIM(tblDados[Mandante])=$A228)*tblDados[Primeira_Ocorrencia])+SUMPRODUCT((TRIM(tblDados[Visitante])=$A228)*tblDados[Primeira_Ocorrencia]))</f>
        <v>12</v>
      </c>
      <c r="H228" s="10">
        <f t="shared" si="47"/>
        <v>2.4166666666666665</v>
      </c>
      <c r="I228" s="10" cm="1">
        <f t="array" ref="I228">IF($A228="","",_xlfn.LET(_xlpm.p,IFERROR(INDEX(tblDados[País],MATCH($A228,TRIM(tblDados[Mandante]),0)),INDEX(tblDados[País],MATCH($A228,TRIM(tblDados[Visitante]),0))),_xlpm.l,IFERROR(INDEX(tblDados[Liga],MATCH($A228,TRIM(tblDados[Mandante]),0)),INDEX(tblDados[Liga],MATCH($A228,TRIM(tblDados[Visitante]),0))),IFERROR(SUMIFS(Ligas!$D$2:$D$39,Ligas!$H$2:$H$39,_xlpm.p,Ligas!$I$2:$I$39,_xlpm.l),0)))</f>
        <v>2.5</v>
      </c>
      <c r="J228" s="11" cm="1">
        <f t="array" ref="J228">IF($A228="","",IFERROR((SUMPRODUCT((TRIM(tblDados[Mandante])=$A228)*tblDados[Primeira_Ocorrencia]*(tblDados[GM_M]=0))+SUMPRODUCT((TRIM(tblDados[Visitante])=$A228)*tblDados[Primeira_Ocorrencia]*(tblDados[GM_V]=0)))/G228,0))</f>
        <v>8.3333333333333329E-2</v>
      </c>
      <c r="K228" s="11" cm="1">
        <f t="array" ref="K228">IF($A228="","",IFERROR((SUMPRODUCT((TRIM(tblDados[Mandante])=$A228)*tblDados[Primeira_Ocorrencia]*((tblDados[GM_M]+tblDados[GS_M])&gt;0.5))+SUMPRODUCT((TRIM(tblDados[Visitante])=$A228)*tblDados[Primeira_Ocorrencia]*((tblDados[GM_V]+tblDados[GS_V])&gt;0.5)))/G228,0))</f>
        <v>1</v>
      </c>
      <c r="L228" s="11" cm="1">
        <f t="array" ref="L228">IF($A228="","",IFERROR((SUMPRODUCT((TRIM(tblDados[Mandante])=$A228)*tblDados[Primeira_Ocorrencia]*((tblDados[GM_M]+tblDados[GS_M])&gt;1.5))+SUMPRODUCT((TRIM(tblDados[Visitante])=$A228)*tblDados[Primeira_Ocorrencia]*((tblDados[GM_V]+tblDados[GS_V])&gt;1.5)))/G228,0))</f>
        <v>0.91666666666666663</v>
      </c>
      <c r="M228" s="11" cm="1">
        <f t="array" ref="M228">IF($A228="","",IFERROR((SUMPRODUCT((TRIM(tblDados[Mandante])=$A228)*tblDados[Primeira_Ocorrencia]*((tblDados[GM_M]+tblDados[GS_M])&gt;2.5))+SUMPRODUCT((TRIM(tblDados[Visitante])=$A228)*tblDados[Primeira_Ocorrencia]*((tblDados[GM_V]+tblDados[GS_V])&gt;2.5)))/G228,0))</f>
        <v>0.75</v>
      </c>
      <c r="N228" s="11" cm="1">
        <f t="array" ref="N228">IF($A228="","",IFERROR((SUMPRODUCT((TRIM(tblDados[Mandante])=$A228)*tblDados[Primeira_Ocorrencia]*((tblDados[GM_M]+tblDados[GS_M])&gt;3.5))+SUMPRODUCT((TRIM(tblDados[Visitante])=$A228)*tblDados[Primeira_Ocorrencia]*((tblDados[GM_V]+tblDados[GS_V])&gt;3.5)))/G228,0))</f>
        <v>0.5</v>
      </c>
      <c r="O228" s="11" cm="1">
        <f t="array" ref="O228">IF($A228="","",IFERROR((SUMPRODUCT((TRIM(tblDados[Mandante])=$A228)*tblDados[Primeira_Ocorrencia]*(tblDados[GM_M]&gt;0)*(tblDados[GS_M]&gt;0))+SUMPRODUCT((TRIM(tblDados[Visitante])=$A228)*tblDados[Primeira_Ocorrencia]*(tblDados[GM_V]&gt;0)*(tblDados[GS_V]&gt;0)))/G228,0))</f>
        <v>0.58333333333333337</v>
      </c>
      <c r="P228" s="10" cm="1">
        <f t="array" ref="P228">IF($A228="","",IFERROR((SUMPRODUCT((TRIM(tblDados[Mandante])=$A228)*tblDados[Primeira_Ocorrencia]*tblDados[GM_M]^2)+SUMPRODUCT((TRIM(tblDados[Visitante])=$A228)*tblDados[Primeira_Ocorrencia]*tblDados[GM_V]^2))/G228-H228^2,0))</f>
        <v>2.5763888888888893</v>
      </c>
      <c r="Q228" s="10">
        <f t="shared" si="48"/>
        <v>1.6051133570215186</v>
      </c>
      <c r="R228" s="8" t="str">
        <f t="shared" si="49"/>
        <v>Poisson</v>
      </c>
      <c r="S228" s="10" cm="1">
        <f t="array" ref="S228">IF($A228="","",SUMPRODUCT((TRIM(tblDados[Mandante])=$A228)*tblDados[Primeira_Ocorrencia]*tblDados[GM_M]))</f>
        <v>16</v>
      </c>
      <c r="T228" s="10" cm="1">
        <f t="array" ref="T228">IF($A228="","",SUMPRODUCT((TRIM(tblDados[Visitante])=$A228)*tblDados[Primeira_Ocorrencia]*tblDados[GM_V]))</f>
        <v>13</v>
      </c>
      <c r="U228" s="10">
        <f t="shared" si="50"/>
        <v>29</v>
      </c>
      <c r="V228" s="10">
        <f t="shared" si="39"/>
        <v>2.4166666666666665</v>
      </c>
      <c r="W228" s="10" cm="1">
        <f t="array" ref="W228">IF($A228="","",SUMPRODUCT((TRIM(tblDados[Mandante])=$A228)*tblDados[Primeira_Ocorrencia]*tblDados[GS_M]))</f>
        <v>4</v>
      </c>
      <c r="X228" s="10" cm="1">
        <f t="array" ref="X228">IF($A228="","",SUMPRODUCT((TRIM(tblDados[Visitante])=$A228)*tblDados[Primeira_Ocorrencia]*tblDados[GS_V]))</f>
        <v>10</v>
      </c>
      <c r="Y228" s="10">
        <f t="shared" si="51"/>
        <v>14</v>
      </c>
      <c r="Z228" s="10">
        <f t="shared" si="40"/>
        <v>1.1666666666666667</v>
      </c>
      <c r="AA228" s="10">
        <f t="shared" si="41"/>
        <v>2.6666666666666665</v>
      </c>
      <c r="AB228" s="10">
        <f t="shared" si="42"/>
        <v>0.66666666666666663</v>
      </c>
      <c r="AC228" s="10">
        <f t="shared" si="43"/>
        <v>2.1666666666666665</v>
      </c>
      <c r="AD228" s="10">
        <f t="shared" si="44"/>
        <v>1.6666666666666667</v>
      </c>
    </row>
    <row r="229" spans="1:30" x14ac:dyDescent="0.3">
      <c r="A229" s="7" t="str">
        <v>Floresta</v>
      </c>
      <c r="B229" s="12" t="str" cm="1">
        <f t="array" ref="B229">IF($A229="","",_xlfn.LET(_xlpm.p,IFERROR(INDEX(tblDados[País],MATCH($A229,TRIM(tblDados[Mandante]),0)),INDEX(tblDados[País],MATCH($A229,TRIM(tblDados[Visitante]),0))),_xlpm.l,IFERROR(INDEX(tblDados[Liga],MATCH($A229,TRIM(tblDados[Mandante]),0)),INDEX(tblDados[Liga],MATCH($A229,TRIM(tblDados[Visitante]),0))),_xlpm.p&amp;" - "&amp;_xlpm.l))</f>
        <v>BRA - Série C</v>
      </c>
      <c r="C229" s="10">
        <f t="shared" si="45"/>
        <v>3</v>
      </c>
      <c r="D229" s="10">
        <f t="shared" si="46"/>
        <v>1.8333333333333333</v>
      </c>
      <c r="E229" s="9" cm="1">
        <f t="array" ref="E229">IF($A229="","",SUMPRODUCT((TRIM(tblDados[Mandante])=$A229)*tblDados[Primeira_Ocorrencia]))</f>
        <v>6</v>
      </c>
      <c r="F229" s="9" cm="1">
        <f t="array" ref="F229">IF($A229="","",SUMPRODUCT((TRIM(tblDados[Visitante])=$A229)*tblDados[Primeira_Ocorrencia]))</f>
        <v>6</v>
      </c>
      <c r="G229" s="9" cm="1">
        <f t="array" ref="G229">IF($A229="","",SUMPRODUCT((TRIM(tblDados[Mandante])=$A229)*tblDados[Primeira_Ocorrencia])+SUMPRODUCT((TRIM(tblDados[Visitante])=$A229)*tblDados[Primeira_Ocorrencia]))</f>
        <v>12</v>
      </c>
      <c r="H229" s="10">
        <f t="shared" si="47"/>
        <v>1</v>
      </c>
      <c r="I229" s="10" cm="1">
        <f t="array" ref="I229">IF($A229="","",_xlfn.LET(_xlpm.p,IFERROR(INDEX(tblDados[País],MATCH($A229,TRIM(tblDados[Mandante]),0)),INDEX(tblDados[País],MATCH($A229,TRIM(tblDados[Visitante]),0))),_xlpm.l,IFERROR(INDEX(tblDados[Liga],MATCH($A229,TRIM(tblDados[Mandante]),0)),INDEX(tblDados[Liga],MATCH($A229,TRIM(tblDados[Visitante]),0))),IFERROR(SUMIFS(Ligas!$D$2:$D$39,Ligas!$H$2:$H$39,_xlpm.p,Ligas!$I$2:$I$39,_xlpm.l),0)))</f>
        <v>2.09</v>
      </c>
      <c r="J229" s="11" cm="1">
        <f t="array" ref="J229">IF($A229="","",IFERROR((SUMPRODUCT((TRIM(tblDados[Mandante])=$A229)*tblDados[Primeira_Ocorrencia]*(tblDados[GM_M]=0))+SUMPRODUCT((TRIM(tblDados[Visitante])=$A229)*tblDados[Primeira_Ocorrencia]*(tblDados[GM_V]=0)))/G229,0))</f>
        <v>0.33333333333333331</v>
      </c>
      <c r="K229" s="11" cm="1">
        <f t="array" ref="K229">IF($A229="","",IFERROR((SUMPRODUCT((TRIM(tblDados[Mandante])=$A229)*tblDados[Primeira_Ocorrencia]*((tblDados[GM_M]+tblDados[GS_M])&gt;0.5))+SUMPRODUCT((TRIM(tblDados[Visitante])=$A229)*tblDados[Primeira_Ocorrencia]*((tblDados[GM_V]+tblDados[GS_V])&gt;0.5)))/G229,0))</f>
        <v>0.75</v>
      </c>
      <c r="L229" s="11" cm="1">
        <f t="array" ref="L229">IF($A229="","",IFERROR((SUMPRODUCT((TRIM(tblDados[Mandante])=$A229)*tblDados[Primeira_Ocorrencia]*((tblDados[GM_M]+tblDados[GS_M])&gt;1.5))+SUMPRODUCT((TRIM(tblDados[Visitante])=$A229)*tblDados[Primeira_Ocorrencia]*((tblDados[GM_V]+tblDados[GS_V])&gt;1.5)))/G229,0))</f>
        <v>0.75</v>
      </c>
      <c r="M229" s="11" cm="1">
        <f t="array" ref="M229">IF($A229="","",IFERROR((SUMPRODUCT((TRIM(tblDados[Mandante])=$A229)*tblDados[Primeira_Ocorrencia]*((tblDados[GM_M]+tblDados[GS_M])&gt;2.5))+SUMPRODUCT((TRIM(tblDados[Visitante])=$A229)*tblDados[Primeira_Ocorrencia]*((tblDados[GM_V]+tblDados[GS_V])&gt;2.5)))/G229,0))</f>
        <v>0.58333333333333337</v>
      </c>
      <c r="N229" s="11" cm="1">
        <f t="array" ref="N229">IF($A229="","",IFERROR((SUMPRODUCT((TRIM(tblDados[Mandante])=$A229)*tblDados[Primeira_Ocorrencia]*((tblDados[GM_M]+tblDados[GS_M])&gt;3.5))+SUMPRODUCT((TRIM(tblDados[Visitante])=$A229)*tblDados[Primeira_Ocorrencia]*((tblDados[GM_V]+tblDados[GS_V])&gt;3.5)))/G229,0))</f>
        <v>0.16666666666666666</v>
      </c>
      <c r="O229" s="11" cm="1">
        <f t="array" ref="O229">IF($A229="","",IFERROR((SUMPRODUCT((TRIM(tblDados[Mandante])=$A229)*tblDados[Primeira_Ocorrencia]*(tblDados[GM_M]&gt;0)*(tblDados[GS_M]&gt;0))+SUMPRODUCT((TRIM(tblDados[Visitante])=$A229)*tblDados[Primeira_Ocorrencia]*(tblDados[GM_V]&gt;0)*(tblDados[GS_V]&gt;0)))/G229,0))</f>
        <v>0.66666666666666663</v>
      </c>
      <c r="P229" s="10" cm="1">
        <f t="array" ref="P229">IF($A229="","",IFERROR((SUMPRODUCT((TRIM(tblDados[Mandante])=$A229)*tblDados[Primeira_Ocorrencia]*tblDados[GM_M]^2)+SUMPRODUCT((TRIM(tblDados[Visitante])=$A229)*tblDados[Primeira_Ocorrencia]*tblDados[GM_V]^2))/G229-H229^2,0))</f>
        <v>0.83333333333333326</v>
      </c>
      <c r="Q229" s="10">
        <f t="shared" si="48"/>
        <v>0.91287092917527679</v>
      </c>
      <c r="R229" s="8" t="str">
        <f t="shared" si="49"/>
        <v>Poisson</v>
      </c>
      <c r="S229" s="10" cm="1">
        <f t="array" ref="S229">IF($A229="","",SUMPRODUCT((TRIM(tblDados[Mandante])=$A229)*tblDados[Primeira_Ocorrencia]*tblDados[GM_M]))</f>
        <v>9</v>
      </c>
      <c r="T229" s="10" cm="1">
        <f t="array" ref="T229">IF($A229="","",SUMPRODUCT((TRIM(tblDados[Visitante])=$A229)*tblDados[Primeira_Ocorrencia]*tblDados[GM_V]))</f>
        <v>3</v>
      </c>
      <c r="U229" s="10">
        <f t="shared" si="50"/>
        <v>12</v>
      </c>
      <c r="V229" s="10">
        <f t="shared" si="39"/>
        <v>1</v>
      </c>
      <c r="W229" s="10" cm="1">
        <f t="array" ref="W229">IF($A229="","",SUMPRODUCT((TRIM(tblDados[Mandante])=$A229)*tblDados[Primeira_Ocorrencia]*tblDados[GS_M]))</f>
        <v>9</v>
      </c>
      <c r="X229" s="10" cm="1">
        <f t="array" ref="X229">IF($A229="","",SUMPRODUCT((TRIM(tblDados[Visitante])=$A229)*tblDados[Primeira_Ocorrencia]*tblDados[GS_V]))</f>
        <v>8</v>
      </c>
      <c r="Y229" s="10">
        <f t="shared" si="51"/>
        <v>17</v>
      </c>
      <c r="Z229" s="10">
        <f t="shared" si="40"/>
        <v>1.4166666666666667</v>
      </c>
      <c r="AA229" s="10">
        <f t="shared" si="41"/>
        <v>1.5</v>
      </c>
      <c r="AB229" s="10">
        <f t="shared" si="42"/>
        <v>1.5</v>
      </c>
      <c r="AC229" s="10">
        <f t="shared" si="43"/>
        <v>0.5</v>
      </c>
      <c r="AD229" s="10">
        <f t="shared" si="44"/>
        <v>1.3333333333333333</v>
      </c>
    </row>
    <row r="230" spans="1:30" x14ac:dyDescent="0.3">
      <c r="A230" s="7" t="str">
        <v>Fluminense</v>
      </c>
      <c r="B230" s="12" t="str" cm="1">
        <f t="array" ref="B230">IF($A230="","",_xlfn.LET(_xlpm.p,IFERROR(INDEX(tblDados[País],MATCH($A230,TRIM(tblDados[Mandante]),0)),INDEX(tblDados[País],MATCH($A230,TRIM(tblDados[Visitante]),0))),_xlpm.l,IFERROR(INDEX(tblDados[Liga],MATCH($A230,TRIM(tblDados[Mandante]),0)),INDEX(tblDados[Liga],MATCH($A230,TRIM(tblDados[Visitante]),0))),_xlpm.p&amp;" - "&amp;_xlpm.l))</f>
        <v>BRA - Série A</v>
      </c>
      <c r="C230" s="10">
        <f t="shared" si="45"/>
        <v>2.5</v>
      </c>
      <c r="D230" s="10">
        <f t="shared" si="46"/>
        <v>2.333333333333333</v>
      </c>
      <c r="E230" s="9" cm="1">
        <f t="array" ref="E230">IF($A230="","",SUMPRODUCT((TRIM(tblDados[Mandante])=$A230)*tblDados[Primeira_Ocorrencia]))</f>
        <v>6</v>
      </c>
      <c r="F230" s="9" cm="1">
        <f t="array" ref="F230">IF($A230="","",SUMPRODUCT((TRIM(tblDados[Visitante])=$A230)*tblDados[Primeira_Ocorrencia]))</f>
        <v>6</v>
      </c>
      <c r="G230" s="9" cm="1">
        <f t="array" ref="G230">IF($A230="","",SUMPRODUCT((TRIM(tblDados[Mandante])=$A230)*tblDados[Primeira_Ocorrencia])+SUMPRODUCT((TRIM(tblDados[Visitante])=$A230)*tblDados[Primeira_Ocorrencia]))</f>
        <v>12</v>
      </c>
      <c r="H230" s="10">
        <f t="shared" si="47"/>
        <v>1.1666666666666667</v>
      </c>
      <c r="I230" s="10" cm="1">
        <f t="array" ref="I230">IF($A230="","",_xlfn.LET(_xlpm.p,IFERROR(INDEX(tblDados[País],MATCH($A230,TRIM(tblDados[Mandante]),0)),INDEX(tblDados[País],MATCH($A230,TRIM(tblDados[Visitante]),0))),_xlpm.l,IFERROR(INDEX(tblDados[Liga],MATCH($A230,TRIM(tblDados[Mandante]),0)),INDEX(tblDados[Liga],MATCH($A230,TRIM(tblDados[Visitante]),0))),IFERROR(SUMIFS(Ligas!$D$2:$D$39,Ligas!$H$2:$H$39,_xlpm.p,Ligas!$I$2:$I$39,_xlpm.l),0)))</f>
        <v>2.59</v>
      </c>
      <c r="J230" s="11" cm="1">
        <f t="array" ref="J230">IF($A230="","",IFERROR((SUMPRODUCT((TRIM(tblDados[Mandante])=$A230)*tblDados[Primeira_Ocorrencia]*(tblDados[GM_M]=0))+SUMPRODUCT((TRIM(tblDados[Visitante])=$A230)*tblDados[Primeira_Ocorrencia]*(tblDados[GM_V]=0)))/G230,0))</f>
        <v>0.25</v>
      </c>
      <c r="K230" s="11" cm="1">
        <f t="array" ref="K230">IF($A230="","",IFERROR((SUMPRODUCT((TRIM(tblDados[Mandante])=$A230)*tblDados[Primeira_Ocorrencia]*((tblDados[GM_M]+tblDados[GS_M])&gt;0.5))+SUMPRODUCT((TRIM(tblDados[Visitante])=$A230)*tblDados[Primeira_Ocorrencia]*((tblDados[GM_V]+tblDados[GS_V])&gt;0.5)))/G230,0))</f>
        <v>0.91666666666666663</v>
      </c>
      <c r="L230" s="11" cm="1">
        <f t="array" ref="L230">IF($A230="","",IFERROR((SUMPRODUCT((TRIM(tblDados[Mandante])=$A230)*tblDados[Primeira_Ocorrencia]*((tblDados[GM_M]+tblDados[GS_M])&gt;1.5))+SUMPRODUCT((TRIM(tblDados[Visitante])=$A230)*tblDados[Primeira_Ocorrencia]*((tblDados[GM_V]+tblDados[GS_V])&gt;1.5)))/G230,0))</f>
        <v>0.83333333333333337</v>
      </c>
      <c r="M230" s="11" cm="1">
        <f t="array" ref="M230">IF($A230="","",IFERROR((SUMPRODUCT((TRIM(tblDados[Mandante])=$A230)*tblDados[Primeira_Ocorrencia]*((tblDados[GM_M]+tblDados[GS_M])&gt;2.5))+SUMPRODUCT((TRIM(tblDados[Visitante])=$A230)*tblDados[Primeira_Ocorrencia]*((tblDados[GM_V]+tblDados[GS_V])&gt;2.5)))/G230,0))</f>
        <v>0.41666666666666669</v>
      </c>
      <c r="N230" s="11" cm="1">
        <f t="array" ref="N230">IF($A230="","",IFERROR((SUMPRODUCT((TRIM(tblDados[Mandante])=$A230)*tblDados[Primeira_Ocorrencia]*((tblDados[GM_M]+tblDados[GS_M])&gt;3.5))+SUMPRODUCT((TRIM(tblDados[Visitante])=$A230)*tblDados[Primeira_Ocorrencia]*((tblDados[GM_V]+tblDados[GS_V])&gt;3.5)))/G230,0))</f>
        <v>0.16666666666666666</v>
      </c>
      <c r="O230" s="11" cm="1">
        <f t="array" ref="O230">IF($A230="","",IFERROR((SUMPRODUCT((TRIM(tblDados[Mandante])=$A230)*tblDados[Primeira_Ocorrencia]*(tblDados[GM_M]&gt;0)*(tblDados[GS_M]&gt;0))+SUMPRODUCT((TRIM(tblDados[Visitante])=$A230)*tblDados[Primeira_Ocorrencia]*(tblDados[GM_V]&gt;0)*(tblDados[GS_V]&gt;0)))/G230,0))</f>
        <v>0.75</v>
      </c>
      <c r="P230" s="10" cm="1">
        <f t="array" ref="P230">IF($A230="","",IFERROR((SUMPRODUCT((TRIM(tblDados[Mandante])=$A230)*tblDados[Primeira_Ocorrencia]*tblDados[GM_M]^2)+SUMPRODUCT((TRIM(tblDados[Visitante])=$A230)*tblDados[Primeira_Ocorrencia]*tblDados[GM_V]^2))/G230-H230^2,0))</f>
        <v>0.80555555555555514</v>
      </c>
      <c r="Q230" s="10">
        <f t="shared" si="48"/>
        <v>0.89752746785575044</v>
      </c>
      <c r="R230" s="8" t="str">
        <f t="shared" si="49"/>
        <v>Poisson</v>
      </c>
      <c r="S230" s="10" cm="1">
        <f t="array" ref="S230">IF($A230="","",SUMPRODUCT((TRIM(tblDados[Mandante])=$A230)*tblDados[Primeira_Ocorrencia]*tblDados[GM_M]))</f>
        <v>8</v>
      </c>
      <c r="T230" s="10" cm="1">
        <f t="array" ref="T230">IF($A230="","",SUMPRODUCT((TRIM(tblDados[Visitante])=$A230)*tblDados[Primeira_Ocorrencia]*tblDados[GM_V]))</f>
        <v>6</v>
      </c>
      <c r="U230" s="10">
        <f t="shared" si="50"/>
        <v>14</v>
      </c>
      <c r="V230" s="10">
        <f t="shared" si="39"/>
        <v>1.1666666666666667</v>
      </c>
      <c r="W230" s="10" cm="1">
        <f t="array" ref="W230">IF($A230="","",SUMPRODUCT((TRIM(tblDados[Mandante])=$A230)*tblDados[Primeira_Ocorrencia]*tblDados[GS_M]))</f>
        <v>7</v>
      </c>
      <c r="X230" s="10" cm="1">
        <f t="array" ref="X230">IF($A230="","",SUMPRODUCT((TRIM(tblDados[Visitante])=$A230)*tblDados[Primeira_Ocorrencia]*tblDados[GS_V]))</f>
        <v>8</v>
      </c>
      <c r="Y230" s="10">
        <f t="shared" si="51"/>
        <v>15</v>
      </c>
      <c r="Z230" s="10">
        <f t="shared" si="40"/>
        <v>1.25</v>
      </c>
      <c r="AA230" s="10">
        <f t="shared" si="41"/>
        <v>1.3333333333333333</v>
      </c>
      <c r="AB230" s="10">
        <f t="shared" si="42"/>
        <v>1.1666666666666667</v>
      </c>
      <c r="AC230" s="10">
        <f t="shared" si="43"/>
        <v>1</v>
      </c>
      <c r="AD230" s="10">
        <f t="shared" si="44"/>
        <v>1.3333333333333333</v>
      </c>
    </row>
    <row r="231" spans="1:30" x14ac:dyDescent="0.3">
      <c r="A231" s="7" t="str">
        <v>Forge FC</v>
      </c>
      <c r="B231" s="12" t="str" cm="1">
        <f t="array" ref="B231">IF($A231="","",_xlfn.LET(_xlpm.p,IFERROR(INDEX(tblDados[País],MATCH($A231,TRIM(tblDados[Mandante]),0)),INDEX(tblDados[País],MATCH($A231,TRIM(tblDados[Visitante]),0))),_xlpm.l,IFERROR(INDEX(tblDados[Liga],MATCH($A231,TRIM(tblDados[Mandante]),0)),INDEX(tblDados[Liga],MATCH($A231,TRIM(tblDados[Visitante]),0))),_xlpm.p&amp;" - "&amp;_xlpm.l))</f>
        <v>CAN - Premier League</v>
      </c>
      <c r="C231" s="10">
        <f t="shared" si="45"/>
        <v>1.7999999999999998</v>
      </c>
      <c r="D231" s="10">
        <f t="shared" si="46"/>
        <v>2.8571428571428572</v>
      </c>
      <c r="E231" s="9" cm="1">
        <f t="array" ref="E231">IF($A231="","",SUMPRODUCT((TRIM(tblDados[Mandante])=$A231)*tblDados[Primeira_Ocorrencia]))</f>
        <v>5</v>
      </c>
      <c r="F231" s="9" cm="1">
        <f t="array" ref="F231">IF($A231="","",SUMPRODUCT((TRIM(tblDados[Visitante])=$A231)*tblDados[Primeira_Ocorrencia]))</f>
        <v>7</v>
      </c>
      <c r="G231" s="9" cm="1">
        <f t="array" ref="G231">IF($A231="","",SUMPRODUCT((TRIM(tblDados[Mandante])=$A231)*tblDados[Primeira_Ocorrencia])+SUMPRODUCT((TRIM(tblDados[Visitante])=$A231)*tblDados[Primeira_Ocorrencia]))</f>
        <v>12</v>
      </c>
      <c r="H231" s="10">
        <f t="shared" si="47"/>
        <v>1.6666666666666667</v>
      </c>
      <c r="I231" s="10" cm="1">
        <f t="array" ref="I231">IF($A231="","",_xlfn.LET(_xlpm.p,IFERROR(INDEX(tblDados[País],MATCH($A231,TRIM(tblDados[Mandante]),0)),INDEX(tblDados[País],MATCH($A231,TRIM(tblDados[Visitante]),0))),_xlpm.l,IFERROR(INDEX(tblDados[Liga],MATCH($A231,TRIM(tblDados[Mandante]),0)),INDEX(tblDados[Liga],MATCH($A231,TRIM(tblDados[Visitante]),0))),IFERROR(SUMIFS(Ligas!$D$2:$D$39,Ligas!$H$2:$H$39,_xlpm.p,Ligas!$I$2:$I$39,_xlpm.l),0)))</f>
        <v>2.5</v>
      </c>
      <c r="J231" s="11" cm="1">
        <f t="array" ref="J231">IF($A231="","",IFERROR((SUMPRODUCT((TRIM(tblDados[Mandante])=$A231)*tblDados[Primeira_Ocorrencia]*(tblDados[GM_M]=0))+SUMPRODUCT((TRIM(tblDados[Visitante])=$A231)*tblDados[Primeira_Ocorrencia]*(tblDados[GM_V]=0)))/G231,0))</f>
        <v>0.16666666666666666</v>
      </c>
      <c r="K231" s="11" cm="1">
        <f t="array" ref="K231">IF($A231="","",IFERROR((SUMPRODUCT((TRIM(tblDados[Mandante])=$A231)*tblDados[Primeira_Ocorrencia]*((tblDados[GM_M]+tblDados[GS_M])&gt;0.5))+SUMPRODUCT((TRIM(tblDados[Visitante])=$A231)*tblDados[Primeira_Ocorrencia]*((tblDados[GM_V]+tblDados[GS_V])&gt;0.5)))/G231,0))</f>
        <v>0.91666666666666663</v>
      </c>
      <c r="L231" s="11" cm="1">
        <f t="array" ref="L231">IF($A231="","",IFERROR((SUMPRODUCT((TRIM(tblDados[Mandante])=$A231)*tblDados[Primeira_Ocorrencia]*((tblDados[GM_M]+tblDados[GS_M])&gt;1.5))+SUMPRODUCT((TRIM(tblDados[Visitante])=$A231)*tblDados[Primeira_Ocorrencia]*((tblDados[GM_V]+tblDados[GS_V])&gt;1.5)))/G231,0))</f>
        <v>0.5</v>
      </c>
      <c r="M231" s="11" cm="1">
        <f t="array" ref="M231">IF($A231="","",IFERROR((SUMPRODUCT((TRIM(tblDados[Mandante])=$A231)*tblDados[Primeira_Ocorrencia]*((tblDados[GM_M]+tblDados[GS_M])&gt;2.5))+SUMPRODUCT((TRIM(tblDados[Visitante])=$A231)*tblDados[Primeira_Ocorrencia]*((tblDados[GM_V]+tblDados[GS_V])&gt;2.5)))/G231,0))</f>
        <v>0.5</v>
      </c>
      <c r="N231" s="11" cm="1">
        <f t="array" ref="N231">IF($A231="","",IFERROR((SUMPRODUCT((TRIM(tblDados[Mandante])=$A231)*tblDados[Primeira_Ocorrencia]*((tblDados[GM_M]+tblDados[GS_M])&gt;3.5))+SUMPRODUCT((TRIM(tblDados[Visitante])=$A231)*tblDados[Primeira_Ocorrencia]*((tblDados[GM_V]+tblDados[GS_V])&gt;3.5)))/G231,0))</f>
        <v>0.33333333333333331</v>
      </c>
      <c r="O231" s="11" cm="1">
        <f t="array" ref="O231">IF($A231="","",IFERROR((SUMPRODUCT((TRIM(tblDados[Mandante])=$A231)*tblDados[Primeira_Ocorrencia]*(tblDados[GM_M]&gt;0)*(tblDados[GS_M]&gt;0))+SUMPRODUCT((TRIM(tblDados[Visitante])=$A231)*tblDados[Primeira_Ocorrencia]*(tblDados[GM_V]&gt;0)*(tblDados[GS_V]&gt;0)))/G231,0))</f>
        <v>0.5</v>
      </c>
      <c r="P231" s="10" cm="1">
        <f t="array" ref="P231">IF($A231="","",IFERROR((SUMPRODUCT((TRIM(tblDados[Mandante])=$A231)*tblDados[Primeira_Ocorrencia]*tblDados[GM_M]^2)+SUMPRODUCT((TRIM(tblDados[Visitante])=$A231)*tblDados[Primeira_Ocorrencia]*tblDados[GM_V]^2))/G231-H231^2,0))</f>
        <v>1.5555555555555549</v>
      </c>
      <c r="Q231" s="10">
        <f t="shared" si="48"/>
        <v>1.2472191289246468</v>
      </c>
      <c r="R231" s="8" t="str">
        <f t="shared" si="49"/>
        <v>Poisson</v>
      </c>
      <c r="S231" s="10" cm="1">
        <f t="array" ref="S231">IF($A231="","",SUMPRODUCT((TRIM(tblDados[Mandante])=$A231)*tblDados[Primeira_Ocorrencia]*tblDados[GM_M]))</f>
        <v>6</v>
      </c>
      <c r="T231" s="10" cm="1">
        <f t="array" ref="T231">IF($A231="","",SUMPRODUCT((TRIM(tblDados[Visitante])=$A231)*tblDados[Primeira_Ocorrencia]*tblDados[GM_V]))</f>
        <v>14</v>
      </c>
      <c r="U231" s="10">
        <f t="shared" si="50"/>
        <v>20</v>
      </c>
      <c r="V231" s="10">
        <f t="shared" si="39"/>
        <v>1.6666666666666667</v>
      </c>
      <c r="W231" s="10" cm="1">
        <f t="array" ref="W231">IF($A231="","",SUMPRODUCT((TRIM(tblDados[Mandante])=$A231)*tblDados[Primeira_Ocorrencia]*tblDados[GS_M]))</f>
        <v>3</v>
      </c>
      <c r="X231" s="10" cm="1">
        <f t="array" ref="X231">IF($A231="","",SUMPRODUCT((TRIM(tblDados[Visitante])=$A231)*tblDados[Primeira_Ocorrencia]*tblDados[GS_V]))</f>
        <v>6</v>
      </c>
      <c r="Y231" s="10">
        <f t="shared" si="51"/>
        <v>9</v>
      </c>
      <c r="Z231" s="10">
        <f t="shared" si="40"/>
        <v>0.75</v>
      </c>
      <c r="AA231" s="10">
        <f t="shared" si="41"/>
        <v>1.2</v>
      </c>
      <c r="AB231" s="10">
        <f t="shared" si="42"/>
        <v>0.6</v>
      </c>
      <c r="AC231" s="10">
        <f t="shared" si="43"/>
        <v>2</v>
      </c>
      <c r="AD231" s="10">
        <f t="shared" si="44"/>
        <v>0.8571428571428571</v>
      </c>
    </row>
    <row r="232" spans="1:30" x14ac:dyDescent="0.3">
      <c r="A232" s="7" t="str">
        <v>Foshan Nanshi</v>
      </c>
      <c r="B232" s="12" t="str" cm="1">
        <f t="array" ref="B232">IF($A232="","",_xlfn.LET(_xlpm.p,IFERROR(INDEX(tblDados[País],MATCH($A232,TRIM(tblDados[Mandante]),0)),INDEX(tblDados[País],MATCH($A232,TRIM(tblDados[Visitante]),0))),_xlpm.l,IFERROR(INDEX(tblDados[Liga],MATCH($A232,TRIM(tblDados[Mandante]),0)),INDEX(tblDados[Liga],MATCH($A232,TRIM(tblDados[Visitante]),0))),_xlpm.p&amp;" - "&amp;_xlpm.l))</f>
        <v>CHN - League One</v>
      </c>
      <c r="C232" s="10">
        <f t="shared" si="45"/>
        <v>2.6666666666666665</v>
      </c>
      <c r="D232" s="10">
        <f t="shared" si="46"/>
        <v>3.6666666666666665</v>
      </c>
      <c r="E232" s="9" cm="1">
        <f t="array" ref="E232">IF($A232="","",SUMPRODUCT((TRIM(tblDados[Mandante])=$A232)*tblDados[Primeira_Ocorrencia]))</f>
        <v>6</v>
      </c>
      <c r="F232" s="9" cm="1">
        <f t="array" ref="F232">IF($A232="","",SUMPRODUCT((TRIM(tblDados[Visitante])=$A232)*tblDados[Primeira_Ocorrencia]))</f>
        <v>6</v>
      </c>
      <c r="G232" s="9" cm="1">
        <f t="array" ref="G232">IF($A232="","",SUMPRODUCT((TRIM(tblDados[Mandante])=$A232)*tblDados[Primeira_Ocorrencia])+SUMPRODUCT((TRIM(tblDados[Visitante])=$A232)*tblDados[Primeira_Ocorrencia]))</f>
        <v>12</v>
      </c>
      <c r="H232" s="10">
        <f t="shared" si="47"/>
        <v>1</v>
      </c>
      <c r="I232" s="10" cm="1">
        <f t="array" ref="I232">IF($A232="","",_xlfn.LET(_xlpm.p,IFERROR(INDEX(tblDados[País],MATCH($A232,TRIM(tblDados[Mandante]),0)),INDEX(tblDados[País],MATCH($A232,TRIM(tblDados[Visitante]),0))),_xlpm.l,IFERROR(INDEX(tblDados[Liga],MATCH($A232,TRIM(tblDados[Mandante]),0)),INDEX(tblDados[Liga],MATCH($A232,TRIM(tblDados[Visitante]),0))),IFERROR(SUMIFS(Ligas!$D$2:$D$39,Ligas!$H$2:$H$39,_xlpm.p,Ligas!$I$2:$I$39,_xlpm.l),0)))</f>
        <v>2.5</v>
      </c>
      <c r="J232" s="11" cm="1">
        <f t="array" ref="J232">IF($A232="","",IFERROR((SUMPRODUCT((TRIM(tblDados[Mandante])=$A232)*tblDados[Primeira_Ocorrencia]*(tblDados[GM_M]=0))+SUMPRODUCT((TRIM(tblDados[Visitante])=$A232)*tblDados[Primeira_Ocorrencia]*(tblDados[GM_V]=0)))/G232,0))</f>
        <v>0.33333333333333331</v>
      </c>
      <c r="K232" s="11" cm="1">
        <f t="array" ref="K232">IF($A232="","",IFERROR((SUMPRODUCT((TRIM(tblDados[Mandante])=$A232)*tblDados[Primeira_Ocorrencia]*((tblDados[GM_M]+tblDados[GS_M])&gt;0.5))+SUMPRODUCT((TRIM(tblDados[Visitante])=$A232)*tblDados[Primeira_Ocorrencia]*((tblDados[GM_V]+tblDados[GS_V])&gt;0.5)))/G232,0))</f>
        <v>1</v>
      </c>
      <c r="L232" s="11" cm="1">
        <f t="array" ref="L232">IF($A232="","",IFERROR((SUMPRODUCT((TRIM(tblDados[Mandante])=$A232)*tblDados[Primeira_Ocorrencia]*((tblDados[GM_M]+tblDados[GS_M])&gt;1.5))+SUMPRODUCT((TRIM(tblDados[Visitante])=$A232)*tblDados[Primeira_Ocorrencia]*((tblDados[GM_V]+tblDados[GS_V])&gt;1.5)))/G232,0))</f>
        <v>0.91666666666666663</v>
      </c>
      <c r="M232" s="11" cm="1">
        <f t="array" ref="M232">IF($A232="","",IFERROR((SUMPRODUCT((TRIM(tblDados[Mandante])=$A232)*tblDados[Primeira_Ocorrencia]*((tblDados[GM_M]+tblDados[GS_M])&gt;2.5))+SUMPRODUCT((TRIM(tblDados[Visitante])=$A232)*tblDados[Primeira_Ocorrencia]*((tblDados[GM_V]+tblDados[GS_V])&gt;2.5)))/G232,0))</f>
        <v>0.5</v>
      </c>
      <c r="N232" s="11" cm="1">
        <f t="array" ref="N232">IF($A232="","",IFERROR((SUMPRODUCT((TRIM(tblDados[Mandante])=$A232)*tblDados[Primeira_Ocorrencia]*((tblDados[GM_M]+tblDados[GS_M])&gt;3.5))+SUMPRODUCT((TRIM(tblDados[Visitante])=$A232)*tblDados[Primeira_Ocorrencia]*((tblDados[GM_V]+tblDados[GS_V])&gt;3.5)))/G232,0))</f>
        <v>0.41666666666666669</v>
      </c>
      <c r="O232" s="11" cm="1">
        <f t="array" ref="O232">IF($A232="","",IFERROR((SUMPRODUCT((TRIM(tblDados[Mandante])=$A232)*tblDados[Primeira_Ocorrencia]*(tblDados[GM_M]&gt;0)*(tblDados[GS_M]&gt;0))+SUMPRODUCT((TRIM(tblDados[Visitante])=$A232)*tblDados[Primeira_Ocorrencia]*(tblDados[GM_V]&gt;0)*(tblDados[GS_V]&gt;0)))/G232,0))</f>
        <v>0.66666666666666663</v>
      </c>
      <c r="P232" s="10" cm="1">
        <f t="array" ref="P232">IF($A232="","",IFERROR((SUMPRODUCT((TRIM(tblDados[Mandante])=$A232)*tblDados[Primeira_Ocorrencia]*tblDados[GM_M]^2)+SUMPRODUCT((TRIM(tblDados[Visitante])=$A232)*tblDados[Primeira_Ocorrencia]*tblDados[GM_V]^2))/G232-H232^2,0))</f>
        <v>0.83333333333333326</v>
      </c>
      <c r="Q232" s="10">
        <f t="shared" si="48"/>
        <v>0.91287092917527679</v>
      </c>
      <c r="R232" s="8" t="str">
        <f t="shared" si="49"/>
        <v>Poisson</v>
      </c>
      <c r="S232" s="10" cm="1">
        <f t="array" ref="S232">IF($A232="","",SUMPRODUCT((TRIM(tblDados[Mandante])=$A232)*tblDados[Primeira_Ocorrencia]*tblDados[GM_M]))</f>
        <v>3</v>
      </c>
      <c r="T232" s="10" cm="1">
        <f t="array" ref="T232">IF($A232="","",SUMPRODUCT((TRIM(tblDados[Visitante])=$A232)*tblDados[Primeira_Ocorrencia]*tblDados[GM_V]))</f>
        <v>9</v>
      </c>
      <c r="U232" s="10">
        <f t="shared" si="50"/>
        <v>12</v>
      </c>
      <c r="V232" s="10">
        <f t="shared" si="39"/>
        <v>1</v>
      </c>
      <c r="W232" s="10" cm="1">
        <f t="array" ref="W232">IF($A232="","",SUMPRODUCT((TRIM(tblDados[Mandante])=$A232)*tblDados[Primeira_Ocorrencia]*tblDados[GS_M]))</f>
        <v>13</v>
      </c>
      <c r="X232" s="10" cm="1">
        <f t="array" ref="X232">IF($A232="","",SUMPRODUCT((TRIM(tblDados[Visitante])=$A232)*tblDados[Primeira_Ocorrencia]*tblDados[GS_V]))</f>
        <v>13</v>
      </c>
      <c r="Y232" s="10">
        <f t="shared" si="51"/>
        <v>26</v>
      </c>
      <c r="Z232" s="10">
        <f t="shared" si="40"/>
        <v>2.1666666666666665</v>
      </c>
      <c r="AA232" s="10">
        <f t="shared" si="41"/>
        <v>0.5</v>
      </c>
      <c r="AB232" s="10">
        <f t="shared" si="42"/>
        <v>2.1666666666666665</v>
      </c>
      <c r="AC232" s="10">
        <f t="shared" si="43"/>
        <v>1.5</v>
      </c>
      <c r="AD232" s="10">
        <f t="shared" si="44"/>
        <v>2.1666666666666665</v>
      </c>
    </row>
    <row r="233" spans="1:30" x14ac:dyDescent="0.3">
      <c r="A233" s="7" t="str">
        <v>Fram Reykjavik (Fram Reykjavík)</v>
      </c>
      <c r="B233" s="12" t="str" cm="1">
        <f t="array" ref="B233">IF($A233="","",_xlfn.LET(_xlpm.p,IFERROR(INDEX(tblDados[País],MATCH($A233,TRIM(tblDados[Mandante]),0)),INDEX(tblDados[País],MATCH($A233,TRIM(tblDados[Visitante]),0))),_xlpm.l,IFERROR(INDEX(tblDados[Liga],MATCH($A233,TRIM(tblDados[Mandante]),0)),INDEX(tblDados[Liga],MATCH($A233,TRIM(tblDados[Visitante]),0))),_xlpm.p&amp;" - "&amp;_xlpm.l))</f>
        <v>ISL - Besta-deild karla (PL)</v>
      </c>
      <c r="C233" s="10">
        <f t="shared" si="45"/>
        <v>4.8000000000000007</v>
      </c>
      <c r="D233" s="10">
        <f t="shared" si="46"/>
        <v>3.4285714285714288</v>
      </c>
      <c r="E233" s="9" cm="1">
        <f t="array" ref="E233">IF($A233="","",SUMPRODUCT((TRIM(tblDados[Mandante])=$A233)*tblDados[Primeira_Ocorrencia]))</f>
        <v>5</v>
      </c>
      <c r="F233" s="9" cm="1">
        <f t="array" ref="F233">IF($A233="","",SUMPRODUCT((TRIM(tblDados[Visitante])=$A233)*tblDados[Primeira_Ocorrencia]))</f>
        <v>7</v>
      </c>
      <c r="G233" s="9" cm="1">
        <f t="array" ref="G233">IF($A233="","",SUMPRODUCT((TRIM(tblDados[Mandante])=$A233)*tblDados[Primeira_Ocorrencia])+SUMPRODUCT((TRIM(tblDados[Visitante])=$A233)*tblDados[Primeira_Ocorrencia]))</f>
        <v>12</v>
      </c>
      <c r="H233" s="10">
        <f t="shared" si="47"/>
        <v>2.3333333333333335</v>
      </c>
      <c r="I233" s="10" cm="1">
        <f t="array" ref="I233">IF($A233="","",_xlfn.LET(_xlpm.p,IFERROR(INDEX(tblDados[País],MATCH($A233,TRIM(tblDados[Mandante]),0)),INDEX(tblDados[País],MATCH($A233,TRIM(tblDados[Visitante]),0))),_xlpm.l,IFERROR(INDEX(tblDados[Liga],MATCH($A233,TRIM(tblDados[Mandante]),0)),INDEX(tblDados[Liga],MATCH($A233,TRIM(tblDados[Visitante]),0))),IFERROR(SUMIFS(Ligas!$D$2:$D$39,Ligas!$H$2:$H$39,_xlpm.p,Ligas!$I$2:$I$39,_xlpm.l),0)))</f>
        <v>2.5</v>
      </c>
      <c r="J233" s="11" cm="1">
        <f t="array" ref="J233">IF($A233="","",IFERROR((SUMPRODUCT((TRIM(tblDados[Mandante])=$A233)*tblDados[Primeira_Ocorrencia]*(tblDados[GM_M]=0))+SUMPRODUCT((TRIM(tblDados[Visitante])=$A233)*tblDados[Primeira_Ocorrencia]*(tblDados[GM_V]=0)))/G233,0))</f>
        <v>0.16666666666666666</v>
      </c>
      <c r="K233" s="11" cm="1">
        <f t="array" ref="K233">IF($A233="","",IFERROR((SUMPRODUCT((TRIM(tblDados[Mandante])=$A233)*tblDados[Primeira_Ocorrencia]*((tblDados[GM_M]+tblDados[GS_M])&gt;0.5))+SUMPRODUCT((TRIM(tblDados[Visitante])=$A233)*tblDados[Primeira_Ocorrencia]*((tblDados[GM_V]+tblDados[GS_V])&gt;0.5)))/G233,0))</f>
        <v>0.91666666666666663</v>
      </c>
      <c r="L233" s="11" cm="1">
        <f t="array" ref="L233">IF($A233="","",IFERROR((SUMPRODUCT((TRIM(tblDados[Mandante])=$A233)*tblDados[Primeira_Ocorrencia]*((tblDados[GM_M]+tblDados[GS_M])&gt;1.5))+SUMPRODUCT((TRIM(tblDados[Visitante])=$A233)*tblDados[Primeira_Ocorrencia]*((tblDados[GM_V]+tblDados[GS_V])&gt;1.5)))/G233,0))</f>
        <v>0.83333333333333337</v>
      </c>
      <c r="M233" s="11" cm="1">
        <f t="array" ref="M233">IF($A233="","",IFERROR((SUMPRODUCT((TRIM(tblDados[Mandante])=$A233)*tblDados[Primeira_Ocorrencia]*((tblDados[GM_M]+tblDados[GS_M])&gt;2.5))+SUMPRODUCT((TRIM(tblDados[Visitante])=$A233)*tblDados[Primeira_Ocorrencia]*((tblDados[GM_V]+tblDados[GS_V])&gt;2.5)))/G233,0))</f>
        <v>0.66666666666666663</v>
      </c>
      <c r="N233" s="11" cm="1">
        <f t="array" ref="N233">IF($A233="","",IFERROR((SUMPRODUCT((TRIM(tblDados[Mandante])=$A233)*tblDados[Primeira_Ocorrencia]*((tblDados[GM_M]+tblDados[GS_M])&gt;3.5))+SUMPRODUCT((TRIM(tblDados[Visitante])=$A233)*tblDados[Primeira_Ocorrencia]*((tblDados[GM_V]+tblDados[GS_V])&gt;3.5)))/G233,0))</f>
        <v>0.58333333333333337</v>
      </c>
      <c r="O233" s="11" cm="1">
        <f t="array" ref="O233">IF($A233="","",IFERROR((SUMPRODUCT((TRIM(tblDados[Mandante])=$A233)*tblDados[Primeira_Ocorrencia]*(tblDados[GM_M]&gt;0)*(tblDados[GS_M]&gt;0))+SUMPRODUCT((TRIM(tblDados[Visitante])=$A233)*tblDados[Primeira_Ocorrencia]*(tblDados[GM_V]&gt;0)*(tblDados[GS_V]&gt;0)))/G233,0))</f>
        <v>0.66666666666666663</v>
      </c>
      <c r="P233" s="10" cm="1">
        <f t="array" ref="P233">IF($A233="","",IFERROR((SUMPRODUCT((TRIM(tblDados[Mandante])=$A233)*tblDados[Primeira_Ocorrencia]*tblDados[GM_M]^2)+SUMPRODUCT((TRIM(tblDados[Visitante])=$A233)*tblDados[Primeira_Ocorrencia]*tblDados[GM_V]^2))/G233-H233^2,0))</f>
        <v>2.8888888888888884</v>
      </c>
      <c r="Q233" s="10">
        <f t="shared" si="48"/>
        <v>1.6996731711975948</v>
      </c>
      <c r="R233" s="8" t="str">
        <f t="shared" si="49"/>
        <v>Poisson</v>
      </c>
      <c r="S233" s="10" cm="1">
        <f t="array" ref="S233">IF($A233="","",SUMPRODUCT((TRIM(tblDados[Mandante])=$A233)*tblDados[Primeira_Ocorrencia]*tblDados[GM_M]))</f>
        <v>13</v>
      </c>
      <c r="T233" s="10" cm="1">
        <f t="array" ref="T233">IF($A233="","",SUMPRODUCT((TRIM(tblDados[Visitante])=$A233)*tblDados[Primeira_Ocorrencia]*tblDados[GM_V]))</f>
        <v>15</v>
      </c>
      <c r="U233" s="10">
        <f t="shared" si="50"/>
        <v>28</v>
      </c>
      <c r="V233" s="10">
        <f t="shared" si="39"/>
        <v>2.3333333333333335</v>
      </c>
      <c r="W233" s="10" cm="1">
        <f t="array" ref="W233">IF($A233="","",SUMPRODUCT((TRIM(tblDados[Mandante])=$A233)*tblDados[Primeira_Ocorrencia]*tblDados[GS_M]))</f>
        <v>11</v>
      </c>
      <c r="X233" s="10" cm="1">
        <f t="array" ref="X233">IF($A233="","",SUMPRODUCT((TRIM(tblDados[Visitante])=$A233)*tblDados[Primeira_Ocorrencia]*tblDados[GS_V]))</f>
        <v>9</v>
      </c>
      <c r="Y233" s="10">
        <f t="shared" si="51"/>
        <v>20</v>
      </c>
      <c r="Z233" s="10">
        <f t="shared" si="40"/>
        <v>1.6666666666666667</v>
      </c>
      <c r="AA233" s="10">
        <f t="shared" si="41"/>
        <v>2.6</v>
      </c>
      <c r="AB233" s="10">
        <f t="shared" si="42"/>
        <v>2.2000000000000002</v>
      </c>
      <c r="AC233" s="10">
        <f t="shared" si="43"/>
        <v>2.1428571428571428</v>
      </c>
      <c r="AD233" s="10">
        <f t="shared" si="44"/>
        <v>1.2857142857142858</v>
      </c>
    </row>
    <row r="234" spans="1:30" x14ac:dyDescent="0.3">
      <c r="A234" s="7" t="str">
        <v>Fredrikstad FK</v>
      </c>
      <c r="B234" s="12" t="str" cm="1">
        <f t="array" ref="B234">IF($A234="","",_xlfn.LET(_xlpm.p,IFERROR(INDEX(tblDados[País],MATCH($A234,TRIM(tblDados[Mandante]),0)),INDEX(tblDados[País],MATCH($A234,TRIM(tblDados[Visitante]),0))),_xlpm.l,IFERROR(INDEX(tblDados[Liga],MATCH($A234,TRIM(tblDados[Mandante]),0)),INDEX(tblDados[Liga],MATCH($A234,TRIM(tblDados[Visitante]),0))),_xlpm.p&amp;" - "&amp;_xlpm.l))</f>
        <v>NOR - Eliteserien</v>
      </c>
      <c r="C234" s="10">
        <f t="shared" si="45"/>
        <v>2.4</v>
      </c>
      <c r="D234" s="10">
        <f t="shared" si="46"/>
        <v>2.4285714285714288</v>
      </c>
      <c r="E234" s="9" cm="1">
        <f t="array" ref="E234">IF($A234="","",SUMPRODUCT((TRIM(tblDados[Mandante])=$A234)*tblDados[Primeira_Ocorrencia]))</f>
        <v>5</v>
      </c>
      <c r="F234" s="9" cm="1">
        <f t="array" ref="F234">IF($A234="","",SUMPRODUCT((TRIM(tblDados[Visitante])=$A234)*tblDados[Primeira_Ocorrencia]))</f>
        <v>7</v>
      </c>
      <c r="G234" s="9" cm="1">
        <f t="array" ref="G234">IF($A234="","",SUMPRODUCT((TRIM(tblDados[Mandante])=$A234)*tblDados[Primeira_Ocorrencia])+SUMPRODUCT((TRIM(tblDados[Visitante])=$A234)*tblDados[Primeira_Ocorrencia]))</f>
        <v>12</v>
      </c>
      <c r="H234" s="10">
        <f t="shared" si="47"/>
        <v>0.83333333333333337</v>
      </c>
      <c r="I234" s="10" cm="1">
        <f t="array" ref="I234">IF($A234="","",_xlfn.LET(_xlpm.p,IFERROR(INDEX(tblDados[País],MATCH($A234,TRIM(tblDados[Mandante]),0)),INDEX(tblDados[País],MATCH($A234,TRIM(tblDados[Visitante]),0))),_xlpm.l,IFERROR(INDEX(tblDados[Liga],MATCH($A234,TRIM(tblDados[Mandante]),0)),INDEX(tblDados[Liga],MATCH($A234,TRIM(tblDados[Visitante]),0))),IFERROR(SUMIFS(Ligas!$D$2:$D$39,Ligas!$H$2:$H$39,_xlpm.p,Ligas!$I$2:$I$39,_xlpm.l),0)))</f>
        <v>2.5</v>
      </c>
      <c r="J234" s="11" cm="1">
        <f t="array" ref="J234">IF($A234="","",IFERROR((SUMPRODUCT((TRIM(tblDados[Mandante])=$A234)*tblDados[Primeira_Ocorrencia]*(tblDados[GM_M]=0))+SUMPRODUCT((TRIM(tblDados[Visitante])=$A234)*tblDados[Primeira_Ocorrencia]*(tblDados[GM_V]=0)))/G234,0))</f>
        <v>0.33333333333333331</v>
      </c>
      <c r="K234" s="11" cm="1">
        <f t="array" ref="K234">IF($A234="","",IFERROR((SUMPRODUCT((TRIM(tblDados[Mandante])=$A234)*tblDados[Primeira_Ocorrencia]*((tblDados[GM_M]+tblDados[GS_M])&gt;0.5))+SUMPRODUCT((TRIM(tblDados[Visitante])=$A234)*tblDados[Primeira_Ocorrencia]*((tblDados[GM_V]+tblDados[GS_V])&gt;0.5)))/G234,0))</f>
        <v>1</v>
      </c>
      <c r="L234" s="11" cm="1">
        <f t="array" ref="L234">IF($A234="","",IFERROR((SUMPRODUCT((TRIM(tblDados[Mandante])=$A234)*tblDados[Primeira_Ocorrencia]*((tblDados[GM_M]+tblDados[GS_M])&gt;1.5))+SUMPRODUCT((TRIM(tblDados[Visitante])=$A234)*tblDados[Primeira_Ocorrencia]*((tblDados[GM_V]+tblDados[GS_V])&gt;1.5)))/G234,0))</f>
        <v>0.75</v>
      </c>
      <c r="M234" s="11" cm="1">
        <f t="array" ref="M234">IF($A234="","",IFERROR((SUMPRODUCT((TRIM(tblDados[Mandante])=$A234)*tblDados[Primeira_Ocorrencia]*((tblDados[GM_M]+tblDados[GS_M])&gt;2.5))+SUMPRODUCT((TRIM(tblDados[Visitante])=$A234)*tblDados[Primeira_Ocorrencia]*((tblDados[GM_V]+tblDados[GS_V])&gt;2.5)))/G234,0))</f>
        <v>0.5</v>
      </c>
      <c r="N234" s="11" cm="1">
        <f t="array" ref="N234">IF($A234="","",IFERROR((SUMPRODUCT((TRIM(tblDados[Mandante])=$A234)*tblDados[Primeira_Ocorrencia]*((tblDados[GM_M]+tblDados[GS_M])&gt;3.5))+SUMPRODUCT((TRIM(tblDados[Visitante])=$A234)*tblDados[Primeira_Ocorrencia]*((tblDados[GM_V]+tblDados[GS_V])&gt;3.5)))/G234,0))</f>
        <v>0.16666666666666666</v>
      </c>
      <c r="O234" s="11" cm="1">
        <f t="array" ref="O234">IF($A234="","",IFERROR((SUMPRODUCT((TRIM(tblDados[Mandante])=$A234)*tblDados[Primeira_Ocorrencia]*(tblDados[GM_M]&gt;0)*(tblDados[GS_M]&gt;0))+SUMPRODUCT((TRIM(tblDados[Visitante])=$A234)*tblDados[Primeira_Ocorrencia]*(tblDados[GM_V]&gt;0)*(tblDados[GS_V]&gt;0)))/G234,0))</f>
        <v>0.5</v>
      </c>
      <c r="P234" s="10" cm="1">
        <f t="array" ref="P234">IF($A234="","",IFERROR((SUMPRODUCT((TRIM(tblDados[Mandante])=$A234)*tblDados[Primeira_Ocorrencia]*tblDados[GM_M]^2)+SUMPRODUCT((TRIM(tblDados[Visitante])=$A234)*tblDados[Primeira_Ocorrencia]*tblDados[GM_V]^2))/G234-H234^2,0))</f>
        <v>0.47222222222222221</v>
      </c>
      <c r="Q234" s="10">
        <f t="shared" si="48"/>
        <v>0.68718427093627676</v>
      </c>
      <c r="R234" s="8" t="str">
        <f t="shared" si="49"/>
        <v>Poisson</v>
      </c>
      <c r="S234" s="10" cm="1">
        <f t="array" ref="S234">IF($A234="","",SUMPRODUCT((TRIM(tblDados[Mandante])=$A234)*tblDados[Primeira_Ocorrencia]*tblDados[GM_M]))</f>
        <v>6</v>
      </c>
      <c r="T234" s="10" cm="1">
        <f t="array" ref="T234">IF($A234="","",SUMPRODUCT((TRIM(tblDados[Visitante])=$A234)*tblDados[Primeira_Ocorrencia]*tblDados[GM_V]))</f>
        <v>4</v>
      </c>
      <c r="U234" s="10">
        <f t="shared" si="50"/>
        <v>10</v>
      </c>
      <c r="V234" s="10">
        <f t="shared" si="39"/>
        <v>0.83333333333333337</v>
      </c>
      <c r="W234" s="10" cm="1">
        <f t="array" ref="W234">IF($A234="","",SUMPRODUCT((TRIM(tblDados[Mandante])=$A234)*tblDados[Primeira_Ocorrencia]*tblDados[GS_M]))</f>
        <v>6</v>
      </c>
      <c r="X234" s="10" cm="1">
        <f t="array" ref="X234">IF($A234="","",SUMPRODUCT((TRIM(tblDados[Visitante])=$A234)*tblDados[Primeira_Ocorrencia]*tblDados[GS_V]))</f>
        <v>13</v>
      </c>
      <c r="Y234" s="10">
        <f t="shared" si="51"/>
        <v>19</v>
      </c>
      <c r="Z234" s="10">
        <f t="shared" si="40"/>
        <v>1.5833333333333333</v>
      </c>
      <c r="AA234" s="10">
        <f t="shared" si="41"/>
        <v>1.2</v>
      </c>
      <c r="AB234" s="10">
        <f t="shared" si="42"/>
        <v>1.2</v>
      </c>
      <c r="AC234" s="10">
        <f t="shared" si="43"/>
        <v>0.5714285714285714</v>
      </c>
      <c r="AD234" s="10">
        <f t="shared" si="44"/>
        <v>1.8571428571428572</v>
      </c>
    </row>
    <row r="235" spans="1:30" x14ac:dyDescent="0.3">
      <c r="A235" s="7" t="str">
        <v>Galtabäcks BK</v>
      </c>
      <c r="B235" s="12" t="str" cm="1">
        <f t="array" ref="B235">IF($A235="","",_xlfn.LET(_xlpm.p,IFERROR(INDEX(tblDados[País],MATCH($A235,TRIM(tblDados[Mandante]),0)),INDEX(tblDados[País],MATCH($A235,TRIM(tblDados[Visitante]),0))),_xlpm.l,IFERROR(INDEX(tblDados[Liga],MATCH($A235,TRIM(tblDados[Mandante]),0)),INDEX(tblDados[Liga],MATCH($A235,TRIM(tblDados[Visitante]),0))),_xlpm.p&amp;" - "&amp;_xlpm.l))</f>
        <v>SWE - 2ª D Västra Götaland</v>
      </c>
      <c r="C235" s="10">
        <f t="shared" si="45"/>
        <v>2.333333333333333</v>
      </c>
      <c r="D235" s="10">
        <f t="shared" si="46"/>
        <v>3.3333333333333335</v>
      </c>
      <c r="E235" s="9" cm="1">
        <f t="array" ref="E235">IF($A235="","",SUMPRODUCT((TRIM(tblDados[Mandante])=$A235)*tblDados[Primeira_Ocorrencia]))</f>
        <v>6</v>
      </c>
      <c r="F235" s="9" cm="1">
        <f t="array" ref="F235">IF($A235="","",SUMPRODUCT((TRIM(tblDados[Visitante])=$A235)*tblDados[Primeira_Ocorrencia]))</f>
        <v>6</v>
      </c>
      <c r="G235" s="9" cm="1">
        <f t="array" ref="G235">IF($A235="","",SUMPRODUCT((TRIM(tblDados[Mandante])=$A235)*tblDados[Primeira_Ocorrencia])+SUMPRODUCT((TRIM(tblDados[Visitante])=$A235)*tblDados[Primeira_Ocorrencia]))</f>
        <v>12</v>
      </c>
      <c r="H235" s="10">
        <f t="shared" si="47"/>
        <v>1</v>
      </c>
      <c r="I235" s="10" cm="1">
        <f t="array" ref="I235">IF($A235="","",_xlfn.LET(_xlpm.p,IFERROR(INDEX(tblDados[País],MATCH($A235,TRIM(tblDados[Mandante]),0)),INDEX(tblDados[País],MATCH($A235,TRIM(tblDados[Visitante]),0))),_xlpm.l,IFERROR(INDEX(tblDados[Liga],MATCH($A235,TRIM(tblDados[Mandante]),0)),INDEX(tblDados[Liga],MATCH($A235,TRIM(tblDados[Visitante]),0))),IFERROR(SUMIFS(Ligas!$D$2:$D$39,Ligas!$H$2:$H$39,_xlpm.p,Ligas!$I$2:$I$39,_xlpm.l),0)))</f>
        <v>2.5</v>
      </c>
      <c r="J235" s="11" cm="1">
        <f t="array" ref="J235">IF($A235="","",IFERROR((SUMPRODUCT((TRIM(tblDados[Mandante])=$A235)*tblDados[Primeira_Ocorrencia]*(tblDados[GM_M]=0))+SUMPRODUCT((TRIM(tblDados[Visitante])=$A235)*tblDados[Primeira_Ocorrencia]*(tblDados[GM_V]=0)))/G235,0))</f>
        <v>0.25</v>
      </c>
      <c r="K235" s="11" cm="1">
        <f t="array" ref="K235">IF($A235="","",IFERROR((SUMPRODUCT((TRIM(tblDados[Mandante])=$A235)*tblDados[Primeira_Ocorrencia]*((tblDados[GM_M]+tblDados[GS_M])&gt;0.5))+SUMPRODUCT((TRIM(tblDados[Visitante])=$A235)*tblDados[Primeira_Ocorrencia]*((tblDados[GM_V]+tblDados[GS_V])&gt;0.5)))/G235,0))</f>
        <v>0.91666666666666663</v>
      </c>
      <c r="L235" s="11" cm="1">
        <f t="array" ref="L235">IF($A235="","",IFERROR((SUMPRODUCT((TRIM(tblDados[Mandante])=$A235)*tblDados[Primeira_Ocorrencia]*((tblDados[GM_M]+tblDados[GS_M])&gt;1.5))+SUMPRODUCT((TRIM(tblDados[Visitante])=$A235)*tblDados[Primeira_Ocorrencia]*((tblDados[GM_V]+tblDados[GS_V])&gt;1.5)))/G235,0))</f>
        <v>0.83333333333333337</v>
      </c>
      <c r="M235" s="11" cm="1">
        <f t="array" ref="M235">IF($A235="","",IFERROR((SUMPRODUCT((TRIM(tblDados[Mandante])=$A235)*tblDados[Primeira_Ocorrencia]*((tblDados[GM_M]+tblDados[GS_M])&gt;2.5))+SUMPRODUCT((TRIM(tblDados[Visitante])=$A235)*tblDados[Primeira_Ocorrencia]*((tblDados[GM_V]+tblDados[GS_V])&gt;2.5)))/G235,0))</f>
        <v>0.58333333333333337</v>
      </c>
      <c r="N235" s="11" cm="1">
        <f t="array" ref="N235">IF($A235="","",IFERROR((SUMPRODUCT((TRIM(tblDados[Mandante])=$A235)*tblDados[Primeira_Ocorrencia]*((tblDados[GM_M]+tblDados[GS_M])&gt;3.5))+SUMPRODUCT((TRIM(tblDados[Visitante])=$A235)*tblDados[Primeira_Ocorrencia]*((tblDados[GM_V]+tblDados[GS_V])&gt;3.5)))/G235,0))</f>
        <v>0.25</v>
      </c>
      <c r="O235" s="11" cm="1">
        <f t="array" ref="O235">IF($A235="","",IFERROR((SUMPRODUCT((TRIM(tblDados[Mandante])=$A235)*tblDados[Primeira_Ocorrencia]*(tblDados[GM_M]&gt;0)*(tblDados[GS_M]&gt;0))+SUMPRODUCT((TRIM(tblDados[Visitante])=$A235)*tblDados[Primeira_Ocorrencia]*(tblDados[GM_V]&gt;0)*(tblDados[GS_V]&gt;0)))/G235,0))</f>
        <v>0.75</v>
      </c>
      <c r="P235" s="10" cm="1">
        <f t="array" ref="P235">IF($A235="","",IFERROR((SUMPRODUCT((TRIM(tblDados[Mandante])=$A235)*tblDados[Primeira_Ocorrencia]*tblDados[GM_M]^2)+SUMPRODUCT((TRIM(tblDados[Visitante])=$A235)*tblDados[Primeira_Ocorrencia]*tblDados[GM_V]^2))/G235-H235^2,0))</f>
        <v>0.5</v>
      </c>
      <c r="Q235" s="10">
        <f t="shared" si="48"/>
        <v>0.70710678118654757</v>
      </c>
      <c r="R235" s="8" t="str">
        <f t="shared" si="49"/>
        <v>Poisson</v>
      </c>
      <c r="S235" s="10" cm="1">
        <f t="array" ref="S235">IF($A235="","",SUMPRODUCT((TRIM(tblDados[Mandante])=$A235)*tblDados[Primeira_Ocorrencia]*tblDados[GM_M]))</f>
        <v>6</v>
      </c>
      <c r="T235" s="10" cm="1">
        <f t="array" ref="T235">IF($A235="","",SUMPRODUCT((TRIM(tblDados[Visitante])=$A235)*tblDados[Primeira_Ocorrencia]*tblDados[GM_V]))</f>
        <v>6</v>
      </c>
      <c r="U235" s="10">
        <f t="shared" si="50"/>
        <v>12</v>
      </c>
      <c r="V235" s="10">
        <f t="shared" si="39"/>
        <v>1</v>
      </c>
      <c r="W235" s="10" cm="1">
        <f t="array" ref="W235">IF($A235="","",SUMPRODUCT((TRIM(tblDados[Mandante])=$A235)*tblDados[Primeira_Ocorrencia]*tblDados[GS_M]))</f>
        <v>8</v>
      </c>
      <c r="X235" s="10" cm="1">
        <f t="array" ref="X235">IF($A235="","",SUMPRODUCT((TRIM(tblDados[Visitante])=$A235)*tblDados[Primeira_Ocorrencia]*tblDados[GS_V]))</f>
        <v>14</v>
      </c>
      <c r="Y235" s="10">
        <f t="shared" si="51"/>
        <v>22</v>
      </c>
      <c r="Z235" s="10">
        <f t="shared" si="40"/>
        <v>1.8333333333333333</v>
      </c>
      <c r="AA235" s="10">
        <f t="shared" si="41"/>
        <v>1</v>
      </c>
      <c r="AB235" s="10">
        <f t="shared" si="42"/>
        <v>1.3333333333333333</v>
      </c>
      <c r="AC235" s="10">
        <f t="shared" si="43"/>
        <v>1</v>
      </c>
      <c r="AD235" s="10">
        <f t="shared" si="44"/>
        <v>2.3333333333333335</v>
      </c>
    </row>
    <row r="236" spans="1:30" x14ac:dyDescent="0.3">
      <c r="A236" s="7" t="str">
        <v>Gefle IF</v>
      </c>
      <c r="B236" s="12" t="str" cm="1">
        <f t="array" ref="B236">IF($A236="","",_xlfn.LET(_xlpm.p,IFERROR(INDEX(tblDados[País],MATCH($A236,TRIM(tblDados[Mandante]),0)),INDEX(tblDados[País],MATCH($A236,TRIM(tblDados[Visitante]),0))),_xlpm.l,IFERROR(INDEX(tblDados[Liga],MATCH($A236,TRIM(tblDados[Mandante]),0)),INDEX(tblDados[Liga],MATCH($A236,TRIM(tblDados[Visitante]),0))),_xlpm.p&amp;" - "&amp;_xlpm.l))</f>
        <v>SWE - 1ª D Norra</v>
      </c>
      <c r="C236" s="10">
        <f t="shared" si="45"/>
        <v>2.4000000000000004</v>
      </c>
      <c r="D236" s="10">
        <f t="shared" si="46"/>
        <v>3.2857142857142856</v>
      </c>
      <c r="E236" s="9" cm="1">
        <f t="array" ref="E236">IF($A236="","",SUMPRODUCT((TRIM(tblDados[Mandante])=$A236)*tblDados[Primeira_Ocorrencia]))</f>
        <v>5</v>
      </c>
      <c r="F236" s="9" cm="1">
        <f t="array" ref="F236">IF($A236="","",SUMPRODUCT((TRIM(tblDados[Visitante])=$A236)*tblDados[Primeira_Ocorrencia]))</f>
        <v>7</v>
      </c>
      <c r="G236" s="9" cm="1">
        <f t="array" ref="G236">IF($A236="","",SUMPRODUCT((TRIM(tblDados[Mandante])=$A236)*tblDados[Primeira_Ocorrencia])+SUMPRODUCT((TRIM(tblDados[Visitante])=$A236)*tblDados[Primeira_Ocorrencia]))</f>
        <v>12</v>
      </c>
      <c r="H236" s="10">
        <f t="shared" si="47"/>
        <v>0.91666666666666663</v>
      </c>
      <c r="I236" s="10" cm="1">
        <f t="array" ref="I236">IF($A236="","",_xlfn.LET(_xlpm.p,IFERROR(INDEX(tblDados[País],MATCH($A236,TRIM(tblDados[Mandante]),0)),INDEX(tblDados[País],MATCH($A236,TRIM(tblDados[Visitante]),0))),_xlpm.l,IFERROR(INDEX(tblDados[Liga],MATCH($A236,TRIM(tblDados[Mandante]),0)),INDEX(tblDados[Liga],MATCH($A236,TRIM(tblDados[Visitante]),0))),IFERROR(SUMIFS(Ligas!$D$2:$D$39,Ligas!$H$2:$H$39,_xlpm.p,Ligas!$I$2:$I$39,_xlpm.l),0)))</f>
        <v>2.5</v>
      </c>
      <c r="J236" s="11" cm="1">
        <f t="array" ref="J236">IF($A236="","",IFERROR((SUMPRODUCT((TRIM(tblDados[Mandante])=$A236)*tblDados[Primeira_Ocorrencia]*(tblDados[GM_M]=0))+SUMPRODUCT((TRIM(tblDados[Visitante])=$A236)*tblDados[Primeira_Ocorrencia]*(tblDados[GM_V]=0)))/G236,0))</f>
        <v>0.58333333333333337</v>
      </c>
      <c r="K236" s="11" cm="1">
        <f t="array" ref="K236">IF($A236="","",IFERROR((SUMPRODUCT((TRIM(tblDados[Mandante])=$A236)*tblDados[Primeira_Ocorrencia]*((tblDados[GM_M]+tblDados[GS_M])&gt;0.5))+SUMPRODUCT((TRIM(tblDados[Visitante])=$A236)*tblDados[Primeira_Ocorrencia]*((tblDados[GM_V]+tblDados[GS_V])&gt;0.5)))/G236,0))</f>
        <v>0.91666666666666663</v>
      </c>
      <c r="L236" s="11" cm="1">
        <f t="array" ref="L236">IF($A236="","",IFERROR((SUMPRODUCT((TRIM(tblDados[Mandante])=$A236)*tblDados[Primeira_Ocorrencia]*((tblDados[GM_M]+tblDados[GS_M])&gt;1.5))+SUMPRODUCT((TRIM(tblDados[Visitante])=$A236)*tblDados[Primeira_Ocorrencia]*((tblDados[GM_V]+tblDados[GS_V])&gt;1.5)))/G236,0))</f>
        <v>0.83333333333333337</v>
      </c>
      <c r="M236" s="11" cm="1">
        <f t="array" ref="M236">IF($A236="","",IFERROR((SUMPRODUCT((TRIM(tblDados[Mandante])=$A236)*tblDados[Primeira_Ocorrencia]*((tblDados[GM_M]+tblDados[GS_M])&gt;2.5))+SUMPRODUCT((TRIM(tblDados[Visitante])=$A236)*tblDados[Primeira_Ocorrencia]*((tblDados[GM_V]+tblDados[GS_V])&gt;2.5)))/G236,0))</f>
        <v>0.58333333333333337</v>
      </c>
      <c r="N236" s="11" cm="1">
        <f t="array" ref="N236">IF($A236="","",IFERROR((SUMPRODUCT((TRIM(tblDados[Mandante])=$A236)*tblDados[Primeira_Ocorrencia]*((tblDados[GM_M]+tblDados[GS_M])&gt;3.5))+SUMPRODUCT((TRIM(tblDados[Visitante])=$A236)*tblDados[Primeira_Ocorrencia]*((tblDados[GM_V]+tblDados[GS_V])&gt;3.5)))/G236,0))</f>
        <v>0.41666666666666669</v>
      </c>
      <c r="O236" s="11" cm="1">
        <f t="array" ref="O236">IF($A236="","",IFERROR((SUMPRODUCT((TRIM(tblDados[Mandante])=$A236)*tblDados[Primeira_Ocorrencia]*(tblDados[GM_M]&gt;0)*(tblDados[GS_M]&gt;0))+SUMPRODUCT((TRIM(tblDados[Visitante])=$A236)*tblDados[Primeira_Ocorrencia]*(tblDados[GM_V]&gt;0)*(tblDados[GS_V]&gt;0)))/G236,0))</f>
        <v>0.33333333333333331</v>
      </c>
      <c r="P236" s="10" cm="1">
        <f t="array" ref="P236">IF($A236="","",IFERROR((SUMPRODUCT((TRIM(tblDados[Mandante])=$A236)*tblDados[Primeira_Ocorrencia]*tblDados[GM_M]^2)+SUMPRODUCT((TRIM(tblDados[Visitante])=$A236)*tblDados[Primeira_Ocorrencia]*tblDados[GM_V]^2))/G236-H236^2,0))</f>
        <v>1.2430555555555558</v>
      </c>
      <c r="Q236" s="10">
        <f t="shared" si="48"/>
        <v>1.1149240133549712</v>
      </c>
      <c r="R236" s="8" t="str">
        <f t="shared" si="49"/>
        <v>Poisson</v>
      </c>
      <c r="S236" s="10" cm="1">
        <f t="array" ref="S236">IF($A236="","",SUMPRODUCT((TRIM(tblDados[Mandante])=$A236)*tblDados[Primeira_Ocorrencia]*tblDados[GM_M]))</f>
        <v>4</v>
      </c>
      <c r="T236" s="10" cm="1">
        <f t="array" ref="T236">IF($A236="","",SUMPRODUCT((TRIM(tblDados[Visitante])=$A236)*tblDados[Primeira_Ocorrencia]*tblDados[GM_V]))</f>
        <v>7</v>
      </c>
      <c r="U236" s="10">
        <f t="shared" si="50"/>
        <v>11</v>
      </c>
      <c r="V236" s="10">
        <f t="shared" si="39"/>
        <v>0.91666666666666663</v>
      </c>
      <c r="W236" s="10" cm="1">
        <f t="array" ref="W236">IF($A236="","",SUMPRODUCT((TRIM(tblDados[Mandante])=$A236)*tblDados[Primeira_Ocorrencia]*tblDados[GS_M]))</f>
        <v>8</v>
      </c>
      <c r="X236" s="10" cm="1">
        <f t="array" ref="X236">IF($A236="","",SUMPRODUCT((TRIM(tblDados[Visitante])=$A236)*tblDados[Primeira_Ocorrencia]*tblDados[GS_V]))</f>
        <v>16</v>
      </c>
      <c r="Y236" s="10">
        <f t="shared" si="51"/>
        <v>24</v>
      </c>
      <c r="Z236" s="10">
        <f t="shared" si="40"/>
        <v>2</v>
      </c>
      <c r="AA236" s="10">
        <f t="shared" si="41"/>
        <v>0.8</v>
      </c>
      <c r="AB236" s="10">
        <f t="shared" si="42"/>
        <v>1.6</v>
      </c>
      <c r="AC236" s="10">
        <f t="shared" si="43"/>
        <v>1</v>
      </c>
      <c r="AD236" s="10">
        <f t="shared" si="44"/>
        <v>2.2857142857142856</v>
      </c>
    </row>
    <row r="237" spans="1:30" x14ac:dyDescent="0.3">
      <c r="A237" s="7" t="str">
        <v>GIF Sundsvall</v>
      </c>
      <c r="B237" s="12" t="str" cm="1">
        <f t="array" ref="B237">IF($A237="","",_xlfn.LET(_xlpm.p,IFERROR(INDEX(tblDados[País],MATCH($A237,TRIM(tblDados[Mandante]),0)),INDEX(tblDados[País],MATCH($A237,TRIM(tblDados[Visitante]),0))),_xlpm.l,IFERROR(INDEX(tblDados[Liga],MATCH($A237,TRIM(tblDados[Mandante]),0)),INDEX(tblDados[Liga],MATCH($A237,TRIM(tblDados[Visitante]),0))),_xlpm.p&amp;" - "&amp;_xlpm.l))</f>
        <v>SWE - Superettan</v>
      </c>
      <c r="C237" s="10">
        <f t="shared" si="45"/>
        <v>3</v>
      </c>
      <c r="D237" s="10">
        <f t="shared" si="46"/>
        <v>2.8571428571428568</v>
      </c>
      <c r="E237" s="9" cm="1">
        <f t="array" ref="E237">IF($A237="","",SUMPRODUCT((TRIM(tblDados[Mandante])=$A237)*tblDados[Primeira_Ocorrencia]))</f>
        <v>5</v>
      </c>
      <c r="F237" s="9" cm="1">
        <f t="array" ref="F237">IF($A237="","",SUMPRODUCT((TRIM(tblDados[Visitante])=$A237)*tblDados[Primeira_Ocorrencia]))</f>
        <v>7</v>
      </c>
      <c r="G237" s="9" cm="1">
        <f t="array" ref="G237">IF($A237="","",SUMPRODUCT((TRIM(tblDados[Mandante])=$A237)*tblDados[Primeira_Ocorrencia])+SUMPRODUCT((TRIM(tblDados[Visitante])=$A237)*tblDados[Primeira_Ocorrencia]))</f>
        <v>12</v>
      </c>
      <c r="H237" s="10">
        <f t="shared" si="47"/>
        <v>0.58333333333333337</v>
      </c>
      <c r="I237" s="10" cm="1">
        <f t="array" ref="I237">IF($A237="","",_xlfn.LET(_xlpm.p,IFERROR(INDEX(tblDados[País],MATCH($A237,TRIM(tblDados[Mandante]),0)),INDEX(tblDados[País],MATCH($A237,TRIM(tblDados[Visitante]),0))),_xlpm.l,IFERROR(INDEX(tblDados[Liga],MATCH($A237,TRIM(tblDados[Mandante]),0)),INDEX(tblDados[Liga],MATCH($A237,TRIM(tblDados[Visitante]),0))),IFERROR(SUMIFS(Ligas!$D$2:$D$39,Ligas!$H$2:$H$39,_xlpm.p,Ligas!$I$2:$I$39,_xlpm.l),0)))</f>
        <v>2.5</v>
      </c>
      <c r="J237" s="11" cm="1">
        <f t="array" ref="J237">IF($A237="","",IFERROR((SUMPRODUCT((TRIM(tblDados[Mandante])=$A237)*tblDados[Primeira_Ocorrencia]*(tblDados[GM_M]=0))+SUMPRODUCT((TRIM(tblDados[Visitante])=$A237)*tblDados[Primeira_Ocorrencia]*(tblDados[GM_V]=0)))/G237,0))</f>
        <v>0.58333333333333337</v>
      </c>
      <c r="K237" s="11" cm="1">
        <f t="array" ref="K237">IF($A237="","",IFERROR((SUMPRODUCT((TRIM(tblDados[Mandante])=$A237)*tblDados[Primeira_Ocorrencia]*((tblDados[GM_M]+tblDados[GS_M])&gt;0.5))+SUMPRODUCT((TRIM(tblDados[Visitante])=$A237)*tblDados[Primeira_Ocorrencia]*((tblDados[GM_V]+tblDados[GS_V])&gt;0.5)))/G237,0))</f>
        <v>1</v>
      </c>
      <c r="L237" s="11" cm="1">
        <f t="array" ref="L237">IF($A237="","",IFERROR((SUMPRODUCT((TRIM(tblDados[Mandante])=$A237)*tblDados[Primeira_Ocorrencia]*((tblDados[GM_M]+tblDados[GS_M])&gt;1.5))+SUMPRODUCT((TRIM(tblDados[Visitante])=$A237)*tblDados[Primeira_Ocorrencia]*((tblDados[GM_V]+tblDados[GS_V])&gt;1.5)))/G237,0))</f>
        <v>0.66666666666666663</v>
      </c>
      <c r="M237" s="11" cm="1">
        <f t="array" ref="M237">IF($A237="","",IFERROR((SUMPRODUCT((TRIM(tblDados[Mandante])=$A237)*tblDados[Primeira_Ocorrencia]*((tblDados[GM_M]+tblDados[GS_M])&gt;2.5))+SUMPRODUCT((TRIM(tblDados[Visitante])=$A237)*tblDados[Primeira_Ocorrencia]*((tblDados[GM_V]+tblDados[GS_V])&gt;2.5)))/G237,0))</f>
        <v>0.58333333333333337</v>
      </c>
      <c r="N237" s="11" cm="1">
        <f t="array" ref="N237">IF($A237="","",IFERROR((SUMPRODUCT((TRIM(tblDados[Mandante])=$A237)*tblDados[Primeira_Ocorrencia]*((tblDados[GM_M]+tblDados[GS_M])&gt;3.5))+SUMPRODUCT((TRIM(tblDados[Visitante])=$A237)*tblDados[Primeira_Ocorrencia]*((tblDados[GM_V]+tblDados[GS_V])&gt;3.5)))/G237,0))</f>
        <v>0.33333333333333331</v>
      </c>
      <c r="O237" s="11" cm="1">
        <f t="array" ref="O237">IF($A237="","",IFERROR((SUMPRODUCT((TRIM(tblDados[Mandante])=$A237)*tblDados[Primeira_Ocorrencia]*(tblDados[GM_M]&gt;0)*(tblDados[GS_M]&gt;0))+SUMPRODUCT((TRIM(tblDados[Visitante])=$A237)*tblDados[Primeira_Ocorrencia]*(tblDados[GM_V]&gt;0)*(tblDados[GS_V]&gt;0)))/G237,0))</f>
        <v>0.33333333333333331</v>
      </c>
      <c r="P237" s="10" cm="1">
        <f t="array" ref="P237">IF($A237="","",IFERROR((SUMPRODUCT((TRIM(tblDados[Mandante])=$A237)*tblDados[Primeira_Ocorrencia]*tblDados[GM_M]^2)+SUMPRODUCT((TRIM(tblDados[Visitante])=$A237)*tblDados[Primeira_Ocorrencia]*tblDados[GM_V]^2))/G237-H237^2,0))</f>
        <v>0.57638888888888884</v>
      </c>
      <c r="Q237" s="10">
        <f t="shared" si="48"/>
        <v>0.75920279826202486</v>
      </c>
      <c r="R237" s="8" t="str">
        <f t="shared" si="49"/>
        <v>Poisson</v>
      </c>
      <c r="S237" s="10" cm="1">
        <f t="array" ref="S237">IF($A237="","",SUMPRODUCT((TRIM(tblDados[Mandante])=$A237)*tblDados[Primeira_Ocorrencia]*tblDados[GM_M]))</f>
        <v>3</v>
      </c>
      <c r="T237" s="10" cm="1">
        <f t="array" ref="T237">IF($A237="","",SUMPRODUCT((TRIM(tblDados[Visitante])=$A237)*tblDados[Primeira_Ocorrencia]*tblDados[GM_V]))</f>
        <v>4</v>
      </c>
      <c r="U237" s="10">
        <f t="shared" si="50"/>
        <v>7</v>
      </c>
      <c r="V237" s="10">
        <f t="shared" si="39"/>
        <v>0.58333333333333337</v>
      </c>
      <c r="W237" s="10" cm="1">
        <f t="array" ref="W237">IF($A237="","",SUMPRODUCT((TRIM(tblDados[Mandante])=$A237)*tblDados[Primeira_Ocorrencia]*tblDados[GS_M]))</f>
        <v>12</v>
      </c>
      <c r="X237" s="10" cm="1">
        <f t="array" ref="X237">IF($A237="","",SUMPRODUCT((TRIM(tblDados[Visitante])=$A237)*tblDados[Primeira_Ocorrencia]*tblDados[GS_V]))</f>
        <v>16</v>
      </c>
      <c r="Y237" s="10">
        <f t="shared" si="51"/>
        <v>28</v>
      </c>
      <c r="Z237" s="10">
        <f t="shared" si="40"/>
        <v>2.3333333333333335</v>
      </c>
      <c r="AA237" s="10">
        <f t="shared" si="41"/>
        <v>0.6</v>
      </c>
      <c r="AB237" s="10">
        <f t="shared" si="42"/>
        <v>2.4</v>
      </c>
      <c r="AC237" s="10">
        <f t="shared" si="43"/>
        <v>0.5714285714285714</v>
      </c>
      <c r="AD237" s="10">
        <f t="shared" si="44"/>
        <v>2.2857142857142856</v>
      </c>
    </row>
    <row r="238" spans="1:30" x14ac:dyDescent="0.3">
      <c r="A238" s="7" t="str">
        <v>Grebbestads IF</v>
      </c>
      <c r="B238" s="12" t="str" cm="1">
        <f t="array" ref="B238">IF($A238="","",_xlfn.LET(_xlpm.p,IFERROR(INDEX(tblDados[País],MATCH($A238,TRIM(tblDados[Mandante]),0)),INDEX(tblDados[País],MATCH($A238,TRIM(tblDados[Visitante]),0))),_xlpm.l,IFERROR(INDEX(tblDados[Liga],MATCH($A238,TRIM(tblDados[Mandante]),0)),INDEX(tblDados[Liga],MATCH($A238,TRIM(tblDados[Visitante]),0))),_xlpm.p&amp;" - "&amp;_xlpm.l))</f>
        <v>SWE - 2ª D Norra Götaland</v>
      </c>
      <c r="C238" s="10">
        <f t="shared" si="45"/>
        <v>3.1428571428571432</v>
      </c>
      <c r="D238" s="10">
        <f t="shared" si="46"/>
        <v>4</v>
      </c>
      <c r="E238" s="9" cm="1">
        <f t="array" ref="E238">IF($A238="","",SUMPRODUCT((TRIM(tblDados[Mandante])=$A238)*tblDados[Primeira_Ocorrencia]))</f>
        <v>7</v>
      </c>
      <c r="F238" s="9" cm="1">
        <f t="array" ref="F238">IF($A238="","",SUMPRODUCT((TRIM(tblDados[Visitante])=$A238)*tblDados[Primeira_Ocorrencia]))</f>
        <v>5</v>
      </c>
      <c r="G238" s="9" cm="1">
        <f t="array" ref="G238">IF($A238="","",SUMPRODUCT((TRIM(tblDados[Mandante])=$A238)*tblDados[Primeira_Ocorrencia])+SUMPRODUCT((TRIM(tblDados[Visitante])=$A238)*tblDados[Primeira_Ocorrencia]))</f>
        <v>12</v>
      </c>
      <c r="H238" s="10">
        <f t="shared" si="47"/>
        <v>2.1666666666666665</v>
      </c>
      <c r="I238" s="10" cm="1">
        <f t="array" ref="I238">IF($A238="","",_xlfn.LET(_xlpm.p,IFERROR(INDEX(tblDados[País],MATCH($A238,TRIM(tblDados[Mandante]),0)),INDEX(tblDados[País],MATCH($A238,TRIM(tblDados[Visitante]),0))),_xlpm.l,IFERROR(INDEX(tblDados[Liga],MATCH($A238,TRIM(tblDados[Mandante]),0)),INDEX(tblDados[Liga],MATCH($A238,TRIM(tblDados[Visitante]),0))),IFERROR(SUMIFS(Ligas!$D$2:$D$39,Ligas!$H$2:$H$39,_xlpm.p,Ligas!$I$2:$I$39,_xlpm.l),0)))</f>
        <v>2.5</v>
      </c>
      <c r="J238" s="11" cm="1">
        <f t="array" ref="J238">IF($A238="","",IFERROR((SUMPRODUCT((TRIM(tblDados[Mandante])=$A238)*tblDados[Primeira_Ocorrencia]*(tblDados[GM_M]=0))+SUMPRODUCT((TRIM(tblDados[Visitante])=$A238)*tblDados[Primeira_Ocorrencia]*(tblDados[GM_V]=0)))/G238,0))</f>
        <v>8.3333333333333329E-2</v>
      </c>
      <c r="K238" s="11" cm="1">
        <f t="array" ref="K238">IF($A238="","",IFERROR((SUMPRODUCT((TRIM(tblDados[Mandante])=$A238)*tblDados[Primeira_Ocorrencia]*((tblDados[GM_M]+tblDados[GS_M])&gt;0.5))+SUMPRODUCT((TRIM(tblDados[Visitante])=$A238)*tblDados[Primeira_Ocorrencia]*((tblDados[GM_V]+tblDados[GS_V])&gt;0.5)))/G238,0))</f>
        <v>1</v>
      </c>
      <c r="L238" s="11" cm="1">
        <f t="array" ref="L238">IF($A238="","",IFERROR((SUMPRODUCT((TRIM(tblDados[Mandante])=$A238)*tblDados[Primeira_Ocorrencia]*((tblDados[GM_M]+tblDados[GS_M])&gt;1.5))+SUMPRODUCT((TRIM(tblDados[Visitante])=$A238)*tblDados[Primeira_Ocorrencia]*((tblDados[GM_V]+tblDados[GS_V])&gt;1.5)))/G238,0))</f>
        <v>1</v>
      </c>
      <c r="M238" s="11" cm="1">
        <f t="array" ref="M238">IF($A238="","",IFERROR((SUMPRODUCT((TRIM(tblDados[Mandante])=$A238)*tblDados[Primeira_Ocorrencia]*((tblDados[GM_M]+tblDados[GS_M])&gt;2.5))+SUMPRODUCT((TRIM(tblDados[Visitante])=$A238)*tblDados[Primeira_Ocorrencia]*((tblDados[GM_V]+tblDados[GS_V])&gt;2.5)))/G238,0))</f>
        <v>0.75</v>
      </c>
      <c r="N238" s="11" cm="1">
        <f t="array" ref="N238">IF($A238="","",IFERROR((SUMPRODUCT((TRIM(tblDados[Mandante])=$A238)*tblDados[Primeira_Ocorrencia]*((tblDados[GM_M]+tblDados[GS_M])&gt;3.5))+SUMPRODUCT((TRIM(tblDados[Visitante])=$A238)*tblDados[Primeira_Ocorrencia]*((tblDados[GM_V]+tblDados[GS_V])&gt;3.5)))/G238,0))</f>
        <v>0.41666666666666669</v>
      </c>
      <c r="O238" s="11" cm="1">
        <f t="array" ref="O238">IF($A238="","",IFERROR((SUMPRODUCT((TRIM(tblDados[Mandante])=$A238)*tblDados[Primeira_Ocorrencia]*(tblDados[GM_M]&gt;0)*(tblDados[GS_M]&gt;0))+SUMPRODUCT((TRIM(tblDados[Visitante])=$A238)*tblDados[Primeira_Ocorrencia]*(tblDados[GM_V]&gt;0)*(tblDados[GS_V]&gt;0)))/G238,0))</f>
        <v>0.66666666666666663</v>
      </c>
      <c r="P238" s="10" cm="1">
        <f t="array" ref="P238">IF($A238="","",IFERROR((SUMPRODUCT((TRIM(tblDados[Mandante])=$A238)*tblDados[Primeira_Ocorrencia]*tblDados[GM_M]^2)+SUMPRODUCT((TRIM(tblDados[Visitante])=$A238)*tblDados[Primeira_Ocorrencia]*tblDados[GM_V]^2))/G238-H238^2,0))</f>
        <v>1.4722222222222232</v>
      </c>
      <c r="Q238" s="10">
        <f t="shared" si="48"/>
        <v>1.2133516482134201</v>
      </c>
      <c r="R238" s="8" t="str">
        <f t="shared" si="49"/>
        <v>Poisson</v>
      </c>
      <c r="S238" s="10" cm="1">
        <f t="array" ref="S238">IF($A238="","",SUMPRODUCT((TRIM(tblDados[Mandante])=$A238)*tblDados[Primeira_Ocorrencia]*tblDados[GM_M]))</f>
        <v>13</v>
      </c>
      <c r="T238" s="10" cm="1">
        <f t="array" ref="T238">IF($A238="","",SUMPRODUCT((TRIM(tblDados[Visitante])=$A238)*tblDados[Primeira_Ocorrencia]*tblDados[GM_V]))</f>
        <v>13</v>
      </c>
      <c r="U238" s="10">
        <f t="shared" si="50"/>
        <v>26</v>
      </c>
      <c r="V238" s="10">
        <f t="shared" si="39"/>
        <v>2.1666666666666665</v>
      </c>
      <c r="W238" s="10" cm="1">
        <f t="array" ref="W238">IF($A238="","",SUMPRODUCT((TRIM(tblDados[Mandante])=$A238)*tblDados[Primeira_Ocorrencia]*tblDados[GS_M]))</f>
        <v>9</v>
      </c>
      <c r="X238" s="10" cm="1">
        <f t="array" ref="X238">IF($A238="","",SUMPRODUCT((TRIM(tblDados[Visitante])=$A238)*tblDados[Primeira_Ocorrencia]*tblDados[GS_V]))</f>
        <v>7</v>
      </c>
      <c r="Y238" s="10">
        <f t="shared" si="51"/>
        <v>16</v>
      </c>
      <c r="Z238" s="10">
        <f t="shared" si="40"/>
        <v>1.3333333333333333</v>
      </c>
      <c r="AA238" s="10">
        <f t="shared" si="41"/>
        <v>1.8571428571428572</v>
      </c>
      <c r="AB238" s="10">
        <f t="shared" si="42"/>
        <v>1.2857142857142858</v>
      </c>
      <c r="AC238" s="10">
        <f t="shared" si="43"/>
        <v>2.6</v>
      </c>
      <c r="AD238" s="10">
        <f t="shared" si="44"/>
        <v>1.4</v>
      </c>
    </row>
    <row r="239" spans="1:30" x14ac:dyDescent="0.3">
      <c r="A239" s="7" t="str">
        <v>Green Gully</v>
      </c>
      <c r="B239" s="12" t="str" cm="1">
        <f t="array" ref="B239">IF($A239="","",_xlfn.LET(_xlpm.p,IFERROR(INDEX(tblDados[País],MATCH($A239,TRIM(tblDados[Mandante]),0)),INDEX(tblDados[País],MATCH($A239,TRIM(tblDados[Visitante]),0))),_xlpm.l,IFERROR(INDEX(tblDados[Liga],MATCH($A239,TRIM(tblDados[Mandante]),0)),INDEX(tblDados[Liga],MATCH($A239,TRIM(tblDados[Visitante]),0))),_xlpm.p&amp;" - "&amp;_xlpm.l))</f>
        <v>AUS - NPL Victoria</v>
      </c>
      <c r="C239" s="10">
        <f t="shared" si="45"/>
        <v>2.5714285714285712</v>
      </c>
      <c r="D239" s="10">
        <f t="shared" si="46"/>
        <v>2.5999999999999996</v>
      </c>
      <c r="E239" s="9" cm="1">
        <f t="array" ref="E239">IF($A239="","",SUMPRODUCT((TRIM(tblDados[Mandante])=$A239)*tblDados[Primeira_Ocorrencia]))</f>
        <v>7</v>
      </c>
      <c r="F239" s="9" cm="1">
        <f t="array" ref="F239">IF($A239="","",SUMPRODUCT((TRIM(tblDados[Visitante])=$A239)*tblDados[Primeira_Ocorrencia]))</f>
        <v>5</v>
      </c>
      <c r="G239" s="9" cm="1">
        <f t="array" ref="G239">IF($A239="","",SUMPRODUCT((TRIM(tblDados[Mandante])=$A239)*tblDados[Primeira_Ocorrencia])+SUMPRODUCT((TRIM(tblDados[Visitante])=$A239)*tblDados[Primeira_Ocorrencia]))</f>
        <v>12</v>
      </c>
      <c r="H239" s="10">
        <f t="shared" si="47"/>
        <v>1.1666666666666667</v>
      </c>
      <c r="I239" s="10" cm="1">
        <f t="array" ref="I239">IF($A239="","",_xlfn.LET(_xlpm.p,IFERROR(INDEX(tblDados[País],MATCH($A239,TRIM(tblDados[Mandante]),0)),INDEX(tblDados[País],MATCH($A239,TRIM(tblDados[Visitante]),0))),_xlpm.l,IFERROR(INDEX(tblDados[Liga],MATCH($A239,TRIM(tblDados[Mandante]),0)),INDEX(tblDados[Liga],MATCH($A239,TRIM(tblDados[Visitante]),0))),IFERROR(SUMIFS(Ligas!$D$2:$D$39,Ligas!$H$2:$H$39,_xlpm.p,Ligas!$I$2:$I$39,_xlpm.l),0)))</f>
        <v>2.89</v>
      </c>
      <c r="J239" s="11" cm="1">
        <f t="array" ref="J239">IF($A239="","",IFERROR((SUMPRODUCT((TRIM(tblDados[Mandante])=$A239)*tblDados[Primeira_Ocorrencia]*(tblDados[GM_M]=0))+SUMPRODUCT((TRIM(tblDados[Visitante])=$A239)*tblDados[Primeira_Ocorrencia]*(tblDados[GM_V]=0)))/G239,0))</f>
        <v>0.41666666666666669</v>
      </c>
      <c r="K239" s="11" cm="1">
        <f t="array" ref="K239">IF($A239="","",IFERROR((SUMPRODUCT((TRIM(tblDados[Mandante])=$A239)*tblDados[Primeira_Ocorrencia]*((tblDados[GM_M]+tblDados[GS_M])&gt;0.5))+SUMPRODUCT((TRIM(tblDados[Visitante])=$A239)*tblDados[Primeira_Ocorrencia]*((tblDados[GM_V]+tblDados[GS_V])&gt;0.5)))/G239,0))</f>
        <v>0.83333333333333337</v>
      </c>
      <c r="L239" s="11" cm="1">
        <f t="array" ref="L239">IF($A239="","",IFERROR((SUMPRODUCT((TRIM(tblDados[Mandante])=$A239)*tblDados[Primeira_Ocorrencia]*((tblDados[GM_M]+tblDados[GS_M])&gt;1.5))+SUMPRODUCT((TRIM(tblDados[Visitante])=$A239)*tblDados[Primeira_Ocorrencia]*((tblDados[GM_V]+tblDados[GS_V])&gt;1.5)))/G239,0))</f>
        <v>0.66666666666666663</v>
      </c>
      <c r="M239" s="11" cm="1">
        <f t="array" ref="M239">IF($A239="","",IFERROR((SUMPRODUCT((TRIM(tblDados[Mandante])=$A239)*tblDados[Primeira_Ocorrencia]*((tblDados[GM_M]+tblDados[GS_M])&gt;2.5))+SUMPRODUCT((TRIM(tblDados[Visitante])=$A239)*tblDados[Primeira_Ocorrencia]*((tblDados[GM_V]+tblDados[GS_V])&gt;2.5)))/G239,0))</f>
        <v>0.58333333333333337</v>
      </c>
      <c r="N239" s="11" cm="1">
        <f t="array" ref="N239">IF($A239="","",IFERROR((SUMPRODUCT((TRIM(tblDados[Mandante])=$A239)*tblDados[Primeira_Ocorrencia]*((tblDados[GM_M]+tblDados[GS_M])&gt;3.5))+SUMPRODUCT((TRIM(tblDados[Visitante])=$A239)*tblDados[Primeira_Ocorrencia]*((tblDados[GM_V]+tblDados[GS_V])&gt;3.5)))/G239,0))</f>
        <v>0.41666666666666669</v>
      </c>
      <c r="O239" s="11" cm="1">
        <f t="array" ref="O239">IF($A239="","",IFERROR((SUMPRODUCT((TRIM(tblDados[Mandante])=$A239)*tblDados[Primeira_Ocorrencia]*(tblDados[GM_M]&gt;0)*(tblDados[GS_M]&gt;0))+SUMPRODUCT((TRIM(tblDados[Visitante])=$A239)*tblDados[Primeira_Ocorrencia]*(tblDados[GM_V]&gt;0)*(tblDados[GS_V]&gt;0)))/G239,0))</f>
        <v>0.5</v>
      </c>
      <c r="P239" s="10" cm="1">
        <f t="array" ref="P239">IF($A239="","",IFERROR((SUMPRODUCT((TRIM(tblDados[Mandante])=$A239)*tblDados[Primeira_Ocorrencia]*tblDados[GM_M]^2)+SUMPRODUCT((TRIM(tblDados[Visitante])=$A239)*tblDados[Primeira_Ocorrencia]*tblDados[GM_V]^2))/G239-H239^2,0))</f>
        <v>1.3055555555555551</v>
      </c>
      <c r="Q239" s="10">
        <f t="shared" si="48"/>
        <v>1.1426091000668406</v>
      </c>
      <c r="R239" s="8" t="str">
        <f t="shared" si="49"/>
        <v>Poisson</v>
      </c>
      <c r="S239" s="10" cm="1">
        <f t="array" ref="S239">IF($A239="","",SUMPRODUCT((TRIM(tblDados[Mandante])=$A239)*tblDados[Primeira_Ocorrencia]*tblDados[GM_M]))</f>
        <v>8</v>
      </c>
      <c r="T239" s="10" cm="1">
        <f t="array" ref="T239">IF($A239="","",SUMPRODUCT((TRIM(tblDados[Visitante])=$A239)*tblDados[Primeira_Ocorrencia]*tblDados[GM_V]))</f>
        <v>6</v>
      </c>
      <c r="U239" s="10">
        <f t="shared" si="50"/>
        <v>14</v>
      </c>
      <c r="V239" s="10">
        <f t="shared" si="39"/>
        <v>1.1666666666666667</v>
      </c>
      <c r="W239" s="10" cm="1">
        <f t="array" ref="W239">IF($A239="","",SUMPRODUCT((TRIM(tblDados[Mandante])=$A239)*tblDados[Primeira_Ocorrencia]*tblDados[GS_M]))</f>
        <v>10</v>
      </c>
      <c r="X239" s="10" cm="1">
        <f t="array" ref="X239">IF($A239="","",SUMPRODUCT((TRIM(tblDados[Visitante])=$A239)*tblDados[Primeira_Ocorrencia]*tblDados[GS_V]))</f>
        <v>7</v>
      </c>
      <c r="Y239" s="10">
        <f t="shared" si="51"/>
        <v>17</v>
      </c>
      <c r="Z239" s="10">
        <f t="shared" si="40"/>
        <v>1.4166666666666667</v>
      </c>
      <c r="AA239" s="10">
        <f t="shared" si="41"/>
        <v>1.1428571428571428</v>
      </c>
      <c r="AB239" s="10">
        <f t="shared" si="42"/>
        <v>1.4285714285714286</v>
      </c>
      <c r="AC239" s="10">
        <f t="shared" si="43"/>
        <v>1.2</v>
      </c>
      <c r="AD239" s="10">
        <f t="shared" si="44"/>
        <v>1.4</v>
      </c>
    </row>
    <row r="240" spans="1:30" x14ac:dyDescent="0.3">
      <c r="A240" s="7" t="str">
        <v>Grêmio</v>
      </c>
      <c r="B240" s="12" t="str" cm="1">
        <f t="array" ref="B240">IF($A240="","",_xlfn.LET(_xlpm.p,IFERROR(INDEX(tblDados[País],MATCH($A240,TRIM(tblDados[Mandante]),0)),INDEX(tblDados[País],MATCH($A240,TRIM(tblDados[Visitante]),0))),_xlpm.l,IFERROR(INDEX(tblDados[Liga],MATCH($A240,TRIM(tblDados[Mandante]),0)),INDEX(tblDados[Liga],MATCH($A240,TRIM(tblDados[Visitante]),0))),_xlpm.p&amp;" - "&amp;_xlpm.l))</f>
        <v>BRA - Série A</v>
      </c>
      <c r="C240" s="10">
        <f t="shared" si="45"/>
        <v>2.166666666666667</v>
      </c>
      <c r="D240" s="10">
        <f t="shared" si="46"/>
        <v>1.6666666666666667</v>
      </c>
      <c r="E240" s="9" cm="1">
        <f t="array" ref="E240">IF($A240="","",SUMPRODUCT((TRIM(tblDados[Mandante])=$A240)*tblDados[Primeira_Ocorrencia]))</f>
        <v>6</v>
      </c>
      <c r="F240" s="9" cm="1">
        <f t="array" ref="F240">IF($A240="","",SUMPRODUCT((TRIM(tblDados[Visitante])=$A240)*tblDados[Primeira_Ocorrencia]))</f>
        <v>6</v>
      </c>
      <c r="G240" s="9" cm="1">
        <f t="array" ref="G240">IF($A240="","",SUMPRODUCT((TRIM(tblDados[Mandante])=$A240)*tblDados[Primeira_Ocorrencia])+SUMPRODUCT((TRIM(tblDados[Visitante])=$A240)*tblDados[Primeira_Ocorrencia]))</f>
        <v>12</v>
      </c>
      <c r="H240" s="10">
        <f t="shared" si="47"/>
        <v>0.75</v>
      </c>
      <c r="I240" s="10" cm="1">
        <f t="array" ref="I240">IF($A240="","",_xlfn.LET(_xlpm.p,IFERROR(INDEX(tblDados[País],MATCH($A240,TRIM(tblDados[Mandante]),0)),INDEX(tblDados[País],MATCH($A240,TRIM(tblDados[Visitante]),0))),_xlpm.l,IFERROR(INDEX(tblDados[Liga],MATCH($A240,TRIM(tblDados[Mandante]),0)),INDEX(tblDados[Liga],MATCH($A240,TRIM(tblDados[Visitante]),0))),IFERROR(SUMIFS(Ligas!$D$2:$D$39,Ligas!$H$2:$H$39,_xlpm.p,Ligas!$I$2:$I$39,_xlpm.l),0)))</f>
        <v>2.59</v>
      </c>
      <c r="J240" s="11" cm="1">
        <f t="array" ref="J240">IF($A240="","",IFERROR((SUMPRODUCT((TRIM(tblDados[Mandante])=$A240)*tblDados[Primeira_Ocorrencia]*(tblDados[GM_M]=0))+SUMPRODUCT((TRIM(tblDados[Visitante])=$A240)*tblDados[Primeira_Ocorrencia]*(tblDados[GM_V]=0)))/G240,0))</f>
        <v>0.41666666666666669</v>
      </c>
      <c r="K240" s="11" cm="1">
        <f t="array" ref="K240">IF($A240="","",IFERROR((SUMPRODUCT((TRIM(tblDados[Mandante])=$A240)*tblDados[Primeira_Ocorrencia]*((tblDados[GM_M]+tblDados[GS_M])&gt;0.5))+SUMPRODUCT((TRIM(tblDados[Visitante])=$A240)*tblDados[Primeira_Ocorrencia]*((tblDados[GM_V]+tblDados[GS_V])&gt;0.5)))/G240,0))</f>
        <v>0.75</v>
      </c>
      <c r="L240" s="11" cm="1">
        <f t="array" ref="L240">IF($A240="","",IFERROR((SUMPRODUCT((TRIM(tblDados[Mandante])=$A240)*tblDados[Primeira_Ocorrencia]*((tblDados[GM_M]+tblDados[GS_M])&gt;1.5))+SUMPRODUCT((TRIM(tblDados[Visitante])=$A240)*tblDados[Primeira_Ocorrencia]*((tblDados[GM_V]+tblDados[GS_V])&gt;1.5)))/G240,0))</f>
        <v>0.58333333333333337</v>
      </c>
      <c r="M240" s="11" cm="1">
        <f t="array" ref="M240">IF($A240="","",IFERROR((SUMPRODUCT((TRIM(tblDados[Mandante])=$A240)*tblDados[Primeira_Ocorrencia]*((tblDados[GM_M]+tblDados[GS_M])&gt;2.5))+SUMPRODUCT((TRIM(tblDados[Visitante])=$A240)*tblDados[Primeira_Ocorrencia]*((tblDados[GM_V]+tblDados[GS_V])&gt;2.5)))/G240,0))</f>
        <v>0.33333333333333331</v>
      </c>
      <c r="N240" s="11" cm="1">
        <f t="array" ref="N240">IF($A240="","",IFERROR((SUMPRODUCT((TRIM(tblDados[Mandante])=$A240)*tblDados[Primeira_Ocorrencia]*((tblDados[GM_M]+tblDados[GS_M])&gt;3.5))+SUMPRODUCT((TRIM(tblDados[Visitante])=$A240)*tblDados[Primeira_Ocorrencia]*((tblDados[GM_V]+tblDados[GS_V])&gt;3.5)))/G240,0))</f>
        <v>0.16666666666666666</v>
      </c>
      <c r="O240" s="11" cm="1">
        <f t="array" ref="O240">IF($A240="","",IFERROR((SUMPRODUCT((TRIM(tblDados[Mandante])=$A240)*tblDados[Primeira_Ocorrencia]*(tblDados[GM_M]&gt;0)*(tblDados[GS_M]&gt;0))+SUMPRODUCT((TRIM(tblDados[Visitante])=$A240)*tblDados[Primeira_Ocorrencia]*(tblDados[GM_V]&gt;0)*(tblDados[GS_V]&gt;0)))/G240,0))</f>
        <v>0.5</v>
      </c>
      <c r="P240" s="10" cm="1">
        <f t="array" ref="P240">IF($A240="","",IFERROR((SUMPRODUCT((TRIM(tblDados[Mandante])=$A240)*tblDados[Primeira_Ocorrencia]*tblDados[GM_M]^2)+SUMPRODUCT((TRIM(tblDados[Visitante])=$A240)*tblDados[Primeira_Ocorrencia]*tblDados[GM_V]^2))/G240-H240^2,0))</f>
        <v>0.6875</v>
      </c>
      <c r="Q240" s="10">
        <f t="shared" si="48"/>
        <v>0.82915619758884995</v>
      </c>
      <c r="R240" s="8" t="str">
        <f t="shared" si="49"/>
        <v>Poisson</v>
      </c>
      <c r="S240" s="10" cm="1">
        <f t="array" ref="S240">IF($A240="","",SUMPRODUCT((TRIM(tblDados[Mandante])=$A240)*tblDados[Primeira_Ocorrencia]*tblDados[GM_M]))</f>
        <v>6</v>
      </c>
      <c r="T240" s="10" cm="1">
        <f t="array" ref="T240">IF($A240="","",SUMPRODUCT((TRIM(tblDados[Visitante])=$A240)*tblDados[Primeira_Ocorrencia]*tblDados[GM_V]))</f>
        <v>3</v>
      </c>
      <c r="U240" s="10">
        <f t="shared" si="50"/>
        <v>9</v>
      </c>
      <c r="V240" s="10">
        <f t="shared" si="39"/>
        <v>0.75</v>
      </c>
      <c r="W240" s="10" cm="1">
        <f t="array" ref="W240">IF($A240="","",SUMPRODUCT((TRIM(tblDados[Mandante])=$A240)*tblDados[Primeira_Ocorrencia]*tblDados[GS_M]))</f>
        <v>7</v>
      </c>
      <c r="X240" s="10" cm="1">
        <f t="array" ref="X240">IF($A240="","",SUMPRODUCT((TRIM(tblDados[Visitante])=$A240)*tblDados[Primeira_Ocorrencia]*tblDados[GS_V]))</f>
        <v>7</v>
      </c>
      <c r="Y240" s="10">
        <f t="shared" si="51"/>
        <v>14</v>
      </c>
      <c r="Z240" s="10">
        <f t="shared" si="40"/>
        <v>1.1666666666666667</v>
      </c>
      <c r="AA240" s="10">
        <f t="shared" si="41"/>
        <v>1</v>
      </c>
      <c r="AB240" s="10">
        <f t="shared" si="42"/>
        <v>1.1666666666666667</v>
      </c>
      <c r="AC240" s="10">
        <f t="shared" si="43"/>
        <v>0.5</v>
      </c>
      <c r="AD240" s="10">
        <f t="shared" si="44"/>
        <v>1.1666666666666667</v>
      </c>
    </row>
    <row r="241" spans="1:30" x14ac:dyDescent="0.3">
      <c r="A241" s="7" t="str">
        <v>Grotta</v>
      </c>
      <c r="B241" s="12" t="str" cm="1">
        <f t="array" ref="B241">IF($A241="","",_xlfn.LET(_xlpm.p,IFERROR(INDEX(tblDados[País],MATCH($A241,TRIM(tblDados[Mandante]),0)),INDEX(tblDados[País],MATCH($A241,TRIM(tblDados[Visitante]),0))),_xlpm.l,IFERROR(INDEX(tblDados[Liga],MATCH($A241,TRIM(tblDados[Mandante]),0)),INDEX(tblDados[Liga],MATCH($A241,TRIM(tblDados[Visitante]),0))),_xlpm.p&amp;" - "&amp;_xlpm.l))</f>
        <v>ISL - Lengjudeildin (1ªD)</v>
      </c>
      <c r="C241" s="10">
        <f t="shared" si="45"/>
        <v>5</v>
      </c>
      <c r="D241" s="10">
        <f t="shared" si="46"/>
        <v>3.166666666666667</v>
      </c>
      <c r="E241" s="9" cm="1">
        <f t="array" ref="E241">IF($A241="","",SUMPRODUCT((TRIM(tblDados[Mandante])=$A241)*tblDados[Primeira_Ocorrencia]))</f>
        <v>6</v>
      </c>
      <c r="F241" s="9" cm="1">
        <f t="array" ref="F241">IF($A241="","",SUMPRODUCT((TRIM(tblDados[Visitante])=$A241)*tblDados[Primeira_Ocorrencia]))</f>
        <v>6</v>
      </c>
      <c r="G241" s="9" cm="1">
        <f t="array" ref="G241">IF($A241="","",SUMPRODUCT((TRIM(tblDados[Mandante])=$A241)*tblDados[Primeira_Ocorrencia])+SUMPRODUCT((TRIM(tblDados[Visitante])=$A241)*tblDados[Primeira_Ocorrencia]))</f>
        <v>12</v>
      </c>
      <c r="H241" s="10">
        <f t="shared" si="47"/>
        <v>2.4166666666666665</v>
      </c>
      <c r="I241" s="10" cm="1">
        <f t="array" ref="I241">IF($A241="","",_xlfn.LET(_xlpm.p,IFERROR(INDEX(tblDados[País],MATCH($A241,TRIM(tblDados[Mandante]),0)),INDEX(tblDados[País],MATCH($A241,TRIM(tblDados[Visitante]),0))),_xlpm.l,IFERROR(INDEX(tblDados[Liga],MATCH($A241,TRIM(tblDados[Mandante]),0)),INDEX(tblDados[Liga],MATCH($A241,TRIM(tblDados[Visitante]),0))),IFERROR(SUMIFS(Ligas!$D$2:$D$39,Ligas!$H$2:$H$39,_xlpm.p,Ligas!$I$2:$I$39,_xlpm.l),0)))</f>
        <v>3.55</v>
      </c>
      <c r="J241" s="11" cm="1">
        <f t="array" ref="J241">IF($A241="","",IFERROR((SUMPRODUCT((TRIM(tblDados[Mandante])=$A241)*tblDados[Primeira_Ocorrencia]*(tblDados[GM_M]=0))+SUMPRODUCT((TRIM(tblDados[Visitante])=$A241)*tblDados[Primeira_Ocorrencia]*(tblDados[GM_V]=0)))/G241,0))</f>
        <v>0</v>
      </c>
      <c r="K241" s="11" cm="1">
        <f t="array" ref="K241">IF($A241="","",IFERROR((SUMPRODUCT((TRIM(tblDados[Mandante])=$A241)*tblDados[Primeira_Ocorrencia]*((tblDados[GM_M]+tblDados[GS_M])&gt;0.5))+SUMPRODUCT((TRIM(tblDados[Visitante])=$A241)*tblDados[Primeira_Ocorrencia]*((tblDados[GM_V]+tblDados[GS_V])&gt;0.5)))/G241,0))</f>
        <v>1</v>
      </c>
      <c r="L241" s="11" cm="1">
        <f t="array" ref="L241">IF($A241="","",IFERROR((SUMPRODUCT((TRIM(tblDados[Mandante])=$A241)*tblDados[Primeira_Ocorrencia]*((tblDados[GM_M]+tblDados[GS_M])&gt;1.5))+SUMPRODUCT((TRIM(tblDados[Visitante])=$A241)*tblDados[Primeira_Ocorrencia]*((tblDados[GM_V]+tblDados[GS_V])&gt;1.5)))/G241,0))</f>
        <v>0.91666666666666663</v>
      </c>
      <c r="M241" s="11" cm="1">
        <f t="array" ref="M241">IF($A241="","",IFERROR((SUMPRODUCT((TRIM(tblDados[Mandante])=$A241)*tblDados[Primeira_Ocorrencia]*((tblDados[GM_M]+tblDados[GS_M])&gt;2.5))+SUMPRODUCT((TRIM(tblDados[Visitante])=$A241)*tblDados[Primeira_Ocorrencia]*((tblDados[GM_V]+tblDados[GS_V])&gt;2.5)))/G241,0))</f>
        <v>0.83333333333333337</v>
      </c>
      <c r="N241" s="11" cm="1">
        <f t="array" ref="N241">IF($A241="","",IFERROR((SUMPRODUCT((TRIM(tblDados[Mandante])=$A241)*tblDados[Primeira_Ocorrencia]*((tblDados[GM_M]+tblDados[GS_M])&gt;3.5))+SUMPRODUCT((TRIM(tblDados[Visitante])=$A241)*tblDados[Primeira_Ocorrencia]*((tblDados[GM_V]+tblDados[GS_V])&gt;3.5)))/G241,0))</f>
        <v>0.41666666666666669</v>
      </c>
      <c r="O241" s="11" cm="1">
        <f t="array" ref="O241">IF($A241="","",IFERROR((SUMPRODUCT((TRIM(tblDados[Mandante])=$A241)*tblDados[Primeira_Ocorrencia]*(tblDados[GM_M]&gt;0)*(tblDados[GS_M]&gt;0))+SUMPRODUCT((TRIM(tblDados[Visitante])=$A241)*tblDados[Primeira_Ocorrencia]*(tblDados[GM_V]&gt;0)*(tblDados[GS_V]&gt;0)))/G241,0))</f>
        <v>0.83333333333333337</v>
      </c>
      <c r="P241" s="10" cm="1">
        <f t="array" ref="P241">IF($A241="","",IFERROR((SUMPRODUCT((TRIM(tblDados[Mandante])=$A241)*tblDados[Primeira_Ocorrencia]*tblDados[GM_M]^2)+SUMPRODUCT((TRIM(tblDados[Visitante])=$A241)*tblDados[Primeira_Ocorrencia]*tblDados[GM_V]^2))/G241-H241^2,0))</f>
        <v>2.4097222222222232</v>
      </c>
      <c r="Q241" s="10">
        <f t="shared" si="48"/>
        <v>1.5523280008497635</v>
      </c>
      <c r="R241" s="8" t="str">
        <f t="shared" si="49"/>
        <v>Poisson</v>
      </c>
      <c r="S241" s="10" cm="1">
        <f t="array" ref="S241">IF($A241="","",SUMPRODUCT((TRIM(tblDados[Mandante])=$A241)*tblDados[Primeira_Ocorrencia]*tblDados[GM_M]))</f>
        <v>17</v>
      </c>
      <c r="T241" s="10" cm="1">
        <f t="array" ref="T241">IF($A241="","",SUMPRODUCT((TRIM(tblDados[Visitante])=$A241)*tblDados[Primeira_Ocorrencia]*tblDados[GM_V]))</f>
        <v>12</v>
      </c>
      <c r="U241" s="10">
        <f t="shared" si="50"/>
        <v>29</v>
      </c>
      <c r="V241" s="10">
        <f t="shared" si="39"/>
        <v>2.4166666666666665</v>
      </c>
      <c r="W241" s="10" cm="1">
        <f t="array" ref="W241">IF($A241="","",SUMPRODUCT((TRIM(tblDados[Mandante])=$A241)*tblDados[Primeira_Ocorrencia]*tblDados[GS_M]))</f>
        <v>13</v>
      </c>
      <c r="X241" s="10" cm="1">
        <f t="array" ref="X241">IF($A241="","",SUMPRODUCT((TRIM(tblDados[Visitante])=$A241)*tblDados[Primeira_Ocorrencia]*tblDados[GS_V]))</f>
        <v>7</v>
      </c>
      <c r="Y241" s="10">
        <f t="shared" si="51"/>
        <v>20</v>
      </c>
      <c r="Z241" s="10">
        <f t="shared" si="40"/>
        <v>1.6666666666666667</v>
      </c>
      <c r="AA241" s="10">
        <f t="shared" si="41"/>
        <v>2.8333333333333335</v>
      </c>
      <c r="AB241" s="10">
        <f t="shared" si="42"/>
        <v>2.1666666666666665</v>
      </c>
      <c r="AC241" s="10">
        <f t="shared" si="43"/>
        <v>2</v>
      </c>
      <c r="AD241" s="10">
        <f t="shared" si="44"/>
        <v>1.1666666666666667</v>
      </c>
    </row>
    <row r="242" spans="1:30" x14ac:dyDescent="0.3">
      <c r="A242" s="7" t="str">
        <v>Guangxi Hengchen</v>
      </c>
      <c r="B242" s="12" t="str" cm="1">
        <f t="array" ref="B242">IF($A242="","",_xlfn.LET(_xlpm.p,IFERROR(INDEX(tblDados[País],MATCH($A242,TRIM(tblDados[Mandante]),0)),INDEX(tblDados[País],MATCH($A242,TRIM(tblDados[Visitante]),0))),_xlpm.l,IFERROR(INDEX(tblDados[Liga],MATCH($A242,TRIM(tblDados[Mandante]),0)),INDEX(tblDados[Liga],MATCH($A242,TRIM(tblDados[Visitante]),0))),_xlpm.p&amp;" - "&amp;_xlpm.l))</f>
        <v>CHN - League One</v>
      </c>
      <c r="C242" s="10">
        <f t="shared" si="45"/>
        <v>3.666666666666667</v>
      </c>
      <c r="D242" s="10">
        <f t="shared" si="46"/>
        <v>3</v>
      </c>
      <c r="E242" s="9" cm="1">
        <f t="array" ref="E242">IF($A242="","",SUMPRODUCT((TRIM(tblDados[Mandante])=$A242)*tblDados[Primeira_Ocorrencia]))</f>
        <v>6</v>
      </c>
      <c r="F242" s="9" cm="1">
        <f t="array" ref="F242">IF($A242="","",SUMPRODUCT((TRIM(tblDados[Visitante])=$A242)*tblDados[Primeira_Ocorrencia]))</f>
        <v>6</v>
      </c>
      <c r="G242" s="9" cm="1">
        <f t="array" ref="G242">IF($A242="","",SUMPRODUCT((TRIM(tblDados[Mandante])=$A242)*tblDados[Primeira_Ocorrencia])+SUMPRODUCT((TRIM(tblDados[Visitante])=$A242)*tblDados[Primeira_Ocorrencia]))</f>
        <v>12</v>
      </c>
      <c r="H242" s="10">
        <f t="shared" si="47"/>
        <v>2.0833333333333335</v>
      </c>
      <c r="I242" s="10" cm="1">
        <f t="array" ref="I242">IF($A242="","",_xlfn.LET(_xlpm.p,IFERROR(INDEX(tblDados[País],MATCH($A242,TRIM(tblDados[Mandante]),0)),INDEX(tblDados[País],MATCH($A242,TRIM(tblDados[Visitante]),0))),_xlpm.l,IFERROR(INDEX(tblDados[Liga],MATCH($A242,TRIM(tblDados[Mandante]),0)),INDEX(tblDados[Liga],MATCH($A242,TRIM(tblDados[Visitante]),0))),IFERROR(SUMIFS(Ligas!$D$2:$D$39,Ligas!$H$2:$H$39,_xlpm.p,Ligas!$I$2:$I$39,_xlpm.l),0)))</f>
        <v>2.5</v>
      </c>
      <c r="J242" s="11" cm="1">
        <f t="array" ref="J242">IF($A242="","",IFERROR((SUMPRODUCT((TRIM(tblDados[Mandante])=$A242)*tblDados[Primeira_Ocorrencia]*(tblDados[GM_M]=0))+SUMPRODUCT((TRIM(tblDados[Visitante])=$A242)*tblDados[Primeira_Ocorrencia]*(tblDados[GM_V]=0)))/G242,0))</f>
        <v>0.16666666666666666</v>
      </c>
      <c r="K242" s="11" cm="1">
        <f t="array" ref="K242">IF($A242="","",IFERROR((SUMPRODUCT((TRIM(tblDados[Mandante])=$A242)*tblDados[Primeira_Ocorrencia]*((tblDados[GM_M]+tblDados[GS_M])&gt;0.5))+SUMPRODUCT((TRIM(tblDados[Visitante])=$A242)*tblDados[Primeira_Ocorrencia]*((tblDados[GM_V]+tblDados[GS_V])&gt;0.5)))/G242,0))</f>
        <v>0.91666666666666663</v>
      </c>
      <c r="L242" s="11" cm="1">
        <f t="array" ref="L242">IF($A242="","",IFERROR((SUMPRODUCT((TRIM(tblDados[Mandante])=$A242)*tblDados[Primeira_Ocorrencia]*((tblDados[GM_M]+tblDados[GS_M])&gt;1.5))+SUMPRODUCT((TRIM(tblDados[Visitante])=$A242)*tblDados[Primeira_Ocorrencia]*((tblDados[GM_V]+tblDados[GS_V])&gt;1.5)))/G242,0))</f>
        <v>0.83333333333333337</v>
      </c>
      <c r="M242" s="11" cm="1">
        <f t="array" ref="M242">IF($A242="","",IFERROR((SUMPRODUCT((TRIM(tblDados[Mandante])=$A242)*tblDados[Primeira_Ocorrencia]*((tblDados[GM_M]+tblDados[GS_M])&gt;2.5))+SUMPRODUCT((TRIM(tblDados[Visitante])=$A242)*tblDados[Primeira_Ocorrencia]*((tblDados[GM_V]+tblDados[GS_V])&gt;2.5)))/G242,0))</f>
        <v>0.58333333333333337</v>
      </c>
      <c r="N242" s="11" cm="1">
        <f t="array" ref="N242">IF($A242="","",IFERROR((SUMPRODUCT((TRIM(tblDados[Mandante])=$A242)*tblDados[Primeira_Ocorrencia]*((tblDados[GM_M]+tblDados[GS_M])&gt;3.5))+SUMPRODUCT((TRIM(tblDados[Visitante])=$A242)*tblDados[Primeira_Ocorrencia]*((tblDados[GM_V]+tblDados[GS_V])&gt;3.5)))/G242,0))</f>
        <v>0.33333333333333331</v>
      </c>
      <c r="O242" s="11" cm="1">
        <f t="array" ref="O242">IF($A242="","",IFERROR((SUMPRODUCT((TRIM(tblDados[Mandante])=$A242)*tblDados[Primeira_Ocorrencia]*(tblDados[GM_M]&gt;0)*(tblDados[GS_M]&gt;0))+SUMPRODUCT((TRIM(tblDados[Visitante])=$A242)*tblDados[Primeira_Ocorrencia]*(tblDados[GM_V]&gt;0)*(tblDados[GS_V]&gt;0)))/G242,0))</f>
        <v>0.58333333333333337</v>
      </c>
      <c r="P242" s="10" cm="1">
        <f t="array" ref="P242">IF($A242="","",IFERROR((SUMPRODUCT((TRIM(tblDados[Mandante])=$A242)*tblDados[Primeira_Ocorrencia]*tblDados[GM_M]^2)+SUMPRODUCT((TRIM(tblDados[Visitante])=$A242)*tblDados[Primeira_Ocorrencia]*tblDados[GM_V]^2))/G242-H242^2,0))</f>
        <v>1.9097222222222214</v>
      </c>
      <c r="Q242" s="10">
        <f t="shared" si="48"/>
        <v>1.3819269959814162</v>
      </c>
      <c r="R242" s="8" t="str">
        <f t="shared" si="49"/>
        <v>Poisson</v>
      </c>
      <c r="S242" s="10" cm="1">
        <f t="array" ref="S242">IF($A242="","",SUMPRODUCT((TRIM(tblDados[Mandante])=$A242)*tblDados[Primeira_Ocorrencia]*tblDados[GM_M]))</f>
        <v>14</v>
      </c>
      <c r="T242" s="10" cm="1">
        <f t="array" ref="T242">IF($A242="","",SUMPRODUCT((TRIM(tblDados[Visitante])=$A242)*tblDados[Primeira_Ocorrencia]*tblDados[GM_V]))</f>
        <v>11</v>
      </c>
      <c r="U242" s="10">
        <f t="shared" si="50"/>
        <v>25</v>
      </c>
      <c r="V242" s="10">
        <f t="shared" si="39"/>
        <v>2.0833333333333335</v>
      </c>
      <c r="W242" s="10" cm="1">
        <f t="array" ref="W242">IF($A242="","",SUMPRODUCT((TRIM(tblDados[Mandante])=$A242)*tblDados[Primeira_Ocorrencia]*tblDados[GS_M]))</f>
        <v>8</v>
      </c>
      <c r="X242" s="10" cm="1">
        <f t="array" ref="X242">IF($A242="","",SUMPRODUCT((TRIM(tblDados[Visitante])=$A242)*tblDados[Primeira_Ocorrencia]*tblDados[GS_V]))</f>
        <v>7</v>
      </c>
      <c r="Y242" s="10">
        <f t="shared" si="51"/>
        <v>15</v>
      </c>
      <c r="Z242" s="10">
        <f t="shared" si="40"/>
        <v>1.25</v>
      </c>
      <c r="AA242" s="10">
        <f t="shared" si="41"/>
        <v>2.3333333333333335</v>
      </c>
      <c r="AB242" s="10">
        <f t="shared" si="42"/>
        <v>1.3333333333333333</v>
      </c>
      <c r="AC242" s="10">
        <f t="shared" si="43"/>
        <v>1.8333333333333333</v>
      </c>
      <c r="AD242" s="10">
        <f t="shared" si="44"/>
        <v>1.1666666666666667</v>
      </c>
    </row>
    <row r="243" spans="1:30" x14ac:dyDescent="0.3">
      <c r="A243" s="7" t="str">
        <v>Guarani</v>
      </c>
      <c r="B243" s="12" t="str" cm="1">
        <f t="array" ref="B243">IF($A243="","",_xlfn.LET(_xlpm.p,IFERROR(INDEX(tblDados[País],MATCH($A243,TRIM(tblDados[Mandante]),0)),INDEX(tblDados[País],MATCH($A243,TRIM(tblDados[Visitante]),0))),_xlpm.l,IFERROR(INDEX(tblDados[Liga],MATCH($A243,TRIM(tblDados[Mandante]),0)),INDEX(tblDados[Liga],MATCH($A243,TRIM(tblDados[Visitante]),0))),_xlpm.p&amp;" - "&amp;_xlpm.l))</f>
        <v>BRA - Série C</v>
      </c>
      <c r="C243" s="10">
        <f t="shared" si="45"/>
        <v>2.8333333333333335</v>
      </c>
      <c r="D243" s="10">
        <f t="shared" si="46"/>
        <v>3.1666666666666665</v>
      </c>
      <c r="E243" s="9" cm="1">
        <f t="array" ref="E243">IF($A243="","",SUMPRODUCT((TRIM(tblDados[Mandante])=$A243)*tblDados[Primeira_Ocorrencia]))</f>
        <v>6</v>
      </c>
      <c r="F243" s="9" cm="1">
        <f t="array" ref="F243">IF($A243="","",SUMPRODUCT((TRIM(tblDados[Visitante])=$A243)*tblDados[Primeira_Ocorrencia]))</f>
        <v>6</v>
      </c>
      <c r="G243" s="9" cm="1">
        <f t="array" ref="G243">IF($A243="","",SUMPRODUCT((TRIM(tblDados[Mandante])=$A243)*tblDados[Primeira_Ocorrencia])+SUMPRODUCT((TRIM(tblDados[Visitante])=$A243)*tblDados[Primeira_Ocorrencia]))</f>
        <v>12</v>
      </c>
      <c r="H243" s="10">
        <f t="shared" si="47"/>
        <v>1.9166666666666667</v>
      </c>
      <c r="I243" s="10" cm="1">
        <f t="array" ref="I243">IF($A243="","",_xlfn.LET(_xlpm.p,IFERROR(INDEX(tblDados[País],MATCH($A243,TRIM(tblDados[Mandante]),0)),INDEX(tblDados[País],MATCH($A243,TRIM(tblDados[Visitante]),0))),_xlpm.l,IFERROR(INDEX(tblDados[Liga],MATCH($A243,TRIM(tblDados[Mandante]),0)),INDEX(tblDados[Liga],MATCH($A243,TRIM(tblDados[Visitante]),0))),IFERROR(SUMIFS(Ligas!$D$2:$D$39,Ligas!$H$2:$H$39,_xlpm.p,Ligas!$I$2:$I$39,_xlpm.l),0)))</f>
        <v>2.09</v>
      </c>
      <c r="J243" s="11" cm="1">
        <f t="array" ref="J243">IF($A243="","",IFERROR((SUMPRODUCT((TRIM(tblDados[Mandante])=$A243)*tblDados[Primeira_Ocorrencia]*(tblDados[GM_M]=0))+SUMPRODUCT((TRIM(tblDados[Visitante])=$A243)*tblDados[Primeira_Ocorrencia]*(tblDados[GM_V]=0)))/G243,0))</f>
        <v>0.16666666666666666</v>
      </c>
      <c r="K243" s="11" cm="1">
        <f t="array" ref="K243">IF($A243="","",IFERROR((SUMPRODUCT((TRIM(tblDados[Mandante])=$A243)*tblDados[Primeira_Ocorrencia]*((tblDados[GM_M]+tblDados[GS_M])&gt;0.5))+SUMPRODUCT((TRIM(tblDados[Visitante])=$A243)*tblDados[Primeira_Ocorrencia]*((tblDados[GM_V]+tblDados[GS_V])&gt;0.5)))/G243,0))</f>
        <v>0.91666666666666663</v>
      </c>
      <c r="L243" s="11" cm="1">
        <f t="array" ref="L243">IF($A243="","",IFERROR((SUMPRODUCT((TRIM(tblDados[Mandante])=$A243)*tblDados[Primeira_Ocorrencia]*((tblDados[GM_M]+tblDados[GS_M])&gt;1.5))+SUMPRODUCT((TRIM(tblDados[Visitante])=$A243)*tblDados[Primeira_Ocorrencia]*((tblDados[GM_V]+tblDados[GS_V])&gt;1.5)))/G243,0))</f>
        <v>0.83333333333333337</v>
      </c>
      <c r="M243" s="11" cm="1">
        <f t="array" ref="M243">IF($A243="","",IFERROR((SUMPRODUCT((TRIM(tblDados[Mandante])=$A243)*tblDados[Primeira_Ocorrencia]*((tblDados[GM_M]+tblDados[GS_M])&gt;2.5))+SUMPRODUCT((TRIM(tblDados[Visitante])=$A243)*tblDados[Primeira_Ocorrencia]*((tblDados[GM_V]+tblDados[GS_V])&gt;2.5)))/G243,0))</f>
        <v>0.58333333333333337</v>
      </c>
      <c r="N243" s="11" cm="1">
        <f t="array" ref="N243">IF($A243="","",IFERROR((SUMPRODUCT((TRIM(tblDados[Mandante])=$A243)*tblDados[Primeira_Ocorrencia]*((tblDados[GM_M]+tblDados[GS_M])&gt;3.5))+SUMPRODUCT((TRIM(tblDados[Visitante])=$A243)*tblDados[Primeira_Ocorrencia]*((tblDados[GM_V]+tblDados[GS_V])&gt;3.5)))/G243,0))</f>
        <v>0.41666666666666669</v>
      </c>
      <c r="O243" s="11" cm="1">
        <f t="array" ref="O243">IF($A243="","",IFERROR((SUMPRODUCT((TRIM(tblDados[Mandante])=$A243)*tblDados[Primeira_Ocorrencia]*(tblDados[GM_M]&gt;0)*(tblDados[GS_M]&gt;0))+SUMPRODUCT((TRIM(tblDados[Visitante])=$A243)*tblDados[Primeira_Ocorrencia]*(tblDados[GM_V]&gt;0)*(tblDados[GS_V]&gt;0)))/G243,0))</f>
        <v>0.5</v>
      </c>
      <c r="P243" s="10" cm="1">
        <f t="array" ref="P243">IF($A243="","",IFERROR((SUMPRODUCT((TRIM(tblDados[Mandante])=$A243)*tblDados[Primeira_Ocorrencia]*tblDados[GM_M]^2)+SUMPRODUCT((TRIM(tblDados[Visitante])=$A243)*tblDados[Primeira_Ocorrencia]*tblDados[GM_V]^2))/G243-H243^2,0))</f>
        <v>2.5763888888888884</v>
      </c>
      <c r="Q243" s="10">
        <f t="shared" si="48"/>
        <v>1.6051133570215184</v>
      </c>
      <c r="R243" s="8" t="str">
        <f t="shared" si="49"/>
        <v>Poisson</v>
      </c>
      <c r="S243" s="10" cm="1">
        <f t="array" ref="S243">IF($A243="","",SUMPRODUCT((TRIM(tblDados[Mandante])=$A243)*tblDados[Primeira_Ocorrencia]*tblDados[GM_M]))</f>
        <v>12</v>
      </c>
      <c r="T243" s="10" cm="1">
        <f t="array" ref="T243">IF($A243="","",SUMPRODUCT((TRIM(tblDados[Visitante])=$A243)*tblDados[Primeira_Ocorrencia]*tblDados[GM_V]))</f>
        <v>11</v>
      </c>
      <c r="U243" s="10">
        <f t="shared" si="50"/>
        <v>23</v>
      </c>
      <c r="V243" s="10">
        <f t="shared" si="39"/>
        <v>1.9166666666666667</v>
      </c>
      <c r="W243" s="10" cm="1">
        <f t="array" ref="W243">IF($A243="","",SUMPRODUCT((TRIM(tblDados[Mandante])=$A243)*tblDados[Primeira_Ocorrencia]*tblDados[GS_M]))</f>
        <v>5</v>
      </c>
      <c r="X243" s="10" cm="1">
        <f t="array" ref="X243">IF($A243="","",SUMPRODUCT((TRIM(tblDados[Visitante])=$A243)*tblDados[Primeira_Ocorrencia]*tblDados[GS_V]))</f>
        <v>8</v>
      </c>
      <c r="Y243" s="10">
        <f t="shared" si="51"/>
        <v>13</v>
      </c>
      <c r="Z243" s="10">
        <f t="shared" si="40"/>
        <v>1.0833333333333333</v>
      </c>
      <c r="AA243" s="10">
        <f t="shared" si="41"/>
        <v>2</v>
      </c>
      <c r="AB243" s="10">
        <f t="shared" si="42"/>
        <v>0.83333333333333337</v>
      </c>
      <c r="AC243" s="10">
        <f t="shared" si="43"/>
        <v>1.8333333333333333</v>
      </c>
      <c r="AD243" s="10">
        <f t="shared" si="44"/>
        <v>1.3333333333333333</v>
      </c>
    </row>
    <row r="244" spans="1:30" x14ac:dyDescent="0.3">
      <c r="A244" s="7" t="str">
        <v>Hafnarfjordur (FH Hafnarfjörður)</v>
      </c>
      <c r="B244" s="12" t="str" cm="1">
        <f t="array" ref="B244">IF($A244="","",_xlfn.LET(_xlpm.p,IFERROR(INDEX(tblDados[País],MATCH($A244,TRIM(tblDados[Mandante]),0)),INDEX(tblDados[País],MATCH($A244,TRIM(tblDados[Visitante]),0))),_xlpm.l,IFERROR(INDEX(tblDados[Liga],MATCH($A244,TRIM(tblDados[Mandante]),0)),INDEX(tblDados[Liga],MATCH($A244,TRIM(tblDados[Visitante]),0))),_xlpm.p&amp;" - "&amp;_xlpm.l))</f>
        <v>ISL - Besta-deild karla (PL)</v>
      </c>
      <c r="C244" s="10">
        <f t="shared" si="45"/>
        <v>2</v>
      </c>
      <c r="D244" s="10">
        <f t="shared" si="46"/>
        <v>2.25</v>
      </c>
      <c r="E244" s="9" cm="1">
        <f t="array" ref="E244">IF($A244="","",SUMPRODUCT((TRIM(tblDados[Mandante])=$A244)*tblDados[Primeira_Ocorrencia]))</f>
        <v>8</v>
      </c>
      <c r="F244" s="9" cm="1">
        <f t="array" ref="F244">IF($A244="","",SUMPRODUCT((TRIM(tblDados[Visitante])=$A244)*tblDados[Primeira_Ocorrencia]))</f>
        <v>4</v>
      </c>
      <c r="G244" s="9" cm="1">
        <f t="array" ref="G244">IF($A244="","",SUMPRODUCT((TRIM(tblDados[Mandante])=$A244)*tblDados[Primeira_Ocorrencia])+SUMPRODUCT((TRIM(tblDados[Visitante])=$A244)*tblDados[Primeira_Ocorrencia]))</f>
        <v>12</v>
      </c>
      <c r="H244" s="10">
        <f t="shared" si="47"/>
        <v>0.91666666666666663</v>
      </c>
      <c r="I244" s="10" cm="1">
        <f t="array" ref="I244">IF($A244="","",_xlfn.LET(_xlpm.p,IFERROR(INDEX(tblDados[País],MATCH($A244,TRIM(tblDados[Mandante]),0)),INDEX(tblDados[País],MATCH($A244,TRIM(tblDados[Visitante]),0))),_xlpm.l,IFERROR(INDEX(tblDados[Liga],MATCH($A244,TRIM(tblDados[Mandante]),0)),INDEX(tblDados[Liga],MATCH($A244,TRIM(tblDados[Visitante]),0))),IFERROR(SUMIFS(Ligas!$D$2:$D$39,Ligas!$H$2:$H$39,_xlpm.p,Ligas!$I$2:$I$39,_xlpm.l),0)))</f>
        <v>2.5</v>
      </c>
      <c r="J244" s="11" cm="1">
        <f t="array" ref="J244">IF($A244="","",IFERROR((SUMPRODUCT((TRIM(tblDados[Mandante])=$A244)*tblDados[Primeira_Ocorrencia]*(tblDados[GM_M]=0))+SUMPRODUCT((TRIM(tblDados[Visitante])=$A244)*tblDados[Primeira_Ocorrencia]*(tblDados[GM_V]=0)))/G244,0))</f>
        <v>0.33333333333333331</v>
      </c>
      <c r="K244" s="11" cm="1">
        <f t="array" ref="K244">IF($A244="","",IFERROR((SUMPRODUCT((TRIM(tblDados[Mandante])=$A244)*tblDados[Primeira_Ocorrencia]*((tblDados[GM_M]+tblDados[GS_M])&gt;0.5))+SUMPRODUCT((TRIM(tblDados[Visitante])=$A244)*tblDados[Primeira_Ocorrencia]*((tblDados[GM_V]+tblDados[GS_V])&gt;0.5)))/G244,0))</f>
        <v>0.83333333333333337</v>
      </c>
      <c r="L244" s="11" cm="1">
        <f t="array" ref="L244">IF($A244="","",IFERROR((SUMPRODUCT((TRIM(tblDados[Mandante])=$A244)*tblDados[Primeira_Ocorrencia]*((tblDados[GM_M]+tblDados[GS_M])&gt;1.5))+SUMPRODUCT((TRIM(tblDados[Visitante])=$A244)*tblDados[Primeira_Ocorrencia]*((tblDados[GM_V]+tblDados[GS_V])&gt;1.5)))/G244,0))</f>
        <v>0.66666666666666663</v>
      </c>
      <c r="M244" s="11" cm="1">
        <f t="array" ref="M244">IF($A244="","",IFERROR((SUMPRODUCT((TRIM(tblDados[Mandante])=$A244)*tblDados[Primeira_Ocorrencia]*((tblDados[GM_M]+tblDados[GS_M])&gt;2.5))+SUMPRODUCT((TRIM(tblDados[Visitante])=$A244)*tblDados[Primeira_Ocorrencia]*((tblDados[GM_V]+tblDados[GS_V])&gt;2.5)))/G244,0))</f>
        <v>0.33333333333333331</v>
      </c>
      <c r="N244" s="11" cm="1">
        <f t="array" ref="N244">IF($A244="","",IFERROR((SUMPRODUCT((TRIM(tblDados[Mandante])=$A244)*tblDados[Primeira_Ocorrencia]*((tblDados[GM_M]+tblDados[GS_M])&gt;3.5))+SUMPRODUCT((TRIM(tblDados[Visitante])=$A244)*tblDados[Primeira_Ocorrencia]*((tblDados[GM_V]+tblDados[GS_V])&gt;3.5)))/G244,0))</f>
        <v>0.16666666666666666</v>
      </c>
      <c r="O244" s="11" cm="1">
        <f t="array" ref="O244">IF($A244="","",IFERROR((SUMPRODUCT((TRIM(tblDados[Mandante])=$A244)*tblDados[Primeira_Ocorrencia]*(tblDados[GM_M]&gt;0)*(tblDados[GS_M]&gt;0))+SUMPRODUCT((TRIM(tblDados[Visitante])=$A244)*tblDados[Primeira_Ocorrencia]*(tblDados[GM_V]&gt;0)*(tblDados[GS_V]&gt;0)))/G244,0))</f>
        <v>0.5</v>
      </c>
      <c r="P244" s="10" cm="1">
        <f t="array" ref="P244">IF($A244="","",IFERROR((SUMPRODUCT((TRIM(tblDados[Mandante])=$A244)*tblDados[Primeira_Ocorrencia]*tblDados[GM_M]^2)+SUMPRODUCT((TRIM(tblDados[Visitante])=$A244)*tblDados[Primeira_Ocorrencia]*tblDados[GM_V]^2))/G244-H244^2,0))</f>
        <v>0.57638888888888906</v>
      </c>
      <c r="Q244" s="10">
        <f t="shared" si="48"/>
        <v>0.75920279826202497</v>
      </c>
      <c r="R244" s="8" t="str">
        <f t="shared" si="49"/>
        <v>Poisson</v>
      </c>
      <c r="S244" s="10" cm="1">
        <f t="array" ref="S244">IF($A244="","",SUMPRODUCT((TRIM(tblDados[Mandante])=$A244)*tblDados[Primeira_Ocorrencia]*tblDados[GM_M]))</f>
        <v>8</v>
      </c>
      <c r="T244" s="10" cm="1">
        <f t="array" ref="T244">IF($A244="","",SUMPRODUCT((TRIM(tblDados[Visitante])=$A244)*tblDados[Primeira_Ocorrencia]*tblDados[GM_V]))</f>
        <v>3</v>
      </c>
      <c r="U244" s="10">
        <f t="shared" si="50"/>
        <v>11</v>
      </c>
      <c r="V244" s="10">
        <f t="shared" si="39"/>
        <v>0.91666666666666663</v>
      </c>
      <c r="W244" s="10" cm="1">
        <f t="array" ref="W244">IF($A244="","",SUMPRODUCT((TRIM(tblDados[Mandante])=$A244)*tblDados[Primeira_Ocorrencia]*tblDados[GS_M]))</f>
        <v>8</v>
      </c>
      <c r="X244" s="10" cm="1">
        <f t="array" ref="X244">IF($A244="","",SUMPRODUCT((TRIM(tblDados[Visitante])=$A244)*tblDados[Primeira_Ocorrencia]*tblDados[GS_V]))</f>
        <v>6</v>
      </c>
      <c r="Y244" s="10">
        <f t="shared" si="51"/>
        <v>14</v>
      </c>
      <c r="Z244" s="10">
        <f t="shared" si="40"/>
        <v>1.1666666666666667</v>
      </c>
      <c r="AA244" s="10">
        <f t="shared" si="41"/>
        <v>1</v>
      </c>
      <c r="AB244" s="10">
        <f t="shared" si="42"/>
        <v>1</v>
      </c>
      <c r="AC244" s="10">
        <f t="shared" si="43"/>
        <v>0.75</v>
      </c>
      <c r="AD244" s="10">
        <f t="shared" si="44"/>
        <v>1.5</v>
      </c>
    </row>
    <row r="245" spans="1:30" x14ac:dyDescent="0.3">
      <c r="A245" s="7" t="str">
        <v>Halmstads BK</v>
      </c>
      <c r="B245" s="12" t="str" cm="1">
        <f t="array" ref="B245">IF($A245="","",_xlfn.LET(_xlpm.p,IFERROR(INDEX(tblDados[País],MATCH($A245,TRIM(tblDados[Mandante]),0)),INDEX(tblDados[País],MATCH($A245,TRIM(tblDados[Visitante]),0))),_xlpm.l,IFERROR(INDEX(tblDados[Liga],MATCH($A245,TRIM(tblDados[Mandante]),0)),INDEX(tblDados[Liga],MATCH($A245,TRIM(tblDados[Visitante]),0))),_xlpm.p&amp;" - "&amp;_xlpm.l))</f>
        <v>SWE - Allsvenskan</v>
      </c>
      <c r="C245" s="10">
        <f t="shared" si="45"/>
        <v>2.5714285714285716</v>
      </c>
      <c r="D245" s="10">
        <f t="shared" si="46"/>
        <v>3.2</v>
      </c>
      <c r="E245" s="9" cm="1">
        <f t="array" ref="E245">IF($A245="","",SUMPRODUCT((TRIM(tblDados[Mandante])=$A245)*tblDados[Primeira_Ocorrencia]))</f>
        <v>7</v>
      </c>
      <c r="F245" s="9" cm="1">
        <f t="array" ref="F245">IF($A245="","",SUMPRODUCT((TRIM(tblDados[Visitante])=$A245)*tblDados[Primeira_Ocorrencia]))</f>
        <v>5</v>
      </c>
      <c r="G245" s="9" cm="1">
        <f t="array" ref="G245">IF($A245="","",SUMPRODUCT((TRIM(tblDados[Mandante])=$A245)*tblDados[Primeira_Ocorrencia])+SUMPRODUCT((TRIM(tblDados[Visitante])=$A245)*tblDados[Primeira_Ocorrencia]))</f>
        <v>12</v>
      </c>
      <c r="H245" s="10">
        <f t="shared" si="47"/>
        <v>0.66666666666666663</v>
      </c>
      <c r="I245" s="10" cm="1">
        <f t="array" ref="I245">IF($A245="","",_xlfn.LET(_xlpm.p,IFERROR(INDEX(tblDados[País],MATCH($A245,TRIM(tblDados[Mandante]),0)),INDEX(tblDados[País],MATCH($A245,TRIM(tblDados[Visitante]),0))),_xlpm.l,IFERROR(INDEX(tblDados[Liga],MATCH($A245,TRIM(tblDados[Mandante]),0)),INDEX(tblDados[Liga],MATCH($A245,TRIM(tblDados[Visitante]),0))),IFERROR(SUMIFS(Ligas!$D$2:$D$39,Ligas!$H$2:$H$39,_xlpm.p,Ligas!$I$2:$I$39,_xlpm.l),0)))</f>
        <v>2.5</v>
      </c>
      <c r="J245" s="11" cm="1">
        <f t="array" ref="J245">IF($A245="","",IFERROR((SUMPRODUCT((TRIM(tblDados[Mandante])=$A245)*tblDados[Primeira_Ocorrencia]*(tblDados[GM_M]=0))+SUMPRODUCT((TRIM(tblDados[Visitante])=$A245)*tblDados[Primeira_Ocorrencia]*(tblDados[GM_V]=0)))/G245,0))</f>
        <v>0.5</v>
      </c>
      <c r="K245" s="11" cm="1">
        <f t="array" ref="K245">IF($A245="","",IFERROR((SUMPRODUCT((TRIM(tblDados[Mandante])=$A245)*tblDados[Primeira_Ocorrencia]*((tblDados[GM_M]+tblDados[GS_M])&gt;0.5))+SUMPRODUCT((TRIM(tblDados[Visitante])=$A245)*tblDados[Primeira_Ocorrencia]*((tblDados[GM_V]+tblDados[GS_V])&gt;0.5)))/G245,0))</f>
        <v>1</v>
      </c>
      <c r="L245" s="11" cm="1">
        <f t="array" ref="L245">IF($A245="","",IFERROR((SUMPRODUCT((TRIM(tblDados[Mandante])=$A245)*tblDados[Primeira_Ocorrencia]*((tblDados[GM_M]+tblDados[GS_M])&gt;1.5))+SUMPRODUCT((TRIM(tblDados[Visitante])=$A245)*tblDados[Primeira_Ocorrencia]*((tblDados[GM_V]+tblDados[GS_V])&gt;1.5)))/G245,0))</f>
        <v>1</v>
      </c>
      <c r="M245" s="11" cm="1">
        <f t="array" ref="M245">IF($A245="","",IFERROR((SUMPRODUCT((TRIM(tblDados[Mandante])=$A245)*tblDados[Primeira_Ocorrencia]*((tblDados[GM_M]+tblDados[GS_M])&gt;2.5))+SUMPRODUCT((TRIM(tblDados[Visitante])=$A245)*tblDados[Primeira_Ocorrencia]*((tblDados[GM_V]+tblDados[GS_V])&gt;2.5)))/G245,0))</f>
        <v>0.33333333333333331</v>
      </c>
      <c r="N245" s="11" cm="1">
        <f t="array" ref="N245">IF($A245="","",IFERROR((SUMPRODUCT((TRIM(tblDados[Mandante])=$A245)*tblDados[Primeira_Ocorrencia]*((tblDados[GM_M]+tblDados[GS_M])&gt;3.5))+SUMPRODUCT((TRIM(tblDados[Visitante])=$A245)*tblDados[Primeira_Ocorrencia]*((tblDados[GM_V]+tblDados[GS_V])&gt;3.5)))/G245,0))</f>
        <v>0.25</v>
      </c>
      <c r="O245" s="11" cm="1">
        <f t="array" ref="O245">IF($A245="","",IFERROR((SUMPRODUCT((TRIM(tblDados[Mandante])=$A245)*tblDados[Primeira_Ocorrencia]*(tblDados[GM_M]&gt;0)*(tblDados[GS_M]&gt;0))+SUMPRODUCT((TRIM(tblDados[Visitante])=$A245)*tblDados[Primeira_Ocorrencia]*(tblDados[GM_V]&gt;0)*(tblDados[GS_V]&gt;0)))/G245,0))</f>
        <v>0.41666666666666669</v>
      </c>
      <c r="P245" s="10" cm="1">
        <f t="array" ref="P245">IF($A245="","",IFERROR((SUMPRODUCT((TRIM(tblDados[Mandante])=$A245)*tblDados[Primeira_Ocorrencia]*tblDados[GM_M]^2)+SUMPRODUCT((TRIM(tblDados[Visitante])=$A245)*tblDados[Primeira_Ocorrencia]*tblDados[GM_V]^2))/G245-H245^2,0))</f>
        <v>0.55555555555555558</v>
      </c>
      <c r="Q245" s="10">
        <f t="shared" si="48"/>
        <v>0.7453559924999299</v>
      </c>
      <c r="R245" s="8" t="str">
        <f t="shared" si="49"/>
        <v>Poisson</v>
      </c>
      <c r="S245" s="10" cm="1">
        <f t="array" ref="S245">IF($A245="","",SUMPRODUCT((TRIM(tblDados[Mandante])=$A245)*tblDados[Primeira_Ocorrencia]*tblDados[GM_M]))</f>
        <v>5</v>
      </c>
      <c r="T245" s="10" cm="1">
        <f t="array" ref="T245">IF($A245="","",SUMPRODUCT((TRIM(tblDados[Visitante])=$A245)*tblDados[Primeira_Ocorrencia]*tblDados[GM_V]))</f>
        <v>3</v>
      </c>
      <c r="U245" s="10">
        <f t="shared" si="50"/>
        <v>8</v>
      </c>
      <c r="V245" s="10">
        <f t="shared" si="39"/>
        <v>0.66666666666666663</v>
      </c>
      <c r="W245" s="10" cm="1">
        <f t="array" ref="W245">IF($A245="","",SUMPRODUCT((TRIM(tblDados[Mandante])=$A245)*tblDados[Primeira_Ocorrencia]*tblDados[GS_M]))</f>
        <v>13</v>
      </c>
      <c r="X245" s="10" cm="1">
        <f t="array" ref="X245">IF($A245="","",SUMPRODUCT((TRIM(tblDados[Visitante])=$A245)*tblDados[Primeira_Ocorrencia]*tblDados[GS_V]))</f>
        <v>13</v>
      </c>
      <c r="Y245" s="10">
        <f t="shared" si="51"/>
        <v>26</v>
      </c>
      <c r="Z245" s="10">
        <f t="shared" si="40"/>
        <v>2.1666666666666665</v>
      </c>
      <c r="AA245" s="10">
        <f t="shared" si="41"/>
        <v>0.7142857142857143</v>
      </c>
      <c r="AB245" s="10">
        <f t="shared" si="42"/>
        <v>1.8571428571428572</v>
      </c>
      <c r="AC245" s="10">
        <f t="shared" si="43"/>
        <v>0.6</v>
      </c>
      <c r="AD245" s="10">
        <f t="shared" si="44"/>
        <v>2.6</v>
      </c>
    </row>
    <row r="246" spans="1:30" x14ac:dyDescent="0.3">
      <c r="A246" s="7" t="str">
        <v>Hammarby IF</v>
      </c>
      <c r="B246" s="12" t="str" cm="1">
        <f t="array" ref="B246">IF($A246="","",_xlfn.LET(_xlpm.p,IFERROR(INDEX(tblDados[País],MATCH($A246,TRIM(tblDados[Mandante]),0)),INDEX(tblDados[País],MATCH($A246,TRIM(tblDados[Visitante]),0))),_xlpm.l,IFERROR(INDEX(tblDados[Liga],MATCH($A246,TRIM(tblDados[Mandante]),0)),INDEX(tblDados[Liga],MATCH($A246,TRIM(tblDados[Visitante]),0))),_xlpm.p&amp;" - "&amp;_xlpm.l))</f>
        <v>SWE - Allsvenskan</v>
      </c>
      <c r="C246" s="10">
        <f t="shared" si="45"/>
        <v>3.3333333333333335</v>
      </c>
      <c r="D246" s="10">
        <f t="shared" si="46"/>
        <v>2.5</v>
      </c>
      <c r="E246" s="9" cm="1">
        <f t="array" ref="E246">IF($A246="","",SUMPRODUCT((TRIM(tblDados[Mandante])=$A246)*tblDados[Primeira_Ocorrencia]))</f>
        <v>6</v>
      </c>
      <c r="F246" s="9" cm="1">
        <f t="array" ref="F246">IF($A246="","",SUMPRODUCT((TRIM(tblDados[Visitante])=$A246)*tblDados[Primeira_Ocorrencia]))</f>
        <v>6</v>
      </c>
      <c r="G246" s="9" cm="1">
        <f t="array" ref="G246">IF($A246="","",SUMPRODUCT((TRIM(tblDados[Mandante])=$A246)*tblDados[Primeira_Ocorrencia])+SUMPRODUCT((TRIM(tblDados[Visitante])=$A246)*tblDados[Primeira_Ocorrencia]))</f>
        <v>12</v>
      </c>
      <c r="H246" s="10">
        <f t="shared" si="47"/>
        <v>2</v>
      </c>
      <c r="I246" s="10" cm="1">
        <f t="array" ref="I246">IF($A246="","",_xlfn.LET(_xlpm.p,IFERROR(INDEX(tblDados[País],MATCH($A246,TRIM(tblDados[Mandante]),0)),INDEX(tblDados[País],MATCH($A246,TRIM(tblDados[Visitante]),0))),_xlpm.l,IFERROR(INDEX(tblDados[Liga],MATCH($A246,TRIM(tblDados[Mandante]),0)),INDEX(tblDados[Liga],MATCH($A246,TRIM(tblDados[Visitante]),0))),IFERROR(SUMIFS(Ligas!$D$2:$D$39,Ligas!$H$2:$H$39,_xlpm.p,Ligas!$I$2:$I$39,_xlpm.l),0)))</f>
        <v>2.5</v>
      </c>
      <c r="J246" s="11" cm="1">
        <f t="array" ref="J246">IF($A246="","",IFERROR((SUMPRODUCT((TRIM(tblDados[Mandante])=$A246)*tblDados[Primeira_Ocorrencia]*(tblDados[GM_M]=0))+SUMPRODUCT((TRIM(tblDados[Visitante])=$A246)*tblDados[Primeira_Ocorrencia]*(tblDados[GM_V]=0)))/G246,0))</f>
        <v>8.3333333333333329E-2</v>
      </c>
      <c r="K246" s="11" cm="1">
        <f t="array" ref="K246">IF($A246="","",IFERROR((SUMPRODUCT((TRIM(tblDados[Mandante])=$A246)*tblDados[Primeira_Ocorrencia]*((tblDados[GM_M]+tblDados[GS_M])&gt;0.5))+SUMPRODUCT((TRIM(tblDados[Visitante])=$A246)*tblDados[Primeira_Ocorrencia]*((tblDados[GM_V]+tblDados[GS_V])&gt;0.5)))/G246,0))</f>
        <v>1</v>
      </c>
      <c r="L246" s="11" cm="1">
        <f t="array" ref="L246">IF($A246="","",IFERROR((SUMPRODUCT((TRIM(tblDados[Mandante])=$A246)*tblDados[Primeira_Ocorrencia]*((tblDados[GM_M]+tblDados[GS_M])&gt;1.5))+SUMPRODUCT((TRIM(tblDados[Visitante])=$A246)*tblDados[Primeira_Ocorrencia]*((tblDados[GM_V]+tblDados[GS_V])&gt;1.5)))/G246,0))</f>
        <v>0.91666666666666663</v>
      </c>
      <c r="M246" s="11" cm="1">
        <f t="array" ref="M246">IF($A246="","",IFERROR((SUMPRODUCT((TRIM(tblDados[Mandante])=$A246)*tblDados[Primeira_Ocorrencia]*((tblDados[GM_M]+tblDados[GS_M])&gt;2.5))+SUMPRODUCT((TRIM(tblDados[Visitante])=$A246)*tblDados[Primeira_Ocorrencia]*((tblDados[GM_V]+tblDados[GS_V])&gt;2.5)))/G246,0))</f>
        <v>0.58333333333333337</v>
      </c>
      <c r="N246" s="11" cm="1">
        <f t="array" ref="N246">IF($A246="","",IFERROR((SUMPRODUCT((TRIM(tblDados[Mandante])=$A246)*tblDados[Primeira_Ocorrencia]*((tblDados[GM_M]+tblDados[GS_M])&gt;3.5))+SUMPRODUCT((TRIM(tblDados[Visitante])=$A246)*tblDados[Primeira_Ocorrencia]*((tblDados[GM_V]+tblDados[GS_V])&gt;3.5)))/G246,0))</f>
        <v>0.25</v>
      </c>
      <c r="O246" s="11" cm="1">
        <f t="array" ref="O246">IF($A246="","",IFERROR((SUMPRODUCT((TRIM(tblDados[Mandante])=$A246)*tblDados[Primeira_Ocorrencia]*(tblDados[GM_M]&gt;0)*(tblDados[GS_M]&gt;0))+SUMPRODUCT((TRIM(tblDados[Visitante])=$A246)*tblDados[Primeira_Ocorrencia]*(tblDados[GM_V]&gt;0)*(tblDados[GS_V]&gt;0)))/G246,0))</f>
        <v>0.5</v>
      </c>
      <c r="P246" s="10" cm="1">
        <f t="array" ref="P246">IF($A246="","",IFERROR((SUMPRODUCT((TRIM(tblDados[Mandante])=$A246)*tblDados[Primeira_Ocorrencia]*tblDados[GM_M]^2)+SUMPRODUCT((TRIM(tblDados[Visitante])=$A246)*tblDados[Primeira_Ocorrencia]*tblDados[GM_V]^2))/G246-H246^2,0))</f>
        <v>1.5</v>
      </c>
      <c r="Q246" s="10">
        <f t="shared" si="48"/>
        <v>1.2247448713915889</v>
      </c>
      <c r="R246" s="8" t="str">
        <f t="shared" si="49"/>
        <v>Poisson</v>
      </c>
      <c r="S246" s="10" cm="1">
        <f t="array" ref="S246">IF($A246="","",SUMPRODUCT((TRIM(tblDados[Mandante])=$A246)*tblDados[Primeira_Ocorrencia]*tblDados[GM_M]))</f>
        <v>17</v>
      </c>
      <c r="T246" s="10" cm="1">
        <f t="array" ref="T246">IF($A246="","",SUMPRODUCT((TRIM(tblDados[Visitante])=$A246)*tblDados[Primeira_Ocorrencia]*tblDados[GM_V]))</f>
        <v>7</v>
      </c>
      <c r="U246" s="10">
        <f t="shared" si="50"/>
        <v>24</v>
      </c>
      <c r="V246" s="10">
        <f t="shared" si="39"/>
        <v>2</v>
      </c>
      <c r="W246" s="10" cm="1">
        <f t="array" ref="W246">IF($A246="","",SUMPRODUCT((TRIM(tblDados[Mandante])=$A246)*tblDados[Primeira_Ocorrencia]*tblDados[GS_M]))</f>
        <v>3</v>
      </c>
      <c r="X246" s="10" cm="1">
        <f t="array" ref="X246">IF($A246="","",SUMPRODUCT((TRIM(tblDados[Visitante])=$A246)*tblDados[Primeira_Ocorrencia]*tblDados[GS_V]))</f>
        <v>8</v>
      </c>
      <c r="Y246" s="10">
        <f t="shared" si="51"/>
        <v>11</v>
      </c>
      <c r="Z246" s="10">
        <f t="shared" si="40"/>
        <v>0.91666666666666663</v>
      </c>
      <c r="AA246" s="10">
        <f t="shared" si="41"/>
        <v>2.8333333333333335</v>
      </c>
      <c r="AB246" s="10">
        <f t="shared" si="42"/>
        <v>0.5</v>
      </c>
      <c r="AC246" s="10">
        <f t="shared" si="43"/>
        <v>1.1666666666666667</v>
      </c>
      <c r="AD246" s="10">
        <f t="shared" si="44"/>
        <v>1.3333333333333333</v>
      </c>
    </row>
    <row r="247" spans="1:30" x14ac:dyDescent="0.3">
      <c r="A247" s="7" t="str">
        <v>Hammarby TFF</v>
      </c>
      <c r="B247" s="12" t="str" cm="1">
        <f t="array" ref="B247">IF($A247="","",_xlfn.LET(_xlpm.p,IFERROR(INDEX(tblDados[País],MATCH($A247,TRIM(tblDados[Mandante]),0)),INDEX(tblDados[País],MATCH($A247,TRIM(tblDados[Visitante]),0))),_xlpm.l,IFERROR(INDEX(tblDados[Liga],MATCH($A247,TRIM(tblDados[Mandante]),0)),INDEX(tblDados[Liga],MATCH($A247,TRIM(tblDados[Visitante]),0))),_xlpm.p&amp;" - "&amp;_xlpm.l))</f>
        <v>SWE - 1ª D Norra</v>
      </c>
      <c r="C247" s="10">
        <f t="shared" si="45"/>
        <v>3.5</v>
      </c>
      <c r="D247" s="10">
        <f t="shared" si="46"/>
        <v>3</v>
      </c>
      <c r="E247" s="9" cm="1">
        <f t="array" ref="E247">IF($A247="","",SUMPRODUCT((TRIM(tblDados[Mandante])=$A247)*tblDados[Primeira_Ocorrencia]))</f>
        <v>6</v>
      </c>
      <c r="F247" s="9" cm="1">
        <f t="array" ref="F247">IF($A247="","",SUMPRODUCT((TRIM(tblDados[Visitante])=$A247)*tblDados[Primeira_Ocorrencia]))</f>
        <v>6</v>
      </c>
      <c r="G247" s="9" cm="1">
        <f t="array" ref="G247">IF($A247="","",SUMPRODUCT((TRIM(tblDados[Mandante])=$A247)*tblDados[Primeira_Ocorrencia])+SUMPRODUCT((TRIM(tblDados[Visitante])=$A247)*tblDados[Primeira_Ocorrencia]))</f>
        <v>12</v>
      </c>
      <c r="H247" s="10">
        <f t="shared" si="47"/>
        <v>2.75</v>
      </c>
      <c r="I247" s="10" cm="1">
        <f t="array" ref="I247">IF($A247="","",_xlfn.LET(_xlpm.p,IFERROR(INDEX(tblDados[País],MATCH($A247,TRIM(tblDados[Mandante]),0)),INDEX(tblDados[País],MATCH($A247,TRIM(tblDados[Visitante]),0))),_xlpm.l,IFERROR(INDEX(tblDados[Liga],MATCH($A247,TRIM(tblDados[Mandante]),0)),INDEX(tblDados[Liga],MATCH($A247,TRIM(tblDados[Visitante]),0))),IFERROR(SUMIFS(Ligas!$D$2:$D$39,Ligas!$H$2:$H$39,_xlpm.p,Ligas!$I$2:$I$39,_xlpm.l),0)))</f>
        <v>2.5</v>
      </c>
      <c r="J247" s="11" cm="1">
        <f t="array" ref="J247">IF($A247="","",IFERROR((SUMPRODUCT((TRIM(tblDados[Mandante])=$A247)*tblDados[Primeira_Ocorrencia]*(tblDados[GM_M]=0))+SUMPRODUCT((TRIM(tblDados[Visitante])=$A247)*tblDados[Primeira_Ocorrencia]*(tblDados[GM_V]=0)))/G247,0))</f>
        <v>0</v>
      </c>
      <c r="K247" s="11" cm="1">
        <f t="array" ref="K247">IF($A247="","",IFERROR((SUMPRODUCT((TRIM(tblDados[Mandante])=$A247)*tblDados[Primeira_Ocorrencia]*((tblDados[GM_M]+tblDados[GS_M])&gt;0.5))+SUMPRODUCT((TRIM(tblDados[Visitante])=$A247)*tblDados[Primeira_Ocorrencia]*((tblDados[GM_V]+tblDados[GS_V])&gt;0.5)))/G247,0))</f>
        <v>1</v>
      </c>
      <c r="L247" s="11" cm="1">
        <f t="array" ref="L247">IF($A247="","",IFERROR((SUMPRODUCT((TRIM(tblDados[Mandante])=$A247)*tblDados[Primeira_Ocorrencia]*((tblDados[GM_M]+tblDados[GS_M])&gt;1.5))+SUMPRODUCT((TRIM(tblDados[Visitante])=$A247)*tblDados[Primeira_Ocorrencia]*((tblDados[GM_V]+tblDados[GS_V])&gt;1.5)))/G247,0))</f>
        <v>0.91666666666666663</v>
      </c>
      <c r="M247" s="11" cm="1">
        <f t="array" ref="M247">IF($A247="","",IFERROR((SUMPRODUCT((TRIM(tblDados[Mandante])=$A247)*tblDados[Primeira_Ocorrencia]*((tblDados[GM_M]+tblDados[GS_M])&gt;2.5))+SUMPRODUCT((TRIM(tblDados[Visitante])=$A247)*tblDados[Primeira_Ocorrencia]*((tblDados[GM_V]+tblDados[GS_V])&gt;2.5)))/G247,0))</f>
        <v>0.5</v>
      </c>
      <c r="N247" s="11" cm="1">
        <f t="array" ref="N247">IF($A247="","",IFERROR((SUMPRODUCT((TRIM(tblDados[Mandante])=$A247)*tblDados[Primeira_Ocorrencia]*((tblDados[GM_M]+tblDados[GS_M])&gt;3.5))+SUMPRODUCT((TRIM(tblDados[Visitante])=$A247)*tblDados[Primeira_Ocorrencia]*((tblDados[GM_V]+tblDados[GS_V])&gt;3.5)))/G247,0))</f>
        <v>0.41666666666666669</v>
      </c>
      <c r="O247" s="11" cm="1">
        <f t="array" ref="O247">IF($A247="","",IFERROR((SUMPRODUCT((TRIM(tblDados[Mandante])=$A247)*tblDados[Primeira_Ocorrencia]*(tblDados[GM_M]&gt;0)*(tblDados[GS_M]&gt;0))+SUMPRODUCT((TRIM(tblDados[Visitante])=$A247)*tblDados[Primeira_Ocorrencia]*(tblDados[GM_V]&gt;0)*(tblDados[GS_V]&gt;0)))/G247,0))</f>
        <v>0.41666666666666669</v>
      </c>
      <c r="P247" s="10" cm="1">
        <f t="array" ref="P247">IF($A247="","",IFERROR((SUMPRODUCT((TRIM(tblDados[Mandante])=$A247)*tblDados[Primeira_Ocorrencia]*tblDados[GM_M]^2)+SUMPRODUCT((TRIM(tblDados[Visitante])=$A247)*tblDados[Primeira_Ocorrencia]*tblDados[GM_V]^2))/G247-H247^2,0))</f>
        <v>3.3541666666666661</v>
      </c>
      <c r="Q247" s="10">
        <f t="shared" si="48"/>
        <v>1.8314384146529923</v>
      </c>
      <c r="R247" s="8" t="str">
        <f t="shared" si="49"/>
        <v>Poisson</v>
      </c>
      <c r="S247" s="10" cm="1">
        <f t="array" ref="S247">IF($A247="","",SUMPRODUCT((TRIM(tblDados[Mandante])=$A247)*tblDados[Primeira_Ocorrencia]*tblDados[GM_M]))</f>
        <v>15</v>
      </c>
      <c r="T247" s="10" cm="1">
        <f t="array" ref="T247">IF($A247="","",SUMPRODUCT((TRIM(tblDados[Visitante])=$A247)*tblDados[Primeira_Ocorrencia]*tblDados[GM_V]))</f>
        <v>18</v>
      </c>
      <c r="U247" s="10">
        <f t="shared" si="50"/>
        <v>33</v>
      </c>
      <c r="V247" s="10">
        <f t="shared" si="39"/>
        <v>2.75</v>
      </c>
      <c r="W247" s="10" cm="1">
        <f t="array" ref="W247">IF($A247="","",SUMPRODUCT((TRIM(tblDados[Mandante])=$A247)*tblDados[Primeira_Ocorrencia]*tblDados[GS_M]))</f>
        <v>6</v>
      </c>
      <c r="X247" s="10" cm="1">
        <f t="array" ref="X247">IF($A247="","",SUMPRODUCT((TRIM(tblDados[Visitante])=$A247)*tblDados[Primeira_Ocorrencia]*tblDados[GS_V]))</f>
        <v>0</v>
      </c>
      <c r="Y247" s="10">
        <f t="shared" si="51"/>
        <v>6</v>
      </c>
      <c r="Z247" s="10">
        <f t="shared" si="40"/>
        <v>0.5</v>
      </c>
      <c r="AA247" s="10">
        <f t="shared" si="41"/>
        <v>2.5</v>
      </c>
      <c r="AB247" s="10">
        <f t="shared" si="42"/>
        <v>1</v>
      </c>
      <c r="AC247" s="10">
        <f t="shared" si="43"/>
        <v>3</v>
      </c>
      <c r="AD247" s="10">
        <f t="shared" si="44"/>
        <v>0</v>
      </c>
    </row>
    <row r="248" spans="1:30" x14ac:dyDescent="0.3">
      <c r="A248" s="7" t="str">
        <v>Hässleholms IF</v>
      </c>
      <c r="B248" s="12" t="str" cm="1">
        <f t="array" ref="B248">IF($A248="","",_xlfn.LET(_xlpm.p,IFERROR(INDEX(tblDados[País],MATCH($A248,TRIM(tblDados[Mandante]),0)),INDEX(tblDados[País],MATCH($A248,TRIM(tblDados[Visitante]),0))),_xlpm.l,IFERROR(INDEX(tblDados[Liga],MATCH($A248,TRIM(tblDados[Mandante]),0)),INDEX(tblDados[Liga],MATCH($A248,TRIM(tblDados[Visitante]),0))),_xlpm.p&amp;" - "&amp;_xlpm.l))</f>
        <v>SWE - 1ª D Södra</v>
      </c>
      <c r="C248" s="10">
        <f t="shared" si="45"/>
        <v>3</v>
      </c>
      <c r="D248" s="10">
        <f t="shared" si="46"/>
        <v>3.333333333333333</v>
      </c>
      <c r="E248" s="9" cm="1">
        <f t="array" ref="E248">IF($A248="","",SUMPRODUCT((TRIM(tblDados[Mandante])=$A248)*tblDados[Primeira_Ocorrencia]))</f>
        <v>6</v>
      </c>
      <c r="F248" s="9" cm="1">
        <f t="array" ref="F248">IF($A248="","",SUMPRODUCT((TRIM(tblDados[Visitante])=$A248)*tblDados[Primeira_Ocorrencia]))</f>
        <v>6</v>
      </c>
      <c r="G248" s="9" cm="1">
        <f t="array" ref="G248">IF($A248="","",SUMPRODUCT((TRIM(tblDados[Mandante])=$A248)*tblDados[Primeira_Ocorrencia])+SUMPRODUCT((TRIM(tblDados[Visitante])=$A248)*tblDados[Primeira_Ocorrencia]))</f>
        <v>12</v>
      </c>
      <c r="H248" s="10">
        <f t="shared" si="47"/>
        <v>1.75</v>
      </c>
      <c r="I248" s="10" cm="1">
        <f t="array" ref="I248">IF($A248="","",_xlfn.LET(_xlpm.p,IFERROR(INDEX(tblDados[País],MATCH($A248,TRIM(tblDados[Mandante]),0)),INDEX(tblDados[País],MATCH($A248,TRIM(tblDados[Visitante]),0))),_xlpm.l,IFERROR(INDEX(tblDados[Liga],MATCH($A248,TRIM(tblDados[Mandante]),0)),INDEX(tblDados[Liga],MATCH($A248,TRIM(tblDados[Visitante]),0))),IFERROR(SUMIFS(Ligas!$D$2:$D$39,Ligas!$H$2:$H$39,_xlpm.p,Ligas!$I$2:$I$39,_xlpm.l),0)))</f>
        <v>2.5</v>
      </c>
      <c r="J248" s="11" cm="1">
        <f t="array" ref="J248">IF($A248="","",IFERROR((SUMPRODUCT((TRIM(tblDados[Mandante])=$A248)*tblDados[Primeira_Ocorrencia]*(tblDados[GM_M]=0))+SUMPRODUCT((TRIM(tblDados[Visitante])=$A248)*tblDados[Primeira_Ocorrencia]*(tblDados[GM_V]=0)))/G248,0))</f>
        <v>0.25</v>
      </c>
      <c r="K248" s="11" cm="1">
        <f t="array" ref="K248">IF($A248="","",IFERROR((SUMPRODUCT((TRIM(tblDados[Mandante])=$A248)*tblDados[Primeira_Ocorrencia]*((tblDados[GM_M]+tblDados[GS_M])&gt;0.5))+SUMPRODUCT((TRIM(tblDados[Visitante])=$A248)*tblDados[Primeira_Ocorrencia]*((tblDados[GM_V]+tblDados[GS_V])&gt;0.5)))/G248,0))</f>
        <v>1</v>
      </c>
      <c r="L248" s="11" cm="1">
        <f t="array" ref="L248">IF($A248="","",IFERROR((SUMPRODUCT((TRIM(tblDados[Mandante])=$A248)*tblDados[Primeira_Ocorrencia]*((tblDados[GM_M]+tblDados[GS_M])&gt;1.5))+SUMPRODUCT((TRIM(tblDados[Visitante])=$A248)*tblDados[Primeira_Ocorrencia]*((tblDados[GM_V]+tblDados[GS_V])&gt;1.5)))/G248,0))</f>
        <v>0.91666666666666663</v>
      </c>
      <c r="M248" s="11" cm="1">
        <f t="array" ref="M248">IF($A248="","",IFERROR((SUMPRODUCT((TRIM(tblDados[Mandante])=$A248)*tblDados[Primeira_Ocorrencia]*((tblDados[GM_M]+tblDados[GS_M])&gt;2.5))+SUMPRODUCT((TRIM(tblDados[Visitante])=$A248)*tblDados[Primeira_Ocorrencia]*((tblDados[GM_V]+tblDados[GS_V])&gt;2.5)))/G248,0))</f>
        <v>0.58333333333333337</v>
      </c>
      <c r="N248" s="11" cm="1">
        <f t="array" ref="N248">IF($A248="","",IFERROR((SUMPRODUCT((TRIM(tblDados[Mandante])=$A248)*tblDados[Primeira_Ocorrencia]*((tblDados[GM_M]+tblDados[GS_M])&gt;3.5))+SUMPRODUCT((TRIM(tblDados[Visitante])=$A248)*tblDados[Primeira_Ocorrencia]*((tblDados[GM_V]+tblDados[GS_V])&gt;3.5)))/G248,0))</f>
        <v>0.41666666666666669</v>
      </c>
      <c r="O248" s="11" cm="1">
        <f t="array" ref="O248">IF($A248="","",IFERROR((SUMPRODUCT((TRIM(tblDados[Mandante])=$A248)*tblDados[Primeira_Ocorrencia]*(tblDados[GM_M]&gt;0)*(tblDados[GS_M]&gt;0))+SUMPRODUCT((TRIM(tblDados[Visitante])=$A248)*tblDados[Primeira_Ocorrencia]*(tblDados[GM_V]&gt;0)*(tblDados[GS_V]&gt;0)))/G248,0))</f>
        <v>0.5</v>
      </c>
      <c r="P248" s="10" cm="1">
        <f t="array" ref="P248">IF($A248="","",IFERROR((SUMPRODUCT((TRIM(tblDados[Mandante])=$A248)*tblDados[Primeira_Ocorrencia]*tblDados[GM_M]^2)+SUMPRODUCT((TRIM(tblDados[Visitante])=$A248)*tblDados[Primeira_Ocorrencia]*tblDados[GM_V]^2))/G248-H248^2,0))</f>
        <v>1.520833333333333</v>
      </c>
      <c r="Q248" s="10">
        <f t="shared" si="48"/>
        <v>1.2332207155790618</v>
      </c>
      <c r="R248" s="8" t="str">
        <f t="shared" si="49"/>
        <v>Poisson</v>
      </c>
      <c r="S248" s="10" cm="1">
        <f t="array" ref="S248">IF($A248="","",SUMPRODUCT((TRIM(tblDados[Mandante])=$A248)*tblDados[Primeira_Ocorrencia]*tblDados[GM_M]))</f>
        <v>10</v>
      </c>
      <c r="T248" s="10" cm="1">
        <f t="array" ref="T248">IF($A248="","",SUMPRODUCT((TRIM(tblDados[Visitante])=$A248)*tblDados[Primeira_Ocorrencia]*tblDados[GM_V]))</f>
        <v>11</v>
      </c>
      <c r="U248" s="10">
        <f t="shared" si="50"/>
        <v>21</v>
      </c>
      <c r="V248" s="10">
        <f t="shared" si="39"/>
        <v>1.75</v>
      </c>
      <c r="W248" s="10" cm="1">
        <f t="array" ref="W248">IF($A248="","",SUMPRODUCT((TRIM(tblDados[Mandante])=$A248)*tblDados[Primeira_Ocorrencia]*tblDados[GS_M]))</f>
        <v>8</v>
      </c>
      <c r="X248" s="10" cm="1">
        <f t="array" ref="X248">IF($A248="","",SUMPRODUCT((TRIM(tblDados[Visitante])=$A248)*tblDados[Primeira_Ocorrencia]*tblDados[GS_V]))</f>
        <v>9</v>
      </c>
      <c r="Y248" s="10">
        <f t="shared" si="51"/>
        <v>17</v>
      </c>
      <c r="Z248" s="10">
        <f t="shared" si="40"/>
        <v>1.4166666666666667</v>
      </c>
      <c r="AA248" s="10">
        <f t="shared" si="41"/>
        <v>1.6666666666666667</v>
      </c>
      <c r="AB248" s="10">
        <f t="shared" si="42"/>
        <v>1.3333333333333333</v>
      </c>
      <c r="AC248" s="10">
        <f t="shared" si="43"/>
        <v>1.8333333333333333</v>
      </c>
      <c r="AD248" s="10">
        <f t="shared" si="44"/>
        <v>1.5</v>
      </c>
    </row>
    <row r="249" spans="1:30" x14ac:dyDescent="0.3">
      <c r="A249" s="7" t="str">
        <v>Helsingborgs IF</v>
      </c>
      <c r="B249" s="12" t="str" cm="1">
        <f t="array" ref="B249">IF($A249="","",_xlfn.LET(_xlpm.p,IFERROR(INDEX(tblDados[País],MATCH($A249,TRIM(tblDados[Mandante]),0)),INDEX(tblDados[País],MATCH($A249,TRIM(tblDados[Visitante]),0))),_xlpm.l,IFERROR(INDEX(tblDados[Liga],MATCH($A249,TRIM(tblDados[Mandante]),0)),INDEX(tblDados[Liga],MATCH($A249,TRIM(tblDados[Visitante]),0))),_xlpm.p&amp;" - "&amp;_xlpm.l))</f>
        <v>SWE - Superettan</v>
      </c>
      <c r="C249" s="10">
        <f t="shared" si="45"/>
        <v>3.6666666666666665</v>
      </c>
      <c r="D249" s="10">
        <f t="shared" si="46"/>
        <v>3.833333333333333</v>
      </c>
      <c r="E249" s="9" cm="1">
        <f t="array" ref="E249">IF($A249="","",SUMPRODUCT((TRIM(tblDados[Mandante])=$A249)*tblDados[Primeira_Ocorrencia]))</f>
        <v>6</v>
      </c>
      <c r="F249" s="9" cm="1">
        <f t="array" ref="F249">IF($A249="","",SUMPRODUCT((TRIM(tblDados[Visitante])=$A249)*tblDados[Primeira_Ocorrencia]))</f>
        <v>6</v>
      </c>
      <c r="G249" s="9" cm="1">
        <f t="array" ref="G249">IF($A249="","",SUMPRODUCT((TRIM(tblDados[Mandante])=$A249)*tblDados[Primeira_Ocorrencia])+SUMPRODUCT((TRIM(tblDados[Visitante])=$A249)*tblDados[Primeira_Ocorrencia]))</f>
        <v>12</v>
      </c>
      <c r="H249" s="10">
        <f t="shared" si="47"/>
        <v>1.6666666666666667</v>
      </c>
      <c r="I249" s="10" cm="1">
        <f t="array" ref="I249">IF($A249="","",_xlfn.LET(_xlpm.p,IFERROR(INDEX(tblDados[País],MATCH($A249,TRIM(tblDados[Mandante]),0)),INDEX(tblDados[País],MATCH($A249,TRIM(tblDados[Visitante]),0))),_xlpm.l,IFERROR(INDEX(tblDados[Liga],MATCH($A249,TRIM(tblDados[Mandante]),0)),INDEX(tblDados[Liga],MATCH($A249,TRIM(tblDados[Visitante]),0))),IFERROR(SUMIFS(Ligas!$D$2:$D$39,Ligas!$H$2:$H$39,_xlpm.p,Ligas!$I$2:$I$39,_xlpm.l),0)))</f>
        <v>2.5</v>
      </c>
      <c r="J249" s="11" cm="1">
        <f t="array" ref="J249">IF($A249="","",IFERROR((SUMPRODUCT((TRIM(tblDados[Mandante])=$A249)*tblDados[Primeira_Ocorrencia]*(tblDados[GM_M]=0))+SUMPRODUCT((TRIM(tblDados[Visitante])=$A249)*tblDados[Primeira_Ocorrencia]*(tblDados[GM_V]=0)))/G249,0))</f>
        <v>0.25</v>
      </c>
      <c r="K249" s="11" cm="1">
        <f t="array" ref="K249">IF($A249="","",IFERROR((SUMPRODUCT((TRIM(tblDados[Mandante])=$A249)*tblDados[Primeira_Ocorrencia]*((tblDados[GM_M]+tblDados[GS_M])&gt;0.5))+SUMPRODUCT((TRIM(tblDados[Visitante])=$A249)*tblDados[Primeira_Ocorrencia]*((tblDados[GM_V]+tblDados[GS_V])&gt;0.5)))/G249,0))</f>
        <v>1</v>
      </c>
      <c r="L249" s="11" cm="1">
        <f t="array" ref="L249">IF($A249="","",IFERROR((SUMPRODUCT((TRIM(tblDados[Mandante])=$A249)*tblDados[Primeira_Ocorrencia]*((tblDados[GM_M]+tblDados[GS_M])&gt;1.5))+SUMPRODUCT((TRIM(tblDados[Visitante])=$A249)*tblDados[Primeira_Ocorrencia]*((tblDados[GM_V]+tblDados[GS_V])&gt;1.5)))/G249,0))</f>
        <v>0.91666666666666663</v>
      </c>
      <c r="M249" s="11" cm="1">
        <f t="array" ref="M249">IF($A249="","",IFERROR((SUMPRODUCT((TRIM(tblDados[Mandante])=$A249)*tblDados[Primeira_Ocorrencia]*((tblDados[GM_M]+tblDados[GS_M])&gt;2.5))+SUMPRODUCT((TRIM(tblDados[Visitante])=$A249)*tblDados[Primeira_Ocorrencia]*((tblDados[GM_V]+tblDados[GS_V])&gt;2.5)))/G249,0))</f>
        <v>0.66666666666666663</v>
      </c>
      <c r="N249" s="11" cm="1">
        <f t="array" ref="N249">IF($A249="","",IFERROR((SUMPRODUCT((TRIM(tblDados[Mandante])=$A249)*tblDados[Primeira_Ocorrencia]*((tblDados[GM_M]+tblDados[GS_M])&gt;3.5))+SUMPRODUCT((TRIM(tblDados[Visitante])=$A249)*tblDados[Primeira_Ocorrencia]*((tblDados[GM_V]+tblDados[GS_V])&gt;3.5)))/G249,0))</f>
        <v>0.5</v>
      </c>
      <c r="O249" s="11" cm="1">
        <f t="array" ref="O249">IF($A249="","",IFERROR((SUMPRODUCT((TRIM(tblDados[Mandante])=$A249)*tblDados[Primeira_Ocorrencia]*(tblDados[GM_M]&gt;0)*(tblDados[GS_M]&gt;0))+SUMPRODUCT((TRIM(tblDados[Visitante])=$A249)*tblDados[Primeira_Ocorrencia]*(tblDados[GM_V]&gt;0)*(tblDados[GS_V]&gt;0)))/G249,0))</f>
        <v>0.66666666666666663</v>
      </c>
      <c r="P249" s="10" cm="1">
        <f t="array" ref="P249">IF($A249="","",IFERROR((SUMPRODUCT((TRIM(tblDados[Mandante])=$A249)*tblDados[Primeira_Ocorrencia]*tblDados[GM_M]^2)+SUMPRODUCT((TRIM(tblDados[Visitante])=$A249)*tblDados[Primeira_Ocorrencia]*tblDados[GM_V]^2))/G249-H249^2,0))</f>
        <v>2.0555555555555549</v>
      </c>
      <c r="Q249" s="10">
        <f t="shared" si="48"/>
        <v>1.4337208778404376</v>
      </c>
      <c r="R249" s="8" t="str">
        <f t="shared" si="49"/>
        <v>Poisson</v>
      </c>
      <c r="S249" s="10" cm="1">
        <f t="array" ref="S249">IF($A249="","",SUMPRODUCT((TRIM(tblDados[Mandante])=$A249)*tblDados[Primeira_Ocorrencia]*tblDados[GM_M]))</f>
        <v>9</v>
      </c>
      <c r="T249" s="10" cm="1">
        <f t="array" ref="T249">IF($A249="","",SUMPRODUCT((TRIM(tblDados[Visitante])=$A249)*tblDados[Primeira_Ocorrencia]*tblDados[GM_V]))</f>
        <v>11</v>
      </c>
      <c r="U249" s="10">
        <f t="shared" si="50"/>
        <v>20</v>
      </c>
      <c r="V249" s="10">
        <f t="shared" si="39"/>
        <v>1.6666666666666667</v>
      </c>
      <c r="W249" s="10" cm="1">
        <f t="array" ref="W249">IF($A249="","",SUMPRODUCT((TRIM(tblDados[Mandante])=$A249)*tblDados[Primeira_Ocorrencia]*tblDados[GS_M]))</f>
        <v>13</v>
      </c>
      <c r="X249" s="10" cm="1">
        <f t="array" ref="X249">IF($A249="","",SUMPRODUCT((TRIM(tblDados[Visitante])=$A249)*tblDados[Primeira_Ocorrencia]*tblDados[GS_V]))</f>
        <v>12</v>
      </c>
      <c r="Y249" s="10">
        <f t="shared" si="51"/>
        <v>25</v>
      </c>
      <c r="Z249" s="10">
        <f t="shared" si="40"/>
        <v>2.0833333333333335</v>
      </c>
      <c r="AA249" s="10">
        <f t="shared" si="41"/>
        <v>1.5</v>
      </c>
      <c r="AB249" s="10">
        <f t="shared" si="42"/>
        <v>2.1666666666666665</v>
      </c>
      <c r="AC249" s="10">
        <f t="shared" si="43"/>
        <v>1.8333333333333333</v>
      </c>
      <c r="AD249" s="10">
        <f t="shared" si="44"/>
        <v>2</v>
      </c>
    </row>
    <row r="250" spans="1:30" x14ac:dyDescent="0.3">
      <c r="A250" s="7" t="str">
        <v>Henan FC</v>
      </c>
      <c r="B250" s="12" t="str" cm="1">
        <f t="array" ref="B250">IF($A250="","",_xlfn.LET(_xlpm.p,IFERROR(INDEX(tblDados[País],MATCH($A250,TRIM(tblDados[Mandante]),0)),INDEX(tblDados[País],MATCH($A250,TRIM(tblDados[Visitante]),0))),_xlpm.l,IFERROR(INDEX(tblDados[Liga],MATCH($A250,TRIM(tblDados[Mandante]),0)),INDEX(tblDados[Liga],MATCH($A250,TRIM(tblDados[Visitante]),0))),_xlpm.p&amp;" - "&amp;_xlpm.l))</f>
        <v>CHN - Super League</v>
      </c>
      <c r="C250" s="10">
        <f t="shared" si="45"/>
        <v>2.333333333333333</v>
      </c>
      <c r="D250" s="10">
        <f t="shared" si="46"/>
        <v>2.833333333333333</v>
      </c>
      <c r="E250" s="9" cm="1">
        <f t="array" ref="E250">IF($A250="","",SUMPRODUCT((TRIM(tblDados[Mandante])=$A250)*tblDados[Primeira_Ocorrencia]))</f>
        <v>6</v>
      </c>
      <c r="F250" s="9" cm="1">
        <f t="array" ref="F250">IF($A250="","",SUMPRODUCT((TRIM(tblDados[Visitante])=$A250)*tblDados[Primeira_Ocorrencia]))</f>
        <v>6</v>
      </c>
      <c r="G250" s="9" cm="1">
        <f t="array" ref="G250">IF($A250="","",SUMPRODUCT((TRIM(tblDados[Mandante])=$A250)*tblDados[Primeira_Ocorrencia])+SUMPRODUCT((TRIM(tblDados[Visitante])=$A250)*tblDados[Primeira_Ocorrencia]))</f>
        <v>12</v>
      </c>
      <c r="H250" s="10">
        <f t="shared" si="47"/>
        <v>1.3333333333333333</v>
      </c>
      <c r="I250" s="10" cm="1">
        <f t="array" ref="I250">IF($A250="","",_xlfn.LET(_xlpm.p,IFERROR(INDEX(tblDados[País],MATCH($A250,TRIM(tblDados[Mandante]),0)),INDEX(tblDados[País],MATCH($A250,TRIM(tblDados[Visitante]),0))),_xlpm.l,IFERROR(INDEX(tblDados[Liga],MATCH($A250,TRIM(tblDados[Mandante]),0)),INDEX(tblDados[Liga],MATCH($A250,TRIM(tblDados[Visitante]),0))),IFERROR(SUMIFS(Ligas!$D$2:$D$39,Ligas!$H$2:$H$39,_xlpm.p,Ligas!$I$2:$I$39,_xlpm.l),0)))</f>
        <v>2.5</v>
      </c>
      <c r="J250" s="11" cm="1">
        <f t="array" ref="J250">IF($A250="","",IFERROR((SUMPRODUCT((TRIM(tblDados[Mandante])=$A250)*tblDados[Primeira_Ocorrencia]*(tblDados[GM_M]=0))+SUMPRODUCT((TRIM(tblDados[Visitante])=$A250)*tblDados[Primeira_Ocorrencia]*(tblDados[GM_V]=0)))/G250,0))</f>
        <v>0.25</v>
      </c>
      <c r="K250" s="11" cm="1">
        <f t="array" ref="K250">IF($A250="","",IFERROR((SUMPRODUCT((TRIM(tblDados[Mandante])=$A250)*tblDados[Primeira_Ocorrencia]*((tblDados[GM_M]+tblDados[GS_M])&gt;0.5))+SUMPRODUCT((TRIM(tblDados[Visitante])=$A250)*tblDados[Primeira_Ocorrencia]*((tblDados[GM_V]+tblDados[GS_V])&gt;0.5)))/G250,0))</f>
        <v>0.91666666666666663</v>
      </c>
      <c r="L250" s="11" cm="1">
        <f t="array" ref="L250">IF($A250="","",IFERROR((SUMPRODUCT((TRIM(tblDados[Mandante])=$A250)*tblDados[Primeira_Ocorrencia]*((tblDados[GM_M]+tblDados[GS_M])&gt;1.5))+SUMPRODUCT((TRIM(tblDados[Visitante])=$A250)*tblDados[Primeira_Ocorrencia]*((tblDados[GM_V]+tblDados[GS_V])&gt;1.5)))/G250,0))</f>
        <v>0.83333333333333337</v>
      </c>
      <c r="M250" s="11" cm="1">
        <f t="array" ref="M250">IF($A250="","",IFERROR((SUMPRODUCT((TRIM(tblDados[Mandante])=$A250)*tblDados[Primeira_Ocorrencia]*((tblDados[GM_M]+tblDados[GS_M])&gt;2.5))+SUMPRODUCT((TRIM(tblDados[Visitante])=$A250)*tblDados[Primeira_Ocorrencia]*((tblDados[GM_V]+tblDados[GS_V])&gt;2.5)))/G250,0))</f>
        <v>0.58333333333333337</v>
      </c>
      <c r="N250" s="11" cm="1">
        <f t="array" ref="N250">IF($A250="","",IFERROR((SUMPRODUCT((TRIM(tblDados[Mandante])=$A250)*tblDados[Primeira_Ocorrencia]*((tblDados[GM_M]+tblDados[GS_M])&gt;3.5))+SUMPRODUCT((TRIM(tblDados[Visitante])=$A250)*tblDados[Primeira_Ocorrencia]*((tblDados[GM_V]+tblDados[GS_V])&gt;3.5)))/G250,0))</f>
        <v>8.3333333333333329E-2</v>
      </c>
      <c r="O250" s="11" cm="1">
        <f t="array" ref="O250">IF($A250="","",IFERROR((SUMPRODUCT((TRIM(tblDados[Mandante])=$A250)*tblDados[Primeira_Ocorrencia]*(tblDados[GM_M]&gt;0)*(tblDados[GS_M]&gt;0))+SUMPRODUCT((TRIM(tblDados[Visitante])=$A250)*tblDados[Primeira_Ocorrencia]*(tblDados[GM_V]&gt;0)*(tblDados[GS_V]&gt;0)))/G250,0))</f>
        <v>0.66666666666666663</v>
      </c>
      <c r="P250" s="10" cm="1">
        <f t="array" ref="P250">IF($A250="","",IFERROR((SUMPRODUCT((TRIM(tblDados[Mandante])=$A250)*tblDados[Primeira_Ocorrencia]*tblDados[GM_M]^2)+SUMPRODUCT((TRIM(tblDados[Visitante])=$A250)*tblDados[Primeira_Ocorrencia]*tblDados[GM_V]^2))/G250-H250^2,0))</f>
        <v>1.7222222222222223</v>
      </c>
      <c r="Q250" s="10">
        <f t="shared" si="48"/>
        <v>1.3123346456686351</v>
      </c>
      <c r="R250" s="8" t="str">
        <f t="shared" si="49"/>
        <v>Poisson</v>
      </c>
      <c r="S250" s="10" cm="1">
        <f t="array" ref="S250">IF($A250="","",SUMPRODUCT((TRIM(tblDados[Mandante])=$A250)*tblDados[Primeira_Ocorrencia]*tblDados[GM_M]))</f>
        <v>8</v>
      </c>
      <c r="T250" s="10" cm="1">
        <f t="array" ref="T250">IF($A250="","",SUMPRODUCT((TRIM(tblDados[Visitante])=$A250)*tblDados[Primeira_Ocorrencia]*tblDados[GM_V]))</f>
        <v>8</v>
      </c>
      <c r="U250" s="10">
        <f t="shared" si="50"/>
        <v>16</v>
      </c>
      <c r="V250" s="10">
        <f t="shared" si="39"/>
        <v>1.3333333333333333</v>
      </c>
      <c r="W250" s="10" cm="1">
        <f t="array" ref="W250">IF($A250="","",SUMPRODUCT((TRIM(tblDados[Mandante])=$A250)*tblDados[Primeira_Ocorrencia]*tblDados[GS_M]))</f>
        <v>6</v>
      </c>
      <c r="X250" s="10" cm="1">
        <f t="array" ref="X250">IF($A250="","",SUMPRODUCT((TRIM(tblDados[Visitante])=$A250)*tblDados[Primeira_Ocorrencia]*tblDados[GS_V]))</f>
        <v>9</v>
      </c>
      <c r="Y250" s="10">
        <f t="shared" si="51"/>
        <v>15</v>
      </c>
      <c r="Z250" s="10">
        <f t="shared" si="40"/>
        <v>1.25</v>
      </c>
      <c r="AA250" s="10">
        <f t="shared" si="41"/>
        <v>1.3333333333333333</v>
      </c>
      <c r="AB250" s="10">
        <f t="shared" si="42"/>
        <v>1</v>
      </c>
      <c r="AC250" s="10">
        <f t="shared" si="43"/>
        <v>1.3333333333333333</v>
      </c>
      <c r="AD250" s="10">
        <f t="shared" si="44"/>
        <v>1.5</v>
      </c>
    </row>
    <row r="251" spans="1:30" x14ac:dyDescent="0.3">
      <c r="A251" s="7" t="str">
        <v>Herrestads AIF</v>
      </c>
      <c r="B251" s="12" t="str" cm="1">
        <f t="array" ref="B251">IF($A251="","",_xlfn.LET(_xlpm.p,IFERROR(INDEX(tblDados[País],MATCH($A251,TRIM(tblDados[Mandante]),0)),INDEX(tblDados[País],MATCH($A251,TRIM(tblDados[Visitante]),0))),_xlpm.l,IFERROR(INDEX(tblDados[Liga],MATCH($A251,TRIM(tblDados[Mandante]),0)),INDEX(tblDados[Liga],MATCH($A251,TRIM(tblDados[Visitante]),0))),_xlpm.p&amp;" - "&amp;_xlpm.l))</f>
        <v>SWE - 2ª D Norra Götaland</v>
      </c>
      <c r="C251" s="10">
        <f t="shared" si="45"/>
        <v>3.1666666666666665</v>
      </c>
      <c r="D251" s="10">
        <f t="shared" si="46"/>
        <v>4</v>
      </c>
      <c r="E251" s="9" cm="1">
        <f t="array" ref="E251">IF($A251="","",SUMPRODUCT((TRIM(tblDados[Mandante])=$A251)*tblDados[Primeira_Ocorrencia]))</f>
        <v>6</v>
      </c>
      <c r="F251" s="9" cm="1">
        <f t="array" ref="F251">IF($A251="","",SUMPRODUCT((TRIM(tblDados[Visitante])=$A251)*tblDados[Primeira_Ocorrencia]))</f>
        <v>6</v>
      </c>
      <c r="G251" s="9" cm="1">
        <f t="array" ref="G251">IF($A251="","",SUMPRODUCT((TRIM(tblDados[Mandante])=$A251)*tblDados[Primeira_Ocorrencia])+SUMPRODUCT((TRIM(tblDados[Visitante])=$A251)*tblDados[Primeira_Ocorrencia]))</f>
        <v>12</v>
      </c>
      <c r="H251" s="10">
        <f t="shared" si="47"/>
        <v>1.9166666666666667</v>
      </c>
      <c r="I251" s="10" cm="1">
        <f t="array" ref="I251">IF($A251="","",_xlfn.LET(_xlpm.p,IFERROR(INDEX(tblDados[País],MATCH($A251,TRIM(tblDados[Mandante]),0)),INDEX(tblDados[País],MATCH($A251,TRIM(tblDados[Visitante]),0))),_xlpm.l,IFERROR(INDEX(tblDados[Liga],MATCH($A251,TRIM(tblDados[Mandante]),0)),INDEX(tblDados[Liga],MATCH($A251,TRIM(tblDados[Visitante]),0))),IFERROR(SUMIFS(Ligas!$D$2:$D$39,Ligas!$H$2:$H$39,_xlpm.p,Ligas!$I$2:$I$39,_xlpm.l),0)))</f>
        <v>2.5</v>
      </c>
      <c r="J251" s="11" cm="1">
        <f t="array" ref="J251">IF($A251="","",IFERROR((SUMPRODUCT((TRIM(tblDados[Mandante])=$A251)*tblDados[Primeira_Ocorrencia]*(tblDados[GM_M]=0))+SUMPRODUCT((TRIM(tblDados[Visitante])=$A251)*tblDados[Primeira_Ocorrencia]*(tblDados[GM_V]=0)))/G251,0))</f>
        <v>0.16666666666666666</v>
      </c>
      <c r="K251" s="11" cm="1">
        <f t="array" ref="K251">IF($A251="","",IFERROR((SUMPRODUCT((TRIM(tblDados[Mandante])=$A251)*tblDados[Primeira_Ocorrencia]*((tblDados[GM_M]+tblDados[GS_M])&gt;0.5))+SUMPRODUCT((TRIM(tblDados[Visitante])=$A251)*tblDados[Primeira_Ocorrencia]*((tblDados[GM_V]+tblDados[GS_V])&gt;0.5)))/G251,0))</f>
        <v>1</v>
      </c>
      <c r="L251" s="11" cm="1">
        <f t="array" ref="L251">IF($A251="","",IFERROR((SUMPRODUCT((TRIM(tblDados[Mandante])=$A251)*tblDados[Primeira_Ocorrencia]*((tblDados[GM_M]+tblDados[GS_M])&gt;1.5))+SUMPRODUCT((TRIM(tblDados[Visitante])=$A251)*tblDados[Primeira_Ocorrencia]*((tblDados[GM_V]+tblDados[GS_V])&gt;1.5)))/G251,0))</f>
        <v>0.91666666666666663</v>
      </c>
      <c r="M251" s="11" cm="1">
        <f t="array" ref="M251">IF($A251="","",IFERROR((SUMPRODUCT((TRIM(tblDados[Mandante])=$A251)*tblDados[Primeira_Ocorrencia]*((tblDados[GM_M]+tblDados[GS_M])&gt;2.5))+SUMPRODUCT((TRIM(tblDados[Visitante])=$A251)*tblDados[Primeira_Ocorrencia]*((tblDados[GM_V]+tblDados[GS_V])&gt;2.5)))/G251,0))</f>
        <v>0.75</v>
      </c>
      <c r="N251" s="11" cm="1">
        <f t="array" ref="N251">IF($A251="","",IFERROR((SUMPRODUCT((TRIM(tblDados[Mandante])=$A251)*tblDados[Primeira_Ocorrencia]*((tblDados[GM_M]+tblDados[GS_M])&gt;3.5))+SUMPRODUCT((TRIM(tblDados[Visitante])=$A251)*tblDados[Primeira_Ocorrencia]*((tblDados[GM_V]+tblDados[GS_V])&gt;3.5)))/G251,0))</f>
        <v>0.58333333333333337</v>
      </c>
      <c r="O251" s="11" cm="1">
        <f t="array" ref="O251">IF($A251="","",IFERROR((SUMPRODUCT((TRIM(tblDados[Mandante])=$A251)*tblDados[Primeira_Ocorrencia]*(tblDados[GM_M]&gt;0)*(tblDados[GS_M]&gt;0))+SUMPRODUCT((TRIM(tblDados[Visitante])=$A251)*tblDados[Primeira_Ocorrencia]*(tblDados[GM_V]&gt;0)*(tblDados[GS_V]&gt;0)))/G251,0))</f>
        <v>0.66666666666666663</v>
      </c>
      <c r="P251" s="10" cm="1">
        <f t="array" ref="P251">IF($A251="","",IFERROR((SUMPRODUCT((TRIM(tblDados[Mandante])=$A251)*tblDados[Primeira_Ocorrencia]*tblDados[GM_M]^2)+SUMPRODUCT((TRIM(tblDados[Visitante])=$A251)*tblDados[Primeira_Ocorrencia]*tblDados[GM_V]^2))/G251-H251^2,0))</f>
        <v>1.7430555555555554</v>
      </c>
      <c r="Q251" s="10">
        <f t="shared" si="48"/>
        <v>1.3202482931462383</v>
      </c>
      <c r="R251" s="8" t="str">
        <f t="shared" si="49"/>
        <v>Poisson</v>
      </c>
      <c r="S251" s="10" cm="1">
        <f t="array" ref="S251">IF($A251="","",SUMPRODUCT((TRIM(tblDados[Mandante])=$A251)*tblDados[Primeira_Ocorrencia]*tblDados[GM_M]))</f>
        <v>13</v>
      </c>
      <c r="T251" s="10" cm="1">
        <f t="array" ref="T251">IF($A251="","",SUMPRODUCT((TRIM(tblDados[Visitante])=$A251)*tblDados[Primeira_Ocorrencia]*tblDados[GM_V]))</f>
        <v>10</v>
      </c>
      <c r="U251" s="10">
        <f t="shared" si="50"/>
        <v>23</v>
      </c>
      <c r="V251" s="10">
        <f t="shared" si="39"/>
        <v>1.9166666666666667</v>
      </c>
      <c r="W251" s="10" cm="1">
        <f t="array" ref="W251">IF($A251="","",SUMPRODUCT((TRIM(tblDados[Mandante])=$A251)*tblDados[Primeira_Ocorrencia]*tblDados[GS_M]))</f>
        <v>6</v>
      </c>
      <c r="X251" s="10" cm="1">
        <f t="array" ref="X251">IF($A251="","",SUMPRODUCT((TRIM(tblDados[Visitante])=$A251)*tblDados[Primeira_Ocorrencia]*tblDados[GS_V]))</f>
        <v>14</v>
      </c>
      <c r="Y251" s="10">
        <f t="shared" si="51"/>
        <v>20</v>
      </c>
      <c r="Z251" s="10">
        <f t="shared" si="40"/>
        <v>1.6666666666666667</v>
      </c>
      <c r="AA251" s="10">
        <f t="shared" si="41"/>
        <v>2.1666666666666665</v>
      </c>
      <c r="AB251" s="10">
        <f t="shared" si="42"/>
        <v>1</v>
      </c>
      <c r="AC251" s="10">
        <f t="shared" si="43"/>
        <v>1.6666666666666667</v>
      </c>
      <c r="AD251" s="10">
        <f t="shared" si="44"/>
        <v>2.3333333333333335</v>
      </c>
    </row>
    <row r="252" spans="1:30" x14ac:dyDescent="0.3">
      <c r="A252" s="7" t="str">
        <v>Hestrafors IF</v>
      </c>
      <c r="B252" s="12" t="str" cm="1">
        <f t="array" ref="B252">IF($A252="","",_xlfn.LET(_xlpm.p,IFERROR(INDEX(tblDados[País],MATCH($A252,TRIM(tblDados[Mandante]),0)),INDEX(tblDados[País],MATCH($A252,TRIM(tblDados[Visitante]),0))),_xlpm.l,IFERROR(INDEX(tblDados[Liga],MATCH($A252,TRIM(tblDados[Mandante]),0)),INDEX(tblDados[Liga],MATCH($A252,TRIM(tblDados[Visitante]),0))),_xlpm.p&amp;" - "&amp;_xlpm.l))</f>
        <v>SWE - 2ª D Västra Götaland</v>
      </c>
      <c r="C252" s="10">
        <f t="shared" si="45"/>
        <v>4.8</v>
      </c>
      <c r="D252" s="10">
        <f t="shared" si="46"/>
        <v>4.1428571428571423</v>
      </c>
      <c r="E252" s="9" cm="1">
        <f t="array" ref="E252">IF($A252="","",SUMPRODUCT((TRIM(tblDados[Mandante])=$A252)*tblDados[Primeira_Ocorrencia]))</f>
        <v>5</v>
      </c>
      <c r="F252" s="9" cm="1">
        <f t="array" ref="F252">IF($A252="","",SUMPRODUCT((TRIM(tblDados[Visitante])=$A252)*tblDados[Primeira_Ocorrencia]))</f>
        <v>7</v>
      </c>
      <c r="G252" s="9" cm="1">
        <f t="array" ref="G252">IF($A252="","",SUMPRODUCT((TRIM(tblDados[Mandante])=$A252)*tblDados[Primeira_Ocorrencia])+SUMPRODUCT((TRIM(tblDados[Visitante])=$A252)*tblDados[Primeira_Ocorrencia]))</f>
        <v>12</v>
      </c>
      <c r="H252" s="10">
        <f t="shared" si="47"/>
        <v>2.3333333333333335</v>
      </c>
      <c r="I252" s="10" cm="1">
        <f t="array" ref="I252">IF($A252="","",_xlfn.LET(_xlpm.p,IFERROR(INDEX(tblDados[País],MATCH($A252,TRIM(tblDados[Mandante]),0)),INDEX(tblDados[País],MATCH($A252,TRIM(tblDados[Visitante]),0))),_xlpm.l,IFERROR(INDEX(tblDados[Liga],MATCH($A252,TRIM(tblDados[Mandante]),0)),INDEX(tblDados[Liga],MATCH($A252,TRIM(tblDados[Visitante]),0))),IFERROR(SUMIFS(Ligas!$D$2:$D$39,Ligas!$H$2:$H$39,_xlpm.p,Ligas!$I$2:$I$39,_xlpm.l),0)))</f>
        <v>2.5</v>
      </c>
      <c r="J252" s="11" cm="1">
        <f t="array" ref="J252">IF($A252="","",IFERROR((SUMPRODUCT((TRIM(tblDados[Mandante])=$A252)*tblDados[Primeira_Ocorrencia]*(tblDados[GM_M]=0))+SUMPRODUCT((TRIM(tblDados[Visitante])=$A252)*tblDados[Primeira_Ocorrencia]*(tblDados[GM_V]=0)))/G252,0))</f>
        <v>8.3333333333333329E-2</v>
      </c>
      <c r="K252" s="11" cm="1">
        <f t="array" ref="K252">IF($A252="","",IFERROR((SUMPRODUCT((TRIM(tblDados[Mandante])=$A252)*tblDados[Primeira_Ocorrencia]*((tblDados[GM_M]+tblDados[GS_M])&gt;0.5))+SUMPRODUCT((TRIM(tblDados[Visitante])=$A252)*tblDados[Primeira_Ocorrencia]*((tblDados[GM_V]+tblDados[GS_V])&gt;0.5)))/G252,0))</f>
        <v>1</v>
      </c>
      <c r="L252" s="11" cm="1">
        <f t="array" ref="L252">IF($A252="","",IFERROR((SUMPRODUCT((TRIM(tblDados[Mandante])=$A252)*tblDados[Primeira_Ocorrencia]*((tblDados[GM_M]+tblDados[GS_M])&gt;1.5))+SUMPRODUCT((TRIM(tblDados[Visitante])=$A252)*tblDados[Primeira_Ocorrencia]*((tblDados[GM_V]+tblDados[GS_V])&gt;1.5)))/G252,0))</f>
        <v>1</v>
      </c>
      <c r="M252" s="11" cm="1">
        <f t="array" ref="M252">IF($A252="","",IFERROR((SUMPRODUCT((TRIM(tblDados[Mandante])=$A252)*tblDados[Primeira_Ocorrencia]*((tblDados[GM_M]+tblDados[GS_M])&gt;2.5))+SUMPRODUCT((TRIM(tblDados[Visitante])=$A252)*tblDados[Primeira_Ocorrencia]*((tblDados[GM_V]+tblDados[GS_V])&gt;2.5)))/G252,0))</f>
        <v>0.91666666666666663</v>
      </c>
      <c r="N252" s="11" cm="1">
        <f t="array" ref="N252">IF($A252="","",IFERROR((SUMPRODUCT((TRIM(tblDados[Mandante])=$A252)*tblDados[Primeira_Ocorrencia]*((tblDados[GM_M]+tblDados[GS_M])&gt;3.5))+SUMPRODUCT((TRIM(tblDados[Visitante])=$A252)*tblDados[Primeira_Ocorrencia]*((tblDados[GM_V]+tblDados[GS_V])&gt;3.5)))/G252,0))</f>
        <v>0.66666666666666663</v>
      </c>
      <c r="O252" s="11" cm="1">
        <f t="array" ref="O252">IF($A252="","",IFERROR((SUMPRODUCT((TRIM(tblDados[Mandante])=$A252)*tblDados[Primeira_Ocorrencia]*(tblDados[GM_M]&gt;0)*(tblDados[GS_M]&gt;0))+SUMPRODUCT((TRIM(tblDados[Visitante])=$A252)*tblDados[Primeira_Ocorrencia]*(tblDados[GM_V]&gt;0)*(tblDados[GS_V]&gt;0)))/G252,0))</f>
        <v>0.83333333333333337</v>
      </c>
      <c r="P252" s="10" cm="1">
        <f t="array" ref="P252">IF($A252="","",IFERROR((SUMPRODUCT((TRIM(tblDados[Mandante])=$A252)*tblDados[Primeira_Ocorrencia]*tblDados[GM_M]^2)+SUMPRODUCT((TRIM(tblDados[Visitante])=$A252)*tblDados[Primeira_Ocorrencia]*tblDados[GM_V]^2))/G252-H252^2,0))</f>
        <v>1.3888888888888875</v>
      </c>
      <c r="Q252" s="10">
        <f t="shared" si="48"/>
        <v>1.1785113019775786</v>
      </c>
      <c r="R252" s="8" t="str">
        <f t="shared" si="49"/>
        <v>Poisson</v>
      </c>
      <c r="S252" s="10" cm="1">
        <f t="array" ref="S252">IF($A252="","",SUMPRODUCT((TRIM(tblDados[Mandante])=$A252)*tblDados[Primeira_Ocorrencia]*tblDados[GM_M]))</f>
        <v>14</v>
      </c>
      <c r="T252" s="10" cm="1">
        <f t="array" ref="T252">IF($A252="","",SUMPRODUCT((TRIM(tblDados[Visitante])=$A252)*tblDados[Primeira_Ocorrencia]*tblDados[GM_V]))</f>
        <v>14</v>
      </c>
      <c r="U252" s="10">
        <f t="shared" si="50"/>
        <v>28</v>
      </c>
      <c r="V252" s="10">
        <f t="shared" si="39"/>
        <v>2.3333333333333335</v>
      </c>
      <c r="W252" s="10" cm="1">
        <f t="array" ref="W252">IF($A252="","",SUMPRODUCT((TRIM(tblDados[Mandante])=$A252)*tblDados[Primeira_Ocorrencia]*tblDados[GS_M]))</f>
        <v>10</v>
      </c>
      <c r="X252" s="10" cm="1">
        <f t="array" ref="X252">IF($A252="","",SUMPRODUCT((TRIM(tblDados[Visitante])=$A252)*tblDados[Primeira_Ocorrencia]*tblDados[GS_V]))</f>
        <v>15</v>
      </c>
      <c r="Y252" s="10">
        <f t="shared" si="51"/>
        <v>25</v>
      </c>
      <c r="Z252" s="10">
        <f t="shared" si="40"/>
        <v>2.0833333333333335</v>
      </c>
      <c r="AA252" s="10">
        <f t="shared" si="41"/>
        <v>2.8</v>
      </c>
      <c r="AB252" s="10">
        <f t="shared" si="42"/>
        <v>2</v>
      </c>
      <c r="AC252" s="10">
        <f t="shared" si="43"/>
        <v>2</v>
      </c>
      <c r="AD252" s="10">
        <f t="shared" si="44"/>
        <v>2.1428571428571428</v>
      </c>
    </row>
    <row r="253" spans="1:30" x14ac:dyDescent="0.3">
      <c r="A253" s="7" t="str">
        <v>HJK Helsinki</v>
      </c>
      <c r="B253" s="12" t="str" cm="1">
        <f t="array" ref="B253">IF($A253="","",_xlfn.LET(_xlpm.p,IFERROR(INDEX(tblDados[País],MATCH($A253,TRIM(tblDados[Mandante]),0)),INDEX(tblDados[País],MATCH($A253,TRIM(tblDados[Visitante]),0))),_xlpm.l,IFERROR(INDEX(tblDados[Liga],MATCH($A253,TRIM(tblDados[Mandante]),0)),INDEX(tblDados[Liga],MATCH($A253,TRIM(tblDados[Visitante]),0))),_xlpm.p&amp;" - "&amp;_xlpm.l))</f>
        <v>FIN - Veikkausliiga</v>
      </c>
      <c r="C253" s="10">
        <f t="shared" si="45"/>
        <v>3.166666666666667</v>
      </c>
      <c r="D253" s="10">
        <f t="shared" si="46"/>
        <v>3.5</v>
      </c>
      <c r="E253" s="9" cm="1">
        <f t="array" ref="E253">IF($A253="","",SUMPRODUCT((TRIM(tblDados[Mandante])=$A253)*tblDados[Primeira_Ocorrencia]))</f>
        <v>6</v>
      </c>
      <c r="F253" s="9" cm="1">
        <f t="array" ref="F253">IF($A253="","",SUMPRODUCT((TRIM(tblDados[Visitante])=$A253)*tblDados[Primeira_Ocorrencia]))</f>
        <v>6</v>
      </c>
      <c r="G253" s="9" cm="1">
        <f t="array" ref="G253">IF($A253="","",SUMPRODUCT((TRIM(tblDados[Mandante])=$A253)*tblDados[Primeira_Ocorrencia])+SUMPRODUCT((TRIM(tblDados[Visitante])=$A253)*tblDados[Primeira_Ocorrencia]))</f>
        <v>12</v>
      </c>
      <c r="H253" s="10">
        <f t="shared" si="47"/>
        <v>1.6666666666666667</v>
      </c>
      <c r="I253" s="10" cm="1">
        <f t="array" ref="I253">IF($A253="","",_xlfn.LET(_xlpm.p,IFERROR(INDEX(tblDados[País],MATCH($A253,TRIM(tblDados[Mandante]),0)),INDEX(tblDados[País],MATCH($A253,TRIM(tblDados[Visitante]),0))),_xlpm.l,IFERROR(INDEX(tblDados[Liga],MATCH($A253,TRIM(tblDados[Mandante]),0)),INDEX(tblDados[Liga],MATCH($A253,TRIM(tblDados[Visitante]),0))),IFERROR(SUMIFS(Ligas!$D$2:$D$39,Ligas!$H$2:$H$39,_xlpm.p,Ligas!$I$2:$I$39,_xlpm.l),0)))</f>
        <v>2.6</v>
      </c>
      <c r="J253" s="11" cm="1">
        <f t="array" ref="J253">IF($A253="","",IFERROR((SUMPRODUCT((TRIM(tblDados[Mandante])=$A253)*tblDados[Primeira_Ocorrencia]*(tblDados[GM_M]=0))+SUMPRODUCT((TRIM(tblDados[Visitante])=$A253)*tblDados[Primeira_Ocorrencia]*(tblDados[GM_V]=0)))/G253,0))</f>
        <v>0.25</v>
      </c>
      <c r="K253" s="11" cm="1">
        <f t="array" ref="K253">IF($A253="","",IFERROR((SUMPRODUCT((TRIM(tblDados[Mandante])=$A253)*tblDados[Primeira_Ocorrencia]*((tblDados[GM_M]+tblDados[GS_M])&gt;0.5))+SUMPRODUCT((TRIM(tblDados[Visitante])=$A253)*tblDados[Primeira_Ocorrencia]*((tblDados[GM_V]+tblDados[GS_V])&gt;0.5)))/G253,0))</f>
        <v>1</v>
      </c>
      <c r="L253" s="11" cm="1">
        <f t="array" ref="L253">IF($A253="","",IFERROR((SUMPRODUCT((TRIM(tblDados[Mandante])=$A253)*tblDados[Primeira_Ocorrencia]*((tblDados[GM_M]+tblDados[GS_M])&gt;1.5))+SUMPRODUCT((TRIM(tblDados[Visitante])=$A253)*tblDados[Primeira_Ocorrencia]*((tblDados[GM_V]+tblDados[GS_V])&gt;1.5)))/G253,0))</f>
        <v>0.83333333333333337</v>
      </c>
      <c r="M253" s="11" cm="1">
        <f t="array" ref="M253">IF($A253="","",IFERROR((SUMPRODUCT((TRIM(tblDados[Mandante])=$A253)*tblDados[Primeira_Ocorrencia]*((tblDados[GM_M]+tblDados[GS_M])&gt;2.5))+SUMPRODUCT((TRIM(tblDados[Visitante])=$A253)*tblDados[Primeira_Ocorrencia]*((tblDados[GM_V]+tblDados[GS_V])&gt;2.5)))/G253,0))</f>
        <v>0.66666666666666663</v>
      </c>
      <c r="N253" s="11" cm="1">
        <f t="array" ref="N253">IF($A253="","",IFERROR((SUMPRODUCT((TRIM(tblDados[Mandante])=$A253)*tblDados[Primeira_Ocorrencia]*((tblDados[GM_M]+tblDados[GS_M])&gt;3.5))+SUMPRODUCT((TRIM(tblDados[Visitante])=$A253)*tblDados[Primeira_Ocorrencia]*((tblDados[GM_V]+tblDados[GS_V])&gt;3.5)))/G253,0))</f>
        <v>0.41666666666666669</v>
      </c>
      <c r="O253" s="11" cm="1">
        <f t="array" ref="O253">IF($A253="","",IFERROR((SUMPRODUCT((TRIM(tblDados[Mandante])=$A253)*tblDados[Primeira_Ocorrencia]*(tblDados[GM_M]&gt;0)*(tblDados[GS_M]&gt;0))+SUMPRODUCT((TRIM(tblDados[Visitante])=$A253)*tblDados[Primeira_Ocorrencia]*(tblDados[GM_V]&gt;0)*(tblDados[GS_V]&gt;0)))/G253,0))</f>
        <v>0.5</v>
      </c>
      <c r="P253" s="10" cm="1">
        <f t="array" ref="P253">IF($A253="","",IFERROR((SUMPRODUCT((TRIM(tblDados[Mandante])=$A253)*tblDados[Primeira_Ocorrencia]*tblDados[GM_M]^2)+SUMPRODUCT((TRIM(tblDados[Visitante])=$A253)*tblDados[Primeira_Ocorrencia]*tblDados[GM_V]^2))/G253-H253^2,0))</f>
        <v>2.3888888888888888</v>
      </c>
      <c r="Q253" s="10">
        <f t="shared" si="48"/>
        <v>1.5456030825826172</v>
      </c>
      <c r="R253" s="8" t="str">
        <f t="shared" si="49"/>
        <v>Poisson</v>
      </c>
      <c r="S253" s="10" cm="1">
        <f t="array" ref="S253">IF($A253="","",SUMPRODUCT((TRIM(tblDados[Mandante])=$A253)*tblDados[Primeira_Ocorrencia]*tblDados[GM_M]))</f>
        <v>9</v>
      </c>
      <c r="T253" s="10" cm="1">
        <f t="array" ref="T253">IF($A253="","",SUMPRODUCT((TRIM(tblDados[Visitante])=$A253)*tblDados[Primeira_Ocorrencia]*tblDados[GM_V]))</f>
        <v>11</v>
      </c>
      <c r="U253" s="10">
        <f t="shared" si="50"/>
        <v>20</v>
      </c>
      <c r="V253" s="10">
        <f t="shared" si="39"/>
        <v>1.6666666666666667</v>
      </c>
      <c r="W253" s="10" cm="1">
        <f t="array" ref="W253">IF($A253="","",SUMPRODUCT((TRIM(tblDados[Mandante])=$A253)*tblDados[Primeira_Ocorrencia]*tblDados[GS_M]))</f>
        <v>10</v>
      </c>
      <c r="X253" s="10" cm="1">
        <f t="array" ref="X253">IF($A253="","",SUMPRODUCT((TRIM(tblDados[Visitante])=$A253)*tblDados[Primeira_Ocorrencia]*tblDados[GS_V]))</f>
        <v>10</v>
      </c>
      <c r="Y253" s="10">
        <f t="shared" si="51"/>
        <v>20</v>
      </c>
      <c r="Z253" s="10">
        <f t="shared" si="40"/>
        <v>1.6666666666666667</v>
      </c>
      <c r="AA253" s="10">
        <f t="shared" si="41"/>
        <v>1.5</v>
      </c>
      <c r="AB253" s="10">
        <f t="shared" si="42"/>
        <v>1.6666666666666667</v>
      </c>
      <c r="AC253" s="10">
        <f t="shared" si="43"/>
        <v>1.8333333333333333</v>
      </c>
      <c r="AD253" s="10">
        <f t="shared" si="44"/>
        <v>1.6666666666666667</v>
      </c>
    </row>
    <row r="254" spans="1:30" x14ac:dyDescent="0.3">
      <c r="A254" s="7" t="str">
        <v>Honka</v>
      </c>
      <c r="B254" s="12" t="str" cm="1">
        <f t="array" ref="B254">IF($A254="","",_xlfn.LET(_xlpm.p,IFERROR(INDEX(tblDados[País],MATCH($A254,TRIM(tblDados[Mandante]),0)),INDEX(tblDados[País],MATCH($A254,TRIM(tblDados[Visitante]),0))),_xlpm.l,IFERROR(INDEX(tblDados[Liga],MATCH($A254,TRIM(tblDados[Mandante]),0)),INDEX(tblDados[Liga],MATCH($A254,TRIM(tblDados[Visitante]),0))),_xlpm.p&amp;" - "&amp;_xlpm.l))</f>
        <v>FIN - Kakkonen B</v>
      </c>
      <c r="C254" s="10">
        <f t="shared" si="45"/>
        <v>3.8333333333333335</v>
      </c>
      <c r="D254" s="10">
        <f t="shared" si="46"/>
        <v>4</v>
      </c>
      <c r="E254" s="9" cm="1">
        <f t="array" ref="E254">IF($A254="","",SUMPRODUCT((TRIM(tblDados[Mandante])=$A254)*tblDados[Primeira_Ocorrencia]))</f>
        <v>6</v>
      </c>
      <c r="F254" s="9" cm="1">
        <f t="array" ref="F254">IF($A254="","",SUMPRODUCT((TRIM(tblDados[Visitante])=$A254)*tblDados[Primeira_Ocorrencia]))</f>
        <v>6</v>
      </c>
      <c r="G254" s="9" cm="1">
        <f t="array" ref="G254">IF($A254="","",SUMPRODUCT((TRIM(tblDados[Mandante])=$A254)*tblDados[Primeira_Ocorrencia])+SUMPRODUCT((TRIM(tblDados[Visitante])=$A254)*tblDados[Primeira_Ocorrencia]))</f>
        <v>12</v>
      </c>
      <c r="H254" s="10">
        <f t="shared" si="47"/>
        <v>2.9166666666666665</v>
      </c>
      <c r="I254" s="10" cm="1">
        <f t="array" ref="I254">IF($A254="","",_xlfn.LET(_xlpm.p,IFERROR(INDEX(tblDados[País],MATCH($A254,TRIM(tblDados[Mandante]),0)),INDEX(tblDados[País],MATCH($A254,TRIM(tblDados[Visitante]),0))),_xlpm.l,IFERROR(INDEX(tblDados[Liga],MATCH($A254,TRIM(tblDados[Mandante]),0)),INDEX(tblDados[Liga],MATCH($A254,TRIM(tblDados[Visitante]),0))),IFERROR(SUMIFS(Ligas!$D$2:$D$39,Ligas!$H$2:$H$39,_xlpm.p,Ligas!$I$2:$I$39,_xlpm.l),0)))</f>
        <v>3.56</v>
      </c>
      <c r="J254" s="11" cm="1">
        <f t="array" ref="J254">IF($A254="","",IFERROR((SUMPRODUCT((TRIM(tblDados[Mandante])=$A254)*tblDados[Primeira_Ocorrencia]*(tblDados[GM_M]=0))+SUMPRODUCT((TRIM(tblDados[Visitante])=$A254)*tblDados[Primeira_Ocorrencia]*(tblDados[GM_V]=0)))/G254,0))</f>
        <v>0</v>
      </c>
      <c r="K254" s="11" cm="1">
        <f t="array" ref="K254">IF($A254="","",IFERROR((SUMPRODUCT((TRIM(tblDados[Mandante])=$A254)*tblDados[Primeira_Ocorrencia]*((tblDados[GM_M]+tblDados[GS_M])&gt;0.5))+SUMPRODUCT((TRIM(tblDados[Visitante])=$A254)*tblDados[Primeira_Ocorrencia]*((tblDados[GM_V]+tblDados[GS_V])&gt;0.5)))/G254,0))</f>
        <v>1</v>
      </c>
      <c r="L254" s="11" cm="1">
        <f t="array" ref="L254">IF($A254="","",IFERROR((SUMPRODUCT((TRIM(tblDados[Mandante])=$A254)*tblDados[Primeira_Ocorrencia]*((tblDados[GM_M]+tblDados[GS_M])&gt;1.5))+SUMPRODUCT((TRIM(tblDados[Visitante])=$A254)*tblDados[Primeira_Ocorrencia]*((tblDados[GM_V]+tblDados[GS_V])&gt;1.5)))/G254,0))</f>
        <v>0.91666666666666663</v>
      </c>
      <c r="M254" s="11" cm="1">
        <f t="array" ref="M254">IF($A254="","",IFERROR((SUMPRODUCT((TRIM(tblDados[Mandante])=$A254)*tblDados[Primeira_Ocorrencia]*((tblDados[GM_M]+tblDados[GS_M])&gt;2.5))+SUMPRODUCT((TRIM(tblDados[Visitante])=$A254)*tblDados[Primeira_Ocorrencia]*((tblDados[GM_V]+tblDados[GS_V])&gt;2.5)))/G254,0))</f>
        <v>0.66666666666666663</v>
      </c>
      <c r="N254" s="11" cm="1">
        <f t="array" ref="N254">IF($A254="","",IFERROR((SUMPRODUCT((TRIM(tblDados[Mandante])=$A254)*tblDados[Primeira_Ocorrencia]*((tblDados[GM_M]+tblDados[GS_M])&gt;3.5))+SUMPRODUCT((TRIM(tblDados[Visitante])=$A254)*tblDados[Primeira_Ocorrencia]*((tblDados[GM_V]+tblDados[GS_V])&gt;3.5)))/G254,0))</f>
        <v>0.58333333333333337</v>
      </c>
      <c r="O254" s="11" cm="1">
        <f t="array" ref="O254">IF($A254="","",IFERROR((SUMPRODUCT((TRIM(tblDados[Mandante])=$A254)*tblDados[Primeira_Ocorrencia]*(tblDados[GM_M]&gt;0)*(tblDados[GS_M]&gt;0))+SUMPRODUCT((TRIM(tblDados[Visitante])=$A254)*tblDados[Primeira_Ocorrencia]*(tblDados[GM_V]&gt;0)*(tblDados[GS_V]&gt;0)))/G254,0))</f>
        <v>0.66666666666666663</v>
      </c>
      <c r="P254" s="10" cm="1">
        <f t="array" ref="P254">IF($A254="","",IFERROR((SUMPRODUCT((TRIM(tblDados[Mandante])=$A254)*tblDados[Primeira_Ocorrencia]*tblDados[GM_M]^2)+SUMPRODUCT((TRIM(tblDados[Visitante])=$A254)*tblDados[Primeira_Ocorrencia]*tblDados[GM_V]^2))/G254-H254^2,0))</f>
        <v>3.9097222222222232</v>
      </c>
      <c r="Q254" s="10">
        <f t="shared" si="48"/>
        <v>1.977301752950779</v>
      </c>
      <c r="R254" s="8" t="str">
        <f t="shared" si="49"/>
        <v>Poisson</v>
      </c>
      <c r="S254" s="10" cm="1">
        <f t="array" ref="S254">IF($A254="","",SUMPRODUCT((TRIM(tblDados[Mandante])=$A254)*tblDados[Primeira_Ocorrencia]*tblDados[GM_M]))</f>
        <v>17</v>
      </c>
      <c r="T254" s="10" cm="1">
        <f t="array" ref="T254">IF($A254="","",SUMPRODUCT((TRIM(tblDados[Visitante])=$A254)*tblDados[Primeira_Ocorrencia]*tblDados[GM_V]))</f>
        <v>18</v>
      </c>
      <c r="U254" s="10">
        <f t="shared" si="50"/>
        <v>35</v>
      </c>
      <c r="V254" s="10">
        <f t="shared" si="39"/>
        <v>2.9166666666666665</v>
      </c>
      <c r="W254" s="10" cm="1">
        <f t="array" ref="W254">IF($A254="","",SUMPRODUCT((TRIM(tblDados[Mandante])=$A254)*tblDados[Primeira_Ocorrencia]*tblDados[GS_M]))</f>
        <v>6</v>
      </c>
      <c r="X254" s="10" cm="1">
        <f t="array" ref="X254">IF($A254="","",SUMPRODUCT((TRIM(tblDados[Visitante])=$A254)*tblDados[Primeira_Ocorrencia]*tblDados[GS_V]))</f>
        <v>6</v>
      </c>
      <c r="Y254" s="10">
        <f t="shared" si="51"/>
        <v>12</v>
      </c>
      <c r="Z254" s="10">
        <f t="shared" si="40"/>
        <v>1</v>
      </c>
      <c r="AA254" s="10">
        <f t="shared" si="41"/>
        <v>2.8333333333333335</v>
      </c>
      <c r="AB254" s="10">
        <f t="shared" si="42"/>
        <v>1</v>
      </c>
      <c r="AC254" s="10">
        <f t="shared" si="43"/>
        <v>3</v>
      </c>
      <c r="AD254" s="10">
        <f t="shared" si="44"/>
        <v>1</v>
      </c>
    </row>
    <row r="255" spans="1:30" x14ac:dyDescent="0.3">
      <c r="A255" s="7" t="str">
        <v>Husqvarna FF</v>
      </c>
      <c r="B255" s="12" t="str" cm="1">
        <f t="array" ref="B255">IF($A255="","",_xlfn.LET(_xlpm.p,IFERROR(INDEX(tblDados[País],MATCH($A255,TRIM(tblDados[Mandante]),0)),INDEX(tblDados[País],MATCH($A255,TRIM(tblDados[Visitante]),0))),_xlpm.l,IFERROR(INDEX(tblDados[Liga],MATCH($A255,TRIM(tblDados[Mandante]),0)),INDEX(tblDados[Liga],MATCH($A255,TRIM(tblDados[Visitante]),0))),_xlpm.p&amp;" - "&amp;_xlpm.l))</f>
        <v>SWE - 2ª D Norra Götaland</v>
      </c>
      <c r="C255" s="10">
        <f t="shared" si="45"/>
        <v>3</v>
      </c>
      <c r="D255" s="10">
        <f t="shared" si="46"/>
        <v>2.5</v>
      </c>
      <c r="E255" s="9" cm="1">
        <f t="array" ref="E255">IF($A255="","",SUMPRODUCT((TRIM(tblDados[Mandante])=$A255)*tblDados[Primeira_Ocorrencia]))</f>
        <v>6</v>
      </c>
      <c r="F255" s="9" cm="1">
        <f t="array" ref="F255">IF($A255="","",SUMPRODUCT((TRIM(tblDados[Visitante])=$A255)*tblDados[Primeira_Ocorrencia]))</f>
        <v>6</v>
      </c>
      <c r="G255" s="9" cm="1">
        <f t="array" ref="G255">IF($A255="","",SUMPRODUCT((TRIM(tblDados[Mandante])=$A255)*tblDados[Primeira_Ocorrencia])+SUMPRODUCT((TRIM(tblDados[Visitante])=$A255)*tblDados[Primeira_Ocorrencia]))</f>
        <v>12</v>
      </c>
      <c r="H255" s="10">
        <f t="shared" si="47"/>
        <v>2.0833333333333335</v>
      </c>
      <c r="I255" s="10" cm="1">
        <f t="array" ref="I255">IF($A255="","",_xlfn.LET(_xlpm.p,IFERROR(INDEX(tblDados[País],MATCH($A255,TRIM(tblDados[Mandante]),0)),INDEX(tblDados[País],MATCH($A255,TRIM(tblDados[Visitante]),0))),_xlpm.l,IFERROR(INDEX(tblDados[Liga],MATCH($A255,TRIM(tblDados[Mandante]),0)),INDEX(tblDados[Liga],MATCH($A255,TRIM(tblDados[Visitante]),0))),IFERROR(SUMIFS(Ligas!$D$2:$D$39,Ligas!$H$2:$H$39,_xlpm.p,Ligas!$I$2:$I$39,_xlpm.l),0)))</f>
        <v>2.5</v>
      </c>
      <c r="J255" s="11" cm="1">
        <f t="array" ref="J255">IF($A255="","",IFERROR((SUMPRODUCT((TRIM(tblDados[Mandante])=$A255)*tblDados[Primeira_Ocorrencia]*(tblDados[GM_M]=0))+SUMPRODUCT((TRIM(tblDados[Visitante])=$A255)*tblDados[Primeira_Ocorrencia]*(tblDados[GM_V]=0)))/G255,0))</f>
        <v>8.3333333333333329E-2</v>
      </c>
      <c r="K255" s="11" cm="1">
        <f t="array" ref="K255">IF($A255="","",IFERROR((SUMPRODUCT((TRIM(tblDados[Mandante])=$A255)*tblDados[Primeira_Ocorrencia]*((tblDados[GM_M]+tblDados[GS_M])&gt;0.5))+SUMPRODUCT((TRIM(tblDados[Visitante])=$A255)*tblDados[Primeira_Ocorrencia]*((tblDados[GM_V]+tblDados[GS_V])&gt;0.5)))/G255,0))</f>
        <v>0.91666666666666663</v>
      </c>
      <c r="L255" s="11" cm="1">
        <f t="array" ref="L255">IF($A255="","",IFERROR((SUMPRODUCT((TRIM(tblDados[Mandante])=$A255)*tblDados[Primeira_Ocorrencia]*((tblDados[GM_M]+tblDados[GS_M])&gt;1.5))+SUMPRODUCT((TRIM(tblDados[Visitante])=$A255)*tblDados[Primeira_Ocorrencia]*((tblDados[GM_V]+tblDados[GS_V])&gt;1.5)))/G255,0))</f>
        <v>0.83333333333333337</v>
      </c>
      <c r="M255" s="11" cm="1">
        <f t="array" ref="M255">IF($A255="","",IFERROR((SUMPRODUCT((TRIM(tblDados[Mandante])=$A255)*tblDados[Primeira_Ocorrencia]*((tblDados[GM_M]+tblDados[GS_M])&gt;2.5))+SUMPRODUCT((TRIM(tblDados[Visitante])=$A255)*tblDados[Primeira_Ocorrencia]*((tblDados[GM_V]+tblDados[GS_V])&gt;2.5)))/G255,0))</f>
        <v>0.58333333333333337</v>
      </c>
      <c r="N255" s="11" cm="1">
        <f t="array" ref="N255">IF($A255="","",IFERROR((SUMPRODUCT((TRIM(tblDados[Mandante])=$A255)*tblDados[Primeira_Ocorrencia]*((tblDados[GM_M]+tblDados[GS_M])&gt;3.5))+SUMPRODUCT((TRIM(tblDados[Visitante])=$A255)*tblDados[Primeira_Ocorrencia]*((tblDados[GM_V]+tblDados[GS_V])&gt;3.5)))/G255,0))</f>
        <v>0.41666666666666669</v>
      </c>
      <c r="O255" s="11" cm="1">
        <f t="array" ref="O255">IF($A255="","",IFERROR((SUMPRODUCT((TRIM(tblDados[Mandante])=$A255)*tblDados[Primeira_Ocorrencia]*(tblDados[GM_M]&gt;0)*(tblDados[GS_M]&gt;0))+SUMPRODUCT((TRIM(tblDados[Visitante])=$A255)*tblDados[Primeira_Ocorrencia]*(tblDados[GM_V]&gt;0)*(tblDados[GS_V]&gt;0)))/G255,0))</f>
        <v>0.66666666666666663</v>
      </c>
      <c r="P255" s="10" cm="1">
        <f t="array" ref="P255">IF($A255="","",IFERROR((SUMPRODUCT((TRIM(tblDados[Mandante])=$A255)*tblDados[Primeira_Ocorrencia]*tblDados[GM_M]^2)+SUMPRODUCT((TRIM(tblDados[Visitante])=$A255)*tblDados[Primeira_Ocorrencia]*tblDados[GM_V]^2))/G255-H255^2,0))</f>
        <v>1.2430555555555545</v>
      </c>
      <c r="Q255" s="10">
        <f t="shared" si="48"/>
        <v>1.1149240133549705</v>
      </c>
      <c r="R255" s="8" t="str">
        <f t="shared" si="49"/>
        <v>Poisson</v>
      </c>
      <c r="S255" s="10" cm="1">
        <f t="array" ref="S255">IF($A255="","",SUMPRODUCT((TRIM(tblDados[Mandante])=$A255)*tblDados[Primeira_Ocorrencia]*tblDados[GM_M]))</f>
        <v>13</v>
      </c>
      <c r="T255" s="10" cm="1">
        <f t="array" ref="T255">IF($A255="","",SUMPRODUCT((TRIM(tblDados[Visitante])=$A255)*tblDados[Primeira_Ocorrencia]*tblDados[GM_V]))</f>
        <v>12</v>
      </c>
      <c r="U255" s="10">
        <f t="shared" si="50"/>
        <v>25</v>
      </c>
      <c r="V255" s="10">
        <f t="shared" si="39"/>
        <v>2.0833333333333335</v>
      </c>
      <c r="W255" s="10" cm="1">
        <f t="array" ref="W255">IF($A255="","",SUMPRODUCT((TRIM(tblDados[Mandante])=$A255)*tblDados[Primeira_Ocorrencia]*tblDados[GS_M]))</f>
        <v>5</v>
      </c>
      <c r="X255" s="10" cm="1">
        <f t="array" ref="X255">IF($A255="","",SUMPRODUCT((TRIM(tblDados[Visitante])=$A255)*tblDados[Primeira_Ocorrencia]*tblDados[GS_V]))</f>
        <v>3</v>
      </c>
      <c r="Y255" s="10">
        <f t="shared" si="51"/>
        <v>8</v>
      </c>
      <c r="Z255" s="10">
        <f t="shared" si="40"/>
        <v>0.66666666666666663</v>
      </c>
      <c r="AA255" s="10">
        <f t="shared" si="41"/>
        <v>2.1666666666666665</v>
      </c>
      <c r="AB255" s="10">
        <f t="shared" si="42"/>
        <v>0.83333333333333337</v>
      </c>
      <c r="AC255" s="10">
        <f t="shared" si="43"/>
        <v>2</v>
      </c>
      <c r="AD255" s="10">
        <f t="shared" si="44"/>
        <v>0.5</v>
      </c>
    </row>
    <row r="256" spans="1:30" x14ac:dyDescent="0.3">
      <c r="A256" s="7" t="str">
        <v>IBV Vestmannaeyjar</v>
      </c>
      <c r="B256" s="12" t="str" cm="1">
        <f t="array" ref="B256">IF($A256="","",_xlfn.LET(_xlpm.p,IFERROR(INDEX(tblDados[País],MATCH($A256,TRIM(tblDados[Mandante]),0)),INDEX(tblDados[País],MATCH($A256,TRIM(tblDados[Visitante]),0))),_xlpm.l,IFERROR(INDEX(tblDados[Liga],MATCH($A256,TRIM(tblDados[Mandante]),0)),INDEX(tblDados[Liga],MATCH($A256,TRIM(tblDados[Visitante]),0))),_xlpm.p&amp;" - "&amp;_xlpm.l))</f>
        <v>ISL - Besta-deild karla (PL)</v>
      </c>
      <c r="C256" s="10">
        <f t="shared" si="45"/>
        <v>3.333333333333333</v>
      </c>
      <c r="D256" s="10">
        <f t="shared" si="46"/>
        <v>3.833333333333333</v>
      </c>
      <c r="E256" s="9" cm="1">
        <f t="array" ref="E256">IF($A256="","",SUMPRODUCT((TRIM(tblDados[Mandante])=$A256)*tblDados[Primeira_Ocorrencia]))</f>
        <v>6</v>
      </c>
      <c r="F256" s="9" cm="1">
        <f t="array" ref="F256">IF($A256="","",SUMPRODUCT((TRIM(tblDados[Visitante])=$A256)*tblDados[Primeira_Ocorrencia]))</f>
        <v>6</v>
      </c>
      <c r="G256" s="9" cm="1">
        <f t="array" ref="G256">IF($A256="","",SUMPRODUCT((TRIM(tblDados[Mandante])=$A256)*tblDados[Primeira_Ocorrencia])+SUMPRODUCT((TRIM(tblDados[Visitante])=$A256)*tblDados[Primeira_Ocorrencia]))</f>
        <v>12</v>
      </c>
      <c r="H256" s="10">
        <f t="shared" si="47"/>
        <v>1.9166666666666667</v>
      </c>
      <c r="I256" s="10" cm="1">
        <f t="array" ref="I256">IF($A256="","",_xlfn.LET(_xlpm.p,IFERROR(INDEX(tblDados[País],MATCH($A256,TRIM(tblDados[Mandante]),0)),INDEX(tblDados[País],MATCH($A256,TRIM(tblDados[Visitante]),0))),_xlpm.l,IFERROR(INDEX(tblDados[Liga],MATCH($A256,TRIM(tblDados[Mandante]),0)),INDEX(tblDados[Liga],MATCH($A256,TRIM(tblDados[Visitante]),0))),IFERROR(SUMIFS(Ligas!$D$2:$D$39,Ligas!$H$2:$H$39,_xlpm.p,Ligas!$I$2:$I$39,_xlpm.l),0)))</f>
        <v>2.5</v>
      </c>
      <c r="J256" s="11" cm="1">
        <f t="array" ref="J256">IF($A256="","",IFERROR((SUMPRODUCT((TRIM(tblDados[Mandante])=$A256)*tblDados[Primeira_Ocorrencia]*(tblDados[GM_M]=0))+SUMPRODUCT((TRIM(tblDados[Visitante])=$A256)*tblDados[Primeira_Ocorrencia]*(tblDados[GM_V]=0)))/G256,0))</f>
        <v>0.16666666666666666</v>
      </c>
      <c r="K256" s="11" cm="1">
        <f t="array" ref="K256">IF($A256="","",IFERROR((SUMPRODUCT((TRIM(tblDados[Mandante])=$A256)*tblDados[Primeira_Ocorrencia]*((tblDados[GM_M]+tblDados[GS_M])&gt;0.5))+SUMPRODUCT((TRIM(tblDados[Visitante])=$A256)*tblDados[Primeira_Ocorrencia]*((tblDados[GM_V]+tblDados[GS_V])&gt;0.5)))/G256,0))</f>
        <v>1</v>
      </c>
      <c r="L256" s="11" cm="1">
        <f t="array" ref="L256">IF($A256="","",IFERROR((SUMPRODUCT((TRIM(tblDados[Mandante])=$A256)*tblDados[Primeira_Ocorrencia]*((tblDados[GM_M]+tblDados[GS_M])&gt;1.5))+SUMPRODUCT((TRIM(tblDados[Visitante])=$A256)*tblDados[Primeira_Ocorrencia]*((tblDados[GM_V]+tblDados[GS_V])&gt;1.5)))/G256,0))</f>
        <v>0.83333333333333337</v>
      </c>
      <c r="M256" s="11" cm="1">
        <f t="array" ref="M256">IF($A256="","",IFERROR((SUMPRODUCT((TRIM(tblDados[Mandante])=$A256)*tblDados[Primeira_Ocorrencia]*((tblDados[GM_M]+tblDados[GS_M])&gt;2.5))+SUMPRODUCT((TRIM(tblDados[Visitante])=$A256)*tblDados[Primeira_Ocorrencia]*((tblDados[GM_V]+tblDados[GS_V])&gt;2.5)))/G256,0))</f>
        <v>0.66666666666666663</v>
      </c>
      <c r="N256" s="11" cm="1">
        <f t="array" ref="N256">IF($A256="","",IFERROR((SUMPRODUCT((TRIM(tblDados[Mandante])=$A256)*tblDados[Primeira_Ocorrencia]*((tblDados[GM_M]+tblDados[GS_M])&gt;3.5))+SUMPRODUCT((TRIM(tblDados[Visitante])=$A256)*tblDados[Primeira_Ocorrencia]*((tblDados[GM_V]+tblDados[GS_V])&gt;3.5)))/G256,0))</f>
        <v>0.5</v>
      </c>
      <c r="O256" s="11" cm="1">
        <f t="array" ref="O256">IF($A256="","",IFERROR((SUMPRODUCT((TRIM(tblDados[Mandante])=$A256)*tblDados[Primeira_Ocorrencia]*(tblDados[GM_M]&gt;0)*(tblDados[GS_M]&gt;0))+SUMPRODUCT((TRIM(tblDados[Visitante])=$A256)*tblDados[Primeira_Ocorrencia]*(tblDados[GM_V]&gt;0)*(tblDados[GS_V]&gt;0)))/G256,0))</f>
        <v>0.75</v>
      </c>
      <c r="P256" s="10" cm="1">
        <f t="array" ref="P256">IF($A256="","",IFERROR((SUMPRODUCT((TRIM(tblDados[Mandante])=$A256)*tblDados[Primeira_Ocorrencia]*tblDados[GM_M]^2)+SUMPRODUCT((TRIM(tblDados[Visitante])=$A256)*tblDados[Primeira_Ocorrencia]*tblDados[GM_V]^2))/G256-H256^2,0))</f>
        <v>2.5763888888888884</v>
      </c>
      <c r="Q256" s="10">
        <f t="shared" si="48"/>
        <v>1.6051133570215184</v>
      </c>
      <c r="R256" s="8" t="str">
        <f t="shared" si="49"/>
        <v>Poisson</v>
      </c>
      <c r="S256" s="10" cm="1">
        <f t="array" ref="S256">IF($A256="","",SUMPRODUCT((TRIM(tblDados[Mandante])=$A256)*tblDados[Primeira_Ocorrencia]*tblDados[GM_M]))</f>
        <v>12</v>
      </c>
      <c r="T256" s="10" cm="1">
        <f t="array" ref="T256">IF($A256="","",SUMPRODUCT((TRIM(tblDados[Visitante])=$A256)*tblDados[Primeira_Ocorrencia]*tblDados[GM_V]))</f>
        <v>11</v>
      </c>
      <c r="U256" s="10">
        <f t="shared" si="50"/>
        <v>23</v>
      </c>
      <c r="V256" s="10">
        <f t="shared" si="39"/>
        <v>1.9166666666666667</v>
      </c>
      <c r="W256" s="10" cm="1">
        <f t="array" ref="W256">IF($A256="","",SUMPRODUCT((TRIM(tblDados[Mandante])=$A256)*tblDados[Primeira_Ocorrencia]*tblDados[GS_M]))</f>
        <v>8</v>
      </c>
      <c r="X256" s="10" cm="1">
        <f t="array" ref="X256">IF($A256="","",SUMPRODUCT((TRIM(tblDados[Visitante])=$A256)*tblDados[Primeira_Ocorrencia]*tblDados[GS_V]))</f>
        <v>12</v>
      </c>
      <c r="Y256" s="10">
        <f t="shared" si="51"/>
        <v>20</v>
      </c>
      <c r="Z256" s="10">
        <f t="shared" si="40"/>
        <v>1.6666666666666667</v>
      </c>
      <c r="AA256" s="10">
        <f t="shared" si="41"/>
        <v>2</v>
      </c>
      <c r="AB256" s="10">
        <f t="shared" si="42"/>
        <v>1.3333333333333333</v>
      </c>
      <c r="AC256" s="10">
        <f t="shared" si="43"/>
        <v>1.8333333333333333</v>
      </c>
      <c r="AD256" s="10">
        <f t="shared" si="44"/>
        <v>2</v>
      </c>
    </row>
    <row r="257" spans="1:30" x14ac:dyDescent="0.3">
      <c r="A257" s="7" t="str">
        <v>IF Böljan</v>
      </c>
      <c r="B257" s="12" t="str" cm="1">
        <f t="array" ref="B257">IF($A257="","",_xlfn.LET(_xlpm.p,IFERROR(INDEX(tblDados[País],MATCH($A257,TRIM(tblDados[Mandante]),0)),INDEX(tblDados[País],MATCH($A257,TRIM(tblDados[Visitante]),0))),_xlpm.l,IFERROR(INDEX(tblDados[Liga],MATCH($A257,TRIM(tblDados[Mandante]),0)),INDEX(tblDados[Liga],MATCH($A257,TRIM(tblDados[Visitante]),0))),_xlpm.p&amp;" - "&amp;_xlpm.l))</f>
        <v>SWE - 2ª D Västra Götaland</v>
      </c>
      <c r="C257" s="10">
        <f t="shared" si="45"/>
        <v>3.2</v>
      </c>
      <c r="D257" s="10">
        <f t="shared" si="46"/>
        <v>2.2857142857142856</v>
      </c>
      <c r="E257" s="9" cm="1">
        <f t="array" ref="E257">IF($A257="","",SUMPRODUCT((TRIM(tblDados[Mandante])=$A257)*tblDados[Primeira_Ocorrencia]))</f>
        <v>5</v>
      </c>
      <c r="F257" s="9" cm="1">
        <f t="array" ref="F257">IF($A257="","",SUMPRODUCT((TRIM(tblDados[Visitante])=$A257)*tblDados[Primeira_Ocorrencia]))</f>
        <v>7</v>
      </c>
      <c r="G257" s="9" cm="1">
        <f t="array" ref="G257">IF($A257="","",SUMPRODUCT((TRIM(tblDados[Mandante])=$A257)*tblDados[Primeira_Ocorrencia])+SUMPRODUCT((TRIM(tblDados[Visitante])=$A257)*tblDados[Primeira_Ocorrencia]))</f>
        <v>12</v>
      </c>
      <c r="H257" s="10">
        <f t="shared" si="47"/>
        <v>1.3333333333333333</v>
      </c>
      <c r="I257" s="10" cm="1">
        <f t="array" ref="I257">IF($A257="","",_xlfn.LET(_xlpm.p,IFERROR(INDEX(tblDados[País],MATCH($A257,TRIM(tblDados[Mandante]),0)),INDEX(tblDados[País],MATCH($A257,TRIM(tblDados[Visitante]),0))),_xlpm.l,IFERROR(INDEX(tblDados[Liga],MATCH($A257,TRIM(tblDados[Mandante]),0)),INDEX(tblDados[Liga],MATCH($A257,TRIM(tblDados[Visitante]),0))),IFERROR(SUMIFS(Ligas!$D$2:$D$39,Ligas!$H$2:$H$39,_xlpm.p,Ligas!$I$2:$I$39,_xlpm.l),0)))</f>
        <v>2.5</v>
      </c>
      <c r="J257" s="11" cm="1">
        <f t="array" ref="J257">IF($A257="","",IFERROR((SUMPRODUCT((TRIM(tblDados[Mandante])=$A257)*tblDados[Primeira_Ocorrencia]*(tblDados[GM_M]=0))+SUMPRODUCT((TRIM(tblDados[Visitante])=$A257)*tblDados[Primeira_Ocorrencia]*(tblDados[GM_V]=0)))/G257,0))</f>
        <v>0.16666666666666666</v>
      </c>
      <c r="K257" s="11" cm="1">
        <f t="array" ref="K257">IF($A257="","",IFERROR((SUMPRODUCT((TRIM(tblDados[Mandante])=$A257)*tblDados[Primeira_Ocorrencia]*((tblDados[GM_M]+tblDados[GS_M])&gt;0.5))+SUMPRODUCT((TRIM(tblDados[Visitante])=$A257)*tblDados[Primeira_Ocorrencia]*((tblDados[GM_V]+tblDados[GS_V])&gt;0.5)))/G257,0))</f>
        <v>0.91666666666666663</v>
      </c>
      <c r="L257" s="11" cm="1">
        <f t="array" ref="L257">IF($A257="","",IFERROR((SUMPRODUCT((TRIM(tblDados[Mandante])=$A257)*tblDados[Primeira_Ocorrencia]*((tblDados[GM_M]+tblDados[GS_M])&gt;1.5))+SUMPRODUCT((TRIM(tblDados[Visitante])=$A257)*tblDados[Primeira_Ocorrencia]*((tblDados[GM_V]+tblDados[GS_V])&gt;1.5)))/G257,0))</f>
        <v>0.83333333333333337</v>
      </c>
      <c r="M257" s="11" cm="1">
        <f t="array" ref="M257">IF($A257="","",IFERROR((SUMPRODUCT((TRIM(tblDados[Mandante])=$A257)*tblDados[Primeira_Ocorrencia]*((tblDados[GM_M]+tblDados[GS_M])&gt;2.5))+SUMPRODUCT((TRIM(tblDados[Visitante])=$A257)*tblDados[Primeira_Ocorrencia]*((tblDados[GM_V]+tblDados[GS_V])&gt;2.5)))/G257,0))</f>
        <v>0.58333333333333337</v>
      </c>
      <c r="N257" s="11" cm="1">
        <f t="array" ref="N257">IF($A257="","",IFERROR((SUMPRODUCT((TRIM(tblDados[Mandante])=$A257)*tblDados[Primeira_Ocorrencia]*((tblDados[GM_M]+tblDados[GS_M])&gt;3.5))+SUMPRODUCT((TRIM(tblDados[Visitante])=$A257)*tblDados[Primeira_Ocorrencia]*((tblDados[GM_V]+tblDados[GS_V])&gt;3.5)))/G257,0))</f>
        <v>0.33333333333333331</v>
      </c>
      <c r="O257" s="11" cm="1">
        <f t="array" ref="O257">IF($A257="","",IFERROR((SUMPRODUCT((TRIM(tblDados[Mandante])=$A257)*tblDados[Primeira_Ocorrencia]*(tblDados[GM_M]&gt;0)*(tblDados[GS_M]&gt;0))+SUMPRODUCT((TRIM(tblDados[Visitante])=$A257)*tblDados[Primeira_Ocorrencia]*(tblDados[GM_V]&gt;0)*(tblDados[GS_V]&gt;0)))/G257,0))</f>
        <v>0.66666666666666663</v>
      </c>
      <c r="P257" s="10" cm="1">
        <f t="array" ref="P257">IF($A257="","",IFERROR((SUMPRODUCT((TRIM(tblDados[Mandante])=$A257)*tblDados[Primeira_Ocorrencia]*tblDados[GM_M]^2)+SUMPRODUCT((TRIM(tblDados[Visitante])=$A257)*tblDados[Primeira_Ocorrencia]*tblDados[GM_V]^2))/G257-H257^2,0))</f>
        <v>0.72222222222222232</v>
      </c>
      <c r="Q257" s="10">
        <f t="shared" si="48"/>
        <v>0.84983658559879749</v>
      </c>
      <c r="R257" s="8" t="str">
        <f t="shared" si="49"/>
        <v>Poisson</v>
      </c>
      <c r="S257" s="10" cm="1">
        <f t="array" ref="S257">IF($A257="","",SUMPRODUCT((TRIM(tblDados[Mandante])=$A257)*tblDados[Primeira_Ocorrencia]*tblDados[GM_M]))</f>
        <v>10</v>
      </c>
      <c r="T257" s="10" cm="1">
        <f t="array" ref="T257">IF($A257="","",SUMPRODUCT((TRIM(tblDados[Visitante])=$A257)*tblDados[Primeira_Ocorrencia]*tblDados[GM_V]))</f>
        <v>6</v>
      </c>
      <c r="U257" s="10">
        <f t="shared" si="50"/>
        <v>16</v>
      </c>
      <c r="V257" s="10">
        <f t="shared" si="39"/>
        <v>1.3333333333333333</v>
      </c>
      <c r="W257" s="10" cm="1">
        <f t="array" ref="W257">IF($A257="","",SUMPRODUCT((TRIM(tblDados[Mandante])=$A257)*tblDados[Primeira_Ocorrencia]*tblDados[GS_M]))</f>
        <v>6</v>
      </c>
      <c r="X257" s="10" cm="1">
        <f t="array" ref="X257">IF($A257="","",SUMPRODUCT((TRIM(tblDados[Visitante])=$A257)*tblDados[Primeira_Ocorrencia]*tblDados[GS_V]))</f>
        <v>10</v>
      </c>
      <c r="Y257" s="10">
        <f t="shared" si="51"/>
        <v>16</v>
      </c>
      <c r="Z257" s="10">
        <f t="shared" si="40"/>
        <v>1.3333333333333333</v>
      </c>
      <c r="AA257" s="10">
        <f t="shared" si="41"/>
        <v>2</v>
      </c>
      <c r="AB257" s="10">
        <f t="shared" si="42"/>
        <v>1.2</v>
      </c>
      <c r="AC257" s="10">
        <f t="shared" si="43"/>
        <v>0.8571428571428571</v>
      </c>
      <c r="AD257" s="10">
        <f t="shared" si="44"/>
        <v>1.4285714285714286</v>
      </c>
    </row>
    <row r="258" spans="1:30" x14ac:dyDescent="0.3">
      <c r="A258" s="7" t="str">
        <v>IF Brommapojkarna</v>
      </c>
      <c r="B258" s="12" t="str" cm="1">
        <f t="array" ref="B258">IF($A258="","",_xlfn.LET(_xlpm.p,IFERROR(INDEX(tblDados[País],MATCH($A258,TRIM(tblDados[Mandante]),0)),INDEX(tblDados[País],MATCH($A258,TRIM(tblDados[Visitante]),0))),_xlpm.l,IFERROR(INDEX(tblDados[Liga],MATCH($A258,TRIM(tblDados[Mandante]),0)),INDEX(tblDados[Liga],MATCH($A258,TRIM(tblDados[Visitante]),0))),_xlpm.p&amp;" - "&amp;_xlpm.l))</f>
        <v>SWE - Allsvenskan</v>
      </c>
      <c r="C258" s="10">
        <f t="shared" si="45"/>
        <v>2.333333333333333</v>
      </c>
      <c r="D258" s="10">
        <f t="shared" si="46"/>
        <v>3.3333333333333335</v>
      </c>
      <c r="E258" s="9" cm="1">
        <f t="array" ref="E258">IF($A258="","",SUMPRODUCT((TRIM(tblDados[Mandante])=$A258)*tblDados[Primeira_Ocorrencia]))</f>
        <v>6</v>
      </c>
      <c r="F258" s="9" cm="1">
        <f t="array" ref="F258">IF($A258="","",SUMPRODUCT((TRIM(tblDados[Visitante])=$A258)*tblDados[Primeira_Ocorrencia]))</f>
        <v>6</v>
      </c>
      <c r="G258" s="9" cm="1">
        <f t="array" ref="G258">IF($A258="","",SUMPRODUCT((TRIM(tblDados[Mandante])=$A258)*tblDados[Primeira_Ocorrencia])+SUMPRODUCT((TRIM(tblDados[Visitante])=$A258)*tblDados[Primeira_Ocorrencia]))</f>
        <v>12</v>
      </c>
      <c r="H258" s="10">
        <f t="shared" si="47"/>
        <v>1.3333333333333333</v>
      </c>
      <c r="I258" s="10" cm="1">
        <f t="array" ref="I258">IF($A258="","",_xlfn.LET(_xlpm.p,IFERROR(INDEX(tblDados[País],MATCH($A258,TRIM(tblDados[Mandante]),0)),INDEX(tblDados[País],MATCH($A258,TRIM(tblDados[Visitante]),0))),_xlpm.l,IFERROR(INDEX(tblDados[Liga],MATCH($A258,TRIM(tblDados[Mandante]),0)),INDEX(tblDados[Liga],MATCH($A258,TRIM(tblDados[Visitante]),0))),IFERROR(SUMIFS(Ligas!$D$2:$D$39,Ligas!$H$2:$H$39,_xlpm.p,Ligas!$I$2:$I$39,_xlpm.l),0)))</f>
        <v>2.5</v>
      </c>
      <c r="J258" s="11" cm="1">
        <f t="array" ref="J258">IF($A258="","",IFERROR((SUMPRODUCT((TRIM(tblDados[Mandante])=$A258)*tblDados[Primeira_Ocorrencia]*(tblDados[GM_M]=0))+SUMPRODUCT((TRIM(tblDados[Visitante])=$A258)*tblDados[Primeira_Ocorrencia]*(tblDados[GM_V]=0)))/G258,0))</f>
        <v>8.3333333333333329E-2</v>
      </c>
      <c r="K258" s="11" cm="1">
        <f t="array" ref="K258">IF($A258="","",IFERROR((SUMPRODUCT((TRIM(tblDados[Mandante])=$A258)*tblDados[Primeira_Ocorrencia]*((tblDados[GM_M]+tblDados[GS_M])&gt;0.5))+SUMPRODUCT((TRIM(tblDados[Visitante])=$A258)*tblDados[Primeira_Ocorrencia]*((tblDados[GM_V]+tblDados[GS_V])&gt;0.5)))/G258,0))</f>
        <v>1</v>
      </c>
      <c r="L258" s="11" cm="1">
        <f t="array" ref="L258">IF($A258="","",IFERROR((SUMPRODUCT((TRIM(tblDados[Mandante])=$A258)*tblDados[Primeira_Ocorrencia]*((tblDados[GM_M]+tblDados[GS_M])&gt;1.5))+SUMPRODUCT((TRIM(tblDados[Visitante])=$A258)*tblDados[Primeira_Ocorrencia]*((tblDados[GM_V]+tblDados[GS_V])&gt;1.5)))/G258,0))</f>
        <v>0.91666666666666663</v>
      </c>
      <c r="M258" s="11" cm="1">
        <f t="array" ref="M258">IF($A258="","",IFERROR((SUMPRODUCT((TRIM(tblDados[Mandante])=$A258)*tblDados[Primeira_Ocorrencia]*((tblDados[GM_M]+tblDados[GS_M])&gt;2.5))+SUMPRODUCT((TRIM(tblDados[Visitante])=$A258)*tblDados[Primeira_Ocorrencia]*((tblDados[GM_V]+tblDados[GS_V])&gt;2.5)))/G258,0))</f>
        <v>0.66666666666666663</v>
      </c>
      <c r="N258" s="11" cm="1">
        <f t="array" ref="N258">IF($A258="","",IFERROR((SUMPRODUCT((TRIM(tblDados[Mandante])=$A258)*tblDados[Primeira_Ocorrencia]*((tblDados[GM_M]+tblDados[GS_M])&gt;3.5))+SUMPRODUCT((TRIM(tblDados[Visitante])=$A258)*tblDados[Primeira_Ocorrencia]*((tblDados[GM_V]+tblDados[GS_V])&gt;3.5)))/G258,0))</f>
        <v>0.25</v>
      </c>
      <c r="O258" s="11" cm="1">
        <f t="array" ref="O258">IF($A258="","",IFERROR((SUMPRODUCT((TRIM(tblDados[Mandante])=$A258)*tblDados[Primeira_Ocorrencia]*(tblDados[GM_M]&gt;0)*(tblDados[GS_M]&gt;0))+SUMPRODUCT((TRIM(tblDados[Visitante])=$A258)*tblDados[Primeira_Ocorrencia]*(tblDados[GM_V]&gt;0)*(tblDados[GS_V]&gt;0)))/G258,0))</f>
        <v>0.83333333333333337</v>
      </c>
      <c r="P258" s="10" cm="1">
        <f t="array" ref="P258">IF($A258="","",IFERROR((SUMPRODUCT((TRIM(tblDados[Mandante])=$A258)*tblDados[Primeira_Ocorrencia]*tblDados[GM_M]^2)+SUMPRODUCT((TRIM(tblDados[Visitante])=$A258)*tblDados[Primeira_Ocorrencia]*tblDados[GM_V]^2))/G258-H258^2,0))</f>
        <v>0.5555555555555558</v>
      </c>
      <c r="Q258" s="10">
        <f t="shared" si="48"/>
        <v>0.74535599249993001</v>
      </c>
      <c r="R258" s="8" t="str">
        <f t="shared" si="49"/>
        <v>Poisson</v>
      </c>
      <c r="S258" s="10" cm="1">
        <f t="array" ref="S258">IF($A258="","",SUMPRODUCT((TRIM(tblDados[Mandante])=$A258)*tblDados[Primeira_Ocorrencia]*tblDados[GM_M]))</f>
        <v>6</v>
      </c>
      <c r="T258" s="10" cm="1">
        <f t="array" ref="T258">IF($A258="","",SUMPRODUCT((TRIM(tblDados[Visitante])=$A258)*tblDados[Primeira_Ocorrencia]*tblDados[GM_V]))</f>
        <v>10</v>
      </c>
      <c r="U258" s="10">
        <f t="shared" si="50"/>
        <v>16</v>
      </c>
      <c r="V258" s="10">
        <f t="shared" ref="V258:V321" si="52">IF($A258="","",IFERROR(U258/G258,0))</f>
        <v>1.3333333333333333</v>
      </c>
      <c r="W258" s="10" cm="1">
        <f t="array" ref="W258">IF($A258="","",SUMPRODUCT((TRIM(tblDados[Mandante])=$A258)*tblDados[Primeira_Ocorrencia]*tblDados[GS_M]))</f>
        <v>8</v>
      </c>
      <c r="X258" s="10" cm="1">
        <f t="array" ref="X258">IF($A258="","",SUMPRODUCT((TRIM(tblDados[Visitante])=$A258)*tblDados[Primeira_Ocorrencia]*tblDados[GS_V]))</f>
        <v>10</v>
      </c>
      <c r="Y258" s="10">
        <f t="shared" si="51"/>
        <v>18</v>
      </c>
      <c r="Z258" s="10">
        <f t="shared" ref="Z258:Z321" si="53">IF($A258="","",IFERROR(Y258/G258,0))</f>
        <v>1.5</v>
      </c>
      <c r="AA258" s="10">
        <f t="shared" ref="AA258:AA321" si="54">IF($A258="","",IF($E258=0,"",$S258/$E258))</f>
        <v>1</v>
      </c>
      <c r="AB258" s="10">
        <f t="shared" ref="AB258:AB321" si="55">IF($A258="","",IF($E258=0,"",$W258/$E258))</f>
        <v>1.3333333333333333</v>
      </c>
      <c r="AC258" s="10">
        <f t="shared" ref="AC258:AC321" si="56">IF($A258="","",IF($F258=0,"",$T258/$F258))</f>
        <v>1.6666666666666667</v>
      </c>
      <c r="AD258" s="10">
        <f t="shared" ref="AD258:AD321" si="57">IF($A258="","",IF($F258=0,"",$X258/$F258))</f>
        <v>1.6666666666666667</v>
      </c>
    </row>
    <row r="259" spans="1:30" x14ac:dyDescent="0.3">
      <c r="A259" s="7" t="str">
        <v>IF Karlstad B</v>
      </c>
      <c r="B259" s="12" t="str" cm="1">
        <f t="array" ref="B259">IF($A259="","",_xlfn.LET(_xlpm.p,IFERROR(INDEX(tblDados[País],MATCH($A259,TRIM(tblDados[Mandante]),0)),INDEX(tblDados[País],MATCH($A259,TRIM(tblDados[Visitante]),0))),_xlpm.l,IFERROR(INDEX(tblDados[Liga],MATCH($A259,TRIM(tblDados[Mandante]),0)),INDEX(tblDados[Liga],MATCH($A259,TRIM(tblDados[Visitante]),0))),_xlpm.p&amp;" - "&amp;_xlpm.l))</f>
        <v>SWE - 2ª D Norra Götaland</v>
      </c>
      <c r="C259" s="10">
        <f t="shared" ref="C259:C322" si="58">IF($A259="","",IF($E259=0,"",$AA259+$AB259))</f>
        <v>3</v>
      </c>
      <c r="D259" s="10">
        <f t="shared" ref="D259:D322" si="59">IF($A259="","",IF($F259=0,"",$AC259+$AD259))</f>
        <v>2.833333333333333</v>
      </c>
      <c r="E259" s="9" cm="1">
        <f t="array" ref="E259">IF($A259="","",SUMPRODUCT((TRIM(tblDados[Mandante])=$A259)*tblDados[Primeira_Ocorrencia]))</f>
        <v>6</v>
      </c>
      <c r="F259" s="9" cm="1">
        <f t="array" ref="F259">IF($A259="","",SUMPRODUCT((TRIM(tblDados[Visitante])=$A259)*tblDados[Primeira_Ocorrencia]))</f>
        <v>6</v>
      </c>
      <c r="G259" s="9" cm="1">
        <f t="array" ref="G259">IF($A259="","",SUMPRODUCT((TRIM(tblDados[Mandante])=$A259)*tblDados[Primeira_Ocorrencia])+SUMPRODUCT((TRIM(tblDados[Visitante])=$A259)*tblDados[Primeira_Ocorrencia]))</f>
        <v>12</v>
      </c>
      <c r="H259" s="10">
        <f t="shared" ref="H259:H322" si="60">IF($A259="","",IFERROR($U259/$G259,0))</f>
        <v>0.83333333333333337</v>
      </c>
      <c r="I259" s="10" cm="1">
        <f t="array" ref="I259">IF($A259="","",_xlfn.LET(_xlpm.p,IFERROR(INDEX(tblDados[País],MATCH($A259,TRIM(tblDados[Mandante]),0)),INDEX(tblDados[País],MATCH($A259,TRIM(tblDados[Visitante]),0))),_xlpm.l,IFERROR(INDEX(tblDados[Liga],MATCH($A259,TRIM(tblDados[Mandante]),0)),INDEX(tblDados[Liga],MATCH($A259,TRIM(tblDados[Visitante]),0))),IFERROR(SUMIFS(Ligas!$D$2:$D$39,Ligas!$H$2:$H$39,_xlpm.p,Ligas!$I$2:$I$39,_xlpm.l),0)))</f>
        <v>2.5</v>
      </c>
      <c r="J259" s="11" cm="1">
        <f t="array" ref="J259">IF($A259="","",IFERROR((SUMPRODUCT((TRIM(tblDados[Mandante])=$A259)*tblDados[Primeira_Ocorrencia]*(tblDados[GM_M]=0))+SUMPRODUCT((TRIM(tblDados[Visitante])=$A259)*tblDados[Primeira_Ocorrencia]*(tblDados[GM_V]=0)))/G259,0))</f>
        <v>0.33333333333333331</v>
      </c>
      <c r="K259" s="11" cm="1">
        <f t="array" ref="K259">IF($A259="","",IFERROR((SUMPRODUCT((TRIM(tblDados[Mandante])=$A259)*tblDados[Primeira_Ocorrencia]*((tblDados[GM_M]+tblDados[GS_M])&gt;0.5))+SUMPRODUCT((TRIM(tblDados[Visitante])=$A259)*tblDados[Primeira_Ocorrencia]*((tblDados[GM_V]+tblDados[GS_V])&gt;0.5)))/G259,0))</f>
        <v>1</v>
      </c>
      <c r="L259" s="11" cm="1">
        <f t="array" ref="L259">IF($A259="","",IFERROR((SUMPRODUCT((TRIM(tblDados[Mandante])=$A259)*tblDados[Primeira_Ocorrencia]*((tblDados[GM_M]+tblDados[GS_M])&gt;1.5))+SUMPRODUCT((TRIM(tblDados[Visitante])=$A259)*tblDados[Primeira_Ocorrencia]*((tblDados[GM_V]+tblDados[GS_V])&gt;1.5)))/G259,0))</f>
        <v>1</v>
      </c>
      <c r="M259" s="11" cm="1">
        <f t="array" ref="M259">IF($A259="","",IFERROR((SUMPRODUCT((TRIM(tblDados[Mandante])=$A259)*tblDados[Primeira_Ocorrencia]*((tblDados[GM_M]+tblDados[GS_M])&gt;2.5))+SUMPRODUCT((TRIM(tblDados[Visitante])=$A259)*tblDados[Primeira_Ocorrencia]*((tblDados[GM_V]+tblDados[GS_V])&gt;2.5)))/G259,0))</f>
        <v>0.41666666666666669</v>
      </c>
      <c r="N259" s="11" cm="1">
        <f t="array" ref="N259">IF($A259="","",IFERROR((SUMPRODUCT((TRIM(tblDados[Mandante])=$A259)*tblDados[Primeira_Ocorrencia]*((tblDados[GM_M]+tblDados[GS_M])&gt;3.5))+SUMPRODUCT((TRIM(tblDados[Visitante])=$A259)*tblDados[Primeira_Ocorrencia]*((tblDados[GM_V]+tblDados[GS_V])&gt;3.5)))/G259,0))</f>
        <v>0.33333333333333331</v>
      </c>
      <c r="O259" s="11" cm="1">
        <f t="array" ref="O259">IF($A259="","",IFERROR((SUMPRODUCT((TRIM(tblDados[Mandante])=$A259)*tblDados[Primeira_Ocorrencia]*(tblDados[GM_M]&gt;0)*(tblDados[GS_M]&gt;0))+SUMPRODUCT((TRIM(tblDados[Visitante])=$A259)*tblDados[Primeira_Ocorrencia]*(tblDados[GM_V]&gt;0)*(tblDados[GS_V]&gt;0)))/G259,0))</f>
        <v>0.58333333333333337</v>
      </c>
      <c r="P259" s="10" cm="1">
        <f t="array" ref="P259">IF($A259="","",IFERROR((SUMPRODUCT((TRIM(tblDados[Mandante])=$A259)*tblDados[Primeira_Ocorrencia]*tblDados[GM_M]^2)+SUMPRODUCT((TRIM(tblDados[Visitante])=$A259)*tblDados[Primeira_Ocorrencia]*tblDados[GM_V]^2))/G259-H259^2,0))</f>
        <v>0.47222222222222221</v>
      </c>
      <c r="Q259" s="10">
        <f t="shared" ref="Q259:Q322" si="61">IF($A259="","",IFERROR(SQRT(MAX(P259,0)),0))</f>
        <v>0.68718427093627676</v>
      </c>
      <c r="R259" s="8" t="str">
        <f t="shared" ref="R259:R322" si="62">IF(A259="","",IF(OR(G259&lt;5,H259=0),"Amostra Insuficiente",IF(_xlfn.CHISQ.DIST.RT(G259*P259/H259,G259-1)&lt;0.05,"Binomial Negativa","Poisson")))</f>
        <v>Poisson</v>
      </c>
      <c r="S259" s="10" cm="1">
        <f t="array" ref="S259">IF($A259="","",SUMPRODUCT((TRIM(tblDados[Mandante])=$A259)*tblDados[Primeira_Ocorrencia]*tblDados[GM_M]))</f>
        <v>4</v>
      </c>
      <c r="T259" s="10" cm="1">
        <f t="array" ref="T259">IF($A259="","",SUMPRODUCT((TRIM(tblDados[Visitante])=$A259)*tblDados[Primeira_Ocorrencia]*tblDados[GM_V]))</f>
        <v>6</v>
      </c>
      <c r="U259" s="10">
        <f t="shared" ref="U259:U322" si="63">IF($A259="","",S259+T259)</f>
        <v>10</v>
      </c>
      <c r="V259" s="10">
        <f t="shared" si="52"/>
        <v>0.83333333333333337</v>
      </c>
      <c r="W259" s="10" cm="1">
        <f t="array" ref="W259">IF($A259="","",SUMPRODUCT((TRIM(tblDados[Mandante])=$A259)*tblDados[Primeira_Ocorrencia]*tblDados[GS_M]))</f>
        <v>14</v>
      </c>
      <c r="X259" s="10" cm="1">
        <f t="array" ref="X259">IF($A259="","",SUMPRODUCT((TRIM(tblDados[Visitante])=$A259)*tblDados[Primeira_Ocorrencia]*tblDados[GS_V]))</f>
        <v>11</v>
      </c>
      <c r="Y259" s="10">
        <f t="shared" ref="Y259:Y322" si="64">IF($A259="","",W259+X259)</f>
        <v>25</v>
      </c>
      <c r="Z259" s="10">
        <f t="shared" si="53"/>
        <v>2.0833333333333335</v>
      </c>
      <c r="AA259" s="10">
        <f t="shared" si="54"/>
        <v>0.66666666666666663</v>
      </c>
      <c r="AB259" s="10">
        <f t="shared" si="55"/>
        <v>2.3333333333333335</v>
      </c>
      <c r="AC259" s="10">
        <f t="shared" si="56"/>
        <v>1</v>
      </c>
      <c r="AD259" s="10">
        <f t="shared" si="57"/>
        <v>1.8333333333333333</v>
      </c>
    </row>
    <row r="260" spans="1:30" x14ac:dyDescent="0.3">
      <c r="A260" s="7" t="str">
        <v>IF Karlstad Fotboll</v>
      </c>
      <c r="B260" s="12" t="str" cm="1">
        <f t="array" ref="B260">IF($A260="","",_xlfn.LET(_xlpm.p,IFERROR(INDEX(tblDados[País],MATCH($A260,TRIM(tblDados[Mandante]),0)),INDEX(tblDados[País],MATCH($A260,TRIM(tblDados[Visitante]),0))),_xlpm.l,IFERROR(INDEX(tblDados[Liga],MATCH($A260,TRIM(tblDados[Mandante]),0)),INDEX(tblDados[Liga],MATCH($A260,TRIM(tblDados[Visitante]),0))),_xlpm.p&amp;" - "&amp;_xlpm.l))</f>
        <v>SWE - 1ª D Norra</v>
      </c>
      <c r="C260" s="10">
        <f t="shared" si="58"/>
        <v>2.166666666666667</v>
      </c>
      <c r="D260" s="10">
        <f t="shared" si="59"/>
        <v>2.833333333333333</v>
      </c>
      <c r="E260" s="9" cm="1">
        <f t="array" ref="E260">IF($A260="","",SUMPRODUCT((TRIM(tblDados[Mandante])=$A260)*tblDados[Primeira_Ocorrencia]))</f>
        <v>6</v>
      </c>
      <c r="F260" s="9" cm="1">
        <f t="array" ref="F260">IF($A260="","",SUMPRODUCT((TRIM(tblDados[Visitante])=$A260)*tblDados[Primeira_Ocorrencia]))</f>
        <v>6</v>
      </c>
      <c r="G260" s="9" cm="1">
        <f t="array" ref="G260">IF($A260="","",SUMPRODUCT((TRIM(tblDados[Mandante])=$A260)*tblDados[Primeira_Ocorrencia])+SUMPRODUCT((TRIM(tblDados[Visitante])=$A260)*tblDados[Primeira_Ocorrencia]))</f>
        <v>12</v>
      </c>
      <c r="H260" s="10">
        <f t="shared" si="60"/>
        <v>1.75</v>
      </c>
      <c r="I260" s="10" cm="1">
        <f t="array" ref="I260">IF($A260="","",_xlfn.LET(_xlpm.p,IFERROR(INDEX(tblDados[País],MATCH($A260,TRIM(tblDados[Mandante]),0)),INDEX(tblDados[País],MATCH($A260,TRIM(tblDados[Visitante]),0))),_xlpm.l,IFERROR(INDEX(tblDados[Liga],MATCH($A260,TRIM(tblDados[Mandante]),0)),INDEX(tblDados[Liga],MATCH($A260,TRIM(tblDados[Visitante]),0))),IFERROR(SUMIFS(Ligas!$D$2:$D$39,Ligas!$H$2:$H$39,_xlpm.p,Ligas!$I$2:$I$39,_xlpm.l),0)))</f>
        <v>2.5</v>
      </c>
      <c r="J260" s="11" cm="1">
        <f t="array" ref="J260">IF($A260="","",IFERROR((SUMPRODUCT((TRIM(tblDados[Mandante])=$A260)*tblDados[Primeira_Ocorrencia]*(tblDados[GM_M]=0))+SUMPRODUCT((TRIM(tblDados[Visitante])=$A260)*tblDados[Primeira_Ocorrencia]*(tblDados[GM_V]=0)))/G260,0))</f>
        <v>0.33333333333333331</v>
      </c>
      <c r="K260" s="11" cm="1">
        <f t="array" ref="K260">IF($A260="","",IFERROR((SUMPRODUCT((TRIM(tblDados[Mandante])=$A260)*tblDados[Primeira_Ocorrencia]*((tblDados[GM_M]+tblDados[GS_M])&gt;0.5))+SUMPRODUCT((TRIM(tblDados[Visitante])=$A260)*tblDados[Primeira_Ocorrencia]*((tblDados[GM_V]+tblDados[GS_V])&gt;0.5)))/G260,0))</f>
        <v>0.83333333333333337</v>
      </c>
      <c r="L260" s="11" cm="1">
        <f t="array" ref="L260">IF($A260="","",IFERROR((SUMPRODUCT((TRIM(tblDados[Mandante])=$A260)*tblDados[Primeira_Ocorrencia]*((tblDados[GM_M]+tblDados[GS_M])&gt;1.5))+SUMPRODUCT((TRIM(tblDados[Visitante])=$A260)*tblDados[Primeira_Ocorrencia]*((tblDados[GM_V]+tblDados[GS_V])&gt;1.5)))/G260,0))</f>
        <v>0.66666666666666663</v>
      </c>
      <c r="M260" s="11" cm="1">
        <f t="array" ref="M260">IF($A260="","",IFERROR((SUMPRODUCT((TRIM(tblDados[Mandante])=$A260)*tblDados[Primeira_Ocorrencia]*((tblDados[GM_M]+tblDados[GS_M])&gt;2.5))+SUMPRODUCT((TRIM(tblDados[Visitante])=$A260)*tblDados[Primeira_Ocorrencia]*((tblDados[GM_V]+tblDados[GS_V])&gt;2.5)))/G260,0))</f>
        <v>0.41666666666666669</v>
      </c>
      <c r="N260" s="11" cm="1">
        <f t="array" ref="N260">IF($A260="","",IFERROR((SUMPRODUCT((TRIM(tblDados[Mandante])=$A260)*tblDados[Primeira_Ocorrencia]*((tblDados[GM_M]+tblDados[GS_M])&gt;3.5))+SUMPRODUCT((TRIM(tblDados[Visitante])=$A260)*tblDados[Primeira_Ocorrencia]*((tblDados[GM_V]+tblDados[GS_V])&gt;3.5)))/G260,0))</f>
        <v>0.33333333333333331</v>
      </c>
      <c r="O260" s="11" cm="1">
        <f t="array" ref="O260">IF($A260="","",IFERROR((SUMPRODUCT((TRIM(tblDados[Mandante])=$A260)*tblDados[Primeira_Ocorrencia]*(tblDados[GM_M]&gt;0)*(tblDados[GS_M]&gt;0))+SUMPRODUCT((TRIM(tblDados[Visitante])=$A260)*tblDados[Primeira_Ocorrencia]*(tblDados[GM_V]&gt;0)*(tblDados[GS_V]&gt;0)))/G260,0))</f>
        <v>0.33333333333333331</v>
      </c>
      <c r="P260" s="10" cm="1">
        <f t="array" ref="P260">IF($A260="","",IFERROR((SUMPRODUCT((TRIM(tblDados[Mandante])=$A260)*tblDados[Primeira_Ocorrencia]*tblDados[GM_M]^2)+SUMPRODUCT((TRIM(tblDados[Visitante])=$A260)*tblDados[Primeira_Ocorrencia]*tblDados[GM_V]^2))/G260-H260^2,0))</f>
        <v>2.520833333333333</v>
      </c>
      <c r="Q260" s="10">
        <f t="shared" si="61"/>
        <v>1.5877132402714706</v>
      </c>
      <c r="R260" s="8" t="str">
        <f t="shared" si="62"/>
        <v>Poisson</v>
      </c>
      <c r="S260" s="10" cm="1">
        <f t="array" ref="S260">IF($A260="","",SUMPRODUCT((TRIM(tblDados[Mandante])=$A260)*tblDados[Primeira_Ocorrencia]*tblDados[GM_M]))</f>
        <v>10</v>
      </c>
      <c r="T260" s="10" cm="1">
        <f t="array" ref="T260">IF($A260="","",SUMPRODUCT((TRIM(tblDados[Visitante])=$A260)*tblDados[Primeira_Ocorrencia]*tblDados[GM_V]))</f>
        <v>11</v>
      </c>
      <c r="U260" s="10">
        <f t="shared" si="63"/>
        <v>21</v>
      </c>
      <c r="V260" s="10">
        <f t="shared" si="52"/>
        <v>1.75</v>
      </c>
      <c r="W260" s="10" cm="1">
        <f t="array" ref="W260">IF($A260="","",SUMPRODUCT((TRIM(tblDados[Mandante])=$A260)*tblDados[Primeira_Ocorrencia]*tblDados[GS_M]))</f>
        <v>3</v>
      </c>
      <c r="X260" s="10" cm="1">
        <f t="array" ref="X260">IF($A260="","",SUMPRODUCT((TRIM(tblDados[Visitante])=$A260)*tblDados[Primeira_Ocorrencia]*tblDados[GS_V]))</f>
        <v>6</v>
      </c>
      <c r="Y260" s="10">
        <f t="shared" si="64"/>
        <v>9</v>
      </c>
      <c r="Z260" s="10">
        <f t="shared" si="53"/>
        <v>0.75</v>
      </c>
      <c r="AA260" s="10">
        <f t="shared" si="54"/>
        <v>1.6666666666666667</v>
      </c>
      <c r="AB260" s="10">
        <f t="shared" si="55"/>
        <v>0.5</v>
      </c>
      <c r="AC260" s="10">
        <f t="shared" si="56"/>
        <v>1.8333333333333333</v>
      </c>
      <c r="AD260" s="10">
        <f t="shared" si="57"/>
        <v>1</v>
      </c>
    </row>
    <row r="261" spans="1:30" x14ac:dyDescent="0.3">
      <c r="A261" s="7" t="str">
        <v>IFK Berga</v>
      </c>
      <c r="B261" s="12" t="str" cm="1">
        <f t="array" ref="B261">IF($A261="","",_xlfn.LET(_xlpm.p,IFERROR(INDEX(tblDados[País],MATCH($A261,TRIM(tblDados[Mandante]),0)),INDEX(tblDados[País],MATCH($A261,TRIM(tblDados[Visitante]),0))),_xlpm.l,IFERROR(INDEX(tblDados[Liga],MATCH($A261,TRIM(tblDados[Mandante]),0)),INDEX(tblDados[Liga],MATCH($A261,TRIM(tblDados[Visitante]),0))),_xlpm.p&amp;" - "&amp;_xlpm.l))</f>
        <v>SWE - 2ª D Södra Götaland</v>
      </c>
      <c r="C261" s="10">
        <f t="shared" si="58"/>
        <v>4.3333333333333339</v>
      </c>
      <c r="D261" s="10">
        <f t="shared" si="59"/>
        <v>2.5</v>
      </c>
      <c r="E261" s="9" cm="1">
        <f t="array" ref="E261">IF($A261="","",SUMPRODUCT((TRIM(tblDados[Mandante])=$A261)*tblDados[Primeira_Ocorrencia]))</f>
        <v>6</v>
      </c>
      <c r="F261" s="9" cm="1">
        <f t="array" ref="F261">IF($A261="","",SUMPRODUCT((TRIM(tblDados[Visitante])=$A261)*tblDados[Primeira_Ocorrencia]))</f>
        <v>6</v>
      </c>
      <c r="G261" s="9" cm="1">
        <f t="array" ref="G261">IF($A261="","",SUMPRODUCT((TRIM(tblDados[Mandante])=$A261)*tblDados[Primeira_Ocorrencia])+SUMPRODUCT((TRIM(tblDados[Visitante])=$A261)*tblDados[Primeira_Ocorrencia]))</f>
        <v>12</v>
      </c>
      <c r="H261" s="10">
        <f t="shared" si="60"/>
        <v>2.3333333333333335</v>
      </c>
      <c r="I261" s="10" cm="1">
        <f t="array" ref="I261">IF($A261="","",_xlfn.LET(_xlpm.p,IFERROR(INDEX(tblDados[País],MATCH($A261,TRIM(tblDados[Mandante]),0)),INDEX(tblDados[País],MATCH($A261,TRIM(tblDados[Visitante]),0))),_xlpm.l,IFERROR(INDEX(tblDados[Liga],MATCH($A261,TRIM(tblDados[Mandante]),0)),INDEX(tblDados[Liga],MATCH($A261,TRIM(tblDados[Visitante]),0))),IFERROR(SUMIFS(Ligas!$D$2:$D$39,Ligas!$H$2:$H$39,_xlpm.p,Ligas!$I$2:$I$39,_xlpm.l),0)))</f>
        <v>2.5</v>
      </c>
      <c r="J261" s="11" cm="1">
        <f t="array" ref="J261">IF($A261="","",IFERROR((SUMPRODUCT((TRIM(tblDados[Mandante])=$A261)*tblDados[Primeira_Ocorrencia]*(tblDados[GM_M]=0))+SUMPRODUCT((TRIM(tblDados[Visitante])=$A261)*tblDados[Primeira_Ocorrencia]*(tblDados[GM_V]=0)))/G261,0))</f>
        <v>8.3333333333333329E-2</v>
      </c>
      <c r="K261" s="11" cm="1">
        <f t="array" ref="K261">IF($A261="","",IFERROR((SUMPRODUCT((TRIM(tblDados[Mandante])=$A261)*tblDados[Primeira_Ocorrencia]*((tblDados[GM_M]+tblDados[GS_M])&gt;0.5))+SUMPRODUCT((TRIM(tblDados[Visitante])=$A261)*tblDados[Primeira_Ocorrencia]*((tblDados[GM_V]+tblDados[GS_V])&gt;0.5)))/G261,0))</f>
        <v>1</v>
      </c>
      <c r="L261" s="11" cm="1">
        <f t="array" ref="L261">IF($A261="","",IFERROR((SUMPRODUCT((TRIM(tblDados[Mandante])=$A261)*tblDados[Primeira_Ocorrencia]*((tblDados[GM_M]+tblDados[GS_M])&gt;1.5))+SUMPRODUCT((TRIM(tblDados[Visitante])=$A261)*tblDados[Primeira_Ocorrencia]*((tblDados[GM_V]+tblDados[GS_V])&gt;1.5)))/G261,0))</f>
        <v>0.91666666666666663</v>
      </c>
      <c r="M261" s="11" cm="1">
        <f t="array" ref="M261">IF($A261="","",IFERROR((SUMPRODUCT((TRIM(tblDados[Mandante])=$A261)*tblDados[Primeira_Ocorrencia]*((tblDados[GM_M]+tblDados[GS_M])&gt;2.5))+SUMPRODUCT((TRIM(tblDados[Visitante])=$A261)*tblDados[Primeira_Ocorrencia]*((tblDados[GM_V]+tblDados[GS_V])&gt;2.5)))/G261,0))</f>
        <v>0.75</v>
      </c>
      <c r="N261" s="11" cm="1">
        <f t="array" ref="N261">IF($A261="","",IFERROR((SUMPRODUCT((TRIM(tblDados[Mandante])=$A261)*tblDados[Primeira_Ocorrencia]*((tblDados[GM_M]+tblDados[GS_M])&gt;3.5))+SUMPRODUCT((TRIM(tblDados[Visitante])=$A261)*tblDados[Primeira_Ocorrencia]*((tblDados[GM_V]+tblDados[GS_V])&gt;3.5)))/G261,0))</f>
        <v>0.41666666666666669</v>
      </c>
      <c r="O261" s="11" cm="1">
        <f t="array" ref="O261">IF($A261="","",IFERROR((SUMPRODUCT((TRIM(tblDados[Mandante])=$A261)*tblDados[Primeira_Ocorrencia]*(tblDados[GM_M]&gt;0)*(tblDados[GS_M]&gt;0))+SUMPRODUCT((TRIM(tblDados[Visitante])=$A261)*tblDados[Primeira_Ocorrencia]*(tblDados[GM_V]&gt;0)*(tblDados[GS_V]&gt;0)))/G261,0))</f>
        <v>0.75</v>
      </c>
      <c r="P261" s="10" cm="1">
        <f t="array" ref="P261">IF($A261="","",IFERROR((SUMPRODUCT((TRIM(tblDados[Mandante])=$A261)*tblDados[Primeira_Ocorrencia]*tblDados[GM_M]^2)+SUMPRODUCT((TRIM(tblDados[Visitante])=$A261)*tblDados[Primeira_Ocorrencia]*tblDados[GM_V]^2))/G261-H261^2,0))</f>
        <v>2.5555555555555545</v>
      </c>
      <c r="Q261" s="10">
        <f t="shared" si="61"/>
        <v>1.5986105077709061</v>
      </c>
      <c r="R261" s="8" t="str">
        <f t="shared" si="62"/>
        <v>Poisson</v>
      </c>
      <c r="S261" s="10" cm="1">
        <f t="array" ref="S261">IF($A261="","",SUMPRODUCT((TRIM(tblDados[Mandante])=$A261)*tblDados[Primeira_Ocorrencia]*tblDados[GM_M]))</f>
        <v>20</v>
      </c>
      <c r="T261" s="10" cm="1">
        <f t="array" ref="T261">IF($A261="","",SUMPRODUCT((TRIM(tblDados[Visitante])=$A261)*tblDados[Primeira_Ocorrencia]*tblDados[GM_V]))</f>
        <v>8</v>
      </c>
      <c r="U261" s="10">
        <f t="shared" si="63"/>
        <v>28</v>
      </c>
      <c r="V261" s="10">
        <f t="shared" si="52"/>
        <v>2.3333333333333335</v>
      </c>
      <c r="W261" s="10" cm="1">
        <f t="array" ref="W261">IF($A261="","",SUMPRODUCT((TRIM(tblDados[Mandante])=$A261)*tblDados[Primeira_Ocorrencia]*tblDados[GS_M]))</f>
        <v>6</v>
      </c>
      <c r="X261" s="10" cm="1">
        <f t="array" ref="X261">IF($A261="","",SUMPRODUCT((TRIM(tblDados[Visitante])=$A261)*tblDados[Primeira_Ocorrencia]*tblDados[GS_V]))</f>
        <v>7</v>
      </c>
      <c r="Y261" s="10">
        <f t="shared" si="64"/>
        <v>13</v>
      </c>
      <c r="Z261" s="10">
        <f t="shared" si="53"/>
        <v>1.0833333333333333</v>
      </c>
      <c r="AA261" s="10">
        <f t="shared" si="54"/>
        <v>3.3333333333333335</v>
      </c>
      <c r="AB261" s="10">
        <f t="shared" si="55"/>
        <v>1</v>
      </c>
      <c r="AC261" s="10">
        <f t="shared" si="56"/>
        <v>1.3333333333333333</v>
      </c>
      <c r="AD261" s="10">
        <f t="shared" si="57"/>
        <v>1.1666666666666667</v>
      </c>
    </row>
    <row r="262" spans="1:30" x14ac:dyDescent="0.3">
      <c r="A262" s="7" t="str">
        <v>IFK Göteborg</v>
      </c>
      <c r="B262" s="12" t="str" cm="1">
        <f t="array" ref="B262">IF($A262="","",_xlfn.LET(_xlpm.p,IFERROR(INDEX(tblDados[País],MATCH($A262,TRIM(tblDados[Mandante]),0)),INDEX(tblDados[País],MATCH($A262,TRIM(tblDados[Visitante]),0))),_xlpm.l,IFERROR(INDEX(tblDados[Liga],MATCH($A262,TRIM(tblDados[Mandante]),0)),INDEX(tblDados[Liga],MATCH($A262,TRIM(tblDados[Visitante]),0))),_xlpm.p&amp;" - "&amp;_xlpm.l))</f>
        <v>SWE - Allsvenskan</v>
      </c>
      <c r="C262" s="10">
        <f t="shared" si="58"/>
        <v>2.8571428571428572</v>
      </c>
      <c r="D262" s="10">
        <f t="shared" si="59"/>
        <v>5.8</v>
      </c>
      <c r="E262" s="9" cm="1">
        <f t="array" ref="E262">IF($A262="","",SUMPRODUCT((TRIM(tblDados[Mandante])=$A262)*tblDados[Primeira_Ocorrencia]))</f>
        <v>7</v>
      </c>
      <c r="F262" s="9" cm="1">
        <f t="array" ref="F262">IF($A262="","",SUMPRODUCT((TRIM(tblDados[Visitante])=$A262)*tblDados[Primeira_Ocorrencia]))</f>
        <v>5</v>
      </c>
      <c r="G262" s="9" cm="1">
        <f t="array" ref="G262">IF($A262="","",SUMPRODUCT((TRIM(tblDados[Mandante])=$A262)*tblDados[Primeira_Ocorrencia])+SUMPRODUCT((TRIM(tblDados[Visitante])=$A262)*tblDados[Primeira_Ocorrencia]))</f>
        <v>12</v>
      </c>
      <c r="H262" s="10">
        <f t="shared" si="60"/>
        <v>1.6666666666666667</v>
      </c>
      <c r="I262" s="10" cm="1">
        <f t="array" ref="I262">IF($A262="","",_xlfn.LET(_xlpm.p,IFERROR(INDEX(tblDados[País],MATCH($A262,TRIM(tblDados[Mandante]),0)),INDEX(tblDados[País],MATCH($A262,TRIM(tblDados[Visitante]),0))),_xlpm.l,IFERROR(INDEX(tblDados[Liga],MATCH($A262,TRIM(tblDados[Mandante]),0)),INDEX(tblDados[Liga],MATCH($A262,TRIM(tblDados[Visitante]),0))),IFERROR(SUMIFS(Ligas!$D$2:$D$39,Ligas!$H$2:$H$39,_xlpm.p,Ligas!$I$2:$I$39,_xlpm.l),0)))</f>
        <v>2.5</v>
      </c>
      <c r="J262" s="11" cm="1">
        <f t="array" ref="J262">IF($A262="","",IFERROR((SUMPRODUCT((TRIM(tblDados[Mandante])=$A262)*tblDados[Primeira_Ocorrencia]*(tblDados[GM_M]=0))+SUMPRODUCT((TRIM(tblDados[Visitante])=$A262)*tblDados[Primeira_Ocorrencia]*(tblDados[GM_V]=0)))/G262,0))</f>
        <v>0.25</v>
      </c>
      <c r="K262" s="11" cm="1">
        <f t="array" ref="K262">IF($A262="","",IFERROR((SUMPRODUCT((TRIM(tblDados[Mandante])=$A262)*tblDados[Primeira_Ocorrencia]*((tblDados[GM_M]+tblDados[GS_M])&gt;0.5))+SUMPRODUCT((TRIM(tblDados[Visitante])=$A262)*tblDados[Primeira_Ocorrencia]*((tblDados[GM_V]+tblDados[GS_V])&gt;0.5)))/G262,0))</f>
        <v>1</v>
      </c>
      <c r="L262" s="11" cm="1">
        <f t="array" ref="L262">IF($A262="","",IFERROR((SUMPRODUCT((TRIM(tblDados[Mandante])=$A262)*tblDados[Primeira_Ocorrencia]*((tblDados[GM_M]+tblDados[GS_M])&gt;1.5))+SUMPRODUCT((TRIM(tblDados[Visitante])=$A262)*tblDados[Primeira_Ocorrencia]*((tblDados[GM_V]+tblDados[GS_V])&gt;1.5)))/G262,0))</f>
        <v>0.91666666666666663</v>
      </c>
      <c r="M262" s="11" cm="1">
        <f t="array" ref="M262">IF($A262="","",IFERROR((SUMPRODUCT((TRIM(tblDados[Mandante])=$A262)*tblDados[Primeira_Ocorrencia]*((tblDados[GM_M]+tblDados[GS_M])&gt;2.5))+SUMPRODUCT((TRIM(tblDados[Visitante])=$A262)*tblDados[Primeira_Ocorrencia]*((tblDados[GM_V]+tblDados[GS_V])&gt;2.5)))/G262,0))</f>
        <v>0.75</v>
      </c>
      <c r="N262" s="11" cm="1">
        <f t="array" ref="N262">IF($A262="","",IFERROR((SUMPRODUCT((TRIM(tblDados[Mandante])=$A262)*tblDados[Primeira_Ocorrencia]*((tblDados[GM_M]+tblDados[GS_M])&gt;3.5))+SUMPRODUCT((TRIM(tblDados[Visitante])=$A262)*tblDados[Primeira_Ocorrencia]*((tblDados[GM_V]+tblDados[GS_V])&gt;3.5)))/G262,0))</f>
        <v>0.58333333333333337</v>
      </c>
      <c r="O262" s="11" cm="1">
        <f t="array" ref="O262">IF($A262="","",IFERROR((SUMPRODUCT((TRIM(tblDados[Mandante])=$A262)*tblDados[Primeira_Ocorrencia]*(tblDados[GM_M]&gt;0)*(tblDados[GS_M]&gt;0))+SUMPRODUCT((TRIM(tblDados[Visitante])=$A262)*tblDados[Primeira_Ocorrencia]*(tblDados[GM_V]&gt;0)*(tblDados[GS_V]&gt;0)))/G262,0))</f>
        <v>0.66666666666666663</v>
      </c>
      <c r="P262" s="10" cm="1">
        <f t="array" ref="P262">IF($A262="","",IFERROR((SUMPRODUCT((TRIM(tblDados[Mandante])=$A262)*tblDados[Primeira_Ocorrencia]*tblDados[GM_M]^2)+SUMPRODUCT((TRIM(tblDados[Visitante])=$A262)*tblDados[Primeira_Ocorrencia]*tblDados[GM_V]^2))/G262-H262^2,0))</f>
        <v>2.0555555555555549</v>
      </c>
      <c r="Q262" s="10">
        <f t="shared" si="61"/>
        <v>1.4337208778404376</v>
      </c>
      <c r="R262" s="8" t="str">
        <f t="shared" si="62"/>
        <v>Poisson</v>
      </c>
      <c r="S262" s="10" cm="1">
        <f t="array" ref="S262">IF($A262="","",SUMPRODUCT((TRIM(tblDados[Mandante])=$A262)*tblDados[Primeira_Ocorrencia]*tblDados[GM_M]))</f>
        <v>11</v>
      </c>
      <c r="T262" s="10" cm="1">
        <f t="array" ref="T262">IF($A262="","",SUMPRODUCT((TRIM(tblDados[Visitante])=$A262)*tblDados[Primeira_Ocorrencia]*tblDados[GM_V]))</f>
        <v>9</v>
      </c>
      <c r="U262" s="10">
        <f t="shared" si="63"/>
        <v>20</v>
      </c>
      <c r="V262" s="10">
        <f t="shared" si="52"/>
        <v>1.6666666666666667</v>
      </c>
      <c r="W262" s="10" cm="1">
        <f t="array" ref="W262">IF($A262="","",SUMPRODUCT((TRIM(tblDados[Mandante])=$A262)*tblDados[Primeira_Ocorrencia]*tblDados[GS_M]))</f>
        <v>9</v>
      </c>
      <c r="X262" s="10" cm="1">
        <f t="array" ref="X262">IF($A262="","",SUMPRODUCT((TRIM(tblDados[Visitante])=$A262)*tblDados[Primeira_Ocorrencia]*tblDados[GS_V]))</f>
        <v>20</v>
      </c>
      <c r="Y262" s="10">
        <f t="shared" si="64"/>
        <v>29</v>
      </c>
      <c r="Z262" s="10">
        <f t="shared" si="53"/>
        <v>2.4166666666666665</v>
      </c>
      <c r="AA262" s="10">
        <f t="shared" si="54"/>
        <v>1.5714285714285714</v>
      </c>
      <c r="AB262" s="10">
        <f t="shared" si="55"/>
        <v>1.2857142857142858</v>
      </c>
      <c r="AC262" s="10">
        <f t="shared" si="56"/>
        <v>1.8</v>
      </c>
      <c r="AD262" s="10">
        <f t="shared" si="57"/>
        <v>4</v>
      </c>
    </row>
    <row r="263" spans="1:30" x14ac:dyDescent="0.3">
      <c r="A263" s="7" t="str">
        <v>IFK Karlshamn</v>
      </c>
      <c r="B263" s="12" t="str" cm="1">
        <f t="array" ref="B263">IF($A263="","",_xlfn.LET(_xlpm.p,IFERROR(INDEX(tblDados[País],MATCH($A263,TRIM(tblDados[Mandante]),0)),INDEX(tblDados[País],MATCH($A263,TRIM(tblDados[Visitante]),0))),_xlpm.l,IFERROR(INDEX(tblDados[Liga],MATCH($A263,TRIM(tblDados[Mandante]),0)),INDEX(tblDados[Liga],MATCH($A263,TRIM(tblDados[Visitante]),0))),_xlpm.p&amp;" - "&amp;_xlpm.l))</f>
        <v>SWE - 2ª D Södra Götaland</v>
      </c>
      <c r="C263" s="10">
        <f t="shared" si="58"/>
        <v>3.333333333333333</v>
      </c>
      <c r="D263" s="10">
        <f t="shared" si="59"/>
        <v>3.833333333333333</v>
      </c>
      <c r="E263" s="9" cm="1">
        <f t="array" ref="E263">IF($A263="","",SUMPRODUCT((TRIM(tblDados[Mandante])=$A263)*tblDados[Primeira_Ocorrencia]))</f>
        <v>6</v>
      </c>
      <c r="F263" s="9" cm="1">
        <f t="array" ref="F263">IF($A263="","",SUMPRODUCT((TRIM(tblDados[Visitante])=$A263)*tblDados[Primeira_Ocorrencia]))</f>
        <v>6</v>
      </c>
      <c r="G263" s="9" cm="1">
        <f t="array" ref="G263">IF($A263="","",SUMPRODUCT((TRIM(tblDados[Mandante])=$A263)*tblDados[Primeira_Ocorrencia])+SUMPRODUCT((TRIM(tblDados[Visitante])=$A263)*tblDados[Primeira_Ocorrencia]))</f>
        <v>12</v>
      </c>
      <c r="H263" s="10">
        <f t="shared" si="60"/>
        <v>1.1666666666666667</v>
      </c>
      <c r="I263" s="10" cm="1">
        <f t="array" ref="I263">IF($A263="","",_xlfn.LET(_xlpm.p,IFERROR(INDEX(tblDados[País],MATCH($A263,TRIM(tblDados[Mandante]),0)),INDEX(tblDados[País],MATCH($A263,TRIM(tblDados[Visitante]),0))),_xlpm.l,IFERROR(INDEX(tblDados[Liga],MATCH($A263,TRIM(tblDados[Mandante]),0)),INDEX(tblDados[Liga],MATCH($A263,TRIM(tblDados[Visitante]),0))),IFERROR(SUMIFS(Ligas!$D$2:$D$39,Ligas!$H$2:$H$39,_xlpm.p,Ligas!$I$2:$I$39,_xlpm.l),0)))</f>
        <v>2.5</v>
      </c>
      <c r="J263" s="11" cm="1">
        <f t="array" ref="J263">IF($A263="","",IFERROR((SUMPRODUCT((TRIM(tblDados[Mandante])=$A263)*tblDados[Primeira_Ocorrencia]*(tblDados[GM_M]=0))+SUMPRODUCT((TRIM(tblDados[Visitante])=$A263)*tblDados[Primeira_Ocorrencia]*(tblDados[GM_V]=0)))/G263,0))</f>
        <v>0.16666666666666666</v>
      </c>
      <c r="K263" s="11" cm="1">
        <f t="array" ref="K263">IF($A263="","",IFERROR((SUMPRODUCT((TRIM(tblDados[Mandante])=$A263)*tblDados[Primeira_Ocorrencia]*((tblDados[GM_M]+tblDados[GS_M])&gt;0.5))+SUMPRODUCT((TRIM(tblDados[Visitante])=$A263)*tblDados[Primeira_Ocorrencia]*((tblDados[GM_V]+tblDados[GS_V])&gt;0.5)))/G263,0))</f>
        <v>1</v>
      </c>
      <c r="L263" s="11" cm="1">
        <f t="array" ref="L263">IF($A263="","",IFERROR((SUMPRODUCT((TRIM(tblDados[Mandante])=$A263)*tblDados[Primeira_Ocorrencia]*((tblDados[GM_M]+tblDados[GS_M])&gt;1.5))+SUMPRODUCT((TRIM(tblDados[Visitante])=$A263)*tblDados[Primeira_Ocorrencia]*((tblDados[GM_V]+tblDados[GS_V])&gt;1.5)))/G263,0))</f>
        <v>1</v>
      </c>
      <c r="M263" s="11" cm="1">
        <f t="array" ref="M263">IF($A263="","",IFERROR((SUMPRODUCT((TRIM(tblDados[Mandante])=$A263)*tblDados[Primeira_Ocorrencia]*((tblDados[GM_M]+tblDados[GS_M])&gt;2.5))+SUMPRODUCT((TRIM(tblDados[Visitante])=$A263)*tblDados[Primeira_Ocorrencia]*((tblDados[GM_V]+tblDados[GS_V])&gt;2.5)))/G263,0))</f>
        <v>0.83333333333333337</v>
      </c>
      <c r="N263" s="11" cm="1">
        <f t="array" ref="N263">IF($A263="","",IFERROR((SUMPRODUCT((TRIM(tblDados[Mandante])=$A263)*tblDados[Primeira_Ocorrencia]*((tblDados[GM_M]+tblDados[GS_M])&gt;3.5))+SUMPRODUCT((TRIM(tblDados[Visitante])=$A263)*tblDados[Primeira_Ocorrencia]*((tblDados[GM_V]+tblDados[GS_V])&gt;3.5)))/G263,0))</f>
        <v>0.5</v>
      </c>
      <c r="O263" s="11" cm="1">
        <f t="array" ref="O263">IF($A263="","",IFERROR((SUMPRODUCT((TRIM(tblDados[Mandante])=$A263)*tblDados[Primeira_Ocorrencia]*(tblDados[GM_M]&gt;0)*(tblDados[GS_M]&gt;0))+SUMPRODUCT((TRIM(tblDados[Visitante])=$A263)*tblDados[Primeira_Ocorrencia]*(tblDados[GM_V]&gt;0)*(tblDados[GS_V]&gt;0)))/G263,0))</f>
        <v>0.75</v>
      </c>
      <c r="P263" s="10" cm="1">
        <f t="array" ref="P263">IF($A263="","",IFERROR((SUMPRODUCT((TRIM(tblDados[Mandante])=$A263)*tblDados[Primeira_Ocorrencia]*tblDados[GM_M]^2)+SUMPRODUCT((TRIM(tblDados[Visitante])=$A263)*tblDados[Primeira_Ocorrencia]*tblDados[GM_V]^2))/G263-H263^2,0))</f>
        <v>0.47222222222222188</v>
      </c>
      <c r="Q263" s="10">
        <f t="shared" si="61"/>
        <v>0.68718427093627654</v>
      </c>
      <c r="R263" s="8" t="str">
        <f t="shared" si="62"/>
        <v>Poisson</v>
      </c>
      <c r="S263" s="10" cm="1">
        <f t="array" ref="S263">IF($A263="","",SUMPRODUCT((TRIM(tblDados[Mandante])=$A263)*tblDados[Primeira_Ocorrencia]*tblDados[GM_M]))</f>
        <v>7</v>
      </c>
      <c r="T263" s="10" cm="1">
        <f t="array" ref="T263">IF($A263="","",SUMPRODUCT((TRIM(tblDados[Visitante])=$A263)*tblDados[Primeira_Ocorrencia]*tblDados[GM_V]))</f>
        <v>7</v>
      </c>
      <c r="U263" s="10">
        <f t="shared" si="63"/>
        <v>14</v>
      </c>
      <c r="V263" s="10">
        <f t="shared" si="52"/>
        <v>1.1666666666666667</v>
      </c>
      <c r="W263" s="10" cm="1">
        <f t="array" ref="W263">IF($A263="","",SUMPRODUCT((TRIM(tblDados[Mandante])=$A263)*tblDados[Primeira_Ocorrencia]*tblDados[GS_M]))</f>
        <v>13</v>
      </c>
      <c r="X263" s="10" cm="1">
        <f t="array" ref="X263">IF($A263="","",SUMPRODUCT((TRIM(tblDados[Visitante])=$A263)*tblDados[Primeira_Ocorrencia]*tblDados[GS_V]))</f>
        <v>16</v>
      </c>
      <c r="Y263" s="10">
        <f t="shared" si="64"/>
        <v>29</v>
      </c>
      <c r="Z263" s="10">
        <f t="shared" si="53"/>
        <v>2.4166666666666665</v>
      </c>
      <c r="AA263" s="10">
        <f t="shared" si="54"/>
        <v>1.1666666666666667</v>
      </c>
      <c r="AB263" s="10">
        <f t="shared" si="55"/>
        <v>2.1666666666666665</v>
      </c>
      <c r="AC263" s="10">
        <f t="shared" si="56"/>
        <v>1.1666666666666667</v>
      </c>
      <c r="AD263" s="10">
        <f t="shared" si="57"/>
        <v>2.6666666666666665</v>
      </c>
    </row>
    <row r="264" spans="1:30" x14ac:dyDescent="0.3">
      <c r="A264" s="7" t="str">
        <v>IFK Kumla</v>
      </c>
      <c r="B264" s="12" t="str" cm="1">
        <f t="array" ref="B264">IF($A264="","",_xlfn.LET(_xlpm.p,IFERROR(INDEX(tblDados[País],MATCH($A264,TRIM(tblDados[Mandante]),0)),INDEX(tblDados[País],MATCH($A264,TRIM(tblDados[Visitante]),0))),_xlpm.l,IFERROR(INDEX(tblDados[Liga],MATCH($A264,TRIM(tblDados[Mandante]),0)),INDEX(tblDados[Liga],MATCH($A264,TRIM(tblDados[Visitante]),0))),_xlpm.p&amp;" - "&amp;_xlpm.l))</f>
        <v>SWE - 2ª D Norra Götaland</v>
      </c>
      <c r="C264" s="10">
        <f t="shared" si="58"/>
        <v>1.8333333333333335</v>
      </c>
      <c r="D264" s="10">
        <f t="shared" si="59"/>
        <v>2.3333333333333335</v>
      </c>
      <c r="E264" s="10" cm="1">
        <f t="array" ref="E264">IF($A264="","",SUMPRODUCT((TRIM(tblDados[Mandante])=$A264)*tblDados[Primeira_Ocorrencia]))</f>
        <v>6</v>
      </c>
      <c r="F264" s="10" cm="1">
        <f t="array" ref="F264">IF($A264="","",SUMPRODUCT((TRIM(tblDados[Visitante])=$A264)*tblDados[Primeira_Ocorrencia]))</f>
        <v>6</v>
      </c>
      <c r="G264" s="10" cm="1">
        <f t="array" ref="G264">IF($A264="","",SUMPRODUCT((TRIM(tblDados[Mandante])=$A264)*tblDados[Primeira_Ocorrencia])+SUMPRODUCT((TRIM(tblDados[Visitante])=$A264)*tblDados[Primeira_Ocorrencia]))</f>
        <v>12</v>
      </c>
      <c r="H264" s="10">
        <f t="shared" si="60"/>
        <v>0.75</v>
      </c>
      <c r="I264" s="10" cm="1">
        <f t="array" ref="I264">IF($A264="","",_xlfn.LET(_xlpm.p,IFERROR(INDEX(tblDados[País],MATCH($A264,TRIM(tblDados[Mandante]),0)),INDEX(tblDados[País],MATCH($A264,TRIM(tblDados[Visitante]),0))),_xlpm.l,IFERROR(INDEX(tblDados[Liga],MATCH($A264,TRIM(tblDados[Mandante]),0)),INDEX(tblDados[Liga],MATCH($A264,TRIM(tblDados[Visitante]),0))),IFERROR(SUMIFS(Ligas!$D$2:$D$39,Ligas!$H$2:$H$39,_xlpm.p,Ligas!$I$2:$I$39,_xlpm.l),0)))</f>
        <v>2.5</v>
      </c>
      <c r="J264" s="11" cm="1">
        <f t="array" ref="J264">IF($A264="","",IFERROR((SUMPRODUCT((TRIM(tblDados[Mandante])=$A264)*tblDados[Primeira_Ocorrencia]*(tblDados[GM_M]=0))+SUMPRODUCT((TRIM(tblDados[Visitante])=$A264)*tblDados[Primeira_Ocorrencia]*(tblDados[GM_V]=0)))/G264,0))</f>
        <v>0.33333333333333331</v>
      </c>
      <c r="K264" s="11" cm="1">
        <f t="array" ref="K264">IF($A264="","",IFERROR((SUMPRODUCT((TRIM(tblDados[Mandante])=$A264)*tblDados[Primeira_Ocorrencia]*((tblDados[GM_M]+tblDados[GS_M])&gt;0.5))+SUMPRODUCT((TRIM(tblDados[Visitante])=$A264)*tblDados[Primeira_Ocorrencia]*((tblDados[GM_V]+tblDados[GS_V])&gt;0.5)))/G264,0))</f>
        <v>0.83333333333333337</v>
      </c>
      <c r="L264" s="11" cm="1">
        <f t="array" ref="L264">IF($A264="","",IFERROR((SUMPRODUCT((TRIM(tblDados[Mandante])=$A264)*tblDados[Primeira_Ocorrencia]*((tblDados[GM_M]+tblDados[GS_M])&gt;1.5))+SUMPRODUCT((TRIM(tblDados[Visitante])=$A264)*tblDados[Primeira_Ocorrencia]*((tblDados[GM_V]+tblDados[GS_V])&gt;1.5)))/G264,0))</f>
        <v>0.75</v>
      </c>
      <c r="M264" s="11" cm="1">
        <f t="array" ref="M264">IF($A264="","",IFERROR((SUMPRODUCT((TRIM(tblDados[Mandante])=$A264)*tblDados[Primeira_Ocorrencia]*((tblDados[GM_M]+tblDados[GS_M])&gt;2.5))+SUMPRODUCT((TRIM(tblDados[Visitante])=$A264)*tblDados[Primeira_Ocorrencia]*((tblDados[GM_V]+tblDados[GS_V])&gt;2.5)))/G264,0))</f>
        <v>0.41666666666666669</v>
      </c>
      <c r="N264" s="11" cm="1">
        <f t="array" ref="N264">IF($A264="","",IFERROR((SUMPRODUCT((TRIM(tblDados[Mandante])=$A264)*tblDados[Primeira_Ocorrencia]*((tblDados[GM_M]+tblDados[GS_M])&gt;3.5))+SUMPRODUCT((TRIM(tblDados[Visitante])=$A264)*tblDados[Primeira_Ocorrencia]*((tblDados[GM_V]+tblDados[GS_V])&gt;3.5)))/G264,0))</f>
        <v>8.3333333333333329E-2</v>
      </c>
      <c r="O264" s="11" cm="1">
        <f t="array" ref="O264">IF($A264="","",IFERROR((SUMPRODUCT((TRIM(tblDados[Mandante])=$A264)*tblDados[Primeira_Ocorrencia]*(tblDados[GM_M]&gt;0)*(tblDados[GS_M]&gt;0))+SUMPRODUCT((TRIM(tblDados[Visitante])=$A264)*tblDados[Primeira_Ocorrencia]*(tblDados[GM_V]&gt;0)*(tblDados[GS_V]&gt;0)))/G264,0))</f>
        <v>0.58333333333333337</v>
      </c>
      <c r="P264" s="10" cm="1">
        <f t="array" ref="P264">IF($A264="","",IFERROR((SUMPRODUCT((TRIM(tblDados[Mandante])=$A264)*tblDados[Primeira_Ocorrencia]*tblDados[GM_M]^2)+SUMPRODUCT((TRIM(tblDados[Visitante])=$A264)*tblDados[Primeira_Ocorrencia]*tblDados[GM_V]^2))/G264-H264^2,0))</f>
        <v>0.35416666666666663</v>
      </c>
      <c r="Q264" s="10">
        <f t="shared" ref="Q264" si="65">IF($A264="","",IFERROR(SQRT(MAX(P264,0)),0))</f>
        <v>0.59511903571190417</v>
      </c>
      <c r="R264" s="8" t="str">
        <f t="shared" ref="R264" si="66">IF(A264="","",IF(OR(G264&lt;5,H264=0),"Amostra Insuficiente",IF(_xlfn.CHISQ.DIST.RT(G264*P264/H264,G264-1)&lt;0.05,"Binomial Negativa","Poisson")))</f>
        <v>Poisson</v>
      </c>
      <c r="S264" s="10" cm="1">
        <f t="array" ref="S264">IF($A264="","",SUMPRODUCT((TRIM(tblDados[Mandante])=$A264)*tblDados[Primeira_Ocorrencia]*tblDados[GM_M]))</f>
        <v>5</v>
      </c>
      <c r="T264" s="10" cm="1">
        <f t="array" ref="T264">IF($A264="","",SUMPRODUCT((TRIM(tblDados[Visitante])=$A264)*tblDados[Primeira_Ocorrencia]*tblDados[GM_V]))</f>
        <v>4</v>
      </c>
      <c r="U264" s="10">
        <f t="shared" ref="U264" si="67">IF($A264="","",S264+T264)</f>
        <v>9</v>
      </c>
      <c r="V264" s="10">
        <f t="shared" ref="V264" si="68">IF($A264="","",IFERROR(U264/G264,0))</f>
        <v>0.75</v>
      </c>
      <c r="W264" s="10" cm="1">
        <f t="array" ref="W264">IF($A264="","",SUMPRODUCT((TRIM(tblDados[Mandante])=$A264)*tblDados[Primeira_Ocorrencia]*tblDados[GS_M]))</f>
        <v>6</v>
      </c>
      <c r="X264" s="10" cm="1">
        <f t="array" ref="X264">IF($A264="","",SUMPRODUCT((TRIM(tblDados[Visitante])=$A264)*tblDados[Primeira_Ocorrencia]*tblDados[GS_V]))</f>
        <v>10</v>
      </c>
      <c r="Y264" s="10">
        <f t="shared" ref="Y264" si="69">IF($A264="","",W264+X264)</f>
        <v>16</v>
      </c>
      <c r="Z264" s="10">
        <f t="shared" ref="Z264" si="70">IF($A264="","",IFERROR(Y264/G264,0))</f>
        <v>1.3333333333333333</v>
      </c>
      <c r="AA264" s="10">
        <f t="shared" si="54"/>
        <v>0.83333333333333337</v>
      </c>
      <c r="AB264" s="10">
        <f t="shared" si="55"/>
        <v>1</v>
      </c>
      <c r="AC264" s="10">
        <f t="shared" si="56"/>
        <v>0.66666666666666663</v>
      </c>
      <c r="AD264" s="10">
        <f t="shared" si="57"/>
        <v>1.6666666666666667</v>
      </c>
    </row>
    <row r="265" spans="1:30" x14ac:dyDescent="0.3">
      <c r="A265" s="7" t="str">
        <v>IFK Mariehamn</v>
      </c>
      <c r="B265" s="12" t="str" cm="1">
        <f t="array" ref="B265">IF($A265="","",_xlfn.LET(_xlpm.p,IFERROR(INDEX(tblDados[País],MATCH($A265,TRIM(tblDados[Mandante]),0)),INDEX(tblDados[País],MATCH($A265,TRIM(tblDados[Visitante]),0))),_xlpm.l,IFERROR(INDEX(tblDados[Liga],MATCH($A265,TRIM(tblDados[Mandante]),0)),INDEX(tblDados[Liga],MATCH($A265,TRIM(tblDados[Visitante]),0))),_xlpm.p&amp;" - "&amp;_xlpm.l))</f>
        <v>FIN - Veikkausliiga</v>
      </c>
      <c r="C265" s="10">
        <f t="shared" si="58"/>
        <v>2.5</v>
      </c>
      <c r="D265" s="10">
        <f t="shared" si="59"/>
        <v>3.3333333333333335</v>
      </c>
      <c r="E265" s="9" cm="1">
        <f t="array" ref="E265">IF($A265="","",SUMPRODUCT((TRIM(tblDados[Mandante])=$A265)*tblDados[Primeira_Ocorrencia]))</f>
        <v>6</v>
      </c>
      <c r="F265" s="9" cm="1">
        <f t="array" ref="F265">IF($A265="","",SUMPRODUCT((TRIM(tblDados[Visitante])=$A265)*tblDados[Primeira_Ocorrencia]))</f>
        <v>6</v>
      </c>
      <c r="G265" s="9" cm="1">
        <f t="array" ref="G265">IF($A265="","",SUMPRODUCT((TRIM(tblDados[Mandante])=$A265)*tblDados[Primeira_Ocorrencia])+SUMPRODUCT((TRIM(tblDados[Visitante])=$A265)*tblDados[Primeira_Ocorrencia]))</f>
        <v>12</v>
      </c>
      <c r="H265" s="10">
        <f t="shared" si="60"/>
        <v>0.41666666666666669</v>
      </c>
      <c r="I265" s="10" cm="1">
        <f t="array" ref="I265">IF($A265="","",_xlfn.LET(_xlpm.p,IFERROR(INDEX(tblDados[País],MATCH($A265,TRIM(tblDados[Mandante]),0)),INDEX(tblDados[País],MATCH($A265,TRIM(tblDados[Visitante]),0))),_xlpm.l,IFERROR(INDEX(tblDados[Liga],MATCH($A265,TRIM(tblDados[Mandante]),0)),INDEX(tblDados[Liga],MATCH($A265,TRIM(tblDados[Visitante]),0))),IFERROR(SUMIFS(Ligas!$D$2:$D$39,Ligas!$H$2:$H$39,_xlpm.p,Ligas!$I$2:$I$39,_xlpm.l),0)))</f>
        <v>2.6</v>
      </c>
      <c r="J265" s="11" cm="1">
        <f t="array" ref="J265">IF($A265="","",IFERROR((SUMPRODUCT((TRIM(tblDados[Mandante])=$A265)*tblDados[Primeira_Ocorrencia]*(tblDados[GM_M]=0))+SUMPRODUCT((TRIM(tblDados[Visitante])=$A265)*tblDados[Primeira_Ocorrencia]*(tblDados[GM_V]=0)))/G265,0))</f>
        <v>0.66666666666666663</v>
      </c>
      <c r="K265" s="11" cm="1">
        <f t="array" ref="K265">IF($A265="","",IFERROR((SUMPRODUCT((TRIM(tblDados[Mandante])=$A265)*tblDados[Primeira_Ocorrencia]*((tblDados[GM_M]+tblDados[GS_M])&gt;0.5))+SUMPRODUCT((TRIM(tblDados[Visitante])=$A265)*tblDados[Primeira_Ocorrencia]*((tblDados[GM_V]+tblDados[GS_V])&gt;0.5)))/G265,0))</f>
        <v>1</v>
      </c>
      <c r="L265" s="11" cm="1">
        <f t="array" ref="L265">IF($A265="","",IFERROR((SUMPRODUCT((TRIM(tblDados[Mandante])=$A265)*tblDados[Primeira_Ocorrencia]*((tblDados[GM_M]+tblDados[GS_M])&gt;1.5))+SUMPRODUCT((TRIM(tblDados[Visitante])=$A265)*tblDados[Primeira_Ocorrencia]*((tblDados[GM_V]+tblDados[GS_V])&gt;1.5)))/G265,0))</f>
        <v>0.91666666666666663</v>
      </c>
      <c r="M265" s="11" cm="1">
        <f t="array" ref="M265">IF($A265="","",IFERROR((SUMPRODUCT((TRIM(tblDados[Mandante])=$A265)*tblDados[Primeira_Ocorrencia]*((tblDados[GM_M]+tblDados[GS_M])&gt;2.5))+SUMPRODUCT((TRIM(tblDados[Visitante])=$A265)*tblDados[Primeira_Ocorrencia]*((tblDados[GM_V]+tblDados[GS_V])&gt;2.5)))/G265,0))</f>
        <v>0.58333333333333337</v>
      </c>
      <c r="N265" s="11" cm="1">
        <f t="array" ref="N265">IF($A265="","",IFERROR((SUMPRODUCT((TRIM(tblDados[Mandante])=$A265)*tblDados[Primeira_Ocorrencia]*((tblDados[GM_M]+tblDados[GS_M])&gt;3.5))+SUMPRODUCT((TRIM(tblDados[Visitante])=$A265)*tblDados[Primeira_Ocorrencia]*((tblDados[GM_V]+tblDados[GS_V])&gt;3.5)))/G265,0))</f>
        <v>0.25</v>
      </c>
      <c r="O265" s="11" cm="1">
        <f t="array" ref="O265">IF($A265="","",IFERROR((SUMPRODUCT((TRIM(tblDados[Mandante])=$A265)*tblDados[Primeira_Ocorrencia]*(tblDados[GM_M]&gt;0)*(tblDados[GS_M]&gt;0))+SUMPRODUCT((TRIM(tblDados[Visitante])=$A265)*tblDados[Primeira_Ocorrencia]*(tblDados[GM_V]&gt;0)*(tblDados[GS_V]&gt;0)))/G265,0))</f>
        <v>0.33333333333333331</v>
      </c>
      <c r="P265" s="10" cm="1">
        <f t="array" ref="P265">IF($A265="","",IFERROR((SUMPRODUCT((TRIM(tblDados[Mandante])=$A265)*tblDados[Primeira_Ocorrencia]*tblDados[GM_M]^2)+SUMPRODUCT((TRIM(tblDados[Visitante])=$A265)*tblDados[Primeira_Ocorrencia]*tblDados[GM_V]^2))/G265-H265^2,0))</f>
        <v>0.40972222222222221</v>
      </c>
      <c r="Q265" s="10">
        <f t="shared" si="61"/>
        <v>0.64009547898905073</v>
      </c>
      <c r="R265" s="8" t="str">
        <f t="shared" si="62"/>
        <v>Poisson</v>
      </c>
      <c r="S265" s="10" cm="1">
        <f t="array" ref="S265">IF($A265="","",SUMPRODUCT((TRIM(tblDados[Mandante])=$A265)*tblDados[Primeira_Ocorrencia]*tblDados[GM_M]))</f>
        <v>2</v>
      </c>
      <c r="T265" s="10" cm="1">
        <f t="array" ref="T265">IF($A265="","",SUMPRODUCT((TRIM(tblDados[Visitante])=$A265)*tblDados[Primeira_Ocorrencia]*tblDados[GM_V]))</f>
        <v>3</v>
      </c>
      <c r="U265" s="10">
        <f t="shared" si="63"/>
        <v>5</v>
      </c>
      <c r="V265" s="10">
        <f t="shared" si="52"/>
        <v>0.41666666666666669</v>
      </c>
      <c r="W265" s="10" cm="1">
        <f t="array" ref="W265">IF($A265="","",SUMPRODUCT((TRIM(tblDados[Mandante])=$A265)*tblDados[Primeira_Ocorrencia]*tblDados[GS_M]))</f>
        <v>13</v>
      </c>
      <c r="X265" s="10" cm="1">
        <f t="array" ref="X265">IF($A265="","",SUMPRODUCT((TRIM(tblDados[Visitante])=$A265)*tblDados[Primeira_Ocorrencia]*tblDados[GS_V]))</f>
        <v>17</v>
      </c>
      <c r="Y265" s="10">
        <f t="shared" si="64"/>
        <v>30</v>
      </c>
      <c r="Z265" s="10">
        <f t="shared" si="53"/>
        <v>2.5</v>
      </c>
      <c r="AA265" s="10">
        <f t="shared" si="54"/>
        <v>0.33333333333333331</v>
      </c>
      <c r="AB265" s="10">
        <f t="shared" si="55"/>
        <v>2.1666666666666665</v>
      </c>
      <c r="AC265" s="10">
        <f t="shared" si="56"/>
        <v>0.5</v>
      </c>
      <c r="AD265" s="10">
        <f t="shared" si="57"/>
        <v>2.8333333333333335</v>
      </c>
    </row>
    <row r="266" spans="1:30" x14ac:dyDescent="0.3">
      <c r="A266" s="7" t="str">
        <v>IFK Norrköping</v>
      </c>
      <c r="B266" s="12" t="str" cm="1">
        <f t="array" ref="B266">IF($A266="","",_xlfn.LET(_xlpm.p,IFERROR(INDEX(tblDados[País],MATCH($A266,TRIM(tblDados[Mandante]),0)),INDEX(tblDados[País],MATCH($A266,TRIM(tblDados[Visitante]),0))),_xlpm.l,IFERROR(INDEX(tblDados[Liga],MATCH($A266,TRIM(tblDados[Mandante]),0)),INDEX(tblDados[Liga],MATCH($A266,TRIM(tblDados[Visitante]),0))),_xlpm.p&amp;" - "&amp;_xlpm.l))</f>
        <v>SWE - Superettan</v>
      </c>
      <c r="C266" s="10">
        <f t="shared" si="58"/>
        <v>2.1428571428571428</v>
      </c>
      <c r="D266" s="10">
        <f t="shared" si="59"/>
        <v>1.5999999999999999</v>
      </c>
      <c r="E266" s="9" cm="1">
        <f t="array" ref="E266">IF($A266="","",SUMPRODUCT((TRIM(tblDados[Mandante])=$A266)*tblDados[Primeira_Ocorrencia]))</f>
        <v>7</v>
      </c>
      <c r="F266" s="9" cm="1">
        <f t="array" ref="F266">IF($A266="","",SUMPRODUCT((TRIM(tblDados[Visitante])=$A266)*tblDados[Primeira_Ocorrencia]))</f>
        <v>5</v>
      </c>
      <c r="G266" s="9" cm="1">
        <f t="array" ref="G266">IF($A266="","",SUMPRODUCT((TRIM(tblDados[Mandante])=$A266)*tblDados[Primeira_Ocorrencia])+SUMPRODUCT((TRIM(tblDados[Visitante])=$A266)*tblDados[Primeira_Ocorrencia]))</f>
        <v>12</v>
      </c>
      <c r="H266" s="10">
        <f t="shared" si="60"/>
        <v>1.6666666666666667</v>
      </c>
      <c r="I266" s="10" cm="1">
        <f t="array" ref="I266">IF($A266="","",_xlfn.LET(_xlpm.p,IFERROR(INDEX(tblDados[País],MATCH($A266,TRIM(tblDados[Mandante]),0)),INDEX(tblDados[País],MATCH($A266,TRIM(tblDados[Visitante]),0))),_xlpm.l,IFERROR(INDEX(tblDados[Liga],MATCH($A266,TRIM(tblDados[Mandante]),0)),INDEX(tblDados[Liga],MATCH($A266,TRIM(tblDados[Visitante]),0))),IFERROR(SUMIFS(Ligas!$D$2:$D$39,Ligas!$H$2:$H$39,_xlpm.p,Ligas!$I$2:$I$39,_xlpm.l),0)))</f>
        <v>2.5</v>
      </c>
      <c r="J266" s="11" cm="1">
        <f t="array" ref="J266">IF($A266="","",IFERROR((SUMPRODUCT((TRIM(tblDados[Mandante])=$A266)*tblDados[Primeira_Ocorrencia]*(tblDados[GM_M]=0))+SUMPRODUCT((TRIM(tblDados[Visitante])=$A266)*tblDados[Primeira_Ocorrencia]*(tblDados[GM_V]=0)))/G266,0))</f>
        <v>0.16666666666666666</v>
      </c>
      <c r="K266" s="11" cm="1">
        <f t="array" ref="K266">IF($A266="","",IFERROR((SUMPRODUCT((TRIM(tblDados[Mandante])=$A266)*tblDados[Primeira_Ocorrencia]*((tblDados[GM_M]+tblDados[GS_M])&gt;0.5))+SUMPRODUCT((TRIM(tblDados[Visitante])=$A266)*tblDados[Primeira_Ocorrencia]*((tblDados[GM_V]+tblDados[GS_V])&gt;0.5)))/G266,0))</f>
        <v>0.91666666666666663</v>
      </c>
      <c r="L266" s="11" cm="1">
        <f t="array" ref="L266">IF($A266="","",IFERROR((SUMPRODUCT((TRIM(tblDados[Mandante])=$A266)*tblDados[Primeira_Ocorrencia]*((tblDados[GM_M]+tblDados[GS_M])&gt;1.5))+SUMPRODUCT((TRIM(tblDados[Visitante])=$A266)*tblDados[Primeira_Ocorrencia]*((tblDados[GM_V]+tblDados[GS_V])&gt;1.5)))/G266,0))</f>
        <v>0.75</v>
      </c>
      <c r="M266" s="11" cm="1">
        <f t="array" ref="M266">IF($A266="","",IFERROR((SUMPRODUCT((TRIM(tblDados[Mandante])=$A266)*tblDados[Primeira_Ocorrencia]*((tblDados[GM_M]+tblDados[GS_M])&gt;2.5))+SUMPRODUCT((TRIM(tblDados[Visitante])=$A266)*tblDados[Primeira_Ocorrencia]*((tblDados[GM_V]+tblDados[GS_V])&gt;2.5)))/G266,0))</f>
        <v>0.25</v>
      </c>
      <c r="N266" s="11" cm="1">
        <f t="array" ref="N266">IF($A266="","",IFERROR((SUMPRODUCT((TRIM(tblDados[Mandante])=$A266)*tblDados[Primeira_Ocorrencia]*((tblDados[GM_M]+tblDados[GS_M])&gt;3.5))+SUMPRODUCT((TRIM(tblDados[Visitante])=$A266)*tblDados[Primeira_Ocorrencia]*((tblDados[GM_V]+tblDados[GS_V])&gt;3.5)))/G266,0))</f>
        <v>0</v>
      </c>
      <c r="O266" s="11" cm="1">
        <f t="array" ref="O266">IF($A266="","",IFERROR((SUMPRODUCT((TRIM(tblDados[Mandante])=$A266)*tblDados[Primeira_Ocorrencia]*(tblDados[GM_M]&gt;0)*(tblDados[GS_M]&gt;0))+SUMPRODUCT((TRIM(tblDados[Visitante])=$A266)*tblDados[Primeira_Ocorrencia]*(tblDados[GM_V]&gt;0)*(tblDados[GS_V]&gt;0)))/G266,0))</f>
        <v>0.16666666666666666</v>
      </c>
      <c r="P266" s="10" cm="1">
        <f t="array" ref="P266">IF($A266="","",IFERROR((SUMPRODUCT((TRIM(tblDados[Mandante])=$A266)*tblDados[Primeira_Ocorrencia]*tblDados[GM_M]^2)+SUMPRODUCT((TRIM(tblDados[Visitante])=$A266)*tblDados[Primeira_Ocorrencia]*tblDados[GM_V]^2))/G266-H266^2,0))</f>
        <v>0.8888888888888884</v>
      </c>
      <c r="Q266" s="10">
        <f t="shared" si="61"/>
        <v>0.94280904158206313</v>
      </c>
      <c r="R266" s="8" t="str">
        <f t="shared" si="62"/>
        <v>Poisson</v>
      </c>
      <c r="S266" s="10" cm="1">
        <f t="array" ref="S266">IF($A266="","",SUMPRODUCT((TRIM(tblDados[Mandante])=$A266)*tblDados[Primeira_Ocorrencia]*tblDados[GM_M]))</f>
        <v>13</v>
      </c>
      <c r="T266" s="10" cm="1">
        <f t="array" ref="T266">IF($A266="","",SUMPRODUCT((TRIM(tblDados[Visitante])=$A266)*tblDados[Primeira_Ocorrencia]*tblDados[GM_V]))</f>
        <v>7</v>
      </c>
      <c r="U266" s="10">
        <f t="shared" si="63"/>
        <v>20</v>
      </c>
      <c r="V266" s="10">
        <f t="shared" si="52"/>
        <v>1.6666666666666667</v>
      </c>
      <c r="W266" s="10" cm="1">
        <f t="array" ref="W266">IF($A266="","",SUMPRODUCT((TRIM(tblDados[Mandante])=$A266)*tblDados[Primeira_Ocorrencia]*tblDados[GS_M]))</f>
        <v>2</v>
      </c>
      <c r="X266" s="10" cm="1">
        <f t="array" ref="X266">IF($A266="","",SUMPRODUCT((TRIM(tblDados[Visitante])=$A266)*tblDados[Primeira_Ocorrencia]*tblDados[GS_V]))</f>
        <v>1</v>
      </c>
      <c r="Y266" s="10">
        <f t="shared" si="64"/>
        <v>3</v>
      </c>
      <c r="Z266" s="10">
        <f t="shared" si="53"/>
        <v>0.25</v>
      </c>
      <c r="AA266" s="10">
        <f t="shared" si="54"/>
        <v>1.8571428571428572</v>
      </c>
      <c r="AB266" s="10">
        <f t="shared" si="55"/>
        <v>0.2857142857142857</v>
      </c>
      <c r="AC266" s="10">
        <f t="shared" si="56"/>
        <v>1.4</v>
      </c>
      <c r="AD266" s="10">
        <f t="shared" si="57"/>
        <v>0.2</v>
      </c>
    </row>
    <row r="267" spans="1:30" x14ac:dyDescent="0.3">
      <c r="A267" s="7" t="str">
        <v>IFK Skövde FK</v>
      </c>
      <c r="B267" s="12" t="str" cm="1">
        <f t="array" ref="B267">IF($A267="","",_xlfn.LET(_xlpm.p,IFERROR(INDEX(tblDados[País],MATCH($A267,TRIM(tblDados[Mandante]),0)),INDEX(tblDados[País],MATCH($A267,TRIM(tblDados[Visitante]),0))),_xlpm.l,IFERROR(INDEX(tblDados[Liga],MATCH($A267,TRIM(tblDados[Mandante]),0)),INDEX(tblDados[Liga],MATCH($A267,TRIM(tblDados[Visitante]),0))),_xlpm.p&amp;" - "&amp;_xlpm.l))</f>
        <v>SWE - 2ª D Norra Götaland</v>
      </c>
      <c r="C267" s="10">
        <f t="shared" si="58"/>
        <v>3.333333333333333</v>
      </c>
      <c r="D267" s="10">
        <f t="shared" si="59"/>
        <v>2.8333333333333335</v>
      </c>
      <c r="E267" s="9" cm="1">
        <f t="array" ref="E267">IF($A267="","",SUMPRODUCT((TRIM(tblDados[Mandante])=$A267)*tblDados[Primeira_Ocorrencia]))</f>
        <v>6</v>
      </c>
      <c r="F267" s="9" cm="1">
        <f t="array" ref="F267">IF($A267="","",SUMPRODUCT((TRIM(tblDados[Visitante])=$A267)*tblDados[Primeira_Ocorrencia]))</f>
        <v>6</v>
      </c>
      <c r="G267" s="9" cm="1">
        <f t="array" ref="G267">IF($A267="","",SUMPRODUCT((TRIM(tblDados[Mandante])=$A267)*tblDados[Primeira_Ocorrencia])+SUMPRODUCT((TRIM(tblDados[Visitante])=$A267)*tblDados[Primeira_Ocorrencia]))</f>
        <v>12</v>
      </c>
      <c r="H267" s="10">
        <f t="shared" si="60"/>
        <v>1.9166666666666667</v>
      </c>
      <c r="I267" s="10" cm="1">
        <f t="array" ref="I267">IF($A267="","",_xlfn.LET(_xlpm.p,IFERROR(INDEX(tblDados[País],MATCH($A267,TRIM(tblDados[Mandante]),0)),INDEX(tblDados[País],MATCH($A267,TRIM(tblDados[Visitante]),0))),_xlpm.l,IFERROR(INDEX(tblDados[Liga],MATCH($A267,TRIM(tblDados[Mandante]),0)),INDEX(tblDados[Liga],MATCH($A267,TRIM(tblDados[Visitante]),0))),IFERROR(SUMIFS(Ligas!$D$2:$D$39,Ligas!$H$2:$H$39,_xlpm.p,Ligas!$I$2:$I$39,_xlpm.l),0)))</f>
        <v>2.5</v>
      </c>
      <c r="J267" s="11" cm="1">
        <f t="array" ref="J267">IF($A267="","",IFERROR((SUMPRODUCT((TRIM(tblDados[Mandante])=$A267)*tblDados[Primeira_Ocorrencia]*(tblDados[GM_M]=0))+SUMPRODUCT((TRIM(tblDados[Visitante])=$A267)*tblDados[Primeira_Ocorrencia]*(tblDados[GM_V]=0)))/G267,0))</f>
        <v>0.25</v>
      </c>
      <c r="K267" s="11" cm="1">
        <f t="array" ref="K267">IF($A267="","",IFERROR((SUMPRODUCT((TRIM(tblDados[Mandante])=$A267)*tblDados[Primeira_Ocorrencia]*((tblDados[GM_M]+tblDados[GS_M])&gt;0.5))+SUMPRODUCT((TRIM(tblDados[Visitante])=$A267)*tblDados[Primeira_Ocorrencia]*((tblDados[GM_V]+tblDados[GS_V])&gt;0.5)))/G267,0))</f>
        <v>0.91666666666666663</v>
      </c>
      <c r="L267" s="11" cm="1">
        <f t="array" ref="L267">IF($A267="","",IFERROR((SUMPRODUCT((TRIM(tblDados[Mandante])=$A267)*tblDados[Primeira_Ocorrencia]*((tblDados[GM_M]+tblDados[GS_M])&gt;1.5))+SUMPRODUCT((TRIM(tblDados[Visitante])=$A267)*tblDados[Primeira_Ocorrencia]*((tblDados[GM_V]+tblDados[GS_V])&gt;1.5)))/G267,0))</f>
        <v>0.83333333333333337</v>
      </c>
      <c r="M267" s="11" cm="1">
        <f t="array" ref="M267">IF($A267="","",IFERROR((SUMPRODUCT((TRIM(tblDados[Mandante])=$A267)*tblDados[Primeira_Ocorrencia]*((tblDados[GM_M]+tblDados[GS_M])&gt;2.5))+SUMPRODUCT((TRIM(tblDados[Visitante])=$A267)*tblDados[Primeira_Ocorrencia]*((tblDados[GM_V]+tblDados[GS_V])&gt;2.5)))/G267,0))</f>
        <v>0.58333333333333337</v>
      </c>
      <c r="N267" s="11" cm="1">
        <f t="array" ref="N267">IF($A267="","",IFERROR((SUMPRODUCT((TRIM(tblDados[Mandante])=$A267)*tblDados[Primeira_Ocorrencia]*((tblDados[GM_M]+tblDados[GS_M])&gt;3.5))+SUMPRODUCT((TRIM(tblDados[Visitante])=$A267)*tblDados[Primeira_Ocorrencia]*((tblDados[GM_V]+tblDados[GS_V])&gt;3.5)))/G267,0))</f>
        <v>0.33333333333333331</v>
      </c>
      <c r="O267" s="11" cm="1">
        <f t="array" ref="O267">IF($A267="","",IFERROR((SUMPRODUCT((TRIM(tblDados[Mandante])=$A267)*tblDados[Primeira_Ocorrencia]*(tblDados[GM_M]&gt;0)*(tblDados[GS_M]&gt;0))+SUMPRODUCT((TRIM(tblDados[Visitante])=$A267)*tblDados[Primeira_Ocorrencia]*(tblDados[GM_V]&gt;0)*(tblDados[GS_V]&gt;0)))/G267,0))</f>
        <v>0.5</v>
      </c>
      <c r="P267" s="10" cm="1">
        <f t="array" ref="P267">IF($A267="","",IFERROR((SUMPRODUCT((TRIM(tblDados[Mandante])=$A267)*tblDados[Primeira_Ocorrencia]*tblDados[GM_M]^2)+SUMPRODUCT((TRIM(tblDados[Visitante])=$A267)*tblDados[Primeira_Ocorrencia]*tblDados[GM_V]^2))/G267-H267^2,0))</f>
        <v>2.9097222222222214</v>
      </c>
      <c r="Q267" s="10">
        <f t="shared" si="61"/>
        <v>1.7057907908715597</v>
      </c>
      <c r="R267" s="8" t="str">
        <f t="shared" si="62"/>
        <v>Poisson</v>
      </c>
      <c r="S267" s="10" cm="1">
        <f t="array" ref="S267">IF($A267="","",SUMPRODUCT((TRIM(tblDados[Mandante])=$A267)*tblDados[Primeira_Ocorrencia]*tblDados[GM_M]))</f>
        <v>11</v>
      </c>
      <c r="T267" s="10" cm="1">
        <f t="array" ref="T267">IF($A267="","",SUMPRODUCT((TRIM(tblDados[Visitante])=$A267)*tblDados[Primeira_Ocorrencia]*tblDados[GM_V]))</f>
        <v>12</v>
      </c>
      <c r="U267" s="10">
        <f t="shared" si="63"/>
        <v>23</v>
      </c>
      <c r="V267" s="10">
        <f t="shared" si="52"/>
        <v>1.9166666666666667</v>
      </c>
      <c r="W267" s="10" cm="1">
        <f t="array" ref="W267">IF($A267="","",SUMPRODUCT((TRIM(tblDados[Mandante])=$A267)*tblDados[Primeira_Ocorrencia]*tblDados[GS_M]))</f>
        <v>9</v>
      </c>
      <c r="X267" s="10" cm="1">
        <f t="array" ref="X267">IF($A267="","",SUMPRODUCT((TRIM(tblDados[Visitante])=$A267)*tblDados[Primeira_Ocorrencia]*tblDados[GS_V]))</f>
        <v>5</v>
      </c>
      <c r="Y267" s="10">
        <f t="shared" si="64"/>
        <v>14</v>
      </c>
      <c r="Z267" s="10">
        <f t="shared" si="53"/>
        <v>1.1666666666666667</v>
      </c>
      <c r="AA267" s="10">
        <f t="shared" si="54"/>
        <v>1.8333333333333333</v>
      </c>
      <c r="AB267" s="10">
        <f t="shared" si="55"/>
        <v>1.5</v>
      </c>
      <c r="AC267" s="10">
        <f t="shared" si="56"/>
        <v>2</v>
      </c>
      <c r="AD267" s="10">
        <f t="shared" si="57"/>
        <v>0.83333333333333337</v>
      </c>
    </row>
    <row r="268" spans="1:30" x14ac:dyDescent="0.3">
      <c r="A268" s="7" t="str">
        <v>IFK Stocksund</v>
      </c>
      <c r="B268" s="12" t="str" cm="1">
        <f t="array" ref="B268">IF($A268="","",_xlfn.LET(_xlpm.p,IFERROR(INDEX(tblDados[País],MATCH($A268,TRIM(tblDados[Mandante]),0)),INDEX(tblDados[País],MATCH($A268,TRIM(tblDados[Visitante]),0))),_xlpm.l,IFERROR(INDEX(tblDados[Liga],MATCH($A268,TRIM(tblDados[Mandante]),0)),INDEX(tblDados[Liga],MATCH($A268,TRIM(tblDados[Visitante]),0))),_xlpm.p&amp;" - "&amp;_xlpm.l))</f>
        <v>SWE - 1ª D Norra</v>
      </c>
      <c r="C268" s="10">
        <f t="shared" si="58"/>
        <v>5</v>
      </c>
      <c r="D268" s="10">
        <f t="shared" si="59"/>
        <v>3.2</v>
      </c>
      <c r="E268" s="9" cm="1">
        <f t="array" ref="E268">IF($A268="","",SUMPRODUCT((TRIM(tblDados[Mandante])=$A268)*tblDados[Primeira_Ocorrencia]))</f>
        <v>7</v>
      </c>
      <c r="F268" s="9" cm="1">
        <f t="array" ref="F268">IF($A268="","",SUMPRODUCT((TRIM(tblDados[Visitante])=$A268)*tblDados[Primeira_Ocorrencia]))</f>
        <v>5</v>
      </c>
      <c r="G268" s="9" cm="1">
        <f t="array" ref="G268">IF($A268="","",SUMPRODUCT((TRIM(tblDados[Mandante])=$A268)*tblDados[Primeira_Ocorrencia])+SUMPRODUCT((TRIM(tblDados[Visitante])=$A268)*tblDados[Primeira_Ocorrencia]))</f>
        <v>12</v>
      </c>
      <c r="H268" s="10">
        <f t="shared" si="60"/>
        <v>2.0833333333333335</v>
      </c>
      <c r="I268" s="10" cm="1">
        <f t="array" ref="I268">IF($A268="","",_xlfn.LET(_xlpm.p,IFERROR(INDEX(tblDados[País],MATCH($A268,TRIM(tblDados[Mandante]),0)),INDEX(tblDados[País],MATCH($A268,TRIM(tblDados[Visitante]),0))),_xlpm.l,IFERROR(INDEX(tblDados[Liga],MATCH($A268,TRIM(tblDados[Mandante]),0)),INDEX(tblDados[Liga],MATCH($A268,TRIM(tblDados[Visitante]),0))),IFERROR(SUMIFS(Ligas!$D$2:$D$39,Ligas!$H$2:$H$39,_xlpm.p,Ligas!$I$2:$I$39,_xlpm.l),0)))</f>
        <v>2.5</v>
      </c>
      <c r="J268" s="11" cm="1">
        <f t="array" ref="J268">IF($A268="","",IFERROR((SUMPRODUCT((TRIM(tblDados[Mandante])=$A268)*tblDados[Primeira_Ocorrencia]*(tblDados[GM_M]=0))+SUMPRODUCT((TRIM(tblDados[Visitante])=$A268)*tblDados[Primeira_Ocorrencia]*(tblDados[GM_V]=0)))/G268,0))</f>
        <v>0.25</v>
      </c>
      <c r="K268" s="11" cm="1">
        <f t="array" ref="K268">IF($A268="","",IFERROR((SUMPRODUCT((TRIM(tblDados[Mandante])=$A268)*tblDados[Primeira_Ocorrencia]*((tblDados[GM_M]+tblDados[GS_M])&gt;0.5))+SUMPRODUCT((TRIM(tblDados[Visitante])=$A268)*tblDados[Primeira_Ocorrencia]*((tblDados[GM_V]+tblDados[GS_V])&gt;0.5)))/G268,0))</f>
        <v>1</v>
      </c>
      <c r="L268" s="11" cm="1">
        <f t="array" ref="L268">IF($A268="","",IFERROR((SUMPRODUCT((TRIM(tblDados[Mandante])=$A268)*tblDados[Primeira_Ocorrencia]*((tblDados[GM_M]+tblDados[GS_M])&gt;1.5))+SUMPRODUCT((TRIM(tblDados[Visitante])=$A268)*tblDados[Primeira_Ocorrencia]*((tblDados[GM_V]+tblDados[GS_V])&gt;1.5)))/G268,0))</f>
        <v>0.83333333333333337</v>
      </c>
      <c r="M268" s="11" cm="1">
        <f t="array" ref="M268">IF($A268="","",IFERROR((SUMPRODUCT((TRIM(tblDados[Mandante])=$A268)*tblDados[Primeira_Ocorrencia]*((tblDados[GM_M]+tblDados[GS_M])&gt;2.5))+SUMPRODUCT((TRIM(tblDados[Visitante])=$A268)*tblDados[Primeira_Ocorrencia]*((tblDados[GM_V]+tblDados[GS_V])&gt;2.5)))/G268,0))</f>
        <v>0.75</v>
      </c>
      <c r="N268" s="11" cm="1">
        <f t="array" ref="N268">IF($A268="","",IFERROR((SUMPRODUCT((TRIM(tblDados[Mandante])=$A268)*tblDados[Primeira_Ocorrencia]*((tblDados[GM_M]+tblDados[GS_M])&gt;3.5))+SUMPRODUCT((TRIM(tblDados[Visitante])=$A268)*tblDados[Primeira_Ocorrencia]*((tblDados[GM_V]+tblDados[GS_V])&gt;3.5)))/G268,0))</f>
        <v>0.66666666666666663</v>
      </c>
      <c r="O268" s="11" cm="1">
        <f t="array" ref="O268">IF($A268="","",IFERROR((SUMPRODUCT((TRIM(tblDados[Mandante])=$A268)*tblDados[Primeira_Ocorrencia]*(tblDados[GM_M]&gt;0)*(tblDados[GS_M]&gt;0))+SUMPRODUCT((TRIM(tblDados[Visitante])=$A268)*tblDados[Primeira_Ocorrencia]*(tblDados[GM_V]&gt;0)*(tblDados[GS_V]&gt;0)))/G268,0))</f>
        <v>0.66666666666666663</v>
      </c>
      <c r="P268" s="10" cm="1">
        <f t="array" ref="P268">IF($A268="","",IFERROR((SUMPRODUCT((TRIM(tblDados[Mandante])=$A268)*tblDados[Primeira_Ocorrencia]*tblDados[GM_M]^2)+SUMPRODUCT((TRIM(tblDados[Visitante])=$A268)*tblDados[Primeira_Ocorrencia]*tblDados[GM_V]^2))/G268-H268^2,0))</f>
        <v>3.4097222222222214</v>
      </c>
      <c r="Q268" s="10">
        <f t="shared" si="61"/>
        <v>1.8465433171800281</v>
      </c>
      <c r="R268" s="8" t="str">
        <f t="shared" si="62"/>
        <v>Poisson</v>
      </c>
      <c r="S268" s="10" cm="1">
        <f t="array" ref="S268">IF($A268="","",SUMPRODUCT((TRIM(tblDados[Mandante])=$A268)*tblDados[Primeira_Ocorrencia]*tblDados[GM_M]))</f>
        <v>16</v>
      </c>
      <c r="T268" s="10" cm="1">
        <f t="array" ref="T268">IF($A268="","",SUMPRODUCT((TRIM(tblDados[Visitante])=$A268)*tblDados[Primeira_Ocorrencia]*tblDados[GM_V]))</f>
        <v>9</v>
      </c>
      <c r="U268" s="10">
        <f t="shared" si="63"/>
        <v>25</v>
      </c>
      <c r="V268" s="10">
        <f t="shared" si="52"/>
        <v>2.0833333333333335</v>
      </c>
      <c r="W268" s="10" cm="1">
        <f t="array" ref="W268">IF($A268="","",SUMPRODUCT((TRIM(tblDados[Mandante])=$A268)*tblDados[Primeira_Ocorrencia]*tblDados[GS_M]))</f>
        <v>19</v>
      </c>
      <c r="X268" s="10" cm="1">
        <f t="array" ref="X268">IF($A268="","",SUMPRODUCT((TRIM(tblDados[Visitante])=$A268)*tblDados[Primeira_Ocorrencia]*tblDados[GS_V]))</f>
        <v>7</v>
      </c>
      <c r="Y268" s="10">
        <f t="shared" si="64"/>
        <v>26</v>
      </c>
      <c r="Z268" s="10">
        <f t="shared" si="53"/>
        <v>2.1666666666666665</v>
      </c>
      <c r="AA268" s="10">
        <f t="shared" si="54"/>
        <v>2.2857142857142856</v>
      </c>
      <c r="AB268" s="10">
        <f t="shared" si="55"/>
        <v>2.7142857142857144</v>
      </c>
      <c r="AC268" s="10">
        <f t="shared" si="56"/>
        <v>1.8</v>
      </c>
      <c r="AD268" s="10">
        <f t="shared" si="57"/>
        <v>1.4</v>
      </c>
    </row>
    <row r="269" spans="1:30" x14ac:dyDescent="0.3">
      <c r="A269" s="7" t="str">
        <v>IFK Trelleborg</v>
      </c>
      <c r="B269" s="12" t="str" cm="1">
        <f t="array" ref="B269">IF($A269="","",_xlfn.LET(_xlpm.p,IFERROR(INDEX(tblDados[País],MATCH($A269,TRIM(tblDados[Mandante]),0)),INDEX(tblDados[País],MATCH($A269,TRIM(tblDados[Visitante]),0))),_xlpm.l,IFERROR(INDEX(tblDados[Liga],MATCH($A269,TRIM(tblDados[Mandante]),0)),INDEX(tblDados[Liga],MATCH($A269,TRIM(tblDados[Visitante]),0))),_xlpm.p&amp;" - "&amp;_xlpm.l))</f>
        <v>SWE - 2ª D Södra Götaland</v>
      </c>
      <c r="C269" s="10">
        <f t="shared" si="58"/>
        <v>3.3333333333333335</v>
      </c>
      <c r="D269" s="10">
        <f t="shared" si="59"/>
        <v>2</v>
      </c>
      <c r="E269" s="9" cm="1">
        <f t="array" ref="E269">IF($A269="","",SUMPRODUCT((TRIM(tblDados[Mandante])=$A269)*tblDados[Primeira_Ocorrencia]))</f>
        <v>6</v>
      </c>
      <c r="F269" s="9" cm="1">
        <f t="array" ref="F269">IF($A269="","",SUMPRODUCT((TRIM(tblDados[Visitante])=$A269)*tblDados[Primeira_Ocorrencia]))</f>
        <v>6</v>
      </c>
      <c r="G269" s="9" cm="1">
        <f t="array" ref="G269">IF($A269="","",SUMPRODUCT((TRIM(tblDados[Mandante])=$A269)*tblDados[Primeira_Ocorrencia])+SUMPRODUCT((TRIM(tblDados[Visitante])=$A269)*tblDados[Primeira_Ocorrencia]))</f>
        <v>12</v>
      </c>
      <c r="H269" s="10">
        <f t="shared" si="60"/>
        <v>1.6666666666666667</v>
      </c>
      <c r="I269" s="10" cm="1">
        <f t="array" ref="I269">IF($A269="","",_xlfn.LET(_xlpm.p,IFERROR(INDEX(tblDados[País],MATCH($A269,TRIM(tblDados[Mandante]),0)),INDEX(tblDados[País],MATCH($A269,TRIM(tblDados[Visitante]),0))),_xlpm.l,IFERROR(INDEX(tblDados[Liga],MATCH($A269,TRIM(tblDados[Mandante]),0)),INDEX(tblDados[Liga],MATCH($A269,TRIM(tblDados[Visitante]),0))),IFERROR(SUMIFS(Ligas!$D$2:$D$39,Ligas!$H$2:$H$39,_xlpm.p,Ligas!$I$2:$I$39,_xlpm.l),0)))</f>
        <v>2.5</v>
      </c>
      <c r="J269" s="11" cm="1">
        <f t="array" ref="J269">IF($A269="","",IFERROR((SUMPRODUCT((TRIM(tblDados[Mandante])=$A269)*tblDados[Primeira_Ocorrencia]*(tblDados[GM_M]=0))+SUMPRODUCT((TRIM(tblDados[Visitante])=$A269)*tblDados[Primeira_Ocorrencia]*(tblDados[GM_V]=0)))/G269,0))</f>
        <v>8.3333333333333329E-2</v>
      </c>
      <c r="K269" s="11" cm="1">
        <f t="array" ref="K269">IF($A269="","",IFERROR((SUMPRODUCT((TRIM(tblDados[Mandante])=$A269)*tblDados[Primeira_Ocorrencia]*((tblDados[GM_M]+tblDados[GS_M])&gt;0.5))+SUMPRODUCT((TRIM(tblDados[Visitante])=$A269)*tblDados[Primeira_Ocorrencia]*((tblDados[GM_V]+tblDados[GS_V])&gt;0.5)))/G269,0))</f>
        <v>1</v>
      </c>
      <c r="L269" s="11" cm="1">
        <f t="array" ref="L269">IF($A269="","",IFERROR((SUMPRODUCT((TRIM(tblDados[Mandante])=$A269)*tblDados[Primeira_Ocorrencia]*((tblDados[GM_M]+tblDados[GS_M])&gt;1.5))+SUMPRODUCT((TRIM(tblDados[Visitante])=$A269)*tblDados[Primeira_Ocorrencia]*((tblDados[GM_V]+tblDados[GS_V])&gt;1.5)))/G269,0))</f>
        <v>0.75</v>
      </c>
      <c r="M269" s="11" cm="1">
        <f t="array" ref="M269">IF($A269="","",IFERROR((SUMPRODUCT((TRIM(tblDados[Mandante])=$A269)*tblDados[Primeira_Ocorrencia]*((tblDados[GM_M]+tblDados[GS_M])&gt;2.5))+SUMPRODUCT((TRIM(tblDados[Visitante])=$A269)*tblDados[Primeira_Ocorrencia]*((tblDados[GM_V]+tblDados[GS_V])&gt;2.5)))/G269,0))</f>
        <v>0.5</v>
      </c>
      <c r="N269" s="11" cm="1">
        <f t="array" ref="N269">IF($A269="","",IFERROR((SUMPRODUCT((TRIM(tblDados[Mandante])=$A269)*tblDados[Primeira_Ocorrencia]*((tblDados[GM_M]+tblDados[GS_M])&gt;3.5))+SUMPRODUCT((TRIM(tblDados[Visitante])=$A269)*tblDados[Primeira_Ocorrencia]*((tblDados[GM_V]+tblDados[GS_V])&gt;3.5)))/G269,0))</f>
        <v>0.25</v>
      </c>
      <c r="O269" s="11" cm="1">
        <f t="array" ref="O269">IF($A269="","",IFERROR((SUMPRODUCT((TRIM(tblDados[Mandante])=$A269)*tblDados[Primeira_Ocorrencia]*(tblDados[GM_M]&gt;0)*(tblDados[GS_M]&gt;0))+SUMPRODUCT((TRIM(tblDados[Visitante])=$A269)*tblDados[Primeira_Ocorrencia]*(tblDados[GM_V]&gt;0)*(tblDados[GS_V]&gt;0)))/G269,0))</f>
        <v>0.66666666666666663</v>
      </c>
      <c r="P269" s="10" cm="1">
        <f t="array" ref="P269">IF($A269="","",IFERROR((SUMPRODUCT((TRIM(tblDados[Mandante])=$A269)*tblDados[Primeira_Ocorrencia]*tblDados[GM_M]^2)+SUMPRODUCT((TRIM(tblDados[Visitante])=$A269)*tblDados[Primeira_Ocorrencia]*tblDados[GM_V]^2))/G269-H269^2,0))</f>
        <v>1.8888888888888888</v>
      </c>
      <c r="Q269" s="10">
        <f t="shared" si="61"/>
        <v>1.3743685418725535</v>
      </c>
      <c r="R269" s="8" t="str">
        <f t="shared" si="62"/>
        <v>Poisson</v>
      </c>
      <c r="S269" s="10" cm="1">
        <f t="array" ref="S269">IF($A269="","",SUMPRODUCT((TRIM(tblDados[Mandante])=$A269)*tblDados[Primeira_Ocorrencia]*tblDados[GM_M]))</f>
        <v>15</v>
      </c>
      <c r="T269" s="10" cm="1">
        <f t="array" ref="T269">IF($A269="","",SUMPRODUCT((TRIM(tblDados[Visitante])=$A269)*tblDados[Primeira_Ocorrencia]*tblDados[GM_V]))</f>
        <v>5</v>
      </c>
      <c r="U269" s="10">
        <f t="shared" si="63"/>
        <v>20</v>
      </c>
      <c r="V269" s="10">
        <f t="shared" si="52"/>
        <v>1.6666666666666667</v>
      </c>
      <c r="W269" s="10" cm="1">
        <f t="array" ref="W269">IF($A269="","",SUMPRODUCT((TRIM(tblDados[Mandante])=$A269)*tblDados[Primeira_Ocorrencia]*tblDados[GS_M]))</f>
        <v>5</v>
      </c>
      <c r="X269" s="10" cm="1">
        <f t="array" ref="X269">IF($A269="","",SUMPRODUCT((TRIM(tblDados[Visitante])=$A269)*tblDados[Primeira_Ocorrencia]*tblDados[GS_V]))</f>
        <v>7</v>
      </c>
      <c r="Y269" s="10">
        <f t="shared" si="64"/>
        <v>12</v>
      </c>
      <c r="Z269" s="10">
        <f t="shared" si="53"/>
        <v>1</v>
      </c>
      <c r="AA269" s="10">
        <f t="shared" si="54"/>
        <v>2.5</v>
      </c>
      <c r="AB269" s="10">
        <f t="shared" si="55"/>
        <v>0.83333333333333337</v>
      </c>
      <c r="AC269" s="10">
        <f t="shared" si="56"/>
        <v>0.83333333333333337</v>
      </c>
      <c r="AD269" s="10">
        <f t="shared" si="57"/>
        <v>1.1666666666666667</v>
      </c>
    </row>
    <row r="270" spans="1:30" x14ac:dyDescent="0.3">
      <c r="A270" s="7" t="str">
        <v>IFK Värnamo</v>
      </c>
      <c r="B270" s="12" t="str" cm="1">
        <f t="array" ref="B270">IF($A270="","",_xlfn.LET(_xlpm.p,IFERROR(INDEX(tblDados[País],MATCH($A270,TRIM(tblDados[Mandante]),0)),INDEX(tblDados[País],MATCH($A270,TRIM(tblDados[Visitante]),0))),_xlpm.l,IFERROR(INDEX(tblDados[Liga],MATCH($A270,TRIM(tblDados[Mandante]),0)),INDEX(tblDados[Liga],MATCH($A270,TRIM(tblDados[Visitante]),0))),_xlpm.p&amp;" - "&amp;_xlpm.l))</f>
        <v>SWE - Superettan</v>
      </c>
      <c r="C270" s="10">
        <f t="shared" si="58"/>
        <v>2.1666666666666665</v>
      </c>
      <c r="D270" s="10">
        <f t="shared" si="59"/>
        <v>3.833333333333333</v>
      </c>
      <c r="E270" s="10" cm="1">
        <f t="array" ref="E270">IF($A270="","",SUMPRODUCT((TRIM(tblDados[Mandante])=$A270)*tblDados[Primeira_Ocorrencia]))</f>
        <v>6</v>
      </c>
      <c r="F270" s="10" cm="1">
        <f t="array" ref="F270">IF($A270="","",SUMPRODUCT((TRIM(tblDados[Visitante])=$A270)*tblDados[Primeira_Ocorrencia]))</f>
        <v>6</v>
      </c>
      <c r="G270" s="10" cm="1">
        <f t="array" ref="G270">IF($A270="","",SUMPRODUCT((TRIM(tblDados[Mandante])=$A270)*tblDados[Primeira_Ocorrencia])+SUMPRODUCT((TRIM(tblDados[Visitante])=$A270)*tblDados[Primeira_Ocorrencia]))</f>
        <v>12</v>
      </c>
      <c r="H270" s="10">
        <f t="shared" si="60"/>
        <v>0.91666666666666663</v>
      </c>
      <c r="I270" s="10" cm="1">
        <f t="array" ref="I270">IF($A270="","",_xlfn.LET(_xlpm.p,IFERROR(INDEX(tblDados[País],MATCH($A270,TRIM(tblDados[Mandante]),0)),INDEX(tblDados[País],MATCH($A270,TRIM(tblDados[Visitante]),0))),_xlpm.l,IFERROR(INDEX(tblDados[Liga],MATCH($A270,TRIM(tblDados[Mandante]),0)),INDEX(tblDados[Liga],MATCH($A270,TRIM(tblDados[Visitante]),0))),IFERROR(SUMIFS(Ligas!$D$2:$D$39,Ligas!$H$2:$H$39,_xlpm.p,Ligas!$I$2:$I$39,_xlpm.l),0)))</f>
        <v>2.5</v>
      </c>
      <c r="J270" s="11" cm="1">
        <f t="array" ref="J270">IF($A270="","",IFERROR((SUMPRODUCT((TRIM(tblDados[Mandante])=$A270)*tblDados[Primeira_Ocorrencia]*(tblDados[GM_M]=0))+SUMPRODUCT((TRIM(tblDados[Visitante])=$A270)*tblDados[Primeira_Ocorrencia]*(tblDados[GM_V]=0)))/G270,0))</f>
        <v>0.5</v>
      </c>
      <c r="K270" s="11" cm="1">
        <f t="array" ref="K270">IF($A270="","",IFERROR((SUMPRODUCT((TRIM(tblDados[Mandante])=$A270)*tblDados[Primeira_Ocorrencia]*((tblDados[GM_M]+tblDados[GS_M])&gt;0.5))+SUMPRODUCT((TRIM(tblDados[Visitante])=$A270)*tblDados[Primeira_Ocorrencia]*((tblDados[GM_V]+tblDados[GS_V])&gt;0.5)))/G270,0))</f>
        <v>0.91666666666666663</v>
      </c>
      <c r="L270" s="11" cm="1">
        <f t="array" ref="L270">IF($A270="","",IFERROR((SUMPRODUCT((TRIM(tblDados[Mandante])=$A270)*tblDados[Primeira_Ocorrencia]*((tblDados[GM_M]+tblDados[GS_M])&gt;1.5))+SUMPRODUCT((TRIM(tblDados[Visitante])=$A270)*tblDados[Primeira_Ocorrencia]*((tblDados[GM_V]+tblDados[GS_V])&gt;1.5)))/G270,0))</f>
        <v>0.66666666666666663</v>
      </c>
      <c r="M270" s="11" cm="1">
        <f t="array" ref="M270">IF($A270="","",IFERROR((SUMPRODUCT((TRIM(tblDados[Mandante])=$A270)*tblDados[Primeira_Ocorrencia]*((tblDados[GM_M]+tblDados[GS_M])&gt;2.5))+SUMPRODUCT((TRIM(tblDados[Visitante])=$A270)*tblDados[Primeira_Ocorrencia]*((tblDados[GM_V]+tblDados[GS_V])&gt;2.5)))/G270,0))</f>
        <v>0.58333333333333337</v>
      </c>
      <c r="N270" s="11" cm="1">
        <f t="array" ref="N270">IF($A270="","",IFERROR((SUMPRODUCT((TRIM(tblDados[Mandante])=$A270)*tblDados[Primeira_Ocorrencia]*((tblDados[GM_M]+tblDados[GS_M])&gt;3.5))+SUMPRODUCT((TRIM(tblDados[Visitante])=$A270)*tblDados[Primeira_Ocorrencia]*((tblDados[GM_V]+tblDados[GS_V])&gt;3.5)))/G270,0))</f>
        <v>0.5</v>
      </c>
      <c r="O270" s="11" cm="1">
        <f t="array" ref="O270">IF($A270="","",IFERROR((SUMPRODUCT((TRIM(tblDados[Mandante])=$A270)*tblDados[Primeira_Ocorrencia]*(tblDados[GM_M]&gt;0)*(tblDados[GS_M]&gt;0))+SUMPRODUCT((TRIM(tblDados[Visitante])=$A270)*tblDados[Primeira_Ocorrencia]*(tblDados[GM_V]&gt;0)*(tblDados[GS_V]&gt;0)))/G270,0))</f>
        <v>0.5</v>
      </c>
      <c r="P270" s="10" cm="1">
        <f t="array" ref="P270">IF($A270="","",IFERROR((SUMPRODUCT((TRIM(tblDados[Mandante])=$A270)*tblDados[Primeira_Ocorrencia]*tblDados[GM_M]^2)+SUMPRODUCT((TRIM(tblDados[Visitante])=$A270)*tblDados[Primeira_Ocorrencia]*tblDados[GM_V]^2))/G270-H270^2,0))</f>
        <v>1.0763888888888891</v>
      </c>
      <c r="Q270" s="10">
        <f t="shared" ref="Q270:Q274" si="71">IF($A270="","",IFERROR(SQRT(MAX(P270,0)),0))</f>
        <v>1.0374916331657278</v>
      </c>
      <c r="R270" s="8" t="str">
        <f t="shared" ref="R270:R274" si="72">IF(A270="","",IF(OR(G270&lt;5,H270=0),"Amostra Insuficiente",IF(_xlfn.CHISQ.DIST.RT(G270*P270/H270,G270-1)&lt;0.05,"Binomial Negativa","Poisson")))</f>
        <v>Poisson</v>
      </c>
      <c r="S270" s="10" cm="1">
        <f t="array" ref="S270">IF($A270="","",SUMPRODUCT((TRIM(tblDados[Mandante])=$A270)*tblDados[Primeira_Ocorrencia]*tblDados[GM_M]))</f>
        <v>4</v>
      </c>
      <c r="T270" s="10" cm="1">
        <f t="array" ref="T270">IF($A270="","",SUMPRODUCT((TRIM(tblDados[Visitante])=$A270)*tblDados[Primeira_Ocorrencia]*tblDados[GM_V]))</f>
        <v>7</v>
      </c>
      <c r="U270" s="10">
        <f t="shared" ref="U270:U274" si="73">IF($A270="","",S270+T270)</f>
        <v>11</v>
      </c>
      <c r="V270" s="10">
        <f t="shared" ref="V270:V274" si="74">IF($A270="","",IFERROR(U270/G270,0))</f>
        <v>0.91666666666666663</v>
      </c>
      <c r="W270" s="10" cm="1">
        <f t="array" ref="W270">IF($A270="","",SUMPRODUCT((TRIM(tblDados[Mandante])=$A270)*tblDados[Primeira_Ocorrencia]*tblDados[GS_M]))</f>
        <v>9</v>
      </c>
      <c r="X270" s="10" cm="1">
        <f t="array" ref="X270">IF($A270="","",SUMPRODUCT((TRIM(tblDados[Visitante])=$A270)*tblDados[Primeira_Ocorrencia]*tblDados[GS_V]))</f>
        <v>16</v>
      </c>
      <c r="Y270" s="10">
        <f t="shared" ref="Y270:Y274" si="75">IF($A270="","",W270+X270)</f>
        <v>25</v>
      </c>
      <c r="Z270" s="10">
        <f t="shared" ref="Z270:Z274" si="76">IF($A270="","",IFERROR(Y270/G270,0))</f>
        <v>2.0833333333333335</v>
      </c>
      <c r="AA270" s="10">
        <f t="shared" si="54"/>
        <v>0.66666666666666663</v>
      </c>
      <c r="AB270" s="10">
        <f t="shared" si="55"/>
        <v>1.5</v>
      </c>
      <c r="AC270" s="10">
        <f t="shared" si="56"/>
        <v>1.1666666666666667</v>
      </c>
      <c r="AD270" s="10">
        <f t="shared" si="57"/>
        <v>2.6666666666666665</v>
      </c>
    </row>
    <row r="271" spans="1:30" x14ac:dyDescent="0.3">
      <c r="A271" s="7" t="str">
        <v>IK Brage</v>
      </c>
      <c r="B271" s="12" t="str" cm="1">
        <f t="array" ref="B271">IF($A271="","",_xlfn.LET(_xlpm.p,IFERROR(INDEX(tblDados[País],MATCH($A271,TRIM(tblDados[Mandante]),0)),INDEX(tblDados[País],MATCH($A271,TRIM(tblDados[Visitante]),0))),_xlpm.l,IFERROR(INDEX(tblDados[Liga],MATCH($A271,TRIM(tblDados[Mandante]),0)),INDEX(tblDados[Liga],MATCH($A271,TRIM(tblDados[Visitante]),0))),_xlpm.p&amp;" - "&amp;_xlpm.l))</f>
        <v>SWE - Superettan</v>
      </c>
      <c r="C271" s="10">
        <f t="shared" si="58"/>
        <v>4.1666666666666661</v>
      </c>
      <c r="D271" s="10">
        <f t="shared" si="59"/>
        <v>3</v>
      </c>
      <c r="E271" s="10" cm="1">
        <f t="array" ref="E271">IF($A271="","",SUMPRODUCT((TRIM(tblDados[Mandante])=$A271)*tblDados[Primeira_Ocorrencia]))</f>
        <v>6</v>
      </c>
      <c r="F271" s="10" cm="1">
        <f t="array" ref="F271">IF($A271="","",SUMPRODUCT((TRIM(tblDados[Visitante])=$A271)*tblDados[Primeira_Ocorrencia]))</f>
        <v>6</v>
      </c>
      <c r="G271" s="10" cm="1">
        <f t="array" ref="G271">IF($A271="","",SUMPRODUCT((TRIM(tblDados[Mandante])=$A271)*tblDados[Primeira_Ocorrencia])+SUMPRODUCT((TRIM(tblDados[Visitante])=$A271)*tblDados[Primeira_Ocorrencia]))</f>
        <v>12</v>
      </c>
      <c r="H271" s="10">
        <f t="shared" si="60"/>
        <v>1.5833333333333333</v>
      </c>
      <c r="I271" s="10" cm="1">
        <f t="array" ref="I271">IF($A271="","",_xlfn.LET(_xlpm.p,IFERROR(INDEX(tblDados[País],MATCH($A271,TRIM(tblDados[Mandante]),0)),INDEX(tblDados[País],MATCH($A271,TRIM(tblDados[Visitante]),0))),_xlpm.l,IFERROR(INDEX(tblDados[Liga],MATCH($A271,TRIM(tblDados[Mandante]),0)),INDEX(tblDados[Liga],MATCH($A271,TRIM(tblDados[Visitante]),0))),IFERROR(SUMIFS(Ligas!$D$2:$D$39,Ligas!$H$2:$H$39,_xlpm.p,Ligas!$I$2:$I$39,_xlpm.l),0)))</f>
        <v>2.5</v>
      </c>
      <c r="J271" s="11" cm="1">
        <f t="array" ref="J271">IF($A271="","",IFERROR((SUMPRODUCT((TRIM(tblDados[Mandante])=$A271)*tblDados[Primeira_Ocorrencia]*(tblDados[GM_M]=0))+SUMPRODUCT((TRIM(tblDados[Visitante])=$A271)*tblDados[Primeira_Ocorrencia]*(tblDados[GM_V]=0)))/G271,0))</f>
        <v>0.33333333333333331</v>
      </c>
      <c r="K271" s="11" cm="1">
        <f t="array" ref="K271">IF($A271="","",IFERROR((SUMPRODUCT((TRIM(tblDados[Mandante])=$A271)*tblDados[Primeira_Ocorrencia]*((tblDados[GM_M]+tblDados[GS_M])&gt;0.5))+SUMPRODUCT((TRIM(tblDados[Visitante])=$A271)*tblDados[Primeira_Ocorrencia]*((tblDados[GM_V]+tblDados[GS_V])&gt;0.5)))/G271,0))</f>
        <v>0.83333333333333337</v>
      </c>
      <c r="L271" s="11" cm="1">
        <f t="array" ref="L271">IF($A271="","",IFERROR((SUMPRODUCT((TRIM(tblDados[Mandante])=$A271)*tblDados[Primeira_Ocorrencia]*((tblDados[GM_M]+tblDados[GS_M])&gt;1.5))+SUMPRODUCT((TRIM(tblDados[Visitante])=$A271)*tblDados[Primeira_Ocorrencia]*((tblDados[GM_V]+tblDados[GS_V])&gt;1.5)))/G271,0))</f>
        <v>0.75</v>
      </c>
      <c r="M271" s="11" cm="1">
        <f t="array" ref="M271">IF($A271="","",IFERROR((SUMPRODUCT((TRIM(tblDados[Mandante])=$A271)*tblDados[Primeira_Ocorrencia]*((tblDados[GM_M]+tblDados[GS_M])&gt;2.5))+SUMPRODUCT((TRIM(tblDados[Visitante])=$A271)*tblDados[Primeira_Ocorrencia]*((tblDados[GM_V]+tblDados[GS_V])&gt;2.5)))/G271,0))</f>
        <v>0.75</v>
      </c>
      <c r="N271" s="11" cm="1">
        <f t="array" ref="N271">IF($A271="","",IFERROR((SUMPRODUCT((TRIM(tblDados[Mandante])=$A271)*tblDados[Primeira_Ocorrencia]*((tblDados[GM_M]+tblDados[GS_M])&gt;3.5))+SUMPRODUCT((TRIM(tblDados[Visitante])=$A271)*tblDados[Primeira_Ocorrencia]*((tblDados[GM_V]+tblDados[GS_V])&gt;3.5)))/G271,0))</f>
        <v>0.58333333333333337</v>
      </c>
      <c r="O271" s="11" cm="1">
        <f t="array" ref="O271">IF($A271="","",IFERROR((SUMPRODUCT((TRIM(tblDados[Mandante])=$A271)*tblDados[Primeira_Ocorrencia]*(tblDados[GM_M]&gt;0)*(tblDados[GS_M]&gt;0))+SUMPRODUCT((TRIM(tblDados[Visitante])=$A271)*tblDados[Primeira_Ocorrencia]*(tblDados[GM_V]&gt;0)*(tblDados[GS_V]&gt;0)))/G271,0))</f>
        <v>0.66666666666666663</v>
      </c>
      <c r="P271" s="10" cm="1">
        <f t="array" ref="P271">IF($A271="","",IFERROR((SUMPRODUCT((TRIM(tblDados[Mandante])=$A271)*tblDados[Primeira_Ocorrencia]*tblDados[GM_M]^2)+SUMPRODUCT((TRIM(tblDados[Visitante])=$A271)*tblDados[Primeira_Ocorrencia]*tblDados[GM_V]^2))/G271-H271^2,0))</f>
        <v>1.9097222222222228</v>
      </c>
      <c r="Q271" s="10">
        <f t="shared" si="71"/>
        <v>1.3819269959814169</v>
      </c>
      <c r="R271" s="8" t="str">
        <f t="shared" si="72"/>
        <v>Poisson</v>
      </c>
      <c r="S271" s="10" cm="1">
        <f t="array" ref="S271">IF($A271="","",SUMPRODUCT((TRIM(tblDados[Mandante])=$A271)*tblDados[Primeira_Ocorrencia]*tblDados[GM_M]))</f>
        <v>13</v>
      </c>
      <c r="T271" s="10" cm="1">
        <f t="array" ref="T271">IF($A271="","",SUMPRODUCT((TRIM(tblDados[Visitante])=$A271)*tblDados[Primeira_Ocorrencia]*tblDados[GM_V]))</f>
        <v>6</v>
      </c>
      <c r="U271" s="10">
        <f t="shared" si="73"/>
        <v>19</v>
      </c>
      <c r="V271" s="10">
        <f t="shared" si="74"/>
        <v>1.5833333333333333</v>
      </c>
      <c r="W271" s="10" cm="1">
        <f t="array" ref="W271">IF($A271="","",SUMPRODUCT((TRIM(tblDados[Mandante])=$A271)*tblDados[Primeira_Ocorrencia]*tblDados[GS_M]))</f>
        <v>12</v>
      </c>
      <c r="X271" s="10" cm="1">
        <f t="array" ref="X271">IF($A271="","",SUMPRODUCT((TRIM(tblDados[Visitante])=$A271)*tblDados[Primeira_Ocorrencia]*tblDados[GS_V]))</f>
        <v>12</v>
      </c>
      <c r="Y271" s="10">
        <f t="shared" si="75"/>
        <v>24</v>
      </c>
      <c r="Z271" s="10">
        <f t="shared" si="76"/>
        <v>2</v>
      </c>
      <c r="AA271" s="10">
        <f t="shared" si="54"/>
        <v>2.1666666666666665</v>
      </c>
      <c r="AB271" s="10">
        <f t="shared" si="55"/>
        <v>2</v>
      </c>
      <c r="AC271" s="10">
        <f t="shared" si="56"/>
        <v>1</v>
      </c>
      <c r="AD271" s="10">
        <f t="shared" si="57"/>
        <v>2</v>
      </c>
    </row>
    <row r="272" spans="1:30" x14ac:dyDescent="0.3">
      <c r="A272" s="7" t="str">
        <v>IK Kongahälla</v>
      </c>
      <c r="B272" s="12" t="str" cm="1">
        <f t="array" ref="B272">IF($A272="","",_xlfn.LET(_xlpm.p,IFERROR(INDEX(tblDados[País],MATCH($A272,TRIM(tblDados[Mandante]),0)),INDEX(tblDados[País],MATCH($A272,TRIM(tblDados[Visitante]),0))),_xlpm.l,IFERROR(INDEX(tblDados[Liga],MATCH($A272,TRIM(tblDados[Mandante]),0)),INDEX(tblDados[Liga],MATCH($A272,TRIM(tblDados[Visitante]),0))),_xlpm.p&amp;" - "&amp;_xlpm.l))</f>
        <v>SWE - 2ª D Västra Götaland</v>
      </c>
      <c r="C272" s="10">
        <f t="shared" si="58"/>
        <v>2.1666666666666665</v>
      </c>
      <c r="D272" s="10">
        <f t="shared" si="59"/>
        <v>3.5</v>
      </c>
      <c r="E272" s="10" cm="1">
        <f t="array" ref="E272">IF($A272="","",SUMPRODUCT((TRIM(tblDados[Mandante])=$A272)*tblDados[Primeira_Ocorrencia]))</f>
        <v>6</v>
      </c>
      <c r="F272" s="10" cm="1">
        <f t="array" ref="F272">IF($A272="","",SUMPRODUCT((TRIM(tblDados[Visitante])=$A272)*tblDados[Primeira_Ocorrencia]))</f>
        <v>6</v>
      </c>
      <c r="G272" s="10" cm="1">
        <f t="array" ref="G272">IF($A272="","",SUMPRODUCT((TRIM(tblDados[Mandante])=$A272)*tblDados[Primeira_Ocorrencia])+SUMPRODUCT((TRIM(tblDados[Visitante])=$A272)*tblDados[Primeira_Ocorrencia]))</f>
        <v>12</v>
      </c>
      <c r="H272" s="10">
        <f t="shared" si="60"/>
        <v>0.83333333333333337</v>
      </c>
      <c r="I272" s="10" cm="1">
        <f t="array" ref="I272">IF($A272="","",_xlfn.LET(_xlpm.p,IFERROR(INDEX(tblDados[País],MATCH($A272,TRIM(tblDados[Mandante]),0)),INDEX(tblDados[País],MATCH($A272,TRIM(tblDados[Visitante]),0))),_xlpm.l,IFERROR(INDEX(tblDados[Liga],MATCH($A272,TRIM(tblDados[Mandante]),0)),INDEX(tblDados[Liga],MATCH($A272,TRIM(tblDados[Visitante]),0))),IFERROR(SUMIFS(Ligas!$D$2:$D$39,Ligas!$H$2:$H$39,_xlpm.p,Ligas!$I$2:$I$39,_xlpm.l),0)))</f>
        <v>2.5</v>
      </c>
      <c r="J272" s="11" cm="1">
        <f t="array" ref="J272">IF($A272="","",IFERROR((SUMPRODUCT((TRIM(tblDados[Mandante])=$A272)*tblDados[Primeira_Ocorrencia]*(tblDados[GM_M]=0))+SUMPRODUCT((TRIM(tblDados[Visitante])=$A272)*tblDados[Primeira_Ocorrencia]*(tblDados[GM_V]=0)))/G272,0))</f>
        <v>0.33333333333333331</v>
      </c>
      <c r="K272" s="11" cm="1">
        <f t="array" ref="K272">IF($A272="","",IFERROR((SUMPRODUCT((TRIM(tblDados[Mandante])=$A272)*tblDados[Primeira_Ocorrencia]*((tblDados[GM_M]+tblDados[GS_M])&gt;0.5))+SUMPRODUCT((TRIM(tblDados[Visitante])=$A272)*tblDados[Primeira_Ocorrencia]*((tblDados[GM_V]+tblDados[GS_V])&gt;0.5)))/G272,0))</f>
        <v>0.91666666666666663</v>
      </c>
      <c r="L272" s="11" cm="1">
        <f t="array" ref="L272">IF($A272="","",IFERROR((SUMPRODUCT((TRIM(tblDados[Mandante])=$A272)*tblDados[Primeira_Ocorrencia]*((tblDados[GM_M]+tblDados[GS_M])&gt;1.5))+SUMPRODUCT((TRIM(tblDados[Visitante])=$A272)*tblDados[Primeira_Ocorrencia]*((tblDados[GM_V]+tblDados[GS_V])&gt;1.5)))/G272,0))</f>
        <v>0.75</v>
      </c>
      <c r="M272" s="11" cm="1">
        <f t="array" ref="M272">IF($A272="","",IFERROR((SUMPRODUCT((TRIM(tblDados[Mandante])=$A272)*tblDados[Primeira_Ocorrencia]*((tblDados[GM_M]+tblDados[GS_M])&gt;2.5))+SUMPRODUCT((TRIM(tblDados[Visitante])=$A272)*tblDados[Primeira_Ocorrencia]*((tblDados[GM_V]+tblDados[GS_V])&gt;2.5)))/G272,0))</f>
        <v>0.66666666666666663</v>
      </c>
      <c r="N272" s="11" cm="1">
        <f t="array" ref="N272">IF($A272="","",IFERROR((SUMPRODUCT((TRIM(tblDados[Mandante])=$A272)*tblDados[Primeira_Ocorrencia]*((tblDados[GM_M]+tblDados[GS_M])&gt;3.5))+SUMPRODUCT((TRIM(tblDados[Visitante])=$A272)*tblDados[Primeira_Ocorrencia]*((tblDados[GM_V]+tblDados[GS_V])&gt;3.5)))/G272,0))</f>
        <v>0.41666666666666669</v>
      </c>
      <c r="O272" s="11" cm="1">
        <f t="array" ref="O272">IF($A272="","",IFERROR((SUMPRODUCT((TRIM(tblDados[Mandante])=$A272)*tblDados[Primeira_Ocorrencia]*(tblDados[GM_M]&gt;0)*(tblDados[GS_M]&gt;0))+SUMPRODUCT((TRIM(tblDados[Visitante])=$A272)*tblDados[Primeira_Ocorrencia]*(tblDados[GM_V]&gt;0)*(tblDados[GS_V]&gt;0)))/G272,0))</f>
        <v>0.58333333333333337</v>
      </c>
      <c r="P272" s="10" cm="1">
        <f t="array" ref="P272">IF($A272="","",IFERROR((SUMPRODUCT((TRIM(tblDados[Mandante])=$A272)*tblDados[Primeira_Ocorrencia]*tblDados[GM_M]^2)+SUMPRODUCT((TRIM(tblDados[Visitante])=$A272)*tblDados[Primeira_Ocorrencia]*tblDados[GM_V]^2))/G272-H272^2,0))</f>
        <v>0.47222222222222221</v>
      </c>
      <c r="Q272" s="10">
        <f t="shared" si="71"/>
        <v>0.68718427093627676</v>
      </c>
      <c r="R272" s="8" t="str">
        <f t="shared" si="72"/>
        <v>Poisson</v>
      </c>
      <c r="S272" s="10" cm="1">
        <f t="array" ref="S272">IF($A272="","",SUMPRODUCT((TRIM(tblDados[Mandante])=$A272)*tblDados[Primeira_Ocorrencia]*tblDados[GM_M]))</f>
        <v>4</v>
      </c>
      <c r="T272" s="10" cm="1">
        <f t="array" ref="T272">IF($A272="","",SUMPRODUCT((TRIM(tblDados[Visitante])=$A272)*tblDados[Primeira_Ocorrencia]*tblDados[GM_V]))</f>
        <v>6</v>
      </c>
      <c r="U272" s="10">
        <f t="shared" si="73"/>
        <v>10</v>
      </c>
      <c r="V272" s="10">
        <f t="shared" si="74"/>
        <v>0.83333333333333337</v>
      </c>
      <c r="W272" s="10" cm="1">
        <f t="array" ref="W272">IF($A272="","",SUMPRODUCT((TRIM(tblDados[Mandante])=$A272)*tblDados[Primeira_Ocorrencia]*tblDados[GS_M]))</f>
        <v>9</v>
      </c>
      <c r="X272" s="10" cm="1">
        <f t="array" ref="X272">IF($A272="","",SUMPRODUCT((TRIM(tblDados[Visitante])=$A272)*tblDados[Primeira_Ocorrencia]*tblDados[GS_V]))</f>
        <v>15</v>
      </c>
      <c r="Y272" s="10">
        <f t="shared" si="75"/>
        <v>24</v>
      </c>
      <c r="Z272" s="10">
        <f t="shared" si="76"/>
        <v>2</v>
      </c>
      <c r="AA272" s="10">
        <f t="shared" si="54"/>
        <v>0.66666666666666663</v>
      </c>
      <c r="AB272" s="10">
        <f t="shared" si="55"/>
        <v>1.5</v>
      </c>
      <c r="AC272" s="10">
        <f t="shared" si="56"/>
        <v>1</v>
      </c>
      <c r="AD272" s="10">
        <f t="shared" si="57"/>
        <v>2.5</v>
      </c>
    </row>
    <row r="273" spans="1:30" x14ac:dyDescent="0.3">
      <c r="A273" s="7" t="str">
        <v>IK Sirius</v>
      </c>
      <c r="B273" s="12" t="str" cm="1">
        <f t="array" ref="B273">IF($A273="","",_xlfn.LET(_xlpm.p,IFERROR(INDEX(tblDados[País],MATCH($A273,TRIM(tblDados[Mandante]),0)),INDEX(tblDados[País],MATCH($A273,TRIM(tblDados[Visitante]),0))),_xlpm.l,IFERROR(INDEX(tblDados[Liga],MATCH($A273,TRIM(tblDados[Mandante]),0)),INDEX(tblDados[Liga],MATCH($A273,TRIM(tblDados[Visitante]),0))),_xlpm.p&amp;" - "&amp;_xlpm.l))</f>
        <v>SWE - Allsvenskan</v>
      </c>
      <c r="C273" s="10">
        <f t="shared" si="58"/>
        <v>4.5</v>
      </c>
      <c r="D273" s="10">
        <f t="shared" si="59"/>
        <v>3.5</v>
      </c>
      <c r="E273" s="10" cm="1">
        <f t="array" ref="E273">IF($A273="","",SUMPRODUCT((TRIM(tblDados[Mandante])=$A273)*tblDados[Primeira_Ocorrencia]))</f>
        <v>6</v>
      </c>
      <c r="F273" s="10" cm="1">
        <f t="array" ref="F273">IF($A273="","",SUMPRODUCT((TRIM(tblDados[Visitante])=$A273)*tblDados[Primeira_Ocorrencia]))</f>
        <v>6</v>
      </c>
      <c r="G273" s="10" cm="1">
        <f t="array" ref="G273">IF($A273="","",SUMPRODUCT((TRIM(tblDados[Mandante])=$A273)*tblDados[Primeira_Ocorrencia])+SUMPRODUCT((TRIM(tblDados[Visitante])=$A273)*tblDados[Primeira_Ocorrencia]))</f>
        <v>12</v>
      </c>
      <c r="H273" s="10">
        <f t="shared" si="60"/>
        <v>2.6666666666666665</v>
      </c>
      <c r="I273" s="10" cm="1">
        <f t="array" ref="I273">IF($A273="","",_xlfn.LET(_xlpm.p,IFERROR(INDEX(tblDados[País],MATCH($A273,TRIM(tblDados[Mandante]),0)),INDEX(tblDados[País],MATCH($A273,TRIM(tblDados[Visitante]),0))),_xlpm.l,IFERROR(INDEX(tblDados[Liga],MATCH($A273,TRIM(tblDados[Mandante]),0)),INDEX(tblDados[Liga],MATCH($A273,TRIM(tblDados[Visitante]),0))),IFERROR(SUMIFS(Ligas!$D$2:$D$39,Ligas!$H$2:$H$39,_xlpm.p,Ligas!$I$2:$I$39,_xlpm.l),0)))</f>
        <v>2.5</v>
      </c>
      <c r="J273" s="11" cm="1">
        <f t="array" ref="J273">IF($A273="","",IFERROR((SUMPRODUCT((TRIM(tblDados[Mandante])=$A273)*tblDados[Primeira_Ocorrencia]*(tblDados[GM_M]=0))+SUMPRODUCT((TRIM(tblDados[Visitante])=$A273)*tblDados[Primeira_Ocorrencia]*(tblDados[GM_V]=0)))/G273,0))</f>
        <v>0</v>
      </c>
      <c r="K273" s="11" cm="1">
        <f t="array" ref="K273">IF($A273="","",IFERROR((SUMPRODUCT((TRIM(tblDados[Mandante])=$A273)*tblDados[Primeira_Ocorrencia]*((tblDados[GM_M]+tblDados[GS_M])&gt;0.5))+SUMPRODUCT((TRIM(tblDados[Visitante])=$A273)*tblDados[Primeira_Ocorrencia]*((tblDados[GM_V]+tblDados[GS_V])&gt;0.5)))/G273,0))</f>
        <v>1</v>
      </c>
      <c r="L273" s="11" cm="1">
        <f t="array" ref="L273">IF($A273="","",IFERROR((SUMPRODUCT((TRIM(tblDados[Mandante])=$A273)*tblDados[Primeira_Ocorrencia]*((tblDados[GM_M]+tblDados[GS_M])&gt;1.5))+SUMPRODUCT((TRIM(tblDados[Visitante])=$A273)*tblDados[Primeira_Ocorrencia]*((tblDados[GM_V]+tblDados[GS_V])&gt;1.5)))/G273,0))</f>
        <v>1</v>
      </c>
      <c r="M273" s="11" cm="1">
        <f t="array" ref="M273">IF($A273="","",IFERROR((SUMPRODUCT((TRIM(tblDados[Mandante])=$A273)*tblDados[Primeira_Ocorrencia]*((tblDados[GM_M]+tblDados[GS_M])&gt;2.5))+SUMPRODUCT((TRIM(tblDados[Visitante])=$A273)*tblDados[Primeira_Ocorrencia]*((tblDados[GM_V]+tblDados[GS_V])&gt;2.5)))/G273,0))</f>
        <v>0.83333333333333337</v>
      </c>
      <c r="N273" s="11" cm="1">
        <f t="array" ref="N273">IF($A273="","",IFERROR((SUMPRODUCT((TRIM(tblDados[Mandante])=$A273)*tblDados[Primeira_Ocorrencia]*((tblDados[GM_M]+tblDados[GS_M])&gt;3.5))+SUMPRODUCT((TRIM(tblDados[Visitante])=$A273)*tblDados[Primeira_Ocorrencia]*((tblDados[GM_V]+tblDados[GS_V])&gt;3.5)))/G273,0))</f>
        <v>0.58333333333333337</v>
      </c>
      <c r="O273" s="11" cm="1">
        <f t="array" ref="O273">IF($A273="","",IFERROR((SUMPRODUCT((TRIM(tblDados[Mandante])=$A273)*tblDados[Primeira_Ocorrencia]*(tblDados[GM_M]&gt;0)*(tblDados[GS_M]&gt;0))+SUMPRODUCT((TRIM(tblDados[Visitante])=$A273)*tblDados[Primeira_Ocorrencia]*(tblDados[GM_V]&gt;0)*(tblDados[GS_V]&gt;0)))/G273,0))</f>
        <v>0.75</v>
      </c>
      <c r="P273" s="10" cm="1">
        <f t="array" ref="P273">IF($A273="","",IFERROR((SUMPRODUCT((TRIM(tblDados[Mandante])=$A273)*tblDados[Primeira_Ocorrencia]*tblDados[GM_M]^2)+SUMPRODUCT((TRIM(tblDados[Visitante])=$A273)*tblDados[Primeira_Ocorrencia]*tblDados[GM_V]^2))/G273-H273^2,0))</f>
        <v>0.55555555555555625</v>
      </c>
      <c r="Q273" s="10">
        <f t="shared" si="71"/>
        <v>0.74535599249993034</v>
      </c>
      <c r="R273" s="8" t="str">
        <f t="shared" si="72"/>
        <v>Poisson</v>
      </c>
      <c r="S273" s="10" cm="1">
        <f t="array" ref="S273">IF($A273="","",SUMPRODUCT((TRIM(tblDados[Mandante])=$A273)*tblDados[Primeira_Ocorrencia]*tblDados[GM_M]))</f>
        <v>17</v>
      </c>
      <c r="T273" s="10" cm="1">
        <f t="array" ref="T273">IF($A273="","",SUMPRODUCT((TRIM(tblDados[Visitante])=$A273)*tblDados[Primeira_Ocorrencia]*tblDados[GM_V]))</f>
        <v>15</v>
      </c>
      <c r="U273" s="10">
        <f t="shared" si="73"/>
        <v>32</v>
      </c>
      <c r="V273" s="10">
        <f t="shared" si="74"/>
        <v>2.6666666666666665</v>
      </c>
      <c r="W273" s="10" cm="1">
        <f t="array" ref="W273">IF($A273="","",SUMPRODUCT((TRIM(tblDados[Mandante])=$A273)*tblDados[Primeira_Ocorrencia]*tblDados[GS_M]))</f>
        <v>10</v>
      </c>
      <c r="X273" s="10" cm="1">
        <f t="array" ref="X273">IF($A273="","",SUMPRODUCT((TRIM(tblDados[Visitante])=$A273)*tblDados[Primeira_Ocorrencia]*tblDados[GS_V]))</f>
        <v>6</v>
      </c>
      <c r="Y273" s="10">
        <f t="shared" si="75"/>
        <v>16</v>
      </c>
      <c r="Z273" s="10">
        <f t="shared" si="76"/>
        <v>1.3333333333333333</v>
      </c>
      <c r="AA273" s="10">
        <f t="shared" si="54"/>
        <v>2.8333333333333335</v>
      </c>
      <c r="AB273" s="10">
        <f t="shared" si="55"/>
        <v>1.6666666666666667</v>
      </c>
      <c r="AC273" s="10">
        <f t="shared" si="56"/>
        <v>2.5</v>
      </c>
      <c r="AD273" s="10">
        <f t="shared" si="57"/>
        <v>1</v>
      </c>
    </row>
    <row r="274" spans="1:30" x14ac:dyDescent="0.3">
      <c r="A274" s="7" t="str">
        <v>IK Tord</v>
      </c>
      <c r="B274" s="12" t="str" cm="1">
        <f t="array" ref="B274">IF($A274="","",_xlfn.LET(_xlpm.p,IFERROR(INDEX(tblDados[País],MATCH($A274,TRIM(tblDados[Mandante]),0)),INDEX(tblDados[País],MATCH($A274,TRIM(tblDados[Visitante]),0))),_xlpm.l,IFERROR(INDEX(tblDados[Liga],MATCH($A274,TRIM(tblDados[Mandante]),0)),INDEX(tblDados[Liga],MATCH($A274,TRIM(tblDados[Visitante]),0))),_xlpm.p&amp;" - "&amp;_xlpm.l))</f>
        <v>SWE - 2ª D Norra Götaland</v>
      </c>
      <c r="C274" s="10">
        <f t="shared" si="58"/>
        <v>2.8571428571428572</v>
      </c>
      <c r="D274" s="10">
        <f t="shared" si="59"/>
        <v>2.8</v>
      </c>
      <c r="E274" s="10" cm="1">
        <f t="array" ref="E274">IF($A274="","",SUMPRODUCT((TRIM(tblDados[Mandante])=$A274)*tblDados[Primeira_Ocorrencia]))</f>
        <v>7</v>
      </c>
      <c r="F274" s="10" cm="1">
        <f t="array" ref="F274">IF($A274="","",SUMPRODUCT((TRIM(tblDados[Visitante])=$A274)*tblDados[Primeira_Ocorrencia]))</f>
        <v>5</v>
      </c>
      <c r="G274" s="10" cm="1">
        <f t="array" ref="G274">IF($A274="","",SUMPRODUCT((TRIM(tblDados[Mandante])=$A274)*tblDados[Primeira_Ocorrencia])+SUMPRODUCT((TRIM(tblDados[Visitante])=$A274)*tblDados[Primeira_Ocorrencia]))</f>
        <v>12</v>
      </c>
      <c r="H274" s="10">
        <f t="shared" si="60"/>
        <v>1.25</v>
      </c>
      <c r="I274" s="10" cm="1">
        <f t="array" ref="I274">IF($A274="","",_xlfn.LET(_xlpm.p,IFERROR(INDEX(tblDados[País],MATCH($A274,TRIM(tblDados[Mandante]),0)),INDEX(tblDados[País],MATCH($A274,TRIM(tblDados[Visitante]),0))),_xlpm.l,IFERROR(INDEX(tblDados[Liga],MATCH($A274,TRIM(tblDados[Mandante]),0)),INDEX(tblDados[Liga],MATCH($A274,TRIM(tblDados[Visitante]),0))),IFERROR(SUMIFS(Ligas!$D$2:$D$39,Ligas!$H$2:$H$39,_xlpm.p,Ligas!$I$2:$I$39,_xlpm.l),0)))</f>
        <v>2.5</v>
      </c>
      <c r="J274" s="11" cm="1">
        <f t="array" ref="J274">IF($A274="","",IFERROR((SUMPRODUCT((TRIM(tblDados[Mandante])=$A274)*tblDados[Primeira_Ocorrencia]*(tblDados[GM_M]=0))+SUMPRODUCT((TRIM(tblDados[Visitante])=$A274)*tblDados[Primeira_Ocorrencia]*(tblDados[GM_V]=0)))/G274,0))</f>
        <v>0.25</v>
      </c>
      <c r="K274" s="11" cm="1">
        <f t="array" ref="K274">IF($A274="","",IFERROR((SUMPRODUCT((TRIM(tblDados[Mandante])=$A274)*tblDados[Primeira_Ocorrencia]*((tblDados[GM_M]+tblDados[GS_M])&gt;0.5))+SUMPRODUCT((TRIM(tblDados[Visitante])=$A274)*tblDados[Primeira_Ocorrencia]*((tblDados[GM_V]+tblDados[GS_V])&gt;0.5)))/G274,0))</f>
        <v>1</v>
      </c>
      <c r="L274" s="11" cm="1">
        <f t="array" ref="L274">IF($A274="","",IFERROR((SUMPRODUCT((TRIM(tblDados[Mandante])=$A274)*tblDados[Primeira_Ocorrencia]*((tblDados[GM_M]+tblDados[GS_M])&gt;1.5))+SUMPRODUCT((TRIM(tblDados[Visitante])=$A274)*tblDados[Primeira_Ocorrencia]*((tblDados[GM_V]+tblDados[GS_V])&gt;1.5)))/G274,0))</f>
        <v>0.83333333333333337</v>
      </c>
      <c r="M274" s="11" cm="1">
        <f t="array" ref="M274">IF($A274="","",IFERROR((SUMPRODUCT((TRIM(tblDados[Mandante])=$A274)*tblDados[Primeira_Ocorrencia]*((tblDados[GM_M]+tblDados[GS_M])&gt;2.5))+SUMPRODUCT((TRIM(tblDados[Visitante])=$A274)*tblDados[Primeira_Ocorrencia]*((tblDados[GM_V]+tblDados[GS_V])&gt;2.5)))/G274,0))</f>
        <v>0.58333333333333337</v>
      </c>
      <c r="N274" s="11" cm="1">
        <f t="array" ref="N274">IF($A274="","",IFERROR((SUMPRODUCT((TRIM(tblDados[Mandante])=$A274)*tblDados[Primeira_Ocorrencia]*((tblDados[GM_M]+tblDados[GS_M])&gt;3.5))+SUMPRODUCT((TRIM(tblDados[Visitante])=$A274)*tblDados[Primeira_Ocorrencia]*((tblDados[GM_V]+tblDados[GS_V])&gt;3.5)))/G274,0))</f>
        <v>0.33333333333333331</v>
      </c>
      <c r="O274" s="11" cm="1">
        <f t="array" ref="O274">IF($A274="","",IFERROR((SUMPRODUCT((TRIM(tblDados[Mandante])=$A274)*tblDados[Primeira_Ocorrencia]*(tblDados[GM_M]&gt;0)*(tblDados[GS_M]&gt;0))+SUMPRODUCT((TRIM(tblDados[Visitante])=$A274)*tblDados[Primeira_Ocorrencia]*(tblDados[GM_V]&gt;0)*(tblDados[GS_V]&gt;0)))/G274,0))</f>
        <v>0.66666666666666663</v>
      </c>
      <c r="P274" s="10" cm="1">
        <f t="array" ref="P274">IF($A274="","",IFERROR((SUMPRODUCT((TRIM(tblDados[Mandante])=$A274)*tblDados[Primeira_Ocorrencia]*tblDados[GM_M]^2)+SUMPRODUCT((TRIM(tblDados[Visitante])=$A274)*tblDados[Primeira_Ocorrencia]*tblDados[GM_V]^2))/G274-H274^2,0))</f>
        <v>0.6875</v>
      </c>
      <c r="Q274" s="10">
        <f t="shared" si="71"/>
        <v>0.82915619758884995</v>
      </c>
      <c r="R274" s="8" t="str">
        <f t="shared" si="72"/>
        <v>Poisson</v>
      </c>
      <c r="S274" s="10" cm="1">
        <f t="array" ref="S274">IF($A274="","",SUMPRODUCT((TRIM(tblDados[Mandante])=$A274)*tblDados[Primeira_Ocorrencia]*tblDados[GM_M]))</f>
        <v>10</v>
      </c>
      <c r="T274" s="10" cm="1">
        <f t="array" ref="T274">IF($A274="","",SUMPRODUCT((TRIM(tblDados[Visitante])=$A274)*tblDados[Primeira_Ocorrencia]*tblDados[GM_V]))</f>
        <v>5</v>
      </c>
      <c r="U274" s="10">
        <f t="shared" si="73"/>
        <v>15</v>
      </c>
      <c r="V274" s="10">
        <f t="shared" si="74"/>
        <v>1.25</v>
      </c>
      <c r="W274" s="10" cm="1">
        <f t="array" ref="W274">IF($A274="","",SUMPRODUCT((TRIM(tblDados[Mandante])=$A274)*tblDados[Primeira_Ocorrencia]*tblDados[GS_M]))</f>
        <v>10</v>
      </c>
      <c r="X274" s="10" cm="1">
        <f t="array" ref="X274">IF($A274="","",SUMPRODUCT((TRIM(tblDados[Visitante])=$A274)*tblDados[Primeira_Ocorrencia]*tblDados[GS_V]))</f>
        <v>9</v>
      </c>
      <c r="Y274" s="10">
        <f t="shared" si="75"/>
        <v>19</v>
      </c>
      <c r="Z274" s="10">
        <f t="shared" si="76"/>
        <v>1.5833333333333333</v>
      </c>
      <c r="AA274" s="10">
        <f t="shared" si="54"/>
        <v>1.4285714285714286</v>
      </c>
      <c r="AB274" s="10">
        <f t="shared" si="55"/>
        <v>1.4285714285714286</v>
      </c>
      <c r="AC274" s="10">
        <f t="shared" si="56"/>
        <v>1</v>
      </c>
      <c r="AD274" s="10">
        <f t="shared" si="57"/>
        <v>1.8</v>
      </c>
    </row>
    <row r="275" spans="1:30" x14ac:dyDescent="0.3">
      <c r="A275" s="7" t="str">
        <v>IL Hødd</v>
      </c>
      <c r="B275" s="12" t="str" cm="1">
        <f t="array" ref="B275">IF($A275="","",_xlfn.LET(_xlpm.p,IFERROR(INDEX(tblDados[País],MATCH($A275,TRIM(tblDados[Mandante]),0)),INDEX(tblDados[País],MATCH($A275,TRIM(tblDados[Visitante]),0))),_xlpm.l,IFERROR(INDEX(tblDados[Liga],MATCH($A275,TRIM(tblDados[Mandante]),0)),INDEX(tblDados[Liga],MATCH($A275,TRIM(tblDados[Visitante]),0))),_xlpm.p&amp;" - "&amp;_xlpm.l))</f>
        <v>NOR - OBOS-ligaen</v>
      </c>
      <c r="C275" s="10">
        <f t="shared" si="58"/>
        <v>4.2</v>
      </c>
      <c r="D275" s="10">
        <f t="shared" si="59"/>
        <v>3.8571428571428568</v>
      </c>
      <c r="E275" s="9" cm="1">
        <f t="array" ref="E275">IF($A275="","",SUMPRODUCT((TRIM(tblDados[Mandante])=$A275)*tblDados[Primeira_Ocorrencia]))</f>
        <v>5</v>
      </c>
      <c r="F275" s="9" cm="1">
        <f t="array" ref="F275">IF($A275="","",SUMPRODUCT((TRIM(tblDados[Visitante])=$A275)*tblDados[Primeira_Ocorrencia]))</f>
        <v>7</v>
      </c>
      <c r="G275" s="9" cm="1">
        <f t="array" ref="G275">IF($A275="","",SUMPRODUCT((TRIM(tblDados[Mandante])=$A275)*tblDados[Primeira_Ocorrencia])+SUMPRODUCT((TRIM(tblDados[Visitante])=$A275)*tblDados[Primeira_Ocorrencia]))</f>
        <v>12</v>
      </c>
      <c r="H275" s="10">
        <f t="shared" si="60"/>
        <v>2</v>
      </c>
      <c r="I275" s="10" cm="1">
        <f t="array" ref="I275">IF($A275="","",_xlfn.LET(_xlpm.p,IFERROR(INDEX(tblDados[País],MATCH($A275,TRIM(tblDados[Mandante]),0)),INDEX(tblDados[País],MATCH($A275,TRIM(tblDados[Visitante]),0))),_xlpm.l,IFERROR(INDEX(tblDados[Liga],MATCH($A275,TRIM(tblDados[Mandante]),0)),INDEX(tblDados[Liga],MATCH($A275,TRIM(tblDados[Visitante]),0))),IFERROR(SUMIFS(Ligas!$D$2:$D$39,Ligas!$H$2:$H$39,_xlpm.p,Ligas!$I$2:$I$39,_xlpm.l),0)))</f>
        <v>2.5</v>
      </c>
      <c r="J275" s="11" cm="1">
        <f t="array" ref="J275">IF($A275="","",IFERROR((SUMPRODUCT((TRIM(tblDados[Mandante])=$A275)*tblDados[Primeira_Ocorrencia]*(tblDados[GM_M]=0))+SUMPRODUCT((TRIM(tblDados[Visitante])=$A275)*tblDados[Primeira_Ocorrencia]*(tblDados[GM_V]=0)))/G275,0))</f>
        <v>0.25</v>
      </c>
      <c r="K275" s="11" cm="1">
        <f t="array" ref="K275">IF($A275="","",IFERROR((SUMPRODUCT((TRIM(tblDados[Mandante])=$A275)*tblDados[Primeira_Ocorrencia]*((tblDados[GM_M]+tblDados[GS_M])&gt;0.5))+SUMPRODUCT((TRIM(tblDados[Visitante])=$A275)*tblDados[Primeira_Ocorrencia]*((tblDados[GM_V]+tblDados[GS_V])&gt;0.5)))/G275,0))</f>
        <v>0.91666666666666663</v>
      </c>
      <c r="L275" s="11" cm="1">
        <f t="array" ref="L275">IF($A275="","",IFERROR((SUMPRODUCT((TRIM(tblDados[Mandante])=$A275)*tblDados[Primeira_Ocorrencia]*((tblDados[GM_M]+tblDados[GS_M])&gt;1.5))+SUMPRODUCT((TRIM(tblDados[Visitante])=$A275)*tblDados[Primeira_Ocorrencia]*((tblDados[GM_V]+tblDados[GS_V])&gt;1.5)))/G275,0))</f>
        <v>0.83333333333333337</v>
      </c>
      <c r="M275" s="11" cm="1">
        <f t="array" ref="M275">IF($A275="","",IFERROR((SUMPRODUCT((TRIM(tblDados[Mandante])=$A275)*tblDados[Primeira_Ocorrencia]*((tblDados[GM_M]+tblDados[GS_M])&gt;2.5))+SUMPRODUCT((TRIM(tblDados[Visitante])=$A275)*tblDados[Primeira_Ocorrencia]*((tblDados[GM_V]+tblDados[GS_V])&gt;2.5)))/G275,0))</f>
        <v>0.83333333333333337</v>
      </c>
      <c r="N275" s="11" cm="1">
        <f t="array" ref="N275">IF($A275="","",IFERROR((SUMPRODUCT((TRIM(tblDados[Mandante])=$A275)*tblDados[Primeira_Ocorrencia]*((tblDados[GM_M]+tblDados[GS_M])&gt;3.5))+SUMPRODUCT((TRIM(tblDados[Visitante])=$A275)*tblDados[Primeira_Ocorrencia]*((tblDados[GM_V]+tblDados[GS_V])&gt;3.5)))/G275,0))</f>
        <v>0.58333333333333337</v>
      </c>
      <c r="O275" s="11" cm="1">
        <f t="array" ref="O275">IF($A275="","",IFERROR((SUMPRODUCT((TRIM(tblDados[Mandante])=$A275)*tblDados[Primeira_Ocorrencia]*(tblDados[GM_M]&gt;0)*(tblDados[GS_M]&gt;0))+SUMPRODUCT((TRIM(tblDados[Visitante])=$A275)*tblDados[Primeira_Ocorrencia]*(tblDados[GM_V]&gt;0)*(tblDados[GS_V]&gt;0)))/G275,0))</f>
        <v>0.75</v>
      </c>
      <c r="P275" s="10" cm="1">
        <f t="array" ref="P275">IF($A275="","",IFERROR((SUMPRODUCT((TRIM(tblDados[Mandante])=$A275)*tblDados[Primeira_Ocorrencia]*tblDados[GM_M]^2)+SUMPRODUCT((TRIM(tblDados[Visitante])=$A275)*tblDados[Primeira_Ocorrencia]*tblDados[GM_V]^2))/G275-H275^2,0))</f>
        <v>2.166666666666667</v>
      </c>
      <c r="Q275" s="10">
        <f t="shared" si="61"/>
        <v>1.4719601443879746</v>
      </c>
      <c r="R275" s="8" t="str">
        <f t="shared" si="62"/>
        <v>Poisson</v>
      </c>
      <c r="S275" s="10" cm="1">
        <f t="array" ref="S275">IF($A275="","",SUMPRODUCT((TRIM(tblDados[Mandante])=$A275)*tblDados[Primeira_Ocorrencia]*tblDados[GM_M]))</f>
        <v>12</v>
      </c>
      <c r="T275" s="10" cm="1">
        <f t="array" ref="T275">IF($A275="","",SUMPRODUCT((TRIM(tblDados[Visitante])=$A275)*tblDados[Primeira_Ocorrencia]*tblDados[GM_V]))</f>
        <v>12</v>
      </c>
      <c r="U275" s="10">
        <f t="shared" si="63"/>
        <v>24</v>
      </c>
      <c r="V275" s="10">
        <f t="shared" si="52"/>
        <v>2</v>
      </c>
      <c r="W275" s="10" cm="1">
        <f t="array" ref="W275">IF($A275="","",SUMPRODUCT((TRIM(tblDados[Mandante])=$A275)*tblDados[Primeira_Ocorrencia]*tblDados[GS_M]))</f>
        <v>9</v>
      </c>
      <c r="X275" s="10" cm="1">
        <f t="array" ref="X275">IF($A275="","",SUMPRODUCT((TRIM(tblDados[Visitante])=$A275)*tblDados[Primeira_Ocorrencia]*tblDados[GS_V]))</f>
        <v>15</v>
      </c>
      <c r="Y275" s="10">
        <f t="shared" si="64"/>
        <v>24</v>
      </c>
      <c r="Z275" s="10">
        <f t="shared" si="53"/>
        <v>2</v>
      </c>
      <c r="AA275" s="10">
        <f t="shared" si="54"/>
        <v>2.4</v>
      </c>
      <c r="AB275" s="10">
        <f t="shared" si="55"/>
        <v>1.8</v>
      </c>
      <c r="AC275" s="10">
        <f t="shared" si="56"/>
        <v>1.7142857142857142</v>
      </c>
      <c r="AD275" s="10">
        <f t="shared" si="57"/>
        <v>2.1428571428571428</v>
      </c>
    </row>
    <row r="276" spans="1:30" x14ac:dyDescent="0.3">
      <c r="A276" s="7" t="str">
        <v>Inter de Limeira</v>
      </c>
      <c r="B276" s="12" t="str" cm="1">
        <f t="array" ref="B276">IF($A276="","",_xlfn.LET(_xlpm.p,IFERROR(INDEX(tblDados[País],MATCH($A276,TRIM(tblDados[Mandante]),0)),INDEX(tblDados[País],MATCH($A276,TRIM(tblDados[Visitante]),0))),_xlpm.l,IFERROR(INDEX(tblDados[Liga],MATCH($A276,TRIM(tblDados[Mandante]),0)),INDEX(tblDados[Liga],MATCH($A276,TRIM(tblDados[Visitante]),0))),_xlpm.p&amp;" - "&amp;_xlpm.l))</f>
        <v>BRA - Série C</v>
      </c>
      <c r="C276" s="10">
        <f t="shared" si="58"/>
        <v>2.1666666666666665</v>
      </c>
      <c r="D276" s="10">
        <f t="shared" si="59"/>
        <v>2</v>
      </c>
      <c r="E276" s="9" cm="1">
        <f t="array" ref="E276">IF($A276="","",SUMPRODUCT((TRIM(tblDados[Mandante])=$A276)*tblDados[Primeira_Ocorrencia]))</f>
        <v>6</v>
      </c>
      <c r="F276" s="9" cm="1">
        <f t="array" ref="F276">IF($A276="","",SUMPRODUCT((TRIM(tblDados[Visitante])=$A276)*tblDados[Primeira_Ocorrencia]))</f>
        <v>6</v>
      </c>
      <c r="G276" s="9" cm="1">
        <f t="array" ref="G276">IF($A276="","",SUMPRODUCT((TRIM(tblDados[Mandante])=$A276)*tblDados[Primeira_Ocorrencia])+SUMPRODUCT((TRIM(tblDados[Visitante])=$A276)*tblDados[Primeira_Ocorrencia]))</f>
        <v>12</v>
      </c>
      <c r="H276" s="10">
        <f t="shared" si="60"/>
        <v>1.1666666666666667</v>
      </c>
      <c r="I276" s="10" cm="1">
        <f t="array" ref="I276">IF($A276="","",_xlfn.LET(_xlpm.p,IFERROR(INDEX(tblDados[País],MATCH($A276,TRIM(tblDados[Mandante]),0)),INDEX(tblDados[País],MATCH($A276,TRIM(tblDados[Visitante]),0))),_xlpm.l,IFERROR(INDEX(tblDados[Liga],MATCH($A276,TRIM(tblDados[Mandante]),0)),INDEX(tblDados[Liga],MATCH($A276,TRIM(tblDados[Visitante]),0))),IFERROR(SUMIFS(Ligas!$D$2:$D$39,Ligas!$H$2:$H$39,_xlpm.p,Ligas!$I$2:$I$39,_xlpm.l),0)))</f>
        <v>2.09</v>
      </c>
      <c r="J276" s="11" cm="1">
        <f t="array" ref="J276">IF($A276="","",IFERROR((SUMPRODUCT((TRIM(tblDados[Mandante])=$A276)*tblDados[Primeira_Ocorrencia]*(tblDados[GM_M]=0))+SUMPRODUCT((TRIM(tblDados[Visitante])=$A276)*tblDados[Primeira_Ocorrencia]*(tblDados[GM_V]=0)))/G276,0))</f>
        <v>0.16666666666666666</v>
      </c>
      <c r="K276" s="11" cm="1">
        <f t="array" ref="K276">IF($A276="","",IFERROR((SUMPRODUCT((TRIM(tblDados[Mandante])=$A276)*tblDados[Primeira_Ocorrencia]*((tblDados[GM_M]+tblDados[GS_M])&gt;0.5))+SUMPRODUCT((TRIM(tblDados[Visitante])=$A276)*tblDados[Primeira_Ocorrencia]*((tblDados[GM_V]+tblDados[GS_V])&gt;0.5)))/G276,0))</f>
        <v>0.91666666666666663</v>
      </c>
      <c r="L276" s="11" cm="1">
        <f t="array" ref="L276">IF($A276="","",IFERROR((SUMPRODUCT((TRIM(tblDados[Mandante])=$A276)*tblDados[Primeira_Ocorrencia]*((tblDados[GM_M]+tblDados[GS_M])&gt;1.5))+SUMPRODUCT((TRIM(tblDados[Visitante])=$A276)*tblDados[Primeira_Ocorrencia]*((tblDados[GM_V]+tblDados[GS_V])&gt;1.5)))/G276,0))</f>
        <v>0.58333333333333337</v>
      </c>
      <c r="M276" s="11" cm="1">
        <f t="array" ref="M276">IF($A276="","",IFERROR((SUMPRODUCT((TRIM(tblDados[Mandante])=$A276)*tblDados[Primeira_Ocorrencia]*((tblDados[GM_M]+tblDados[GS_M])&gt;2.5))+SUMPRODUCT((TRIM(tblDados[Visitante])=$A276)*tblDados[Primeira_Ocorrencia]*((tblDados[GM_V]+tblDados[GS_V])&gt;2.5)))/G276,0))</f>
        <v>0.41666666666666669</v>
      </c>
      <c r="N276" s="11" cm="1">
        <f t="array" ref="N276">IF($A276="","",IFERROR((SUMPRODUCT((TRIM(tblDados[Mandante])=$A276)*tblDados[Primeira_Ocorrencia]*((tblDados[GM_M]+tblDados[GS_M])&gt;3.5))+SUMPRODUCT((TRIM(tblDados[Visitante])=$A276)*tblDados[Primeira_Ocorrencia]*((tblDados[GM_V]+tblDados[GS_V])&gt;3.5)))/G276,0))</f>
        <v>0.16666666666666666</v>
      </c>
      <c r="O276" s="11" cm="1">
        <f t="array" ref="O276">IF($A276="","",IFERROR((SUMPRODUCT((TRIM(tblDados[Mandante])=$A276)*tblDados[Primeira_Ocorrencia]*(tblDados[GM_M]&gt;0)*(tblDados[GS_M]&gt;0))+SUMPRODUCT((TRIM(tblDados[Visitante])=$A276)*tblDados[Primeira_Ocorrencia]*(tblDados[GM_V]&gt;0)*(tblDados[GS_V]&gt;0)))/G276,0))</f>
        <v>0.41666666666666669</v>
      </c>
      <c r="P276" s="10" cm="1">
        <f t="array" ref="P276">IF($A276="","",IFERROR((SUMPRODUCT((TRIM(tblDados[Mandante])=$A276)*tblDados[Primeira_Ocorrencia]*tblDados[GM_M]^2)+SUMPRODUCT((TRIM(tblDados[Visitante])=$A276)*tblDados[Primeira_Ocorrencia]*tblDados[GM_V]^2))/G276-H276^2,0))</f>
        <v>0.47222222222222188</v>
      </c>
      <c r="Q276" s="10">
        <f t="shared" si="61"/>
        <v>0.68718427093627654</v>
      </c>
      <c r="R276" s="8" t="str">
        <f t="shared" si="62"/>
        <v>Poisson</v>
      </c>
      <c r="S276" s="10" cm="1">
        <f t="array" ref="S276">IF($A276="","",SUMPRODUCT((TRIM(tblDados[Mandante])=$A276)*tblDados[Primeira_Ocorrencia]*tblDados[GM_M]))</f>
        <v>8</v>
      </c>
      <c r="T276" s="10" cm="1">
        <f t="array" ref="T276">IF($A276="","",SUMPRODUCT((TRIM(tblDados[Visitante])=$A276)*tblDados[Primeira_Ocorrencia]*tblDados[GM_V]))</f>
        <v>6</v>
      </c>
      <c r="U276" s="10">
        <f t="shared" si="63"/>
        <v>14</v>
      </c>
      <c r="V276" s="10">
        <f t="shared" si="52"/>
        <v>1.1666666666666667</v>
      </c>
      <c r="W276" s="10" cm="1">
        <f t="array" ref="W276">IF($A276="","",SUMPRODUCT((TRIM(tblDados[Mandante])=$A276)*tblDados[Primeira_Ocorrencia]*tblDados[GS_M]))</f>
        <v>5</v>
      </c>
      <c r="X276" s="10" cm="1">
        <f t="array" ref="X276">IF($A276="","",SUMPRODUCT((TRIM(tblDados[Visitante])=$A276)*tblDados[Primeira_Ocorrencia]*tblDados[GS_V]))</f>
        <v>6</v>
      </c>
      <c r="Y276" s="10">
        <f t="shared" si="64"/>
        <v>11</v>
      </c>
      <c r="Z276" s="10">
        <f t="shared" si="53"/>
        <v>0.91666666666666663</v>
      </c>
      <c r="AA276" s="10">
        <f t="shared" si="54"/>
        <v>1.3333333333333333</v>
      </c>
      <c r="AB276" s="10">
        <f t="shared" si="55"/>
        <v>0.83333333333333337</v>
      </c>
      <c r="AC276" s="10">
        <f t="shared" si="56"/>
        <v>1</v>
      </c>
      <c r="AD276" s="10">
        <f t="shared" si="57"/>
        <v>1</v>
      </c>
    </row>
    <row r="277" spans="1:30" x14ac:dyDescent="0.3">
      <c r="A277" s="7" t="str">
        <v>Inter Toronto</v>
      </c>
      <c r="B277" s="12" t="str" cm="1">
        <f t="array" ref="B277">IF($A277="","",_xlfn.LET(_xlpm.p,IFERROR(INDEX(tblDados[País],MATCH($A277,TRIM(tblDados[Mandante]),0)),INDEX(tblDados[País],MATCH($A277,TRIM(tblDados[Visitante]),0))),_xlpm.l,IFERROR(INDEX(tblDados[Liga],MATCH($A277,TRIM(tblDados[Mandante]),0)),INDEX(tblDados[Liga],MATCH($A277,TRIM(tblDados[Visitante]),0))),_xlpm.p&amp;" - "&amp;_xlpm.l))</f>
        <v>CAN - Premier League</v>
      </c>
      <c r="C277" s="10">
        <f t="shared" si="58"/>
        <v>5</v>
      </c>
      <c r="D277" s="10">
        <f t="shared" si="59"/>
        <v>2.75</v>
      </c>
      <c r="E277" s="9" cm="1">
        <f t="array" ref="E277">IF($A277="","",SUMPRODUCT((TRIM(tblDados[Mandante])=$A277)*tblDados[Primeira_Ocorrencia]))</f>
        <v>4</v>
      </c>
      <c r="F277" s="9" cm="1">
        <f t="array" ref="F277">IF($A277="","",SUMPRODUCT((TRIM(tblDados[Visitante])=$A277)*tblDados[Primeira_Ocorrencia]))</f>
        <v>8</v>
      </c>
      <c r="G277" s="9" cm="1">
        <f t="array" ref="G277">IF($A277="","",SUMPRODUCT((TRIM(tblDados[Mandante])=$A277)*tblDados[Primeira_Ocorrencia])+SUMPRODUCT((TRIM(tblDados[Visitante])=$A277)*tblDados[Primeira_Ocorrencia]))</f>
        <v>12</v>
      </c>
      <c r="H277" s="10">
        <f t="shared" si="60"/>
        <v>1.0833333333333333</v>
      </c>
      <c r="I277" s="10" cm="1">
        <f t="array" ref="I277">IF($A277="","",_xlfn.LET(_xlpm.p,IFERROR(INDEX(tblDados[País],MATCH($A277,TRIM(tblDados[Mandante]),0)),INDEX(tblDados[País],MATCH($A277,TRIM(tblDados[Visitante]),0))),_xlpm.l,IFERROR(INDEX(tblDados[Liga],MATCH($A277,TRIM(tblDados[Mandante]),0)),INDEX(tblDados[Liga],MATCH($A277,TRIM(tblDados[Visitante]),0))),IFERROR(SUMIFS(Ligas!$D$2:$D$39,Ligas!$H$2:$H$39,_xlpm.p,Ligas!$I$2:$I$39,_xlpm.l),0)))</f>
        <v>2.5</v>
      </c>
      <c r="J277" s="11" cm="1">
        <f t="array" ref="J277">IF($A277="","",IFERROR((SUMPRODUCT((TRIM(tblDados[Mandante])=$A277)*tblDados[Primeira_Ocorrencia]*(tblDados[GM_M]=0))+SUMPRODUCT((TRIM(tblDados[Visitante])=$A277)*tblDados[Primeira_Ocorrencia]*(tblDados[GM_V]=0)))/G277,0))</f>
        <v>0.16666666666666666</v>
      </c>
      <c r="K277" s="11" cm="1">
        <f t="array" ref="K277">IF($A277="","",IFERROR((SUMPRODUCT((TRIM(tblDados[Mandante])=$A277)*tblDados[Primeira_Ocorrencia]*((tblDados[GM_M]+tblDados[GS_M])&gt;0.5))+SUMPRODUCT((TRIM(tblDados[Visitante])=$A277)*tblDados[Primeira_Ocorrencia]*((tblDados[GM_V]+tblDados[GS_V])&gt;0.5)))/G277,0))</f>
        <v>1</v>
      </c>
      <c r="L277" s="11" cm="1">
        <f t="array" ref="L277">IF($A277="","",IFERROR((SUMPRODUCT((TRIM(tblDados[Mandante])=$A277)*tblDados[Primeira_Ocorrencia]*((tblDados[GM_M]+tblDados[GS_M])&gt;1.5))+SUMPRODUCT((TRIM(tblDados[Visitante])=$A277)*tblDados[Primeira_Ocorrencia]*((tblDados[GM_V]+tblDados[GS_V])&gt;1.5)))/G277,0))</f>
        <v>0.91666666666666663</v>
      </c>
      <c r="M277" s="11" cm="1">
        <f t="array" ref="M277">IF($A277="","",IFERROR((SUMPRODUCT((TRIM(tblDados[Mandante])=$A277)*tblDados[Primeira_Ocorrencia]*((tblDados[GM_M]+tblDados[GS_M])&gt;2.5))+SUMPRODUCT((TRIM(tblDados[Visitante])=$A277)*tblDados[Primeira_Ocorrencia]*((tblDados[GM_V]+tblDados[GS_V])&gt;2.5)))/G277,0))</f>
        <v>0.58333333333333337</v>
      </c>
      <c r="N277" s="11" cm="1">
        <f t="array" ref="N277">IF($A277="","",IFERROR((SUMPRODUCT((TRIM(tblDados[Mandante])=$A277)*tblDados[Primeira_Ocorrencia]*((tblDados[GM_M]+tblDados[GS_M])&gt;3.5))+SUMPRODUCT((TRIM(tblDados[Visitante])=$A277)*tblDados[Primeira_Ocorrencia]*((tblDados[GM_V]+tblDados[GS_V])&gt;3.5)))/G277,0))</f>
        <v>0.58333333333333337</v>
      </c>
      <c r="O277" s="11" cm="1">
        <f t="array" ref="O277">IF($A277="","",IFERROR((SUMPRODUCT((TRIM(tblDados[Mandante])=$A277)*tblDados[Primeira_Ocorrencia]*(tblDados[GM_M]&gt;0)*(tblDados[GS_M]&gt;0))+SUMPRODUCT((TRIM(tblDados[Visitante])=$A277)*tblDados[Primeira_Ocorrencia]*(tblDados[GM_V]&gt;0)*(tblDados[GS_V]&gt;0)))/G277,0))</f>
        <v>0.75</v>
      </c>
      <c r="P277" s="10" cm="1">
        <f t="array" ref="P277">IF($A277="","",IFERROR((SUMPRODUCT((TRIM(tblDados[Mandante])=$A277)*tblDados[Primeira_Ocorrencia]*tblDados[GM_M]^2)+SUMPRODUCT((TRIM(tblDados[Visitante])=$A277)*tblDados[Primeira_Ocorrencia]*tblDados[GM_V]^2))/G277-H277^2,0))</f>
        <v>0.90972222222222254</v>
      </c>
      <c r="Q277" s="10">
        <f t="shared" si="61"/>
        <v>0.95379359518829987</v>
      </c>
      <c r="R277" s="8" t="str">
        <f t="shared" si="62"/>
        <v>Poisson</v>
      </c>
      <c r="S277" s="10" cm="1">
        <f t="array" ref="S277">IF($A277="","",SUMPRODUCT((TRIM(tblDados[Mandante])=$A277)*tblDados[Primeira_Ocorrencia]*tblDados[GM_M]))</f>
        <v>7</v>
      </c>
      <c r="T277" s="10" cm="1">
        <f t="array" ref="T277">IF($A277="","",SUMPRODUCT((TRIM(tblDados[Visitante])=$A277)*tblDados[Primeira_Ocorrencia]*tblDados[GM_V]))</f>
        <v>6</v>
      </c>
      <c r="U277" s="10">
        <f t="shared" si="63"/>
        <v>13</v>
      </c>
      <c r="V277" s="10">
        <f t="shared" si="52"/>
        <v>1.0833333333333333</v>
      </c>
      <c r="W277" s="10" cm="1">
        <f t="array" ref="W277">IF($A277="","",SUMPRODUCT((TRIM(tblDados[Mandante])=$A277)*tblDados[Primeira_Ocorrencia]*tblDados[GS_M]))</f>
        <v>13</v>
      </c>
      <c r="X277" s="10" cm="1">
        <f t="array" ref="X277">IF($A277="","",SUMPRODUCT((TRIM(tblDados[Visitante])=$A277)*tblDados[Primeira_Ocorrencia]*tblDados[GS_V]))</f>
        <v>16</v>
      </c>
      <c r="Y277" s="10">
        <f t="shared" si="64"/>
        <v>29</v>
      </c>
      <c r="Z277" s="10">
        <f t="shared" si="53"/>
        <v>2.4166666666666665</v>
      </c>
      <c r="AA277" s="10">
        <f t="shared" si="54"/>
        <v>1.75</v>
      </c>
      <c r="AB277" s="10">
        <f t="shared" si="55"/>
        <v>3.25</v>
      </c>
      <c r="AC277" s="10">
        <f t="shared" si="56"/>
        <v>0.75</v>
      </c>
      <c r="AD277" s="10">
        <f t="shared" si="57"/>
        <v>2</v>
      </c>
    </row>
    <row r="278" spans="1:30" x14ac:dyDescent="0.3">
      <c r="A278" s="7" t="str">
        <v>Inter Turku</v>
      </c>
      <c r="B278" s="12" t="str" cm="1">
        <f t="array" ref="B278">IF($A278="","",_xlfn.LET(_xlpm.p,IFERROR(INDEX(tblDados[País],MATCH($A278,TRIM(tblDados[Mandante]),0)),INDEX(tblDados[País],MATCH($A278,TRIM(tblDados[Visitante]),0))),_xlpm.l,IFERROR(INDEX(tblDados[Liga],MATCH($A278,TRIM(tblDados[Mandante]),0)),INDEX(tblDados[Liga],MATCH($A278,TRIM(tblDados[Visitante]),0))),_xlpm.p&amp;" - "&amp;_xlpm.l))</f>
        <v>FIN - Veikkausliiga</v>
      </c>
      <c r="C278" s="10">
        <f t="shared" si="58"/>
        <v>2</v>
      </c>
      <c r="D278" s="10">
        <f t="shared" si="59"/>
        <v>2.625</v>
      </c>
      <c r="E278" s="9" cm="1">
        <f t="array" ref="E278">IF($A278="","",SUMPRODUCT((TRIM(tblDados[Mandante])=$A278)*tblDados[Primeira_Ocorrencia]))</f>
        <v>4</v>
      </c>
      <c r="F278" s="9" cm="1">
        <f t="array" ref="F278">IF($A278="","",SUMPRODUCT((TRIM(tblDados[Visitante])=$A278)*tblDados[Primeira_Ocorrencia]))</f>
        <v>8</v>
      </c>
      <c r="G278" s="9" cm="1">
        <f t="array" ref="G278">IF($A278="","",SUMPRODUCT((TRIM(tblDados[Mandante])=$A278)*tblDados[Primeira_Ocorrencia])+SUMPRODUCT((TRIM(tblDados[Visitante])=$A278)*tblDados[Primeira_Ocorrencia]))</f>
        <v>12</v>
      </c>
      <c r="H278" s="10">
        <f t="shared" si="60"/>
        <v>1.4166666666666667</v>
      </c>
      <c r="I278" s="10" cm="1">
        <f t="array" ref="I278">IF($A278="","",_xlfn.LET(_xlpm.p,IFERROR(INDEX(tblDados[País],MATCH($A278,TRIM(tblDados[Mandante]),0)),INDEX(tblDados[País],MATCH($A278,TRIM(tblDados[Visitante]),0))),_xlpm.l,IFERROR(INDEX(tblDados[Liga],MATCH($A278,TRIM(tblDados[Mandante]),0)),INDEX(tblDados[Liga],MATCH($A278,TRIM(tblDados[Visitante]),0))),IFERROR(SUMIFS(Ligas!$D$2:$D$39,Ligas!$H$2:$H$39,_xlpm.p,Ligas!$I$2:$I$39,_xlpm.l),0)))</f>
        <v>2.6</v>
      </c>
      <c r="J278" s="11" cm="1">
        <f t="array" ref="J278">IF($A278="","",IFERROR((SUMPRODUCT((TRIM(tblDados[Mandante])=$A278)*tblDados[Primeira_Ocorrencia]*(tblDados[GM_M]=0))+SUMPRODUCT((TRIM(tblDados[Visitante])=$A278)*tblDados[Primeira_Ocorrencia]*(tblDados[GM_V]=0)))/G278,0))</f>
        <v>0.25</v>
      </c>
      <c r="K278" s="11" cm="1">
        <f t="array" ref="K278">IF($A278="","",IFERROR((SUMPRODUCT((TRIM(tblDados[Mandante])=$A278)*tblDados[Primeira_Ocorrencia]*((tblDados[GM_M]+tblDados[GS_M])&gt;0.5))+SUMPRODUCT((TRIM(tblDados[Visitante])=$A278)*tblDados[Primeira_Ocorrencia]*((tblDados[GM_V]+tblDados[GS_V])&gt;0.5)))/G278,0))</f>
        <v>0.83333333333333337</v>
      </c>
      <c r="L278" s="11" cm="1">
        <f t="array" ref="L278">IF($A278="","",IFERROR((SUMPRODUCT((TRIM(tblDados[Mandante])=$A278)*tblDados[Primeira_Ocorrencia]*((tblDados[GM_M]+tblDados[GS_M])&gt;1.5))+SUMPRODUCT((TRIM(tblDados[Visitante])=$A278)*tblDados[Primeira_Ocorrencia]*((tblDados[GM_V]+tblDados[GS_V])&gt;1.5)))/G278,0))</f>
        <v>0.75</v>
      </c>
      <c r="M278" s="11" cm="1">
        <f t="array" ref="M278">IF($A278="","",IFERROR((SUMPRODUCT((TRIM(tblDados[Mandante])=$A278)*tblDados[Primeira_Ocorrencia]*((tblDados[GM_M]+tblDados[GS_M])&gt;2.5))+SUMPRODUCT((TRIM(tblDados[Visitante])=$A278)*tblDados[Primeira_Ocorrencia]*((tblDados[GM_V]+tblDados[GS_V])&gt;2.5)))/G278,0))</f>
        <v>0.41666666666666669</v>
      </c>
      <c r="N278" s="11" cm="1">
        <f t="array" ref="N278">IF($A278="","",IFERROR((SUMPRODUCT((TRIM(tblDados[Mandante])=$A278)*tblDados[Primeira_Ocorrencia]*((tblDados[GM_M]+tblDados[GS_M])&gt;3.5))+SUMPRODUCT((TRIM(tblDados[Visitante])=$A278)*tblDados[Primeira_Ocorrencia]*((tblDados[GM_V]+tblDados[GS_V])&gt;3.5)))/G278,0))</f>
        <v>0.25</v>
      </c>
      <c r="O278" s="11" cm="1">
        <f t="array" ref="O278">IF($A278="","",IFERROR((SUMPRODUCT((TRIM(tblDados[Mandante])=$A278)*tblDados[Primeira_Ocorrencia]*(tblDados[GM_M]&gt;0)*(tblDados[GS_M]&gt;0))+SUMPRODUCT((TRIM(tblDados[Visitante])=$A278)*tblDados[Primeira_Ocorrencia]*(tblDados[GM_V]&gt;0)*(tblDados[GS_V]&gt;0)))/G278,0))</f>
        <v>0.58333333333333337</v>
      </c>
      <c r="P278" s="10" cm="1">
        <f t="array" ref="P278">IF($A278="","",IFERROR((SUMPRODUCT((TRIM(tblDados[Mandante])=$A278)*tblDados[Primeira_Ocorrencia]*tblDados[GM_M]^2)+SUMPRODUCT((TRIM(tblDados[Visitante])=$A278)*tblDados[Primeira_Ocorrencia]*tblDados[GM_V]^2))/G278-H278^2,0))</f>
        <v>1.2430555555555554</v>
      </c>
      <c r="Q278" s="10">
        <f t="shared" si="61"/>
        <v>1.1149240133549709</v>
      </c>
      <c r="R278" s="8" t="str">
        <f t="shared" si="62"/>
        <v>Poisson</v>
      </c>
      <c r="S278" s="10" cm="1">
        <f t="array" ref="S278">IF($A278="","",SUMPRODUCT((TRIM(tblDados[Mandante])=$A278)*tblDados[Primeira_Ocorrencia]*tblDados[GM_M]))</f>
        <v>4</v>
      </c>
      <c r="T278" s="10" cm="1">
        <f t="array" ref="T278">IF($A278="","",SUMPRODUCT((TRIM(tblDados[Visitante])=$A278)*tblDados[Primeira_Ocorrencia]*tblDados[GM_V]))</f>
        <v>13</v>
      </c>
      <c r="U278" s="10">
        <f t="shared" si="63"/>
        <v>17</v>
      </c>
      <c r="V278" s="10">
        <f t="shared" si="52"/>
        <v>1.4166666666666667</v>
      </c>
      <c r="W278" s="10" cm="1">
        <f t="array" ref="W278">IF($A278="","",SUMPRODUCT((TRIM(tblDados[Mandante])=$A278)*tblDados[Primeira_Ocorrencia]*tblDados[GS_M]))</f>
        <v>4</v>
      </c>
      <c r="X278" s="10" cm="1">
        <f t="array" ref="X278">IF($A278="","",SUMPRODUCT((TRIM(tblDados[Visitante])=$A278)*tblDados[Primeira_Ocorrencia]*tblDados[GS_V]))</f>
        <v>8</v>
      </c>
      <c r="Y278" s="10">
        <f t="shared" si="64"/>
        <v>12</v>
      </c>
      <c r="Z278" s="10">
        <f t="shared" si="53"/>
        <v>1</v>
      </c>
      <c r="AA278" s="10">
        <f t="shared" si="54"/>
        <v>1</v>
      </c>
      <c r="AB278" s="10">
        <f t="shared" si="55"/>
        <v>1</v>
      </c>
      <c r="AC278" s="10">
        <f t="shared" si="56"/>
        <v>1.625</v>
      </c>
      <c r="AD278" s="10">
        <f t="shared" si="57"/>
        <v>1</v>
      </c>
    </row>
    <row r="279" spans="1:30" x14ac:dyDescent="0.3">
      <c r="A279" s="7" t="str">
        <v>Itabaiana</v>
      </c>
      <c r="B279" s="12" t="str" cm="1">
        <f t="array" ref="B279">IF($A279="","",_xlfn.LET(_xlpm.p,IFERROR(INDEX(tblDados[País],MATCH($A279,TRIM(tblDados[Mandante]),0)),INDEX(tblDados[País],MATCH($A279,TRIM(tblDados[Visitante]),0))),_xlpm.l,IFERROR(INDEX(tblDados[Liga],MATCH($A279,TRIM(tblDados[Mandante]),0)),INDEX(tblDados[Liga],MATCH($A279,TRIM(tblDados[Visitante]),0))),_xlpm.p&amp;" - "&amp;_xlpm.l))</f>
        <v>BRA - Série C</v>
      </c>
      <c r="C279" s="10">
        <f t="shared" si="58"/>
        <v>1.5</v>
      </c>
      <c r="D279" s="10">
        <f t="shared" si="59"/>
        <v>2.166666666666667</v>
      </c>
      <c r="E279" s="9" cm="1">
        <f t="array" ref="E279">IF($A279="","",SUMPRODUCT((TRIM(tblDados[Mandante])=$A279)*tblDados[Primeira_Ocorrencia]))</f>
        <v>6</v>
      </c>
      <c r="F279" s="9" cm="1">
        <f t="array" ref="F279">IF($A279="","",SUMPRODUCT((TRIM(tblDados[Visitante])=$A279)*tblDados[Primeira_Ocorrencia]))</f>
        <v>6</v>
      </c>
      <c r="G279" s="9" cm="1">
        <f t="array" ref="G279">IF($A279="","",SUMPRODUCT((TRIM(tblDados[Mandante])=$A279)*tblDados[Primeira_Ocorrencia])+SUMPRODUCT((TRIM(tblDados[Visitante])=$A279)*tblDados[Primeira_Ocorrencia]))</f>
        <v>12</v>
      </c>
      <c r="H279" s="10">
        <f t="shared" si="60"/>
        <v>0.83333333333333337</v>
      </c>
      <c r="I279" s="10" cm="1">
        <f t="array" ref="I279">IF($A279="","",_xlfn.LET(_xlpm.p,IFERROR(INDEX(tblDados[País],MATCH($A279,TRIM(tblDados[Mandante]),0)),INDEX(tblDados[País],MATCH($A279,TRIM(tblDados[Visitante]),0))),_xlpm.l,IFERROR(INDEX(tblDados[Liga],MATCH($A279,TRIM(tblDados[Mandante]),0)),INDEX(tblDados[Liga],MATCH($A279,TRIM(tblDados[Visitante]),0))),IFERROR(SUMIFS(Ligas!$D$2:$D$39,Ligas!$H$2:$H$39,_xlpm.p,Ligas!$I$2:$I$39,_xlpm.l),0)))</f>
        <v>2.09</v>
      </c>
      <c r="J279" s="11" cm="1">
        <f t="array" ref="J279">IF($A279="","",IFERROR((SUMPRODUCT((TRIM(tblDados[Mandante])=$A279)*tblDados[Primeira_Ocorrencia]*(tblDados[GM_M]=0))+SUMPRODUCT((TRIM(tblDados[Visitante])=$A279)*tblDados[Primeira_Ocorrencia]*(tblDados[GM_V]=0)))/G279,0))</f>
        <v>0.41666666666666669</v>
      </c>
      <c r="K279" s="11" cm="1">
        <f t="array" ref="K279">IF($A279="","",IFERROR((SUMPRODUCT((TRIM(tblDados[Mandante])=$A279)*tblDados[Primeira_Ocorrencia]*((tblDados[GM_M]+tblDados[GS_M])&gt;0.5))+SUMPRODUCT((TRIM(tblDados[Visitante])=$A279)*tblDados[Primeira_Ocorrencia]*((tblDados[GM_V]+tblDados[GS_V])&gt;0.5)))/G279,0))</f>
        <v>0.83333333333333337</v>
      </c>
      <c r="L279" s="11" cm="1">
        <f t="array" ref="L279">IF($A279="","",IFERROR((SUMPRODUCT((TRIM(tblDados[Mandante])=$A279)*tblDados[Primeira_Ocorrencia]*((tblDados[GM_M]+tblDados[GS_M])&gt;1.5))+SUMPRODUCT((TRIM(tblDados[Visitante])=$A279)*tblDados[Primeira_Ocorrencia]*((tblDados[GM_V]+tblDados[GS_V])&gt;1.5)))/G279,0))</f>
        <v>0.5</v>
      </c>
      <c r="M279" s="11" cm="1">
        <f t="array" ref="M279">IF($A279="","",IFERROR((SUMPRODUCT((TRIM(tblDados[Mandante])=$A279)*tblDados[Primeira_Ocorrencia]*((tblDados[GM_M]+tblDados[GS_M])&gt;2.5))+SUMPRODUCT((TRIM(tblDados[Visitante])=$A279)*tblDados[Primeira_Ocorrencia]*((tblDados[GM_V]+tblDados[GS_V])&gt;2.5)))/G279,0))</f>
        <v>0.16666666666666666</v>
      </c>
      <c r="N279" s="11" cm="1">
        <f t="array" ref="N279">IF($A279="","",IFERROR((SUMPRODUCT((TRIM(tblDados[Mandante])=$A279)*tblDados[Primeira_Ocorrencia]*((tblDados[GM_M]+tblDados[GS_M])&gt;3.5))+SUMPRODUCT((TRIM(tblDados[Visitante])=$A279)*tblDados[Primeira_Ocorrencia]*((tblDados[GM_V]+tblDados[GS_V])&gt;3.5)))/G279,0))</f>
        <v>0.16666666666666666</v>
      </c>
      <c r="O279" s="11" cm="1">
        <f t="array" ref="O279">IF($A279="","",IFERROR((SUMPRODUCT((TRIM(tblDados[Mandante])=$A279)*tblDados[Primeira_Ocorrencia]*(tblDados[GM_M]&gt;0)*(tblDados[GS_M]&gt;0))+SUMPRODUCT((TRIM(tblDados[Visitante])=$A279)*tblDados[Primeira_Ocorrencia]*(tblDados[GM_V]&gt;0)*(tblDados[GS_V]&gt;0)))/G279,0))</f>
        <v>0.25</v>
      </c>
      <c r="P279" s="10" cm="1">
        <f t="array" ref="P279">IF($A279="","",IFERROR((SUMPRODUCT((TRIM(tblDados[Mandante])=$A279)*tblDados[Primeira_Ocorrencia]*tblDados[GM_M]^2)+SUMPRODUCT((TRIM(tblDados[Visitante])=$A279)*tblDados[Primeira_Ocorrencia]*tblDados[GM_V]^2))/G279-H279^2,0))</f>
        <v>0.63888888888888873</v>
      </c>
      <c r="Q279" s="10">
        <f t="shared" si="61"/>
        <v>0.79930525388545315</v>
      </c>
      <c r="R279" s="8" t="str">
        <f t="shared" si="62"/>
        <v>Poisson</v>
      </c>
      <c r="S279" s="10" cm="1">
        <f t="array" ref="S279">IF($A279="","",SUMPRODUCT((TRIM(tblDados[Mandante])=$A279)*tblDados[Primeira_Ocorrencia]*tblDados[GM_M]))</f>
        <v>4</v>
      </c>
      <c r="T279" s="10" cm="1">
        <f t="array" ref="T279">IF($A279="","",SUMPRODUCT((TRIM(tblDados[Visitante])=$A279)*tblDados[Primeira_Ocorrencia]*tblDados[GM_V]))</f>
        <v>6</v>
      </c>
      <c r="U279" s="10">
        <f t="shared" si="63"/>
        <v>10</v>
      </c>
      <c r="V279" s="10">
        <f t="shared" si="52"/>
        <v>0.83333333333333337</v>
      </c>
      <c r="W279" s="10" cm="1">
        <f t="array" ref="W279">IF($A279="","",SUMPRODUCT((TRIM(tblDados[Mandante])=$A279)*tblDados[Primeira_Ocorrencia]*tblDados[GS_M]))</f>
        <v>5</v>
      </c>
      <c r="X279" s="10" cm="1">
        <f t="array" ref="X279">IF($A279="","",SUMPRODUCT((TRIM(tblDados[Visitante])=$A279)*tblDados[Primeira_Ocorrencia]*tblDados[GS_V]))</f>
        <v>7</v>
      </c>
      <c r="Y279" s="10">
        <f t="shared" si="64"/>
        <v>12</v>
      </c>
      <c r="Z279" s="10">
        <f t="shared" si="53"/>
        <v>1</v>
      </c>
      <c r="AA279" s="10">
        <f t="shared" si="54"/>
        <v>0.66666666666666663</v>
      </c>
      <c r="AB279" s="10">
        <f t="shared" si="55"/>
        <v>0.83333333333333337</v>
      </c>
      <c r="AC279" s="10">
        <f t="shared" si="56"/>
        <v>1</v>
      </c>
      <c r="AD279" s="10">
        <f t="shared" si="57"/>
        <v>1.1666666666666667</v>
      </c>
    </row>
    <row r="280" spans="1:30" x14ac:dyDescent="0.3">
      <c r="A280" s="7" t="str">
        <v>Ituano</v>
      </c>
      <c r="B280" s="12" t="str" cm="1">
        <f t="array" ref="B280">IF($A280="","",_xlfn.LET(_xlpm.p,IFERROR(INDEX(tblDados[País],MATCH($A280,TRIM(tblDados[Mandante]),0)),INDEX(tblDados[País],MATCH($A280,TRIM(tblDados[Visitante]),0))),_xlpm.l,IFERROR(INDEX(tblDados[Liga],MATCH($A280,TRIM(tblDados[Mandante]),0)),INDEX(tblDados[Liga],MATCH($A280,TRIM(tblDados[Visitante]),0))),_xlpm.p&amp;" - "&amp;_xlpm.l))</f>
        <v>BRA - Série C</v>
      </c>
      <c r="C280" s="10">
        <f t="shared" si="58"/>
        <v>1.8333333333333335</v>
      </c>
      <c r="D280" s="10">
        <f t="shared" si="59"/>
        <v>2.5</v>
      </c>
      <c r="E280" s="9" cm="1">
        <f t="array" ref="E280">IF($A280="","",SUMPRODUCT((TRIM(tblDados[Mandante])=$A280)*tblDados[Primeira_Ocorrencia]))</f>
        <v>6</v>
      </c>
      <c r="F280" s="9" cm="1">
        <f t="array" ref="F280">IF($A280="","",SUMPRODUCT((TRIM(tblDados[Visitante])=$A280)*tblDados[Primeira_Ocorrencia]))</f>
        <v>6</v>
      </c>
      <c r="G280" s="9" cm="1">
        <f t="array" ref="G280">IF($A280="","",SUMPRODUCT((TRIM(tblDados[Mandante])=$A280)*tblDados[Primeira_Ocorrencia])+SUMPRODUCT((TRIM(tblDados[Visitante])=$A280)*tblDados[Primeira_Ocorrencia]))</f>
        <v>12</v>
      </c>
      <c r="H280" s="10">
        <f t="shared" si="60"/>
        <v>1.0833333333333333</v>
      </c>
      <c r="I280" s="10" cm="1">
        <f t="array" ref="I280">IF($A280="","",_xlfn.LET(_xlpm.p,IFERROR(INDEX(tblDados[País],MATCH($A280,TRIM(tblDados[Mandante]),0)),INDEX(tblDados[País],MATCH($A280,TRIM(tblDados[Visitante]),0))),_xlpm.l,IFERROR(INDEX(tblDados[Liga],MATCH($A280,TRIM(tblDados[Mandante]),0)),INDEX(tblDados[Liga],MATCH($A280,TRIM(tblDados[Visitante]),0))),IFERROR(SUMIFS(Ligas!$D$2:$D$39,Ligas!$H$2:$H$39,_xlpm.p,Ligas!$I$2:$I$39,_xlpm.l),0)))</f>
        <v>2.09</v>
      </c>
      <c r="J280" s="11" cm="1">
        <f t="array" ref="J280">IF($A280="","",IFERROR((SUMPRODUCT((TRIM(tblDados[Mandante])=$A280)*tblDados[Primeira_Ocorrencia]*(tblDados[GM_M]=0))+SUMPRODUCT((TRIM(tblDados[Visitante])=$A280)*tblDados[Primeira_Ocorrencia]*(tblDados[GM_V]=0)))/G280,0))</f>
        <v>0.41666666666666669</v>
      </c>
      <c r="K280" s="11" cm="1">
        <f t="array" ref="K280">IF($A280="","",IFERROR((SUMPRODUCT((TRIM(tblDados[Mandante])=$A280)*tblDados[Primeira_Ocorrencia]*((tblDados[GM_M]+tblDados[GS_M])&gt;0.5))+SUMPRODUCT((TRIM(tblDados[Visitante])=$A280)*tblDados[Primeira_Ocorrencia]*((tblDados[GM_V]+tblDados[GS_V])&gt;0.5)))/G280,0))</f>
        <v>0.83333333333333337</v>
      </c>
      <c r="L280" s="11" cm="1">
        <f t="array" ref="L280">IF($A280="","",IFERROR((SUMPRODUCT((TRIM(tblDados[Mandante])=$A280)*tblDados[Primeira_Ocorrencia]*((tblDados[GM_M]+tblDados[GS_M])&gt;1.5))+SUMPRODUCT((TRIM(tblDados[Visitante])=$A280)*tblDados[Primeira_Ocorrencia]*((tblDados[GM_V]+tblDados[GS_V])&gt;1.5)))/G280,0))</f>
        <v>0.58333333333333337</v>
      </c>
      <c r="M280" s="11" cm="1">
        <f t="array" ref="M280">IF($A280="","",IFERROR((SUMPRODUCT((TRIM(tblDados[Mandante])=$A280)*tblDados[Primeira_Ocorrencia]*((tblDados[GM_M]+tblDados[GS_M])&gt;2.5))+SUMPRODUCT((TRIM(tblDados[Visitante])=$A280)*tblDados[Primeira_Ocorrencia]*((tblDados[GM_V]+tblDados[GS_V])&gt;2.5)))/G280,0))</f>
        <v>0.41666666666666669</v>
      </c>
      <c r="N280" s="11" cm="1">
        <f t="array" ref="N280">IF($A280="","",IFERROR((SUMPRODUCT((TRIM(tblDados[Mandante])=$A280)*tblDados[Primeira_Ocorrencia]*((tblDados[GM_M]+tblDados[GS_M])&gt;3.5))+SUMPRODUCT((TRIM(tblDados[Visitante])=$A280)*tblDados[Primeira_Ocorrencia]*((tblDados[GM_V]+tblDados[GS_V])&gt;3.5)))/G280,0))</f>
        <v>0.33333333333333331</v>
      </c>
      <c r="O280" s="11" cm="1">
        <f t="array" ref="O280">IF($A280="","",IFERROR((SUMPRODUCT((TRIM(tblDados[Mandante])=$A280)*tblDados[Primeira_Ocorrencia]*(tblDados[GM_M]&gt;0)*(tblDados[GS_M]&gt;0))+SUMPRODUCT((TRIM(tblDados[Visitante])=$A280)*tblDados[Primeira_Ocorrencia]*(tblDados[GM_V]&gt;0)*(tblDados[GS_V]&gt;0)))/G280,0))</f>
        <v>0.41666666666666669</v>
      </c>
      <c r="P280" s="10" cm="1">
        <f t="array" ref="P280">IF($A280="","",IFERROR((SUMPRODUCT((TRIM(tblDados[Mandante])=$A280)*tblDados[Primeira_Ocorrencia]*tblDados[GM_M]^2)+SUMPRODUCT((TRIM(tblDados[Visitante])=$A280)*tblDados[Primeira_Ocorrencia]*tblDados[GM_V]^2))/G280-H280^2,0))</f>
        <v>1.2430555555555556</v>
      </c>
      <c r="Q280" s="10">
        <f t="shared" si="61"/>
        <v>1.1149240133549709</v>
      </c>
      <c r="R280" s="8" t="str">
        <f t="shared" si="62"/>
        <v>Poisson</v>
      </c>
      <c r="S280" s="10" cm="1">
        <f t="array" ref="S280">IF($A280="","",SUMPRODUCT((TRIM(tblDados[Mandante])=$A280)*tblDados[Primeira_Ocorrencia]*tblDados[GM_M]))</f>
        <v>7</v>
      </c>
      <c r="T280" s="10" cm="1">
        <f t="array" ref="T280">IF($A280="","",SUMPRODUCT((TRIM(tblDados[Visitante])=$A280)*tblDados[Primeira_Ocorrencia]*tblDados[GM_V]))</f>
        <v>6</v>
      </c>
      <c r="U280" s="10">
        <f t="shared" si="63"/>
        <v>13</v>
      </c>
      <c r="V280" s="10">
        <f t="shared" si="52"/>
        <v>1.0833333333333333</v>
      </c>
      <c r="W280" s="10" cm="1">
        <f t="array" ref="W280">IF($A280="","",SUMPRODUCT((TRIM(tblDados[Mandante])=$A280)*tblDados[Primeira_Ocorrencia]*tblDados[GS_M]))</f>
        <v>4</v>
      </c>
      <c r="X280" s="10" cm="1">
        <f t="array" ref="X280">IF($A280="","",SUMPRODUCT((TRIM(tblDados[Visitante])=$A280)*tblDados[Primeira_Ocorrencia]*tblDados[GS_V]))</f>
        <v>9</v>
      </c>
      <c r="Y280" s="10">
        <f t="shared" si="64"/>
        <v>13</v>
      </c>
      <c r="Z280" s="10">
        <f t="shared" si="53"/>
        <v>1.0833333333333333</v>
      </c>
      <c r="AA280" s="10">
        <f t="shared" si="54"/>
        <v>1.1666666666666667</v>
      </c>
      <c r="AB280" s="10">
        <f t="shared" si="55"/>
        <v>0.66666666666666663</v>
      </c>
      <c r="AC280" s="10">
        <f t="shared" si="56"/>
        <v>1</v>
      </c>
      <c r="AD280" s="10">
        <f t="shared" si="57"/>
        <v>1.5</v>
      </c>
    </row>
    <row r="281" spans="1:30" x14ac:dyDescent="0.3">
      <c r="A281" s="7" t="str">
        <v>Jazz Pori</v>
      </c>
      <c r="B281" s="12" t="str" cm="1">
        <f t="array" ref="B281">IF($A281="","",_xlfn.LET(_xlpm.p,IFERROR(INDEX(tblDados[País],MATCH($A281,TRIM(tblDados[Mandante]),0)),INDEX(tblDados[País],MATCH($A281,TRIM(tblDados[Visitante]),0))),_xlpm.l,IFERROR(INDEX(tblDados[Liga],MATCH($A281,TRIM(tblDados[Mandante]),0)),INDEX(tblDados[Liga],MATCH($A281,TRIM(tblDados[Visitante]),0))),_xlpm.p&amp;" - "&amp;_xlpm.l))</f>
        <v>FIN - Ykkönen</v>
      </c>
      <c r="C281" s="10">
        <f t="shared" si="58"/>
        <v>2.666666666666667</v>
      </c>
      <c r="D281" s="10">
        <f t="shared" si="59"/>
        <v>3.1666666666666665</v>
      </c>
      <c r="E281" s="9" cm="1">
        <f t="array" ref="E281">IF($A281="","",SUMPRODUCT((TRIM(tblDados[Mandante])=$A281)*tblDados[Primeira_Ocorrencia]))</f>
        <v>6</v>
      </c>
      <c r="F281" s="9" cm="1">
        <f t="array" ref="F281">IF($A281="","",SUMPRODUCT((TRIM(tblDados[Visitante])=$A281)*tblDados[Primeira_Ocorrencia]))</f>
        <v>6</v>
      </c>
      <c r="G281" s="9" cm="1">
        <f t="array" ref="G281">IF($A281="","",SUMPRODUCT((TRIM(tblDados[Mandante])=$A281)*tblDados[Primeira_Ocorrencia])+SUMPRODUCT((TRIM(tblDados[Visitante])=$A281)*tblDados[Primeira_Ocorrencia]))</f>
        <v>12</v>
      </c>
      <c r="H281" s="10">
        <f t="shared" si="60"/>
        <v>1.6666666666666667</v>
      </c>
      <c r="I281" s="10" cm="1">
        <f t="array" ref="I281">IF($A281="","",_xlfn.LET(_xlpm.p,IFERROR(INDEX(tblDados[País],MATCH($A281,TRIM(tblDados[Mandante]),0)),INDEX(tblDados[País],MATCH($A281,TRIM(tblDados[Visitante]),0))),_xlpm.l,IFERROR(INDEX(tblDados[Liga],MATCH($A281,TRIM(tblDados[Mandante]),0)),INDEX(tblDados[Liga],MATCH($A281,TRIM(tblDados[Visitante]),0))),IFERROR(SUMIFS(Ligas!$D$2:$D$39,Ligas!$H$2:$H$39,_xlpm.p,Ligas!$I$2:$I$39,_xlpm.l),0)))</f>
        <v>3.57</v>
      </c>
      <c r="J281" s="11" cm="1">
        <f t="array" ref="J281">IF($A281="","",IFERROR((SUMPRODUCT((TRIM(tblDados[Mandante])=$A281)*tblDados[Primeira_Ocorrencia]*(tblDados[GM_M]=0))+SUMPRODUCT((TRIM(tblDados[Visitante])=$A281)*tblDados[Primeira_Ocorrencia]*(tblDados[GM_V]=0)))/G281,0))</f>
        <v>0.16666666666666666</v>
      </c>
      <c r="K281" s="11" cm="1">
        <f t="array" ref="K281">IF($A281="","",IFERROR((SUMPRODUCT((TRIM(tblDados[Mandante])=$A281)*tblDados[Primeira_Ocorrencia]*((tblDados[GM_M]+tblDados[GS_M])&gt;0.5))+SUMPRODUCT((TRIM(tblDados[Visitante])=$A281)*tblDados[Primeira_Ocorrencia]*((tblDados[GM_V]+tblDados[GS_V])&gt;0.5)))/G281,0))</f>
        <v>1</v>
      </c>
      <c r="L281" s="11" cm="1">
        <f t="array" ref="L281">IF($A281="","",IFERROR((SUMPRODUCT((TRIM(tblDados[Mandante])=$A281)*tblDados[Primeira_Ocorrencia]*((tblDados[GM_M]+tblDados[GS_M])&gt;1.5))+SUMPRODUCT((TRIM(tblDados[Visitante])=$A281)*tblDados[Primeira_Ocorrencia]*((tblDados[GM_V]+tblDados[GS_V])&gt;1.5)))/G281,0))</f>
        <v>0.83333333333333337</v>
      </c>
      <c r="M281" s="11" cm="1">
        <f t="array" ref="M281">IF($A281="","",IFERROR((SUMPRODUCT((TRIM(tblDados[Mandante])=$A281)*tblDados[Primeira_Ocorrencia]*((tblDados[GM_M]+tblDados[GS_M])&gt;2.5))+SUMPRODUCT((TRIM(tblDados[Visitante])=$A281)*tblDados[Primeira_Ocorrencia]*((tblDados[GM_V]+tblDados[GS_V])&gt;2.5)))/G281,0))</f>
        <v>0.75</v>
      </c>
      <c r="N281" s="11" cm="1">
        <f t="array" ref="N281">IF($A281="","",IFERROR((SUMPRODUCT((TRIM(tblDados[Mandante])=$A281)*tblDados[Primeira_Ocorrencia]*((tblDados[GM_M]+tblDados[GS_M])&gt;3.5))+SUMPRODUCT((TRIM(tblDados[Visitante])=$A281)*tblDados[Primeira_Ocorrencia]*((tblDados[GM_V]+tblDados[GS_V])&gt;3.5)))/G281,0))</f>
        <v>0.33333333333333331</v>
      </c>
      <c r="O281" s="11" cm="1">
        <f t="array" ref="O281">IF($A281="","",IFERROR((SUMPRODUCT((TRIM(tblDados[Mandante])=$A281)*tblDados[Primeira_Ocorrencia]*(tblDados[GM_M]&gt;0)*(tblDados[GS_M]&gt;0))+SUMPRODUCT((TRIM(tblDados[Visitante])=$A281)*tblDados[Primeira_Ocorrencia]*(tblDados[GM_V]&gt;0)*(tblDados[GS_V]&gt;0)))/G281,0))</f>
        <v>0.75</v>
      </c>
      <c r="P281" s="10" cm="1">
        <f t="array" ref="P281">IF($A281="","",IFERROR((SUMPRODUCT((TRIM(tblDados[Mandante])=$A281)*tblDados[Primeira_Ocorrencia]*tblDados[GM_M]^2)+SUMPRODUCT((TRIM(tblDados[Visitante])=$A281)*tblDados[Primeira_Ocorrencia]*tblDados[GM_V]^2))/G281-H281^2,0))</f>
        <v>1.2222222222222219</v>
      </c>
      <c r="Q281" s="10">
        <f t="shared" si="61"/>
        <v>1.1055415967851332</v>
      </c>
      <c r="R281" s="8" t="str">
        <f t="shared" si="62"/>
        <v>Poisson</v>
      </c>
      <c r="S281" s="10" cm="1">
        <f t="array" ref="S281">IF($A281="","",SUMPRODUCT((TRIM(tblDados[Mandante])=$A281)*tblDados[Primeira_Ocorrencia]*tblDados[GM_M]))</f>
        <v>9</v>
      </c>
      <c r="T281" s="10" cm="1">
        <f t="array" ref="T281">IF($A281="","",SUMPRODUCT((TRIM(tblDados[Visitante])=$A281)*tblDados[Primeira_Ocorrencia]*tblDados[GM_V]))</f>
        <v>11</v>
      </c>
      <c r="U281" s="10">
        <f t="shared" si="63"/>
        <v>20</v>
      </c>
      <c r="V281" s="10">
        <f t="shared" si="52"/>
        <v>1.6666666666666667</v>
      </c>
      <c r="W281" s="10" cm="1">
        <f t="array" ref="W281">IF($A281="","",SUMPRODUCT((TRIM(tblDados[Mandante])=$A281)*tblDados[Primeira_Ocorrencia]*tblDados[GS_M]))</f>
        <v>7</v>
      </c>
      <c r="X281" s="10" cm="1">
        <f t="array" ref="X281">IF($A281="","",SUMPRODUCT((TRIM(tblDados[Visitante])=$A281)*tblDados[Primeira_Ocorrencia]*tblDados[GS_V]))</f>
        <v>8</v>
      </c>
      <c r="Y281" s="10">
        <f t="shared" si="64"/>
        <v>15</v>
      </c>
      <c r="Z281" s="10">
        <f t="shared" si="53"/>
        <v>1.25</v>
      </c>
      <c r="AA281" s="10">
        <f t="shared" si="54"/>
        <v>1.5</v>
      </c>
      <c r="AB281" s="10">
        <f t="shared" si="55"/>
        <v>1.1666666666666667</v>
      </c>
      <c r="AC281" s="10">
        <f t="shared" si="56"/>
        <v>1.8333333333333333</v>
      </c>
      <c r="AD281" s="10">
        <f t="shared" si="57"/>
        <v>1.3333333333333333</v>
      </c>
    </row>
    <row r="282" spans="1:30" x14ac:dyDescent="0.3">
      <c r="A282" s="7" t="str">
        <v>JBK</v>
      </c>
      <c r="B282" s="12" t="str" cm="1">
        <f t="array" ref="B282">IF($A282="","",_xlfn.LET(_xlpm.p,IFERROR(INDEX(tblDados[País],MATCH($A282,TRIM(tblDados[Mandante]),0)),INDEX(tblDados[País],MATCH($A282,TRIM(tblDados[Visitante]),0))),_xlpm.l,IFERROR(INDEX(tblDados[Liga],MATCH($A282,TRIM(tblDados[Mandante]),0)),INDEX(tblDados[Liga],MATCH($A282,TRIM(tblDados[Visitante]),0))),_xlpm.p&amp;" - "&amp;_xlpm.l))</f>
        <v>FIN - Kakkonen C</v>
      </c>
      <c r="C282" s="10">
        <f t="shared" si="58"/>
        <v>3.5999999999999996</v>
      </c>
      <c r="D282" s="10">
        <f t="shared" si="59"/>
        <v>3.5714285714285712</v>
      </c>
      <c r="E282" s="9" cm="1">
        <f t="array" ref="E282">IF($A282="","",SUMPRODUCT((TRIM(tblDados[Mandante])=$A282)*tblDados[Primeira_Ocorrencia]))</f>
        <v>5</v>
      </c>
      <c r="F282" s="9" cm="1">
        <f t="array" ref="F282">IF($A282="","",SUMPRODUCT((TRIM(tblDados[Visitante])=$A282)*tblDados[Primeira_Ocorrencia]))</f>
        <v>7</v>
      </c>
      <c r="G282" s="9" cm="1">
        <f t="array" ref="G282">IF($A282="","",SUMPRODUCT((TRIM(tblDados[Mandante])=$A282)*tblDados[Primeira_Ocorrencia])+SUMPRODUCT((TRIM(tblDados[Visitante])=$A282)*tblDados[Primeira_Ocorrencia]))</f>
        <v>12</v>
      </c>
      <c r="H282" s="10">
        <f t="shared" si="60"/>
        <v>2.0833333333333335</v>
      </c>
      <c r="I282" s="10" cm="1">
        <f t="array" ref="I282">IF($A282="","",_xlfn.LET(_xlpm.p,IFERROR(INDEX(tblDados[País],MATCH($A282,TRIM(tblDados[Mandante]),0)),INDEX(tblDados[País],MATCH($A282,TRIM(tblDados[Visitante]),0))),_xlpm.l,IFERROR(INDEX(tblDados[Liga],MATCH($A282,TRIM(tblDados[Mandante]),0)),INDEX(tblDados[Liga],MATCH($A282,TRIM(tblDados[Visitante]),0))),IFERROR(SUMIFS(Ligas!$D$2:$D$39,Ligas!$H$2:$H$39,_xlpm.p,Ligas!$I$2:$I$39,_xlpm.l),0)))</f>
        <v>4.32</v>
      </c>
      <c r="J282" s="11" cm="1">
        <f t="array" ref="J282">IF($A282="","",IFERROR((SUMPRODUCT((TRIM(tblDados[Mandante])=$A282)*tblDados[Primeira_Ocorrencia]*(tblDados[GM_M]=0))+SUMPRODUCT((TRIM(tblDados[Visitante])=$A282)*tblDados[Primeira_Ocorrencia]*(tblDados[GM_V]=0)))/G282,0))</f>
        <v>8.3333333333333329E-2</v>
      </c>
      <c r="K282" s="11" cm="1">
        <f t="array" ref="K282">IF($A282="","",IFERROR((SUMPRODUCT((TRIM(tblDados[Mandante])=$A282)*tblDados[Primeira_Ocorrencia]*((tblDados[GM_M]+tblDados[GS_M])&gt;0.5))+SUMPRODUCT((TRIM(tblDados[Visitante])=$A282)*tblDados[Primeira_Ocorrencia]*((tblDados[GM_V]+tblDados[GS_V])&gt;0.5)))/G282,0))</f>
        <v>1</v>
      </c>
      <c r="L282" s="11" cm="1">
        <f t="array" ref="L282">IF($A282="","",IFERROR((SUMPRODUCT((TRIM(tblDados[Mandante])=$A282)*tblDados[Primeira_Ocorrencia]*((tblDados[GM_M]+tblDados[GS_M])&gt;1.5))+SUMPRODUCT((TRIM(tblDados[Visitante])=$A282)*tblDados[Primeira_Ocorrencia]*((tblDados[GM_V]+tblDados[GS_V])&gt;1.5)))/G282,0))</f>
        <v>0.91666666666666663</v>
      </c>
      <c r="M282" s="11" cm="1">
        <f t="array" ref="M282">IF($A282="","",IFERROR((SUMPRODUCT((TRIM(tblDados[Mandante])=$A282)*tblDados[Primeira_Ocorrencia]*((tblDados[GM_M]+tblDados[GS_M])&gt;2.5))+SUMPRODUCT((TRIM(tblDados[Visitante])=$A282)*tblDados[Primeira_Ocorrencia]*((tblDados[GM_V]+tblDados[GS_V])&gt;2.5)))/G282,0))</f>
        <v>0.66666666666666663</v>
      </c>
      <c r="N282" s="11" cm="1">
        <f t="array" ref="N282">IF($A282="","",IFERROR((SUMPRODUCT((TRIM(tblDados[Mandante])=$A282)*tblDados[Primeira_Ocorrencia]*((tblDados[GM_M]+tblDados[GS_M])&gt;3.5))+SUMPRODUCT((TRIM(tblDados[Visitante])=$A282)*tblDados[Primeira_Ocorrencia]*((tblDados[GM_V]+tblDados[GS_V])&gt;3.5)))/G282,0))</f>
        <v>0.41666666666666669</v>
      </c>
      <c r="O282" s="11" cm="1">
        <f t="array" ref="O282">IF($A282="","",IFERROR((SUMPRODUCT((TRIM(tblDados[Mandante])=$A282)*tblDados[Primeira_Ocorrencia]*(tblDados[GM_M]&gt;0)*(tblDados[GS_M]&gt;0))+SUMPRODUCT((TRIM(tblDados[Visitante])=$A282)*tblDados[Primeira_Ocorrencia]*(tblDados[GM_V]&gt;0)*(tblDados[GS_V]&gt;0)))/G282,0))</f>
        <v>0.58333333333333337</v>
      </c>
      <c r="P282" s="10" cm="1">
        <f t="array" ref="P282">IF($A282="","",IFERROR((SUMPRODUCT((TRIM(tblDados[Mandante])=$A282)*tblDados[Primeira_Ocorrencia]*tblDados[GM_M]^2)+SUMPRODUCT((TRIM(tblDados[Visitante])=$A282)*tblDados[Primeira_Ocorrencia]*tblDados[GM_V]^2))/G282-H282^2,0))</f>
        <v>1.5763888888888884</v>
      </c>
      <c r="Q282" s="10">
        <f t="shared" si="61"/>
        <v>1.25554326444328</v>
      </c>
      <c r="R282" s="8" t="str">
        <f t="shared" si="62"/>
        <v>Poisson</v>
      </c>
      <c r="S282" s="10" cm="1">
        <f t="array" ref="S282">IF($A282="","",SUMPRODUCT((TRIM(tblDados[Mandante])=$A282)*tblDados[Primeira_Ocorrencia]*tblDados[GM_M]))</f>
        <v>14</v>
      </c>
      <c r="T282" s="10" cm="1">
        <f t="array" ref="T282">IF($A282="","",SUMPRODUCT((TRIM(tblDados[Visitante])=$A282)*tblDados[Primeira_Ocorrencia]*tblDados[GM_V]))</f>
        <v>11</v>
      </c>
      <c r="U282" s="10">
        <f t="shared" si="63"/>
        <v>25</v>
      </c>
      <c r="V282" s="10">
        <f t="shared" si="52"/>
        <v>2.0833333333333335</v>
      </c>
      <c r="W282" s="10" cm="1">
        <f t="array" ref="W282">IF($A282="","",SUMPRODUCT((TRIM(tblDados[Mandante])=$A282)*tblDados[Primeira_Ocorrencia]*tblDados[GS_M]))</f>
        <v>4</v>
      </c>
      <c r="X282" s="10" cm="1">
        <f t="array" ref="X282">IF($A282="","",SUMPRODUCT((TRIM(tblDados[Visitante])=$A282)*tblDados[Primeira_Ocorrencia]*tblDados[GS_V]))</f>
        <v>14</v>
      </c>
      <c r="Y282" s="10">
        <f t="shared" si="64"/>
        <v>18</v>
      </c>
      <c r="Z282" s="10">
        <f t="shared" si="53"/>
        <v>1.5</v>
      </c>
      <c r="AA282" s="10">
        <f t="shared" si="54"/>
        <v>2.8</v>
      </c>
      <c r="AB282" s="10">
        <f t="shared" si="55"/>
        <v>0.8</v>
      </c>
      <c r="AC282" s="10">
        <f t="shared" si="56"/>
        <v>1.5714285714285714</v>
      </c>
      <c r="AD282" s="10">
        <f t="shared" si="57"/>
        <v>2</v>
      </c>
    </row>
    <row r="283" spans="1:30" x14ac:dyDescent="0.3">
      <c r="A283" s="7" t="str">
        <v>Jiangxi Dingnan United</v>
      </c>
      <c r="B283" s="12" t="str" cm="1">
        <f t="array" ref="B283">IF($A283="","",_xlfn.LET(_xlpm.p,IFERROR(INDEX(tblDados[País],MATCH($A283,TRIM(tblDados[Mandante]),0)),INDEX(tblDados[País],MATCH($A283,TRIM(tblDados[Visitante]),0))),_xlpm.l,IFERROR(INDEX(tblDados[Liga],MATCH($A283,TRIM(tblDados[Mandante]),0)),INDEX(tblDados[Liga],MATCH($A283,TRIM(tblDados[Visitante]),0))),_xlpm.p&amp;" - "&amp;_xlpm.l))</f>
        <v>CHN - League One</v>
      </c>
      <c r="C283" s="10">
        <f t="shared" si="58"/>
        <v>3.5</v>
      </c>
      <c r="D283" s="10">
        <f t="shared" si="59"/>
        <v>4.833333333333333</v>
      </c>
      <c r="E283" s="9" cm="1">
        <f t="array" ref="E283">IF($A283="","",SUMPRODUCT((TRIM(tblDados[Mandante])=$A283)*tblDados[Primeira_Ocorrencia]))</f>
        <v>6</v>
      </c>
      <c r="F283" s="9" cm="1">
        <f t="array" ref="F283">IF($A283="","",SUMPRODUCT((TRIM(tblDados[Visitante])=$A283)*tblDados[Primeira_Ocorrencia]))</f>
        <v>6</v>
      </c>
      <c r="G283" s="9" cm="1">
        <f t="array" ref="G283">IF($A283="","",SUMPRODUCT((TRIM(tblDados[Mandante])=$A283)*tblDados[Primeira_Ocorrencia])+SUMPRODUCT((TRIM(tblDados[Visitante])=$A283)*tblDados[Primeira_Ocorrencia]))</f>
        <v>12</v>
      </c>
      <c r="H283" s="10">
        <f t="shared" si="60"/>
        <v>1.6666666666666667</v>
      </c>
      <c r="I283" s="10" cm="1">
        <f t="array" ref="I283">IF($A283="","",_xlfn.LET(_xlpm.p,IFERROR(INDEX(tblDados[País],MATCH($A283,TRIM(tblDados[Mandante]),0)),INDEX(tblDados[País],MATCH($A283,TRIM(tblDados[Visitante]),0))),_xlpm.l,IFERROR(INDEX(tblDados[Liga],MATCH($A283,TRIM(tblDados[Mandante]),0)),INDEX(tblDados[Liga],MATCH($A283,TRIM(tblDados[Visitante]),0))),IFERROR(SUMIFS(Ligas!$D$2:$D$39,Ligas!$H$2:$H$39,_xlpm.p,Ligas!$I$2:$I$39,_xlpm.l),0)))</f>
        <v>2.5</v>
      </c>
      <c r="J283" s="11" cm="1">
        <f t="array" ref="J283">IF($A283="","",IFERROR((SUMPRODUCT((TRIM(tblDados[Mandante])=$A283)*tblDados[Primeira_Ocorrencia]*(tblDados[GM_M]=0))+SUMPRODUCT((TRIM(tblDados[Visitante])=$A283)*tblDados[Primeira_Ocorrencia]*(tblDados[GM_V]=0)))/G283,0))</f>
        <v>0.16666666666666666</v>
      </c>
      <c r="K283" s="11" cm="1">
        <f t="array" ref="K283">IF($A283="","",IFERROR((SUMPRODUCT((TRIM(tblDados[Mandante])=$A283)*tblDados[Primeira_Ocorrencia]*((tblDados[GM_M]+tblDados[GS_M])&gt;0.5))+SUMPRODUCT((TRIM(tblDados[Visitante])=$A283)*tblDados[Primeira_Ocorrencia]*((tblDados[GM_V]+tblDados[GS_V])&gt;0.5)))/G283,0))</f>
        <v>1</v>
      </c>
      <c r="L283" s="11" cm="1">
        <f t="array" ref="L283">IF($A283="","",IFERROR((SUMPRODUCT((TRIM(tblDados[Mandante])=$A283)*tblDados[Primeira_Ocorrencia]*((tblDados[GM_M]+tblDados[GS_M])&gt;1.5))+SUMPRODUCT((TRIM(tblDados[Visitante])=$A283)*tblDados[Primeira_Ocorrencia]*((tblDados[GM_V]+tblDados[GS_V])&gt;1.5)))/G283,0))</f>
        <v>0.91666666666666663</v>
      </c>
      <c r="M283" s="11" cm="1">
        <f t="array" ref="M283">IF($A283="","",IFERROR((SUMPRODUCT((TRIM(tblDados[Mandante])=$A283)*tblDados[Primeira_Ocorrencia]*((tblDados[GM_M]+tblDados[GS_M])&gt;2.5))+SUMPRODUCT((TRIM(tblDados[Visitante])=$A283)*tblDados[Primeira_Ocorrencia]*((tblDados[GM_V]+tblDados[GS_V])&gt;2.5)))/G283,0))</f>
        <v>0.75</v>
      </c>
      <c r="N283" s="11" cm="1">
        <f t="array" ref="N283">IF($A283="","",IFERROR((SUMPRODUCT((TRIM(tblDados[Mandante])=$A283)*tblDados[Primeira_Ocorrencia]*((tblDados[GM_M]+tblDados[GS_M])&gt;3.5))+SUMPRODUCT((TRIM(tblDados[Visitante])=$A283)*tblDados[Primeira_Ocorrencia]*((tblDados[GM_V]+tblDados[GS_V])&gt;3.5)))/G283,0))</f>
        <v>0.58333333333333337</v>
      </c>
      <c r="O283" s="11" cm="1">
        <f t="array" ref="O283">IF($A283="","",IFERROR((SUMPRODUCT((TRIM(tblDados[Mandante])=$A283)*tblDados[Primeira_Ocorrencia]*(tblDados[GM_M]&gt;0)*(tblDados[GS_M]&gt;0))+SUMPRODUCT((TRIM(tblDados[Visitante])=$A283)*tblDados[Primeira_Ocorrencia]*(tblDados[GM_V]&gt;0)*(tblDados[GS_V]&gt;0)))/G283,0))</f>
        <v>0.83333333333333337</v>
      </c>
      <c r="P283" s="10" cm="1">
        <f t="array" ref="P283">IF($A283="","",IFERROR((SUMPRODUCT((TRIM(tblDados[Mandante])=$A283)*tblDados[Primeira_Ocorrencia]*tblDados[GM_M]^2)+SUMPRODUCT((TRIM(tblDados[Visitante])=$A283)*tblDados[Primeira_Ocorrencia]*tblDados[GM_V]^2))/G283-H283^2,0))</f>
        <v>1.3888888888888888</v>
      </c>
      <c r="Q283" s="10">
        <f t="shared" si="61"/>
        <v>1.1785113019775793</v>
      </c>
      <c r="R283" s="8" t="str">
        <f t="shared" si="62"/>
        <v>Poisson</v>
      </c>
      <c r="S283" s="10" cm="1">
        <f t="array" ref="S283">IF($A283="","",SUMPRODUCT((TRIM(tblDados[Mandante])=$A283)*tblDados[Primeira_Ocorrencia]*tblDados[GM_M]))</f>
        <v>9</v>
      </c>
      <c r="T283" s="10" cm="1">
        <f t="array" ref="T283">IF($A283="","",SUMPRODUCT((TRIM(tblDados[Visitante])=$A283)*tblDados[Primeira_Ocorrencia]*tblDados[GM_V]))</f>
        <v>11</v>
      </c>
      <c r="U283" s="10">
        <f t="shared" si="63"/>
        <v>20</v>
      </c>
      <c r="V283" s="10">
        <f t="shared" si="52"/>
        <v>1.6666666666666667</v>
      </c>
      <c r="W283" s="10" cm="1">
        <f t="array" ref="W283">IF($A283="","",SUMPRODUCT((TRIM(tblDados[Mandante])=$A283)*tblDados[Primeira_Ocorrencia]*tblDados[GS_M]))</f>
        <v>12</v>
      </c>
      <c r="X283" s="10" cm="1">
        <f t="array" ref="X283">IF($A283="","",SUMPRODUCT((TRIM(tblDados[Visitante])=$A283)*tblDados[Primeira_Ocorrencia]*tblDados[GS_V]))</f>
        <v>18</v>
      </c>
      <c r="Y283" s="10">
        <f t="shared" si="64"/>
        <v>30</v>
      </c>
      <c r="Z283" s="10">
        <f t="shared" si="53"/>
        <v>2.5</v>
      </c>
      <c r="AA283" s="10">
        <f t="shared" si="54"/>
        <v>1.5</v>
      </c>
      <c r="AB283" s="10">
        <f t="shared" si="55"/>
        <v>2</v>
      </c>
      <c r="AC283" s="10">
        <f t="shared" si="56"/>
        <v>1.8333333333333333</v>
      </c>
      <c r="AD283" s="10">
        <f t="shared" si="57"/>
        <v>3</v>
      </c>
    </row>
    <row r="284" spans="1:30" x14ac:dyDescent="0.3">
      <c r="A284" s="7" t="str">
        <v>Jippo</v>
      </c>
      <c r="B284" s="12" t="str" cm="1">
        <f t="array" ref="B284">IF($A284="","",_xlfn.LET(_xlpm.p,IFERROR(INDEX(tblDados[País],MATCH($A284,TRIM(tblDados[Mandante]),0)),INDEX(tblDados[País],MATCH($A284,TRIM(tblDados[Visitante]),0))),_xlpm.l,IFERROR(INDEX(tblDados[Liga],MATCH($A284,TRIM(tblDados[Mandante]),0)),INDEX(tblDados[Liga],MATCH($A284,TRIM(tblDados[Visitante]),0))),_xlpm.p&amp;" - "&amp;_xlpm.l))</f>
        <v>FIN - Ykkösliiga</v>
      </c>
      <c r="C284" s="10">
        <f t="shared" si="58"/>
        <v>2.1666666666666665</v>
      </c>
      <c r="D284" s="10">
        <f t="shared" si="59"/>
        <v>2.666666666666667</v>
      </c>
      <c r="E284" s="9" cm="1">
        <f t="array" ref="E284">IF($A284="","",SUMPRODUCT((TRIM(tblDados[Mandante])=$A284)*tblDados[Primeira_Ocorrencia]))</f>
        <v>6</v>
      </c>
      <c r="F284" s="9" cm="1">
        <f t="array" ref="F284">IF($A284="","",SUMPRODUCT((TRIM(tblDados[Visitante])=$A284)*tblDados[Primeira_Ocorrencia]))</f>
        <v>6</v>
      </c>
      <c r="G284" s="9" cm="1">
        <f t="array" ref="G284">IF($A284="","",SUMPRODUCT((TRIM(tblDados[Mandante])=$A284)*tblDados[Primeira_Ocorrencia])+SUMPRODUCT((TRIM(tblDados[Visitante])=$A284)*tblDados[Primeira_Ocorrencia]))</f>
        <v>12</v>
      </c>
      <c r="H284" s="10">
        <f t="shared" si="60"/>
        <v>1.3333333333333333</v>
      </c>
      <c r="I284" s="10" cm="1">
        <f t="array" ref="I284">IF($A284="","",_xlfn.LET(_xlpm.p,IFERROR(INDEX(tblDados[País],MATCH($A284,TRIM(tblDados[Mandante]),0)),INDEX(tblDados[País],MATCH($A284,TRIM(tblDados[Visitante]),0))),_xlpm.l,IFERROR(INDEX(tblDados[Liga],MATCH($A284,TRIM(tblDados[Mandante]),0)),INDEX(tblDados[Liga],MATCH($A284,TRIM(tblDados[Visitante]),0))),IFERROR(SUMIFS(Ligas!$D$2:$D$39,Ligas!$H$2:$H$39,_xlpm.p,Ligas!$I$2:$I$39,_xlpm.l),0)))</f>
        <v>2.5099999999999998</v>
      </c>
      <c r="J284" s="11" cm="1">
        <f t="array" ref="J284">IF($A284="","",IFERROR((SUMPRODUCT((TRIM(tblDados[Mandante])=$A284)*tblDados[Primeira_Ocorrencia]*(tblDados[GM_M]=0))+SUMPRODUCT((TRIM(tblDados[Visitante])=$A284)*tblDados[Primeira_Ocorrencia]*(tblDados[GM_V]=0)))/G284,0))</f>
        <v>0.25</v>
      </c>
      <c r="K284" s="11" cm="1">
        <f t="array" ref="K284">IF($A284="","",IFERROR((SUMPRODUCT((TRIM(tblDados[Mandante])=$A284)*tblDados[Primeira_Ocorrencia]*((tblDados[GM_M]+tblDados[GS_M])&gt;0.5))+SUMPRODUCT((TRIM(tblDados[Visitante])=$A284)*tblDados[Primeira_Ocorrencia]*((tblDados[GM_V]+tblDados[GS_V])&gt;0.5)))/G284,0))</f>
        <v>0.91666666666666663</v>
      </c>
      <c r="L284" s="11" cm="1">
        <f t="array" ref="L284">IF($A284="","",IFERROR((SUMPRODUCT((TRIM(tblDados[Mandante])=$A284)*tblDados[Primeira_Ocorrencia]*((tblDados[GM_M]+tblDados[GS_M])&gt;1.5))+SUMPRODUCT((TRIM(tblDados[Visitante])=$A284)*tblDados[Primeira_Ocorrencia]*((tblDados[GM_V]+tblDados[GS_V])&gt;1.5)))/G284,0))</f>
        <v>0.75</v>
      </c>
      <c r="M284" s="11" cm="1">
        <f t="array" ref="M284">IF($A284="","",IFERROR((SUMPRODUCT((TRIM(tblDados[Mandante])=$A284)*tblDados[Primeira_Ocorrencia]*((tblDados[GM_M]+tblDados[GS_M])&gt;2.5))+SUMPRODUCT((TRIM(tblDados[Visitante])=$A284)*tblDados[Primeira_Ocorrencia]*((tblDados[GM_V]+tblDados[GS_V])&gt;2.5)))/G284,0))</f>
        <v>0.41666666666666669</v>
      </c>
      <c r="N284" s="11" cm="1">
        <f t="array" ref="N284">IF($A284="","",IFERROR((SUMPRODUCT((TRIM(tblDados[Mandante])=$A284)*tblDados[Primeira_Ocorrencia]*((tblDados[GM_M]+tblDados[GS_M])&gt;3.5))+SUMPRODUCT((TRIM(tblDados[Visitante])=$A284)*tblDados[Primeira_Ocorrencia]*((tblDados[GM_V]+tblDados[GS_V])&gt;3.5)))/G284,0))</f>
        <v>0.16666666666666666</v>
      </c>
      <c r="O284" s="11" cm="1">
        <f t="array" ref="O284">IF($A284="","",IFERROR((SUMPRODUCT((TRIM(tblDados[Mandante])=$A284)*tblDados[Primeira_Ocorrencia]*(tblDados[GM_M]&gt;0)*(tblDados[GS_M]&gt;0))+SUMPRODUCT((TRIM(tblDados[Visitante])=$A284)*tblDados[Primeira_Ocorrencia]*(tblDados[GM_V]&gt;0)*(tblDados[GS_V]&gt;0)))/G284,0))</f>
        <v>0.5</v>
      </c>
      <c r="P284" s="10" cm="1">
        <f t="array" ref="P284">IF($A284="","",IFERROR((SUMPRODUCT((TRIM(tblDados[Mandante])=$A284)*tblDados[Primeira_Ocorrencia]*tblDados[GM_M]^2)+SUMPRODUCT((TRIM(tblDados[Visitante])=$A284)*tblDados[Primeira_Ocorrencia]*tblDados[GM_V]^2))/G284-H284^2,0))</f>
        <v>1.2222222222222223</v>
      </c>
      <c r="Q284" s="10">
        <f t="shared" si="61"/>
        <v>1.1055415967851334</v>
      </c>
      <c r="R284" s="8" t="str">
        <f t="shared" si="62"/>
        <v>Poisson</v>
      </c>
      <c r="S284" s="10" cm="1">
        <f t="array" ref="S284">IF($A284="","",SUMPRODUCT((TRIM(tblDados[Mandante])=$A284)*tblDados[Primeira_Ocorrencia]*tblDados[GM_M]))</f>
        <v>9</v>
      </c>
      <c r="T284" s="10" cm="1">
        <f t="array" ref="T284">IF($A284="","",SUMPRODUCT((TRIM(tblDados[Visitante])=$A284)*tblDados[Primeira_Ocorrencia]*tblDados[GM_V]))</f>
        <v>7</v>
      </c>
      <c r="U284" s="10">
        <f t="shared" si="63"/>
        <v>16</v>
      </c>
      <c r="V284" s="10">
        <f t="shared" si="52"/>
        <v>1.3333333333333333</v>
      </c>
      <c r="W284" s="10" cm="1">
        <f t="array" ref="W284">IF($A284="","",SUMPRODUCT((TRIM(tblDados[Mandante])=$A284)*tblDados[Primeira_Ocorrencia]*tblDados[GS_M]))</f>
        <v>4</v>
      </c>
      <c r="X284" s="10" cm="1">
        <f t="array" ref="X284">IF($A284="","",SUMPRODUCT((TRIM(tblDados[Visitante])=$A284)*tblDados[Primeira_Ocorrencia]*tblDados[GS_V]))</f>
        <v>9</v>
      </c>
      <c r="Y284" s="10">
        <f t="shared" si="64"/>
        <v>13</v>
      </c>
      <c r="Z284" s="10">
        <f t="shared" si="53"/>
        <v>1.0833333333333333</v>
      </c>
      <c r="AA284" s="10">
        <f t="shared" si="54"/>
        <v>1.5</v>
      </c>
      <c r="AB284" s="10">
        <f t="shared" si="55"/>
        <v>0.66666666666666663</v>
      </c>
      <c r="AC284" s="10">
        <f t="shared" si="56"/>
        <v>1.1666666666666667</v>
      </c>
      <c r="AD284" s="10">
        <f t="shared" si="57"/>
        <v>1.5</v>
      </c>
    </row>
    <row r="285" spans="1:30" x14ac:dyDescent="0.3">
      <c r="A285" s="7" t="str">
        <v>Jönköpings Södra IF</v>
      </c>
      <c r="B285" s="12" t="str" cm="1">
        <f t="array" ref="B285">IF($A285="","",_xlfn.LET(_xlpm.p,IFERROR(INDEX(tblDados[País],MATCH($A285,TRIM(tblDados[Mandante]),0)),INDEX(tblDados[País],MATCH($A285,TRIM(tblDados[Visitante]),0))),_xlpm.l,IFERROR(INDEX(tblDados[Liga],MATCH($A285,TRIM(tblDados[Mandante]),0)),INDEX(tblDados[Liga],MATCH($A285,TRIM(tblDados[Visitante]),0))),_xlpm.p&amp;" - "&amp;_xlpm.l))</f>
        <v>SWE - 1ª D Södra</v>
      </c>
      <c r="C285" s="10">
        <f t="shared" si="58"/>
        <v>2.5714285714285712</v>
      </c>
      <c r="D285" s="10">
        <f t="shared" si="59"/>
        <v>2.6</v>
      </c>
      <c r="E285" s="9" cm="1">
        <f t="array" ref="E285">IF($A285="","",SUMPRODUCT((TRIM(tblDados[Mandante])=$A285)*tblDados[Primeira_Ocorrencia]))</f>
        <v>7</v>
      </c>
      <c r="F285" s="9" cm="1">
        <f t="array" ref="F285">IF($A285="","",SUMPRODUCT((TRIM(tblDados[Visitante])=$A285)*tblDados[Primeira_Ocorrencia]))</f>
        <v>5</v>
      </c>
      <c r="G285" s="9" cm="1">
        <f t="array" ref="G285">IF($A285="","",SUMPRODUCT((TRIM(tblDados[Mandante])=$A285)*tblDados[Primeira_Ocorrencia])+SUMPRODUCT((TRIM(tblDados[Visitante])=$A285)*tblDados[Primeira_Ocorrencia]))</f>
        <v>12</v>
      </c>
      <c r="H285" s="10">
        <f t="shared" si="60"/>
        <v>1.6666666666666667</v>
      </c>
      <c r="I285" s="10" cm="1">
        <f t="array" ref="I285">IF($A285="","",_xlfn.LET(_xlpm.p,IFERROR(INDEX(tblDados[País],MATCH($A285,TRIM(tblDados[Mandante]),0)),INDEX(tblDados[País],MATCH($A285,TRIM(tblDados[Visitante]),0))),_xlpm.l,IFERROR(INDEX(tblDados[Liga],MATCH($A285,TRIM(tblDados[Mandante]),0)),INDEX(tblDados[Liga],MATCH($A285,TRIM(tblDados[Visitante]),0))),IFERROR(SUMIFS(Ligas!$D$2:$D$39,Ligas!$H$2:$H$39,_xlpm.p,Ligas!$I$2:$I$39,_xlpm.l),0)))</f>
        <v>2.5</v>
      </c>
      <c r="J285" s="11" cm="1">
        <f t="array" ref="J285">IF($A285="","",IFERROR((SUMPRODUCT((TRIM(tblDados[Mandante])=$A285)*tblDados[Primeira_Ocorrencia]*(tblDados[GM_M]=0))+SUMPRODUCT((TRIM(tblDados[Visitante])=$A285)*tblDados[Primeira_Ocorrencia]*(tblDados[GM_V]=0)))/G285,0))</f>
        <v>0.25</v>
      </c>
      <c r="K285" s="11" cm="1">
        <f t="array" ref="K285">IF($A285="","",IFERROR((SUMPRODUCT((TRIM(tblDados[Mandante])=$A285)*tblDados[Primeira_Ocorrencia]*((tblDados[GM_M]+tblDados[GS_M])&gt;0.5))+SUMPRODUCT((TRIM(tblDados[Visitante])=$A285)*tblDados[Primeira_Ocorrencia]*((tblDados[GM_V]+tblDados[GS_V])&gt;0.5)))/G285,0))</f>
        <v>0.91666666666666663</v>
      </c>
      <c r="L285" s="11" cm="1">
        <f t="array" ref="L285">IF($A285="","",IFERROR((SUMPRODUCT((TRIM(tblDados[Mandante])=$A285)*tblDados[Primeira_Ocorrencia]*((tblDados[GM_M]+tblDados[GS_M])&gt;1.5))+SUMPRODUCT((TRIM(tblDados[Visitante])=$A285)*tblDados[Primeira_Ocorrencia]*((tblDados[GM_V]+tblDados[GS_V])&gt;1.5)))/G285,0))</f>
        <v>0.75</v>
      </c>
      <c r="M285" s="11" cm="1">
        <f t="array" ref="M285">IF($A285="","",IFERROR((SUMPRODUCT((TRIM(tblDados[Mandante])=$A285)*tblDados[Primeira_Ocorrencia]*((tblDados[GM_M]+tblDados[GS_M])&gt;2.5))+SUMPRODUCT((TRIM(tblDados[Visitante])=$A285)*tblDados[Primeira_Ocorrencia]*((tblDados[GM_V]+tblDados[GS_V])&gt;2.5)))/G285,0))</f>
        <v>0.5</v>
      </c>
      <c r="N285" s="11" cm="1">
        <f t="array" ref="N285">IF($A285="","",IFERROR((SUMPRODUCT((TRIM(tblDados[Mandante])=$A285)*tblDados[Primeira_Ocorrencia]*((tblDados[GM_M]+tblDados[GS_M])&gt;3.5))+SUMPRODUCT((TRIM(tblDados[Visitante])=$A285)*tblDados[Primeira_Ocorrencia]*((tblDados[GM_V]+tblDados[GS_V])&gt;3.5)))/G285,0))</f>
        <v>0.16666666666666666</v>
      </c>
      <c r="O285" s="11" cm="1">
        <f t="array" ref="O285">IF($A285="","",IFERROR((SUMPRODUCT((TRIM(tblDados[Mandante])=$A285)*tblDados[Primeira_Ocorrencia]*(tblDados[GM_M]&gt;0)*(tblDados[GS_M]&gt;0))+SUMPRODUCT((TRIM(tblDados[Visitante])=$A285)*tblDados[Primeira_Ocorrencia]*(tblDados[GM_V]&gt;0)*(tblDados[GS_V]&gt;0)))/G285,0))</f>
        <v>0.41666666666666669</v>
      </c>
      <c r="P285" s="10" cm="1">
        <f t="array" ref="P285">IF($A285="","",IFERROR((SUMPRODUCT((TRIM(tblDados[Mandante])=$A285)*tblDados[Primeira_Ocorrencia]*tblDados[GM_M]^2)+SUMPRODUCT((TRIM(tblDados[Visitante])=$A285)*tblDados[Primeira_Ocorrencia]*tblDados[GM_V]^2))/G285-H285^2,0))</f>
        <v>1.5555555555555549</v>
      </c>
      <c r="Q285" s="10">
        <f t="shared" si="61"/>
        <v>1.2472191289246468</v>
      </c>
      <c r="R285" s="8" t="str">
        <f t="shared" si="62"/>
        <v>Poisson</v>
      </c>
      <c r="S285" s="10" cm="1">
        <f t="array" ref="S285">IF($A285="","",SUMPRODUCT((TRIM(tblDados[Mandante])=$A285)*tblDados[Primeira_Ocorrencia]*tblDados[GM_M]))</f>
        <v>16</v>
      </c>
      <c r="T285" s="10" cm="1">
        <f t="array" ref="T285">IF($A285="","",SUMPRODUCT((TRIM(tblDados[Visitante])=$A285)*tblDados[Primeira_Ocorrencia]*tblDados[GM_V]))</f>
        <v>4</v>
      </c>
      <c r="U285" s="10">
        <f t="shared" si="63"/>
        <v>20</v>
      </c>
      <c r="V285" s="10">
        <f t="shared" si="52"/>
        <v>1.6666666666666667</v>
      </c>
      <c r="W285" s="10" cm="1">
        <f t="array" ref="W285">IF($A285="","",SUMPRODUCT((TRIM(tblDados[Mandante])=$A285)*tblDados[Primeira_Ocorrencia]*tblDados[GS_M]))</f>
        <v>2</v>
      </c>
      <c r="X285" s="10" cm="1">
        <f t="array" ref="X285">IF($A285="","",SUMPRODUCT((TRIM(tblDados[Visitante])=$A285)*tblDados[Primeira_Ocorrencia]*tblDados[GS_V]))</f>
        <v>9</v>
      </c>
      <c r="Y285" s="10">
        <f t="shared" si="64"/>
        <v>11</v>
      </c>
      <c r="Z285" s="10">
        <f t="shared" si="53"/>
        <v>0.91666666666666663</v>
      </c>
      <c r="AA285" s="10">
        <f t="shared" si="54"/>
        <v>2.2857142857142856</v>
      </c>
      <c r="AB285" s="10">
        <f t="shared" si="55"/>
        <v>0.2857142857142857</v>
      </c>
      <c r="AC285" s="10">
        <f t="shared" si="56"/>
        <v>0.8</v>
      </c>
      <c r="AD285" s="10">
        <f t="shared" si="57"/>
        <v>1.8</v>
      </c>
    </row>
    <row r="286" spans="1:30" x14ac:dyDescent="0.3">
      <c r="A286" s="7" t="str">
        <v>Jonsereds IF</v>
      </c>
      <c r="B286" s="12" t="str" cm="1">
        <f t="array" ref="B286">IF($A286="","",_xlfn.LET(_xlpm.p,IFERROR(INDEX(tblDados[País],MATCH($A286,TRIM(tblDados[Mandante]),0)),INDEX(tblDados[País],MATCH($A286,TRIM(tblDados[Visitante]),0))),_xlpm.l,IFERROR(INDEX(tblDados[Liga],MATCH($A286,TRIM(tblDados[Mandante]),0)),INDEX(tblDados[Liga],MATCH($A286,TRIM(tblDados[Visitante]),0))),_xlpm.p&amp;" - "&amp;_xlpm.l))</f>
        <v>SWE - 2ª D Västra Götaland</v>
      </c>
      <c r="C286" s="10">
        <f t="shared" si="58"/>
        <v>3.666666666666667</v>
      </c>
      <c r="D286" s="10">
        <f t="shared" si="59"/>
        <v>3.1666666666666665</v>
      </c>
      <c r="E286" s="9" cm="1">
        <f t="array" ref="E286">IF($A286="","",SUMPRODUCT((TRIM(tblDados[Mandante])=$A286)*tblDados[Primeira_Ocorrencia]))</f>
        <v>6</v>
      </c>
      <c r="F286" s="9" cm="1">
        <f t="array" ref="F286">IF($A286="","",SUMPRODUCT((TRIM(tblDados[Visitante])=$A286)*tblDados[Primeira_Ocorrencia]))</f>
        <v>6</v>
      </c>
      <c r="G286" s="9" cm="1">
        <f t="array" ref="G286">IF($A286="","",SUMPRODUCT((TRIM(tblDados[Mandante])=$A286)*tblDados[Primeira_Ocorrencia])+SUMPRODUCT((TRIM(tblDados[Visitante])=$A286)*tblDados[Primeira_Ocorrencia]))</f>
        <v>12</v>
      </c>
      <c r="H286" s="10">
        <f t="shared" si="60"/>
        <v>1.5</v>
      </c>
      <c r="I286" s="10" cm="1">
        <f t="array" ref="I286">IF($A286="","",_xlfn.LET(_xlpm.p,IFERROR(INDEX(tblDados[País],MATCH($A286,TRIM(tblDados[Mandante]),0)),INDEX(tblDados[País],MATCH($A286,TRIM(tblDados[Visitante]),0))),_xlpm.l,IFERROR(INDEX(tblDados[Liga],MATCH($A286,TRIM(tblDados[Mandante]),0)),INDEX(tblDados[Liga],MATCH($A286,TRIM(tblDados[Visitante]),0))),IFERROR(SUMIFS(Ligas!$D$2:$D$39,Ligas!$H$2:$H$39,_xlpm.p,Ligas!$I$2:$I$39,_xlpm.l),0)))</f>
        <v>2.5</v>
      </c>
      <c r="J286" s="11" cm="1">
        <f t="array" ref="J286">IF($A286="","",IFERROR((SUMPRODUCT((TRIM(tblDados[Mandante])=$A286)*tblDados[Primeira_Ocorrencia]*(tblDados[GM_M]=0))+SUMPRODUCT((TRIM(tblDados[Visitante])=$A286)*tblDados[Primeira_Ocorrencia]*(tblDados[GM_V]=0)))/G286,0))</f>
        <v>0.25</v>
      </c>
      <c r="K286" s="11" cm="1">
        <f t="array" ref="K286">IF($A286="","",IFERROR((SUMPRODUCT((TRIM(tblDados[Mandante])=$A286)*tblDados[Primeira_Ocorrencia]*((tblDados[GM_M]+tblDados[GS_M])&gt;0.5))+SUMPRODUCT((TRIM(tblDados[Visitante])=$A286)*tblDados[Primeira_Ocorrencia]*((tblDados[GM_V]+tblDados[GS_V])&gt;0.5)))/G286,0))</f>
        <v>1</v>
      </c>
      <c r="L286" s="11" cm="1">
        <f t="array" ref="L286">IF($A286="","",IFERROR((SUMPRODUCT((TRIM(tblDados[Mandante])=$A286)*tblDados[Primeira_Ocorrencia]*((tblDados[GM_M]+tblDados[GS_M])&gt;1.5))+SUMPRODUCT((TRIM(tblDados[Visitante])=$A286)*tblDados[Primeira_Ocorrencia]*((tblDados[GM_V]+tblDados[GS_V])&gt;1.5)))/G286,0))</f>
        <v>0.66666666666666663</v>
      </c>
      <c r="M286" s="11" cm="1">
        <f t="array" ref="M286">IF($A286="","",IFERROR((SUMPRODUCT((TRIM(tblDados[Mandante])=$A286)*tblDados[Primeira_Ocorrencia]*((tblDados[GM_M]+tblDados[GS_M])&gt;2.5))+SUMPRODUCT((TRIM(tblDados[Visitante])=$A286)*tblDados[Primeira_Ocorrencia]*((tblDados[GM_V]+tblDados[GS_V])&gt;2.5)))/G286,0))</f>
        <v>0.58333333333333337</v>
      </c>
      <c r="N286" s="11" cm="1">
        <f t="array" ref="N286">IF($A286="","",IFERROR((SUMPRODUCT((TRIM(tblDados[Mandante])=$A286)*tblDados[Primeira_Ocorrencia]*((tblDados[GM_M]+tblDados[GS_M])&gt;3.5))+SUMPRODUCT((TRIM(tblDados[Visitante])=$A286)*tblDados[Primeira_Ocorrencia]*((tblDados[GM_V]+tblDados[GS_V])&gt;3.5)))/G286,0))</f>
        <v>0.58333333333333337</v>
      </c>
      <c r="O286" s="11" cm="1">
        <f t="array" ref="O286">IF($A286="","",IFERROR((SUMPRODUCT((TRIM(tblDados[Mandante])=$A286)*tblDados[Primeira_Ocorrencia]*(tblDados[GM_M]&gt;0)*(tblDados[GS_M]&gt;0))+SUMPRODUCT((TRIM(tblDados[Visitante])=$A286)*tblDados[Primeira_Ocorrencia]*(tblDados[GM_V]&gt;0)*(tblDados[GS_V]&gt;0)))/G286,0))</f>
        <v>0.58333333333333337</v>
      </c>
      <c r="P286" s="10" cm="1">
        <f t="array" ref="P286">IF($A286="","",IFERROR((SUMPRODUCT((TRIM(tblDados[Mandante])=$A286)*tblDados[Primeira_Ocorrencia]*tblDados[GM_M]^2)+SUMPRODUCT((TRIM(tblDados[Visitante])=$A286)*tblDados[Primeira_Ocorrencia]*tblDados[GM_V]^2))/G286-H286^2,0))</f>
        <v>1.5833333333333335</v>
      </c>
      <c r="Q286" s="10">
        <f t="shared" si="61"/>
        <v>1.2583057392117918</v>
      </c>
      <c r="R286" s="8" t="str">
        <f t="shared" si="62"/>
        <v>Poisson</v>
      </c>
      <c r="S286" s="10" cm="1">
        <f t="array" ref="S286">IF($A286="","",SUMPRODUCT((TRIM(tblDados[Mandante])=$A286)*tblDados[Primeira_Ocorrencia]*tblDados[GM_M]))</f>
        <v>10</v>
      </c>
      <c r="T286" s="10" cm="1">
        <f t="array" ref="T286">IF($A286="","",SUMPRODUCT((TRIM(tblDados[Visitante])=$A286)*tblDados[Primeira_Ocorrencia]*tblDados[GM_V]))</f>
        <v>8</v>
      </c>
      <c r="U286" s="10">
        <f t="shared" si="63"/>
        <v>18</v>
      </c>
      <c r="V286" s="10">
        <f t="shared" si="52"/>
        <v>1.5</v>
      </c>
      <c r="W286" s="10" cm="1">
        <f t="array" ref="W286">IF($A286="","",SUMPRODUCT((TRIM(tblDados[Mandante])=$A286)*tblDados[Primeira_Ocorrencia]*tblDados[GS_M]))</f>
        <v>12</v>
      </c>
      <c r="X286" s="10" cm="1">
        <f t="array" ref="X286">IF($A286="","",SUMPRODUCT((TRIM(tblDados[Visitante])=$A286)*tblDados[Primeira_Ocorrencia]*tblDados[GS_V]))</f>
        <v>11</v>
      </c>
      <c r="Y286" s="10">
        <f t="shared" si="64"/>
        <v>23</v>
      </c>
      <c r="Z286" s="10">
        <f t="shared" si="53"/>
        <v>1.9166666666666667</v>
      </c>
      <c r="AA286" s="10">
        <f t="shared" si="54"/>
        <v>1.6666666666666667</v>
      </c>
      <c r="AB286" s="10">
        <f t="shared" si="55"/>
        <v>2</v>
      </c>
      <c r="AC286" s="10">
        <f t="shared" si="56"/>
        <v>1.3333333333333333</v>
      </c>
      <c r="AD286" s="10">
        <f t="shared" si="57"/>
        <v>1.8333333333333333</v>
      </c>
    </row>
    <row r="287" spans="1:30" x14ac:dyDescent="0.3">
      <c r="A287" s="7" t="str">
        <v>JS Hercules</v>
      </c>
      <c r="B287" s="12" t="str" cm="1">
        <f t="array" ref="B287">IF($A287="","",_xlfn.LET(_xlpm.p,IFERROR(INDEX(tblDados[País],MATCH($A287,TRIM(tblDados[Mandante]),0)),INDEX(tblDados[País],MATCH($A287,TRIM(tblDados[Visitante]),0))),_xlpm.l,IFERROR(INDEX(tblDados[Liga],MATCH($A287,TRIM(tblDados[Mandante]),0)),INDEX(tblDados[Liga],MATCH($A287,TRIM(tblDados[Visitante]),0))),_xlpm.p&amp;" - "&amp;_xlpm.l))</f>
        <v>FIN - Kakkonen C</v>
      </c>
      <c r="C287" s="10">
        <f t="shared" si="58"/>
        <v>4.8000000000000007</v>
      </c>
      <c r="D287" s="10">
        <f t="shared" si="59"/>
        <v>3.8571428571428577</v>
      </c>
      <c r="E287" s="9" cm="1">
        <f t="array" ref="E287">IF($A287="","",SUMPRODUCT((TRIM(tblDados[Mandante])=$A287)*tblDados[Primeira_Ocorrencia]))</f>
        <v>5</v>
      </c>
      <c r="F287" s="9" cm="1">
        <f t="array" ref="F287">IF($A287="","",SUMPRODUCT((TRIM(tblDados[Visitante])=$A287)*tblDados[Primeira_Ocorrencia]))</f>
        <v>7</v>
      </c>
      <c r="G287" s="9" cm="1">
        <f t="array" ref="G287">IF($A287="","",SUMPRODUCT((TRIM(tblDados[Mandante])=$A287)*tblDados[Primeira_Ocorrencia])+SUMPRODUCT((TRIM(tblDados[Visitante])=$A287)*tblDados[Primeira_Ocorrencia]))</f>
        <v>12</v>
      </c>
      <c r="H287" s="10">
        <f t="shared" si="60"/>
        <v>1.6666666666666667</v>
      </c>
      <c r="I287" s="10" cm="1">
        <f t="array" ref="I287">IF($A287="","",_xlfn.LET(_xlpm.p,IFERROR(INDEX(tblDados[País],MATCH($A287,TRIM(tblDados[Mandante]),0)),INDEX(tblDados[País],MATCH($A287,TRIM(tblDados[Visitante]),0))),_xlpm.l,IFERROR(INDEX(tblDados[Liga],MATCH($A287,TRIM(tblDados[Mandante]),0)),INDEX(tblDados[Liga],MATCH($A287,TRIM(tblDados[Visitante]),0))),IFERROR(SUMIFS(Ligas!$D$2:$D$39,Ligas!$H$2:$H$39,_xlpm.p,Ligas!$I$2:$I$39,_xlpm.l),0)))</f>
        <v>4.32</v>
      </c>
      <c r="J287" s="11" cm="1">
        <f t="array" ref="J287">IF($A287="","",IFERROR((SUMPRODUCT((TRIM(tblDados[Mandante])=$A287)*tblDados[Primeira_Ocorrencia]*(tblDados[GM_M]=0))+SUMPRODUCT((TRIM(tblDados[Visitante])=$A287)*tblDados[Primeira_Ocorrencia]*(tblDados[GM_V]=0)))/G287,0))</f>
        <v>0.25</v>
      </c>
      <c r="K287" s="11" cm="1">
        <f t="array" ref="K287">IF($A287="","",IFERROR((SUMPRODUCT((TRIM(tblDados[Mandante])=$A287)*tblDados[Primeira_Ocorrencia]*((tblDados[GM_M]+tblDados[GS_M])&gt;0.5))+SUMPRODUCT((TRIM(tblDados[Visitante])=$A287)*tblDados[Primeira_Ocorrencia]*((tblDados[GM_V]+tblDados[GS_V])&gt;0.5)))/G287,0))</f>
        <v>0.91666666666666663</v>
      </c>
      <c r="L287" s="11" cm="1">
        <f t="array" ref="L287">IF($A287="","",IFERROR((SUMPRODUCT((TRIM(tblDados[Mandante])=$A287)*tblDados[Primeira_Ocorrencia]*((tblDados[GM_M]+tblDados[GS_M])&gt;1.5))+SUMPRODUCT((TRIM(tblDados[Visitante])=$A287)*tblDados[Primeira_Ocorrencia]*((tblDados[GM_V]+tblDados[GS_V])&gt;1.5)))/G287,0))</f>
        <v>0.83333333333333337</v>
      </c>
      <c r="M287" s="11" cm="1">
        <f t="array" ref="M287">IF($A287="","",IFERROR((SUMPRODUCT((TRIM(tblDados[Mandante])=$A287)*tblDados[Primeira_Ocorrencia]*((tblDados[GM_M]+tblDados[GS_M])&gt;2.5))+SUMPRODUCT((TRIM(tblDados[Visitante])=$A287)*tblDados[Primeira_Ocorrencia]*((tblDados[GM_V]+tblDados[GS_V])&gt;2.5)))/G287,0))</f>
        <v>0.83333333333333337</v>
      </c>
      <c r="N287" s="11" cm="1">
        <f t="array" ref="N287">IF($A287="","",IFERROR((SUMPRODUCT((TRIM(tblDados[Mandante])=$A287)*tblDados[Primeira_Ocorrencia]*((tblDados[GM_M]+tblDados[GS_M])&gt;3.5))+SUMPRODUCT((TRIM(tblDados[Visitante])=$A287)*tblDados[Primeira_Ocorrencia]*((tblDados[GM_V]+tblDados[GS_V])&gt;3.5)))/G287,0))</f>
        <v>0.5</v>
      </c>
      <c r="O287" s="11" cm="1">
        <f t="array" ref="O287">IF($A287="","",IFERROR((SUMPRODUCT((TRIM(tblDados[Mandante])=$A287)*tblDados[Primeira_Ocorrencia]*(tblDados[GM_M]&gt;0)*(tblDados[GS_M]&gt;0))+SUMPRODUCT((TRIM(tblDados[Visitante])=$A287)*tblDados[Primeira_Ocorrencia]*(tblDados[GM_V]&gt;0)*(tblDados[GS_V]&gt;0)))/G287,0))</f>
        <v>0.66666666666666663</v>
      </c>
      <c r="P287" s="10" cm="1">
        <f t="array" ref="P287">IF($A287="","",IFERROR((SUMPRODUCT((TRIM(tblDados[Mandante])=$A287)*tblDados[Primeira_Ocorrencia]*tblDados[GM_M]^2)+SUMPRODUCT((TRIM(tblDados[Visitante])=$A287)*tblDados[Primeira_Ocorrencia]*tblDados[GM_V]^2))/G287-H287^2,0))</f>
        <v>2.7222222222222219</v>
      </c>
      <c r="Q287" s="10">
        <f t="shared" si="61"/>
        <v>1.6499158227686108</v>
      </c>
      <c r="R287" s="8" t="str">
        <f t="shared" si="62"/>
        <v>Poisson</v>
      </c>
      <c r="S287" s="10" cm="1">
        <f t="array" ref="S287">IF($A287="","",SUMPRODUCT((TRIM(tblDados[Mandante])=$A287)*tblDados[Primeira_Ocorrencia]*tblDados[GM_M]))</f>
        <v>11</v>
      </c>
      <c r="T287" s="10" cm="1">
        <f t="array" ref="T287">IF($A287="","",SUMPRODUCT((TRIM(tblDados[Visitante])=$A287)*tblDados[Primeira_Ocorrencia]*tblDados[GM_V]))</f>
        <v>9</v>
      </c>
      <c r="U287" s="10">
        <f t="shared" si="63"/>
        <v>20</v>
      </c>
      <c r="V287" s="10">
        <f t="shared" si="52"/>
        <v>1.6666666666666667</v>
      </c>
      <c r="W287" s="10" cm="1">
        <f t="array" ref="W287">IF($A287="","",SUMPRODUCT((TRIM(tblDados[Mandante])=$A287)*tblDados[Primeira_Ocorrencia]*tblDados[GS_M]))</f>
        <v>13</v>
      </c>
      <c r="X287" s="10" cm="1">
        <f t="array" ref="X287">IF($A287="","",SUMPRODUCT((TRIM(tblDados[Visitante])=$A287)*tblDados[Primeira_Ocorrencia]*tblDados[GS_V]))</f>
        <v>18</v>
      </c>
      <c r="Y287" s="10">
        <f t="shared" si="64"/>
        <v>31</v>
      </c>
      <c r="Z287" s="10">
        <f t="shared" si="53"/>
        <v>2.5833333333333335</v>
      </c>
      <c r="AA287" s="10">
        <f t="shared" si="54"/>
        <v>2.2000000000000002</v>
      </c>
      <c r="AB287" s="10">
        <f t="shared" si="55"/>
        <v>2.6</v>
      </c>
      <c r="AC287" s="10">
        <f t="shared" si="56"/>
        <v>1.2857142857142858</v>
      </c>
      <c r="AD287" s="10">
        <f t="shared" si="57"/>
        <v>2.5714285714285716</v>
      </c>
    </row>
    <row r="288" spans="1:30" x14ac:dyDescent="0.3">
      <c r="A288" s="7" t="str">
        <v>KA Akureyri</v>
      </c>
      <c r="B288" s="12" t="str" cm="1">
        <f t="array" ref="B288">IF($A288="","",_xlfn.LET(_xlpm.p,IFERROR(INDEX(tblDados[País],MATCH($A288,TRIM(tblDados[Mandante]),0)),INDEX(tblDados[País],MATCH($A288,TRIM(tblDados[Visitante]),0))),_xlpm.l,IFERROR(INDEX(tblDados[Liga],MATCH($A288,TRIM(tblDados[Mandante]),0)),INDEX(tblDados[Liga],MATCH($A288,TRIM(tblDados[Visitante]),0))),_xlpm.p&amp;" - "&amp;_xlpm.l))</f>
        <v>ISL - Besta-deild karla (PL)</v>
      </c>
      <c r="C288" s="10">
        <f t="shared" si="58"/>
        <v>2.8</v>
      </c>
      <c r="D288" s="10">
        <f t="shared" si="59"/>
        <v>4.4285714285714288</v>
      </c>
      <c r="E288" s="9" cm="1">
        <f t="array" ref="E288">IF($A288="","",SUMPRODUCT((TRIM(tblDados[Mandante])=$A288)*tblDados[Primeira_Ocorrencia]))</f>
        <v>5</v>
      </c>
      <c r="F288" s="9" cm="1">
        <f t="array" ref="F288">IF($A288="","",SUMPRODUCT((TRIM(tblDados[Visitante])=$A288)*tblDados[Primeira_Ocorrencia]))</f>
        <v>7</v>
      </c>
      <c r="G288" s="9" cm="1">
        <f t="array" ref="G288">IF($A288="","",SUMPRODUCT((TRIM(tblDados[Mandante])=$A288)*tblDados[Primeira_Ocorrencia])+SUMPRODUCT((TRIM(tblDados[Visitante])=$A288)*tblDados[Primeira_Ocorrencia]))</f>
        <v>12</v>
      </c>
      <c r="H288" s="10">
        <f t="shared" si="60"/>
        <v>1.4166666666666667</v>
      </c>
      <c r="I288" s="10" cm="1">
        <f t="array" ref="I288">IF($A288="","",_xlfn.LET(_xlpm.p,IFERROR(INDEX(tblDados[País],MATCH($A288,TRIM(tblDados[Mandante]),0)),INDEX(tblDados[País],MATCH($A288,TRIM(tblDados[Visitante]),0))),_xlpm.l,IFERROR(INDEX(tblDados[Liga],MATCH($A288,TRIM(tblDados[Mandante]),0)),INDEX(tblDados[Liga],MATCH($A288,TRIM(tblDados[Visitante]),0))),IFERROR(SUMIFS(Ligas!$D$2:$D$39,Ligas!$H$2:$H$39,_xlpm.p,Ligas!$I$2:$I$39,_xlpm.l),0)))</f>
        <v>2.5</v>
      </c>
      <c r="J288" s="11" cm="1">
        <f t="array" ref="J288">IF($A288="","",IFERROR((SUMPRODUCT((TRIM(tblDados[Mandante])=$A288)*tblDados[Primeira_Ocorrencia]*(tblDados[GM_M]=0))+SUMPRODUCT((TRIM(tblDados[Visitante])=$A288)*tblDados[Primeira_Ocorrencia]*(tblDados[GM_V]=0)))/G288,0))</f>
        <v>0.33333333333333331</v>
      </c>
      <c r="K288" s="11" cm="1">
        <f t="array" ref="K288">IF($A288="","",IFERROR((SUMPRODUCT((TRIM(tblDados[Mandante])=$A288)*tblDados[Primeira_Ocorrencia]*((tblDados[GM_M]+tblDados[GS_M])&gt;0.5))+SUMPRODUCT((TRIM(tblDados[Visitante])=$A288)*tblDados[Primeira_Ocorrencia]*((tblDados[GM_V]+tblDados[GS_V])&gt;0.5)))/G288,0))</f>
        <v>0.91666666666666663</v>
      </c>
      <c r="L288" s="11" cm="1">
        <f t="array" ref="L288">IF($A288="","",IFERROR((SUMPRODUCT((TRIM(tblDados[Mandante])=$A288)*tblDados[Primeira_Ocorrencia]*((tblDados[GM_M]+tblDados[GS_M])&gt;1.5))+SUMPRODUCT((TRIM(tblDados[Visitante])=$A288)*tblDados[Primeira_Ocorrencia]*((tblDados[GM_V]+tblDados[GS_V])&gt;1.5)))/G288,0))</f>
        <v>0.75</v>
      </c>
      <c r="M288" s="11" cm="1">
        <f t="array" ref="M288">IF($A288="","",IFERROR((SUMPRODUCT((TRIM(tblDados[Mandante])=$A288)*tblDados[Primeira_Ocorrencia]*((tblDados[GM_M]+tblDados[GS_M])&gt;2.5))+SUMPRODUCT((TRIM(tblDados[Visitante])=$A288)*tblDados[Primeira_Ocorrencia]*((tblDados[GM_V]+tblDados[GS_V])&gt;2.5)))/G288,0))</f>
        <v>0.75</v>
      </c>
      <c r="N288" s="11" cm="1">
        <f t="array" ref="N288">IF($A288="","",IFERROR((SUMPRODUCT((TRIM(tblDados[Mandante])=$A288)*tblDados[Primeira_Ocorrencia]*((tblDados[GM_M]+tblDados[GS_M])&gt;3.5))+SUMPRODUCT((TRIM(tblDados[Visitante])=$A288)*tblDados[Primeira_Ocorrencia]*((tblDados[GM_V]+tblDados[GS_V])&gt;3.5)))/G288,0))</f>
        <v>0.58333333333333337</v>
      </c>
      <c r="O288" s="11" cm="1">
        <f t="array" ref="O288">IF($A288="","",IFERROR((SUMPRODUCT((TRIM(tblDados[Mandante])=$A288)*tblDados[Primeira_Ocorrencia]*(tblDados[GM_M]&gt;0)*(tblDados[GS_M]&gt;0))+SUMPRODUCT((TRIM(tblDados[Visitante])=$A288)*tblDados[Primeira_Ocorrencia]*(tblDados[GM_V]&gt;0)*(tblDados[GS_V]&gt;0)))/G288,0))</f>
        <v>0.66666666666666663</v>
      </c>
      <c r="P288" s="10" cm="1">
        <f t="array" ref="P288">IF($A288="","",IFERROR((SUMPRODUCT((TRIM(tblDados[Mandante])=$A288)*tblDados[Primeira_Ocorrencia]*tblDados[GM_M]^2)+SUMPRODUCT((TRIM(tblDados[Visitante])=$A288)*tblDados[Primeira_Ocorrencia]*tblDados[GM_V]^2))/G288-H288^2,0))</f>
        <v>1.4097222222222219</v>
      </c>
      <c r="Q288" s="10">
        <f t="shared" si="61"/>
        <v>1.1873172373979171</v>
      </c>
      <c r="R288" s="8" t="str">
        <f t="shared" si="62"/>
        <v>Poisson</v>
      </c>
      <c r="S288" s="10" cm="1">
        <f t="array" ref="S288">IF($A288="","",SUMPRODUCT((TRIM(tblDados[Mandante])=$A288)*tblDados[Primeira_Ocorrencia]*tblDados[GM_M]))</f>
        <v>6</v>
      </c>
      <c r="T288" s="10" cm="1">
        <f t="array" ref="T288">IF($A288="","",SUMPRODUCT((TRIM(tblDados[Visitante])=$A288)*tblDados[Primeira_Ocorrencia]*tblDados[GM_V]))</f>
        <v>11</v>
      </c>
      <c r="U288" s="10">
        <f t="shared" si="63"/>
        <v>17</v>
      </c>
      <c r="V288" s="10">
        <f t="shared" si="52"/>
        <v>1.4166666666666667</v>
      </c>
      <c r="W288" s="10" cm="1">
        <f t="array" ref="W288">IF($A288="","",SUMPRODUCT((TRIM(tblDados[Mandante])=$A288)*tblDados[Primeira_Ocorrencia]*tblDados[GS_M]))</f>
        <v>8</v>
      </c>
      <c r="X288" s="10" cm="1">
        <f t="array" ref="X288">IF($A288="","",SUMPRODUCT((TRIM(tblDados[Visitante])=$A288)*tblDados[Primeira_Ocorrencia]*tblDados[GS_V]))</f>
        <v>20</v>
      </c>
      <c r="Y288" s="10">
        <f t="shared" si="64"/>
        <v>28</v>
      </c>
      <c r="Z288" s="10">
        <f t="shared" si="53"/>
        <v>2.3333333333333335</v>
      </c>
      <c r="AA288" s="10">
        <f t="shared" si="54"/>
        <v>1.2</v>
      </c>
      <c r="AB288" s="10">
        <f t="shared" si="55"/>
        <v>1.6</v>
      </c>
      <c r="AC288" s="10">
        <f t="shared" si="56"/>
        <v>1.5714285714285714</v>
      </c>
      <c r="AD288" s="10">
        <f t="shared" si="57"/>
        <v>2.8571428571428572</v>
      </c>
    </row>
    <row r="289" spans="1:30" x14ac:dyDescent="0.3">
      <c r="A289" s="7" t="str">
        <v>Kalmar FF</v>
      </c>
      <c r="B289" s="12" t="str" cm="1">
        <f t="array" ref="B289">IF($A289="","",_xlfn.LET(_xlpm.p,IFERROR(INDEX(tblDados[País],MATCH($A289,TRIM(tblDados[Mandante]),0)),INDEX(tblDados[País],MATCH($A289,TRIM(tblDados[Visitante]),0))),_xlpm.l,IFERROR(INDEX(tblDados[Liga],MATCH($A289,TRIM(tblDados[Mandante]),0)),INDEX(tblDados[Liga],MATCH($A289,TRIM(tblDados[Visitante]),0))),_xlpm.p&amp;" - "&amp;_xlpm.l))</f>
        <v>SWE - Allsvenskan</v>
      </c>
      <c r="C289" s="10">
        <f t="shared" si="58"/>
        <v>3</v>
      </c>
      <c r="D289" s="10">
        <f t="shared" si="59"/>
        <v>3</v>
      </c>
      <c r="E289" s="9" cm="1">
        <f t="array" ref="E289">IF($A289="","",SUMPRODUCT((TRIM(tblDados[Mandante])=$A289)*tblDados[Primeira_Ocorrencia]))</f>
        <v>6</v>
      </c>
      <c r="F289" s="9" cm="1">
        <f t="array" ref="F289">IF($A289="","",SUMPRODUCT((TRIM(tblDados[Visitante])=$A289)*tblDados[Primeira_Ocorrencia]))</f>
        <v>6</v>
      </c>
      <c r="G289" s="9" cm="1">
        <f t="array" ref="G289">IF($A289="","",SUMPRODUCT((TRIM(tblDados[Mandante])=$A289)*tblDados[Primeira_Ocorrencia])+SUMPRODUCT((TRIM(tblDados[Visitante])=$A289)*tblDados[Primeira_Ocorrencia]))</f>
        <v>12</v>
      </c>
      <c r="H289" s="10">
        <f t="shared" si="60"/>
        <v>1.5</v>
      </c>
      <c r="I289" s="10" cm="1">
        <f t="array" ref="I289">IF($A289="","",_xlfn.LET(_xlpm.p,IFERROR(INDEX(tblDados[País],MATCH($A289,TRIM(tblDados[Mandante]),0)),INDEX(tblDados[País],MATCH($A289,TRIM(tblDados[Visitante]),0))),_xlpm.l,IFERROR(INDEX(tblDados[Liga],MATCH($A289,TRIM(tblDados[Mandante]),0)),INDEX(tblDados[Liga],MATCH($A289,TRIM(tblDados[Visitante]),0))),IFERROR(SUMIFS(Ligas!$D$2:$D$39,Ligas!$H$2:$H$39,_xlpm.p,Ligas!$I$2:$I$39,_xlpm.l),0)))</f>
        <v>2.5</v>
      </c>
      <c r="J289" s="11" cm="1">
        <f t="array" ref="J289">IF($A289="","",IFERROR((SUMPRODUCT((TRIM(tblDados[Mandante])=$A289)*tblDados[Primeira_Ocorrencia]*(tblDados[GM_M]=0))+SUMPRODUCT((TRIM(tblDados[Visitante])=$A289)*tblDados[Primeira_Ocorrencia]*(tblDados[GM_V]=0)))/G289,0))</f>
        <v>0.25</v>
      </c>
      <c r="K289" s="11" cm="1">
        <f t="array" ref="K289">IF($A289="","",IFERROR((SUMPRODUCT((TRIM(tblDados[Mandante])=$A289)*tblDados[Primeira_Ocorrencia]*((tblDados[GM_M]+tblDados[GS_M])&gt;0.5))+SUMPRODUCT((TRIM(tblDados[Visitante])=$A289)*tblDados[Primeira_Ocorrencia]*((tblDados[GM_V]+tblDados[GS_V])&gt;0.5)))/G289,0))</f>
        <v>1</v>
      </c>
      <c r="L289" s="11" cm="1">
        <f t="array" ref="L289">IF($A289="","",IFERROR((SUMPRODUCT((TRIM(tblDados[Mandante])=$A289)*tblDados[Primeira_Ocorrencia]*((tblDados[GM_M]+tblDados[GS_M])&gt;1.5))+SUMPRODUCT((TRIM(tblDados[Visitante])=$A289)*tblDados[Primeira_Ocorrencia]*((tblDados[GM_V]+tblDados[GS_V])&gt;1.5)))/G289,0))</f>
        <v>0.91666666666666663</v>
      </c>
      <c r="M289" s="11" cm="1">
        <f t="array" ref="M289">IF($A289="","",IFERROR((SUMPRODUCT((TRIM(tblDados[Mandante])=$A289)*tblDados[Primeira_Ocorrencia]*((tblDados[GM_M]+tblDados[GS_M])&gt;2.5))+SUMPRODUCT((TRIM(tblDados[Visitante])=$A289)*tblDados[Primeira_Ocorrencia]*((tblDados[GM_V]+tblDados[GS_V])&gt;2.5)))/G289,0))</f>
        <v>0.66666666666666663</v>
      </c>
      <c r="N289" s="11" cm="1">
        <f t="array" ref="N289">IF($A289="","",IFERROR((SUMPRODUCT((TRIM(tblDados[Mandante])=$A289)*tblDados[Primeira_Ocorrencia]*((tblDados[GM_M]+tblDados[GS_M])&gt;3.5))+SUMPRODUCT((TRIM(tblDados[Visitante])=$A289)*tblDados[Primeira_Ocorrencia]*((tblDados[GM_V]+tblDados[GS_V])&gt;3.5)))/G289,0))</f>
        <v>0.25</v>
      </c>
      <c r="O289" s="11" cm="1">
        <f t="array" ref="O289">IF($A289="","",IFERROR((SUMPRODUCT((TRIM(tblDados[Mandante])=$A289)*tblDados[Primeira_Ocorrencia]*(tblDados[GM_M]&gt;0)*(tblDados[GS_M]&gt;0))+SUMPRODUCT((TRIM(tblDados[Visitante])=$A289)*tblDados[Primeira_Ocorrencia]*(tblDados[GM_V]&gt;0)*(tblDados[GS_V]&gt;0)))/G289,0))</f>
        <v>0.58333333333333337</v>
      </c>
      <c r="P289" s="10" cm="1">
        <f t="array" ref="P289">IF($A289="","",IFERROR((SUMPRODUCT((TRIM(tblDados[Mandante])=$A289)*tblDados[Primeira_Ocorrencia]*tblDados[GM_M]^2)+SUMPRODUCT((TRIM(tblDados[Visitante])=$A289)*tblDados[Primeira_Ocorrencia]*tblDados[GM_V]^2))/G289-H289^2,0))</f>
        <v>0.91666666666666652</v>
      </c>
      <c r="Q289" s="10">
        <f t="shared" si="61"/>
        <v>0.95742710775633799</v>
      </c>
      <c r="R289" s="8" t="str">
        <f t="shared" si="62"/>
        <v>Poisson</v>
      </c>
      <c r="S289" s="10" cm="1">
        <f t="array" ref="S289">IF($A289="","",SUMPRODUCT((TRIM(tblDados[Mandante])=$A289)*tblDados[Primeira_Ocorrencia]*tblDados[GM_M]))</f>
        <v>13</v>
      </c>
      <c r="T289" s="10" cm="1">
        <f t="array" ref="T289">IF($A289="","",SUMPRODUCT((TRIM(tblDados[Visitante])=$A289)*tblDados[Primeira_Ocorrencia]*tblDados[GM_V]))</f>
        <v>5</v>
      </c>
      <c r="U289" s="10">
        <f t="shared" si="63"/>
        <v>18</v>
      </c>
      <c r="V289" s="10">
        <f t="shared" si="52"/>
        <v>1.5</v>
      </c>
      <c r="W289" s="10" cm="1">
        <f t="array" ref="W289">IF($A289="","",SUMPRODUCT((TRIM(tblDados[Mandante])=$A289)*tblDados[Primeira_Ocorrencia]*tblDados[GS_M]))</f>
        <v>5</v>
      </c>
      <c r="X289" s="10" cm="1">
        <f t="array" ref="X289">IF($A289="","",SUMPRODUCT((TRIM(tblDados[Visitante])=$A289)*tblDados[Primeira_Ocorrencia]*tblDados[GS_V]))</f>
        <v>13</v>
      </c>
      <c r="Y289" s="10">
        <f t="shared" si="64"/>
        <v>18</v>
      </c>
      <c r="Z289" s="10">
        <f t="shared" si="53"/>
        <v>1.5</v>
      </c>
      <c r="AA289" s="10">
        <f t="shared" si="54"/>
        <v>2.1666666666666665</v>
      </c>
      <c r="AB289" s="10">
        <f t="shared" si="55"/>
        <v>0.83333333333333337</v>
      </c>
      <c r="AC289" s="10">
        <f t="shared" si="56"/>
        <v>0.83333333333333337</v>
      </c>
      <c r="AD289" s="10">
        <f t="shared" si="57"/>
        <v>2.1666666666666665</v>
      </c>
    </row>
    <row r="290" spans="1:30" x14ac:dyDescent="0.3">
      <c r="A290" s="7" t="str">
        <v>KaPa</v>
      </c>
      <c r="B290" s="12" t="str" cm="1">
        <f t="array" ref="B290">IF($A290="","",_xlfn.LET(_xlpm.p,IFERROR(INDEX(tblDados[País],MATCH($A290,TRIM(tblDados[Mandante]),0)),INDEX(tblDados[País],MATCH($A290,TRIM(tblDados[Visitante]),0))),_xlpm.l,IFERROR(INDEX(tblDados[Liga],MATCH($A290,TRIM(tblDados[Mandante]),0)),INDEX(tblDados[Liga],MATCH($A290,TRIM(tblDados[Visitante]),0))),_xlpm.p&amp;" - "&amp;_xlpm.l))</f>
        <v>FIN - Ykkösliiga</v>
      </c>
      <c r="C290" s="10">
        <f t="shared" si="58"/>
        <v>2.4285714285714288</v>
      </c>
      <c r="D290" s="10">
        <f t="shared" si="59"/>
        <v>3</v>
      </c>
      <c r="E290" s="9" cm="1">
        <f t="array" ref="E290">IF($A290="","",SUMPRODUCT((TRIM(tblDados[Mandante])=$A290)*tblDados[Primeira_Ocorrencia]))</f>
        <v>7</v>
      </c>
      <c r="F290" s="9" cm="1">
        <f t="array" ref="F290">IF($A290="","",SUMPRODUCT((TRIM(tblDados[Visitante])=$A290)*tblDados[Primeira_Ocorrencia]))</f>
        <v>5</v>
      </c>
      <c r="G290" s="9" cm="1">
        <f t="array" ref="G290">IF($A290="","",SUMPRODUCT((TRIM(tblDados[Mandante])=$A290)*tblDados[Primeira_Ocorrencia])+SUMPRODUCT((TRIM(tblDados[Visitante])=$A290)*tblDados[Primeira_Ocorrencia]))</f>
        <v>12</v>
      </c>
      <c r="H290" s="10">
        <f t="shared" si="60"/>
        <v>0.91666666666666663</v>
      </c>
      <c r="I290" s="10" cm="1">
        <f t="array" ref="I290">IF($A290="","",_xlfn.LET(_xlpm.p,IFERROR(INDEX(tblDados[País],MATCH($A290,TRIM(tblDados[Mandante]),0)),INDEX(tblDados[País],MATCH($A290,TRIM(tblDados[Visitante]),0))),_xlpm.l,IFERROR(INDEX(tblDados[Liga],MATCH($A290,TRIM(tblDados[Mandante]),0)),INDEX(tblDados[Liga],MATCH($A290,TRIM(tblDados[Visitante]),0))),IFERROR(SUMIFS(Ligas!$D$2:$D$39,Ligas!$H$2:$H$39,_xlpm.p,Ligas!$I$2:$I$39,_xlpm.l),0)))</f>
        <v>2.5099999999999998</v>
      </c>
      <c r="J290" s="11" cm="1">
        <f t="array" ref="J290">IF($A290="","",IFERROR((SUMPRODUCT((TRIM(tblDados[Mandante])=$A290)*tblDados[Primeira_Ocorrencia]*(tblDados[GM_M]=0))+SUMPRODUCT((TRIM(tblDados[Visitante])=$A290)*tblDados[Primeira_Ocorrencia]*(tblDados[GM_V]=0)))/G290,0))</f>
        <v>0.41666666666666669</v>
      </c>
      <c r="K290" s="11" cm="1">
        <f t="array" ref="K290">IF($A290="","",IFERROR((SUMPRODUCT((TRIM(tblDados[Mandante])=$A290)*tblDados[Primeira_Ocorrencia]*((tblDados[GM_M]+tblDados[GS_M])&gt;0.5))+SUMPRODUCT((TRIM(tblDados[Visitante])=$A290)*tblDados[Primeira_Ocorrencia]*((tblDados[GM_V]+tblDados[GS_V])&gt;0.5)))/G290,0))</f>
        <v>0.91666666666666663</v>
      </c>
      <c r="L290" s="11" cm="1">
        <f t="array" ref="L290">IF($A290="","",IFERROR((SUMPRODUCT((TRIM(tblDados[Mandante])=$A290)*tblDados[Primeira_Ocorrencia]*((tblDados[GM_M]+tblDados[GS_M])&gt;1.5))+SUMPRODUCT((TRIM(tblDados[Visitante])=$A290)*tblDados[Primeira_Ocorrencia]*((tblDados[GM_V]+tblDados[GS_V])&gt;1.5)))/G290,0))</f>
        <v>0.75</v>
      </c>
      <c r="M290" s="11" cm="1">
        <f t="array" ref="M290">IF($A290="","",IFERROR((SUMPRODUCT((TRIM(tblDados[Mandante])=$A290)*tblDados[Primeira_Ocorrencia]*((tblDados[GM_M]+tblDados[GS_M])&gt;2.5))+SUMPRODUCT((TRIM(tblDados[Visitante])=$A290)*tblDados[Primeira_Ocorrencia]*((tblDados[GM_V]+tblDados[GS_V])&gt;2.5)))/G290,0))</f>
        <v>0.66666666666666663</v>
      </c>
      <c r="N290" s="11" cm="1">
        <f t="array" ref="N290">IF($A290="","",IFERROR((SUMPRODUCT((TRIM(tblDados[Mandante])=$A290)*tblDados[Primeira_Ocorrencia]*((tblDados[GM_M]+tblDados[GS_M])&gt;3.5))+SUMPRODUCT((TRIM(tblDados[Visitante])=$A290)*tblDados[Primeira_Ocorrencia]*((tblDados[GM_V]+tblDados[GS_V])&gt;3.5)))/G290,0))</f>
        <v>0.33333333333333331</v>
      </c>
      <c r="O290" s="11" cm="1">
        <f t="array" ref="O290">IF($A290="","",IFERROR((SUMPRODUCT((TRIM(tblDados[Mandante])=$A290)*tblDados[Primeira_Ocorrencia]*(tblDados[GM_M]&gt;0)*(tblDados[GS_M]&gt;0))+SUMPRODUCT((TRIM(tblDados[Visitante])=$A290)*tblDados[Primeira_Ocorrencia]*(tblDados[GM_V]&gt;0)*(tblDados[GS_V]&gt;0)))/G290,0))</f>
        <v>0.58333333333333337</v>
      </c>
      <c r="P290" s="10" cm="1">
        <f t="array" ref="P290">IF($A290="","",IFERROR((SUMPRODUCT((TRIM(tblDados[Mandante])=$A290)*tblDados[Primeira_Ocorrencia]*tblDados[GM_M]^2)+SUMPRODUCT((TRIM(tblDados[Visitante])=$A290)*tblDados[Primeira_Ocorrencia]*tblDados[GM_V]^2))/G290-H290^2,0))</f>
        <v>0.90972222222222232</v>
      </c>
      <c r="Q290" s="10">
        <f t="shared" si="61"/>
        <v>0.95379359518829976</v>
      </c>
      <c r="R290" s="8" t="str">
        <f t="shared" si="62"/>
        <v>Poisson</v>
      </c>
      <c r="S290" s="10" cm="1">
        <f t="array" ref="S290">IF($A290="","",SUMPRODUCT((TRIM(tblDados[Mandante])=$A290)*tblDados[Primeira_Ocorrencia]*tblDados[GM_M]))</f>
        <v>8</v>
      </c>
      <c r="T290" s="10" cm="1">
        <f t="array" ref="T290">IF($A290="","",SUMPRODUCT((TRIM(tblDados[Visitante])=$A290)*tblDados[Primeira_Ocorrencia]*tblDados[GM_V]))</f>
        <v>3</v>
      </c>
      <c r="U290" s="10">
        <f t="shared" si="63"/>
        <v>11</v>
      </c>
      <c r="V290" s="10">
        <f t="shared" si="52"/>
        <v>0.91666666666666663</v>
      </c>
      <c r="W290" s="10" cm="1">
        <f t="array" ref="W290">IF($A290="","",SUMPRODUCT((TRIM(tblDados[Mandante])=$A290)*tblDados[Primeira_Ocorrencia]*tblDados[GS_M]))</f>
        <v>9</v>
      </c>
      <c r="X290" s="10" cm="1">
        <f t="array" ref="X290">IF($A290="","",SUMPRODUCT((TRIM(tblDados[Visitante])=$A290)*tblDados[Primeira_Ocorrencia]*tblDados[GS_V]))</f>
        <v>12</v>
      </c>
      <c r="Y290" s="10">
        <f t="shared" si="64"/>
        <v>21</v>
      </c>
      <c r="Z290" s="10">
        <f t="shared" si="53"/>
        <v>1.75</v>
      </c>
      <c r="AA290" s="10">
        <f t="shared" si="54"/>
        <v>1.1428571428571428</v>
      </c>
      <c r="AB290" s="10">
        <f t="shared" si="55"/>
        <v>1.2857142857142858</v>
      </c>
      <c r="AC290" s="10">
        <f t="shared" si="56"/>
        <v>0.6</v>
      </c>
      <c r="AD290" s="10">
        <f t="shared" si="57"/>
        <v>2.4</v>
      </c>
    </row>
    <row r="291" spans="1:30" x14ac:dyDescent="0.3">
      <c r="A291" s="7" t="str">
        <v>Karlbergs BK</v>
      </c>
      <c r="B291" s="12" t="str" cm="1">
        <f t="array" ref="B291">IF($A291="","",_xlfn.LET(_xlpm.p,IFERROR(INDEX(tblDados[País],MATCH($A291,TRIM(tblDados[Mandante]),0)),INDEX(tblDados[País],MATCH($A291,TRIM(tblDados[Visitante]),0))),_xlpm.l,IFERROR(INDEX(tblDados[Liga],MATCH($A291,TRIM(tblDados[Mandante]),0)),INDEX(tblDados[Liga],MATCH($A291,TRIM(tblDados[Visitante]),0))),_xlpm.p&amp;" - "&amp;_xlpm.l))</f>
        <v>SWE - 1ª D Norra</v>
      </c>
      <c r="C291" s="10">
        <f t="shared" si="58"/>
        <v>2.4</v>
      </c>
      <c r="D291" s="10">
        <f t="shared" si="59"/>
        <v>3.1428571428571428</v>
      </c>
      <c r="E291" s="9" cm="1">
        <f t="array" ref="E291">IF($A291="","",SUMPRODUCT((TRIM(tblDados[Mandante])=$A291)*tblDados[Primeira_Ocorrencia]))</f>
        <v>5</v>
      </c>
      <c r="F291" s="9" cm="1">
        <f t="array" ref="F291">IF($A291="","",SUMPRODUCT((TRIM(tblDados[Visitante])=$A291)*tblDados[Primeira_Ocorrencia]))</f>
        <v>7</v>
      </c>
      <c r="G291" s="9" cm="1">
        <f t="array" ref="G291">IF($A291="","",SUMPRODUCT((TRIM(tblDados[Mandante])=$A291)*tblDados[Primeira_Ocorrencia])+SUMPRODUCT((TRIM(tblDados[Visitante])=$A291)*tblDados[Primeira_Ocorrencia]))</f>
        <v>12</v>
      </c>
      <c r="H291" s="10">
        <f t="shared" si="60"/>
        <v>1.4166666666666667</v>
      </c>
      <c r="I291" s="10" cm="1">
        <f t="array" ref="I291">IF($A291="","",_xlfn.LET(_xlpm.p,IFERROR(INDEX(tblDados[País],MATCH($A291,TRIM(tblDados[Mandante]),0)),INDEX(tblDados[País],MATCH($A291,TRIM(tblDados[Visitante]),0))),_xlpm.l,IFERROR(INDEX(tblDados[Liga],MATCH($A291,TRIM(tblDados[Mandante]),0)),INDEX(tblDados[Liga],MATCH($A291,TRIM(tblDados[Visitante]),0))),IFERROR(SUMIFS(Ligas!$D$2:$D$39,Ligas!$H$2:$H$39,_xlpm.p,Ligas!$I$2:$I$39,_xlpm.l),0)))</f>
        <v>2.5</v>
      </c>
      <c r="J291" s="11" cm="1">
        <f t="array" ref="J291">IF($A291="","",IFERROR((SUMPRODUCT((TRIM(tblDados[Mandante])=$A291)*tblDados[Primeira_Ocorrencia]*(tblDados[GM_M]=0))+SUMPRODUCT((TRIM(tblDados[Visitante])=$A291)*tblDados[Primeira_Ocorrencia]*(tblDados[GM_V]=0)))/G291,0))</f>
        <v>0.16666666666666666</v>
      </c>
      <c r="K291" s="11" cm="1">
        <f t="array" ref="K291">IF($A291="","",IFERROR((SUMPRODUCT((TRIM(tblDados[Mandante])=$A291)*tblDados[Primeira_Ocorrencia]*((tblDados[GM_M]+tblDados[GS_M])&gt;0.5))+SUMPRODUCT((TRIM(tblDados[Visitante])=$A291)*tblDados[Primeira_Ocorrencia]*((tblDados[GM_V]+tblDados[GS_V])&gt;0.5)))/G291,0))</f>
        <v>0.91666666666666663</v>
      </c>
      <c r="L291" s="11" cm="1">
        <f t="array" ref="L291">IF($A291="","",IFERROR((SUMPRODUCT((TRIM(tblDados[Mandante])=$A291)*tblDados[Primeira_Ocorrencia]*((tblDados[GM_M]+tblDados[GS_M])&gt;1.5))+SUMPRODUCT((TRIM(tblDados[Visitante])=$A291)*tblDados[Primeira_Ocorrencia]*((tblDados[GM_V]+tblDados[GS_V])&gt;1.5)))/G291,0))</f>
        <v>0.91666666666666663</v>
      </c>
      <c r="M291" s="11" cm="1">
        <f t="array" ref="M291">IF($A291="","",IFERROR((SUMPRODUCT((TRIM(tblDados[Mandante])=$A291)*tblDados[Primeira_Ocorrencia]*((tblDados[GM_M]+tblDados[GS_M])&gt;2.5))+SUMPRODUCT((TRIM(tblDados[Visitante])=$A291)*tblDados[Primeira_Ocorrencia]*((tblDados[GM_V]+tblDados[GS_V])&gt;2.5)))/G291,0))</f>
        <v>0.58333333333333337</v>
      </c>
      <c r="N291" s="11" cm="1">
        <f t="array" ref="N291">IF($A291="","",IFERROR((SUMPRODUCT((TRIM(tblDados[Mandante])=$A291)*tblDados[Primeira_Ocorrencia]*((tblDados[GM_M]+tblDados[GS_M])&gt;3.5))+SUMPRODUCT((TRIM(tblDados[Visitante])=$A291)*tblDados[Primeira_Ocorrencia]*((tblDados[GM_V]+tblDados[GS_V])&gt;3.5)))/G291,0))</f>
        <v>0.33333333333333331</v>
      </c>
      <c r="O291" s="11" cm="1">
        <f t="array" ref="O291">IF($A291="","",IFERROR((SUMPRODUCT((TRIM(tblDados[Mandante])=$A291)*tblDados[Primeira_Ocorrencia]*(tblDados[GM_M]&gt;0)*(tblDados[GS_M]&gt;0))+SUMPRODUCT((TRIM(tblDados[Visitante])=$A291)*tblDados[Primeira_Ocorrencia]*(tblDados[GM_V]&gt;0)*(tblDados[GS_V]&gt;0)))/G291,0))</f>
        <v>0.66666666666666663</v>
      </c>
      <c r="P291" s="10" cm="1">
        <f t="array" ref="P291">IF($A291="","",IFERROR((SUMPRODUCT((TRIM(tblDados[Mandante])=$A291)*tblDados[Primeira_Ocorrencia]*tblDados[GM_M]^2)+SUMPRODUCT((TRIM(tblDados[Visitante])=$A291)*tblDados[Primeira_Ocorrencia]*tblDados[GM_V]^2))/G291-H291^2,0))</f>
        <v>1.2430555555555554</v>
      </c>
      <c r="Q291" s="10">
        <f t="shared" si="61"/>
        <v>1.1149240133549709</v>
      </c>
      <c r="R291" s="8" t="str">
        <f t="shared" si="62"/>
        <v>Poisson</v>
      </c>
      <c r="S291" s="10" cm="1">
        <f t="array" ref="S291">IF($A291="","",SUMPRODUCT((TRIM(tblDados[Mandante])=$A291)*tblDados[Primeira_Ocorrencia]*tblDados[GM_M]))</f>
        <v>5</v>
      </c>
      <c r="T291" s="10" cm="1">
        <f t="array" ref="T291">IF($A291="","",SUMPRODUCT((TRIM(tblDados[Visitante])=$A291)*tblDados[Primeira_Ocorrencia]*tblDados[GM_V]))</f>
        <v>12</v>
      </c>
      <c r="U291" s="10">
        <f t="shared" si="63"/>
        <v>17</v>
      </c>
      <c r="V291" s="10">
        <f t="shared" si="52"/>
        <v>1.4166666666666667</v>
      </c>
      <c r="W291" s="10" cm="1">
        <f t="array" ref="W291">IF($A291="","",SUMPRODUCT((TRIM(tblDados[Mandante])=$A291)*tblDados[Primeira_Ocorrencia]*tblDados[GS_M]))</f>
        <v>7</v>
      </c>
      <c r="X291" s="10" cm="1">
        <f t="array" ref="X291">IF($A291="","",SUMPRODUCT((TRIM(tblDados[Visitante])=$A291)*tblDados[Primeira_Ocorrencia]*tblDados[GS_V]))</f>
        <v>10</v>
      </c>
      <c r="Y291" s="10">
        <f t="shared" si="64"/>
        <v>17</v>
      </c>
      <c r="Z291" s="10">
        <f t="shared" si="53"/>
        <v>1.4166666666666667</v>
      </c>
      <c r="AA291" s="10">
        <f t="shared" si="54"/>
        <v>1</v>
      </c>
      <c r="AB291" s="10">
        <f t="shared" si="55"/>
        <v>1.4</v>
      </c>
      <c r="AC291" s="10">
        <f t="shared" si="56"/>
        <v>1.7142857142857142</v>
      </c>
      <c r="AD291" s="10">
        <f t="shared" si="57"/>
        <v>1.4285714285714286</v>
      </c>
    </row>
    <row r="292" spans="1:30" x14ac:dyDescent="0.3">
      <c r="A292" s="7" t="str">
        <v>Keflavík</v>
      </c>
      <c r="B292" s="12" t="str" cm="1">
        <f t="array" ref="B292">IF($A292="","",_xlfn.LET(_xlpm.p,IFERROR(INDEX(tblDados[País],MATCH($A292,TRIM(tblDados[Mandante]),0)),INDEX(tblDados[País],MATCH($A292,TRIM(tblDados[Visitante]),0))),_xlpm.l,IFERROR(INDEX(tblDados[Liga],MATCH($A292,TRIM(tblDados[Mandante]),0)),INDEX(tblDados[Liga],MATCH($A292,TRIM(tblDados[Visitante]),0))),_xlpm.p&amp;" - "&amp;_xlpm.l))</f>
        <v>ISL - Besta-deild karla (PL)</v>
      </c>
      <c r="C292" s="10">
        <f t="shared" si="58"/>
        <v>3.2857142857142856</v>
      </c>
      <c r="D292" s="10">
        <f t="shared" si="59"/>
        <v>3.8</v>
      </c>
      <c r="E292" s="9" cm="1">
        <f t="array" ref="E292">IF($A292="","",SUMPRODUCT((TRIM(tblDados[Mandante])=$A292)*tblDados[Primeira_Ocorrencia]))</f>
        <v>7</v>
      </c>
      <c r="F292" s="9" cm="1">
        <f t="array" ref="F292">IF($A292="","",SUMPRODUCT((TRIM(tblDados[Visitante])=$A292)*tblDados[Primeira_Ocorrencia]))</f>
        <v>5</v>
      </c>
      <c r="G292" s="9" cm="1">
        <f t="array" ref="G292">IF($A292="","",SUMPRODUCT((TRIM(tblDados[Mandante])=$A292)*tblDados[Primeira_Ocorrencia])+SUMPRODUCT((TRIM(tblDados[Visitante])=$A292)*tblDados[Primeira_Ocorrencia]))</f>
        <v>12</v>
      </c>
      <c r="H292" s="10">
        <f t="shared" si="60"/>
        <v>1.5833333333333333</v>
      </c>
      <c r="I292" s="10" cm="1">
        <f t="array" ref="I292">IF($A292="","",_xlfn.LET(_xlpm.p,IFERROR(INDEX(tblDados[País],MATCH($A292,TRIM(tblDados[Mandante]),0)),INDEX(tblDados[País],MATCH($A292,TRIM(tblDados[Visitante]),0))),_xlpm.l,IFERROR(INDEX(tblDados[Liga],MATCH($A292,TRIM(tblDados[Mandante]),0)),INDEX(tblDados[Liga],MATCH($A292,TRIM(tblDados[Visitante]),0))),IFERROR(SUMIFS(Ligas!$D$2:$D$39,Ligas!$H$2:$H$39,_xlpm.p,Ligas!$I$2:$I$39,_xlpm.l),0)))</f>
        <v>2.5</v>
      </c>
      <c r="J292" s="11" cm="1">
        <f t="array" ref="J292">IF($A292="","",IFERROR((SUMPRODUCT((TRIM(tblDados[Mandante])=$A292)*tblDados[Primeira_Ocorrencia]*(tblDados[GM_M]=0))+SUMPRODUCT((TRIM(tblDados[Visitante])=$A292)*tblDados[Primeira_Ocorrencia]*(tblDados[GM_V]=0)))/G292,0))</f>
        <v>8.3333333333333329E-2</v>
      </c>
      <c r="K292" s="11" cm="1">
        <f t="array" ref="K292">IF($A292="","",IFERROR((SUMPRODUCT((TRIM(tblDados[Mandante])=$A292)*tblDados[Primeira_Ocorrencia]*((tblDados[GM_M]+tblDados[GS_M])&gt;0.5))+SUMPRODUCT((TRIM(tblDados[Visitante])=$A292)*tblDados[Primeira_Ocorrencia]*((tblDados[GM_V]+tblDados[GS_V])&gt;0.5)))/G292,0))</f>
        <v>1</v>
      </c>
      <c r="L292" s="11" cm="1">
        <f t="array" ref="L292">IF($A292="","",IFERROR((SUMPRODUCT((TRIM(tblDados[Mandante])=$A292)*tblDados[Primeira_Ocorrencia]*((tblDados[GM_M]+tblDados[GS_M])&gt;1.5))+SUMPRODUCT((TRIM(tblDados[Visitante])=$A292)*tblDados[Primeira_Ocorrencia]*((tblDados[GM_V]+tblDados[GS_V])&gt;1.5)))/G292,0))</f>
        <v>0.83333333333333337</v>
      </c>
      <c r="M292" s="11" cm="1">
        <f t="array" ref="M292">IF($A292="","",IFERROR((SUMPRODUCT((TRIM(tblDados[Mandante])=$A292)*tblDados[Primeira_Ocorrencia]*((tblDados[GM_M]+tblDados[GS_M])&gt;2.5))+SUMPRODUCT((TRIM(tblDados[Visitante])=$A292)*tblDados[Primeira_Ocorrencia]*((tblDados[GM_V]+tblDados[GS_V])&gt;2.5)))/G292,0))</f>
        <v>0.58333333333333337</v>
      </c>
      <c r="N292" s="11" cm="1">
        <f t="array" ref="N292">IF($A292="","",IFERROR((SUMPRODUCT((TRIM(tblDados[Mandante])=$A292)*tblDados[Primeira_Ocorrencia]*((tblDados[GM_M]+tblDados[GS_M])&gt;3.5))+SUMPRODUCT((TRIM(tblDados[Visitante])=$A292)*tblDados[Primeira_Ocorrencia]*((tblDados[GM_V]+tblDados[GS_V])&gt;3.5)))/G292,0))</f>
        <v>0.33333333333333331</v>
      </c>
      <c r="O292" s="11" cm="1">
        <f t="array" ref="O292">IF($A292="","",IFERROR((SUMPRODUCT((TRIM(tblDados[Mandante])=$A292)*tblDados[Primeira_Ocorrencia]*(tblDados[GM_M]&gt;0)*(tblDados[GS_M]&gt;0))+SUMPRODUCT((TRIM(tblDados[Visitante])=$A292)*tblDados[Primeira_Ocorrencia]*(tblDados[GM_V]&gt;0)*(tblDados[GS_V]&gt;0)))/G292,0))</f>
        <v>0.75</v>
      </c>
      <c r="P292" s="10" cm="1">
        <f t="array" ref="P292">IF($A292="","",IFERROR((SUMPRODUCT((TRIM(tblDados[Mandante])=$A292)*tblDados[Primeira_Ocorrencia]*tblDados[GM_M]^2)+SUMPRODUCT((TRIM(tblDados[Visitante])=$A292)*tblDados[Primeira_Ocorrencia]*tblDados[GM_V]^2))/G292-H292^2,0))</f>
        <v>1.7430555555555558</v>
      </c>
      <c r="Q292" s="10">
        <f t="shared" si="61"/>
        <v>1.3202482931462385</v>
      </c>
      <c r="R292" s="8" t="str">
        <f t="shared" si="62"/>
        <v>Poisson</v>
      </c>
      <c r="S292" s="10" cm="1">
        <f t="array" ref="S292">IF($A292="","",SUMPRODUCT((TRIM(tblDados[Mandante])=$A292)*tblDados[Primeira_Ocorrencia]*tblDados[GM_M]))</f>
        <v>15</v>
      </c>
      <c r="T292" s="10" cm="1">
        <f t="array" ref="T292">IF($A292="","",SUMPRODUCT((TRIM(tblDados[Visitante])=$A292)*tblDados[Primeira_Ocorrencia]*tblDados[GM_V]))</f>
        <v>4</v>
      </c>
      <c r="U292" s="10">
        <f t="shared" si="63"/>
        <v>19</v>
      </c>
      <c r="V292" s="10">
        <f t="shared" si="52"/>
        <v>1.5833333333333333</v>
      </c>
      <c r="W292" s="10" cm="1">
        <f t="array" ref="W292">IF($A292="","",SUMPRODUCT((TRIM(tblDados[Mandante])=$A292)*tblDados[Primeira_Ocorrencia]*tblDados[GS_M]))</f>
        <v>8</v>
      </c>
      <c r="X292" s="10" cm="1">
        <f t="array" ref="X292">IF($A292="","",SUMPRODUCT((TRIM(tblDados[Visitante])=$A292)*tblDados[Primeira_Ocorrencia]*tblDados[GS_V]))</f>
        <v>15</v>
      </c>
      <c r="Y292" s="10">
        <f t="shared" si="64"/>
        <v>23</v>
      </c>
      <c r="Z292" s="10">
        <f t="shared" si="53"/>
        <v>1.9166666666666667</v>
      </c>
      <c r="AA292" s="10">
        <f t="shared" si="54"/>
        <v>2.1428571428571428</v>
      </c>
      <c r="AB292" s="10">
        <f t="shared" si="55"/>
        <v>1.1428571428571428</v>
      </c>
      <c r="AC292" s="10">
        <f t="shared" si="56"/>
        <v>0.8</v>
      </c>
      <c r="AD292" s="10">
        <f t="shared" si="57"/>
        <v>3</v>
      </c>
    </row>
    <row r="293" spans="1:30" x14ac:dyDescent="0.3">
      <c r="A293" s="7" t="str">
        <v>KFUM-Kameratene Oslo</v>
      </c>
      <c r="B293" s="12" t="str" cm="1">
        <f t="array" ref="B293">IF($A293="","",_xlfn.LET(_xlpm.p,IFERROR(INDEX(tblDados[País],MATCH($A293,TRIM(tblDados[Mandante]),0)),INDEX(tblDados[País],MATCH($A293,TRIM(tblDados[Visitante]),0))),_xlpm.l,IFERROR(INDEX(tblDados[Liga],MATCH($A293,TRIM(tblDados[Mandante]),0)),INDEX(tblDados[Liga],MATCH($A293,TRIM(tblDados[Visitante]),0))),_xlpm.p&amp;" - "&amp;_xlpm.l))</f>
        <v>NOR - Eliteserien</v>
      </c>
      <c r="C293" s="10">
        <f t="shared" si="58"/>
        <v>2.2857142857142856</v>
      </c>
      <c r="D293" s="10">
        <f t="shared" si="59"/>
        <v>3</v>
      </c>
      <c r="E293" s="9" cm="1">
        <f t="array" ref="E293">IF($A293="","",SUMPRODUCT((TRIM(tblDados[Mandante])=$A293)*tblDados[Primeira_Ocorrencia]))</f>
        <v>7</v>
      </c>
      <c r="F293" s="9" cm="1">
        <f t="array" ref="F293">IF($A293="","",SUMPRODUCT((TRIM(tblDados[Visitante])=$A293)*tblDados[Primeira_Ocorrencia]))</f>
        <v>5</v>
      </c>
      <c r="G293" s="9" cm="1">
        <f t="array" ref="G293">IF($A293="","",SUMPRODUCT((TRIM(tblDados[Mandante])=$A293)*tblDados[Primeira_Ocorrencia])+SUMPRODUCT((TRIM(tblDados[Visitante])=$A293)*tblDados[Primeira_Ocorrencia]))</f>
        <v>12</v>
      </c>
      <c r="H293" s="10">
        <f t="shared" si="60"/>
        <v>1</v>
      </c>
      <c r="I293" s="10" cm="1">
        <f t="array" ref="I293">IF($A293="","",_xlfn.LET(_xlpm.p,IFERROR(INDEX(tblDados[País],MATCH($A293,TRIM(tblDados[Mandante]),0)),INDEX(tblDados[País],MATCH($A293,TRIM(tblDados[Visitante]),0))),_xlpm.l,IFERROR(INDEX(tblDados[Liga],MATCH($A293,TRIM(tblDados[Mandante]),0)),INDEX(tblDados[Liga],MATCH($A293,TRIM(tblDados[Visitante]),0))),IFERROR(SUMIFS(Ligas!$D$2:$D$39,Ligas!$H$2:$H$39,_xlpm.p,Ligas!$I$2:$I$39,_xlpm.l),0)))</f>
        <v>2.5</v>
      </c>
      <c r="J293" s="11" cm="1">
        <f t="array" ref="J293">IF($A293="","",IFERROR((SUMPRODUCT((TRIM(tblDados[Mandante])=$A293)*tblDados[Primeira_Ocorrencia]*(tblDados[GM_M]=0))+SUMPRODUCT((TRIM(tblDados[Visitante])=$A293)*tblDados[Primeira_Ocorrencia]*(tblDados[GM_V]=0)))/G293,0))</f>
        <v>0.33333333333333331</v>
      </c>
      <c r="K293" s="11" cm="1">
        <f t="array" ref="K293">IF($A293="","",IFERROR((SUMPRODUCT((TRIM(tblDados[Mandante])=$A293)*tblDados[Primeira_Ocorrencia]*((tblDados[GM_M]+tblDados[GS_M])&gt;0.5))+SUMPRODUCT((TRIM(tblDados[Visitante])=$A293)*tblDados[Primeira_Ocorrencia]*((tblDados[GM_V]+tblDados[GS_V])&gt;0.5)))/G293,0))</f>
        <v>0.91666666666666663</v>
      </c>
      <c r="L293" s="11" cm="1">
        <f t="array" ref="L293">IF($A293="","",IFERROR((SUMPRODUCT((TRIM(tblDados[Mandante])=$A293)*tblDados[Primeira_Ocorrencia]*((tblDados[GM_M]+tblDados[GS_M])&gt;1.5))+SUMPRODUCT((TRIM(tblDados[Visitante])=$A293)*tblDados[Primeira_Ocorrencia]*((tblDados[GM_V]+tblDados[GS_V])&gt;1.5)))/G293,0))</f>
        <v>0.75</v>
      </c>
      <c r="M293" s="11" cm="1">
        <f t="array" ref="M293">IF($A293="","",IFERROR((SUMPRODUCT((TRIM(tblDados[Mandante])=$A293)*tblDados[Primeira_Ocorrencia]*((tblDados[GM_M]+tblDados[GS_M])&gt;2.5))+SUMPRODUCT((TRIM(tblDados[Visitante])=$A293)*tblDados[Primeira_Ocorrencia]*((tblDados[GM_V]+tblDados[GS_V])&gt;2.5)))/G293,0))</f>
        <v>0.5</v>
      </c>
      <c r="N293" s="11" cm="1">
        <f t="array" ref="N293">IF($A293="","",IFERROR((SUMPRODUCT((TRIM(tblDados[Mandante])=$A293)*tblDados[Primeira_Ocorrencia]*((tblDados[GM_M]+tblDados[GS_M])&gt;3.5))+SUMPRODUCT((TRIM(tblDados[Visitante])=$A293)*tblDados[Primeira_Ocorrencia]*((tblDados[GM_V]+tblDados[GS_V])&gt;3.5)))/G293,0))</f>
        <v>0.25</v>
      </c>
      <c r="O293" s="11" cm="1">
        <f t="array" ref="O293">IF($A293="","",IFERROR((SUMPRODUCT((TRIM(tblDados[Mandante])=$A293)*tblDados[Primeira_Ocorrencia]*(tblDados[GM_M]&gt;0)*(tblDados[GS_M]&gt;0))+SUMPRODUCT((TRIM(tblDados[Visitante])=$A293)*tblDados[Primeira_Ocorrencia]*(tblDados[GM_V]&gt;0)*(tblDados[GS_V]&gt;0)))/G293,0))</f>
        <v>0.41666666666666669</v>
      </c>
      <c r="P293" s="10" cm="1">
        <f t="array" ref="P293">IF($A293="","",IFERROR((SUMPRODUCT((TRIM(tblDados[Mandante])=$A293)*tblDados[Primeira_Ocorrencia]*tblDados[GM_M]^2)+SUMPRODUCT((TRIM(tblDados[Visitante])=$A293)*tblDados[Primeira_Ocorrencia]*tblDados[GM_V]^2))/G293-H293^2,0))</f>
        <v>0.66666666666666674</v>
      </c>
      <c r="Q293" s="10">
        <f t="shared" si="61"/>
        <v>0.81649658092772603</v>
      </c>
      <c r="R293" s="8" t="str">
        <f t="shared" si="62"/>
        <v>Poisson</v>
      </c>
      <c r="S293" s="10" cm="1">
        <f t="array" ref="S293">IF($A293="","",SUMPRODUCT((TRIM(tblDados[Mandante])=$A293)*tblDados[Primeira_Ocorrencia]*tblDados[GM_M]))</f>
        <v>7</v>
      </c>
      <c r="T293" s="10" cm="1">
        <f t="array" ref="T293">IF($A293="","",SUMPRODUCT((TRIM(tblDados[Visitante])=$A293)*tblDados[Primeira_Ocorrencia]*tblDados[GM_V]))</f>
        <v>5</v>
      </c>
      <c r="U293" s="10">
        <f t="shared" si="63"/>
        <v>12</v>
      </c>
      <c r="V293" s="10">
        <f t="shared" si="52"/>
        <v>1</v>
      </c>
      <c r="W293" s="10" cm="1">
        <f t="array" ref="W293">IF($A293="","",SUMPRODUCT((TRIM(tblDados[Mandante])=$A293)*tblDados[Primeira_Ocorrencia]*tblDados[GS_M]))</f>
        <v>9</v>
      </c>
      <c r="X293" s="10" cm="1">
        <f t="array" ref="X293">IF($A293="","",SUMPRODUCT((TRIM(tblDados[Visitante])=$A293)*tblDados[Primeira_Ocorrencia]*tblDados[GS_V]))</f>
        <v>10</v>
      </c>
      <c r="Y293" s="10">
        <f t="shared" si="64"/>
        <v>19</v>
      </c>
      <c r="Z293" s="10">
        <f t="shared" si="53"/>
        <v>1.5833333333333333</v>
      </c>
      <c r="AA293" s="10">
        <f t="shared" si="54"/>
        <v>1</v>
      </c>
      <c r="AB293" s="10">
        <f t="shared" si="55"/>
        <v>1.2857142857142858</v>
      </c>
      <c r="AC293" s="10">
        <f t="shared" si="56"/>
        <v>1</v>
      </c>
      <c r="AD293" s="10">
        <f t="shared" si="57"/>
        <v>2</v>
      </c>
    </row>
    <row r="294" spans="1:30" x14ac:dyDescent="0.3">
      <c r="A294" s="7" t="str">
        <v>Klubi 04</v>
      </c>
      <c r="B294" s="12" t="str" cm="1">
        <f t="array" ref="B294">IF($A294="","",_xlfn.LET(_xlpm.p,IFERROR(INDEX(tblDados[País],MATCH($A294,TRIM(tblDados[Mandante]),0)),INDEX(tblDados[País],MATCH($A294,TRIM(tblDados[Visitante]),0))),_xlpm.l,IFERROR(INDEX(tblDados[Liga],MATCH($A294,TRIM(tblDados[Mandante]),0)),INDEX(tblDados[Liga],MATCH($A294,TRIM(tblDados[Visitante]),0))),_xlpm.p&amp;" - "&amp;_xlpm.l))</f>
        <v>FIN - Ykkösliiga</v>
      </c>
      <c r="C294" s="10">
        <f t="shared" si="58"/>
        <v>2</v>
      </c>
      <c r="D294" s="10">
        <f t="shared" si="59"/>
        <v>2.2857142857142856</v>
      </c>
      <c r="E294" s="9" cm="1">
        <f t="array" ref="E294">IF($A294="","",SUMPRODUCT((TRIM(tblDados[Mandante])=$A294)*tblDados[Primeira_Ocorrencia]))</f>
        <v>5</v>
      </c>
      <c r="F294" s="9" cm="1">
        <f t="array" ref="F294">IF($A294="","",SUMPRODUCT((TRIM(tblDados[Visitante])=$A294)*tblDados[Primeira_Ocorrencia]))</f>
        <v>7</v>
      </c>
      <c r="G294" s="9" cm="1">
        <f t="array" ref="G294">IF($A294="","",SUMPRODUCT((TRIM(tblDados[Mandante])=$A294)*tblDados[Primeira_Ocorrencia])+SUMPRODUCT((TRIM(tblDados[Visitante])=$A294)*tblDados[Primeira_Ocorrencia]))</f>
        <v>12</v>
      </c>
      <c r="H294" s="10">
        <f t="shared" si="60"/>
        <v>0.91666666666666663</v>
      </c>
      <c r="I294" s="10" cm="1">
        <f t="array" ref="I294">IF($A294="","",_xlfn.LET(_xlpm.p,IFERROR(INDEX(tblDados[País],MATCH($A294,TRIM(tblDados[Mandante]),0)),INDEX(tblDados[País],MATCH($A294,TRIM(tblDados[Visitante]),0))),_xlpm.l,IFERROR(INDEX(tblDados[Liga],MATCH($A294,TRIM(tblDados[Mandante]),0)),INDEX(tblDados[Liga],MATCH($A294,TRIM(tblDados[Visitante]),0))),IFERROR(SUMIFS(Ligas!$D$2:$D$39,Ligas!$H$2:$H$39,_xlpm.p,Ligas!$I$2:$I$39,_xlpm.l),0)))</f>
        <v>2.5099999999999998</v>
      </c>
      <c r="J294" s="11" cm="1">
        <f t="array" ref="J294">IF($A294="","",IFERROR((SUMPRODUCT((TRIM(tblDados[Mandante])=$A294)*tblDados[Primeira_Ocorrencia]*(tblDados[GM_M]=0))+SUMPRODUCT((TRIM(tblDados[Visitante])=$A294)*tblDados[Primeira_Ocorrencia]*(tblDados[GM_V]=0)))/G294,0))</f>
        <v>0.41666666666666669</v>
      </c>
      <c r="K294" s="11" cm="1">
        <f t="array" ref="K294">IF($A294="","",IFERROR((SUMPRODUCT((TRIM(tblDados[Mandante])=$A294)*tblDados[Primeira_Ocorrencia]*((tblDados[GM_M]+tblDados[GS_M])&gt;0.5))+SUMPRODUCT((TRIM(tblDados[Visitante])=$A294)*tblDados[Primeira_Ocorrencia]*((tblDados[GM_V]+tblDados[GS_V])&gt;0.5)))/G294,0))</f>
        <v>1</v>
      </c>
      <c r="L294" s="11" cm="1">
        <f t="array" ref="L294">IF($A294="","",IFERROR((SUMPRODUCT((TRIM(tblDados[Mandante])=$A294)*tblDados[Primeira_Ocorrencia]*((tblDados[GM_M]+tblDados[GS_M])&gt;1.5))+SUMPRODUCT((TRIM(tblDados[Visitante])=$A294)*tblDados[Primeira_Ocorrencia]*((tblDados[GM_V]+tblDados[GS_V])&gt;1.5)))/G294,0))</f>
        <v>0.83333333333333337</v>
      </c>
      <c r="M294" s="11" cm="1">
        <f t="array" ref="M294">IF($A294="","",IFERROR((SUMPRODUCT((TRIM(tblDados[Mandante])=$A294)*tblDados[Primeira_Ocorrencia]*((tblDados[GM_M]+tblDados[GS_M])&gt;2.5))+SUMPRODUCT((TRIM(tblDados[Visitante])=$A294)*tblDados[Primeira_Ocorrencia]*((tblDados[GM_V]+tblDados[GS_V])&gt;2.5)))/G294,0))</f>
        <v>0.16666666666666666</v>
      </c>
      <c r="N294" s="11" cm="1">
        <f t="array" ref="N294">IF($A294="","",IFERROR((SUMPRODUCT((TRIM(tblDados[Mandante])=$A294)*tblDados[Primeira_Ocorrencia]*((tblDados[GM_M]+tblDados[GS_M])&gt;3.5))+SUMPRODUCT((TRIM(tblDados[Visitante])=$A294)*tblDados[Primeira_Ocorrencia]*((tblDados[GM_V]+tblDados[GS_V])&gt;3.5)))/G294,0))</f>
        <v>0.16666666666666666</v>
      </c>
      <c r="O294" s="11" cm="1">
        <f t="array" ref="O294">IF($A294="","",IFERROR((SUMPRODUCT((TRIM(tblDados[Mandante])=$A294)*tblDados[Primeira_Ocorrencia]*(tblDados[GM_M]&gt;0)*(tblDados[GS_M]&gt;0))+SUMPRODUCT((TRIM(tblDados[Visitante])=$A294)*tblDados[Primeira_Ocorrencia]*(tblDados[GM_V]&gt;0)*(tblDados[GS_V]&gt;0)))/G294,0))</f>
        <v>0.41666666666666669</v>
      </c>
      <c r="P294" s="10" cm="1">
        <f t="array" ref="P294">IF($A294="","",IFERROR((SUMPRODUCT((TRIM(tblDados[Mandante])=$A294)*tblDados[Primeira_Ocorrencia]*tblDados[GM_M]^2)+SUMPRODUCT((TRIM(tblDados[Visitante])=$A294)*tblDados[Primeira_Ocorrencia]*tblDados[GM_V]^2))/G294-H294^2,0))</f>
        <v>0.74305555555555558</v>
      </c>
      <c r="Q294" s="10">
        <f t="shared" si="61"/>
        <v>0.86200670273238333</v>
      </c>
      <c r="R294" s="8" t="str">
        <f t="shared" si="62"/>
        <v>Poisson</v>
      </c>
      <c r="S294" s="10" cm="1">
        <f t="array" ref="S294">IF($A294="","",SUMPRODUCT((TRIM(tblDados[Mandante])=$A294)*tblDados[Primeira_Ocorrencia]*tblDados[GM_M]))</f>
        <v>4</v>
      </c>
      <c r="T294" s="10" cm="1">
        <f t="array" ref="T294">IF($A294="","",SUMPRODUCT((TRIM(tblDados[Visitante])=$A294)*tblDados[Primeira_Ocorrencia]*tblDados[GM_V]))</f>
        <v>7</v>
      </c>
      <c r="U294" s="10">
        <f t="shared" si="63"/>
        <v>11</v>
      </c>
      <c r="V294" s="10">
        <f t="shared" si="52"/>
        <v>0.91666666666666663</v>
      </c>
      <c r="W294" s="10" cm="1">
        <f t="array" ref="W294">IF($A294="","",SUMPRODUCT((TRIM(tblDados[Mandante])=$A294)*tblDados[Primeira_Ocorrencia]*tblDados[GS_M]))</f>
        <v>6</v>
      </c>
      <c r="X294" s="10" cm="1">
        <f t="array" ref="X294">IF($A294="","",SUMPRODUCT((TRIM(tblDados[Visitante])=$A294)*tblDados[Primeira_Ocorrencia]*tblDados[GS_V]))</f>
        <v>9</v>
      </c>
      <c r="Y294" s="10">
        <f t="shared" si="64"/>
        <v>15</v>
      </c>
      <c r="Z294" s="10">
        <f t="shared" si="53"/>
        <v>1.25</v>
      </c>
      <c r="AA294" s="10">
        <f t="shared" si="54"/>
        <v>0.8</v>
      </c>
      <c r="AB294" s="10">
        <f t="shared" si="55"/>
        <v>1.2</v>
      </c>
      <c r="AC294" s="10">
        <f t="shared" si="56"/>
        <v>1</v>
      </c>
      <c r="AD294" s="10">
        <f t="shared" si="57"/>
        <v>1.2857142857142858</v>
      </c>
    </row>
    <row r="295" spans="1:30" x14ac:dyDescent="0.3">
      <c r="A295" s="7" t="str">
        <v>Kongsvinger IL</v>
      </c>
      <c r="B295" s="12" t="str" cm="1">
        <f t="array" ref="B295">IF($A295="","",_xlfn.LET(_xlpm.p,IFERROR(INDEX(tblDados[País],MATCH($A295,TRIM(tblDados[Mandante]),0)),INDEX(tblDados[País],MATCH($A295,TRIM(tblDados[Visitante]),0))),_xlpm.l,IFERROR(INDEX(tblDados[Liga],MATCH($A295,TRIM(tblDados[Mandante]),0)),INDEX(tblDados[Liga],MATCH($A295,TRIM(tblDados[Visitante]),0))),_xlpm.p&amp;" - "&amp;_xlpm.l))</f>
        <v>NOR - OBOS-ligaen</v>
      </c>
      <c r="C295" s="10">
        <f t="shared" si="58"/>
        <v>5.6</v>
      </c>
      <c r="D295" s="10">
        <f t="shared" si="59"/>
        <v>3.7142857142857144</v>
      </c>
      <c r="E295" s="9" cm="1">
        <f t="array" ref="E295">IF($A295="","",SUMPRODUCT((TRIM(tblDados[Mandante])=$A295)*tblDados[Primeira_Ocorrencia]))</f>
        <v>5</v>
      </c>
      <c r="F295" s="9" cm="1">
        <f t="array" ref="F295">IF($A295="","",SUMPRODUCT((TRIM(tblDados[Visitante])=$A295)*tblDados[Primeira_Ocorrencia]))</f>
        <v>7</v>
      </c>
      <c r="G295" s="9" cm="1">
        <f t="array" ref="G295">IF($A295="","",SUMPRODUCT((TRIM(tblDados[Mandante])=$A295)*tblDados[Primeira_Ocorrencia])+SUMPRODUCT((TRIM(tblDados[Visitante])=$A295)*tblDados[Primeira_Ocorrencia]))</f>
        <v>12</v>
      </c>
      <c r="H295" s="10">
        <f t="shared" si="60"/>
        <v>2.75</v>
      </c>
      <c r="I295" s="10" cm="1">
        <f t="array" ref="I295">IF($A295="","",_xlfn.LET(_xlpm.p,IFERROR(INDEX(tblDados[País],MATCH($A295,TRIM(tblDados[Mandante]),0)),INDEX(tblDados[País],MATCH($A295,TRIM(tblDados[Visitante]),0))),_xlpm.l,IFERROR(INDEX(tblDados[Liga],MATCH($A295,TRIM(tblDados[Mandante]),0)),INDEX(tblDados[Liga],MATCH($A295,TRIM(tblDados[Visitante]),0))),IFERROR(SUMIFS(Ligas!$D$2:$D$39,Ligas!$H$2:$H$39,_xlpm.p,Ligas!$I$2:$I$39,_xlpm.l),0)))</f>
        <v>2.5</v>
      </c>
      <c r="J295" s="11" cm="1">
        <f t="array" ref="J295">IF($A295="","",IFERROR((SUMPRODUCT((TRIM(tblDados[Mandante])=$A295)*tblDados[Primeira_Ocorrencia]*(tblDados[GM_M]=0))+SUMPRODUCT((TRIM(tblDados[Visitante])=$A295)*tblDados[Primeira_Ocorrencia]*(tblDados[GM_V]=0)))/G295,0))</f>
        <v>8.3333333333333329E-2</v>
      </c>
      <c r="K295" s="11" cm="1">
        <f t="array" ref="K295">IF($A295="","",IFERROR((SUMPRODUCT((TRIM(tblDados[Mandante])=$A295)*tblDados[Primeira_Ocorrencia]*((tblDados[GM_M]+tblDados[GS_M])&gt;0.5))+SUMPRODUCT((TRIM(tblDados[Visitante])=$A295)*tblDados[Primeira_Ocorrencia]*((tblDados[GM_V]+tblDados[GS_V])&gt;0.5)))/G295,0))</f>
        <v>1</v>
      </c>
      <c r="L295" s="11" cm="1">
        <f t="array" ref="L295">IF($A295="","",IFERROR((SUMPRODUCT((TRIM(tblDados[Mandante])=$A295)*tblDados[Primeira_Ocorrencia]*((tblDados[GM_M]+tblDados[GS_M])&gt;1.5))+SUMPRODUCT((TRIM(tblDados[Visitante])=$A295)*tblDados[Primeira_Ocorrencia]*((tblDados[GM_V]+tblDados[GS_V])&gt;1.5)))/G295,0))</f>
        <v>1</v>
      </c>
      <c r="M295" s="11" cm="1">
        <f t="array" ref="M295">IF($A295="","",IFERROR((SUMPRODUCT((TRIM(tblDados[Mandante])=$A295)*tblDados[Primeira_Ocorrencia]*((tblDados[GM_M]+tblDados[GS_M])&gt;2.5))+SUMPRODUCT((TRIM(tblDados[Visitante])=$A295)*tblDados[Primeira_Ocorrencia]*((tblDados[GM_V]+tblDados[GS_V])&gt;2.5)))/G295,0))</f>
        <v>0.83333333333333337</v>
      </c>
      <c r="N295" s="11" cm="1">
        <f t="array" ref="N295">IF($A295="","",IFERROR((SUMPRODUCT((TRIM(tblDados[Mandante])=$A295)*tblDados[Primeira_Ocorrencia]*((tblDados[GM_M]+tblDados[GS_M])&gt;3.5))+SUMPRODUCT((TRIM(tblDados[Visitante])=$A295)*tblDados[Primeira_Ocorrencia]*((tblDados[GM_V]+tblDados[GS_V])&gt;3.5)))/G295,0))</f>
        <v>0.58333333333333337</v>
      </c>
      <c r="O295" s="11" cm="1">
        <f t="array" ref="O295">IF($A295="","",IFERROR((SUMPRODUCT((TRIM(tblDados[Mandante])=$A295)*tblDados[Primeira_Ocorrencia]*(tblDados[GM_M]&gt;0)*(tblDados[GS_M]&gt;0))+SUMPRODUCT((TRIM(tblDados[Visitante])=$A295)*tblDados[Primeira_Ocorrencia]*(tblDados[GM_V]&gt;0)*(tblDados[GS_V]&gt;0)))/G295,0))</f>
        <v>0.83333333333333337</v>
      </c>
      <c r="P295" s="10" cm="1">
        <f t="array" ref="P295">IF($A295="","",IFERROR((SUMPRODUCT((TRIM(tblDados[Mandante])=$A295)*tblDados[Primeira_Ocorrencia]*tblDados[GM_M]^2)+SUMPRODUCT((TRIM(tblDados[Visitante])=$A295)*tblDados[Primeira_Ocorrencia]*tblDados[GM_V]^2))/G295-H295^2,0))</f>
        <v>2.8541666666666661</v>
      </c>
      <c r="Q295" s="10">
        <f t="shared" si="61"/>
        <v>1.6894279110594408</v>
      </c>
      <c r="R295" s="8" t="str">
        <f t="shared" si="62"/>
        <v>Poisson</v>
      </c>
      <c r="S295" s="10" cm="1">
        <f t="array" ref="S295">IF($A295="","",SUMPRODUCT((TRIM(tblDados[Mandante])=$A295)*tblDados[Primeira_Ocorrencia]*tblDados[GM_M]))</f>
        <v>17</v>
      </c>
      <c r="T295" s="10" cm="1">
        <f t="array" ref="T295">IF($A295="","",SUMPRODUCT((TRIM(tblDados[Visitante])=$A295)*tblDados[Primeira_Ocorrencia]*tblDados[GM_V]))</f>
        <v>16</v>
      </c>
      <c r="U295" s="10">
        <f t="shared" si="63"/>
        <v>33</v>
      </c>
      <c r="V295" s="10">
        <f t="shared" si="52"/>
        <v>2.75</v>
      </c>
      <c r="W295" s="10" cm="1">
        <f t="array" ref="W295">IF($A295="","",SUMPRODUCT((TRIM(tblDados[Mandante])=$A295)*tblDados[Primeira_Ocorrencia]*tblDados[GS_M]))</f>
        <v>11</v>
      </c>
      <c r="X295" s="10" cm="1">
        <f t="array" ref="X295">IF($A295="","",SUMPRODUCT((TRIM(tblDados[Visitante])=$A295)*tblDados[Primeira_Ocorrencia]*tblDados[GS_V]))</f>
        <v>10</v>
      </c>
      <c r="Y295" s="10">
        <f t="shared" si="64"/>
        <v>21</v>
      </c>
      <c r="Z295" s="10">
        <f t="shared" si="53"/>
        <v>1.75</v>
      </c>
      <c r="AA295" s="10">
        <f t="shared" si="54"/>
        <v>3.4</v>
      </c>
      <c r="AB295" s="10">
        <f t="shared" si="55"/>
        <v>2.2000000000000002</v>
      </c>
      <c r="AC295" s="10">
        <f t="shared" si="56"/>
        <v>2.2857142857142856</v>
      </c>
      <c r="AD295" s="10">
        <f t="shared" si="57"/>
        <v>1.4285714285714286</v>
      </c>
    </row>
    <row r="296" spans="1:30" x14ac:dyDescent="0.3">
      <c r="A296" s="7" t="str">
        <v>KPV</v>
      </c>
      <c r="B296" s="12" t="str" cm="1">
        <f t="array" ref="B296">IF($A296="","",_xlfn.LET(_xlpm.p,IFERROR(INDEX(tblDados[País],MATCH($A296,TRIM(tblDados[Mandante]),0)),INDEX(tblDados[País],MATCH($A296,TRIM(tblDados[Visitante]),0))),_xlpm.l,IFERROR(INDEX(tblDados[Liga],MATCH($A296,TRIM(tblDados[Mandante]),0)),INDEX(tblDados[Liga],MATCH($A296,TRIM(tblDados[Visitante]),0))),_xlpm.p&amp;" - "&amp;_xlpm.l))</f>
        <v>FIN - Ykkönen</v>
      </c>
      <c r="C296" s="10">
        <f t="shared" si="58"/>
        <v>4</v>
      </c>
      <c r="D296" s="10">
        <f t="shared" si="59"/>
        <v>4</v>
      </c>
      <c r="E296" s="9" cm="1">
        <f t="array" ref="E296">IF($A296="","",SUMPRODUCT((TRIM(tblDados[Mandante])=$A296)*tblDados[Primeira_Ocorrencia]))</f>
        <v>7</v>
      </c>
      <c r="F296" s="9" cm="1">
        <f t="array" ref="F296">IF($A296="","",SUMPRODUCT((TRIM(tblDados[Visitante])=$A296)*tblDados[Primeira_Ocorrencia]))</f>
        <v>5</v>
      </c>
      <c r="G296" s="9" cm="1">
        <f t="array" ref="G296">IF($A296="","",SUMPRODUCT((TRIM(tblDados[Mandante])=$A296)*tblDados[Primeira_Ocorrencia])+SUMPRODUCT((TRIM(tblDados[Visitante])=$A296)*tblDados[Primeira_Ocorrencia]))</f>
        <v>12</v>
      </c>
      <c r="H296" s="10">
        <f t="shared" si="60"/>
        <v>1.25</v>
      </c>
      <c r="I296" s="10" cm="1">
        <f t="array" ref="I296">IF($A296="","",_xlfn.LET(_xlpm.p,IFERROR(INDEX(tblDados[País],MATCH($A296,TRIM(tblDados[Mandante]),0)),INDEX(tblDados[País],MATCH($A296,TRIM(tblDados[Visitante]),0))),_xlpm.l,IFERROR(INDEX(tblDados[Liga],MATCH($A296,TRIM(tblDados[Mandante]),0)),INDEX(tblDados[Liga],MATCH($A296,TRIM(tblDados[Visitante]),0))),IFERROR(SUMIFS(Ligas!$D$2:$D$39,Ligas!$H$2:$H$39,_xlpm.p,Ligas!$I$2:$I$39,_xlpm.l),0)))</f>
        <v>3.57</v>
      </c>
      <c r="J296" s="11" cm="1">
        <f t="array" ref="J296">IF($A296="","",IFERROR((SUMPRODUCT((TRIM(tblDados[Mandante])=$A296)*tblDados[Primeira_Ocorrencia]*(tblDados[GM_M]=0))+SUMPRODUCT((TRIM(tblDados[Visitante])=$A296)*tblDados[Primeira_Ocorrencia]*(tblDados[GM_V]=0)))/G296,0))</f>
        <v>0.25</v>
      </c>
      <c r="K296" s="11" cm="1">
        <f t="array" ref="K296">IF($A296="","",IFERROR((SUMPRODUCT((TRIM(tblDados[Mandante])=$A296)*tblDados[Primeira_Ocorrencia]*((tblDados[GM_M]+tblDados[GS_M])&gt;0.5))+SUMPRODUCT((TRIM(tblDados[Visitante])=$A296)*tblDados[Primeira_Ocorrencia]*((tblDados[GM_V]+tblDados[GS_V])&gt;0.5)))/G296,0))</f>
        <v>1</v>
      </c>
      <c r="L296" s="11" cm="1">
        <f t="array" ref="L296">IF($A296="","",IFERROR((SUMPRODUCT((TRIM(tblDados[Mandante])=$A296)*tblDados[Primeira_Ocorrencia]*((tblDados[GM_M]+tblDados[GS_M])&gt;1.5))+SUMPRODUCT((TRIM(tblDados[Visitante])=$A296)*tblDados[Primeira_Ocorrencia]*((tblDados[GM_V]+tblDados[GS_V])&gt;1.5)))/G296,0))</f>
        <v>0.91666666666666663</v>
      </c>
      <c r="M296" s="11" cm="1">
        <f t="array" ref="M296">IF($A296="","",IFERROR((SUMPRODUCT((TRIM(tblDados[Mandante])=$A296)*tblDados[Primeira_Ocorrencia]*((tblDados[GM_M]+tblDados[GS_M])&gt;2.5))+SUMPRODUCT((TRIM(tblDados[Visitante])=$A296)*tblDados[Primeira_Ocorrencia]*((tblDados[GM_V]+tblDados[GS_V])&gt;2.5)))/G296,0))</f>
        <v>0.83333333333333337</v>
      </c>
      <c r="N296" s="11" cm="1">
        <f t="array" ref="N296">IF($A296="","",IFERROR((SUMPRODUCT((TRIM(tblDados[Mandante])=$A296)*tblDados[Primeira_Ocorrencia]*((tblDados[GM_M]+tblDados[GS_M])&gt;3.5))+SUMPRODUCT((TRIM(tblDados[Visitante])=$A296)*tblDados[Primeira_Ocorrencia]*((tblDados[GM_V]+tblDados[GS_V])&gt;3.5)))/G296,0))</f>
        <v>0.66666666666666663</v>
      </c>
      <c r="O296" s="11" cm="1">
        <f t="array" ref="O296">IF($A296="","",IFERROR((SUMPRODUCT((TRIM(tblDados[Mandante])=$A296)*tblDados[Primeira_Ocorrencia]*(tblDados[GM_M]&gt;0)*(tblDados[GS_M]&gt;0))+SUMPRODUCT((TRIM(tblDados[Visitante])=$A296)*tblDados[Primeira_Ocorrencia]*(tblDados[GM_V]&gt;0)*(tblDados[GS_V]&gt;0)))/G296,0))</f>
        <v>0.58333333333333337</v>
      </c>
      <c r="P296" s="10" cm="1">
        <f t="array" ref="P296">IF($A296="","",IFERROR((SUMPRODUCT((TRIM(tblDados[Mandante])=$A296)*tblDados[Primeira_Ocorrencia]*tblDados[GM_M]^2)+SUMPRODUCT((TRIM(tblDados[Visitante])=$A296)*tblDados[Primeira_Ocorrencia]*tblDados[GM_V]^2))/G296-H296^2,0))</f>
        <v>1.3541666666666665</v>
      </c>
      <c r="Q296" s="10">
        <f t="shared" si="61"/>
        <v>1.1636866703140785</v>
      </c>
      <c r="R296" s="8" t="str">
        <f t="shared" si="62"/>
        <v>Poisson</v>
      </c>
      <c r="S296" s="10" cm="1">
        <f t="array" ref="S296">IF($A296="","",SUMPRODUCT((TRIM(tblDados[Mandante])=$A296)*tblDados[Primeira_Ocorrencia]*tblDados[GM_M]))</f>
        <v>12</v>
      </c>
      <c r="T296" s="10" cm="1">
        <f t="array" ref="T296">IF($A296="","",SUMPRODUCT((TRIM(tblDados[Visitante])=$A296)*tblDados[Primeira_Ocorrencia]*tblDados[GM_V]))</f>
        <v>3</v>
      </c>
      <c r="U296" s="10">
        <f t="shared" si="63"/>
        <v>15</v>
      </c>
      <c r="V296" s="10">
        <f t="shared" si="52"/>
        <v>1.25</v>
      </c>
      <c r="W296" s="10" cm="1">
        <f t="array" ref="W296">IF($A296="","",SUMPRODUCT((TRIM(tblDados[Mandante])=$A296)*tblDados[Primeira_Ocorrencia]*tblDados[GS_M]))</f>
        <v>16</v>
      </c>
      <c r="X296" s="10" cm="1">
        <f t="array" ref="X296">IF($A296="","",SUMPRODUCT((TRIM(tblDados[Visitante])=$A296)*tblDados[Primeira_Ocorrencia]*tblDados[GS_V]))</f>
        <v>17</v>
      </c>
      <c r="Y296" s="10">
        <f t="shared" si="64"/>
        <v>33</v>
      </c>
      <c r="Z296" s="10">
        <f t="shared" si="53"/>
        <v>2.75</v>
      </c>
      <c r="AA296" s="10">
        <f t="shared" si="54"/>
        <v>1.7142857142857142</v>
      </c>
      <c r="AB296" s="10">
        <f t="shared" si="55"/>
        <v>2.2857142857142856</v>
      </c>
      <c r="AC296" s="10">
        <f t="shared" si="56"/>
        <v>0.6</v>
      </c>
      <c r="AD296" s="10">
        <f t="shared" si="57"/>
        <v>3.4</v>
      </c>
    </row>
    <row r="297" spans="1:30" x14ac:dyDescent="0.3">
      <c r="A297" s="7" t="str">
        <v>KR Reykjavik (KR Reykjavík)</v>
      </c>
      <c r="B297" s="12" t="str" cm="1">
        <f t="array" ref="B297">IF($A297="","",_xlfn.LET(_xlpm.p,IFERROR(INDEX(tblDados[País],MATCH($A297,TRIM(tblDados[Mandante]),0)),INDEX(tblDados[País],MATCH($A297,TRIM(tblDados[Visitante]),0))),_xlpm.l,IFERROR(INDEX(tblDados[Liga],MATCH($A297,TRIM(tblDados[Mandante]),0)),INDEX(tblDados[Liga],MATCH($A297,TRIM(tblDados[Visitante]),0))),_xlpm.p&amp;" - "&amp;_xlpm.l))</f>
        <v>ISL - Besta-deild karla (PL)</v>
      </c>
      <c r="C297" s="10">
        <f t="shared" si="58"/>
        <v>6</v>
      </c>
      <c r="D297" s="10">
        <f t="shared" si="59"/>
        <v>4.8333333333333339</v>
      </c>
      <c r="E297" s="9" cm="1">
        <f t="array" ref="E297">IF($A297="","",SUMPRODUCT((TRIM(tblDados[Mandante])=$A297)*tblDados[Primeira_Ocorrencia]))</f>
        <v>6</v>
      </c>
      <c r="F297" s="9" cm="1">
        <f t="array" ref="F297">IF($A297="","",SUMPRODUCT((TRIM(tblDados[Visitante])=$A297)*tblDados[Primeira_Ocorrencia]))</f>
        <v>6</v>
      </c>
      <c r="G297" s="9" cm="1">
        <f t="array" ref="G297">IF($A297="","",SUMPRODUCT((TRIM(tblDados[Mandante])=$A297)*tblDados[Primeira_Ocorrencia])+SUMPRODUCT((TRIM(tblDados[Visitante])=$A297)*tblDados[Primeira_Ocorrencia]))</f>
        <v>12</v>
      </c>
      <c r="H297" s="10">
        <f t="shared" si="60"/>
        <v>3.0833333333333335</v>
      </c>
      <c r="I297" s="10" cm="1">
        <f t="array" ref="I297">IF($A297="","",_xlfn.LET(_xlpm.p,IFERROR(INDEX(tblDados[País],MATCH($A297,TRIM(tblDados[Mandante]),0)),INDEX(tblDados[País],MATCH($A297,TRIM(tblDados[Visitante]),0))),_xlpm.l,IFERROR(INDEX(tblDados[Liga],MATCH($A297,TRIM(tblDados[Mandante]),0)),INDEX(tblDados[Liga],MATCH($A297,TRIM(tblDados[Visitante]),0))),IFERROR(SUMIFS(Ligas!$D$2:$D$39,Ligas!$H$2:$H$39,_xlpm.p,Ligas!$I$2:$I$39,_xlpm.l),0)))</f>
        <v>2.5</v>
      </c>
      <c r="J297" s="11" cm="1">
        <f t="array" ref="J297">IF($A297="","",IFERROR((SUMPRODUCT((TRIM(tblDados[Mandante])=$A297)*tblDados[Primeira_Ocorrencia]*(tblDados[GM_M]=0))+SUMPRODUCT((TRIM(tblDados[Visitante])=$A297)*tblDados[Primeira_Ocorrencia]*(tblDados[GM_V]=0)))/G297,0))</f>
        <v>8.3333333333333329E-2</v>
      </c>
      <c r="K297" s="11" cm="1">
        <f t="array" ref="K297">IF($A297="","",IFERROR((SUMPRODUCT((TRIM(tblDados[Mandante])=$A297)*tblDados[Primeira_Ocorrencia]*((tblDados[GM_M]+tblDados[GS_M])&gt;0.5))+SUMPRODUCT((TRIM(tblDados[Visitante])=$A297)*tblDados[Primeira_Ocorrencia]*((tblDados[GM_V]+tblDados[GS_V])&gt;0.5)))/G297,0))</f>
        <v>1</v>
      </c>
      <c r="L297" s="11" cm="1">
        <f t="array" ref="L297">IF($A297="","",IFERROR((SUMPRODUCT((TRIM(tblDados[Mandante])=$A297)*tblDados[Primeira_Ocorrencia]*((tblDados[GM_M]+tblDados[GS_M])&gt;1.5))+SUMPRODUCT((TRIM(tblDados[Visitante])=$A297)*tblDados[Primeira_Ocorrencia]*((tblDados[GM_V]+tblDados[GS_V])&gt;1.5)))/G297,0))</f>
        <v>1</v>
      </c>
      <c r="M297" s="11" cm="1">
        <f t="array" ref="M297">IF($A297="","",IFERROR((SUMPRODUCT((TRIM(tblDados[Mandante])=$A297)*tblDados[Primeira_Ocorrencia]*((tblDados[GM_M]+tblDados[GS_M])&gt;2.5))+SUMPRODUCT((TRIM(tblDados[Visitante])=$A297)*tblDados[Primeira_Ocorrencia]*((tblDados[GM_V]+tblDados[GS_V])&gt;2.5)))/G297,0))</f>
        <v>0.83333333333333337</v>
      </c>
      <c r="N297" s="11" cm="1">
        <f t="array" ref="N297">IF($A297="","",IFERROR((SUMPRODUCT((TRIM(tblDados[Mandante])=$A297)*tblDados[Primeira_Ocorrencia]*((tblDados[GM_M]+tblDados[GS_M])&gt;3.5))+SUMPRODUCT((TRIM(tblDados[Visitante])=$A297)*tblDados[Primeira_Ocorrencia]*((tblDados[GM_V]+tblDados[GS_V])&gt;3.5)))/G297,0))</f>
        <v>0.83333333333333337</v>
      </c>
      <c r="O297" s="11" cm="1">
        <f t="array" ref="O297">IF($A297="","",IFERROR((SUMPRODUCT((TRIM(tblDados[Mandante])=$A297)*tblDados[Primeira_Ocorrencia]*(tblDados[GM_M]&gt;0)*(tblDados[GS_M]&gt;0))+SUMPRODUCT((TRIM(tblDados[Visitante])=$A297)*tblDados[Primeira_Ocorrencia]*(tblDados[GM_V]&gt;0)*(tblDados[GS_V]&gt;0)))/G297,0))</f>
        <v>0.83333333333333337</v>
      </c>
      <c r="P297" s="10" cm="1">
        <f t="array" ref="P297">IF($A297="","",IFERROR((SUMPRODUCT((TRIM(tblDados[Mandante])=$A297)*tblDados[Primeira_Ocorrencia]*tblDados[GM_M]^2)+SUMPRODUCT((TRIM(tblDados[Visitante])=$A297)*tblDados[Primeira_Ocorrencia]*tblDados[GM_V]^2))/G297-H297^2,0))</f>
        <v>2.5763888888888893</v>
      </c>
      <c r="Q297" s="10">
        <f t="shared" ref="Q297:Q299" si="77">IF($A297="","",IFERROR(SQRT(MAX(P297,0)),0))</f>
        <v>1.6051133570215186</v>
      </c>
      <c r="R297" s="8" t="str">
        <f t="shared" ref="R297:R299" si="78">IF(A297="","",IF(OR(G297&lt;5,H297=0),"Amostra Insuficiente",IF(_xlfn.CHISQ.DIST.RT(G297*P297/H297,G297-1)&lt;0.05,"Binomial Negativa","Poisson")))</f>
        <v>Poisson</v>
      </c>
      <c r="S297" s="10" cm="1">
        <f t="array" ref="S297">IF($A297="","",SUMPRODUCT((TRIM(tblDados[Mandante])=$A297)*tblDados[Primeira_Ocorrencia]*tblDados[GM_M]))</f>
        <v>25</v>
      </c>
      <c r="T297" s="10" cm="1">
        <f t="array" ref="T297">IF($A297="","",SUMPRODUCT((TRIM(tblDados[Visitante])=$A297)*tblDados[Primeira_Ocorrencia]*tblDados[GM_V]))</f>
        <v>12</v>
      </c>
      <c r="U297" s="10">
        <f t="shared" ref="U297:U299" si="79">IF($A297="","",S297+T297)</f>
        <v>37</v>
      </c>
      <c r="V297" s="10">
        <f t="shared" ref="V297:V299" si="80">IF($A297="","",IFERROR(U297/G297,0))</f>
        <v>3.0833333333333335</v>
      </c>
      <c r="W297" s="10" cm="1">
        <f t="array" ref="W297">IF($A297="","",SUMPRODUCT((TRIM(tblDados[Mandante])=$A297)*tblDados[Primeira_Ocorrencia]*tblDados[GS_M]))</f>
        <v>11</v>
      </c>
      <c r="X297" s="10" cm="1">
        <f t="array" ref="X297">IF($A297="","",SUMPRODUCT((TRIM(tblDados[Visitante])=$A297)*tblDados[Primeira_Ocorrencia]*tblDados[GS_V]))</f>
        <v>17</v>
      </c>
      <c r="Y297" s="10">
        <f t="shared" ref="Y297:Y299" si="81">IF($A297="","",W297+X297)</f>
        <v>28</v>
      </c>
      <c r="Z297" s="10">
        <f t="shared" ref="Z297:Z299" si="82">IF($A297="","",IFERROR(Y297/G297,0))</f>
        <v>2.3333333333333335</v>
      </c>
      <c r="AA297" s="10">
        <f t="shared" si="54"/>
        <v>4.166666666666667</v>
      </c>
      <c r="AB297" s="10">
        <f t="shared" si="55"/>
        <v>1.8333333333333333</v>
      </c>
      <c r="AC297" s="10">
        <f t="shared" si="56"/>
        <v>2</v>
      </c>
      <c r="AD297" s="10">
        <f t="shared" si="57"/>
        <v>2.8333333333333335</v>
      </c>
    </row>
    <row r="298" spans="1:30" x14ac:dyDescent="0.3">
      <c r="A298" s="7" t="str">
        <v>Kristianstad FC</v>
      </c>
      <c r="B298" s="12" t="str" cm="1">
        <f t="array" ref="B298">IF($A298="","",_xlfn.LET(_xlpm.p,IFERROR(INDEX(tblDados[País],MATCH($A298,TRIM(tblDados[Mandante]),0)),INDEX(tblDados[País],MATCH($A298,TRIM(tblDados[Visitante]),0))),_xlpm.l,IFERROR(INDEX(tblDados[Liga],MATCH($A298,TRIM(tblDados[Mandante]),0)),INDEX(tblDados[Liga],MATCH($A298,TRIM(tblDados[Visitante]),0))),_xlpm.p&amp;" - "&amp;_xlpm.l))</f>
        <v>SWE - 1ª D Södra</v>
      </c>
      <c r="C298" s="10">
        <f t="shared" si="58"/>
        <v>2.1666666666666665</v>
      </c>
      <c r="D298" s="10">
        <f t="shared" si="59"/>
        <v>2.666666666666667</v>
      </c>
      <c r="E298" s="9" cm="1">
        <f t="array" ref="E298">IF($A298="","",SUMPRODUCT((TRIM(tblDados[Mandante])=$A298)*tblDados[Primeira_Ocorrencia]))</f>
        <v>6</v>
      </c>
      <c r="F298" s="9" cm="1">
        <f t="array" ref="F298">IF($A298="","",SUMPRODUCT((TRIM(tblDados[Visitante])=$A298)*tblDados[Primeira_Ocorrencia]))</f>
        <v>6</v>
      </c>
      <c r="G298" s="9" cm="1">
        <f t="array" ref="G298">IF($A298="","",SUMPRODUCT((TRIM(tblDados[Mandante])=$A298)*tblDados[Primeira_Ocorrencia])+SUMPRODUCT((TRIM(tblDados[Visitante])=$A298)*tblDados[Primeira_Ocorrencia]))</f>
        <v>12</v>
      </c>
      <c r="H298" s="10">
        <f t="shared" si="60"/>
        <v>0.83333333333333337</v>
      </c>
      <c r="I298" s="10" cm="1">
        <f t="array" ref="I298">IF($A298="","",_xlfn.LET(_xlpm.p,IFERROR(INDEX(tblDados[País],MATCH($A298,TRIM(tblDados[Mandante]),0)),INDEX(tblDados[País],MATCH($A298,TRIM(tblDados[Visitante]),0))),_xlpm.l,IFERROR(INDEX(tblDados[Liga],MATCH($A298,TRIM(tblDados[Mandante]),0)),INDEX(tblDados[Liga],MATCH($A298,TRIM(tblDados[Visitante]),0))),IFERROR(SUMIFS(Ligas!$D$2:$D$39,Ligas!$H$2:$H$39,_xlpm.p,Ligas!$I$2:$I$39,_xlpm.l),0)))</f>
        <v>2.5</v>
      </c>
      <c r="J298" s="11" cm="1">
        <f t="array" ref="J298">IF($A298="","",IFERROR((SUMPRODUCT((TRIM(tblDados[Mandante])=$A298)*tblDados[Primeira_Ocorrencia]*(tblDados[GM_M]=0))+SUMPRODUCT((TRIM(tblDados[Visitante])=$A298)*tblDados[Primeira_Ocorrencia]*(tblDados[GM_V]=0)))/G298,0))</f>
        <v>0.33333333333333331</v>
      </c>
      <c r="K298" s="11" cm="1">
        <f t="array" ref="K298">IF($A298="","",IFERROR((SUMPRODUCT((TRIM(tblDados[Mandante])=$A298)*tblDados[Primeira_Ocorrencia]*((tblDados[GM_M]+tblDados[GS_M])&gt;0.5))+SUMPRODUCT((TRIM(tblDados[Visitante])=$A298)*tblDados[Primeira_Ocorrencia]*((tblDados[GM_V]+tblDados[GS_V])&gt;0.5)))/G298,0))</f>
        <v>0.91666666666666663</v>
      </c>
      <c r="L298" s="11" cm="1">
        <f t="array" ref="L298">IF($A298="","",IFERROR((SUMPRODUCT((TRIM(tblDados[Mandante])=$A298)*tblDados[Primeira_Ocorrencia]*((tblDados[GM_M]+tblDados[GS_M])&gt;1.5))+SUMPRODUCT((TRIM(tblDados[Visitante])=$A298)*tblDados[Primeira_Ocorrencia]*((tblDados[GM_V]+tblDados[GS_V])&gt;1.5)))/G298,0))</f>
        <v>0.75</v>
      </c>
      <c r="M298" s="11" cm="1">
        <f t="array" ref="M298">IF($A298="","",IFERROR((SUMPRODUCT((TRIM(tblDados[Mandante])=$A298)*tblDados[Primeira_Ocorrencia]*((tblDados[GM_M]+tblDados[GS_M])&gt;2.5))+SUMPRODUCT((TRIM(tblDados[Visitante])=$A298)*tblDados[Primeira_Ocorrencia]*((tblDados[GM_V]+tblDados[GS_V])&gt;2.5)))/G298,0))</f>
        <v>0.5</v>
      </c>
      <c r="N298" s="11" cm="1">
        <f t="array" ref="N298">IF($A298="","",IFERROR((SUMPRODUCT((TRIM(tblDados[Mandante])=$A298)*tblDados[Primeira_Ocorrencia]*((tblDados[GM_M]+tblDados[GS_M])&gt;3.5))+SUMPRODUCT((TRIM(tblDados[Visitante])=$A298)*tblDados[Primeira_Ocorrencia]*((tblDados[GM_V]+tblDados[GS_V])&gt;3.5)))/G298,0))</f>
        <v>0.16666666666666666</v>
      </c>
      <c r="O298" s="11" cm="1">
        <f t="array" ref="O298">IF($A298="","",IFERROR((SUMPRODUCT((TRIM(tblDados[Mandante])=$A298)*tblDados[Primeira_Ocorrencia]*(tblDados[GM_M]&gt;0)*(tblDados[GS_M]&gt;0))+SUMPRODUCT((TRIM(tblDados[Visitante])=$A298)*tblDados[Primeira_Ocorrencia]*(tblDados[GM_V]&gt;0)*(tblDados[GS_V]&gt;0)))/G298,0))</f>
        <v>0.5</v>
      </c>
      <c r="P298" s="10" cm="1">
        <f t="array" ref="P298">IF($A298="","",IFERROR((SUMPRODUCT((TRIM(tblDados[Mandante])=$A298)*tblDados[Primeira_Ocorrencia]*tblDados[GM_M]^2)+SUMPRODUCT((TRIM(tblDados[Visitante])=$A298)*tblDados[Primeira_Ocorrencia]*tblDados[GM_V]^2))/G298-H298^2,0))</f>
        <v>0.47222222222222221</v>
      </c>
      <c r="Q298" s="10">
        <f t="shared" si="77"/>
        <v>0.68718427093627676</v>
      </c>
      <c r="R298" s="8" t="str">
        <f t="shared" si="78"/>
        <v>Poisson</v>
      </c>
      <c r="S298" s="10" cm="1">
        <f t="array" ref="S298">IF($A298="","",SUMPRODUCT((TRIM(tblDados[Mandante])=$A298)*tblDados[Primeira_Ocorrencia]*tblDados[GM_M]))</f>
        <v>4</v>
      </c>
      <c r="T298" s="10" cm="1">
        <f t="array" ref="T298">IF($A298="","",SUMPRODUCT((TRIM(tblDados[Visitante])=$A298)*tblDados[Primeira_Ocorrencia]*tblDados[GM_V]))</f>
        <v>6</v>
      </c>
      <c r="U298" s="10">
        <f t="shared" si="79"/>
        <v>10</v>
      </c>
      <c r="V298" s="10">
        <f t="shared" si="80"/>
        <v>0.83333333333333337</v>
      </c>
      <c r="W298" s="10" cm="1">
        <f t="array" ref="W298">IF($A298="","",SUMPRODUCT((TRIM(tblDados[Mandante])=$A298)*tblDados[Primeira_Ocorrencia]*tblDados[GS_M]))</f>
        <v>9</v>
      </c>
      <c r="X298" s="10" cm="1">
        <f t="array" ref="X298">IF($A298="","",SUMPRODUCT((TRIM(tblDados[Visitante])=$A298)*tblDados[Primeira_Ocorrencia]*tblDados[GS_V]))</f>
        <v>10</v>
      </c>
      <c r="Y298" s="10">
        <f t="shared" si="81"/>
        <v>19</v>
      </c>
      <c r="Z298" s="10">
        <f t="shared" si="82"/>
        <v>1.5833333333333333</v>
      </c>
      <c r="AA298" s="10">
        <f t="shared" si="54"/>
        <v>0.66666666666666663</v>
      </c>
      <c r="AB298" s="10">
        <f t="shared" si="55"/>
        <v>1.5</v>
      </c>
      <c r="AC298" s="10">
        <f t="shared" si="56"/>
        <v>1</v>
      </c>
      <c r="AD298" s="10">
        <f t="shared" si="57"/>
        <v>1.6666666666666667</v>
      </c>
    </row>
    <row r="299" spans="1:30" x14ac:dyDescent="0.3">
      <c r="A299" s="7" t="str">
        <v>KTP</v>
      </c>
      <c r="B299" s="12" t="str" cm="1">
        <f t="array" ref="B299">IF($A299="","",_xlfn.LET(_xlpm.p,IFERROR(INDEX(tblDados[País],MATCH($A299,TRIM(tblDados[Mandante]),0)),INDEX(tblDados[País],MATCH($A299,TRIM(tblDados[Visitante]),0))),_xlpm.l,IFERROR(INDEX(tblDados[Liga],MATCH($A299,TRIM(tblDados[Mandante]),0)),INDEX(tblDados[Liga],MATCH($A299,TRIM(tblDados[Visitante]),0))),_xlpm.p&amp;" - "&amp;_xlpm.l))</f>
        <v>FIN - Ykkösliiga</v>
      </c>
      <c r="C299" s="10">
        <f t="shared" si="58"/>
        <v>3.4285714285714288</v>
      </c>
      <c r="D299" s="10">
        <f t="shared" si="59"/>
        <v>2.6</v>
      </c>
      <c r="E299" s="9" cm="1">
        <f t="array" ref="E299">IF($A299="","",SUMPRODUCT((TRIM(tblDados[Mandante])=$A299)*tblDados[Primeira_Ocorrencia]))</f>
        <v>7</v>
      </c>
      <c r="F299" s="9" cm="1">
        <f t="array" ref="F299">IF($A299="","",SUMPRODUCT((TRIM(tblDados[Visitante])=$A299)*tblDados[Primeira_Ocorrencia]))</f>
        <v>5</v>
      </c>
      <c r="G299" s="9" cm="1">
        <f t="array" ref="G299">IF($A299="","",SUMPRODUCT((TRIM(tblDados[Mandante])=$A299)*tblDados[Primeira_Ocorrencia])+SUMPRODUCT((TRIM(tblDados[Visitante])=$A299)*tblDados[Primeira_Ocorrencia]))</f>
        <v>12</v>
      </c>
      <c r="H299" s="10">
        <f t="shared" si="60"/>
        <v>2</v>
      </c>
      <c r="I299" s="10" cm="1">
        <f t="array" ref="I299">IF($A299="","",_xlfn.LET(_xlpm.p,IFERROR(INDEX(tblDados[País],MATCH($A299,TRIM(tblDados[Mandante]),0)),INDEX(tblDados[País],MATCH($A299,TRIM(tblDados[Visitante]),0))),_xlpm.l,IFERROR(INDEX(tblDados[Liga],MATCH($A299,TRIM(tblDados[Mandante]),0)),INDEX(tblDados[Liga],MATCH($A299,TRIM(tblDados[Visitante]),0))),IFERROR(SUMIFS(Ligas!$D$2:$D$39,Ligas!$H$2:$H$39,_xlpm.p,Ligas!$I$2:$I$39,_xlpm.l),0)))</f>
        <v>2.5099999999999998</v>
      </c>
      <c r="J299" s="11" cm="1">
        <f t="array" ref="J299">IF($A299="","",IFERROR((SUMPRODUCT((TRIM(tblDados[Mandante])=$A299)*tblDados[Primeira_Ocorrencia]*(tblDados[GM_M]=0))+SUMPRODUCT((TRIM(tblDados[Visitante])=$A299)*tblDados[Primeira_Ocorrencia]*(tblDados[GM_V]=0)))/G299,0))</f>
        <v>0.16666666666666666</v>
      </c>
      <c r="K299" s="11" cm="1">
        <f t="array" ref="K299">IF($A299="","",IFERROR((SUMPRODUCT((TRIM(tblDados[Mandante])=$A299)*tblDados[Primeira_Ocorrencia]*((tblDados[GM_M]+tblDados[GS_M])&gt;0.5))+SUMPRODUCT((TRIM(tblDados[Visitante])=$A299)*tblDados[Primeira_Ocorrencia]*((tblDados[GM_V]+tblDados[GS_V])&gt;0.5)))/G299,0))</f>
        <v>1</v>
      </c>
      <c r="L299" s="11" cm="1">
        <f t="array" ref="L299">IF($A299="","",IFERROR((SUMPRODUCT((TRIM(tblDados[Mandante])=$A299)*tblDados[Primeira_Ocorrencia]*((tblDados[GM_M]+tblDados[GS_M])&gt;1.5))+SUMPRODUCT((TRIM(tblDados[Visitante])=$A299)*tblDados[Primeira_Ocorrencia]*((tblDados[GM_V]+tblDados[GS_V])&gt;1.5)))/G299,0))</f>
        <v>0.66666666666666663</v>
      </c>
      <c r="M299" s="11" cm="1">
        <f t="array" ref="M299">IF($A299="","",IFERROR((SUMPRODUCT((TRIM(tblDados[Mandante])=$A299)*tblDados[Primeira_Ocorrencia]*((tblDados[GM_M]+tblDados[GS_M])&gt;2.5))+SUMPRODUCT((TRIM(tblDados[Visitante])=$A299)*tblDados[Primeira_Ocorrencia]*((tblDados[GM_V]+tblDados[GS_V])&gt;2.5)))/G299,0))</f>
        <v>0.5</v>
      </c>
      <c r="N299" s="11" cm="1">
        <f t="array" ref="N299">IF($A299="","",IFERROR((SUMPRODUCT((TRIM(tblDados[Mandante])=$A299)*tblDados[Primeira_Ocorrencia]*((tblDados[GM_M]+tblDados[GS_M])&gt;3.5))+SUMPRODUCT((TRIM(tblDados[Visitante])=$A299)*tblDados[Primeira_Ocorrencia]*((tblDados[GM_V]+tblDados[GS_V])&gt;3.5)))/G299,0))</f>
        <v>0.33333333333333331</v>
      </c>
      <c r="O299" s="11" cm="1">
        <f t="array" ref="O299">IF($A299="","",IFERROR((SUMPRODUCT((TRIM(tblDados[Mandante])=$A299)*tblDados[Primeira_Ocorrencia]*(tblDados[GM_M]&gt;0)*(tblDados[GS_M]&gt;0))+SUMPRODUCT((TRIM(tblDados[Visitante])=$A299)*tblDados[Primeira_Ocorrencia]*(tblDados[GM_V]&gt;0)*(tblDados[GS_V]&gt;0)))/G299,0))</f>
        <v>0.5</v>
      </c>
      <c r="P299" s="10" cm="1">
        <f t="array" ref="P299">IF($A299="","",IFERROR((SUMPRODUCT((TRIM(tblDados[Mandante])=$A299)*tblDados[Primeira_Ocorrencia]*tblDados[GM_M]^2)+SUMPRODUCT((TRIM(tblDados[Visitante])=$A299)*tblDados[Primeira_Ocorrencia]*tblDados[GM_V]^2))/G299-H299^2,0))</f>
        <v>2.166666666666667</v>
      </c>
      <c r="Q299" s="10">
        <f t="shared" si="77"/>
        <v>1.4719601443879746</v>
      </c>
      <c r="R299" s="8" t="str">
        <f t="shared" si="78"/>
        <v>Poisson</v>
      </c>
      <c r="S299" s="10" cm="1">
        <f t="array" ref="S299">IF($A299="","",SUMPRODUCT((TRIM(tblDados[Mandante])=$A299)*tblDados[Primeira_Ocorrencia]*tblDados[GM_M]))</f>
        <v>15</v>
      </c>
      <c r="T299" s="10" cm="1">
        <f t="array" ref="T299">IF($A299="","",SUMPRODUCT((TRIM(tblDados[Visitante])=$A299)*tblDados[Primeira_Ocorrencia]*tblDados[GM_V]))</f>
        <v>9</v>
      </c>
      <c r="U299" s="10">
        <f t="shared" si="79"/>
        <v>24</v>
      </c>
      <c r="V299" s="10">
        <f t="shared" si="80"/>
        <v>2</v>
      </c>
      <c r="W299" s="10" cm="1">
        <f t="array" ref="W299">IF($A299="","",SUMPRODUCT((TRIM(tblDados[Mandante])=$A299)*tblDados[Primeira_Ocorrencia]*tblDados[GS_M]))</f>
        <v>9</v>
      </c>
      <c r="X299" s="10" cm="1">
        <f t="array" ref="X299">IF($A299="","",SUMPRODUCT((TRIM(tblDados[Visitante])=$A299)*tblDados[Primeira_Ocorrencia]*tblDados[GS_V]))</f>
        <v>4</v>
      </c>
      <c r="Y299" s="10">
        <f t="shared" si="81"/>
        <v>13</v>
      </c>
      <c r="Z299" s="10">
        <f t="shared" si="82"/>
        <v>1.0833333333333333</v>
      </c>
      <c r="AA299" s="10">
        <f t="shared" si="54"/>
        <v>2.1428571428571428</v>
      </c>
      <c r="AB299" s="10">
        <f t="shared" si="55"/>
        <v>1.2857142857142858</v>
      </c>
      <c r="AC299" s="10">
        <f t="shared" si="56"/>
        <v>1.8</v>
      </c>
      <c r="AD299" s="10">
        <f t="shared" si="57"/>
        <v>0.8</v>
      </c>
    </row>
    <row r="300" spans="1:30" x14ac:dyDescent="0.3">
      <c r="A300" s="7" t="str">
        <v>KuPS</v>
      </c>
      <c r="B300" s="12" t="str" cm="1">
        <f t="array" ref="B300">IF($A300="","",_xlfn.LET(_xlpm.p,IFERROR(INDEX(tblDados[País],MATCH($A300,TRIM(tblDados[Mandante]),0)),INDEX(tblDados[País],MATCH($A300,TRIM(tblDados[Visitante]),0))),_xlpm.l,IFERROR(INDEX(tblDados[Liga],MATCH($A300,TRIM(tblDados[Mandante]),0)),INDEX(tblDados[Liga],MATCH($A300,TRIM(tblDados[Visitante]),0))),_xlpm.p&amp;" - "&amp;_xlpm.l))</f>
        <v>FIN - Veikkausliiga</v>
      </c>
      <c r="C300" s="10">
        <f t="shared" si="58"/>
        <v>3.1666666666666665</v>
      </c>
      <c r="D300" s="10">
        <f t="shared" si="59"/>
        <v>2.333333333333333</v>
      </c>
      <c r="E300" s="9" cm="1">
        <f t="array" ref="E300">IF($A300="","",SUMPRODUCT((TRIM(tblDados[Mandante])=$A300)*tblDados[Primeira_Ocorrencia]))</f>
        <v>6</v>
      </c>
      <c r="F300" s="9" cm="1">
        <f t="array" ref="F300">IF($A300="","",SUMPRODUCT((TRIM(tblDados[Visitante])=$A300)*tblDados[Primeira_Ocorrencia]))</f>
        <v>6</v>
      </c>
      <c r="G300" s="9" cm="1">
        <f t="array" ref="G300">IF($A300="","",SUMPRODUCT((TRIM(tblDados[Mandante])=$A300)*tblDados[Primeira_Ocorrencia])+SUMPRODUCT((TRIM(tblDados[Visitante])=$A300)*tblDados[Primeira_Ocorrencia]))</f>
        <v>12</v>
      </c>
      <c r="H300" s="10">
        <f t="shared" si="60"/>
        <v>2</v>
      </c>
      <c r="I300" s="10" cm="1">
        <f t="array" ref="I300">IF($A300="","",_xlfn.LET(_xlpm.p,IFERROR(INDEX(tblDados[País],MATCH($A300,TRIM(tblDados[Mandante]),0)),INDEX(tblDados[País],MATCH($A300,TRIM(tblDados[Visitante]),0))),_xlpm.l,IFERROR(INDEX(tblDados[Liga],MATCH($A300,TRIM(tblDados[Mandante]),0)),INDEX(tblDados[Liga],MATCH($A300,TRIM(tblDados[Visitante]),0))),IFERROR(SUMIFS(Ligas!$D$2:$D$39,Ligas!$H$2:$H$39,_xlpm.p,Ligas!$I$2:$I$39,_xlpm.l),0)))</f>
        <v>2.6</v>
      </c>
      <c r="J300" s="11" cm="1">
        <f t="array" ref="J300">IF($A300="","",IFERROR((SUMPRODUCT((TRIM(tblDados[Mandante])=$A300)*tblDados[Primeira_Ocorrencia]*(tblDados[GM_M]=0))+SUMPRODUCT((TRIM(tblDados[Visitante])=$A300)*tblDados[Primeira_Ocorrencia]*(tblDados[GM_V]=0)))/G300,0))</f>
        <v>8.3333333333333329E-2</v>
      </c>
      <c r="K300" s="11" cm="1">
        <f t="array" ref="K300">IF($A300="","",IFERROR((SUMPRODUCT((TRIM(tblDados[Mandante])=$A300)*tblDados[Primeira_Ocorrencia]*((tblDados[GM_M]+tblDados[GS_M])&gt;0.5))+SUMPRODUCT((TRIM(tblDados[Visitante])=$A300)*tblDados[Primeira_Ocorrencia]*((tblDados[GM_V]+tblDados[GS_V])&gt;0.5)))/G300,0))</f>
        <v>0.91666666666666663</v>
      </c>
      <c r="L300" s="11" cm="1">
        <f t="array" ref="L300">IF($A300="","",IFERROR((SUMPRODUCT((TRIM(tblDados[Mandante])=$A300)*tblDados[Primeira_Ocorrencia]*((tblDados[GM_M]+tblDados[GS_M])&gt;1.5))+SUMPRODUCT((TRIM(tblDados[Visitante])=$A300)*tblDados[Primeira_Ocorrencia]*((tblDados[GM_V]+tblDados[GS_V])&gt;1.5)))/G300,0))</f>
        <v>0.83333333333333337</v>
      </c>
      <c r="M300" s="11" cm="1">
        <f t="array" ref="M300">IF($A300="","",IFERROR((SUMPRODUCT((TRIM(tblDados[Mandante])=$A300)*tblDados[Primeira_Ocorrencia]*((tblDados[GM_M]+tblDados[GS_M])&gt;2.5))+SUMPRODUCT((TRIM(tblDados[Visitante])=$A300)*tblDados[Primeira_Ocorrencia]*((tblDados[GM_V]+tblDados[GS_V])&gt;2.5)))/G300,0))</f>
        <v>0.5</v>
      </c>
      <c r="N300" s="11" cm="1">
        <f t="array" ref="N300">IF($A300="","",IFERROR((SUMPRODUCT((TRIM(tblDados[Mandante])=$A300)*tblDados[Primeira_Ocorrencia]*((tblDados[GM_M]+tblDados[GS_M])&gt;3.5))+SUMPRODUCT((TRIM(tblDados[Visitante])=$A300)*tblDados[Primeira_Ocorrencia]*((tblDados[GM_V]+tblDados[GS_V])&gt;3.5)))/G300,0))</f>
        <v>0.25</v>
      </c>
      <c r="O300" s="11" cm="1">
        <f t="array" ref="O300">IF($A300="","",IFERROR((SUMPRODUCT((TRIM(tblDados[Mandante])=$A300)*tblDados[Primeira_Ocorrencia]*(tblDados[GM_M]&gt;0)*(tblDados[GS_M]&gt;0))+SUMPRODUCT((TRIM(tblDados[Visitante])=$A300)*tblDados[Primeira_Ocorrencia]*(tblDados[GM_V]&gt;0)*(tblDados[GS_V]&gt;0)))/G300,0))</f>
        <v>0.58333333333333337</v>
      </c>
      <c r="P300" s="10" cm="1">
        <f t="array" ref="P300">IF($A300="","",IFERROR((SUMPRODUCT((TRIM(tblDados[Mandante])=$A300)*tblDados[Primeira_Ocorrencia]*tblDados[GM_M]^2)+SUMPRODUCT((TRIM(tblDados[Visitante])=$A300)*tblDados[Primeira_Ocorrencia]*tblDados[GM_V]^2))/G300-H300^2,0))</f>
        <v>1.5</v>
      </c>
      <c r="Q300" s="10">
        <f t="shared" ref="Q300" si="83">IF($A300="","",IFERROR(SQRT(MAX(P300,0)),0))</f>
        <v>1.2247448713915889</v>
      </c>
      <c r="R300" s="8" t="str">
        <f t="shared" ref="R300" si="84">IF(A300="","",IF(OR(G300&lt;5,H300=0),"Amostra Insuficiente",IF(_xlfn.CHISQ.DIST.RT(G300*P300/H300,G300-1)&lt;0.05,"Binomial Negativa","Poisson")))</f>
        <v>Poisson</v>
      </c>
      <c r="S300" s="10" cm="1">
        <f t="array" ref="S300">IF($A300="","",SUMPRODUCT((TRIM(tblDados[Mandante])=$A300)*tblDados[Primeira_Ocorrencia]*tblDados[GM_M]))</f>
        <v>13</v>
      </c>
      <c r="T300" s="10" cm="1">
        <f t="array" ref="T300">IF($A300="","",SUMPRODUCT((TRIM(tblDados[Visitante])=$A300)*tblDados[Primeira_Ocorrencia]*tblDados[GM_V]))</f>
        <v>11</v>
      </c>
      <c r="U300" s="10">
        <f t="shared" ref="U300" si="85">IF($A300="","",S300+T300)</f>
        <v>24</v>
      </c>
      <c r="V300" s="10">
        <f t="shared" ref="V300" si="86">IF($A300="","",IFERROR(U300/G300,0))</f>
        <v>2</v>
      </c>
      <c r="W300" s="10" cm="1">
        <f t="array" ref="W300">IF($A300="","",SUMPRODUCT((TRIM(tblDados[Mandante])=$A300)*tblDados[Primeira_Ocorrencia]*tblDados[GS_M]))</f>
        <v>6</v>
      </c>
      <c r="X300" s="10" cm="1">
        <f t="array" ref="X300">IF($A300="","",SUMPRODUCT((TRIM(tblDados[Visitante])=$A300)*tblDados[Primeira_Ocorrencia]*tblDados[GS_V]))</f>
        <v>3</v>
      </c>
      <c r="Y300" s="10">
        <f t="shared" ref="Y300" si="87">IF($A300="","",W300+X300)</f>
        <v>9</v>
      </c>
      <c r="Z300" s="10">
        <f t="shared" ref="Z300" si="88">IF($A300="","",IFERROR(Y300/G300,0))</f>
        <v>0.75</v>
      </c>
      <c r="AA300" s="10">
        <f t="shared" si="54"/>
        <v>2.1666666666666665</v>
      </c>
      <c r="AB300" s="10">
        <f t="shared" si="55"/>
        <v>1</v>
      </c>
      <c r="AC300" s="10">
        <f t="shared" si="56"/>
        <v>1.8333333333333333</v>
      </c>
      <c r="AD300" s="10">
        <f t="shared" si="57"/>
        <v>0.5</v>
      </c>
    </row>
    <row r="301" spans="1:30" x14ac:dyDescent="0.3">
      <c r="A301" s="7" t="str">
        <v>LA Galaxy</v>
      </c>
      <c r="B301" s="12" t="str" cm="1">
        <f t="array" ref="B301">IF($A301="","",_xlfn.LET(_xlpm.p,IFERROR(INDEX(tblDados[País],MATCH($A301,TRIM(tblDados[Mandante]),0)),INDEX(tblDados[País],MATCH($A301,TRIM(tblDados[Visitante]),0))),_xlpm.l,IFERROR(INDEX(tblDados[Liga],MATCH($A301,TRIM(tblDados[Mandante]),0)),INDEX(tblDados[Liga],MATCH($A301,TRIM(tblDados[Visitante]),0))),_xlpm.p&amp;" - "&amp;_xlpm.l))</f>
        <v>USA - MLS-West</v>
      </c>
      <c r="C301" s="10">
        <f t="shared" si="58"/>
        <v>2.3333333333333335</v>
      </c>
      <c r="D301" s="10">
        <f t="shared" si="59"/>
        <v>3</v>
      </c>
      <c r="E301" s="9" cm="1">
        <f t="array" ref="E301">IF($A301="","",SUMPRODUCT((TRIM(tblDados[Mandante])=$A301)*tblDados[Primeira_Ocorrencia]))</f>
        <v>6</v>
      </c>
      <c r="F301" s="9" cm="1">
        <f t="array" ref="F301">IF($A301="","",SUMPRODUCT((TRIM(tblDados[Visitante])=$A301)*tblDados[Primeira_Ocorrencia]))</f>
        <v>6</v>
      </c>
      <c r="G301" s="9" cm="1">
        <f t="array" ref="G301">IF($A301="","",SUMPRODUCT((TRIM(tblDados[Mandante])=$A301)*tblDados[Primeira_Ocorrencia])+SUMPRODUCT((TRIM(tblDados[Visitante])=$A301)*tblDados[Primeira_Ocorrencia]))</f>
        <v>12</v>
      </c>
      <c r="H301" s="10">
        <f t="shared" si="60"/>
        <v>1.1666666666666667</v>
      </c>
      <c r="I301" s="10" cm="1">
        <f t="array" ref="I301">IF($A301="","",_xlfn.LET(_xlpm.p,IFERROR(INDEX(tblDados[País],MATCH($A301,TRIM(tblDados[Mandante]),0)),INDEX(tblDados[País],MATCH($A301,TRIM(tblDados[Visitante]),0))),_xlpm.l,IFERROR(INDEX(tblDados[Liga],MATCH($A301,TRIM(tblDados[Mandante]),0)),INDEX(tblDados[Liga],MATCH($A301,TRIM(tblDados[Visitante]),0))),IFERROR(SUMIFS(Ligas!$D$2:$D$39,Ligas!$H$2:$H$39,_xlpm.p,Ligas!$I$2:$I$39,_xlpm.l),0)))</f>
        <v>3.3</v>
      </c>
      <c r="J301" s="11" cm="1">
        <f t="array" ref="J301">IF($A301="","",IFERROR((SUMPRODUCT((TRIM(tblDados[Mandante])=$A301)*tblDados[Primeira_Ocorrencia]*(tblDados[GM_M]=0))+SUMPRODUCT((TRIM(tblDados[Visitante])=$A301)*tblDados[Primeira_Ocorrencia]*(tblDados[GM_V]=0)))/G301,0))</f>
        <v>0.16666666666666666</v>
      </c>
      <c r="K301" s="11" cm="1">
        <f t="array" ref="K301">IF($A301="","",IFERROR((SUMPRODUCT((TRIM(tblDados[Mandante])=$A301)*tblDados[Primeira_Ocorrencia]*((tblDados[GM_M]+tblDados[GS_M])&gt;0.5))+SUMPRODUCT((TRIM(tblDados[Visitante])=$A301)*tblDados[Primeira_Ocorrencia]*((tblDados[GM_V]+tblDados[GS_V])&gt;0.5)))/G301,0))</f>
        <v>0.91666666666666663</v>
      </c>
      <c r="L301" s="11" cm="1">
        <f t="array" ref="L301">IF($A301="","",IFERROR((SUMPRODUCT((TRIM(tblDados[Mandante])=$A301)*tblDados[Primeira_Ocorrencia]*((tblDados[GM_M]+tblDados[GS_M])&gt;1.5))+SUMPRODUCT((TRIM(tblDados[Visitante])=$A301)*tblDados[Primeira_Ocorrencia]*((tblDados[GM_V]+tblDados[GS_V])&gt;1.5)))/G301,0))</f>
        <v>0.91666666666666663</v>
      </c>
      <c r="M301" s="11" cm="1">
        <f t="array" ref="M301">IF($A301="","",IFERROR((SUMPRODUCT((TRIM(tblDados[Mandante])=$A301)*tblDados[Primeira_Ocorrencia]*((tblDados[GM_M]+tblDados[GS_M])&gt;2.5))+SUMPRODUCT((TRIM(tblDados[Visitante])=$A301)*tblDados[Primeira_Ocorrencia]*((tblDados[GM_V]+tblDados[GS_V])&gt;2.5)))/G301,0))</f>
        <v>0.58333333333333337</v>
      </c>
      <c r="N301" s="11" cm="1">
        <f t="array" ref="N301">IF($A301="","",IFERROR((SUMPRODUCT((TRIM(tblDados[Mandante])=$A301)*tblDados[Primeira_Ocorrencia]*((tblDados[GM_M]+tblDados[GS_M])&gt;3.5))+SUMPRODUCT((TRIM(tblDados[Visitante])=$A301)*tblDados[Primeira_Ocorrencia]*((tblDados[GM_V]+tblDados[GS_V])&gt;3.5)))/G301,0))</f>
        <v>0.25</v>
      </c>
      <c r="O301" s="11" cm="1">
        <f t="array" ref="O301">IF($A301="","",IFERROR((SUMPRODUCT((TRIM(tblDados[Mandante])=$A301)*tblDados[Primeira_Ocorrencia]*(tblDados[GM_M]&gt;0)*(tblDados[GS_M]&gt;0))+SUMPRODUCT((TRIM(tblDados[Visitante])=$A301)*tblDados[Primeira_Ocorrencia]*(tblDados[GM_V]&gt;0)*(tblDados[GS_V]&gt;0)))/G301,0))</f>
        <v>0.75</v>
      </c>
      <c r="P301" s="10" cm="1">
        <f t="array" ref="P301">IF($A301="","",IFERROR((SUMPRODUCT((TRIM(tblDados[Mandante])=$A301)*tblDados[Primeira_Ocorrencia]*tblDados[GM_M]^2)+SUMPRODUCT((TRIM(tblDados[Visitante])=$A301)*tblDados[Primeira_Ocorrencia]*tblDados[GM_V]^2))/G301-H301^2,0))</f>
        <v>0.47222222222222188</v>
      </c>
      <c r="Q301" s="10">
        <f t="shared" ref="Q301" si="89">IF($A301="","",IFERROR(SQRT(MAX(P301,0)),0))</f>
        <v>0.68718427093627654</v>
      </c>
      <c r="R301" s="8" t="str">
        <f t="shared" ref="R301" si="90">IF(A301="","",IF(OR(G301&lt;5,H301=0),"Amostra Insuficiente",IF(_xlfn.CHISQ.DIST.RT(G301*P301/H301,G301-1)&lt;0.05,"Binomial Negativa","Poisson")))</f>
        <v>Poisson</v>
      </c>
      <c r="S301" s="10" cm="1">
        <f t="array" ref="S301">IF($A301="","",SUMPRODUCT((TRIM(tblDados[Mandante])=$A301)*tblDados[Primeira_Ocorrencia]*tblDados[GM_M]))</f>
        <v>5</v>
      </c>
      <c r="T301" s="10" cm="1">
        <f t="array" ref="T301">IF($A301="","",SUMPRODUCT((TRIM(tblDados[Visitante])=$A301)*tblDados[Primeira_Ocorrencia]*tblDados[GM_V]))</f>
        <v>9</v>
      </c>
      <c r="U301" s="10">
        <f t="shared" ref="U301" si="91">IF($A301="","",S301+T301)</f>
        <v>14</v>
      </c>
      <c r="V301" s="10">
        <f t="shared" ref="V301" si="92">IF($A301="","",IFERROR(U301/G301,0))</f>
        <v>1.1666666666666667</v>
      </c>
      <c r="W301" s="10" cm="1">
        <f t="array" ref="W301">IF($A301="","",SUMPRODUCT((TRIM(tblDados[Mandante])=$A301)*tblDados[Primeira_Ocorrencia]*tblDados[GS_M]))</f>
        <v>9</v>
      </c>
      <c r="X301" s="10" cm="1">
        <f t="array" ref="X301">IF($A301="","",SUMPRODUCT((TRIM(tblDados[Visitante])=$A301)*tblDados[Primeira_Ocorrencia]*tblDados[GS_V]))</f>
        <v>9</v>
      </c>
      <c r="Y301" s="10">
        <f t="shared" ref="Y301" si="93">IF($A301="","",W301+X301)</f>
        <v>18</v>
      </c>
      <c r="Z301" s="10">
        <f t="shared" ref="Z301" si="94">IF($A301="","",IFERROR(Y301/G301,0))</f>
        <v>1.5</v>
      </c>
      <c r="AA301" s="10">
        <f t="shared" si="54"/>
        <v>0.83333333333333337</v>
      </c>
      <c r="AB301" s="10">
        <f t="shared" si="55"/>
        <v>1.5</v>
      </c>
      <c r="AC301" s="10">
        <f t="shared" si="56"/>
        <v>1.5</v>
      </c>
      <c r="AD301" s="10">
        <f t="shared" si="57"/>
        <v>1.5</v>
      </c>
    </row>
    <row r="302" spans="1:30" x14ac:dyDescent="0.3">
      <c r="A302" s="7" t="str">
        <v>Laholms FK</v>
      </c>
      <c r="B302" s="12" t="str" cm="1">
        <f t="array" ref="B302">IF($A302="","",_xlfn.LET(_xlpm.p,IFERROR(INDEX(tblDados[País],MATCH($A302,TRIM(tblDados[Mandante]),0)),INDEX(tblDados[País],MATCH($A302,TRIM(tblDados[Visitante]),0))),_xlpm.l,IFERROR(INDEX(tblDados[Liga],MATCH($A302,TRIM(tblDados[Mandante]),0)),INDEX(tblDados[Liga],MATCH($A302,TRIM(tblDados[Visitante]),0))),_xlpm.p&amp;" - "&amp;_xlpm.l))</f>
        <v>SWE - 1ª D Södra</v>
      </c>
      <c r="C302" s="10">
        <f t="shared" si="58"/>
        <v>3.8</v>
      </c>
      <c r="D302" s="10">
        <f t="shared" si="59"/>
        <v>3.5714285714285712</v>
      </c>
      <c r="E302" s="9" cm="1">
        <f t="array" ref="E302">IF($A302="","",SUMPRODUCT((TRIM(tblDados[Mandante])=$A302)*tblDados[Primeira_Ocorrencia]))</f>
        <v>5</v>
      </c>
      <c r="F302" s="9" cm="1">
        <f t="array" ref="F302">IF($A302="","",SUMPRODUCT((TRIM(tblDados[Visitante])=$A302)*tblDados[Primeira_Ocorrencia]))</f>
        <v>7</v>
      </c>
      <c r="G302" s="9" cm="1">
        <f t="array" ref="G302">IF($A302="","",SUMPRODUCT((TRIM(tblDados[Mandante])=$A302)*tblDados[Primeira_Ocorrencia])+SUMPRODUCT((TRIM(tblDados[Visitante])=$A302)*tblDados[Primeira_Ocorrencia]))</f>
        <v>12</v>
      </c>
      <c r="H302" s="10">
        <f t="shared" si="60"/>
        <v>1.75</v>
      </c>
      <c r="I302" s="10" cm="1">
        <f t="array" ref="I302">IF($A302="","",_xlfn.LET(_xlpm.p,IFERROR(INDEX(tblDados[País],MATCH($A302,TRIM(tblDados[Mandante]),0)),INDEX(tblDados[País],MATCH($A302,TRIM(tblDados[Visitante]),0))),_xlpm.l,IFERROR(INDEX(tblDados[Liga],MATCH($A302,TRIM(tblDados[Mandante]),0)),INDEX(tblDados[Liga],MATCH($A302,TRIM(tblDados[Visitante]),0))),IFERROR(SUMIFS(Ligas!$D$2:$D$39,Ligas!$H$2:$H$39,_xlpm.p,Ligas!$I$2:$I$39,_xlpm.l),0)))</f>
        <v>2.5</v>
      </c>
      <c r="J302" s="11" cm="1">
        <f t="array" ref="J302">IF($A302="","",IFERROR((SUMPRODUCT((TRIM(tblDados[Mandante])=$A302)*tblDados[Primeira_Ocorrencia]*(tblDados[GM_M]=0))+SUMPRODUCT((TRIM(tblDados[Visitante])=$A302)*tblDados[Primeira_Ocorrencia]*(tblDados[GM_V]=0)))/G302,0))</f>
        <v>8.3333333333333329E-2</v>
      </c>
      <c r="K302" s="11" cm="1">
        <f t="array" ref="K302">IF($A302="","",IFERROR((SUMPRODUCT((TRIM(tblDados[Mandante])=$A302)*tblDados[Primeira_Ocorrencia]*((tblDados[GM_M]+tblDados[GS_M])&gt;0.5))+SUMPRODUCT((TRIM(tblDados[Visitante])=$A302)*tblDados[Primeira_Ocorrencia]*((tblDados[GM_V]+tblDados[GS_V])&gt;0.5)))/G302,0))</f>
        <v>1</v>
      </c>
      <c r="L302" s="11" cm="1">
        <f t="array" ref="L302">IF($A302="","",IFERROR((SUMPRODUCT((TRIM(tblDados[Mandante])=$A302)*tblDados[Primeira_Ocorrencia]*((tblDados[GM_M]+tblDados[GS_M])&gt;1.5))+SUMPRODUCT((TRIM(tblDados[Visitante])=$A302)*tblDados[Primeira_Ocorrencia]*((tblDados[GM_V]+tblDados[GS_V])&gt;1.5)))/G302,0))</f>
        <v>0.83333333333333337</v>
      </c>
      <c r="M302" s="11" cm="1">
        <f t="array" ref="M302">IF($A302="","",IFERROR((SUMPRODUCT((TRIM(tblDados[Mandante])=$A302)*tblDados[Primeira_Ocorrencia]*((tblDados[GM_M]+tblDados[GS_M])&gt;2.5))+SUMPRODUCT((TRIM(tblDados[Visitante])=$A302)*tblDados[Primeira_Ocorrencia]*((tblDados[GM_V]+tblDados[GS_V])&gt;2.5)))/G302,0))</f>
        <v>0.83333333333333337</v>
      </c>
      <c r="N302" s="11" cm="1">
        <f t="array" ref="N302">IF($A302="","",IFERROR((SUMPRODUCT((TRIM(tblDados[Mandante])=$A302)*tblDados[Primeira_Ocorrencia]*((tblDados[GM_M]+tblDados[GS_M])&gt;3.5))+SUMPRODUCT((TRIM(tblDados[Visitante])=$A302)*tblDados[Primeira_Ocorrencia]*((tblDados[GM_V]+tblDados[GS_V])&gt;3.5)))/G302,0))</f>
        <v>0.5</v>
      </c>
      <c r="O302" s="11" cm="1">
        <f t="array" ref="O302">IF($A302="","",IFERROR((SUMPRODUCT((TRIM(tblDados[Mandante])=$A302)*tblDados[Primeira_Ocorrencia]*(tblDados[GM_M]&gt;0)*(tblDados[GS_M]&gt;0))+SUMPRODUCT((TRIM(tblDados[Visitante])=$A302)*tblDados[Primeira_Ocorrencia]*(tblDados[GM_V]&gt;0)*(tblDados[GS_V]&gt;0)))/G302,0))</f>
        <v>0.75</v>
      </c>
      <c r="P302" s="10" cm="1">
        <f t="array" ref="P302">IF($A302="","",IFERROR((SUMPRODUCT((TRIM(tblDados[Mandante])=$A302)*tblDados[Primeira_Ocorrencia]*tblDados[GM_M]^2)+SUMPRODUCT((TRIM(tblDados[Visitante])=$A302)*tblDados[Primeira_Ocorrencia]*tblDados[GM_V]^2))/G302-H302^2,0))</f>
        <v>1.1875</v>
      </c>
      <c r="Q302" s="10">
        <f t="shared" ref="Q302" si="95">IF($A302="","",IFERROR(SQRT(MAX(P302,0)),0))</f>
        <v>1.0897247358851685</v>
      </c>
      <c r="R302" s="8" t="str">
        <f t="shared" ref="R302" si="96">IF(A302="","",IF(OR(G302&lt;5,H302=0),"Amostra Insuficiente",IF(_xlfn.CHISQ.DIST.RT(G302*P302/H302,G302-1)&lt;0.05,"Binomial Negativa","Poisson")))</f>
        <v>Poisson</v>
      </c>
      <c r="S302" s="10" cm="1">
        <f t="array" ref="S302">IF($A302="","",SUMPRODUCT((TRIM(tblDados[Mandante])=$A302)*tblDados[Primeira_Ocorrencia]*tblDados[GM_M]))</f>
        <v>9</v>
      </c>
      <c r="T302" s="10" cm="1">
        <f t="array" ref="T302">IF($A302="","",SUMPRODUCT((TRIM(tblDados[Visitante])=$A302)*tblDados[Primeira_Ocorrencia]*tblDados[GM_V]))</f>
        <v>12</v>
      </c>
      <c r="U302" s="10">
        <f t="shared" ref="U302" si="97">IF($A302="","",S302+T302)</f>
        <v>21</v>
      </c>
      <c r="V302" s="10">
        <f t="shared" ref="V302" si="98">IF($A302="","",IFERROR(U302/G302,0))</f>
        <v>1.75</v>
      </c>
      <c r="W302" s="10" cm="1">
        <f t="array" ref="W302">IF($A302="","",SUMPRODUCT((TRIM(tblDados[Mandante])=$A302)*tblDados[Primeira_Ocorrencia]*tblDados[GS_M]))</f>
        <v>10</v>
      </c>
      <c r="X302" s="10" cm="1">
        <f t="array" ref="X302">IF($A302="","",SUMPRODUCT((TRIM(tblDados[Visitante])=$A302)*tblDados[Primeira_Ocorrencia]*tblDados[GS_V]))</f>
        <v>13</v>
      </c>
      <c r="Y302" s="10">
        <f t="shared" ref="Y302" si="99">IF($A302="","",W302+X302)</f>
        <v>23</v>
      </c>
      <c r="Z302" s="10">
        <f t="shared" ref="Z302" si="100">IF($A302="","",IFERROR(Y302/G302,0))</f>
        <v>1.9166666666666667</v>
      </c>
      <c r="AA302" s="10">
        <f t="shared" si="54"/>
        <v>1.8</v>
      </c>
      <c r="AB302" s="10">
        <f t="shared" si="55"/>
        <v>2</v>
      </c>
      <c r="AC302" s="10">
        <f t="shared" si="56"/>
        <v>1.7142857142857142</v>
      </c>
      <c r="AD302" s="10">
        <f t="shared" si="57"/>
        <v>1.8571428571428572</v>
      </c>
    </row>
    <row r="303" spans="1:30" x14ac:dyDescent="0.3">
      <c r="A303" s="7" t="str">
        <v>Landvetter IS</v>
      </c>
      <c r="B303" s="12" t="str" cm="1">
        <f t="array" ref="B303">IF($A303="","",_xlfn.LET(_xlpm.p,IFERROR(INDEX(tblDados[País],MATCH($A303,TRIM(tblDados[Mandante]),0)),INDEX(tblDados[País],MATCH($A303,TRIM(tblDados[Visitante]),0))),_xlpm.l,IFERROR(INDEX(tblDados[Liga],MATCH($A303,TRIM(tblDados[Mandante]),0)),INDEX(tblDados[Liga],MATCH($A303,TRIM(tblDados[Visitante]),0))),_xlpm.p&amp;" - "&amp;_xlpm.l))</f>
        <v>SWE - 2ª D Västra Götaland</v>
      </c>
      <c r="C303" s="10">
        <f t="shared" si="58"/>
        <v>1.8333333333333333</v>
      </c>
      <c r="D303" s="10">
        <f t="shared" si="59"/>
        <v>2.833333333333333</v>
      </c>
      <c r="E303" s="9" cm="1">
        <f t="array" ref="E303">IF($A303="","",SUMPRODUCT((TRIM(tblDados[Mandante])=$A303)*tblDados[Primeira_Ocorrencia]))</f>
        <v>6</v>
      </c>
      <c r="F303" s="9" cm="1">
        <f t="array" ref="F303">IF($A303="","",SUMPRODUCT((TRIM(tblDados[Visitante])=$A303)*tblDados[Primeira_Ocorrencia]))</f>
        <v>6</v>
      </c>
      <c r="G303" s="9" cm="1">
        <f t="array" ref="G303">IF($A303="","",SUMPRODUCT((TRIM(tblDados[Mandante])=$A303)*tblDados[Primeira_Ocorrencia])+SUMPRODUCT((TRIM(tblDados[Visitante])=$A303)*tblDados[Primeira_Ocorrencia]))</f>
        <v>12</v>
      </c>
      <c r="H303" s="10">
        <f t="shared" si="60"/>
        <v>1.6666666666666667</v>
      </c>
      <c r="I303" s="10" cm="1">
        <f t="array" ref="I303">IF($A303="","",_xlfn.LET(_xlpm.p,IFERROR(INDEX(tblDados[País],MATCH($A303,TRIM(tblDados[Mandante]),0)),INDEX(tblDados[País],MATCH($A303,TRIM(tblDados[Visitante]),0))),_xlpm.l,IFERROR(INDEX(tblDados[Liga],MATCH($A303,TRIM(tblDados[Mandante]),0)),INDEX(tblDados[Liga],MATCH($A303,TRIM(tblDados[Visitante]),0))),IFERROR(SUMIFS(Ligas!$D$2:$D$39,Ligas!$H$2:$H$39,_xlpm.p,Ligas!$I$2:$I$39,_xlpm.l),0)))</f>
        <v>2.5</v>
      </c>
      <c r="J303" s="11" cm="1">
        <f t="array" ref="J303">IF($A303="","",IFERROR((SUMPRODUCT((TRIM(tblDados[Mandante])=$A303)*tblDados[Primeira_Ocorrencia]*(tblDados[GM_M]=0))+SUMPRODUCT((TRIM(tblDados[Visitante])=$A303)*tblDados[Primeira_Ocorrencia]*(tblDados[GM_V]=0)))/G303,0))</f>
        <v>0.16666666666666666</v>
      </c>
      <c r="K303" s="11" cm="1">
        <f t="array" ref="K303">IF($A303="","",IFERROR((SUMPRODUCT((TRIM(tblDados[Mandante])=$A303)*tblDados[Primeira_Ocorrencia]*((tblDados[GM_M]+tblDados[GS_M])&gt;0.5))+SUMPRODUCT((TRIM(tblDados[Visitante])=$A303)*tblDados[Primeira_Ocorrencia]*((tblDados[GM_V]+tblDados[GS_V])&gt;0.5)))/G303,0))</f>
        <v>1</v>
      </c>
      <c r="L303" s="11" cm="1">
        <f t="array" ref="L303">IF($A303="","",IFERROR((SUMPRODUCT((TRIM(tblDados[Mandante])=$A303)*tblDados[Primeira_Ocorrencia]*((tblDados[GM_M]+tblDados[GS_M])&gt;1.5))+SUMPRODUCT((TRIM(tblDados[Visitante])=$A303)*tblDados[Primeira_Ocorrencia]*((tblDados[GM_V]+tblDados[GS_V])&gt;1.5)))/G303,0))</f>
        <v>0.66666666666666663</v>
      </c>
      <c r="M303" s="11" cm="1">
        <f t="array" ref="M303">IF($A303="","",IFERROR((SUMPRODUCT((TRIM(tblDados[Mandante])=$A303)*tblDados[Primeira_Ocorrencia]*((tblDados[GM_M]+tblDados[GS_M])&gt;2.5))+SUMPRODUCT((TRIM(tblDados[Visitante])=$A303)*tblDados[Primeira_Ocorrencia]*((tblDados[GM_V]+tblDados[GS_V])&gt;2.5)))/G303,0))</f>
        <v>0.33333333333333331</v>
      </c>
      <c r="N303" s="11" cm="1">
        <f t="array" ref="N303">IF($A303="","",IFERROR((SUMPRODUCT((TRIM(tblDados[Mandante])=$A303)*tblDados[Primeira_Ocorrencia]*((tblDados[GM_M]+tblDados[GS_M])&gt;3.5))+SUMPRODUCT((TRIM(tblDados[Visitante])=$A303)*tblDados[Primeira_Ocorrencia]*((tblDados[GM_V]+tblDados[GS_V])&gt;3.5)))/G303,0))</f>
        <v>0.16666666666666666</v>
      </c>
      <c r="O303" s="11" cm="1">
        <f t="array" ref="O303">IF($A303="","",IFERROR((SUMPRODUCT((TRIM(tblDados[Mandante])=$A303)*tblDados[Primeira_Ocorrencia]*(tblDados[GM_M]&gt;0)*(tblDados[GS_M]&gt;0))+SUMPRODUCT((TRIM(tblDados[Visitante])=$A303)*tblDados[Primeira_Ocorrencia]*(tblDados[GM_V]&gt;0)*(tblDados[GS_V]&gt;0)))/G303,0))</f>
        <v>0.33333333333333331</v>
      </c>
      <c r="P303" s="10" cm="1">
        <f t="array" ref="P303">IF($A303="","",IFERROR((SUMPRODUCT((TRIM(tblDados[Mandante])=$A303)*tblDados[Primeira_Ocorrencia]*tblDados[GM_M]^2)+SUMPRODUCT((TRIM(tblDados[Visitante])=$A303)*tblDados[Primeira_Ocorrencia]*tblDados[GM_V]^2))/G303-H303^2,0))</f>
        <v>1.2222222222222219</v>
      </c>
      <c r="Q303" s="10">
        <f t="shared" ref="Q303" si="101">IF($A303="","",IFERROR(SQRT(MAX(P303,0)),0))</f>
        <v>1.1055415967851332</v>
      </c>
      <c r="R303" s="8" t="str">
        <f t="shared" ref="R303" si="102">IF(A303="","",IF(OR(G303&lt;5,H303=0),"Amostra Insuficiente",IF(_xlfn.CHISQ.DIST.RT(G303*P303/H303,G303-1)&lt;0.05,"Binomial Negativa","Poisson")))</f>
        <v>Poisson</v>
      </c>
      <c r="S303" s="10" cm="1">
        <f t="array" ref="S303">IF($A303="","",SUMPRODUCT((TRIM(tblDados[Mandante])=$A303)*tblDados[Primeira_Ocorrencia]*tblDados[GM_M]))</f>
        <v>9</v>
      </c>
      <c r="T303" s="10" cm="1">
        <f t="array" ref="T303">IF($A303="","",SUMPRODUCT((TRIM(tblDados[Visitante])=$A303)*tblDados[Primeira_Ocorrencia]*tblDados[GM_V]))</f>
        <v>11</v>
      </c>
      <c r="U303" s="10">
        <f t="shared" ref="U303" si="103">IF($A303="","",S303+T303)</f>
        <v>20</v>
      </c>
      <c r="V303" s="10">
        <f t="shared" ref="V303" si="104">IF($A303="","",IFERROR(U303/G303,0))</f>
        <v>1.6666666666666667</v>
      </c>
      <c r="W303" s="10" cm="1">
        <f t="array" ref="W303">IF($A303="","",SUMPRODUCT((TRIM(tblDados[Mandante])=$A303)*tblDados[Primeira_Ocorrencia]*tblDados[GS_M]))</f>
        <v>2</v>
      </c>
      <c r="X303" s="10" cm="1">
        <f t="array" ref="X303">IF($A303="","",SUMPRODUCT((TRIM(tblDados[Visitante])=$A303)*tblDados[Primeira_Ocorrencia]*tblDados[GS_V]))</f>
        <v>6</v>
      </c>
      <c r="Y303" s="10">
        <f t="shared" ref="Y303" si="105">IF($A303="","",W303+X303)</f>
        <v>8</v>
      </c>
      <c r="Z303" s="10">
        <f t="shared" ref="Z303" si="106">IF($A303="","",IFERROR(Y303/G303,0))</f>
        <v>0.66666666666666663</v>
      </c>
      <c r="AA303" s="10">
        <f t="shared" si="54"/>
        <v>1.5</v>
      </c>
      <c r="AB303" s="10">
        <f t="shared" si="55"/>
        <v>0.33333333333333331</v>
      </c>
      <c r="AC303" s="10">
        <f t="shared" si="56"/>
        <v>1.8333333333333333</v>
      </c>
      <c r="AD303" s="10">
        <f t="shared" si="57"/>
        <v>1</v>
      </c>
    </row>
    <row r="304" spans="1:30" x14ac:dyDescent="0.3">
      <c r="A304" s="7" t="str">
        <v>Leones del Norte</v>
      </c>
      <c r="B304" s="12" t="str" cm="1">
        <f t="array" ref="B304">IF($A304="","",_xlfn.LET(_xlpm.p,IFERROR(INDEX(tblDados[País],MATCH($A304,TRIM(tblDados[Mandante]),0)),INDEX(tblDados[País],MATCH($A304,TRIM(tblDados[Visitante]),0))),_xlpm.l,IFERROR(INDEX(tblDados[Liga],MATCH($A304,TRIM(tblDados[Mandante]),0)),INDEX(tblDados[Liga],MATCH($A304,TRIM(tblDados[Visitante]),0))),_xlpm.p&amp;" - "&amp;_xlpm.l))</f>
        <v>ECU - LigaPro Serie A</v>
      </c>
      <c r="C304" s="10">
        <f t="shared" si="58"/>
        <v>2.1666666666666665</v>
      </c>
      <c r="D304" s="10">
        <f t="shared" si="59"/>
        <v>2.333333333333333</v>
      </c>
      <c r="E304" s="9" cm="1">
        <f t="array" ref="E304">IF($A304="","",SUMPRODUCT((TRIM(tblDados[Mandante])=$A304)*tblDados[Primeira_Ocorrencia]))</f>
        <v>6</v>
      </c>
      <c r="F304" s="9" cm="1">
        <f t="array" ref="F304">IF($A304="","",SUMPRODUCT((TRIM(tblDados[Visitante])=$A304)*tblDados[Primeira_Ocorrencia]))</f>
        <v>6</v>
      </c>
      <c r="G304" s="9" cm="1">
        <f t="array" ref="G304">IF($A304="","",SUMPRODUCT((TRIM(tblDados[Mandante])=$A304)*tblDados[Primeira_Ocorrencia])+SUMPRODUCT((TRIM(tblDados[Visitante])=$A304)*tblDados[Primeira_Ocorrencia]))</f>
        <v>12</v>
      </c>
      <c r="H304" s="10">
        <f t="shared" si="60"/>
        <v>1.1666666666666667</v>
      </c>
      <c r="I304" s="10" cm="1">
        <f t="array" ref="I304">IF($A304="","",_xlfn.LET(_xlpm.p,IFERROR(INDEX(tblDados[País],MATCH($A304,TRIM(tblDados[Mandante]),0)),INDEX(tblDados[País],MATCH($A304,TRIM(tblDados[Visitante]),0))),_xlpm.l,IFERROR(INDEX(tblDados[Liga],MATCH($A304,TRIM(tblDados[Mandante]),0)),INDEX(tblDados[Liga],MATCH($A304,TRIM(tblDados[Visitante]),0))),IFERROR(SUMIFS(Ligas!$D$2:$D$39,Ligas!$H$2:$H$39,_xlpm.p,Ligas!$I$2:$I$39,_xlpm.l),0)))</f>
        <v>2.5</v>
      </c>
      <c r="J304" s="11" cm="1">
        <f t="array" ref="J304">IF($A304="","",IFERROR((SUMPRODUCT((TRIM(tblDados[Mandante])=$A304)*tblDados[Primeira_Ocorrencia]*(tblDados[GM_M]=0))+SUMPRODUCT((TRIM(tblDados[Visitante])=$A304)*tblDados[Primeira_Ocorrencia]*(tblDados[GM_V]=0)))/G304,0))</f>
        <v>0.16666666666666666</v>
      </c>
      <c r="K304" s="11" cm="1">
        <f t="array" ref="K304">IF($A304="","",IFERROR((SUMPRODUCT((TRIM(tblDados[Mandante])=$A304)*tblDados[Primeira_Ocorrencia]*((tblDados[GM_M]+tblDados[GS_M])&gt;0.5))+SUMPRODUCT((TRIM(tblDados[Visitante])=$A304)*tblDados[Primeira_Ocorrencia]*((tblDados[GM_V]+tblDados[GS_V])&gt;0.5)))/G304,0))</f>
        <v>1</v>
      </c>
      <c r="L304" s="11" cm="1">
        <f t="array" ref="L304">IF($A304="","",IFERROR((SUMPRODUCT((TRIM(tblDados[Mandante])=$A304)*tblDados[Primeira_Ocorrencia]*((tblDados[GM_M]+tblDados[GS_M])&gt;1.5))+SUMPRODUCT((TRIM(tblDados[Visitante])=$A304)*tblDados[Primeira_Ocorrencia]*((tblDados[GM_V]+tblDados[GS_V])&gt;1.5)))/G304,0))</f>
        <v>0.75</v>
      </c>
      <c r="M304" s="11" cm="1">
        <f t="array" ref="M304">IF($A304="","",IFERROR((SUMPRODUCT((TRIM(tblDados[Mandante])=$A304)*tblDados[Primeira_Ocorrencia]*((tblDados[GM_M]+tblDados[GS_M])&gt;2.5))+SUMPRODUCT((TRIM(tblDados[Visitante])=$A304)*tblDados[Primeira_Ocorrencia]*((tblDados[GM_V]+tblDados[GS_V])&gt;2.5)))/G304,0))</f>
        <v>0.33333333333333331</v>
      </c>
      <c r="N304" s="11" cm="1">
        <f t="array" ref="N304">IF($A304="","",IFERROR((SUMPRODUCT((TRIM(tblDados[Mandante])=$A304)*tblDados[Primeira_Ocorrencia]*((tblDados[GM_M]+tblDados[GS_M])&gt;3.5))+SUMPRODUCT((TRIM(tblDados[Visitante])=$A304)*tblDados[Primeira_Ocorrencia]*((tblDados[GM_V]+tblDados[GS_V])&gt;3.5)))/G304,0))</f>
        <v>0.16666666666666666</v>
      </c>
      <c r="O304" s="11" cm="1">
        <f t="array" ref="O304">IF($A304="","",IFERROR((SUMPRODUCT((TRIM(tblDados[Mandante])=$A304)*tblDados[Primeira_Ocorrencia]*(tblDados[GM_M]&gt;0)*(tblDados[GS_M]&gt;0))+SUMPRODUCT((TRIM(tblDados[Visitante])=$A304)*tblDados[Primeira_Ocorrencia]*(tblDados[GM_V]&gt;0)*(tblDados[GS_V]&gt;0)))/G304,0))</f>
        <v>0.58333333333333337</v>
      </c>
      <c r="P304" s="10" cm="1">
        <f t="array" ref="P304">IF($A304="","",IFERROR((SUMPRODUCT((TRIM(tblDados[Mandante])=$A304)*tblDados[Primeira_Ocorrencia]*tblDados[GM_M]^2)+SUMPRODUCT((TRIM(tblDados[Visitante])=$A304)*tblDados[Primeira_Ocorrencia]*tblDados[GM_V]^2))/G304-H304^2,0))</f>
        <v>0.80555555555555514</v>
      </c>
      <c r="Q304" s="10">
        <f t="shared" ref="Q304" si="107">IF($A304="","",IFERROR(SQRT(MAX(P304,0)),0))</f>
        <v>0.89752746785575044</v>
      </c>
      <c r="R304" s="8" t="str">
        <f t="shared" ref="R304" si="108">IF(A304="","",IF(OR(G304&lt;5,H304=0),"Amostra Insuficiente",IF(_xlfn.CHISQ.DIST.RT(G304*P304/H304,G304-1)&lt;0.05,"Binomial Negativa","Poisson")))</f>
        <v>Poisson</v>
      </c>
      <c r="S304" s="10" cm="1">
        <f t="array" ref="S304">IF($A304="","",SUMPRODUCT((TRIM(tblDados[Mandante])=$A304)*tblDados[Primeira_Ocorrencia]*tblDados[GM_M]))</f>
        <v>8</v>
      </c>
      <c r="T304" s="10" cm="1">
        <f t="array" ref="T304">IF($A304="","",SUMPRODUCT((TRIM(tblDados[Visitante])=$A304)*tblDados[Primeira_Ocorrencia]*tblDados[GM_V]))</f>
        <v>6</v>
      </c>
      <c r="U304" s="10">
        <f t="shared" ref="U304" si="109">IF($A304="","",S304+T304)</f>
        <v>14</v>
      </c>
      <c r="V304" s="10">
        <f t="shared" ref="V304" si="110">IF($A304="","",IFERROR(U304/G304,0))</f>
        <v>1.1666666666666667</v>
      </c>
      <c r="W304" s="10" cm="1">
        <f t="array" ref="W304">IF($A304="","",SUMPRODUCT((TRIM(tblDados[Mandante])=$A304)*tblDados[Primeira_Ocorrencia]*tblDados[GS_M]))</f>
        <v>5</v>
      </c>
      <c r="X304" s="10" cm="1">
        <f t="array" ref="X304">IF($A304="","",SUMPRODUCT((TRIM(tblDados[Visitante])=$A304)*tblDados[Primeira_Ocorrencia]*tblDados[GS_V]))</f>
        <v>8</v>
      </c>
      <c r="Y304" s="10">
        <f t="shared" ref="Y304" si="111">IF($A304="","",W304+X304)</f>
        <v>13</v>
      </c>
      <c r="Z304" s="10">
        <f t="shared" ref="Z304" si="112">IF($A304="","",IFERROR(Y304/G304,0))</f>
        <v>1.0833333333333333</v>
      </c>
      <c r="AA304" s="10">
        <f t="shared" si="54"/>
        <v>1.3333333333333333</v>
      </c>
      <c r="AB304" s="10">
        <f t="shared" si="55"/>
        <v>0.83333333333333337</v>
      </c>
      <c r="AC304" s="10">
        <f t="shared" si="56"/>
        <v>1</v>
      </c>
      <c r="AD304" s="10">
        <f t="shared" si="57"/>
        <v>1.3333333333333333</v>
      </c>
    </row>
    <row r="305" spans="1:30" x14ac:dyDescent="0.3">
      <c r="A305" s="7" t="str">
        <v>Liaoning Tieren</v>
      </c>
      <c r="B305" s="12" t="str" cm="1">
        <f t="array" ref="B305">IF($A305="","",_xlfn.LET(_xlpm.p,IFERROR(INDEX(tblDados[País],MATCH($A305,TRIM(tblDados[Mandante]),0)),INDEX(tblDados[País],MATCH($A305,TRIM(tblDados[Visitante]),0))),_xlpm.l,IFERROR(INDEX(tblDados[Liga],MATCH($A305,TRIM(tblDados[Mandante]),0)),INDEX(tblDados[Liga],MATCH($A305,TRIM(tblDados[Visitante]),0))),_xlpm.p&amp;" - "&amp;_xlpm.l))</f>
        <v>CHN - Super League</v>
      </c>
      <c r="C305" s="10">
        <f t="shared" si="58"/>
        <v>3.375</v>
      </c>
      <c r="D305" s="10">
        <f t="shared" si="59"/>
        <v>3</v>
      </c>
      <c r="E305" s="9" cm="1">
        <f t="array" ref="E305">IF($A305="","",SUMPRODUCT((TRIM(tblDados[Mandante])=$A305)*tblDados[Primeira_Ocorrencia]))</f>
        <v>8</v>
      </c>
      <c r="F305" s="9" cm="1">
        <f t="array" ref="F305">IF($A305="","",SUMPRODUCT((TRIM(tblDados[Visitante])=$A305)*tblDados[Primeira_Ocorrencia]))</f>
        <v>4</v>
      </c>
      <c r="G305" s="9" cm="1">
        <f t="array" ref="G305">IF($A305="","",SUMPRODUCT((TRIM(tblDados[Mandante])=$A305)*tblDados[Primeira_Ocorrencia])+SUMPRODUCT((TRIM(tblDados[Visitante])=$A305)*tblDados[Primeira_Ocorrencia]))</f>
        <v>12</v>
      </c>
      <c r="H305" s="10">
        <f t="shared" si="60"/>
        <v>1.75</v>
      </c>
      <c r="I305" s="10" cm="1">
        <f t="array" ref="I305">IF($A305="","",_xlfn.LET(_xlpm.p,IFERROR(INDEX(tblDados[País],MATCH($A305,TRIM(tblDados[Mandante]),0)),INDEX(tblDados[País],MATCH($A305,TRIM(tblDados[Visitante]),0))),_xlpm.l,IFERROR(INDEX(tblDados[Liga],MATCH($A305,TRIM(tblDados[Mandante]),0)),INDEX(tblDados[Liga],MATCH($A305,TRIM(tblDados[Visitante]),0))),IFERROR(SUMIFS(Ligas!$D$2:$D$39,Ligas!$H$2:$H$39,_xlpm.p,Ligas!$I$2:$I$39,_xlpm.l),0)))</f>
        <v>2.5</v>
      </c>
      <c r="J305" s="11" cm="1">
        <f t="array" ref="J305">IF($A305="","",IFERROR((SUMPRODUCT((TRIM(tblDados[Mandante])=$A305)*tblDados[Primeira_Ocorrencia]*(tblDados[GM_M]=0))+SUMPRODUCT((TRIM(tblDados[Visitante])=$A305)*tblDados[Primeira_Ocorrencia]*(tblDados[GM_V]=0)))/G305,0))</f>
        <v>0.25</v>
      </c>
      <c r="K305" s="11" cm="1">
        <f t="array" ref="K305">IF($A305="","",IFERROR((SUMPRODUCT((TRIM(tblDados[Mandante])=$A305)*tblDados[Primeira_Ocorrencia]*((tblDados[GM_M]+tblDados[GS_M])&gt;0.5))+SUMPRODUCT((TRIM(tblDados[Visitante])=$A305)*tblDados[Primeira_Ocorrencia]*((tblDados[GM_V]+tblDados[GS_V])&gt;0.5)))/G305,0))</f>
        <v>1</v>
      </c>
      <c r="L305" s="11" cm="1">
        <f t="array" ref="L305">IF($A305="","",IFERROR((SUMPRODUCT((TRIM(tblDados[Mandante])=$A305)*tblDados[Primeira_Ocorrencia]*((tblDados[GM_M]+tblDados[GS_M])&gt;1.5))+SUMPRODUCT((TRIM(tblDados[Visitante])=$A305)*tblDados[Primeira_Ocorrencia]*((tblDados[GM_V]+tblDados[GS_V])&gt;1.5)))/G305,0))</f>
        <v>0.75</v>
      </c>
      <c r="M305" s="11" cm="1">
        <f t="array" ref="M305">IF($A305="","",IFERROR((SUMPRODUCT((TRIM(tblDados[Mandante])=$A305)*tblDados[Primeira_Ocorrencia]*((tblDados[GM_M]+tblDados[GS_M])&gt;2.5))+SUMPRODUCT((TRIM(tblDados[Visitante])=$A305)*tblDados[Primeira_Ocorrencia]*((tblDados[GM_V]+tblDados[GS_V])&gt;2.5)))/G305,0))</f>
        <v>0.66666666666666663</v>
      </c>
      <c r="N305" s="11" cm="1">
        <f t="array" ref="N305">IF($A305="","",IFERROR((SUMPRODUCT((TRIM(tblDados[Mandante])=$A305)*tblDados[Primeira_Ocorrencia]*((tblDados[GM_M]+tblDados[GS_M])&gt;3.5))+SUMPRODUCT((TRIM(tblDados[Visitante])=$A305)*tblDados[Primeira_Ocorrencia]*((tblDados[GM_V]+tblDados[GS_V])&gt;3.5)))/G305,0))</f>
        <v>0.5</v>
      </c>
      <c r="O305" s="11" cm="1">
        <f t="array" ref="O305">IF($A305="","",IFERROR((SUMPRODUCT((TRIM(tblDados[Mandante])=$A305)*tblDados[Primeira_Ocorrencia]*(tblDados[GM_M]&gt;0)*(tblDados[GS_M]&gt;0))+SUMPRODUCT((TRIM(tblDados[Visitante])=$A305)*tblDados[Primeira_Ocorrencia]*(tblDados[GM_V]&gt;0)*(tblDados[GS_V]&gt;0)))/G305,0))</f>
        <v>0.66666666666666663</v>
      </c>
      <c r="P305" s="10" cm="1">
        <f t="array" ref="P305">IF($A305="","",IFERROR((SUMPRODUCT((TRIM(tblDados[Mandante])=$A305)*tblDados[Primeira_Ocorrencia]*tblDados[GM_M]^2)+SUMPRODUCT((TRIM(tblDados[Visitante])=$A305)*tblDados[Primeira_Ocorrencia]*tblDados[GM_V]^2))/G305-H305^2,0))</f>
        <v>2.1875</v>
      </c>
      <c r="Q305" s="10">
        <f t="shared" si="61"/>
        <v>1.479019945774904</v>
      </c>
      <c r="R305" s="8" t="str">
        <f t="shared" si="62"/>
        <v>Poisson</v>
      </c>
      <c r="S305" s="10" cm="1">
        <f t="array" ref="S305">IF($A305="","",SUMPRODUCT((TRIM(tblDados[Mandante])=$A305)*tblDados[Primeira_Ocorrencia]*tblDados[GM_M]))</f>
        <v>13</v>
      </c>
      <c r="T305" s="10" cm="1">
        <f t="array" ref="T305">IF($A305="","",SUMPRODUCT((TRIM(tblDados[Visitante])=$A305)*tblDados[Primeira_Ocorrencia]*tblDados[GM_V]))</f>
        <v>8</v>
      </c>
      <c r="U305" s="10">
        <f t="shared" si="63"/>
        <v>21</v>
      </c>
      <c r="V305" s="10">
        <f t="shared" si="52"/>
        <v>1.75</v>
      </c>
      <c r="W305" s="10" cm="1">
        <f t="array" ref="W305">IF($A305="","",SUMPRODUCT((TRIM(tblDados[Mandante])=$A305)*tblDados[Primeira_Ocorrencia]*tblDados[GS_M]))</f>
        <v>14</v>
      </c>
      <c r="X305" s="10" cm="1">
        <f t="array" ref="X305">IF($A305="","",SUMPRODUCT((TRIM(tblDados[Visitante])=$A305)*tblDados[Primeira_Ocorrencia]*tblDados[GS_V]))</f>
        <v>4</v>
      </c>
      <c r="Y305" s="10">
        <f t="shared" si="64"/>
        <v>18</v>
      </c>
      <c r="Z305" s="10">
        <f t="shared" si="53"/>
        <v>1.5</v>
      </c>
      <c r="AA305" s="10">
        <f t="shared" si="54"/>
        <v>1.625</v>
      </c>
      <c r="AB305" s="10">
        <f t="shared" si="55"/>
        <v>1.75</v>
      </c>
      <c r="AC305" s="10">
        <f t="shared" si="56"/>
        <v>2</v>
      </c>
      <c r="AD305" s="10">
        <f t="shared" si="57"/>
        <v>1</v>
      </c>
    </row>
    <row r="306" spans="1:30" x14ac:dyDescent="0.3">
      <c r="A306" s="7" t="str">
        <v>Libertad (Ecuador)</v>
      </c>
      <c r="B306" s="12" t="str" cm="1">
        <f t="array" ref="B306">IF($A306="","",_xlfn.LET(_xlpm.p,IFERROR(INDEX(tblDados[País],MATCH($A306,TRIM(tblDados[Mandante]),0)),INDEX(tblDados[País],MATCH($A306,TRIM(tblDados[Visitante]),0))),_xlpm.l,IFERROR(INDEX(tblDados[Liga],MATCH($A306,TRIM(tblDados[Mandante]),0)),INDEX(tblDados[Liga],MATCH($A306,TRIM(tblDados[Visitante]),0))),_xlpm.p&amp;" - "&amp;_xlpm.l))</f>
        <v>ECU - LigaPro Serie A</v>
      </c>
      <c r="C306" s="10">
        <f t="shared" si="58"/>
        <v>2.5</v>
      </c>
      <c r="D306" s="10">
        <f t="shared" si="59"/>
        <v>2.166666666666667</v>
      </c>
      <c r="E306" s="9" cm="1">
        <f t="array" ref="E306">IF($A306="","",SUMPRODUCT((TRIM(tblDados[Mandante])=$A306)*tblDados[Primeira_Ocorrencia]))</f>
        <v>6</v>
      </c>
      <c r="F306" s="9" cm="1">
        <f t="array" ref="F306">IF($A306="","",SUMPRODUCT((TRIM(tblDados[Visitante])=$A306)*tblDados[Primeira_Ocorrencia]))</f>
        <v>6</v>
      </c>
      <c r="G306" s="9" cm="1">
        <f t="array" ref="G306">IF($A306="","",SUMPRODUCT((TRIM(tblDados[Mandante])=$A306)*tblDados[Primeira_Ocorrencia])+SUMPRODUCT((TRIM(tblDados[Visitante])=$A306)*tblDados[Primeira_Ocorrencia]))</f>
        <v>12</v>
      </c>
      <c r="H306" s="10">
        <f t="shared" si="60"/>
        <v>1.3333333333333333</v>
      </c>
      <c r="I306" s="10" cm="1">
        <f t="array" ref="I306">IF($A306="","",_xlfn.LET(_xlpm.p,IFERROR(INDEX(tblDados[País],MATCH($A306,TRIM(tblDados[Mandante]),0)),INDEX(tblDados[País],MATCH($A306,TRIM(tblDados[Visitante]),0))),_xlpm.l,IFERROR(INDEX(tblDados[Liga],MATCH($A306,TRIM(tblDados[Mandante]),0)),INDEX(tblDados[Liga],MATCH($A306,TRIM(tblDados[Visitante]),0))),IFERROR(SUMIFS(Ligas!$D$2:$D$39,Ligas!$H$2:$H$39,_xlpm.p,Ligas!$I$2:$I$39,_xlpm.l),0)))</f>
        <v>2.5</v>
      </c>
      <c r="J306" s="11" cm="1">
        <f t="array" ref="J306">IF($A306="","",IFERROR((SUMPRODUCT((TRIM(tblDados[Mandante])=$A306)*tblDados[Primeira_Ocorrencia]*(tblDados[GM_M]=0))+SUMPRODUCT((TRIM(tblDados[Visitante])=$A306)*tblDados[Primeira_Ocorrencia]*(tblDados[GM_V]=0)))/G306,0))</f>
        <v>0.25</v>
      </c>
      <c r="K306" s="11" cm="1">
        <f t="array" ref="K306">IF($A306="","",IFERROR((SUMPRODUCT((TRIM(tblDados[Mandante])=$A306)*tblDados[Primeira_Ocorrencia]*((tblDados[GM_M]+tblDados[GS_M])&gt;0.5))+SUMPRODUCT((TRIM(tblDados[Visitante])=$A306)*tblDados[Primeira_Ocorrencia]*((tblDados[GM_V]+tblDados[GS_V])&gt;0.5)))/G306,0))</f>
        <v>0.91666666666666663</v>
      </c>
      <c r="L306" s="11" cm="1">
        <f t="array" ref="L306">IF($A306="","",IFERROR((SUMPRODUCT((TRIM(tblDados[Mandante])=$A306)*tblDados[Primeira_Ocorrencia]*((tblDados[GM_M]+tblDados[GS_M])&gt;1.5))+SUMPRODUCT((TRIM(tblDados[Visitante])=$A306)*tblDados[Primeira_Ocorrencia]*((tblDados[GM_V]+tblDados[GS_V])&gt;1.5)))/G306,0))</f>
        <v>0.58333333333333337</v>
      </c>
      <c r="M306" s="11" cm="1">
        <f t="array" ref="M306">IF($A306="","",IFERROR((SUMPRODUCT((TRIM(tblDados[Mandante])=$A306)*tblDados[Primeira_Ocorrencia]*((tblDados[GM_M]+tblDados[GS_M])&gt;2.5))+SUMPRODUCT((TRIM(tblDados[Visitante])=$A306)*tblDados[Primeira_Ocorrencia]*((tblDados[GM_V]+tblDados[GS_V])&gt;2.5)))/G306,0))</f>
        <v>0.41666666666666669</v>
      </c>
      <c r="N306" s="11" cm="1">
        <f t="array" ref="N306">IF($A306="","",IFERROR((SUMPRODUCT((TRIM(tblDados[Mandante])=$A306)*tblDados[Primeira_Ocorrencia]*((tblDados[GM_M]+tblDados[GS_M])&gt;3.5))+SUMPRODUCT((TRIM(tblDados[Visitante])=$A306)*tblDados[Primeira_Ocorrencia]*((tblDados[GM_V]+tblDados[GS_V])&gt;3.5)))/G306,0))</f>
        <v>0.25</v>
      </c>
      <c r="O306" s="11" cm="1">
        <f t="array" ref="O306">IF($A306="","",IFERROR((SUMPRODUCT((TRIM(tblDados[Mandante])=$A306)*tblDados[Primeira_Ocorrencia]*(tblDados[GM_M]&gt;0)*(tblDados[GS_M]&gt;0))+SUMPRODUCT((TRIM(tblDados[Visitante])=$A306)*tblDados[Primeira_Ocorrencia]*(tblDados[GM_V]&gt;0)*(tblDados[GS_V]&gt;0)))/G306,0))</f>
        <v>0.41666666666666669</v>
      </c>
      <c r="P306" s="10" cm="1">
        <f t="array" ref="P306">IF($A306="","",IFERROR((SUMPRODUCT((TRIM(tblDados[Mandante])=$A306)*tblDados[Primeira_Ocorrencia]*tblDados[GM_M]^2)+SUMPRODUCT((TRIM(tblDados[Visitante])=$A306)*tblDados[Primeira_Ocorrencia]*tblDados[GM_V]^2))/G306-H306^2,0))</f>
        <v>1.2222222222222223</v>
      </c>
      <c r="Q306" s="10">
        <f t="shared" si="61"/>
        <v>1.1055415967851334</v>
      </c>
      <c r="R306" s="8" t="str">
        <f t="shared" si="62"/>
        <v>Poisson</v>
      </c>
      <c r="S306" s="10" cm="1">
        <f t="array" ref="S306">IF($A306="","",SUMPRODUCT((TRIM(tblDados[Mandante])=$A306)*tblDados[Primeira_Ocorrencia]*tblDados[GM_M]))</f>
        <v>9</v>
      </c>
      <c r="T306" s="10" cm="1">
        <f t="array" ref="T306">IF($A306="","",SUMPRODUCT((TRIM(tblDados[Visitante])=$A306)*tblDados[Primeira_Ocorrencia]*tblDados[GM_V]))</f>
        <v>7</v>
      </c>
      <c r="U306" s="10">
        <f t="shared" si="63"/>
        <v>16</v>
      </c>
      <c r="V306" s="10">
        <f t="shared" si="52"/>
        <v>1.3333333333333333</v>
      </c>
      <c r="W306" s="10" cm="1">
        <f t="array" ref="W306">IF($A306="","",SUMPRODUCT((TRIM(tblDados[Mandante])=$A306)*tblDados[Primeira_Ocorrencia]*tblDados[GS_M]))</f>
        <v>6</v>
      </c>
      <c r="X306" s="10" cm="1">
        <f t="array" ref="X306">IF($A306="","",SUMPRODUCT((TRIM(tblDados[Visitante])=$A306)*tblDados[Primeira_Ocorrencia]*tblDados[GS_V]))</f>
        <v>6</v>
      </c>
      <c r="Y306" s="10">
        <f t="shared" si="64"/>
        <v>12</v>
      </c>
      <c r="Z306" s="10">
        <f t="shared" si="53"/>
        <v>1</v>
      </c>
      <c r="AA306" s="10">
        <f t="shared" si="54"/>
        <v>1.5</v>
      </c>
      <c r="AB306" s="10">
        <f t="shared" si="55"/>
        <v>1</v>
      </c>
      <c r="AC306" s="10">
        <f t="shared" si="56"/>
        <v>1.1666666666666667</v>
      </c>
      <c r="AD306" s="10">
        <f t="shared" si="57"/>
        <v>1</v>
      </c>
    </row>
    <row r="307" spans="1:30" x14ac:dyDescent="0.3">
      <c r="A307" s="7" t="str">
        <v>Lidköpings IF</v>
      </c>
      <c r="B307" s="12" t="str" cm="1">
        <f t="array" ref="B307">IF($A307="","",_xlfn.LET(_xlpm.p,IFERROR(INDEX(tblDados[País],MATCH($A307,TRIM(tblDados[Mandante]),0)),INDEX(tblDados[País],MATCH($A307,TRIM(tblDados[Visitante]),0))),_xlpm.l,IFERROR(INDEX(tblDados[Liga],MATCH($A307,TRIM(tblDados[Mandante]),0)),INDEX(tblDados[Liga],MATCH($A307,TRIM(tblDados[Visitante]),0))),_xlpm.p&amp;" - "&amp;_xlpm.l))</f>
        <v>SWE - 2ª D Norra Götaland</v>
      </c>
      <c r="C307" s="10">
        <f t="shared" si="58"/>
        <v>3</v>
      </c>
      <c r="D307" s="10">
        <f t="shared" si="59"/>
        <v>3</v>
      </c>
      <c r="E307" s="9" cm="1">
        <f t="array" ref="E307">IF($A307="","",SUMPRODUCT((TRIM(tblDados[Mandante])=$A307)*tblDados[Primeira_Ocorrencia]))</f>
        <v>5</v>
      </c>
      <c r="F307" s="9" cm="1">
        <f t="array" ref="F307">IF($A307="","",SUMPRODUCT((TRIM(tblDados[Visitante])=$A307)*tblDados[Primeira_Ocorrencia]))</f>
        <v>7</v>
      </c>
      <c r="G307" s="9" cm="1">
        <f t="array" ref="G307">IF($A307="","",SUMPRODUCT((TRIM(tblDados[Mandante])=$A307)*tblDados[Primeira_Ocorrencia])+SUMPRODUCT((TRIM(tblDados[Visitante])=$A307)*tblDados[Primeira_Ocorrencia]))</f>
        <v>12</v>
      </c>
      <c r="H307" s="10">
        <f t="shared" si="60"/>
        <v>0.83333333333333337</v>
      </c>
      <c r="I307" s="10" cm="1">
        <f t="array" ref="I307">IF($A307="","",_xlfn.LET(_xlpm.p,IFERROR(INDEX(tblDados[País],MATCH($A307,TRIM(tblDados[Mandante]),0)),INDEX(tblDados[País],MATCH($A307,TRIM(tblDados[Visitante]),0))),_xlpm.l,IFERROR(INDEX(tblDados[Liga],MATCH($A307,TRIM(tblDados[Mandante]),0)),INDEX(tblDados[Liga],MATCH($A307,TRIM(tblDados[Visitante]),0))),IFERROR(SUMIFS(Ligas!$D$2:$D$39,Ligas!$H$2:$H$39,_xlpm.p,Ligas!$I$2:$I$39,_xlpm.l),0)))</f>
        <v>2.5</v>
      </c>
      <c r="J307" s="11" cm="1">
        <f t="array" ref="J307">IF($A307="","",IFERROR((SUMPRODUCT((TRIM(tblDados[Mandante])=$A307)*tblDados[Primeira_Ocorrencia]*(tblDados[GM_M]=0))+SUMPRODUCT((TRIM(tblDados[Visitante])=$A307)*tblDados[Primeira_Ocorrencia]*(tblDados[GM_V]=0)))/G307,0))</f>
        <v>0.33333333333333331</v>
      </c>
      <c r="K307" s="11" cm="1">
        <f t="array" ref="K307">IF($A307="","",IFERROR((SUMPRODUCT((TRIM(tblDados[Mandante])=$A307)*tblDados[Primeira_Ocorrencia]*((tblDados[GM_M]+tblDados[GS_M])&gt;0.5))+SUMPRODUCT((TRIM(tblDados[Visitante])=$A307)*tblDados[Primeira_Ocorrencia]*((tblDados[GM_V]+tblDados[GS_V])&gt;0.5)))/G307,0))</f>
        <v>0.91666666666666663</v>
      </c>
      <c r="L307" s="11" cm="1">
        <f t="array" ref="L307">IF($A307="","",IFERROR((SUMPRODUCT((TRIM(tblDados[Mandante])=$A307)*tblDados[Primeira_Ocorrencia]*((tblDados[GM_M]+tblDados[GS_M])&gt;1.5))+SUMPRODUCT((TRIM(tblDados[Visitante])=$A307)*tblDados[Primeira_Ocorrencia]*((tblDados[GM_V]+tblDados[GS_V])&gt;1.5)))/G307,0))</f>
        <v>0.75</v>
      </c>
      <c r="M307" s="11" cm="1">
        <f t="array" ref="M307">IF($A307="","",IFERROR((SUMPRODUCT((TRIM(tblDados[Mandante])=$A307)*tblDados[Primeira_Ocorrencia]*((tblDados[GM_M]+tblDados[GS_M])&gt;2.5))+SUMPRODUCT((TRIM(tblDados[Visitante])=$A307)*tblDados[Primeira_Ocorrencia]*((tblDados[GM_V]+tblDados[GS_V])&gt;2.5)))/G307,0))</f>
        <v>0.66666666666666663</v>
      </c>
      <c r="N307" s="11" cm="1">
        <f t="array" ref="N307">IF($A307="","",IFERROR((SUMPRODUCT((TRIM(tblDados[Mandante])=$A307)*tblDados[Primeira_Ocorrencia]*((tblDados[GM_M]+tblDados[GS_M])&gt;3.5))+SUMPRODUCT((TRIM(tblDados[Visitante])=$A307)*tblDados[Primeira_Ocorrencia]*((tblDados[GM_V]+tblDados[GS_V])&gt;3.5)))/G307,0))</f>
        <v>0.33333333333333331</v>
      </c>
      <c r="O307" s="11" cm="1">
        <f t="array" ref="O307">IF($A307="","",IFERROR((SUMPRODUCT((TRIM(tblDados[Mandante])=$A307)*tblDados[Primeira_Ocorrencia]*(tblDados[GM_M]&gt;0)*(tblDados[GS_M]&gt;0))+SUMPRODUCT((TRIM(tblDados[Visitante])=$A307)*tblDados[Primeira_Ocorrencia]*(tblDados[GM_V]&gt;0)*(tblDados[GS_V]&gt;0)))/G307,0))</f>
        <v>0.5</v>
      </c>
      <c r="P307" s="10" cm="1">
        <f t="array" ref="P307">IF($A307="","",IFERROR((SUMPRODUCT((TRIM(tblDados[Mandante])=$A307)*tblDados[Primeira_Ocorrencia]*tblDados[GM_M]^2)+SUMPRODUCT((TRIM(tblDados[Visitante])=$A307)*tblDados[Primeira_Ocorrencia]*tblDados[GM_V]^2))/G307-H307^2,0))</f>
        <v>0.47222222222222221</v>
      </c>
      <c r="Q307" s="10">
        <f t="shared" si="61"/>
        <v>0.68718427093627676</v>
      </c>
      <c r="R307" s="8" t="str">
        <f t="shared" si="62"/>
        <v>Poisson</v>
      </c>
      <c r="S307" s="10" cm="1">
        <f t="array" ref="S307">IF($A307="","",SUMPRODUCT((TRIM(tblDados[Mandante])=$A307)*tblDados[Primeira_Ocorrencia]*tblDados[GM_M]))</f>
        <v>3</v>
      </c>
      <c r="T307" s="10" cm="1">
        <f t="array" ref="T307">IF($A307="","",SUMPRODUCT((TRIM(tblDados[Visitante])=$A307)*tblDados[Primeira_Ocorrencia]*tblDados[GM_V]))</f>
        <v>7</v>
      </c>
      <c r="U307" s="10">
        <f t="shared" si="63"/>
        <v>10</v>
      </c>
      <c r="V307" s="10">
        <f t="shared" si="52"/>
        <v>0.83333333333333337</v>
      </c>
      <c r="W307" s="10" cm="1">
        <f t="array" ref="W307">IF($A307="","",SUMPRODUCT((TRIM(tblDados[Mandante])=$A307)*tblDados[Primeira_Ocorrencia]*tblDados[GS_M]))</f>
        <v>12</v>
      </c>
      <c r="X307" s="10" cm="1">
        <f t="array" ref="X307">IF($A307="","",SUMPRODUCT((TRIM(tblDados[Visitante])=$A307)*tblDados[Primeira_Ocorrencia]*tblDados[GS_V]))</f>
        <v>14</v>
      </c>
      <c r="Y307" s="10">
        <f t="shared" si="64"/>
        <v>26</v>
      </c>
      <c r="Z307" s="10">
        <f t="shared" si="53"/>
        <v>2.1666666666666665</v>
      </c>
      <c r="AA307" s="10">
        <f t="shared" si="54"/>
        <v>0.6</v>
      </c>
      <c r="AB307" s="10">
        <f t="shared" si="55"/>
        <v>2.4</v>
      </c>
      <c r="AC307" s="10">
        <f t="shared" si="56"/>
        <v>1</v>
      </c>
      <c r="AD307" s="10">
        <f t="shared" si="57"/>
        <v>2</v>
      </c>
    </row>
    <row r="308" spans="1:30" x14ac:dyDescent="0.3">
      <c r="A308" s="7" t="str">
        <v>Lindome GIF</v>
      </c>
      <c r="B308" s="12" t="str" cm="1">
        <f t="array" ref="B308">IF($A308="","",_xlfn.LET(_xlpm.p,IFERROR(INDEX(tblDados[País],MATCH($A308,TRIM(tblDados[Mandante]),0)),INDEX(tblDados[País],MATCH($A308,TRIM(tblDados[Visitante]),0))),_xlpm.l,IFERROR(INDEX(tblDados[Liga],MATCH($A308,TRIM(tblDados[Mandante]),0)),INDEX(tblDados[Liga],MATCH($A308,TRIM(tblDados[Visitante]),0))),_xlpm.p&amp;" - "&amp;_xlpm.l))</f>
        <v>SWE - 2ª D Västra Götaland</v>
      </c>
      <c r="C308" s="10">
        <f t="shared" si="58"/>
        <v>3.6666666666666665</v>
      </c>
      <c r="D308" s="10">
        <f t="shared" si="59"/>
        <v>3</v>
      </c>
      <c r="E308" s="9" cm="1">
        <f t="array" ref="E308">IF($A308="","",SUMPRODUCT((TRIM(tblDados[Mandante])=$A308)*tblDados[Primeira_Ocorrencia]))</f>
        <v>6</v>
      </c>
      <c r="F308" s="9" cm="1">
        <f t="array" ref="F308">IF($A308="","",SUMPRODUCT((TRIM(tblDados[Visitante])=$A308)*tblDados[Primeira_Ocorrencia]))</f>
        <v>6</v>
      </c>
      <c r="G308" s="9" cm="1">
        <f t="array" ref="G308">IF($A308="","",SUMPRODUCT((TRIM(tblDados[Mandante])=$A308)*tblDados[Primeira_Ocorrencia])+SUMPRODUCT((TRIM(tblDados[Visitante])=$A308)*tblDados[Primeira_Ocorrencia]))</f>
        <v>12</v>
      </c>
      <c r="H308" s="10">
        <f t="shared" si="60"/>
        <v>2.0833333333333335</v>
      </c>
      <c r="I308" s="10" cm="1">
        <f t="array" ref="I308">IF($A308="","",_xlfn.LET(_xlpm.p,IFERROR(INDEX(tblDados[País],MATCH($A308,TRIM(tblDados[Mandante]),0)),INDEX(tblDados[País],MATCH($A308,TRIM(tblDados[Visitante]),0))),_xlpm.l,IFERROR(INDEX(tblDados[Liga],MATCH($A308,TRIM(tblDados[Mandante]),0)),INDEX(tblDados[Liga],MATCH($A308,TRIM(tblDados[Visitante]),0))),IFERROR(SUMIFS(Ligas!$D$2:$D$39,Ligas!$H$2:$H$39,_xlpm.p,Ligas!$I$2:$I$39,_xlpm.l),0)))</f>
        <v>2.5</v>
      </c>
      <c r="J308" s="11" cm="1">
        <f t="array" ref="J308">IF($A308="","",IFERROR((SUMPRODUCT((TRIM(tblDados[Mandante])=$A308)*tblDados[Primeira_Ocorrencia]*(tblDados[GM_M]=0))+SUMPRODUCT((TRIM(tblDados[Visitante])=$A308)*tblDados[Primeira_Ocorrencia]*(tblDados[GM_V]=0)))/G308,0))</f>
        <v>8.3333333333333329E-2</v>
      </c>
      <c r="K308" s="11" cm="1">
        <f t="array" ref="K308">IF($A308="","",IFERROR((SUMPRODUCT((TRIM(tblDados[Mandante])=$A308)*tblDados[Primeira_Ocorrencia]*((tblDados[GM_M]+tblDados[GS_M])&gt;0.5))+SUMPRODUCT((TRIM(tblDados[Visitante])=$A308)*tblDados[Primeira_Ocorrencia]*((tblDados[GM_V]+tblDados[GS_V])&gt;0.5)))/G308,0))</f>
        <v>1</v>
      </c>
      <c r="L308" s="11" cm="1">
        <f t="array" ref="L308">IF($A308="","",IFERROR((SUMPRODUCT((TRIM(tblDados[Mandante])=$A308)*tblDados[Primeira_Ocorrencia]*((tblDados[GM_M]+tblDados[GS_M])&gt;1.5))+SUMPRODUCT((TRIM(tblDados[Visitante])=$A308)*tblDados[Primeira_Ocorrencia]*((tblDados[GM_V]+tblDados[GS_V])&gt;1.5)))/G308,0))</f>
        <v>1</v>
      </c>
      <c r="M308" s="11" cm="1">
        <f t="array" ref="M308">IF($A308="","",IFERROR((SUMPRODUCT((TRIM(tblDados[Mandante])=$A308)*tblDados[Primeira_Ocorrencia]*((tblDados[GM_M]+tblDados[GS_M])&gt;2.5))+SUMPRODUCT((TRIM(tblDados[Visitante])=$A308)*tblDados[Primeira_Ocorrencia]*((tblDados[GM_V]+tblDados[GS_V])&gt;2.5)))/G308,0))</f>
        <v>0.66666666666666663</v>
      </c>
      <c r="N308" s="11" cm="1">
        <f t="array" ref="N308">IF($A308="","",IFERROR((SUMPRODUCT((TRIM(tblDados[Mandante])=$A308)*tblDados[Primeira_Ocorrencia]*((tblDados[GM_M]+tblDados[GS_M])&gt;3.5))+SUMPRODUCT((TRIM(tblDados[Visitante])=$A308)*tblDados[Primeira_Ocorrencia]*((tblDados[GM_V]+tblDados[GS_V])&gt;3.5)))/G308,0))</f>
        <v>0.41666666666666669</v>
      </c>
      <c r="O308" s="11" cm="1">
        <f t="array" ref="O308">IF($A308="","",IFERROR((SUMPRODUCT((TRIM(tblDados[Mandante])=$A308)*tblDados[Primeira_Ocorrencia]*(tblDados[GM_M]&gt;0)*(tblDados[GS_M]&gt;0))+SUMPRODUCT((TRIM(tblDados[Visitante])=$A308)*tblDados[Primeira_Ocorrencia]*(tblDados[GM_V]&gt;0)*(tblDados[GS_V]&gt;0)))/G308,0))</f>
        <v>0.58333333333333337</v>
      </c>
      <c r="P308" s="10" cm="1">
        <f t="array" ref="P308">IF($A308="","",IFERROR((SUMPRODUCT((TRIM(tblDados[Mandante])=$A308)*tblDados[Primeira_Ocorrencia]*tblDados[GM_M]^2)+SUMPRODUCT((TRIM(tblDados[Visitante])=$A308)*tblDados[Primeira_Ocorrencia]*tblDados[GM_V]^2))/G308-H308^2,0))</f>
        <v>1.2430555555555545</v>
      </c>
      <c r="Q308" s="10">
        <f t="shared" si="61"/>
        <v>1.1149240133549705</v>
      </c>
      <c r="R308" s="8" t="str">
        <f t="shared" si="62"/>
        <v>Poisson</v>
      </c>
      <c r="S308" s="10" cm="1">
        <f t="array" ref="S308">IF($A308="","",SUMPRODUCT((TRIM(tblDados[Mandante])=$A308)*tblDados[Primeira_Ocorrencia]*tblDados[GM_M]))</f>
        <v>11</v>
      </c>
      <c r="T308" s="10" cm="1">
        <f t="array" ref="T308">IF($A308="","",SUMPRODUCT((TRIM(tblDados[Visitante])=$A308)*tblDados[Primeira_Ocorrencia]*tblDados[GM_V]))</f>
        <v>14</v>
      </c>
      <c r="U308" s="10">
        <f t="shared" si="63"/>
        <v>25</v>
      </c>
      <c r="V308" s="10">
        <f t="shared" si="52"/>
        <v>2.0833333333333335</v>
      </c>
      <c r="W308" s="10" cm="1">
        <f t="array" ref="W308">IF($A308="","",SUMPRODUCT((TRIM(tblDados[Mandante])=$A308)*tblDados[Primeira_Ocorrencia]*tblDados[GS_M]))</f>
        <v>11</v>
      </c>
      <c r="X308" s="10" cm="1">
        <f t="array" ref="X308">IF($A308="","",SUMPRODUCT((TRIM(tblDados[Visitante])=$A308)*tblDados[Primeira_Ocorrencia]*tblDados[GS_V]))</f>
        <v>4</v>
      </c>
      <c r="Y308" s="10">
        <f t="shared" si="64"/>
        <v>15</v>
      </c>
      <c r="Z308" s="10">
        <f t="shared" si="53"/>
        <v>1.25</v>
      </c>
      <c r="AA308" s="10">
        <f t="shared" si="54"/>
        <v>1.8333333333333333</v>
      </c>
      <c r="AB308" s="10">
        <f t="shared" si="55"/>
        <v>1.8333333333333333</v>
      </c>
      <c r="AC308" s="10">
        <f t="shared" si="56"/>
        <v>2.3333333333333335</v>
      </c>
      <c r="AD308" s="10">
        <f t="shared" si="57"/>
        <v>0.66666666666666663</v>
      </c>
    </row>
    <row r="309" spans="1:30" x14ac:dyDescent="0.3">
      <c r="A309" s="7" t="str">
        <v>Linero IF</v>
      </c>
      <c r="B309" s="12" t="str" cm="1">
        <f t="array" ref="B309">IF($A309="","",_xlfn.LET(_xlpm.p,IFERROR(INDEX(tblDados[País],MATCH($A309,TRIM(tblDados[Mandante]),0)),INDEX(tblDados[País],MATCH($A309,TRIM(tblDados[Visitante]),0))),_xlpm.l,IFERROR(INDEX(tblDados[Liga],MATCH($A309,TRIM(tblDados[Mandante]),0)),INDEX(tblDados[Liga],MATCH($A309,TRIM(tblDados[Visitante]),0))),_xlpm.p&amp;" - "&amp;_xlpm.l))</f>
        <v>SWE - 2ª D Södra Götaland</v>
      </c>
      <c r="C309" s="10">
        <f t="shared" si="58"/>
        <v>3.2857142857142856</v>
      </c>
      <c r="D309" s="10">
        <f t="shared" si="59"/>
        <v>3.8</v>
      </c>
      <c r="E309" s="9" cm="1">
        <f t="array" ref="E309">IF($A309="","",SUMPRODUCT((TRIM(tblDados[Mandante])=$A309)*tblDados[Primeira_Ocorrencia]))</f>
        <v>7</v>
      </c>
      <c r="F309" s="9" cm="1">
        <f t="array" ref="F309">IF($A309="","",SUMPRODUCT((TRIM(tblDados[Visitante])=$A309)*tblDados[Primeira_Ocorrencia]))</f>
        <v>5</v>
      </c>
      <c r="G309" s="9" cm="1">
        <f t="array" ref="G309">IF($A309="","",SUMPRODUCT((TRIM(tblDados[Mandante])=$A309)*tblDados[Primeira_Ocorrencia])+SUMPRODUCT((TRIM(tblDados[Visitante])=$A309)*tblDados[Primeira_Ocorrencia]))</f>
        <v>12</v>
      </c>
      <c r="H309" s="10">
        <f t="shared" si="60"/>
        <v>1.8333333333333333</v>
      </c>
      <c r="I309" s="10" cm="1">
        <f t="array" ref="I309">IF($A309="","",_xlfn.LET(_xlpm.p,IFERROR(INDEX(tblDados[País],MATCH($A309,TRIM(tblDados[Mandante]),0)),INDEX(tblDados[País],MATCH($A309,TRIM(tblDados[Visitante]),0))),_xlpm.l,IFERROR(INDEX(tblDados[Liga],MATCH($A309,TRIM(tblDados[Mandante]),0)),INDEX(tblDados[Liga],MATCH($A309,TRIM(tblDados[Visitante]),0))),IFERROR(SUMIFS(Ligas!$D$2:$D$39,Ligas!$H$2:$H$39,_xlpm.p,Ligas!$I$2:$I$39,_xlpm.l),0)))</f>
        <v>2.5</v>
      </c>
      <c r="J309" s="11" cm="1">
        <f t="array" ref="J309">IF($A309="","",IFERROR((SUMPRODUCT((TRIM(tblDados[Mandante])=$A309)*tblDados[Primeira_Ocorrencia]*(tblDados[GM_M]=0))+SUMPRODUCT((TRIM(tblDados[Visitante])=$A309)*tblDados[Primeira_Ocorrencia]*(tblDados[GM_V]=0)))/G309,0))</f>
        <v>0.16666666666666666</v>
      </c>
      <c r="K309" s="11" cm="1">
        <f t="array" ref="K309">IF($A309="","",IFERROR((SUMPRODUCT((TRIM(tblDados[Mandante])=$A309)*tblDados[Primeira_Ocorrencia]*((tblDados[GM_M]+tblDados[GS_M])&gt;0.5))+SUMPRODUCT((TRIM(tblDados[Visitante])=$A309)*tblDados[Primeira_Ocorrencia]*((tblDados[GM_V]+tblDados[GS_V])&gt;0.5)))/G309,0))</f>
        <v>1</v>
      </c>
      <c r="L309" s="11" cm="1">
        <f t="array" ref="L309">IF($A309="","",IFERROR((SUMPRODUCT((TRIM(tblDados[Mandante])=$A309)*tblDados[Primeira_Ocorrencia]*((tblDados[GM_M]+tblDados[GS_M])&gt;1.5))+SUMPRODUCT((TRIM(tblDados[Visitante])=$A309)*tblDados[Primeira_Ocorrencia]*((tblDados[GM_V]+tblDados[GS_V])&gt;1.5)))/G309,0))</f>
        <v>0.91666666666666663</v>
      </c>
      <c r="M309" s="11" cm="1">
        <f t="array" ref="M309">IF($A309="","",IFERROR((SUMPRODUCT((TRIM(tblDados[Mandante])=$A309)*tblDados[Primeira_Ocorrencia]*((tblDados[GM_M]+tblDados[GS_M])&gt;2.5))+SUMPRODUCT((TRIM(tblDados[Visitante])=$A309)*tblDados[Primeira_Ocorrencia]*((tblDados[GM_V]+tblDados[GS_V])&gt;2.5)))/G309,0))</f>
        <v>0.83333333333333337</v>
      </c>
      <c r="N309" s="11" cm="1">
        <f t="array" ref="N309">IF($A309="","",IFERROR((SUMPRODUCT((TRIM(tblDados[Mandante])=$A309)*tblDados[Primeira_Ocorrencia]*((tblDados[GM_M]+tblDados[GS_M])&gt;3.5))+SUMPRODUCT((TRIM(tblDados[Visitante])=$A309)*tblDados[Primeira_Ocorrencia]*((tblDados[GM_V]+tblDados[GS_V])&gt;3.5)))/G309,0))</f>
        <v>0.41666666666666669</v>
      </c>
      <c r="O309" s="11" cm="1">
        <f t="array" ref="O309">IF($A309="","",IFERROR((SUMPRODUCT((TRIM(tblDados[Mandante])=$A309)*tblDados[Primeira_Ocorrencia]*(tblDados[GM_M]&gt;0)*(tblDados[GS_M]&gt;0))+SUMPRODUCT((TRIM(tblDados[Visitante])=$A309)*tblDados[Primeira_Ocorrencia]*(tblDados[GM_V]&gt;0)*(tblDados[GS_V]&gt;0)))/G309,0))</f>
        <v>0.58333333333333337</v>
      </c>
      <c r="P309" s="10" cm="1">
        <f t="array" ref="P309">IF($A309="","",IFERROR((SUMPRODUCT((TRIM(tblDados[Mandante])=$A309)*tblDados[Primeira_Ocorrencia]*tblDados[GM_M]^2)+SUMPRODUCT((TRIM(tblDados[Visitante])=$A309)*tblDados[Primeira_Ocorrencia]*tblDados[GM_V]^2))/G309-H309^2,0))</f>
        <v>1.4722222222222223</v>
      </c>
      <c r="Q309" s="10">
        <f t="shared" si="61"/>
        <v>1.2133516482134197</v>
      </c>
      <c r="R309" s="8" t="str">
        <f t="shared" si="62"/>
        <v>Poisson</v>
      </c>
      <c r="S309" s="10" cm="1">
        <f t="array" ref="S309">IF($A309="","",SUMPRODUCT((TRIM(tblDados[Mandante])=$A309)*tblDados[Primeira_Ocorrencia]*tblDados[GM_M]))</f>
        <v>15</v>
      </c>
      <c r="T309" s="10" cm="1">
        <f t="array" ref="T309">IF($A309="","",SUMPRODUCT((TRIM(tblDados[Visitante])=$A309)*tblDados[Primeira_Ocorrencia]*tblDados[GM_V]))</f>
        <v>7</v>
      </c>
      <c r="U309" s="10">
        <f t="shared" si="63"/>
        <v>22</v>
      </c>
      <c r="V309" s="10">
        <f t="shared" si="52"/>
        <v>1.8333333333333333</v>
      </c>
      <c r="W309" s="10" cm="1">
        <f t="array" ref="W309">IF($A309="","",SUMPRODUCT((TRIM(tblDados[Mandante])=$A309)*tblDados[Primeira_Ocorrencia]*tblDados[GS_M]))</f>
        <v>8</v>
      </c>
      <c r="X309" s="10" cm="1">
        <f t="array" ref="X309">IF($A309="","",SUMPRODUCT((TRIM(tblDados[Visitante])=$A309)*tblDados[Primeira_Ocorrencia]*tblDados[GS_V]))</f>
        <v>12</v>
      </c>
      <c r="Y309" s="10">
        <f t="shared" si="64"/>
        <v>20</v>
      </c>
      <c r="Z309" s="10">
        <f t="shared" si="53"/>
        <v>1.6666666666666667</v>
      </c>
      <c r="AA309" s="10">
        <f t="shared" si="54"/>
        <v>2.1428571428571428</v>
      </c>
      <c r="AB309" s="10">
        <f t="shared" si="55"/>
        <v>1.1428571428571428</v>
      </c>
      <c r="AC309" s="10">
        <f t="shared" si="56"/>
        <v>1.4</v>
      </c>
      <c r="AD309" s="10">
        <f t="shared" si="57"/>
        <v>2.4</v>
      </c>
    </row>
    <row r="310" spans="1:30" x14ac:dyDescent="0.3">
      <c r="A310" s="7" t="str">
        <v>Ljungskile SK</v>
      </c>
      <c r="B310" s="12" t="str" cm="1">
        <f t="array" ref="B310">IF($A310="","",_xlfn.LET(_xlpm.p,IFERROR(INDEX(tblDados[País],MATCH($A310,TRIM(tblDados[Mandante]),0)),INDEX(tblDados[País],MATCH($A310,TRIM(tblDados[Visitante]),0))),_xlpm.l,IFERROR(INDEX(tblDados[Liga],MATCH($A310,TRIM(tblDados[Mandante]),0)),INDEX(tblDados[Liga],MATCH($A310,TRIM(tblDados[Visitante]),0))),_xlpm.p&amp;" - "&amp;_xlpm.l))</f>
        <v>SWE - Superettan</v>
      </c>
      <c r="C310" s="10">
        <f t="shared" si="58"/>
        <v>2.6666666666666665</v>
      </c>
      <c r="D310" s="10">
        <f t="shared" si="59"/>
        <v>3.5</v>
      </c>
      <c r="E310" s="9" cm="1">
        <f t="array" ref="E310">IF($A310="","",SUMPRODUCT((TRIM(tblDados[Mandante])=$A310)*tblDados[Primeira_Ocorrencia]))</f>
        <v>6</v>
      </c>
      <c r="F310" s="9" cm="1">
        <f t="array" ref="F310">IF($A310="","",SUMPRODUCT((TRIM(tblDados[Visitante])=$A310)*tblDados[Primeira_Ocorrencia]))</f>
        <v>6</v>
      </c>
      <c r="G310" s="9" cm="1">
        <f t="array" ref="G310">IF($A310="","",SUMPRODUCT((TRIM(tblDados[Mandante])=$A310)*tblDados[Primeira_Ocorrencia])+SUMPRODUCT((TRIM(tblDados[Visitante])=$A310)*tblDados[Primeira_Ocorrencia]))</f>
        <v>12</v>
      </c>
      <c r="H310" s="10">
        <f t="shared" si="60"/>
        <v>1.6666666666666667</v>
      </c>
      <c r="I310" s="10" cm="1">
        <f t="array" ref="I310">IF($A310="","",_xlfn.LET(_xlpm.p,IFERROR(INDEX(tblDados[País],MATCH($A310,TRIM(tblDados[Mandante]),0)),INDEX(tblDados[País],MATCH($A310,TRIM(tblDados[Visitante]),0))),_xlpm.l,IFERROR(INDEX(tblDados[Liga],MATCH($A310,TRIM(tblDados[Mandante]),0)),INDEX(tblDados[Liga],MATCH($A310,TRIM(tblDados[Visitante]),0))),IFERROR(SUMIFS(Ligas!$D$2:$D$39,Ligas!$H$2:$H$39,_xlpm.p,Ligas!$I$2:$I$39,_xlpm.l),0)))</f>
        <v>2.5</v>
      </c>
      <c r="J310" s="11" cm="1">
        <f t="array" ref="J310">IF($A310="","",IFERROR((SUMPRODUCT((TRIM(tblDados[Mandante])=$A310)*tblDados[Primeira_Ocorrencia]*(tblDados[GM_M]=0))+SUMPRODUCT((TRIM(tblDados[Visitante])=$A310)*tblDados[Primeira_Ocorrencia]*(tblDados[GM_V]=0)))/G310,0))</f>
        <v>0.16666666666666666</v>
      </c>
      <c r="K310" s="11" cm="1">
        <f t="array" ref="K310">IF($A310="","",IFERROR((SUMPRODUCT((TRIM(tblDados[Mandante])=$A310)*tblDados[Primeira_Ocorrencia]*((tblDados[GM_M]+tblDados[GS_M])&gt;0.5))+SUMPRODUCT((TRIM(tblDados[Visitante])=$A310)*tblDados[Primeira_Ocorrencia]*((tblDados[GM_V]+tblDados[GS_V])&gt;0.5)))/G310,0))</f>
        <v>0.91666666666666663</v>
      </c>
      <c r="L310" s="11" cm="1">
        <f t="array" ref="L310">IF($A310="","",IFERROR((SUMPRODUCT((TRIM(tblDados[Mandante])=$A310)*tblDados[Primeira_Ocorrencia]*((tblDados[GM_M]+tblDados[GS_M])&gt;1.5))+SUMPRODUCT((TRIM(tblDados[Visitante])=$A310)*tblDados[Primeira_Ocorrencia]*((tblDados[GM_V]+tblDados[GS_V])&gt;1.5)))/G310,0))</f>
        <v>0.75</v>
      </c>
      <c r="M310" s="11" cm="1">
        <f t="array" ref="M310">IF($A310="","",IFERROR((SUMPRODUCT((TRIM(tblDados[Mandante])=$A310)*tblDados[Primeira_Ocorrencia]*((tblDados[GM_M]+tblDados[GS_M])&gt;2.5))+SUMPRODUCT((TRIM(tblDados[Visitante])=$A310)*tblDados[Primeira_Ocorrencia]*((tblDados[GM_V]+tblDados[GS_V])&gt;2.5)))/G310,0))</f>
        <v>0.66666666666666663</v>
      </c>
      <c r="N310" s="11" cm="1">
        <f t="array" ref="N310">IF($A310="","",IFERROR((SUMPRODUCT((TRIM(tblDados[Mandante])=$A310)*tblDados[Primeira_Ocorrencia]*((tblDados[GM_M]+tblDados[GS_M])&gt;3.5))+SUMPRODUCT((TRIM(tblDados[Visitante])=$A310)*tblDados[Primeira_Ocorrencia]*((tblDados[GM_V]+tblDados[GS_V])&gt;3.5)))/G310,0))</f>
        <v>0.5</v>
      </c>
      <c r="O310" s="11" cm="1">
        <f t="array" ref="O310">IF($A310="","",IFERROR((SUMPRODUCT((TRIM(tblDados[Mandante])=$A310)*tblDados[Primeira_Ocorrencia]*(tblDados[GM_M]&gt;0)*(tblDados[GS_M]&gt;0))+SUMPRODUCT((TRIM(tblDados[Visitante])=$A310)*tblDados[Primeira_Ocorrencia]*(tblDados[GM_V]&gt;0)*(tblDados[GS_V]&gt;0)))/G310,0))</f>
        <v>0.75</v>
      </c>
      <c r="P310" s="10" cm="1">
        <f t="array" ref="P310">IF($A310="","",IFERROR((SUMPRODUCT((TRIM(tblDados[Mandante])=$A310)*tblDados[Primeira_Ocorrencia]*tblDados[GM_M]^2)+SUMPRODUCT((TRIM(tblDados[Visitante])=$A310)*tblDados[Primeira_Ocorrencia]*tblDados[GM_V]^2))/G310-H310^2,0))</f>
        <v>1.3888888888888888</v>
      </c>
      <c r="Q310" s="10">
        <f t="shared" si="61"/>
        <v>1.1785113019775793</v>
      </c>
      <c r="R310" s="8" t="str">
        <f t="shared" si="62"/>
        <v>Poisson</v>
      </c>
      <c r="S310" s="10" cm="1">
        <f t="array" ref="S310">IF($A310="","",SUMPRODUCT((TRIM(tblDados[Mandante])=$A310)*tblDados[Primeira_Ocorrencia]*tblDados[GM_M]))</f>
        <v>8</v>
      </c>
      <c r="T310" s="10" cm="1">
        <f t="array" ref="T310">IF($A310="","",SUMPRODUCT((TRIM(tblDados[Visitante])=$A310)*tblDados[Primeira_Ocorrencia]*tblDados[GM_V]))</f>
        <v>12</v>
      </c>
      <c r="U310" s="10">
        <f t="shared" si="63"/>
        <v>20</v>
      </c>
      <c r="V310" s="10">
        <f t="shared" si="52"/>
        <v>1.6666666666666667</v>
      </c>
      <c r="W310" s="10" cm="1">
        <f t="array" ref="W310">IF($A310="","",SUMPRODUCT((TRIM(tblDados[Mandante])=$A310)*tblDados[Primeira_Ocorrencia]*tblDados[GS_M]))</f>
        <v>8</v>
      </c>
      <c r="X310" s="10" cm="1">
        <f t="array" ref="X310">IF($A310="","",SUMPRODUCT((TRIM(tblDados[Visitante])=$A310)*tblDados[Primeira_Ocorrencia]*tblDados[GS_V]))</f>
        <v>9</v>
      </c>
      <c r="Y310" s="10">
        <f t="shared" si="64"/>
        <v>17</v>
      </c>
      <c r="Z310" s="10">
        <f t="shared" si="53"/>
        <v>1.4166666666666667</v>
      </c>
      <c r="AA310" s="10">
        <f t="shared" si="54"/>
        <v>1.3333333333333333</v>
      </c>
      <c r="AB310" s="10">
        <f t="shared" si="55"/>
        <v>1.3333333333333333</v>
      </c>
      <c r="AC310" s="10">
        <f t="shared" si="56"/>
        <v>2</v>
      </c>
      <c r="AD310" s="10">
        <f t="shared" si="57"/>
        <v>1.5</v>
      </c>
    </row>
    <row r="311" spans="1:30" x14ac:dyDescent="0.3">
      <c r="A311" s="7" t="str">
        <v>Lunds BK</v>
      </c>
      <c r="B311" s="12" t="str" cm="1">
        <f t="array" ref="B311">IF($A311="","",_xlfn.LET(_xlpm.p,IFERROR(INDEX(tblDados[País],MATCH($A311,TRIM(tblDados[Mandante]),0)),INDEX(tblDados[País],MATCH($A311,TRIM(tblDados[Visitante]),0))),_xlpm.l,IFERROR(INDEX(tblDados[Liga],MATCH($A311,TRIM(tblDados[Mandante]),0)),INDEX(tblDados[Liga],MATCH($A311,TRIM(tblDados[Visitante]),0))),_xlpm.p&amp;" - "&amp;_xlpm.l))</f>
        <v>SWE - 1ª D Södra</v>
      </c>
      <c r="C311" s="10">
        <f t="shared" si="58"/>
        <v>4.75</v>
      </c>
      <c r="D311" s="10">
        <f t="shared" si="59"/>
        <v>2.75</v>
      </c>
      <c r="E311" s="9" cm="1">
        <f t="array" ref="E311">IF($A311="","",SUMPRODUCT((TRIM(tblDados[Mandante])=$A311)*tblDados[Primeira_Ocorrencia]))</f>
        <v>4</v>
      </c>
      <c r="F311" s="9" cm="1">
        <f t="array" ref="F311">IF($A311="","",SUMPRODUCT((TRIM(tblDados[Visitante])=$A311)*tblDados[Primeira_Ocorrencia]))</f>
        <v>8</v>
      </c>
      <c r="G311" s="9" cm="1">
        <f t="array" ref="G311">IF($A311="","",SUMPRODUCT((TRIM(tblDados[Mandante])=$A311)*tblDados[Primeira_Ocorrencia])+SUMPRODUCT((TRIM(tblDados[Visitante])=$A311)*tblDados[Primeira_Ocorrencia]))</f>
        <v>12</v>
      </c>
      <c r="H311" s="10">
        <f t="shared" si="60"/>
        <v>2</v>
      </c>
      <c r="I311" s="10" cm="1">
        <f t="array" ref="I311">IF($A311="","",_xlfn.LET(_xlpm.p,IFERROR(INDEX(tblDados[País],MATCH($A311,TRIM(tblDados[Mandante]),0)),INDEX(tblDados[País],MATCH($A311,TRIM(tblDados[Visitante]),0))),_xlpm.l,IFERROR(INDEX(tblDados[Liga],MATCH($A311,TRIM(tblDados[Mandante]),0)),INDEX(tblDados[Liga],MATCH($A311,TRIM(tblDados[Visitante]),0))),IFERROR(SUMIFS(Ligas!$D$2:$D$39,Ligas!$H$2:$H$39,_xlpm.p,Ligas!$I$2:$I$39,_xlpm.l),0)))</f>
        <v>2.5</v>
      </c>
      <c r="J311" s="11" cm="1">
        <f t="array" ref="J311">IF($A311="","",IFERROR((SUMPRODUCT((TRIM(tblDados[Mandante])=$A311)*tblDados[Primeira_Ocorrencia]*(tblDados[GM_M]=0))+SUMPRODUCT((TRIM(tblDados[Visitante])=$A311)*tblDados[Primeira_Ocorrencia]*(tblDados[GM_V]=0)))/G311,0))</f>
        <v>8.3333333333333329E-2</v>
      </c>
      <c r="K311" s="11" cm="1">
        <f t="array" ref="K311">IF($A311="","",IFERROR((SUMPRODUCT((TRIM(tblDados[Mandante])=$A311)*tblDados[Primeira_Ocorrencia]*((tblDados[GM_M]+tblDados[GS_M])&gt;0.5))+SUMPRODUCT((TRIM(tblDados[Visitante])=$A311)*tblDados[Primeira_Ocorrencia]*((tblDados[GM_V]+tblDados[GS_V])&gt;0.5)))/G311,0))</f>
        <v>0.91666666666666663</v>
      </c>
      <c r="L311" s="11" cm="1">
        <f t="array" ref="L311">IF($A311="","",IFERROR((SUMPRODUCT((TRIM(tblDados[Mandante])=$A311)*tblDados[Primeira_Ocorrencia]*((tblDados[GM_M]+tblDados[GS_M])&gt;1.5))+SUMPRODUCT((TRIM(tblDados[Visitante])=$A311)*tblDados[Primeira_Ocorrencia]*((tblDados[GM_V]+tblDados[GS_V])&gt;1.5)))/G311,0))</f>
        <v>0.83333333333333337</v>
      </c>
      <c r="M311" s="11" cm="1">
        <f t="array" ref="M311">IF($A311="","",IFERROR((SUMPRODUCT((TRIM(tblDados[Mandante])=$A311)*tblDados[Primeira_Ocorrencia]*((tblDados[GM_M]+tblDados[GS_M])&gt;2.5))+SUMPRODUCT((TRIM(tblDados[Visitante])=$A311)*tblDados[Primeira_Ocorrencia]*((tblDados[GM_V]+tblDados[GS_V])&gt;2.5)))/G311,0))</f>
        <v>0.58333333333333337</v>
      </c>
      <c r="N311" s="11" cm="1">
        <f t="array" ref="N311">IF($A311="","",IFERROR((SUMPRODUCT((TRIM(tblDados[Mandante])=$A311)*tblDados[Primeira_Ocorrencia]*((tblDados[GM_M]+tblDados[GS_M])&gt;3.5))+SUMPRODUCT((TRIM(tblDados[Visitante])=$A311)*tblDados[Primeira_Ocorrencia]*((tblDados[GM_V]+tblDados[GS_V])&gt;3.5)))/G311,0))</f>
        <v>0.5</v>
      </c>
      <c r="O311" s="11" cm="1">
        <f t="array" ref="O311">IF($A311="","",IFERROR((SUMPRODUCT((TRIM(tblDados[Mandante])=$A311)*tblDados[Primeira_Ocorrencia]*(tblDados[GM_M]&gt;0)*(tblDados[GS_M]&gt;0))+SUMPRODUCT((TRIM(tblDados[Visitante])=$A311)*tblDados[Primeira_Ocorrencia]*(tblDados[GM_V]&gt;0)*(tblDados[GS_V]&gt;0)))/G311,0))</f>
        <v>0.75</v>
      </c>
      <c r="P311" s="10" cm="1">
        <f t="array" ref="P311">IF($A311="","",IFERROR((SUMPRODUCT((TRIM(tblDados[Mandante])=$A311)*tblDados[Primeira_Ocorrencia]*tblDados[GM_M]^2)+SUMPRODUCT((TRIM(tblDados[Visitante])=$A311)*tblDados[Primeira_Ocorrencia]*tblDados[GM_V]^2))/G311-H311^2,0))</f>
        <v>2</v>
      </c>
      <c r="Q311" s="10">
        <f t="shared" si="61"/>
        <v>1.4142135623730951</v>
      </c>
      <c r="R311" s="8" t="str">
        <f t="shared" si="62"/>
        <v>Poisson</v>
      </c>
      <c r="S311" s="10" cm="1">
        <f t="array" ref="S311">IF($A311="","",SUMPRODUCT((TRIM(tblDados[Mandante])=$A311)*tblDados[Primeira_Ocorrencia]*tblDados[GM_M]))</f>
        <v>12</v>
      </c>
      <c r="T311" s="10" cm="1">
        <f t="array" ref="T311">IF($A311="","",SUMPRODUCT((TRIM(tblDados[Visitante])=$A311)*tblDados[Primeira_Ocorrencia]*tblDados[GM_V]))</f>
        <v>12</v>
      </c>
      <c r="U311" s="10">
        <f t="shared" si="63"/>
        <v>24</v>
      </c>
      <c r="V311" s="10">
        <f t="shared" si="52"/>
        <v>2</v>
      </c>
      <c r="W311" s="10" cm="1">
        <f t="array" ref="W311">IF($A311="","",SUMPRODUCT((TRIM(tblDados[Mandante])=$A311)*tblDados[Primeira_Ocorrencia]*tblDados[GS_M]))</f>
        <v>7</v>
      </c>
      <c r="X311" s="10" cm="1">
        <f t="array" ref="X311">IF($A311="","",SUMPRODUCT((TRIM(tblDados[Visitante])=$A311)*tblDados[Primeira_Ocorrencia]*tblDados[GS_V]))</f>
        <v>10</v>
      </c>
      <c r="Y311" s="10">
        <f t="shared" si="64"/>
        <v>17</v>
      </c>
      <c r="Z311" s="10">
        <f t="shared" si="53"/>
        <v>1.4166666666666667</v>
      </c>
      <c r="AA311" s="10">
        <f t="shared" si="54"/>
        <v>3</v>
      </c>
      <c r="AB311" s="10">
        <f t="shared" si="55"/>
        <v>1.75</v>
      </c>
      <c r="AC311" s="10">
        <f t="shared" si="56"/>
        <v>1.5</v>
      </c>
      <c r="AD311" s="10">
        <f t="shared" si="57"/>
        <v>1.25</v>
      </c>
    </row>
    <row r="312" spans="1:30" x14ac:dyDescent="0.3">
      <c r="A312" s="7" t="str">
        <v>Lyn 1896 FK</v>
      </c>
      <c r="B312" s="12" t="str" cm="1">
        <f t="array" ref="B312">IF($A312="","",_xlfn.LET(_xlpm.p,IFERROR(INDEX(tblDados[País],MATCH($A312,TRIM(tblDados[Mandante]),0)),INDEX(tblDados[País],MATCH($A312,TRIM(tblDados[Visitante]),0))),_xlpm.l,IFERROR(INDEX(tblDados[Liga],MATCH($A312,TRIM(tblDados[Mandante]),0)),INDEX(tblDados[Liga],MATCH($A312,TRIM(tblDados[Visitante]),0))),_xlpm.p&amp;" - "&amp;_xlpm.l))</f>
        <v>NOR - OBOS-ligaen</v>
      </c>
      <c r="C312" s="10">
        <f t="shared" si="58"/>
        <v>4.166666666666667</v>
      </c>
      <c r="D312" s="10">
        <f t="shared" si="59"/>
        <v>3</v>
      </c>
      <c r="E312" s="9" cm="1">
        <f t="array" ref="E312">IF($A312="","",SUMPRODUCT((TRIM(tblDados[Mandante])=$A312)*tblDados[Primeira_Ocorrencia]))</f>
        <v>6</v>
      </c>
      <c r="F312" s="9" cm="1">
        <f t="array" ref="F312">IF($A312="","",SUMPRODUCT((TRIM(tblDados[Visitante])=$A312)*tblDados[Primeira_Ocorrencia]))</f>
        <v>6</v>
      </c>
      <c r="G312" s="9" cm="1">
        <f t="array" ref="G312">IF($A312="","",SUMPRODUCT((TRIM(tblDados[Mandante])=$A312)*tblDados[Primeira_Ocorrencia])+SUMPRODUCT((TRIM(tblDados[Visitante])=$A312)*tblDados[Primeira_Ocorrencia]))</f>
        <v>12</v>
      </c>
      <c r="H312" s="10">
        <f t="shared" si="60"/>
        <v>1.5</v>
      </c>
      <c r="I312" s="10" cm="1">
        <f t="array" ref="I312">IF($A312="","",_xlfn.LET(_xlpm.p,IFERROR(INDEX(tblDados[País],MATCH($A312,TRIM(tblDados[Mandante]),0)),INDEX(tblDados[País],MATCH($A312,TRIM(tblDados[Visitante]),0))),_xlpm.l,IFERROR(INDEX(tblDados[Liga],MATCH($A312,TRIM(tblDados[Mandante]),0)),INDEX(tblDados[Liga],MATCH($A312,TRIM(tblDados[Visitante]),0))),IFERROR(SUMIFS(Ligas!$D$2:$D$39,Ligas!$H$2:$H$39,_xlpm.p,Ligas!$I$2:$I$39,_xlpm.l),0)))</f>
        <v>2.5</v>
      </c>
      <c r="J312" s="11" cm="1">
        <f t="array" ref="J312">IF($A312="","",IFERROR((SUMPRODUCT((TRIM(tblDados[Mandante])=$A312)*tblDados[Primeira_Ocorrencia]*(tblDados[GM_M]=0))+SUMPRODUCT((TRIM(tblDados[Visitante])=$A312)*tblDados[Primeira_Ocorrencia]*(tblDados[GM_V]=0)))/G312,0))</f>
        <v>0.33333333333333331</v>
      </c>
      <c r="K312" s="11" cm="1">
        <f t="array" ref="K312">IF($A312="","",IFERROR((SUMPRODUCT((TRIM(tblDados[Mandante])=$A312)*tblDados[Primeira_Ocorrencia]*((tblDados[GM_M]+tblDados[GS_M])&gt;0.5))+SUMPRODUCT((TRIM(tblDados[Visitante])=$A312)*tblDados[Primeira_Ocorrencia]*((tblDados[GM_V]+tblDados[GS_V])&gt;0.5)))/G312,0))</f>
        <v>0.91666666666666663</v>
      </c>
      <c r="L312" s="11" cm="1">
        <f t="array" ref="L312">IF($A312="","",IFERROR((SUMPRODUCT((TRIM(tblDados[Mandante])=$A312)*tblDados[Primeira_Ocorrencia]*((tblDados[GM_M]+tblDados[GS_M])&gt;1.5))+SUMPRODUCT((TRIM(tblDados[Visitante])=$A312)*tblDados[Primeira_Ocorrencia]*((tblDados[GM_V]+tblDados[GS_V])&gt;1.5)))/G312,0))</f>
        <v>0.75</v>
      </c>
      <c r="M312" s="11" cm="1">
        <f t="array" ref="M312">IF($A312="","",IFERROR((SUMPRODUCT((TRIM(tblDados[Mandante])=$A312)*tblDados[Primeira_Ocorrencia]*((tblDados[GM_M]+tblDados[GS_M])&gt;2.5))+SUMPRODUCT((TRIM(tblDados[Visitante])=$A312)*tblDados[Primeira_Ocorrencia]*((tblDados[GM_V]+tblDados[GS_V])&gt;2.5)))/G312,0))</f>
        <v>0.66666666666666663</v>
      </c>
      <c r="N312" s="11" cm="1">
        <f t="array" ref="N312">IF($A312="","",IFERROR((SUMPRODUCT((TRIM(tblDados[Mandante])=$A312)*tblDados[Primeira_Ocorrencia]*((tblDados[GM_M]+tblDados[GS_M])&gt;3.5))+SUMPRODUCT((TRIM(tblDados[Visitante])=$A312)*tblDados[Primeira_Ocorrencia]*((tblDados[GM_V]+tblDados[GS_V])&gt;3.5)))/G312,0))</f>
        <v>0.41666666666666669</v>
      </c>
      <c r="O312" s="11" cm="1">
        <f t="array" ref="O312">IF($A312="","",IFERROR((SUMPRODUCT((TRIM(tblDados[Mandante])=$A312)*tblDados[Primeira_Ocorrencia]*(tblDados[GM_M]&gt;0)*(tblDados[GS_M]&gt;0))+SUMPRODUCT((TRIM(tblDados[Visitante])=$A312)*tblDados[Primeira_Ocorrencia]*(tblDados[GM_V]&gt;0)*(tblDados[GS_V]&gt;0)))/G312,0))</f>
        <v>0.5</v>
      </c>
      <c r="P312" s="10" cm="1">
        <f t="array" ref="P312">IF($A312="","",IFERROR((SUMPRODUCT((TRIM(tblDados[Mandante])=$A312)*tblDados[Primeira_Ocorrencia]*tblDados[GM_M]^2)+SUMPRODUCT((TRIM(tblDados[Visitante])=$A312)*tblDados[Primeira_Ocorrencia]*tblDados[GM_V]^2))/G312-H312^2,0))</f>
        <v>2.916666666666667</v>
      </c>
      <c r="Q312" s="10">
        <f t="shared" si="61"/>
        <v>1.7078251276599332</v>
      </c>
      <c r="R312" s="8" t="str">
        <f t="shared" si="62"/>
        <v>Binomial Negativa</v>
      </c>
      <c r="S312" s="10" cm="1">
        <f t="array" ref="S312">IF($A312="","",SUMPRODUCT((TRIM(tblDados[Mandante])=$A312)*tblDados[Primeira_Ocorrencia]*tblDados[GM_M]))</f>
        <v>11</v>
      </c>
      <c r="T312" s="10" cm="1">
        <f t="array" ref="T312">IF($A312="","",SUMPRODUCT((TRIM(tblDados[Visitante])=$A312)*tblDados[Primeira_Ocorrencia]*tblDados[GM_V]))</f>
        <v>7</v>
      </c>
      <c r="U312" s="10">
        <f t="shared" si="63"/>
        <v>18</v>
      </c>
      <c r="V312" s="10">
        <f t="shared" si="52"/>
        <v>1.5</v>
      </c>
      <c r="W312" s="10" cm="1">
        <f t="array" ref="W312">IF($A312="","",SUMPRODUCT((TRIM(tblDados[Mandante])=$A312)*tblDados[Primeira_Ocorrencia]*tblDados[GS_M]))</f>
        <v>14</v>
      </c>
      <c r="X312" s="10" cm="1">
        <f t="array" ref="X312">IF($A312="","",SUMPRODUCT((TRIM(tblDados[Visitante])=$A312)*tblDados[Primeira_Ocorrencia]*tblDados[GS_V]))</f>
        <v>11</v>
      </c>
      <c r="Y312" s="10">
        <f t="shared" si="64"/>
        <v>25</v>
      </c>
      <c r="Z312" s="10">
        <f t="shared" si="53"/>
        <v>2.0833333333333335</v>
      </c>
      <c r="AA312" s="10">
        <f t="shared" si="54"/>
        <v>1.8333333333333333</v>
      </c>
      <c r="AB312" s="10">
        <f t="shared" si="55"/>
        <v>2.3333333333333335</v>
      </c>
      <c r="AC312" s="10">
        <f t="shared" si="56"/>
        <v>1.1666666666666667</v>
      </c>
      <c r="AD312" s="10">
        <f t="shared" si="57"/>
        <v>1.8333333333333333</v>
      </c>
    </row>
    <row r="313" spans="1:30" x14ac:dyDescent="0.3">
      <c r="A313" s="7" t="str">
        <v>Macará</v>
      </c>
      <c r="B313" s="12" t="str" cm="1">
        <f t="array" ref="B313">IF($A313="","",_xlfn.LET(_xlpm.p,IFERROR(INDEX(tblDados[País],MATCH($A313,TRIM(tblDados[Mandante]),0)),INDEX(tblDados[País],MATCH($A313,TRIM(tblDados[Visitante]),0))),_xlpm.l,IFERROR(INDEX(tblDados[Liga],MATCH($A313,TRIM(tblDados[Mandante]),0)),INDEX(tblDados[Liga],MATCH($A313,TRIM(tblDados[Visitante]),0))),_xlpm.p&amp;" - "&amp;_xlpm.l))</f>
        <v>ECU - LigaPro Serie A</v>
      </c>
      <c r="C313" s="10">
        <f t="shared" si="58"/>
        <v>2.6</v>
      </c>
      <c r="D313" s="10">
        <f t="shared" si="59"/>
        <v>2.5714285714285712</v>
      </c>
      <c r="E313" s="9" cm="1">
        <f t="array" ref="E313">IF($A313="","",SUMPRODUCT((TRIM(tblDados[Mandante])=$A313)*tblDados[Primeira_Ocorrencia]))</f>
        <v>5</v>
      </c>
      <c r="F313" s="9" cm="1">
        <f t="array" ref="F313">IF($A313="","",SUMPRODUCT((TRIM(tblDados[Visitante])=$A313)*tblDados[Primeira_Ocorrencia]))</f>
        <v>7</v>
      </c>
      <c r="G313" s="9" cm="1">
        <f t="array" ref="G313">IF($A313="","",SUMPRODUCT((TRIM(tblDados[Mandante])=$A313)*tblDados[Primeira_Ocorrencia])+SUMPRODUCT((TRIM(tblDados[Visitante])=$A313)*tblDados[Primeira_Ocorrencia]))</f>
        <v>12</v>
      </c>
      <c r="H313" s="10">
        <f t="shared" si="60"/>
        <v>1.5833333333333333</v>
      </c>
      <c r="I313" s="10" cm="1">
        <f t="array" ref="I313">IF($A313="","",_xlfn.LET(_xlpm.p,IFERROR(INDEX(tblDados[País],MATCH($A313,TRIM(tblDados[Mandante]),0)),INDEX(tblDados[País],MATCH($A313,TRIM(tblDados[Visitante]),0))),_xlpm.l,IFERROR(INDEX(tblDados[Liga],MATCH($A313,TRIM(tblDados[Mandante]),0)),INDEX(tblDados[Liga],MATCH($A313,TRIM(tblDados[Visitante]),0))),IFERROR(SUMIFS(Ligas!$D$2:$D$39,Ligas!$H$2:$H$39,_xlpm.p,Ligas!$I$2:$I$39,_xlpm.l),0)))</f>
        <v>2.5</v>
      </c>
      <c r="J313" s="11" cm="1">
        <f t="array" ref="J313">IF($A313="","",IFERROR((SUMPRODUCT((TRIM(tblDados[Mandante])=$A313)*tblDados[Primeira_Ocorrencia]*(tblDados[GM_M]=0))+SUMPRODUCT((TRIM(tblDados[Visitante])=$A313)*tblDados[Primeira_Ocorrencia]*(tblDados[GM_V]=0)))/G313,0))</f>
        <v>0.16666666666666666</v>
      </c>
      <c r="K313" s="11" cm="1">
        <f t="array" ref="K313">IF($A313="","",IFERROR((SUMPRODUCT((TRIM(tblDados[Mandante])=$A313)*tblDados[Primeira_Ocorrencia]*((tblDados[GM_M]+tblDados[GS_M])&gt;0.5))+SUMPRODUCT((TRIM(tblDados[Visitante])=$A313)*tblDados[Primeira_Ocorrencia]*((tblDados[GM_V]+tblDados[GS_V])&gt;0.5)))/G313,0))</f>
        <v>1</v>
      </c>
      <c r="L313" s="11" cm="1">
        <f t="array" ref="L313">IF($A313="","",IFERROR((SUMPRODUCT((TRIM(tblDados[Mandante])=$A313)*tblDados[Primeira_Ocorrencia]*((tblDados[GM_M]+tblDados[GS_M])&gt;1.5))+SUMPRODUCT((TRIM(tblDados[Visitante])=$A313)*tblDados[Primeira_Ocorrencia]*((tblDados[GM_V]+tblDados[GS_V])&gt;1.5)))/G313,0))</f>
        <v>0.83333333333333337</v>
      </c>
      <c r="M313" s="11" cm="1">
        <f t="array" ref="M313">IF($A313="","",IFERROR((SUMPRODUCT((TRIM(tblDados[Mandante])=$A313)*tblDados[Primeira_Ocorrencia]*((tblDados[GM_M]+tblDados[GS_M])&gt;2.5))+SUMPRODUCT((TRIM(tblDados[Visitante])=$A313)*tblDados[Primeira_Ocorrencia]*((tblDados[GM_V]+tblDados[GS_V])&gt;2.5)))/G313,0))</f>
        <v>0.58333333333333337</v>
      </c>
      <c r="N313" s="11" cm="1">
        <f t="array" ref="N313">IF($A313="","",IFERROR((SUMPRODUCT((TRIM(tblDados[Mandante])=$A313)*tblDados[Primeira_Ocorrencia]*((tblDados[GM_M]+tblDados[GS_M])&gt;3.5))+SUMPRODUCT((TRIM(tblDados[Visitante])=$A313)*tblDados[Primeira_Ocorrencia]*((tblDados[GM_V]+tblDados[GS_V])&gt;3.5)))/G313,0))</f>
        <v>8.3333333333333329E-2</v>
      </c>
      <c r="O313" s="11" cm="1">
        <f t="array" ref="O313">IF($A313="","",IFERROR((SUMPRODUCT((TRIM(tblDados[Mandante])=$A313)*tblDados[Primeira_Ocorrencia]*(tblDados[GM_M]&gt;0)*(tblDados[GS_M]&gt;0))+SUMPRODUCT((TRIM(tblDados[Visitante])=$A313)*tblDados[Primeira_Ocorrencia]*(tblDados[GM_V]&gt;0)*(tblDados[GS_V]&gt;0)))/G313,0))</f>
        <v>0.5</v>
      </c>
      <c r="P313" s="10" cm="1">
        <f t="array" ref="P313">IF($A313="","",IFERROR((SUMPRODUCT((TRIM(tblDados[Mandante])=$A313)*tblDados[Primeira_Ocorrencia]*tblDados[GM_M]^2)+SUMPRODUCT((TRIM(tblDados[Visitante])=$A313)*tblDados[Primeira_Ocorrencia]*tblDados[GM_V]^2))/G313-H313^2,0))</f>
        <v>1.2430555555555558</v>
      </c>
      <c r="Q313" s="10">
        <f t="shared" si="61"/>
        <v>1.1149240133549712</v>
      </c>
      <c r="R313" s="8" t="str">
        <f t="shared" si="62"/>
        <v>Poisson</v>
      </c>
      <c r="S313" s="10" cm="1">
        <f t="array" ref="S313">IF($A313="","",SUMPRODUCT((TRIM(tblDados[Mandante])=$A313)*tblDados[Primeira_Ocorrencia]*tblDados[GM_M]))</f>
        <v>8</v>
      </c>
      <c r="T313" s="10" cm="1">
        <f t="array" ref="T313">IF($A313="","",SUMPRODUCT((TRIM(tblDados[Visitante])=$A313)*tblDados[Primeira_Ocorrencia]*tblDados[GM_V]))</f>
        <v>11</v>
      </c>
      <c r="U313" s="10">
        <f t="shared" si="63"/>
        <v>19</v>
      </c>
      <c r="V313" s="10">
        <f t="shared" si="52"/>
        <v>1.5833333333333333</v>
      </c>
      <c r="W313" s="10" cm="1">
        <f t="array" ref="W313">IF($A313="","",SUMPRODUCT((TRIM(tblDados[Mandante])=$A313)*tblDados[Primeira_Ocorrencia]*tblDados[GS_M]))</f>
        <v>5</v>
      </c>
      <c r="X313" s="10" cm="1">
        <f t="array" ref="X313">IF($A313="","",SUMPRODUCT((TRIM(tblDados[Visitante])=$A313)*tblDados[Primeira_Ocorrencia]*tblDados[GS_V]))</f>
        <v>7</v>
      </c>
      <c r="Y313" s="10">
        <f t="shared" si="64"/>
        <v>12</v>
      </c>
      <c r="Z313" s="10">
        <f t="shared" si="53"/>
        <v>1</v>
      </c>
      <c r="AA313" s="10">
        <f t="shared" si="54"/>
        <v>1.6</v>
      </c>
      <c r="AB313" s="10">
        <f t="shared" si="55"/>
        <v>1</v>
      </c>
      <c r="AC313" s="10">
        <f t="shared" si="56"/>
        <v>1.5714285714285714</v>
      </c>
      <c r="AD313" s="10">
        <f t="shared" si="57"/>
        <v>1</v>
      </c>
    </row>
    <row r="314" spans="1:30" x14ac:dyDescent="0.3">
      <c r="A314" s="7" t="str">
        <v>Manta FC</v>
      </c>
      <c r="B314" s="12" t="str" cm="1">
        <f t="array" ref="B314">IF($A314="","",_xlfn.LET(_xlpm.p,IFERROR(INDEX(tblDados[País],MATCH($A314,TRIM(tblDados[Mandante]),0)),INDEX(tblDados[País],MATCH($A314,TRIM(tblDados[Visitante]),0))),_xlpm.l,IFERROR(INDEX(tblDados[Liga],MATCH($A314,TRIM(tblDados[Mandante]),0)),INDEX(tblDados[Liga],MATCH($A314,TRIM(tblDados[Visitante]),0))),_xlpm.p&amp;" - "&amp;_xlpm.l))</f>
        <v>ECU - LigaPro Serie A</v>
      </c>
      <c r="C314" s="10">
        <f t="shared" si="58"/>
        <v>1.4285714285714284</v>
      </c>
      <c r="D314" s="10">
        <f t="shared" si="59"/>
        <v>2.4</v>
      </c>
      <c r="E314" s="9" cm="1">
        <f t="array" ref="E314">IF($A314="","",SUMPRODUCT((TRIM(tblDados[Mandante])=$A314)*tblDados[Primeira_Ocorrencia]))</f>
        <v>7</v>
      </c>
      <c r="F314" s="9" cm="1">
        <f t="array" ref="F314">IF($A314="","",SUMPRODUCT((TRIM(tblDados[Visitante])=$A314)*tblDados[Primeira_Ocorrencia]))</f>
        <v>5</v>
      </c>
      <c r="G314" s="9" cm="1">
        <f t="array" ref="G314">IF($A314="","",SUMPRODUCT((TRIM(tblDados[Mandante])=$A314)*tblDados[Primeira_Ocorrencia])+SUMPRODUCT((TRIM(tblDados[Visitante])=$A314)*tblDados[Primeira_Ocorrencia]))</f>
        <v>12</v>
      </c>
      <c r="H314" s="10">
        <f t="shared" si="60"/>
        <v>0.5</v>
      </c>
      <c r="I314" s="10" cm="1">
        <f t="array" ref="I314">IF($A314="","",_xlfn.LET(_xlpm.p,IFERROR(INDEX(tblDados[País],MATCH($A314,TRIM(tblDados[Mandante]),0)),INDEX(tblDados[País],MATCH($A314,TRIM(tblDados[Visitante]),0))),_xlpm.l,IFERROR(INDEX(tblDados[Liga],MATCH($A314,TRIM(tblDados[Mandante]),0)),INDEX(tblDados[Liga],MATCH($A314,TRIM(tblDados[Visitante]),0))),IFERROR(SUMIFS(Ligas!$D$2:$D$39,Ligas!$H$2:$H$39,_xlpm.p,Ligas!$I$2:$I$39,_xlpm.l),0)))</f>
        <v>2.5</v>
      </c>
      <c r="J314" s="11" cm="1">
        <f t="array" ref="J314">IF($A314="","",IFERROR((SUMPRODUCT((TRIM(tblDados[Mandante])=$A314)*tblDados[Primeira_Ocorrencia]*(tblDados[GM_M]=0))+SUMPRODUCT((TRIM(tblDados[Visitante])=$A314)*tblDados[Primeira_Ocorrencia]*(tblDados[GM_V]=0)))/G314,0))</f>
        <v>0.58333333333333337</v>
      </c>
      <c r="K314" s="11" cm="1">
        <f t="array" ref="K314">IF($A314="","",IFERROR((SUMPRODUCT((TRIM(tblDados[Mandante])=$A314)*tblDados[Primeira_Ocorrencia]*((tblDados[GM_M]+tblDados[GS_M])&gt;0.5))+SUMPRODUCT((TRIM(tblDados[Visitante])=$A314)*tblDados[Primeira_Ocorrencia]*((tblDados[GM_V]+tblDados[GS_V])&gt;0.5)))/G314,0))</f>
        <v>0.83333333333333337</v>
      </c>
      <c r="L314" s="11" cm="1">
        <f t="array" ref="L314">IF($A314="","",IFERROR((SUMPRODUCT((TRIM(tblDados[Mandante])=$A314)*tblDados[Primeira_Ocorrencia]*((tblDados[GM_M]+tblDados[GS_M])&gt;1.5))+SUMPRODUCT((TRIM(tblDados[Visitante])=$A314)*tblDados[Primeira_Ocorrencia]*((tblDados[GM_V]+tblDados[GS_V])&gt;1.5)))/G314,0))</f>
        <v>0.5</v>
      </c>
      <c r="M314" s="11" cm="1">
        <f t="array" ref="M314">IF($A314="","",IFERROR((SUMPRODUCT((TRIM(tblDados[Mandante])=$A314)*tblDados[Primeira_Ocorrencia]*((tblDados[GM_M]+tblDados[GS_M])&gt;2.5))+SUMPRODUCT((TRIM(tblDados[Visitante])=$A314)*tblDados[Primeira_Ocorrencia]*((tblDados[GM_V]+tblDados[GS_V])&gt;2.5)))/G314,0))</f>
        <v>0.33333333333333331</v>
      </c>
      <c r="N314" s="11" cm="1">
        <f t="array" ref="N314">IF($A314="","",IFERROR((SUMPRODUCT((TRIM(tblDados[Mandante])=$A314)*tblDados[Primeira_Ocorrencia]*((tblDados[GM_M]+tblDados[GS_M])&gt;3.5))+SUMPRODUCT((TRIM(tblDados[Visitante])=$A314)*tblDados[Primeira_Ocorrencia]*((tblDados[GM_V]+tblDados[GS_V])&gt;3.5)))/G314,0))</f>
        <v>0.16666666666666666</v>
      </c>
      <c r="O314" s="11" cm="1">
        <f t="array" ref="O314">IF($A314="","",IFERROR((SUMPRODUCT((TRIM(tblDados[Mandante])=$A314)*tblDados[Primeira_Ocorrencia]*(tblDados[GM_M]&gt;0)*(tblDados[GS_M]&gt;0))+SUMPRODUCT((TRIM(tblDados[Visitante])=$A314)*tblDados[Primeira_Ocorrencia]*(tblDados[GM_V]&gt;0)*(tblDados[GS_V]&gt;0)))/G314,0))</f>
        <v>0.41666666666666669</v>
      </c>
      <c r="P314" s="10" cm="1">
        <f t="array" ref="P314">IF($A314="","",IFERROR((SUMPRODUCT((TRIM(tblDados[Mandante])=$A314)*tblDados[Primeira_Ocorrencia]*tblDados[GM_M]^2)+SUMPRODUCT((TRIM(tblDados[Visitante])=$A314)*tblDados[Primeira_Ocorrencia]*tblDados[GM_V]^2))/G314-H314^2,0))</f>
        <v>0.41666666666666663</v>
      </c>
      <c r="Q314" s="10">
        <f t="shared" si="61"/>
        <v>0.6454972243679028</v>
      </c>
      <c r="R314" s="8" t="str">
        <f t="shared" si="62"/>
        <v>Poisson</v>
      </c>
      <c r="S314" s="10" cm="1">
        <f t="array" ref="S314">IF($A314="","",SUMPRODUCT((TRIM(tblDados[Mandante])=$A314)*tblDados[Primeira_Ocorrencia]*tblDados[GM_M]))</f>
        <v>4</v>
      </c>
      <c r="T314" s="10" cm="1">
        <f t="array" ref="T314">IF($A314="","",SUMPRODUCT((TRIM(tblDados[Visitante])=$A314)*tblDados[Primeira_Ocorrencia]*tblDados[GM_V]))</f>
        <v>2</v>
      </c>
      <c r="U314" s="10">
        <f t="shared" si="63"/>
        <v>6</v>
      </c>
      <c r="V314" s="10">
        <f t="shared" si="52"/>
        <v>0.5</v>
      </c>
      <c r="W314" s="10" cm="1">
        <f t="array" ref="W314">IF($A314="","",SUMPRODUCT((TRIM(tblDados[Mandante])=$A314)*tblDados[Primeira_Ocorrencia]*tblDados[GS_M]))</f>
        <v>6</v>
      </c>
      <c r="X314" s="10" cm="1">
        <f t="array" ref="X314">IF($A314="","",SUMPRODUCT((TRIM(tblDados[Visitante])=$A314)*tblDados[Primeira_Ocorrencia]*tblDados[GS_V]))</f>
        <v>10</v>
      </c>
      <c r="Y314" s="10">
        <f t="shared" si="64"/>
        <v>16</v>
      </c>
      <c r="Z314" s="10">
        <f t="shared" si="53"/>
        <v>1.3333333333333333</v>
      </c>
      <c r="AA314" s="10">
        <f t="shared" si="54"/>
        <v>0.5714285714285714</v>
      </c>
      <c r="AB314" s="10">
        <f t="shared" si="55"/>
        <v>0.8571428571428571</v>
      </c>
      <c r="AC314" s="10">
        <f t="shared" si="56"/>
        <v>0.4</v>
      </c>
      <c r="AD314" s="10">
        <f t="shared" si="57"/>
        <v>2</v>
      </c>
    </row>
    <row r="315" spans="1:30" x14ac:dyDescent="0.3">
      <c r="A315" s="7" t="str">
        <v>Marconi Stallions</v>
      </c>
      <c r="B315" s="12" t="str" cm="1">
        <f t="array" ref="B315">IF($A315="","",_xlfn.LET(_xlpm.p,IFERROR(INDEX(tblDados[País],MATCH($A315,TRIM(tblDados[Mandante]),0)),INDEX(tblDados[País],MATCH($A315,TRIM(tblDados[Visitante]),0))),_xlpm.l,IFERROR(INDEX(tblDados[Liga],MATCH($A315,TRIM(tblDados[Mandante]),0)),INDEX(tblDados[Liga],MATCH($A315,TRIM(tblDados[Visitante]),0))),_xlpm.p&amp;" - "&amp;_xlpm.l))</f>
        <v>AUS - NPL New South Wales</v>
      </c>
      <c r="C315" s="10">
        <f t="shared" si="58"/>
        <v>1.4444444444444444</v>
      </c>
      <c r="D315" s="10">
        <f t="shared" si="59"/>
        <v>3</v>
      </c>
      <c r="E315" s="9" cm="1">
        <f t="array" ref="E315">IF($A315="","",SUMPRODUCT((TRIM(tblDados[Mandante])=$A315)*tblDados[Primeira_Ocorrencia]))</f>
        <v>9</v>
      </c>
      <c r="F315" s="9" cm="1">
        <f t="array" ref="F315">IF($A315="","",SUMPRODUCT((TRIM(tblDados[Visitante])=$A315)*tblDados[Primeira_Ocorrencia]))</f>
        <v>3</v>
      </c>
      <c r="G315" s="9" cm="1">
        <f t="array" ref="G315">IF($A315="","",SUMPRODUCT((TRIM(tblDados[Mandante])=$A315)*tblDados[Primeira_Ocorrencia])+SUMPRODUCT((TRIM(tblDados[Visitante])=$A315)*tblDados[Primeira_Ocorrencia]))</f>
        <v>12</v>
      </c>
      <c r="H315" s="10">
        <f t="shared" si="60"/>
        <v>1.0833333333333333</v>
      </c>
      <c r="I315" s="10" cm="1">
        <f t="array" ref="I315">IF($A315="","",_xlfn.LET(_xlpm.p,IFERROR(INDEX(tblDados[País],MATCH($A315,TRIM(tblDados[Mandante]),0)),INDEX(tblDados[País],MATCH($A315,TRIM(tblDados[Visitante]),0))),_xlpm.l,IFERROR(INDEX(tblDados[Liga],MATCH($A315,TRIM(tblDados[Mandante]),0)),INDEX(tblDados[Liga],MATCH($A315,TRIM(tblDados[Visitante]),0))),IFERROR(SUMIFS(Ligas!$D$2:$D$39,Ligas!$H$2:$H$39,_xlpm.p,Ligas!$I$2:$I$39,_xlpm.l),0)))</f>
        <v>3.61</v>
      </c>
      <c r="J315" s="11" cm="1">
        <f t="array" ref="J315">IF($A315="","",IFERROR((SUMPRODUCT((TRIM(tblDados[Mandante])=$A315)*tblDados[Primeira_Ocorrencia]*(tblDados[GM_M]=0))+SUMPRODUCT((TRIM(tblDados[Visitante])=$A315)*tblDados[Primeira_Ocorrencia]*(tblDados[GM_V]=0)))/G315,0))</f>
        <v>0.25</v>
      </c>
      <c r="K315" s="11" cm="1">
        <f t="array" ref="K315">IF($A315="","",IFERROR((SUMPRODUCT((TRIM(tblDados[Mandante])=$A315)*tblDados[Primeira_Ocorrencia]*((tblDados[GM_M]+tblDados[GS_M])&gt;0.5))+SUMPRODUCT((TRIM(tblDados[Visitante])=$A315)*tblDados[Primeira_Ocorrencia]*((tblDados[GM_V]+tblDados[GS_V])&gt;0.5)))/G315,0))</f>
        <v>0.91666666666666663</v>
      </c>
      <c r="L315" s="11" cm="1">
        <f t="array" ref="L315">IF($A315="","",IFERROR((SUMPRODUCT((TRIM(tblDados[Mandante])=$A315)*tblDados[Primeira_Ocorrencia]*((tblDados[GM_M]+tblDados[GS_M])&gt;1.5))+SUMPRODUCT((TRIM(tblDados[Visitante])=$A315)*tblDados[Primeira_Ocorrencia]*((tblDados[GM_V]+tblDados[GS_V])&gt;1.5)))/G315,0))</f>
        <v>0.58333333333333337</v>
      </c>
      <c r="M315" s="11" cm="1">
        <f t="array" ref="M315">IF($A315="","",IFERROR((SUMPRODUCT((TRIM(tblDados[Mandante])=$A315)*tblDados[Primeira_Ocorrencia]*((tblDados[GM_M]+tblDados[GS_M])&gt;2.5))+SUMPRODUCT((TRIM(tblDados[Visitante])=$A315)*tblDados[Primeira_Ocorrencia]*((tblDados[GM_V]+tblDados[GS_V])&gt;2.5)))/G315,0))</f>
        <v>0.25</v>
      </c>
      <c r="N315" s="11" cm="1">
        <f t="array" ref="N315">IF($A315="","",IFERROR((SUMPRODUCT((TRIM(tblDados[Mandante])=$A315)*tblDados[Primeira_Ocorrencia]*((tblDados[GM_M]+tblDados[GS_M])&gt;3.5))+SUMPRODUCT((TRIM(tblDados[Visitante])=$A315)*tblDados[Primeira_Ocorrencia]*((tblDados[GM_V]+tblDados[GS_V])&gt;3.5)))/G315,0))</f>
        <v>8.3333333333333329E-2</v>
      </c>
      <c r="O315" s="11" cm="1">
        <f t="array" ref="O315">IF($A315="","",IFERROR((SUMPRODUCT((TRIM(tblDados[Mandante])=$A315)*tblDados[Primeira_Ocorrencia]*(tblDados[GM_M]&gt;0)*(tblDados[GS_M]&gt;0))+SUMPRODUCT((TRIM(tblDados[Visitante])=$A315)*tblDados[Primeira_Ocorrencia]*(tblDados[GM_V]&gt;0)*(tblDados[GS_V]&gt;0)))/G315,0))</f>
        <v>0.33333333333333331</v>
      </c>
      <c r="P315" s="10" cm="1">
        <f t="array" ref="P315">IF($A315="","",IFERROR((SUMPRODUCT((TRIM(tblDados[Mandante])=$A315)*tblDados[Primeira_Ocorrencia]*tblDados[GM_M]^2)+SUMPRODUCT((TRIM(tblDados[Visitante])=$A315)*tblDados[Primeira_Ocorrencia]*tblDados[GM_V]^2))/G315-H315^2,0))</f>
        <v>0.7430555555555558</v>
      </c>
      <c r="Q315" s="10">
        <f t="shared" si="61"/>
        <v>0.86200670273238356</v>
      </c>
      <c r="R315" s="8" t="str">
        <f t="shared" si="62"/>
        <v>Poisson</v>
      </c>
      <c r="S315" s="10" cm="1">
        <f t="array" ref="S315">IF($A315="","",SUMPRODUCT((TRIM(tblDados[Mandante])=$A315)*tblDados[Primeira_Ocorrencia]*tblDados[GM_M]))</f>
        <v>10</v>
      </c>
      <c r="T315" s="10" cm="1">
        <f t="array" ref="T315">IF($A315="","",SUMPRODUCT((TRIM(tblDados[Visitante])=$A315)*tblDados[Primeira_Ocorrencia]*tblDados[GM_V]))</f>
        <v>3</v>
      </c>
      <c r="U315" s="10">
        <f t="shared" si="63"/>
        <v>13</v>
      </c>
      <c r="V315" s="10">
        <f t="shared" si="52"/>
        <v>1.0833333333333333</v>
      </c>
      <c r="W315" s="10" cm="1">
        <f t="array" ref="W315">IF($A315="","",SUMPRODUCT((TRIM(tblDados[Mandante])=$A315)*tblDados[Primeira_Ocorrencia]*tblDados[GS_M]))</f>
        <v>3</v>
      </c>
      <c r="X315" s="10" cm="1">
        <f t="array" ref="X315">IF($A315="","",SUMPRODUCT((TRIM(tblDados[Visitante])=$A315)*tblDados[Primeira_Ocorrencia]*tblDados[GS_V]))</f>
        <v>6</v>
      </c>
      <c r="Y315" s="10">
        <f t="shared" si="64"/>
        <v>9</v>
      </c>
      <c r="Z315" s="10">
        <f t="shared" si="53"/>
        <v>0.75</v>
      </c>
      <c r="AA315" s="10">
        <f t="shared" si="54"/>
        <v>1.1111111111111112</v>
      </c>
      <c r="AB315" s="10">
        <f t="shared" si="55"/>
        <v>0.33333333333333331</v>
      </c>
      <c r="AC315" s="10">
        <f t="shared" si="56"/>
        <v>1</v>
      </c>
      <c r="AD315" s="10">
        <f t="shared" si="57"/>
        <v>2</v>
      </c>
    </row>
    <row r="316" spans="1:30" x14ac:dyDescent="0.3">
      <c r="A316" s="7" t="str">
        <v>Maringá</v>
      </c>
      <c r="B316" s="12" t="str" cm="1">
        <f t="array" ref="B316">IF($A316="","",_xlfn.LET(_xlpm.p,IFERROR(INDEX(tblDados[País],MATCH($A316,TRIM(tblDados[Mandante]),0)),INDEX(tblDados[País],MATCH($A316,TRIM(tblDados[Visitante]),0))),_xlpm.l,IFERROR(INDEX(tblDados[Liga],MATCH($A316,TRIM(tblDados[Mandante]),0)),INDEX(tblDados[Liga],MATCH($A316,TRIM(tblDados[Visitante]),0))),_xlpm.p&amp;" - "&amp;_xlpm.l))</f>
        <v>BRA - Série C</v>
      </c>
      <c r="C316" s="10">
        <f t="shared" si="58"/>
        <v>3.333333333333333</v>
      </c>
      <c r="D316" s="10">
        <f t="shared" si="59"/>
        <v>2.8333333333333335</v>
      </c>
      <c r="E316" s="9" cm="1">
        <f t="array" ref="E316">IF($A316="","",SUMPRODUCT((TRIM(tblDados[Mandante])=$A316)*tblDados[Primeira_Ocorrencia]))</f>
        <v>6</v>
      </c>
      <c r="F316" s="9" cm="1">
        <f t="array" ref="F316">IF($A316="","",SUMPRODUCT((TRIM(tblDados[Visitante])=$A316)*tblDados[Primeira_Ocorrencia]))</f>
        <v>6</v>
      </c>
      <c r="G316" s="9" cm="1">
        <f t="array" ref="G316">IF($A316="","",SUMPRODUCT((TRIM(tblDados[Mandante])=$A316)*tblDados[Primeira_Ocorrencia])+SUMPRODUCT((TRIM(tblDados[Visitante])=$A316)*tblDados[Primeira_Ocorrencia]))</f>
        <v>12</v>
      </c>
      <c r="H316" s="10">
        <f t="shared" si="60"/>
        <v>1.5833333333333333</v>
      </c>
      <c r="I316" s="10" cm="1">
        <f t="array" ref="I316">IF($A316="","",_xlfn.LET(_xlpm.p,IFERROR(INDEX(tblDados[País],MATCH($A316,TRIM(tblDados[Mandante]),0)),INDEX(tblDados[País],MATCH($A316,TRIM(tblDados[Visitante]),0))),_xlpm.l,IFERROR(INDEX(tblDados[Liga],MATCH($A316,TRIM(tblDados[Mandante]),0)),INDEX(tblDados[Liga],MATCH($A316,TRIM(tblDados[Visitante]),0))),IFERROR(SUMIFS(Ligas!$D$2:$D$39,Ligas!$H$2:$H$39,_xlpm.p,Ligas!$I$2:$I$39,_xlpm.l),0)))</f>
        <v>2.09</v>
      </c>
      <c r="J316" s="11" cm="1">
        <f t="array" ref="J316">IF($A316="","",IFERROR((SUMPRODUCT((TRIM(tblDados[Mandante])=$A316)*tblDados[Primeira_Ocorrencia]*(tblDados[GM_M]=0))+SUMPRODUCT((TRIM(tblDados[Visitante])=$A316)*tblDados[Primeira_Ocorrencia]*(tblDados[GM_V]=0)))/G316,0))</f>
        <v>0.25</v>
      </c>
      <c r="K316" s="11" cm="1">
        <f t="array" ref="K316">IF($A316="","",IFERROR((SUMPRODUCT((TRIM(tblDados[Mandante])=$A316)*tblDados[Primeira_Ocorrencia]*((tblDados[GM_M]+tblDados[GS_M])&gt;0.5))+SUMPRODUCT((TRIM(tblDados[Visitante])=$A316)*tblDados[Primeira_Ocorrencia]*((tblDados[GM_V]+tblDados[GS_V])&gt;0.5)))/G316,0))</f>
        <v>0.91666666666666663</v>
      </c>
      <c r="L316" s="11" cm="1">
        <f t="array" ref="L316">IF($A316="","",IFERROR((SUMPRODUCT((TRIM(tblDados[Mandante])=$A316)*tblDados[Primeira_Ocorrencia]*((tblDados[GM_M]+tblDados[GS_M])&gt;1.5))+SUMPRODUCT((TRIM(tblDados[Visitante])=$A316)*tblDados[Primeira_Ocorrencia]*((tblDados[GM_V]+tblDados[GS_V])&gt;1.5)))/G316,0))</f>
        <v>0.83333333333333337</v>
      </c>
      <c r="M316" s="11" cm="1">
        <f t="array" ref="M316">IF($A316="","",IFERROR((SUMPRODUCT((TRIM(tblDados[Mandante])=$A316)*tblDados[Primeira_Ocorrencia]*((tblDados[GM_M]+tblDados[GS_M])&gt;2.5))+SUMPRODUCT((TRIM(tblDados[Visitante])=$A316)*tblDados[Primeira_Ocorrencia]*((tblDados[GM_V]+tblDados[GS_V])&gt;2.5)))/G316,0))</f>
        <v>0.58333333333333337</v>
      </c>
      <c r="N316" s="11" cm="1">
        <f t="array" ref="N316">IF($A316="","",IFERROR((SUMPRODUCT((TRIM(tblDados[Mandante])=$A316)*tblDados[Primeira_Ocorrencia]*((tblDados[GM_M]+tblDados[GS_M])&gt;3.5))+SUMPRODUCT((TRIM(tblDados[Visitante])=$A316)*tblDados[Primeira_Ocorrencia]*((tblDados[GM_V]+tblDados[GS_V])&gt;3.5)))/G316,0))</f>
        <v>0.41666666666666669</v>
      </c>
      <c r="O316" s="11" cm="1">
        <f t="array" ref="O316">IF($A316="","",IFERROR((SUMPRODUCT((TRIM(tblDados[Mandante])=$A316)*tblDados[Primeira_Ocorrencia]*(tblDados[GM_M]&gt;0)*(tblDados[GS_M]&gt;0))+SUMPRODUCT((TRIM(tblDados[Visitante])=$A316)*tblDados[Primeira_Ocorrencia]*(tblDados[GM_V]&gt;0)*(tblDados[GS_V]&gt;0)))/G316,0))</f>
        <v>0.58333333333333337</v>
      </c>
      <c r="P316" s="10" cm="1">
        <f t="array" ref="P316">IF($A316="","",IFERROR((SUMPRODUCT((TRIM(tblDados[Mandante])=$A316)*tblDados[Primeira_Ocorrencia]*tblDados[GM_M]^2)+SUMPRODUCT((TRIM(tblDados[Visitante])=$A316)*tblDados[Primeira_Ocorrencia]*tblDados[GM_V]^2))/G316-H316^2,0))</f>
        <v>2.2430555555555558</v>
      </c>
      <c r="Q316" s="10">
        <f t="shared" si="61"/>
        <v>1.4976833963009524</v>
      </c>
      <c r="R316" s="8" t="str">
        <f t="shared" si="62"/>
        <v>Poisson</v>
      </c>
      <c r="S316" s="10" cm="1">
        <f t="array" ref="S316">IF($A316="","",SUMPRODUCT((TRIM(tblDados[Mandante])=$A316)*tblDados[Primeira_Ocorrencia]*tblDados[GM_M]))</f>
        <v>9</v>
      </c>
      <c r="T316" s="10" cm="1">
        <f t="array" ref="T316">IF($A316="","",SUMPRODUCT((TRIM(tblDados[Visitante])=$A316)*tblDados[Primeira_Ocorrencia]*tblDados[GM_V]))</f>
        <v>10</v>
      </c>
      <c r="U316" s="10">
        <f t="shared" si="63"/>
        <v>19</v>
      </c>
      <c r="V316" s="10">
        <f t="shared" si="52"/>
        <v>1.5833333333333333</v>
      </c>
      <c r="W316" s="10" cm="1">
        <f t="array" ref="W316">IF($A316="","",SUMPRODUCT((TRIM(tblDados[Mandante])=$A316)*tblDados[Primeira_Ocorrencia]*tblDados[GS_M]))</f>
        <v>11</v>
      </c>
      <c r="X316" s="10" cm="1">
        <f t="array" ref="X316">IF($A316="","",SUMPRODUCT((TRIM(tblDados[Visitante])=$A316)*tblDados[Primeira_Ocorrencia]*tblDados[GS_V]))</f>
        <v>7</v>
      </c>
      <c r="Y316" s="10">
        <f t="shared" si="64"/>
        <v>18</v>
      </c>
      <c r="Z316" s="10">
        <f t="shared" si="53"/>
        <v>1.5</v>
      </c>
      <c r="AA316" s="10">
        <f t="shared" si="54"/>
        <v>1.5</v>
      </c>
      <c r="AB316" s="10">
        <f t="shared" si="55"/>
        <v>1.8333333333333333</v>
      </c>
      <c r="AC316" s="10">
        <f t="shared" si="56"/>
        <v>1.6666666666666667</v>
      </c>
      <c r="AD316" s="10">
        <f t="shared" si="57"/>
        <v>1.1666666666666667</v>
      </c>
    </row>
    <row r="317" spans="1:30" x14ac:dyDescent="0.3">
      <c r="A317" s="7" t="str">
        <v>Melbourne City U21</v>
      </c>
      <c r="B317" s="12" t="str" cm="1">
        <f t="array" ref="B317">IF($A317="","",_xlfn.LET(_xlpm.p,IFERROR(INDEX(tblDados[País],MATCH($A317,TRIM(tblDados[Mandante]),0)),INDEX(tblDados[País],MATCH($A317,TRIM(tblDados[Visitante]),0))),_xlpm.l,IFERROR(INDEX(tblDados[Liga],MATCH($A317,TRIM(tblDados[Mandante]),0)),INDEX(tblDados[Liga],MATCH($A317,TRIM(tblDados[Visitante]),0))),_xlpm.p&amp;" - "&amp;_xlpm.l))</f>
        <v>AUS - NPL Victoria</v>
      </c>
      <c r="C317" s="10">
        <f t="shared" si="58"/>
        <v>3</v>
      </c>
      <c r="D317" s="10">
        <f t="shared" si="59"/>
        <v>3.125</v>
      </c>
      <c r="E317" s="9" cm="1">
        <f t="array" ref="E317">IF($A317="","",SUMPRODUCT((TRIM(tblDados[Mandante])=$A317)*tblDados[Primeira_Ocorrencia]))</f>
        <v>4</v>
      </c>
      <c r="F317" s="9" cm="1">
        <f t="array" ref="F317">IF($A317="","",SUMPRODUCT((TRIM(tblDados[Visitante])=$A317)*tblDados[Primeira_Ocorrencia]))</f>
        <v>8</v>
      </c>
      <c r="G317" s="9" cm="1">
        <f t="array" ref="G317">IF($A317="","",SUMPRODUCT((TRIM(tblDados[Mandante])=$A317)*tblDados[Primeira_Ocorrencia])+SUMPRODUCT((TRIM(tblDados[Visitante])=$A317)*tblDados[Primeira_Ocorrencia]))</f>
        <v>12</v>
      </c>
      <c r="H317" s="10">
        <f t="shared" si="60"/>
        <v>2</v>
      </c>
      <c r="I317" s="10" cm="1">
        <f t="array" ref="I317">IF($A317="","",_xlfn.LET(_xlpm.p,IFERROR(INDEX(tblDados[País],MATCH($A317,TRIM(tblDados[Mandante]),0)),INDEX(tblDados[País],MATCH($A317,TRIM(tblDados[Visitante]),0))),_xlpm.l,IFERROR(INDEX(tblDados[Liga],MATCH($A317,TRIM(tblDados[Mandante]),0)),INDEX(tblDados[Liga],MATCH($A317,TRIM(tblDados[Visitante]),0))),IFERROR(SUMIFS(Ligas!$D$2:$D$39,Ligas!$H$2:$H$39,_xlpm.p,Ligas!$I$2:$I$39,_xlpm.l),0)))</f>
        <v>2.89</v>
      </c>
      <c r="J317" s="11" cm="1">
        <f t="array" ref="J317">IF($A317="","",IFERROR((SUMPRODUCT((TRIM(tblDados[Mandante])=$A317)*tblDados[Primeira_Ocorrencia]*(tblDados[GM_M]=0))+SUMPRODUCT((TRIM(tblDados[Visitante])=$A317)*tblDados[Primeira_Ocorrencia]*(tblDados[GM_V]=0)))/G317,0))</f>
        <v>0.25</v>
      </c>
      <c r="K317" s="11" cm="1">
        <f t="array" ref="K317">IF($A317="","",IFERROR((SUMPRODUCT((TRIM(tblDados[Mandante])=$A317)*tblDados[Primeira_Ocorrencia]*((tblDados[GM_M]+tblDados[GS_M])&gt;0.5))+SUMPRODUCT((TRIM(tblDados[Visitante])=$A317)*tblDados[Primeira_Ocorrencia]*((tblDados[GM_V]+tblDados[GS_V])&gt;0.5)))/G317,0))</f>
        <v>1</v>
      </c>
      <c r="L317" s="11" cm="1">
        <f t="array" ref="L317">IF($A317="","",IFERROR((SUMPRODUCT((TRIM(tblDados[Mandante])=$A317)*tblDados[Primeira_Ocorrencia]*((tblDados[GM_M]+tblDados[GS_M])&gt;1.5))+SUMPRODUCT((TRIM(tblDados[Visitante])=$A317)*tblDados[Primeira_Ocorrencia]*((tblDados[GM_V]+tblDados[GS_V])&gt;1.5)))/G317,0))</f>
        <v>0.75</v>
      </c>
      <c r="M317" s="11" cm="1">
        <f t="array" ref="M317">IF($A317="","",IFERROR((SUMPRODUCT((TRIM(tblDados[Mandante])=$A317)*tblDados[Primeira_Ocorrencia]*((tblDados[GM_M]+tblDados[GS_M])&gt;2.5))+SUMPRODUCT((TRIM(tblDados[Visitante])=$A317)*tblDados[Primeira_Ocorrencia]*((tblDados[GM_V]+tblDados[GS_V])&gt;2.5)))/G317,0))</f>
        <v>0.58333333333333337</v>
      </c>
      <c r="N317" s="11" cm="1">
        <f t="array" ref="N317">IF($A317="","",IFERROR((SUMPRODUCT((TRIM(tblDados[Mandante])=$A317)*tblDados[Primeira_Ocorrencia]*((tblDados[GM_M]+tblDados[GS_M])&gt;3.5))+SUMPRODUCT((TRIM(tblDados[Visitante])=$A317)*tblDados[Primeira_Ocorrencia]*((tblDados[GM_V]+tblDados[GS_V])&gt;3.5)))/G317,0))</f>
        <v>0.41666666666666669</v>
      </c>
      <c r="O317" s="11" cm="1">
        <f t="array" ref="O317">IF($A317="","",IFERROR((SUMPRODUCT((TRIM(tblDados[Mandante])=$A317)*tblDados[Primeira_Ocorrencia]*(tblDados[GM_M]&gt;0)*(tblDados[GS_M]&gt;0))+SUMPRODUCT((TRIM(tblDados[Visitante])=$A317)*tblDados[Primeira_Ocorrencia]*(tblDados[GM_V]&gt;0)*(tblDados[GS_V]&gt;0)))/G317,0))</f>
        <v>0.41666666666666669</v>
      </c>
      <c r="P317" s="10" cm="1">
        <f t="array" ref="P317">IF($A317="","",IFERROR((SUMPRODUCT((TRIM(tblDados[Mandante])=$A317)*tblDados[Primeira_Ocorrencia]*tblDados[GM_M]^2)+SUMPRODUCT((TRIM(tblDados[Visitante])=$A317)*tblDados[Primeira_Ocorrencia]*tblDados[GM_V]^2))/G317-H317^2,0))</f>
        <v>3.333333333333333</v>
      </c>
      <c r="Q317" s="10">
        <f t="shared" si="61"/>
        <v>1.8257418583505536</v>
      </c>
      <c r="R317" s="8" t="str">
        <f t="shared" si="62"/>
        <v>Binomial Negativa</v>
      </c>
      <c r="S317" s="10" cm="1">
        <f t="array" ref="S317">IF($A317="","",SUMPRODUCT((TRIM(tblDados[Mandante])=$A317)*tblDados[Primeira_Ocorrencia]*tblDados[GM_M]))</f>
        <v>6</v>
      </c>
      <c r="T317" s="10" cm="1">
        <f t="array" ref="T317">IF($A317="","",SUMPRODUCT((TRIM(tblDados[Visitante])=$A317)*tblDados[Primeira_Ocorrencia]*tblDados[GM_V]))</f>
        <v>18</v>
      </c>
      <c r="U317" s="10">
        <f t="shared" si="63"/>
        <v>24</v>
      </c>
      <c r="V317" s="10">
        <f t="shared" si="52"/>
        <v>2</v>
      </c>
      <c r="W317" s="10" cm="1">
        <f t="array" ref="W317">IF($A317="","",SUMPRODUCT((TRIM(tblDados[Mandante])=$A317)*tblDados[Primeira_Ocorrencia]*tblDados[GS_M]))</f>
        <v>6</v>
      </c>
      <c r="X317" s="10" cm="1">
        <f t="array" ref="X317">IF($A317="","",SUMPRODUCT((TRIM(tblDados[Visitante])=$A317)*tblDados[Primeira_Ocorrencia]*tblDados[GS_V]))</f>
        <v>7</v>
      </c>
      <c r="Y317" s="10">
        <f t="shared" si="64"/>
        <v>13</v>
      </c>
      <c r="Z317" s="10">
        <f t="shared" si="53"/>
        <v>1.0833333333333333</v>
      </c>
      <c r="AA317" s="10">
        <f t="shared" si="54"/>
        <v>1.5</v>
      </c>
      <c r="AB317" s="10">
        <f t="shared" si="55"/>
        <v>1.5</v>
      </c>
      <c r="AC317" s="10">
        <f t="shared" si="56"/>
        <v>2.25</v>
      </c>
      <c r="AD317" s="10">
        <f t="shared" si="57"/>
        <v>0.875</v>
      </c>
    </row>
    <row r="318" spans="1:30" x14ac:dyDescent="0.3">
      <c r="A318" s="7" t="str">
        <v>Mikkeli</v>
      </c>
      <c r="B318" s="12" t="str" cm="1">
        <f t="array" ref="B318">IF($A318="","",_xlfn.LET(_xlpm.p,IFERROR(INDEX(tblDados[País],MATCH($A318,TRIM(tblDados[Mandante]),0)),INDEX(tblDados[País],MATCH($A318,TRIM(tblDados[Visitante]),0))),_xlpm.l,IFERROR(INDEX(tblDados[Liga],MATCH($A318,TRIM(tblDados[Mandante]),0)),INDEX(tblDados[Liga],MATCH($A318,TRIM(tblDados[Visitante]),0))),_xlpm.p&amp;" - "&amp;_xlpm.l))</f>
        <v>FIN - Ykkösliiga</v>
      </c>
      <c r="C318" s="10">
        <f t="shared" si="58"/>
        <v>3.4</v>
      </c>
      <c r="D318" s="10">
        <f t="shared" si="59"/>
        <v>2.4285714285714284</v>
      </c>
      <c r="E318" s="9" cm="1">
        <f t="array" ref="E318">IF($A318="","",SUMPRODUCT((TRIM(tblDados[Mandante])=$A318)*tblDados[Primeira_Ocorrencia]))</f>
        <v>5</v>
      </c>
      <c r="F318" s="9" cm="1">
        <f t="array" ref="F318">IF($A318="","",SUMPRODUCT((TRIM(tblDados[Visitante])=$A318)*tblDados[Primeira_Ocorrencia]))</f>
        <v>7</v>
      </c>
      <c r="G318" s="9" cm="1">
        <f t="array" ref="G318">IF($A318="","",SUMPRODUCT((TRIM(tblDados[Mandante])=$A318)*tblDados[Primeira_Ocorrencia])+SUMPRODUCT((TRIM(tblDados[Visitante])=$A318)*tblDados[Primeira_Ocorrencia]))</f>
        <v>12</v>
      </c>
      <c r="H318" s="10">
        <f t="shared" si="60"/>
        <v>1.3333333333333333</v>
      </c>
      <c r="I318" s="10" cm="1">
        <f t="array" ref="I318">IF($A318="","",_xlfn.LET(_xlpm.p,IFERROR(INDEX(tblDados[País],MATCH($A318,TRIM(tblDados[Mandante]),0)),INDEX(tblDados[País],MATCH($A318,TRIM(tblDados[Visitante]),0))),_xlpm.l,IFERROR(INDEX(tblDados[Liga],MATCH($A318,TRIM(tblDados[Mandante]),0)),INDEX(tblDados[Liga],MATCH($A318,TRIM(tblDados[Visitante]),0))),IFERROR(SUMIFS(Ligas!$D$2:$D$39,Ligas!$H$2:$H$39,_xlpm.p,Ligas!$I$2:$I$39,_xlpm.l),0)))</f>
        <v>2.5099999999999998</v>
      </c>
      <c r="J318" s="11" cm="1">
        <f t="array" ref="J318">IF($A318="","",IFERROR((SUMPRODUCT((TRIM(tblDados[Mandante])=$A318)*tblDados[Primeira_Ocorrencia]*(tblDados[GM_M]=0))+SUMPRODUCT((TRIM(tblDados[Visitante])=$A318)*tblDados[Primeira_Ocorrencia]*(tblDados[GM_V]=0)))/G318,0))</f>
        <v>0.16666666666666666</v>
      </c>
      <c r="K318" s="11" cm="1">
        <f t="array" ref="K318">IF($A318="","",IFERROR((SUMPRODUCT((TRIM(tblDados[Mandante])=$A318)*tblDados[Primeira_Ocorrencia]*((tblDados[GM_M]+tblDados[GS_M])&gt;0.5))+SUMPRODUCT((TRIM(tblDados[Visitante])=$A318)*tblDados[Primeira_Ocorrencia]*((tblDados[GM_V]+tblDados[GS_V])&gt;0.5)))/G318,0))</f>
        <v>1</v>
      </c>
      <c r="L318" s="11" cm="1">
        <f t="array" ref="L318">IF($A318="","",IFERROR((SUMPRODUCT((TRIM(tblDados[Mandante])=$A318)*tblDados[Primeira_Ocorrencia]*((tblDados[GM_M]+tblDados[GS_M])&gt;1.5))+SUMPRODUCT((TRIM(tblDados[Visitante])=$A318)*tblDados[Primeira_Ocorrencia]*((tblDados[GM_V]+tblDados[GS_V])&gt;1.5)))/G318,0))</f>
        <v>0.75</v>
      </c>
      <c r="M318" s="11" cm="1">
        <f t="array" ref="M318">IF($A318="","",IFERROR((SUMPRODUCT((TRIM(tblDados[Mandante])=$A318)*tblDados[Primeira_Ocorrencia]*((tblDados[GM_M]+tblDados[GS_M])&gt;2.5))+SUMPRODUCT((TRIM(tblDados[Visitante])=$A318)*tblDados[Primeira_Ocorrencia]*((tblDados[GM_V]+tblDados[GS_V])&gt;2.5)))/G318,0))</f>
        <v>0.58333333333333337</v>
      </c>
      <c r="N318" s="11" cm="1">
        <f t="array" ref="N318">IF($A318="","",IFERROR((SUMPRODUCT((TRIM(tblDados[Mandante])=$A318)*tblDados[Primeira_Ocorrencia]*((tblDados[GM_M]+tblDados[GS_M])&gt;3.5))+SUMPRODUCT((TRIM(tblDados[Visitante])=$A318)*tblDados[Primeira_Ocorrencia]*((tblDados[GM_V]+tblDados[GS_V])&gt;3.5)))/G318,0))</f>
        <v>0.33333333333333331</v>
      </c>
      <c r="O318" s="11" cm="1">
        <f t="array" ref="O318">IF($A318="","",IFERROR((SUMPRODUCT((TRIM(tblDados[Mandante])=$A318)*tblDados[Primeira_Ocorrencia]*(tblDados[GM_M]&gt;0)*(tblDados[GS_M]&gt;0))+SUMPRODUCT((TRIM(tblDados[Visitante])=$A318)*tblDados[Primeira_Ocorrencia]*(tblDados[GM_V]&gt;0)*(tblDados[GS_V]&gt;0)))/G318,0))</f>
        <v>0.66666666666666663</v>
      </c>
      <c r="P318" s="10" cm="1">
        <f t="array" ref="P318">IF($A318="","",IFERROR((SUMPRODUCT((TRIM(tblDados[Mandante])=$A318)*tblDados[Primeira_Ocorrencia]*tblDados[GM_M]^2)+SUMPRODUCT((TRIM(tblDados[Visitante])=$A318)*tblDados[Primeira_Ocorrencia]*tblDados[GM_V]^2))/G318-H318^2,0))</f>
        <v>0.72222222222222232</v>
      </c>
      <c r="Q318" s="10">
        <f t="shared" si="61"/>
        <v>0.84983658559879749</v>
      </c>
      <c r="R318" s="8" t="str">
        <f t="shared" si="62"/>
        <v>Poisson</v>
      </c>
      <c r="S318" s="10" cm="1">
        <f t="array" ref="S318">IF($A318="","",SUMPRODUCT((TRIM(tblDados[Mandante])=$A318)*tblDados[Primeira_Ocorrencia]*tblDados[GM_M]))</f>
        <v>10</v>
      </c>
      <c r="T318" s="10" cm="1">
        <f t="array" ref="T318">IF($A318="","",SUMPRODUCT((TRIM(tblDados[Visitante])=$A318)*tblDados[Primeira_Ocorrencia]*tblDados[GM_V]))</f>
        <v>6</v>
      </c>
      <c r="U318" s="10">
        <f t="shared" si="63"/>
        <v>16</v>
      </c>
      <c r="V318" s="10">
        <f t="shared" si="52"/>
        <v>1.3333333333333333</v>
      </c>
      <c r="W318" s="10" cm="1">
        <f t="array" ref="W318">IF($A318="","",SUMPRODUCT((TRIM(tblDados[Mandante])=$A318)*tblDados[Primeira_Ocorrencia]*tblDados[GS_M]))</f>
        <v>7</v>
      </c>
      <c r="X318" s="10" cm="1">
        <f t="array" ref="X318">IF($A318="","",SUMPRODUCT((TRIM(tblDados[Visitante])=$A318)*tblDados[Primeira_Ocorrencia]*tblDados[GS_V]))</f>
        <v>11</v>
      </c>
      <c r="Y318" s="10">
        <f t="shared" si="64"/>
        <v>18</v>
      </c>
      <c r="Z318" s="10">
        <f t="shared" si="53"/>
        <v>1.5</v>
      </c>
      <c r="AA318" s="10">
        <f t="shared" si="54"/>
        <v>2</v>
      </c>
      <c r="AB318" s="10">
        <f t="shared" si="55"/>
        <v>1.4</v>
      </c>
      <c r="AC318" s="10">
        <f t="shared" si="56"/>
        <v>0.8571428571428571</v>
      </c>
      <c r="AD318" s="10">
        <f t="shared" si="57"/>
        <v>1.5714285714285714</v>
      </c>
    </row>
    <row r="319" spans="1:30" x14ac:dyDescent="0.3">
      <c r="A319" s="7" t="str">
        <v>Minnesota United FC</v>
      </c>
      <c r="B319" s="12" t="str" cm="1">
        <f t="array" ref="B319">IF($A319="","",_xlfn.LET(_xlpm.p,IFERROR(INDEX(tblDados[País],MATCH($A319,TRIM(tblDados[Mandante]),0)),INDEX(tblDados[País],MATCH($A319,TRIM(tblDados[Visitante]),0))),_xlpm.l,IFERROR(INDEX(tblDados[Liga],MATCH($A319,TRIM(tblDados[Mandante]),0)),INDEX(tblDados[Liga],MATCH($A319,TRIM(tblDados[Visitante]),0))),_xlpm.p&amp;" - "&amp;_xlpm.l))</f>
        <v>USA - MLS-West</v>
      </c>
      <c r="C319" s="10">
        <f t="shared" si="58"/>
        <v>1.7142857142857142</v>
      </c>
      <c r="D319" s="10">
        <f t="shared" si="59"/>
        <v>3</v>
      </c>
      <c r="E319" s="9" cm="1">
        <f t="array" ref="E319">IF($A319="","",SUMPRODUCT((TRIM(tblDados[Mandante])=$A319)*tblDados[Primeira_Ocorrencia]))</f>
        <v>7</v>
      </c>
      <c r="F319" s="9" cm="1">
        <f t="array" ref="F319">IF($A319="","",SUMPRODUCT((TRIM(tblDados[Visitante])=$A319)*tblDados[Primeira_Ocorrencia]))</f>
        <v>5</v>
      </c>
      <c r="G319" s="9" cm="1">
        <f t="array" ref="G319">IF($A319="","",SUMPRODUCT((TRIM(tblDados[Mandante])=$A319)*tblDados[Primeira_Ocorrencia])+SUMPRODUCT((TRIM(tblDados[Visitante])=$A319)*tblDados[Primeira_Ocorrencia]))</f>
        <v>12</v>
      </c>
      <c r="H319" s="10">
        <f t="shared" si="60"/>
        <v>1.1666666666666667</v>
      </c>
      <c r="I319" s="10" cm="1">
        <f t="array" ref="I319">IF($A319="","",_xlfn.LET(_xlpm.p,IFERROR(INDEX(tblDados[País],MATCH($A319,TRIM(tblDados[Mandante]),0)),INDEX(tblDados[País],MATCH($A319,TRIM(tblDados[Visitante]),0))),_xlpm.l,IFERROR(INDEX(tblDados[Liga],MATCH($A319,TRIM(tblDados[Mandante]),0)),INDEX(tblDados[Liga],MATCH($A319,TRIM(tblDados[Visitante]),0))),IFERROR(SUMIFS(Ligas!$D$2:$D$39,Ligas!$H$2:$H$39,_xlpm.p,Ligas!$I$2:$I$39,_xlpm.l),0)))</f>
        <v>3.3</v>
      </c>
      <c r="J319" s="11" cm="1">
        <f t="array" ref="J319">IF($A319="","",IFERROR((SUMPRODUCT((TRIM(tblDados[Mandante])=$A319)*tblDados[Primeira_Ocorrencia]*(tblDados[GM_M]=0))+SUMPRODUCT((TRIM(tblDados[Visitante])=$A319)*tblDados[Primeira_Ocorrencia]*(tblDados[GM_V]=0)))/G319,0))</f>
        <v>0.25</v>
      </c>
      <c r="K319" s="11" cm="1">
        <f t="array" ref="K319">IF($A319="","",IFERROR((SUMPRODUCT((TRIM(tblDados[Mandante])=$A319)*tblDados[Primeira_Ocorrencia]*((tblDados[GM_M]+tblDados[GS_M])&gt;0.5))+SUMPRODUCT((TRIM(tblDados[Visitante])=$A319)*tblDados[Primeira_Ocorrencia]*((tblDados[GM_V]+tblDados[GS_V])&gt;0.5)))/G319,0))</f>
        <v>0.91666666666666663</v>
      </c>
      <c r="L319" s="11" cm="1">
        <f t="array" ref="L319">IF($A319="","",IFERROR((SUMPRODUCT((TRIM(tblDados[Mandante])=$A319)*tblDados[Primeira_Ocorrencia]*((tblDados[GM_M]+tblDados[GS_M])&gt;1.5))+SUMPRODUCT((TRIM(tblDados[Visitante])=$A319)*tblDados[Primeira_Ocorrencia]*((tblDados[GM_V]+tblDados[GS_V])&gt;1.5)))/G319,0))</f>
        <v>0.66666666666666663</v>
      </c>
      <c r="M319" s="11" cm="1">
        <f t="array" ref="M319">IF($A319="","",IFERROR((SUMPRODUCT((TRIM(tblDados[Mandante])=$A319)*tblDados[Primeira_Ocorrencia]*((tblDados[GM_M]+tblDados[GS_M])&gt;2.5))+SUMPRODUCT((TRIM(tblDados[Visitante])=$A319)*tblDados[Primeira_Ocorrencia]*((tblDados[GM_V]+tblDados[GS_V])&gt;2.5)))/G319,0))</f>
        <v>0.41666666666666669</v>
      </c>
      <c r="N319" s="11" cm="1">
        <f t="array" ref="N319">IF($A319="","",IFERROR((SUMPRODUCT((TRIM(tblDados[Mandante])=$A319)*tblDados[Primeira_Ocorrencia]*((tblDados[GM_M]+tblDados[GS_M])&gt;3.5))+SUMPRODUCT((TRIM(tblDados[Visitante])=$A319)*tblDados[Primeira_Ocorrencia]*((tblDados[GM_V]+tblDados[GS_V])&gt;3.5)))/G319,0))</f>
        <v>0.16666666666666666</v>
      </c>
      <c r="O319" s="11" cm="1">
        <f t="array" ref="O319">IF($A319="","",IFERROR((SUMPRODUCT((TRIM(tblDados[Mandante])=$A319)*tblDados[Primeira_Ocorrencia]*(tblDados[GM_M]&gt;0)*(tblDados[GS_M]&gt;0))+SUMPRODUCT((TRIM(tblDados[Visitante])=$A319)*tblDados[Primeira_Ocorrencia]*(tblDados[GM_V]&gt;0)*(tblDados[GS_V]&gt;0)))/G319,0))</f>
        <v>0.58333333333333337</v>
      </c>
      <c r="P319" s="10" cm="1">
        <f t="array" ref="P319">IF($A319="","",IFERROR((SUMPRODUCT((TRIM(tblDados[Mandante])=$A319)*tblDados[Primeira_Ocorrencia]*tblDados[GM_M]^2)+SUMPRODUCT((TRIM(tblDados[Visitante])=$A319)*tblDados[Primeira_Ocorrencia]*tblDados[GM_V]^2))/G319-H319^2,0))</f>
        <v>0.80555555555555514</v>
      </c>
      <c r="Q319" s="10">
        <f t="shared" si="61"/>
        <v>0.89752746785575044</v>
      </c>
      <c r="R319" s="8" t="str">
        <f t="shared" si="62"/>
        <v>Poisson</v>
      </c>
      <c r="S319" s="10" cm="1">
        <f t="array" ref="S319">IF($A319="","",SUMPRODUCT((TRIM(tblDados[Mandante])=$A319)*tblDados[Primeira_Ocorrencia]*tblDados[GM_M]))</f>
        <v>6</v>
      </c>
      <c r="T319" s="10" cm="1">
        <f t="array" ref="T319">IF($A319="","",SUMPRODUCT((TRIM(tblDados[Visitante])=$A319)*tblDados[Primeira_Ocorrencia]*tblDados[GM_V]))</f>
        <v>8</v>
      </c>
      <c r="U319" s="10">
        <f t="shared" si="63"/>
        <v>14</v>
      </c>
      <c r="V319" s="10">
        <f t="shared" si="52"/>
        <v>1.1666666666666667</v>
      </c>
      <c r="W319" s="10" cm="1">
        <f t="array" ref="W319">IF($A319="","",SUMPRODUCT((TRIM(tblDados[Mandante])=$A319)*tblDados[Primeira_Ocorrencia]*tblDados[GS_M]))</f>
        <v>6</v>
      </c>
      <c r="X319" s="10" cm="1">
        <f t="array" ref="X319">IF($A319="","",SUMPRODUCT((TRIM(tblDados[Visitante])=$A319)*tblDados[Primeira_Ocorrencia]*tblDados[GS_V]))</f>
        <v>7</v>
      </c>
      <c r="Y319" s="10">
        <f t="shared" si="64"/>
        <v>13</v>
      </c>
      <c r="Z319" s="10">
        <f t="shared" si="53"/>
        <v>1.0833333333333333</v>
      </c>
      <c r="AA319" s="10">
        <f t="shared" si="54"/>
        <v>0.8571428571428571</v>
      </c>
      <c r="AB319" s="10">
        <f t="shared" si="55"/>
        <v>0.8571428571428571</v>
      </c>
      <c r="AC319" s="10">
        <f t="shared" si="56"/>
        <v>1.6</v>
      </c>
      <c r="AD319" s="10">
        <f t="shared" si="57"/>
        <v>1.4</v>
      </c>
    </row>
    <row r="320" spans="1:30" x14ac:dyDescent="0.3">
      <c r="A320" s="7" t="str">
        <v>Mirassol</v>
      </c>
      <c r="B320" s="12" t="str" cm="1">
        <f t="array" ref="B320">IF($A320="","",_xlfn.LET(_xlpm.p,IFERROR(INDEX(tblDados[País],MATCH($A320,TRIM(tblDados[Mandante]),0)),INDEX(tblDados[País],MATCH($A320,TRIM(tblDados[Visitante]),0))),_xlpm.l,IFERROR(INDEX(tblDados[Liga],MATCH($A320,TRIM(tblDados[Mandante]),0)),INDEX(tblDados[Liga],MATCH($A320,TRIM(tblDados[Visitante]),0))),_xlpm.p&amp;" - "&amp;_xlpm.l))</f>
        <v>BRA - Série A</v>
      </c>
      <c r="C320" s="10">
        <f t="shared" si="58"/>
        <v>2.2857142857142856</v>
      </c>
      <c r="D320" s="10">
        <f t="shared" si="59"/>
        <v>2.2000000000000002</v>
      </c>
      <c r="E320" s="9" cm="1">
        <f t="array" ref="E320">IF($A320="","",SUMPRODUCT((TRIM(tblDados[Mandante])=$A320)*tblDados[Primeira_Ocorrencia]))</f>
        <v>7</v>
      </c>
      <c r="F320" s="9" cm="1">
        <f t="array" ref="F320">IF($A320="","",SUMPRODUCT((TRIM(tblDados[Visitante])=$A320)*tblDados[Primeira_Ocorrencia]))</f>
        <v>5</v>
      </c>
      <c r="G320" s="9" cm="1">
        <f t="array" ref="G320">IF($A320="","",SUMPRODUCT((TRIM(tblDados[Mandante])=$A320)*tblDados[Primeira_Ocorrencia])+SUMPRODUCT((TRIM(tblDados[Visitante])=$A320)*tblDados[Primeira_Ocorrencia]))</f>
        <v>12</v>
      </c>
      <c r="H320" s="10">
        <f t="shared" si="60"/>
        <v>1.0833333333333333</v>
      </c>
      <c r="I320" s="10" cm="1">
        <f t="array" ref="I320">IF($A320="","",_xlfn.LET(_xlpm.p,IFERROR(INDEX(tblDados[País],MATCH($A320,TRIM(tblDados[Mandante]),0)),INDEX(tblDados[País],MATCH($A320,TRIM(tblDados[Visitante]),0))),_xlpm.l,IFERROR(INDEX(tblDados[Liga],MATCH($A320,TRIM(tblDados[Mandante]),0)),INDEX(tblDados[Liga],MATCH($A320,TRIM(tblDados[Visitante]),0))),IFERROR(SUMIFS(Ligas!$D$2:$D$39,Ligas!$H$2:$H$39,_xlpm.p,Ligas!$I$2:$I$39,_xlpm.l),0)))</f>
        <v>2.59</v>
      </c>
      <c r="J320" s="11" cm="1">
        <f t="array" ref="J320">IF($A320="","",IFERROR((SUMPRODUCT((TRIM(tblDados[Mandante])=$A320)*tblDados[Primeira_Ocorrencia]*(tblDados[GM_M]=0))+SUMPRODUCT((TRIM(tblDados[Visitante])=$A320)*tblDados[Primeira_Ocorrencia]*(tblDados[GM_V]=0)))/G320,0))</f>
        <v>0.25</v>
      </c>
      <c r="K320" s="11" cm="1">
        <f t="array" ref="K320">IF($A320="","",IFERROR((SUMPRODUCT((TRIM(tblDados[Mandante])=$A320)*tblDados[Primeira_Ocorrencia]*((tblDados[GM_M]+tblDados[GS_M])&gt;0.5))+SUMPRODUCT((TRIM(tblDados[Visitante])=$A320)*tblDados[Primeira_Ocorrencia]*((tblDados[GM_V]+tblDados[GS_V])&gt;0.5)))/G320,0))</f>
        <v>1</v>
      </c>
      <c r="L320" s="11" cm="1">
        <f t="array" ref="L320">IF($A320="","",IFERROR((SUMPRODUCT((TRIM(tblDados[Mandante])=$A320)*tblDados[Primeira_Ocorrencia]*((tblDados[GM_M]+tblDados[GS_M])&gt;1.5))+SUMPRODUCT((TRIM(tblDados[Visitante])=$A320)*tblDados[Primeira_Ocorrencia]*((tblDados[GM_V]+tblDados[GS_V])&gt;1.5)))/G320,0))</f>
        <v>0.66666666666666663</v>
      </c>
      <c r="M320" s="11" cm="1">
        <f t="array" ref="M320">IF($A320="","",IFERROR((SUMPRODUCT((TRIM(tblDados[Mandante])=$A320)*tblDados[Primeira_Ocorrencia]*((tblDados[GM_M]+tblDados[GS_M])&gt;2.5))+SUMPRODUCT((TRIM(tblDados[Visitante])=$A320)*tblDados[Primeira_Ocorrencia]*((tblDados[GM_V]+tblDados[GS_V])&gt;2.5)))/G320,0))</f>
        <v>0.5</v>
      </c>
      <c r="N320" s="11" cm="1">
        <f t="array" ref="N320">IF($A320="","",IFERROR((SUMPRODUCT((TRIM(tblDados[Mandante])=$A320)*tblDados[Primeira_Ocorrencia]*((tblDados[GM_M]+tblDados[GS_M])&gt;3.5))+SUMPRODUCT((TRIM(tblDados[Visitante])=$A320)*tblDados[Primeira_Ocorrencia]*((tblDados[GM_V]+tblDados[GS_V])&gt;3.5)))/G320,0))</f>
        <v>8.3333333333333329E-2</v>
      </c>
      <c r="O320" s="11" cm="1">
        <f t="array" ref="O320">IF($A320="","",IFERROR((SUMPRODUCT((TRIM(tblDados[Mandante])=$A320)*tblDados[Primeira_Ocorrencia]*(tblDados[GM_M]&gt;0)*(tblDados[GS_M]&gt;0))+SUMPRODUCT((TRIM(tblDados[Visitante])=$A320)*tblDados[Primeira_Ocorrencia]*(tblDados[GM_V]&gt;0)*(tblDados[GS_V]&gt;0)))/G320,0))</f>
        <v>0.66666666666666663</v>
      </c>
      <c r="P320" s="10" cm="1">
        <f t="array" ref="P320">IF($A320="","",IFERROR((SUMPRODUCT((TRIM(tblDados[Mandante])=$A320)*tblDados[Primeira_Ocorrencia]*tblDados[GM_M]^2)+SUMPRODUCT((TRIM(tblDados[Visitante])=$A320)*tblDados[Primeira_Ocorrencia]*tblDados[GM_V]^2))/G320-H320^2,0))</f>
        <v>0.57638888888888906</v>
      </c>
      <c r="Q320" s="10">
        <f t="shared" si="61"/>
        <v>0.75920279826202497</v>
      </c>
      <c r="R320" s="8" t="str">
        <f t="shared" si="62"/>
        <v>Poisson</v>
      </c>
      <c r="S320" s="10" cm="1">
        <f t="array" ref="S320">IF($A320="","",SUMPRODUCT((TRIM(tblDados[Mandante])=$A320)*tblDados[Primeira_Ocorrencia]*tblDados[GM_M]))</f>
        <v>9</v>
      </c>
      <c r="T320" s="10" cm="1">
        <f t="array" ref="T320">IF($A320="","",SUMPRODUCT((TRIM(tblDados[Visitante])=$A320)*tblDados[Primeira_Ocorrencia]*tblDados[GM_V]))</f>
        <v>4</v>
      </c>
      <c r="U320" s="10">
        <f t="shared" si="63"/>
        <v>13</v>
      </c>
      <c r="V320" s="10">
        <f t="shared" si="52"/>
        <v>1.0833333333333333</v>
      </c>
      <c r="W320" s="10" cm="1">
        <f t="array" ref="W320">IF($A320="","",SUMPRODUCT((TRIM(tblDados[Mandante])=$A320)*tblDados[Primeira_Ocorrencia]*tblDados[GS_M]))</f>
        <v>7</v>
      </c>
      <c r="X320" s="10" cm="1">
        <f t="array" ref="X320">IF($A320="","",SUMPRODUCT((TRIM(tblDados[Visitante])=$A320)*tblDados[Primeira_Ocorrencia]*tblDados[GS_V]))</f>
        <v>7</v>
      </c>
      <c r="Y320" s="10">
        <f t="shared" si="64"/>
        <v>14</v>
      </c>
      <c r="Z320" s="10">
        <f t="shared" si="53"/>
        <v>1.1666666666666667</v>
      </c>
      <c r="AA320" s="10">
        <f t="shared" si="54"/>
        <v>1.2857142857142858</v>
      </c>
      <c r="AB320" s="10">
        <f t="shared" si="55"/>
        <v>1</v>
      </c>
      <c r="AC320" s="10">
        <f t="shared" si="56"/>
        <v>0.8</v>
      </c>
      <c r="AD320" s="10">
        <f t="shared" si="57"/>
        <v>1.4</v>
      </c>
    </row>
    <row r="321" spans="1:30" x14ac:dyDescent="0.3">
      <c r="A321" s="7" t="str">
        <v>Mjällby AIF</v>
      </c>
      <c r="B321" s="12" t="str" cm="1">
        <f t="array" ref="B321">IF($A321="","",_xlfn.LET(_xlpm.p,IFERROR(INDEX(tblDados[País],MATCH($A321,TRIM(tblDados[Mandante]),0)),INDEX(tblDados[País],MATCH($A321,TRIM(tblDados[Visitante]),0))),_xlpm.l,IFERROR(INDEX(tblDados[Liga],MATCH($A321,TRIM(tblDados[Mandante]),0)),INDEX(tblDados[Liga],MATCH($A321,TRIM(tblDados[Visitante]),0))),_xlpm.p&amp;" - "&amp;_xlpm.l))</f>
        <v>SWE - Allsvenskan</v>
      </c>
      <c r="C321" s="10">
        <f t="shared" si="58"/>
        <v>1.4</v>
      </c>
      <c r="D321" s="10">
        <f t="shared" si="59"/>
        <v>3.5714285714285712</v>
      </c>
      <c r="E321" s="9" cm="1">
        <f t="array" ref="E321">IF($A321="","",SUMPRODUCT((TRIM(tblDados[Mandante])=$A321)*tblDados[Primeira_Ocorrencia]))</f>
        <v>5</v>
      </c>
      <c r="F321" s="9" cm="1">
        <f t="array" ref="F321">IF($A321="","",SUMPRODUCT((TRIM(tblDados[Visitante])=$A321)*tblDados[Primeira_Ocorrencia]))</f>
        <v>7</v>
      </c>
      <c r="G321" s="9" cm="1">
        <f t="array" ref="G321">IF($A321="","",SUMPRODUCT((TRIM(tblDados[Mandante])=$A321)*tblDados[Primeira_Ocorrencia])+SUMPRODUCT((TRIM(tblDados[Visitante])=$A321)*tblDados[Primeira_Ocorrencia]))</f>
        <v>12</v>
      </c>
      <c r="H321" s="10">
        <f t="shared" si="60"/>
        <v>1.4166666666666667</v>
      </c>
      <c r="I321" s="10" cm="1">
        <f t="array" ref="I321">IF($A321="","",_xlfn.LET(_xlpm.p,IFERROR(INDEX(tblDados[País],MATCH($A321,TRIM(tblDados[Mandante]),0)),INDEX(tblDados[País],MATCH($A321,TRIM(tblDados[Visitante]),0))),_xlpm.l,IFERROR(INDEX(tblDados[Liga],MATCH($A321,TRIM(tblDados[Mandante]),0)),INDEX(tblDados[Liga],MATCH($A321,TRIM(tblDados[Visitante]),0))),IFERROR(SUMIFS(Ligas!$D$2:$D$39,Ligas!$H$2:$H$39,_xlpm.p,Ligas!$I$2:$I$39,_xlpm.l),0)))</f>
        <v>2.5</v>
      </c>
      <c r="J321" s="11" cm="1">
        <f t="array" ref="J321">IF($A321="","",IFERROR((SUMPRODUCT((TRIM(tblDados[Mandante])=$A321)*tblDados[Primeira_Ocorrencia]*(tblDados[GM_M]=0))+SUMPRODUCT((TRIM(tblDados[Visitante])=$A321)*tblDados[Primeira_Ocorrencia]*(tblDados[GM_V]=0)))/G321,0))</f>
        <v>0.33333333333333331</v>
      </c>
      <c r="K321" s="11" cm="1">
        <f t="array" ref="K321">IF($A321="","",IFERROR((SUMPRODUCT((TRIM(tblDados[Mandante])=$A321)*tblDados[Primeira_Ocorrencia]*((tblDados[GM_M]+tblDados[GS_M])&gt;0.5))+SUMPRODUCT((TRIM(tblDados[Visitante])=$A321)*tblDados[Primeira_Ocorrencia]*((tblDados[GM_V]+tblDados[GS_V])&gt;0.5)))/G321,0))</f>
        <v>0.83333333333333337</v>
      </c>
      <c r="L321" s="11" cm="1">
        <f t="array" ref="L321">IF($A321="","",IFERROR((SUMPRODUCT((TRIM(tblDados[Mandante])=$A321)*tblDados[Primeira_Ocorrencia]*((tblDados[GM_M]+tblDados[GS_M])&gt;1.5))+SUMPRODUCT((TRIM(tblDados[Visitante])=$A321)*tblDados[Primeira_Ocorrencia]*((tblDados[GM_V]+tblDados[GS_V])&gt;1.5)))/G321,0))</f>
        <v>0.66666666666666663</v>
      </c>
      <c r="M321" s="11" cm="1">
        <f t="array" ref="M321">IF($A321="","",IFERROR((SUMPRODUCT((TRIM(tblDados[Mandante])=$A321)*tblDados[Primeira_Ocorrencia]*((tblDados[GM_M]+tblDados[GS_M])&gt;2.5))+SUMPRODUCT((TRIM(tblDados[Visitante])=$A321)*tblDados[Primeira_Ocorrencia]*((tblDados[GM_V]+tblDados[GS_V])&gt;2.5)))/G321,0))</f>
        <v>0.41666666666666669</v>
      </c>
      <c r="N321" s="11" cm="1">
        <f t="array" ref="N321">IF($A321="","",IFERROR((SUMPRODUCT((TRIM(tblDados[Mandante])=$A321)*tblDados[Primeira_Ocorrencia]*((tblDados[GM_M]+tblDados[GS_M])&gt;3.5))+SUMPRODUCT((TRIM(tblDados[Visitante])=$A321)*tblDados[Primeira_Ocorrencia]*((tblDados[GM_V]+tblDados[GS_V])&gt;3.5)))/G321,0))</f>
        <v>0.25</v>
      </c>
      <c r="O321" s="11" cm="1">
        <f t="array" ref="O321">IF($A321="","",IFERROR((SUMPRODUCT((TRIM(tblDados[Mandante])=$A321)*tblDados[Primeira_Ocorrencia]*(tblDados[GM_M]&gt;0)*(tblDados[GS_M]&gt;0))+SUMPRODUCT((TRIM(tblDados[Visitante])=$A321)*tblDados[Primeira_Ocorrencia]*(tblDados[GM_V]&gt;0)*(tblDados[GS_V]&gt;0)))/G321,0))</f>
        <v>0.58333333333333337</v>
      </c>
      <c r="P321" s="10" cm="1">
        <f t="array" ref="P321">IF($A321="","",IFERROR((SUMPRODUCT((TRIM(tblDados[Mandante])=$A321)*tblDados[Primeira_Ocorrencia]*tblDados[GM_M]^2)+SUMPRODUCT((TRIM(tblDados[Visitante])=$A321)*tblDados[Primeira_Ocorrencia]*tblDados[GM_V]^2))/G321-H321^2,0))</f>
        <v>2.0763888888888884</v>
      </c>
      <c r="Q321" s="10">
        <f t="shared" si="61"/>
        <v>1.4409680388158816</v>
      </c>
      <c r="R321" s="8" t="str">
        <f t="shared" si="62"/>
        <v>Poisson</v>
      </c>
      <c r="S321" s="10" cm="1">
        <f t="array" ref="S321">IF($A321="","",SUMPRODUCT((TRIM(tblDados[Mandante])=$A321)*tblDados[Primeira_Ocorrencia]*tblDados[GM_M]))</f>
        <v>3</v>
      </c>
      <c r="T321" s="10" cm="1">
        <f t="array" ref="T321">IF($A321="","",SUMPRODUCT((TRIM(tblDados[Visitante])=$A321)*tblDados[Primeira_Ocorrencia]*tblDados[GM_V]))</f>
        <v>14</v>
      </c>
      <c r="U321" s="10">
        <f t="shared" si="63"/>
        <v>17</v>
      </c>
      <c r="V321" s="10">
        <f t="shared" si="52"/>
        <v>1.4166666666666667</v>
      </c>
      <c r="W321" s="10" cm="1">
        <f t="array" ref="W321">IF($A321="","",SUMPRODUCT((TRIM(tblDados[Mandante])=$A321)*tblDados[Primeira_Ocorrencia]*tblDados[GS_M]))</f>
        <v>4</v>
      </c>
      <c r="X321" s="10" cm="1">
        <f t="array" ref="X321">IF($A321="","",SUMPRODUCT((TRIM(tblDados[Visitante])=$A321)*tblDados[Primeira_Ocorrencia]*tblDados[GS_V]))</f>
        <v>11</v>
      </c>
      <c r="Y321" s="10">
        <f t="shared" si="64"/>
        <v>15</v>
      </c>
      <c r="Z321" s="10">
        <f t="shared" si="53"/>
        <v>1.25</v>
      </c>
      <c r="AA321" s="10">
        <f t="shared" si="54"/>
        <v>0.6</v>
      </c>
      <c r="AB321" s="10">
        <f t="shared" si="55"/>
        <v>0.8</v>
      </c>
      <c r="AC321" s="10">
        <f t="shared" si="56"/>
        <v>2</v>
      </c>
      <c r="AD321" s="10">
        <f t="shared" si="57"/>
        <v>1.5714285714285714</v>
      </c>
    </row>
    <row r="322" spans="1:30" x14ac:dyDescent="0.3">
      <c r="A322" s="7" t="str">
        <v>Molde FK</v>
      </c>
      <c r="B322" s="12" t="str" cm="1">
        <f t="array" ref="B322">IF($A322="","",_xlfn.LET(_xlpm.p,IFERROR(INDEX(tblDados[País],MATCH($A322,TRIM(tblDados[Mandante]),0)),INDEX(tblDados[País],MATCH($A322,TRIM(tblDados[Visitante]),0))),_xlpm.l,IFERROR(INDEX(tblDados[Liga],MATCH($A322,TRIM(tblDados[Mandante]),0)),INDEX(tblDados[Liga],MATCH($A322,TRIM(tblDados[Visitante]),0))),_xlpm.p&amp;" - "&amp;_xlpm.l))</f>
        <v>NOR - Eliteserien</v>
      </c>
      <c r="C322" s="10">
        <f t="shared" si="58"/>
        <v>3.8</v>
      </c>
      <c r="D322" s="10">
        <f t="shared" si="59"/>
        <v>3</v>
      </c>
      <c r="E322" s="9" cm="1">
        <f t="array" ref="E322">IF($A322="","",SUMPRODUCT((TRIM(tblDados[Mandante])=$A322)*tblDados[Primeira_Ocorrencia]))</f>
        <v>5</v>
      </c>
      <c r="F322" s="9" cm="1">
        <f t="array" ref="F322">IF($A322="","",SUMPRODUCT((TRIM(tblDados[Visitante])=$A322)*tblDados[Primeira_Ocorrencia]))</f>
        <v>7</v>
      </c>
      <c r="G322" s="9" cm="1">
        <f t="array" ref="G322">IF($A322="","",SUMPRODUCT((TRIM(tblDados[Mandante])=$A322)*tblDados[Primeira_Ocorrencia])+SUMPRODUCT((TRIM(tblDados[Visitante])=$A322)*tblDados[Primeira_Ocorrencia]))</f>
        <v>12</v>
      </c>
      <c r="H322" s="10">
        <f t="shared" si="60"/>
        <v>1.8333333333333333</v>
      </c>
      <c r="I322" s="10" cm="1">
        <f t="array" ref="I322">IF($A322="","",_xlfn.LET(_xlpm.p,IFERROR(INDEX(tblDados[País],MATCH($A322,TRIM(tblDados[Mandante]),0)),INDEX(tblDados[País],MATCH($A322,TRIM(tblDados[Visitante]),0))),_xlpm.l,IFERROR(INDEX(tblDados[Liga],MATCH($A322,TRIM(tblDados[Mandante]),0)),INDEX(tblDados[Liga],MATCH($A322,TRIM(tblDados[Visitante]),0))),IFERROR(SUMIFS(Ligas!$D$2:$D$39,Ligas!$H$2:$H$39,_xlpm.p,Ligas!$I$2:$I$39,_xlpm.l),0)))</f>
        <v>2.5</v>
      </c>
      <c r="J322" s="11" cm="1">
        <f t="array" ref="J322">IF($A322="","",IFERROR((SUMPRODUCT((TRIM(tblDados[Mandante])=$A322)*tblDados[Primeira_Ocorrencia]*(tblDados[GM_M]=0))+SUMPRODUCT((TRIM(tblDados[Visitante])=$A322)*tblDados[Primeira_Ocorrencia]*(tblDados[GM_V]=0)))/G322,0))</f>
        <v>8.3333333333333329E-2</v>
      </c>
      <c r="K322" s="11" cm="1">
        <f t="array" ref="K322">IF($A322="","",IFERROR((SUMPRODUCT((TRIM(tblDados[Mandante])=$A322)*tblDados[Primeira_Ocorrencia]*((tblDados[GM_M]+tblDados[GS_M])&gt;0.5))+SUMPRODUCT((TRIM(tblDados[Visitante])=$A322)*tblDados[Primeira_Ocorrencia]*((tblDados[GM_V]+tblDados[GS_V])&gt;0.5)))/G322,0))</f>
        <v>1</v>
      </c>
      <c r="L322" s="11" cm="1">
        <f t="array" ref="L322">IF($A322="","",IFERROR((SUMPRODUCT((TRIM(tblDados[Mandante])=$A322)*tblDados[Primeira_Ocorrencia]*((tblDados[GM_M]+tblDados[GS_M])&gt;1.5))+SUMPRODUCT((TRIM(tblDados[Visitante])=$A322)*tblDados[Primeira_Ocorrencia]*((tblDados[GM_V]+tblDados[GS_V])&gt;1.5)))/G322,0))</f>
        <v>0.83333333333333337</v>
      </c>
      <c r="M322" s="11" cm="1">
        <f t="array" ref="M322">IF($A322="","",IFERROR((SUMPRODUCT((TRIM(tblDados[Mandante])=$A322)*tblDados[Primeira_Ocorrencia]*((tblDados[GM_M]+tblDados[GS_M])&gt;2.5))+SUMPRODUCT((TRIM(tblDados[Visitante])=$A322)*tblDados[Primeira_Ocorrencia]*((tblDados[GM_V]+tblDados[GS_V])&gt;2.5)))/G322,0))</f>
        <v>0.66666666666666663</v>
      </c>
      <c r="N322" s="11" cm="1">
        <f t="array" ref="N322">IF($A322="","",IFERROR((SUMPRODUCT((TRIM(tblDados[Mandante])=$A322)*tblDados[Primeira_Ocorrencia]*((tblDados[GM_M]+tblDados[GS_M])&gt;3.5))+SUMPRODUCT((TRIM(tblDados[Visitante])=$A322)*tblDados[Primeira_Ocorrencia]*((tblDados[GM_V]+tblDados[GS_V])&gt;3.5)))/G322,0))</f>
        <v>0.33333333333333331</v>
      </c>
      <c r="O322" s="11" cm="1">
        <f t="array" ref="O322">IF($A322="","",IFERROR((SUMPRODUCT((TRIM(tblDados[Mandante])=$A322)*tblDados[Primeira_Ocorrencia]*(tblDados[GM_M]&gt;0)*(tblDados[GS_M]&gt;0))+SUMPRODUCT((TRIM(tblDados[Visitante])=$A322)*tblDados[Primeira_Ocorrencia]*(tblDados[GM_V]&gt;0)*(tblDados[GS_V]&gt;0)))/G322,0))</f>
        <v>0.75</v>
      </c>
      <c r="P322" s="10" cm="1">
        <f t="array" ref="P322">IF($A322="","",IFERROR((SUMPRODUCT((TRIM(tblDados[Mandante])=$A322)*tblDados[Primeira_Ocorrencia]*tblDados[GM_M]^2)+SUMPRODUCT((TRIM(tblDados[Visitante])=$A322)*tblDados[Primeira_Ocorrencia]*tblDados[GM_V]^2))/G322-H322^2,0))</f>
        <v>1.9722222222222223</v>
      </c>
      <c r="Q322" s="10">
        <f t="shared" si="61"/>
        <v>1.4043582955293932</v>
      </c>
      <c r="R322" s="8" t="str">
        <f t="shared" si="62"/>
        <v>Poisson</v>
      </c>
      <c r="S322" s="10" cm="1">
        <f t="array" ref="S322">IF($A322="","",SUMPRODUCT((TRIM(tblDados[Mandante])=$A322)*tblDados[Primeira_Ocorrencia]*tblDados[GM_M]))</f>
        <v>12</v>
      </c>
      <c r="T322" s="10" cm="1">
        <f t="array" ref="T322">IF($A322="","",SUMPRODUCT((TRIM(tblDados[Visitante])=$A322)*tblDados[Primeira_Ocorrencia]*tblDados[GM_V]))</f>
        <v>10</v>
      </c>
      <c r="U322" s="10">
        <f t="shared" si="63"/>
        <v>22</v>
      </c>
      <c r="V322" s="10">
        <f t="shared" ref="V322:V385" si="113">IF($A322="","",IFERROR(U322/G322,0))</f>
        <v>1.8333333333333333</v>
      </c>
      <c r="W322" s="10" cm="1">
        <f t="array" ref="W322">IF($A322="","",SUMPRODUCT((TRIM(tblDados[Mandante])=$A322)*tblDados[Primeira_Ocorrencia]*tblDados[GS_M]))</f>
        <v>7</v>
      </c>
      <c r="X322" s="10" cm="1">
        <f t="array" ref="X322">IF($A322="","",SUMPRODUCT((TRIM(tblDados[Visitante])=$A322)*tblDados[Primeira_Ocorrencia]*tblDados[GS_V]))</f>
        <v>11</v>
      </c>
      <c r="Y322" s="10">
        <f t="shared" si="64"/>
        <v>18</v>
      </c>
      <c r="Z322" s="10">
        <f t="shared" ref="Z322:Z385" si="114">IF($A322="","",IFERROR(Y322/G322,0))</f>
        <v>1.5</v>
      </c>
      <c r="AA322" s="10">
        <f t="shared" ref="AA322:AA385" si="115">IF($A322="","",IF($E322=0,"",$S322/$E322))</f>
        <v>2.4</v>
      </c>
      <c r="AB322" s="10">
        <f t="shared" ref="AB322:AB385" si="116">IF($A322="","",IF($E322=0,"",$W322/$E322))</f>
        <v>1.4</v>
      </c>
      <c r="AC322" s="10">
        <f t="shared" ref="AC322:AC385" si="117">IF($A322="","",IF($F322=0,"",$T322/$F322))</f>
        <v>1.4285714285714286</v>
      </c>
      <c r="AD322" s="10">
        <f t="shared" ref="AD322:AD385" si="118">IF($A322="","",IF($F322=0,"",$X322/$F322))</f>
        <v>1.5714285714285714</v>
      </c>
    </row>
    <row r="323" spans="1:30" x14ac:dyDescent="0.3">
      <c r="A323" s="7" t="str">
        <v>Moss FK</v>
      </c>
      <c r="B323" s="12" t="str" cm="1">
        <f t="array" ref="B323">IF($A323="","",_xlfn.LET(_xlpm.p,IFERROR(INDEX(tblDados[País],MATCH($A323,TRIM(tblDados[Mandante]),0)),INDEX(tblDados[País],MATCH($A323,TRIM(tblDados[Visitante]),0))),_xlpm.l,IFERROR(INDEX(tblDados[Liga],MATCH($A323,TRIM(tblDados[Mandante]),0)),INDEX(tblDados[Liga],MATCH($A323,TRIM(tblDados[Visitante]),0))),_xlpm.p&amp;" - "&amp;_xlpm.l))</f>
        <v>NOR - OBOS-ligaen</v>
      </c>
      <c r="C323" s="10">
        <f t="shared" ref="C323:C386" si="119">IF($A323="","",IF($E323=0,"",$AA323+$AB323))</f>
        <v>4.166666666666667</v>
      </c>
      <c r="D323" s="10">
        <f t="shared" ref="D323:D386" si="120">IF($A323="","",IF($F323=0,"",$AC323+$AD323))</f>
        <v>4.333333333333333</v>
      </c>
      <c r="E323" s="9" cm="1">
        <f t="array" ref="E323">IF($A323="","",SUMPRODUCT((TRIM(tblDados[Mandante])=$A323)*tblDados[Primeira_Ocorrencia]))</f>
        <v>6</v>
      </c>
      <c r="F323" s="9" cm="1">
        <f t="array" ref="F323">IF($A323="","",SUMPRODUCT((TRIM(tblDados[Visitante])=$A323)*tblDados[Primeira_Ocorrencia]))</f>
        <v>6</v>
      </c>
      <c r="G323" s="9" cm="1">
        <f t="array" ref="G323">IF($A323="","",SUMPRODUCT((TRIM(tblDados[Mandante])=$A323)*tblDados[Primeira_Ocorrencia])+SUMPRODUCT((TRIM(tblDados[Visitante])=$A323)*tblDados[Primeira_Ocorrencia]))</f>
        <v>12</v>
      </c>
      <c r="H323" s="10">
        <f t="shared" ref="H323:H386" si="121">IF($A323="","",IFERROR($U323/$G323,0))</f>
        <v>1.75</v>
      </c>
      <c r="I323" s="10" cm="1">
        <f t="array" ref="I323">IF($A323="","",_xlfn.LET(_xlpm.p,IFERROR(INDEX(tblDados[País],MATCH($A323,TRIM(tblDados[Mandante]),0)),INDEX(tblDados[País],MATCH($A323,TRIM(tblDados[Visitante]),0))),_xlpm.l,IFERROR(INDEX(tblDados[Liga],MATCH($A323,TRIM(tblDados[Mandante]),0)),INDEX(tblDados[Liga],MATCH($A323,TRIM(tblDados[Visitante]),0))),IFERROR(SUMIFS(Ligas!$D$2:$D$39,Ligas!$H$2:$H$39,_xlpm.p,Ligas!$I$2:$I$39,_xlpm.l),0)))</f>
        <v>2.5</v>
      </c>
      <c r="J323" s="11" cm="1">
        <f t="array" ref="J323">IF($A323="","",IFERROR((SUMPRODUCT((TRIM(tblDados[Mandante])=$A323)*tblDados[Primeira_Ocorrencia]*(tblDados[GM_M]=0))+SUMPRODUCT((TRIM(tblDados[Visitante])=$A323)*tblDados[Primeira_Ocorrencia]*(tblDados[GM_V]=0)))/G323,0))</f>
        <v>8.3333333333333329E-2</v>
      </c>
      <c r="K323" s="11" cm="1">
        <f t="array" ref="K323">IF($A323="","",IFERROR((SUMPRODUCT((TRIM(tblDados[Mandante])=$A323)*tblDados[Primeira_Ocorrencia]*((tblDados[GM_M]+tblDados[GS_M])&gt;0.5))+SUMPRODUCT((TRIM(tblDados[Visitante])=$A323)*tblDados[Primeira_Ocorrencia]*((tblDados[GM_V]+tblDados[GS_V])&gt;0.5)))/G323,0))</f>
        <v>1</v>
      </c>
      <c r="L323" s="11" cm="1">
        <f t="array" ref="L323">IF($A323="","",IFERROR((SUMPRODUCT((TRIM(tblDados[Mandante])=$A323)*tblDados[Primeira_Ocorrencia]*((tblDados[GM_M]+tblDados[GS_M])&gt;1.5))+SUMPRODUCT((TRIM(tblDados[Visitante])=$A323)*tblDados[Primeira_Ocorrencia]*((tblDados[GM_V]+tblDados[GS_V])&gt;1.5)))/G323,0))</f>
        <v>1</v>
      </c>
      <c r="M323" s="11" cm="1">
        <f t="array" ref="M323">IF($A323="","",IFERROR((SUMPRODUCT((TRIM(tblDados[Mandante])=$A323)*tblDados[Primeira_Ocorrencia]*((tblDados[GM_M]+tblDados[GS_M])&gt;2.5))+SUMPRODUCT((TRIM(tblDados[Visitante])=$A323)*tblDados[Primeira_Ocorrencia]*((tblDados[GM_V]+tblDados[GS_V])&gt;2.5)))/G323,0))</f>
        <v>0.91666666666666663</v>
      </c>
      <c r="N323" s="11" cm="1">
        <f t="array" ref="N323">IF($A323="","",IFERROR((SUMPRODUCT((TRIM(tblDados[Mandante])=$A323)*tblDados[Primeira_Ocorrencia]*((tblDados[GM_M]+tblDados[GS_M])&gt;3.5))+SUMPRODUCT((TRIM(tblDados[Visitante])=$A323)*tblDados[Primeira_Ocorrencia]*((tblDados[GM_V]+tblDados[GS_V])&gt;3.5)))/G323,0))</f>
        <v>0.66666666666666663</v>
      </c>
      <c r="O323" s="11" cm="1">
        <f t="array" ref="O323">IF($A323="","",IFERROR((SUMPRODUCT((TRIM(tblDados[Mandante])=$A323)*tblDados[Primeira_Ocorrencia]*(tblDados[GM_M]&gt;0)*(tblDados[GS_M]&gt;0))+SUMPRODUCT((TRIM(tblDados[Visitante])=$A323)*tblDados[Primeira_Ocorrencia]*(tblDados[GM_V]&gt;0)*(tblDados[GS_V]&gt;0)))/G323,0))</f>
        <v>0.91666666666666663</v>
      </c>
      <c r="P323" s="10" cm="1">
        <f t="array" ref="P323">IF($A323="","",IFERROR((SUMPRODUCT((TRIM(tblDados[Mandante])=$A323)*tblDados[Primeira_Ocorrencia]*tblDados[GM_M]^2)+SUMPRODUCT((TRIM(tblDados[Visitante])=$A323)*tblDados[Primeira_Ocorrencia]*tblDados[GM_V]^2))/G323-H323^2,0))</f>
        <v>1.1875</v>
      </c>
      <c r="Q323" s="10">
        <f t="shared" ref="Q323:Q386" si="122">IF($A323="","",IFERROR(SQRT(MAX(P323,0)),0))</f>
        <v>1.0897247358851685</v>
      </c>
      <c r="R323" s="8" t="str">
        <f t="shared" ref="R323:R386" si="123">IF(A323="","",IF(OR(G323&lt;5,H323=0),"Amostra Insuficiente",IF(_xlfn.CHISQ.DIST.RT(G323*P323/H323,G323-1)&lt;0.05,"Binomial Negativa","Poisson")))</f>
        <v>Poisson</v>
      </c>
      <c r="S323" s="10" cm="1">
        <f t="array" ref="S323">IF($A323="","",SUMPRODUCT((TRIM(tblDados[Mandante])=$A323)*tblDados[Primeira_Ocorrencia]*tblDados[GM_M]))</f>
        <v>10</v>
      </c>
      <c r="T323" s="10" cm="1">
        <f t="array" ref="T323">IF($A323="","",SUMPRODUCT((TRIM(tblDados[Visitante])=$A323)*tblDados[Primeira_Ocorrencia]*tblDados[GM_V]))</f>
        <v>11</v>
      </c>
      <c r="U323" s="10">
        <f t="shared" ref="U323:U386" si="124">IF($A323="","",S323+T323)</f>
        <v>21</v>
      </c>
      <c r="V323" s="10">
        <f t="shared" si="113"/>
        <v>1.75</v>
      </c>
      <c r="W323" s="10" cm="1">
        <f t="array" ref="W323">IF($A323="","",SUMPRODUCT((TRIM(tblDados[Mandante])=$A323)*tblDados[Primeira_Ocorrencia]*tblDados[GS_M]))</f>
        <v>15</v>
      </c>
      <c r="X323" s="10" cm="1">
        <f t="array" ref="X323">IF($A323="","",SUMPRODUCT((TRIM(tblDados[Visitante])=$A323)*tblDados[Primeira_Ocorrencia]*tblDados[GS_V]))</f>
        <v>15</v>
      </c>
      <c r="Y323" s="10">
        <f t="shared" ref="Y323:Y386" si="125">IF($A323="","",W323+X323)</f>
        <v>30</v>
      </c>
      <c r="Z323" s="10">
        <f t="shared" si="114"/>
        <v>2.5</v>
      </c>
      <c r="AA323" s="10">
        <f t="shared" si="115"/>
        <v>1.6666666666666667</v>
      </c>
      <c r="AB323" s="10">
        <f t="shared" si="116"/>
        <v>2.5</v>
      </c>
      <c r="AC323" s="10">
        <f t="shared" si="117"/>
        <v>1.8333333333333333</v>
      </c>
      <c r="AD323" s="10">
        <f t="shared" si="118"/>
        <v>2.5</v>
      </c>
    </row>
    <row r="324" spans="1:30" x14ac:dyDescent="0.3">
      <c r="A324" s="7" t="str">
        <v>Motala AIF</v>
      </c>
      <c r="B324" s="12" t="str" cm="1">
        <f t="array" ref="B324">IF($A324="","",_xlfn.LET(_xlpm.p,IFERROR(INDEX(tblDados[País],MATCH($A324,TRIM(tblDados[Mandante]),0)),INDEX(tblDados[País],MATCH($A324,TRIM(tblDados[Visitante]),0))),_xlpm.l,IFERROR(INDEX(tblDados[Liga],MATCH($A324,TRIM(tblDados[Mandante]),0)),INDEX(tblDados[Liga],MATCH($A324,TRIM(tblDados[Visitante]),0))),_xlpm.p&amp;" - "&amp;_xlpm.l))</f>
        <v>SWE - 2ª D Norra Götaland</v>
      </c>
      <c r="C324" s="10">
        <f t="shared" si="119"/>
        <v>2.1666666666666665</v>
      </c>
      <c r="D324" s="10">
        <f t="shared" si="120"/>
        <v>3</v>
      </c>
      <c r="E324" s="9" cm="1">
        <f t="array" ref="E324">IF($A324="","",SUMPRODUCT((TRIM(tblDados[Mandante])=$A324)*tblDados[Primeira_Ocorrencia]))</f>
        <v>6</v>
      </c>
      <c r="F324" s="9" cm="1">
        <f t="array" ref="F324">IF($A324="","",SUMPRODUCT((TRIM(tblDados[Visitante])=$A324)*tblDados[Primeira_Ocorrencia]))</f>
        <v>6</v>
      </c>
      <c r="G324" s="9" cm="1">
        <f t="array" ref="G324">IF($A324="","",SUMPRODUCT((TRIM(tblDados[Mandante])=$A324)*tblDados[Primeira_Ocorrencia])+SUMPRODUCT((TRIM(tblDados[Visitante])=$A324)*tblDados[Primeira_Ocorrencia]))</f>
        <v>12</v>
      </c>
      <c r="H324" s="10">
        <f t="shared" si="121"/>
        <v>1.25</v>
      </c>
      <c r="I324" s="10" cm="1">
        <f t="array" ref="I324">IF($A324="","",_xlfn.LET(_xlpm.p,IFERROR(INDEX(tblDados[País],MATCH($A324,TRIM(tblDados[Mandante]),0)),INDEX(tblDados[País],MATCH($A324,TRIM(tblDados[Visitante]),0))),_xlpm.l,IFERROR(INDEX(tblDados[Liga],MATCH($A324,TRIM(tblDados[Mandante]),0)),INDEX(tblDados[Liga],MATCH($A324,TRIM(tblDados[Visitante]),0))),IFERROR(SUMIFS(Ligas!$D$2:$D$39,Ligas!$H$2:$H$39,_xlpm.p,Ligas!$I$2:$I$39,_xlpm.l),0)))</f>
        <v>2.5</v>
      </c>
      <c r="J324" s="11" cm="1">
        <f t="array" ref="J324">IF($A324="","",IFERROR((SUMPRODUCT((TRIM(tblDados[Mandante])=$A324)*tblDados[Primeira_Ocorrencia]*(tblDados[GM_M]=0))+SUMPRODUCT((TRIM(tblDados[Visitante])=$A324)*tblDados[Primeira_Ocorrencia]*(tblDados[GM_V]=0)))/G324,0))</f>
        <v>0.5</v>
      </c>
      <c r="K324" s="11" cm="1">
        <f t="array" ref="K324">IF($A324="","",IFERROR((SUMPRODUCT((TRIM(tblDados[Mandante])=$A324)*tblDados[Primeira_Ocorrencia]*((tblDados[GM_M]+tblDados[GS_M])&gt;0.5))+SUMPRODUCT((TRIM(tblDados[Visitante])=$A324)*tblDados[Primeira_Ocorrencia]*((tblDados[GM_V]+tblDados[GS_V])&gt;0.5)))/G324,0))</f>
        <v>0.91666666666666663</v>
      </c>
      <c r="L324" s="11" cm="1">
        <f t="array" ref="L324">IF($A324="","",IFERROR((SUMPRODUCT((TRIM(tblDados[Mandante])=$A324)*tblDados[Primeira_Ocorrencia]*((tblDados[GM_M]+tblDados[GS_M])&gt;1.5))+SUMPRODUCT((TRIM(tblDados[Visitante])=$A324)*tblDados[Primeira_Ocorrencia]*((tblDados[GM_V]+tblDados[GS_V])&gt;1.5)))/G324,0))</f>
        <v>0.66666666666666663</v>
      </c>
      <c r="M324" s="11" cm="1">
        <f t="array" ref="M324">IF($A324="","",IFERROR((SUMPRODUCT((TRIM(tblDados[Mandante])=$A324)*tblDados[Primeira_Ocorrencia]*((tblDados[GM_M]+tblDados[GS_M])&gt;2.5))+SUMPRODUCT((TRIM(tblDados[Visitante])=$A324)*tblDados[Primeira_Ocorrencia]*((tblDados[GM_V]+tblDados[GS_V])&gt;2.5)))/G324,0))</f>
        <v>0.41666666666666669</v>
      </c>
      <c r="N324" s="11" cm="1">
        <f t="array" ref="N324">IF($A324="","",IFERROR((SUMPRODUCT((TRIM(tblDados[Mandante])=$A324)*tblDados[Primeira_Ocorrencia]*((tblDados[GM_M]+tblDados[GS_M])&gt;3.5))+SUMPRODUCT((TRIM(tblDados[Visitante])=$A324)*tblDados[Primeira_Ocorrencia]*((tblDados[GM_V]+tblDados[GS_V])&gt;3.5)))/G324,0))</f>
        <v>0.33333333333333331</v>
      </c>
      <c r="O324" s="11" cm="1">
        <f t="array" ref="O324">IF($A324="","",IFERROR((SUMPRODUCT((TRIM(tblDados[Mandante])=$A324)*tblDados[Primeira_Ocorrencia]*(tblDados[GM_M]&gt;0)*(tblDados[GS_M]&gt;0))+SUMPRODUCT((TRIM(tblDados[Visitante])=$A324)*tblDados[Primeira_Ocorrencia]*(tblDados[GM_V]&gt;0)*(tblDados[GS_V]&gt;0)))/G324,0))</f>
        <v>0.33333333333333331</v>
      </c>
      <c r="P324" s="10" cm="1">
        <f t="array" ref="P324">IF($A324="","",IFERROR((SUMPRODUCT((TRIM(tblDados[Mandante])=$A324)*tblDados[Primeira_Ocorrencia]*tblDados[GM_M]^2)+SUMPRODUCT((TRIM(tblDados[Visitante])=$A324)*tblDados[Primeira_Ocorrencia]*tblDados[GM_V]^2))/G324-H324^2,0))</f>
        <v>1.8541666666666665</v>
      </c>
      <c r="Q324" s="10">
        <f t="shared" si="122"/>
        <v>1.3616778865306827</v>
      </c>
      <c r="R324" s="8" t="str">
        <f t="shared" si="123"/>
        <v>Poisson</v>
      </c>
      <c r="S324" s="10" cm="1">
        <f t="array" ref="S324">IF($A324="","",SUMPRODUCT((TRIM(tblDados[Mandante])=$A324)*tblDados[Primeira_Ocorrencia]*tblDados[GM_M]))</f>
        <v>5</v>
      </c>
      <c r="T324" s="10" cm="1">
        <f t="array" ref="T324">IF($A324="","",SUMPRODUCT((TRIM(tblDados[Visitante])=$A324)*tblDados[Primeira_Ocorrencia]*tblDados[GM_V]))</f>
        <v>10</v>
      </c>
      <c r="U324" s="10">
        <f t="shared" si="124"/>
        <v>15</v>
      </c>
      <c r="V324" s="10">
        <f t="shared" si="113"/>
        <v>1.25</v>
      </c>
      <c r="W324" s="10" cm="1">
        <f t="array" ref="W324">IF($A324="","",SUMPRODUCT((TRIM(tblDados[Mandante])=$A324)*tblDados[Primeira_Ocorrencia]*tblDados[GS_M]))</f>
        <v>8</v>
      </c>
      <c r="X324" s="10" cm="1">
        <f t="array" ref="X324">IF($A324="","",SUMPRODUCT((TRIM(tblDados[Visitante])=$A324)*tblDados[Primeira_Ocorrencia]*tblDados[GS_V]))</f>
        <v>8</v>
      </c>
      <c r="Y324" s="10">
        <f t="shared" si="125"/>
        <v>16</v>
      </c>
      <c r="Z324" s="10">
        <f t="shared" si="114"/>
        <v>1.3333333333333333</v>
      </c>
      <c r="AA324" s="10">
        <f t="shared" si="115"/>
        <v>0.83333333333333337</v>
      </c>
      <c r="AB324" s="10">
        <f t="shared" si="116"/>
        <v>1.3333333333333333</v>
      </c>
      <c r="AC324" s="10">
        <f t="shared" si="117"/>
        <v>1.6666666666666667</v>
      </c>
      <c r="AD324" s="10">
        <f t="shared" si="118"/>
        <v>1.3333333333333333</v>
      </c>
    </row>
    <row r="325" spans="1:30" x14ac:dyDescent="0.3">
      <c r="A325" s="7" t="str">
        <v>Mushuc Runa</v>
      </c>
      <c r="B325" s="12" t="str" cm="1">
        <f t="array" ref="B325">IF($A325="","",_xlfn.LET(_xlpm.p,IFERROR(INDEX(tblDados[País],MATCH($A325,TRIM(tblDados[Mandante]),0)),INDEX(tblDados[País],MATCH($A325,TRIM(tblDados[Visitante]),0))),_xlpm.l,IFERROR(INDEX(tblDados[Liga],MATCH($A325,TRIM(tblDados[Mandante]),0)),INDEX(tblDados[Liga],MATCH($A325,TRIM(tblDados[Visitante]),0))),_xlpm.p&amp;" - "&amp;_xlpm.l))</f>
        <v>ECU - LigaPro Serie A</v>
      </c>
      <c r="C325" s="10">
        <f t="shared" si="119"/>
        <v>3</v>
      </c>
      <c r="D325" s="10">
        <f t="shared" si="120"/>
        <v>3</v>
      </c>
      <c r="E325" s="9" cm="1">
        <f t="array" ref="E325">IF($A325="","",SUMPRODUCT((TRIM(tblDados[Mandante])=$A325)*tblDados[Primeira_Ocorrencia]))</f>
        <v>6</v>
      </c>
      <c r="F325" s="9" cm="1">
        <f t="array" ref="F325">IF($A325="","",SUMPRODUCT((TRIM(tblDados[Visitante])=$A325)*tblDados[Primeira_Ocorrencia]))</f>
        <v>6</v>
      </c>
      <c r="G325" s="9" cm="1">
        <f t="array" ref="G325">IF($A325="","",SUMPRODUCT((TRIM(tblDados[Mandante])=$A325)*tblDados[Primeira_Ocorrencia])+SUMPRODUCT((TRIM(tblDados[Visitante])=$A325)*tblDados[Primeira_Ocorrencia]))</f>
        <v>12</v>
      </c>
      <c r="H325" s="10">
        <f t="shared" si="121"/>
        <v>1.1666666666666667</v>
      </c>
      <c r="I325" s="10" cm="1">
        <f t="array" ref="I325">IF($A325="","",_xlfn.LET(_xlpm.p,IFERROR(INDEX(tblDados[País],MATCH($A325,TRIM(tblDados[Mandante]),0)),INDEX(tblDados[País],MATCH($A325,TRIM(tblDados[Visitante]),0))),_xlpm.l,IFERROR(INDEX(tblDados[Liga],MATCH($A325,TRIM(tblDados[Mandante]),0)),INDEX(tblDados[Liga],MATCH($A325,TRIM(tblDados[Visitante]),0))),IFERROR(SUMIFS(Ligas!$D$2:$D$39,Ligas!$H$2:$H$39,_xlpm.p,Ligas!$I$2:$I$39,_xlpm.l),0)))</f>
        <v>2.5</v>
      </c>
      <c r="J325" s="11" cm="1">
        <f t="array" ref="J325">IF($A325="","",IFERROR((SUMPRODUCT((TRIM(tblDados[Mandante])=$A325)*tblDados[Primeira_Ocorrencia]*(tblDados[GM_M]=0))+SUMPRODUCT((TRIM(tblDados[Visitante])=$A325)*tblDados[Primeira_Ocorrencia]*(tblDados[GM_V]=0)))/G325,0))</f>
        <v>0.25</v>
      </c>
      <c r="K325" s="11" cm="1">
        <f t="array" ref="K325">IF($A325="","",IFERROR((SUMPRODUCT((TRIM(tblDados[Mandante])=$A325)*tblDados[Primeira_Ocorrencia]*((tblDados[GM_M]+tblDados[GS_M])&gt;0.5))+SUMPRODUCT((TRIM(tblDados[Visitante])=$A325)*tblDados[Primeira_Ocorrencia]*((tblDados[GM_V]+tblDados[GS_V])&gt;0.5)))/G325,0))</f>
        <v>0.91666666666666663</v>
      </c>
      <c r="L325" s="11" cm="1">
        <f t="array" ref="L325">IF($A325="","",IFERROR((SUMPRODUCT((TRIM(tblDados[Mandante])=$A325)*tblDados[Primeira_Ocorrencia]*((tblDados[GM_M]+tblDados[GS_M])&gt;1.5))+SUMPRODUCT((TRIM(tblDados[Visitante])=$A325)*tblDados[Primeira_Ocorrencia]*((tblDados[GM_V]+tblDados[GS_V])&gt;1.5)))/G325,0))</f>
        <v>0.83333333333333337</v>
      </c>
      <c r="M325" s="11" cm="1">
        <f t="array" ref="M325">IF($A325="","",IFERROR((SUMPRODUCT((TRIM(tblDados[Mandante])=$A325)*tblDados[Primeira_Ocorrencia]*((tblDados[GM_M]+tblDados[GS_M])&gt;2.5))+SUMPRODUCT((TRIM(tblDados[Visitante])=$A325)*tblDados[Primeira_Ocorrencia]*((tblDados[GM_V]+tblDados[GS_V])&gt;2.5)))/G325,0))</f>
        <v>0.66666666666666663</v>
      </c>
      <c r="N325" s="11" cm="1">
        <f t="array" ref="N325">IF($A325="","",IFERROR((SUMPRODUCT((TRIM(tblDados[Mandante])=$A325)*tblDados[Primeira_Ocorrencia]*((tblDados[GM_M]+tblDados[GS_M])&gt;3.5))+SUMPRODUCT((TRIM(tblDados[Visitante])=$A325)*tblDados[Primeira_Ocorrencia]*((tblDados[GM_V]+tblDados[GS_V])&gt;3.5)))/G325,0))</f>
        <v>0.41666666666666669</v>
      </c>
      <c r="O325" s="11" cm="1">
        <f t="array" ref="O325">IF($A325="","",IFERROR((SUMPRODUCT((TRIM(tblDados[Mandante])=$A325)*tblDados[Primeira_Ocorrencia]*(tblDados[GM_M]&gt;0)*(tblDados[GS_M]&gt;0))+SUMPRODUCT((TRIM(tblDados[Visitante])=$A325)*tblDados[Primeira_Ocorrencia]*(tblDados[GM_V]&gt;0)*(tblDados[GS_V]&gt;0)))/G325,0))</f>
        <v>0.75</v>
      </c>
      <c r="P325" s="10" cm="1">
        <f t="array" ref="P325">IF($A325="","",IFERROR((SUMPRODUCT((TRIM(tblDados[Mandante])=$A325)*tblDados[Primeira_Ocorrencia]*tblDados[GM_M]^2)+SUMPRODUCT((TRIM(tblDados[Visitante])=$A325)*tblDados[Primeira_Ocorrencia]*tblDados[GM_V]^2))/G325-H325^2,0))</f>
        <v>0.80555555555555514</v>
      </c>
      <c r="Q325" s="10">
        <f t="shared" si="122"/>
        <v>0.89752746785575044</v>
      </c>
      <c r="R325" s="8" t="str">
        <f t="shared" si="123"/>
        <v>Poisson</v>
      </c>
      <c r="S325" s="10" cm="1">
        <f t="array" ref="S325">IF($A325="","",SUMPRODUCT((TRIM(tblDados[Mandante])=$A325)*tblDados[Primeira_Ocorrencia]*tblDados[GM_M]))</f>
        <v>6</v>
      </c>
      <c r="T325" s="10" cm="1">
        <f t="array" ref="T325">IF($A325="","",SUMPRODUCT((TRIM(tblDados[Visitante])=$A325)*tblDados[Primeira_Ocorrencia]*tblDados[GM_V]))</f>
        <v>8</v>
      </c>
      <c r="U325" s="10">
        <f t="shared" si="124"/>
        <v>14</v>
      </c>
      <c r="V325" s="10">
        <f t="shared" si="113"/>
        <v>1.1666666666666667</v>
      </c>
      <c r="W325" s="10" cm="1">
        <f t="array" ref="W325">IF($A325="","",SUMPRODUCT((TRIM(tblDados[Mandante])=$A325)*tblDados[Primeira_Ocorrencia]*tblDados[GS_M]))</f>
        <v>12</v>
      </c>
      <c r="X325" s="10" cm="1">
        <f t="array" ref="X325">IF($A325="","",SUMPRODUCT((TRIM(tblDados[Visitante])=$A325)*tblDados[Primeira_Ocorrencia]*tblDados[GS_V]))</f>
        <v>10</v>
      </c>
      <c r="Y325" s="10">
        <f t="shared" si="125"/>
        <v>22</v>
      </c>
      <c r="Z325" s="10">
        <f t="shared" si="114"/>
        <v>1.8333333333333333</v>
      </c>
      <c r="AA325" s="10">
        <f t="shared" si="115"/>
        <v>1</v>
      </c>
      <c r="AB325" s="10">
        <f t="shared" si="116"/>
        <v>2</v>
      </c>
      <c r="AC325" s="10">
        <f t="shared" si="117"/>
        <v>1.3333333333333333</v>
      </c>
      <c r="AD325" s="10">
        <f t="shared" si="118"/>
        <v>1.6666666666666667</v>
      </c>
    </row>
    <row r="326" spans="1:30" x14ac:dyDescent="0.3">
      <c r="A326" s="7" t="str">
        <v>MyPa</v>
      </c>
      <c r="B326" s="12" t="str" cm="1">
        <f t="array" ref="B326">IF($A326="","",_xlfn.LET(_xlpm.p,IFERROR(INDEX(tblDados[País],MATCH($A326,TRIM(tblDados[Mandante]),0)),INDEX(tblDados[País],MATCH($A326,TRIM(tblDados[Visitante]),0))),_xlpm.l,IFERROR(INDEX(tblDados[Liga],MATCH($A326,TRIM(tblDados[Mandante]),0)),INDEX(tblDados[Liga],MATCH($A326,TRIM(tblDados[Visitante]),0))),_xlpm.p&amp;" - "&amp;_xlpm.l))</f>
        <v>FIN - Kakkonen A</v>
      </c>
      <c r="C326" s="10">
        <f t="shared" si="119"/>
        <v>2.3333333333333335</v>
      </c>
      <c r="D326" s="10">
        <f t="shared" si="120"/>
        <v>4.666666666666667</v>
      </c>
      <c r="E326" s="9" cm="1">
        <f t="array" ref="E326">IF($A326="","",SUMPRODUCT((TRIM(tblDados[Mandante])=$A326)*tblDados[Primeira_Ocorrencia]))</f>
        <v>6</v>
      </c>
      <c r="F326" s="9" cm="1">
        <f t="array" ref="F326">IF($A326="","",SUMPRODUCT((TRIM(tblDados[Visitante])=$A326)*tblDados[Primeira_Ocorrencia]))</f>
        <v>6</v>
      </c>
      <c r="G326" s="9" cm="1">
        <f t="array" ref="G326">IF($A326="","",SUMPRODUCT((TRIM(tblDados[Mandante])=$A326)*tblDados[Primeira_Ocorrencia])+SUMPRODUCT((TRIM(tblDados[Visitante])=$A326)*tblDados[Primeira_Ocorrencia]))</f>
        <v>12</v>
      </c>
      <c r="H326" s="10">
        <f t="shared" si="121"/>
        <v>0.91666666666666663</v>
      </c>
      <c r="I326" s="10" cm="1">
        <f t="array" ref="I326">IF($A326="","",_xlfn.LET(_xlpm.p,IFERROR(INDEX(tblDados[País],MATCH($A326,TRIM(tblDados[Mandante]),0)),INDEX(tblDados[País],MATCH($A326,TRIM(tblDados[Visitante]),0))),_xlpm.l,IFERROR(INDEX(tblDados[Liga],MATCH($A326,TRIM(tblDados[Mandante]),0)),INDEX(tblDados[Liga],MATCH($A326,TRIM(tblDados[Visitante]),0))),IFERROR(SUMIFS(Ligas!$D$2:$D$39,Ligas!$H$2:$H$39,_xlpm.p,Ligas!$I$2:$I$39,_xlpm.l),0)))</f>
        <v>3.79</v>
      </c>
      <c r="J326" s="11" cm="1">
        <f t="array" ref="J326">IF($A326="","",IFERROR((SUMPRODUCT((TRIM(tblDados[Mandante])=$A326)*tblDados[Primeira_Ocorrencia]*(tblDados[GM_M]=0))+SUMPRODUCT((TRIM(tblDados[Visitante])=$A326)*tblDados[Primeira_Ocorrencia]*(tblDados[GM_V]=0)))/G326,0))</f>
        <v>0.33333333333333331</v>
      </c>
      <c r="K326" s="11" cm="1">
        <f t="array" ref="K326">IF($A326="","",IFERROR((SUMPRODUCT((TRIM(tblDados[Mandante])=$A326)*tblDados[Primeira_Ocorrencia]*((tblDados[GM_M]+tblDados[GS_M])&gt;0.5))+SUMPRODUCT((TRIM(tblDados[Visitante])=$A326)*tblDados[Primeira_Ocorrencia]*((tblDados[GM_V]+tblDados[GS_V])&gt;0.5)))/G326,0))</f>
        <v>0.83333333333333337</v>
      </c>
      <c r="L326" s="11" cm="1">
        <f t="array" ref="L326">IF($A326="","",IFERROR((SUMPRODUCT((TRIM(tblDados[Mandante])=$A326)*tblDados[Primeira_Ocorrencia]*((tblDados[GM_M]+tblDados[GS_M])&gt;1.5))+SUMPRODUCT((TRIM(tblDados[Visitante])=$A326)*tblDados[Primeira_Ocorrencia]*((tblDados[GM_V]+tblDados[GS_V])&gt;1.5)))/G326,0))</f>
        <v>0.83333333333333337</v>
      </c>
      <c r="M326" s="11" cm="1">
        <f t="array" ref="M326">IF($A326="","",IFERROR((SUMPRODUCT((TRIM(tblDados[Mandante])=$A326)*tblDados[Primeira_Ocorrencia]*((tblDados[GM_M]+tblDados[GS_M])&gt;2.5))+SUMPRODUCT((TRIM(tblDados[Visitante])=$A326)*tblDados[Primeira_Ocorrencia]*((tblDados[GM_V]+tblDados[GS_V])&gt;2.5)))/G326,0))</f>
        <v>0.66666666666666663</v>
      </c>
      <c r="N326" s="11" cm="1">
        <f t="array" ref="N326">IF($A326="","",IFERROR((SUMPRODUCT((TRIM(tblDados[Mandante])=$A326)*tblDados[Primeira_Ocorrencia]*((tblDados[GM_M]+tblDados[GS_M])&gt;3.5))+SUMPRODUCT((TRIM(tblDados[Visitante])=$A326)*tblDados[Primeira_Ocorrencia]*((tblDados[GM_V]+tblDados[GS_V])&gt;3.5)))/G326,0))</f>
        <v>0.58333333333333337</v>
      </c>
      <c r="O326" s="11" cm="1">
        <f t="array" ref="O326">IF($A326="","",IFERROR((SUMPRODUCT((TRIM(tblDados[Mandante])=$A326)*tblDados[Primeira_Ocorrencia]*(tblDados[GM_M]&gt;0)*(tblDados[GS_M]&gt;0))+SUMPRODUCT((TRIM(tblDados[Visitante])=$A326)*tblDados[Primeira_Ocorrencia]*(tblDados[GM_V]&gt;0)*(tblDados[GS_V]&gt;0)))/G326,0))</f>
        <v>0.58333333333333337</v>
      </c>
      <c r="P326" s="10" cm="1">
        <f t="array" ref="P326">IF($A326="","",IFERROR((SUMPRODUCT((TRIM(tblDados[Mandante])=$A326)*tblDados[Primeira_Ocorrencia]*tblDados[GM_M]^2)+SUMPRODUCT((TRIM(tblDados[Visitante])=$A326)*tblDados[Primeira_Ocorrencia]*tblDados[GM_V]^2))/G326-H326^2,0))</f>
        <v>0.57638888888888906</v>
      </c>
      <c r="Q326" s="10">
        <f t="shared" si="122"/>
        <v>0.75920279826202497</v>
      </c>
      <c r="R326" s="8" t="str">
        <f t="shared" si="123"/>
        <v>Poisson</v>
      </c>
      <c r="S326" s="10" cm="1">
        <f t="array" ref="S326">IF($A326="","",SUMPRODUCT((TRIM(tblDados[Mandante])=$A326)*tblDados[Primeira_Ocorrencia]*tblDados[GM_M]))</f>
        <v>4</v>
      </c>
      <c r="T326" s="10" cm="1">
        <f t="array" ref="T326">IF($A326="","",SUMPRODUCT((TRIM(tblDados[Visitante])=$A326)*tblDados[Primeira_Ocorrencia]*tblDados[GM_V]))</f>
        <v>7</v>
      </c>
      <c r="U326" s="10">
        <f t="shared" si="124"/>
        <v>11</v>
      </c>
      <c r="V326" s="10">
        <f t="shared" si="113"/>
        <v>0.91666666666666663</v>
      </c>
      <c r="W326" s="10" cm="1">
        <f t="array" ref="W326">IF($A326="","",SUMPRODUCT((TRIM(tblDados[Mandante])=$A326)*tblDados[Primeira_Ocorrencia]*tblDados[GS_M]))</f>
        <v>10</v>
      </c>
      <c r="X326" s="10" cm="1">
        <f t="array" ref="X326">IF($A326="","",SUMPRODUCT((TRIM(tblDados[Visitante])=$A326)*tblDados[Primeira_Ocorrencia]*tblDados[GS_V]))</f>
        <v>21</v>
      </c>
      <c r="Y326" s="10">
        <f t="shared" si="125"/>
        <v>31</v>
      </c>
      <c r="Z326" s="10">
        <f t="shared" si="114"/>
        <v>2.5833333333333335</v>
      </c>
      <c r="AA326" s="10">
        <f t="shared" si="115"/>
        <v>0.66666666666666663</v>
      </c>
      <c r="AB326" s="10">
        <f t="shared" si="116"/>
        <v>1.6666666666666667</v>
      </c>
      <c r="AC326" s="10">
        <f t="shared" si="117"/>
        <v>1.1666666666666667</v>
      </c>
      <c r="AD326" s="10">
        <f t="shared" si="118"/>
        <v>3.5</v>
      </c>
    </row>
    <row r="327" spans="1:30" x14ac:dyDescent="0.3">
      <c r="A327" s="7" t="str">
        <v>Nantong Zhiyun</v>
      </c>
      <c r="B327" s="12" t="str" cm="1">
        <f t="array" ref="B327">IF($A327="","",_xlfn.LET(_xlpm.p,IFERROR(INDEX(tblDados[País],MATCH($A327,TRIM(tblDados[Mandante]),0)),INDEX(tblDados[País],MATCH($A327,TRIM(tblDados[Visitante]),0))),_xlpm.l,IFERROR(INDEX(tblDados[Liga],MATCH($A327,TRIM(tblDados[Mandante]),0)),INDEX(tblDados[Liga],MATCH($A327,TRIM(tblDados[Visitante]),0))),_xlpm.p&amp;" - "&amp;_xlpm.l))</f>
        <v>CHN - League One</v>
      </c>
      <c r="C327" s="10">
        <f t="shared" si="119"/>
        <v>2.8</v>
      </c>
      <c r="D327" s="10">
        <f t="shared" si="120"/>
        <v>1.8571428571428572</v>
      </c>
      <c r="E327" s="9" cm="1">
        <f t="array" ref="E327">IF($A327="","",SUMPRODUCT((TRIM(tblDados[Mandante])=$A327)*tblDados[Primeira_Ocorrencia]))</f>
        <v>5</v>
      </c>
      <c r="F327" s="9" cm="1">
        <f t="array" ref="F327">IF($A327="","",SUMPRODUCT((TRIM(tblDados[Visitante])=$A327)*tblDados[Primeira_Ocorrencia]))</f>
        <v>7</v>
      </c>
      <c r="G327" s="9" cm="1">
        <f t="array" ref="G327">IF($A327="","",SUMPRODUCT((TRIM(tblDados[Mandante])=$A327)*tblDados[Primeira_Ocorrencia])+SUMPRODUCT((TRIM(tblDados[Visitante])=$A327)*tblDados[Primeira_Ocorrencia]))</f>
        <v>12</v>
      </c>
      <c r="H327" s="10">
        <f t="shared" si="121"/>
        <v>1.3333333333333333</v>
      </c>
      <c r="I327" s="10" cm="1">
        <f t="array" ref="I327">IF($A327="","",_xlfn.LET(_xlpm.p,IFERROR(INDEX(tblDados[País],MATCH($A327,TRIM(tblDados[Mandante]),0)),INDEX(tblDados[País],MATCH($A327,TRIM(tblDados[Visitante]),0))),_xlpm.l,IFERROR(INDEX(tblDados[Liga],MATCH($A327,TRIM(tblDados[Mandante]),0)),INDEX(tblDados[Liga],MATCH($A327,TRIM(tblDados[Visitante]),0))),IFERROR(SUMIFS(Ligas!$D$2:$D$39,Ligas!$H$2:$H$39,_xlpm.p,Ligas!$I$2:$I$39,_xlpm.l),0)))</f>
        <v>2.5</v>
      </c>
      <c r="J327" s="11" cm="1">
        <f t="array" ref="J327">IF($A327="","",IFERROR((SUMPRODUCT((TRIM(tblDados[Mandante])=$A327)*tblDados[Primeira_Ocorrencia]*(tblDados[GM_M]=0))+SUMPRODUCT((TRIM(tblDados[Visitante])=$A327)*tblDados[Primeira_Ocorrencia]*(tblDados[GM_V]=0)))/G327,0))</f>
        <v>0.16666666666666666</v>
      </c>
      <c r="K327" s="11" cm="1">
        <f t="array" ref="K327">IF($A327="","",IFERROR((SUMPRODUCT((TRIM(tblDados[Mandante])=$A327)*tblDados[Primeira_Ocorrencia]*((tblDados[GM_M]+tblDados[GS_M])&gt;0.5))+SUMPRODUCT((TRIM(tblDados[Visitante])=$A327)*tblDados[Primeira_Ocorrencia]*((tblDados[GM_V]+tblDados[GS_V])&gt;0.5)))/G327,0))</f>
        <v>0.83333333333333337</v>
      </c>
      <c r="L327" s="11" cm="1">
        <f t="array" ref="L327">IF($A327="","",IFERROR((SUMPRODUCT((TRIM(tblDados[Mandante])=$A327)*tblDados[Primeira_Ocorrencia]*((tblDados[GM_M]+tblDados[GS_M])&gt;1.5))+SUMPRODUCT((TRIM(tblDados[Visitante])=$A327)*tblDados[Primeira_Ocorrencia]*((tblDados[GM_V]+tblDados[GS_V])&gt;1.5)))/G327,0))</f>
        <v>0.66666666666666663</v>
      </c>
      <c r="M327" s="11" cm="1">
        <f t="array" ref="M327">IF($A327="","",IFERROR((SUMPRODUCT((TRIM(tblDados[Mandante])=$A327)*tblDados[Primeira_Ocorrencia]*((tblDados[GM_M]+tblDados[GS_M])&gt;2.5))+SUMPRODUCT((TRIM(tblDados[Visitante])=$A327)*tblDados[Primeira_Ocorrencia]*((tblDados[GM_V]+tblDados[GS_V])&gt;2.5)))/G327,0))</f>
        <v>0.33333333333333331</v>
      </c>
      <c r="N327" s="11" cm="1">
        <f t="array" ref="N327">IF($A327="","",IFERROR((SUMPRODUCT((TRIM(tblDados[Mandante])=$A327)*tblDados[Primeira_Ocorrencia]*((tblDados[GM_M]+tblDados[GS_M])&gt;3.5))+SUMPRODUCT((TRIM(tblDados[Visitante])=$A327)*tblDados[Primeira_Ocorrencia]*((tblDados[GM_V]+tblDados[GS_V])&gt;3.5)))/G327,0))</f>
        <v>0.25</v>
      </c>
      <c r="O327" s="11" cm="1">
        <f t="array" ref="O327">IF($A327="","",IFERROR((SUMPRODUCT((TRIM(tblDados[Mandante])=$A327)*tblDados[Primeira_Ocorrencia]*(tblDados[GM_M]&gt;0)*(tblDados[GS_M]&gt;0))+SUMPRODUCT((TRIM(tblDados[Visitante])=$A327)*tblDados[Primeira_Ocorrencia]*(tblDados[GM_V]&gt;0)*(tblDados[GS_V]&gt;0)))/G327,0))</f>
        <v>0.58333333333333337</v>
      </c>
      <c r="P327" s="10" cm="1">
        <f t="array" ref="P327">IF($A327="","",IFERROR((SUMPRODUCT((TRIM(tblDados[Mandante])=$A327)*tblDados[Primeira_Ocorrencia]*tblDados[GM_M]^2)+SUMPRODUCT((TRIM(tblDados[Visitante])=$A327)*tblDados[Primeira_Ocorrencia]*tblDados[GM_V]^2))/G327-H327^2,0))</f>
        <v>1.5555555555555558</v>
      </c>
      <c r="Q327" s="10">
        <f t="shared" si="122"/>
        <v>1.2472191289246473</v>
      </c>
      <c r="R327" s="8" t="str">
        <f t="shared" si="123"/>
        <v>Poisson</v>
      </c>
      <c r="S327" s="10" cm="1">
        <f t="array" ref="S327">IF($A327="","",SUMPRODUCT((TRIM(tblDados[Mandante])=$A327)*tblDados[Primeira_Ocorrencia]*tblDados[GM_M]))</f>
        <v>10</v>
      </c>
      <c r="T327" s="10" cm="1">
        <f t="array" ref="T327">IF($A327="","",SUMPRODUCT((TRIM(tblDados[Visitante])=$A327)*tblDados[Primeira_Ocorrencia]*tblDados[GM_V]))</f>
        <v>6</v>
      </c>
      <c r="U327" s="10">
        <f t="shared" si="124"/>
        <v>16</v>
      </c>
      <c r="V327" s="10">
        <f t="shared" si="113"/>
        <v>1.3333333333333333</v>
      </c>
      <c r="W327" s="10" cm="1">
        <f t="array" ref="W327">IF($A327="","",SUMPRODUCT((TRIM(tblDados[Mandante])=$A327)*tblDados[Primeira_Ocorrencia]*tblDados[GS_M]))</f>
        <v>4</v>
      </c>
      <c r="X327" s="10" cm="1">
        <f t="array" ref="X327">IF($A327="","",SUMPRODUCT((TRIM(tblDados[Visitante])=$A327)*tblDados[Primeira_Ocorrencia]*tblDados[GS_V]))</f>
        <v>7</v>
      </c>
      <c r="Y327" s="10">
        <f t="shared" si="125"/>
        <v>11</v>
      </c>
      <c r="Z327" s="10">
        <f t="shared" si="114"/>
        <v>0.91666666666666663</v>
      </c>
      <c r="AA327" s="10">
        <f t="shared" si="115"/>
        <v>2</v>
      </c>
      <c r="AB327" s="10">
        <f t="shared" si="116"/>
        <v>0.8</v>
      </c>
      <c r="AC327" s="10">
        <f t="shared" si="117"/>
        <v>0.8571428571428571</v>
      </c>
      <c r="AD327" s="10">
        <f t="shared" si="118"/>
        <v>1</v>
      </c>
    </row>
    <row r="328" spans="1:30" x14ac:dyDescent="0.3">
      <c r="A328" s="7" t="str">
        <v>New York City FC</v>
      </c>
      <c r="B328" s="12" t="str" cm="1">
        <f t="array" ref="B328">IF($A328="","",_xlfn.LET(_xlpm.p,IFERROR(INDEX(tblDados[País],MATCH($A328,TRIM(tblDados[Mandante]),0)),INDEX(tblDados[País],MATCH($A328,TRIM(tblDados[Visitante]),0))),_xlpm.l,IFERROR(INDEX(tblDados[Liga],MATCH($A328,TRIM(tblDados[Mandante]),0)),INDEX(tblDados[Liga],MATCH($A328,TRIM(tblDados[Visitante]),0))),_xlpm.p&amp;" - "&amp;_xlpm.l))</f>
        <v>USA - MLS-East</v>
      </c>
      <c r="C328" s="10">
        <f t="shared" si="119"/>
        <v>3.666666666666667</v>
      </c>
      <c r="D328" s="10">
        <f t="shared" si="120"/>
        <v>2</v>
      </c>
      <c r="E328" s="9" cm="1">
        <f t="array" ref="E328">IF($A328="","",SUMPRODUCT((TRIM(tblDados[Mandante])=$A328)*tblDados[Primeira_Ocorrencia]))</f>
        <v>6</v>
      </c>
      <c r="F328" s="9" cm="1">
        <f t="array" ref="F328">IF($A328="","",SUMPRODUCT((TRIM(tblDados[Visitante])=$A328)*tblDados[Primeira_Ocorrencia]))</f>
        <v>6</v>
      </c>
      <c r="G328" s="9" cm="1">
        <f t="array" ref="G328">IF($A328="","",SUMPRODUCT((TRIM(tblDados[Mandante])=$A328)*tblDados[Primeira_Ocorrencia])+SUMPRODUCT((TRIM(tblDados[Visitante])=$A328)*tblDados[Primeira_Ocorrencia]))</f>
        <v>12</v>
      </c>
      <c r="H328" s="10">
        <f t="shared" si="121"/>
        <v>1.4166666666666667</v>
      </c>
      <c r="I328" s="10" cm="1">
        <f t="array" ref="I328">IF($A328="","",_xlfn.LET(_xlpm.p,IFERROR(INDEX(tblDados[País],MATCH($A328,TRIM(tblDados[Mandante]),0)),INDEX(tblDados[País],MATCH($A328,TRIM(tblDados[Visitante]),0))),_xlpm.l,IFERROR(INDEX(tblDados[Liga],MATCH($A328,TRIM(tblDados[Mandante]),0)),INDEX(tblDados[Liga],MATCH($A328,TRIM(tblDados[Visitante]),0))),IFERROR(SUMIFS(Ligas!$D$2:$D$39,Ligas!$H$2:$H$39,_xlpm.p,Ligas!$I$2:$I$39,_xlpm.l),0)))</f>
        <v>3.3</v>
      </c>
      <c r="J328" s="11" cm="1">
        <f t="array" ref="J328">IF($A328="","",IFERROR((SUMPRODUCT((TRIM(tblDados[Mandante])=$A328)*tblDados[Primeira_Ocorrencia]*(tblDados[GM_M]=0))+SUMPRODUCT((TRIM(tblDados[Visitante])=$A328)*tblDados[Primeira_Ocorrencia]*(tblDados[GM_V]=0)))/G328,0))</f>
        <v>0.25</v>
      </c>
      <c r="K328" s="11" cm="1">
        <f t="array" ref="K328">IF($A328="","",IFERROR((SUMPRODUCT((TRIM(tblDados[Mandante])=$A328)*tblDados[Primeira_Ocorrencia]*((tblDados[GM_M]+tblDados[GS_M])&gt;0.5))+SUMPRODUCT((TRIM(tblDados[Visitante])=$A328)*tblDados[Primeira_Ocorrencia]*((tblDados[GM_V]+tblDados[GS_V])&gt;0.5)))/G328,0))</f>
        <v>1</v>
      </c>
      <c r="L328" s="11" cm="1">
        <f t="array" ref="L328">IF($A328="","",IFERROR((SUMPRODUCT((TRIM(tblDados[Mandante])=$A328)*tblDados[Primeira_Ocorrencia]*((tblDados[GM_M]+tblDados[GS_M])&gt;1.5))+SUMPRODUCT((TRIM(tblDados[Visitante])=$A328)*tblDados[Primeira_Ocorrencia]*((tblDados[GM_V]+tblDados[GS_V])&gt;1.5)))/G328,0))</f>
        <v>0.83333333333333337</v>
      </c>
      <c r="M328" s="11" cm="1">
        <f t="array" ref="M328">IF($A328="","",IFERROR((SUMPRODUCT((TRIM(tblDados[Mandante])=$A328)*tblDados[Primeira_Ocorrencia]*((tblDados[GM_M]+tblDados[GS_M])&gt;2.5))+SUMPRODUCT((TRIM(tblDados[Visitante])=$A328)*tblDados[Primeira_Ocorrencia]*((tblDados[GM_V]+tblDados[GS_V])&gt;2.5)))/G328,0))</f>
        <v>0.5</v>
      </c>
      <c r="N328" s="11" cm="1">
        <f t="array" ref="N328">IF($A328="","",IFERROR((SUMPRODUCT((TRIM(tblDados[Mandante])=$A328)*tblDados[Primeira_Ocorrencia]*((tblDados[GM_M]+tblDados[GS_M])&gt;3.5))+SUMPRODUCT((TRIM(tblDados[Visitante])=$A328)*tblDados[Primeira_Ocorrencia]*((tblDados[GM_V]+tblDados[GS_V])&gt;3.5)))/G328,0))</f>
        <v>0.16666666666666666</v>
      </c>
      <c r="O328" s="11" cm="1">
        <f t="array" ref="O328">IF($A328="","",IFERROR((SUMPRODUCT((TRIM(tblDados[Mandante])=$A328)*tblDados[Primeira_Ocorrencia]*(tblDados[GM_M]&gt;0)*(tblDados[GS_M]&gt;0))+SUMPRODUCT((TRIM(tblDados[Visitante])=$A328)*tblDados[Primeira_Ocorrencia]*(tblDados[GM_V]&gt;0)*(tblDados[GS_V]&gt;0)))/G328,0))</f>
        <v>0.58333333333333337</v>
      </c>
      <c r="P328" s="10" cm="1">
        <f t="array" ref="P328">IF($A328="","",IFERROR((SUMPRODUCT((TRIM(tblDados[Mandante])=$A328)*tblDados[Primeira_Ocorrencia]*tblDados[GM_M]^2)+SUMPRODUCT((TRIM(tblDados[Visitante])=$A328)*tblDados[Primeira_Ocorrencia]*tblDados[GM_V]^2))/G328-H328^2,0))</f>
        <v>1.5763888888888888</v>
      </c>
      <c r="Q328" s="10">
        <f t="shared" si="122"/>
        <v>1.2555432644432802</v>
      </c>
      <c r="R328" s="8" t="str">
        <f t="shared" si="123"/>
        <v>Poisson</v>
      </c>
      <c r="S328" s="10" cm="1">
        <f t="array" ref="S328">IF($A328="","",SUMPRODUCT((TRIM(tblDados[Mandante])=$A328)*tblDados[Primeira_Ocorrencia]*tblDados[GM_M]))</f>
        <v>12</v>
      </c>
      <c r="T328" s="10" cm="1">
        <f t="array" ref="T328">IF($A328="","",SUMPRODUCT((TRIM(tblDados[Visitante])=$A328)*tblDados[Primeira_Ocorrencia]*tblDados[GM_V]))</f>
        <v>5</v>
      </c>
      <c r="U328" s="10">
        <f t="shared" si="124"/>
        <v>17</v>
      </c>
      <c r="V328" s="10">
        <f t="shared" si="113"/>
        <v>1.4166666666666667</v>
      </c>
      <c r="W328" s="10" cm="1">
        <f t="array" ref="W328">IF($A328="","",SUMPRODUCT((TRIM(tblDados[Mandante])=$A328)*tblDados[Primeira_Ocorrencia]*tblDados[GS_M]))</f>
        <v>10</v>
      </c>
      <c r="X328" s="10" cm="1">
        <f t="array" ref="X328">IF($A328="","",SUMPRODUCT((TRIM(tblDados[Visitante])=$A328)*tblDados[Primeira_Ocorrencia]*tblDados[GS_V]))</f>
        <v>7</v>
      </c>
      <c r="Y328" s="10">
        <f t="shared" si="125"/>
        <v>17</v>
      </c>
      <c r="Z328" s="10">
        <f t="shared" si="114"/>
        <v>1.4166666666666667</v>
      </c>
      <c r="AA328" s="10">
        <f t="shared" si="115"/>
        <v>2</v>
      </c>
      <c r="AB328" s="10">
        <f t="shared" si="116"/>
        <v>1.6666666666666667</v>
      </c>
      <c r="AC328" s="10">
        <f t="shared" si="117"/>
        <v>0.83333333333333337</v>
      </c>
      <c r="AD328" s="10">
        <f t="shared" si="118"/>
        <v>1.1666666666666667</v>
      </c>
    </row>
    <row r="329" spans="1:30" x14ac:dyDescent="0.3">
      <c r="A329" s="7" t="str">
        <v>New York Red Bulls</v>
      </c>
      <c r="B329" s="12" t="str" cm="1">
        <f t="array" ref="B329">IF($A329="","",_xlfn.LET(_xlpm.p,IFERROR(INDEX(tblDados[País],MATCH($A329,TRIM(tblDados[Mandante]),0)),INDEX(tblDados[País],MATCH($A329,TRIM(tblDados[Visitante]),0))),_xlpm.l,IFERROR(INDEX(tblDados[Liga],MATCH($A329,TRIM(tblDados[Mandante]),0)),INDEX(tblDados[Liga],MATCH($A329,TRIM(tblDados[Visitante]),0))),_xlpm.p&amp;" - "&amp;_xlpm.l))</f>
        <v>USA - MLS-East</v>
      </c>
      <c r="C329" s="10">
        <f t="shared" si="119"/>
        <v>4</v>
      </c>
      <c r="D329" s="10">
        <f t="shared" si="120"/>
        <v>3.6666666666666665</v>
      </c>
      <c r="E329" s="9" cm="1">
        <f t="array" ref="E329">IF($A329="","",SUMPRODUCT((TRIM(tblDados[Mandante])=$A329)*tblDados[Primeira_Ocorrencia]))</f>
        <v>6</v>
      </c>
      <c r="F329" s="9" cm="1">
        <f t="array" ref="F329">IF($A329="","",SUMPRODUCT((TRIM(tblDados[Visitante])=$A329)*tblDados[Primeira_Ocorrencia]))</f>
        <v>6</v>
      </c>
      <c r="G329" s="9" cm="1">
        <f t="array" ref="G329">IF($A329="","",SUMPRODUCT((TRIM(tblDados[Mandante])=$A329)*tblDados[Primeira_Ocorrencia])+SUMPRODUCT((TRIM(tblDados[Visitante])=$A329)*tblDados[Primeira_Ocorrencia]))</f>
        <v>12</v>
      </c>
      <c r="H329" s="10">
        <f t="shared" si="121"/>
        <v>1.6666666666666667</v>
      </c>
      <c r="I329" s="10" cm="1">
        <f t="array" ref="I329">IF($A329="","",_xlfn.LET(_xlpm.p,IFERROR(INDEX(tblDados[País],MATCH($A329,TRIM(tblDados[Mandante]),0)),INDEX(tblDados[País],MATCH($A329,TRIM(tblDados[Visitante]),0))),_xlpm.l,IFERROR(INDEX(tblDados[Liga],MATCH($A329,TRIM(tblDados[Mandante]),0)),INDEX(tblDados[Liga],MATCH($A329,TRIM(tblDados[Visitante]),0))),IFERROR(SUMIFS(Ligas!$D$2:$D$39,Ligas!$H$2:$H$39,_xlpm.p,Ligas!$I$2:$I$39,_xlpm.l),0)))</f>
        <v>3.3</v>
      </c>
      <c r="J329" s="11" cm="1">
        <f t="array" ref="J329">IF($A329="","",IFERROR((SUMPRODUCT((TRIM(tblDados[Mandante])=$A329)*tblDados[Primeira_Ocorrencia]*(tblDados[GM_M]=0))+SUMPRODUCT((TRIM(tblDados[Visitante])=$A329)*tblDados[Primeira_Ocorrencia]*(tblDados[GM_V]=0)))/G329,0))</f>
        <v>0.25</v>
      </c>
      <c r="K329" s="11" cm="1">
        <f t="array" ref="K329">IF($A329="","",IFERROR((SUMPRODUCT((TRIM(tblDados[Mandante])=$A329)*tblDados[Primeira_Ocorrencia]*((tblDados[GM_M]+tblDados[GS_M])&gt;0.5))+SUMPRODUCT((TRIM(tblDados[Visitante])=$A329)*tblDados[Primeira_Ocorrencia]*((tblDados[GM_V]+tblDados[GS_V])&gt;0.5)))/G329,0))</f>
        <v>1</v>
      </c>
      <c r="L329" s="11" cm="1">
        <f t="array" ref="L329">IF($A329="","",IFERROR((SUMPRODUCT((TRIM(tblDados[Mandante])=$A329)*tblDados[Primeira_Ocorrencia]*((tblDados[GM_M]+tblDados[GS_M])&gt;1.5))+SUMPRODUCT((TRIM(tblDados[Visitante])=$A329)*tblDados[Primeira_Ocorrencia]*((tblDados[GM_V]+tblDados[GS_V])&gt;1.5)))/G329,0))</f>
        <v>1</v>
      </c>
      <c r="M329" s="11" cm="1">
        <f t="array" ref="M329">IF($A329="","",IFERROR((SUMPRODUCT((TRIM(tblDados[Mandante])=$A329)*tblDados[Primeira_Ocorrencia]*((tblDados[GM_M]+tblDados[GS_M])&gt;2.5))+SUMPRODUCT((TRIM(tblDados[Visitante])=$A329)*tblDados[Primeira_Ocorrencia]*((tblDados[GM_V]+tblDados[GS_V])&gt;2.5)))/G329,0))</f>
        <v>0.66666666666666663</v>
      </c>
      <c r="N329" s="11" cm="1">
        <f t="array" ref="N329">IF($A329="","",IFERROR((SUMPRODUCT((TRIM(tblDados[Mandante])=$A329)*tblDados[Primeira_Ocorrencia]*((tblDados[GM_M]+tblDados[GS_M])&gt;3.5))+SUMPRODUCT((TRIM(tblDados[Visitante])=$A329)*tblDados[Primeira_Ocorrencia]*((tblDados[GM_V]+tblDados[GS_V])&gt;3.5)))/G329,0))</f>
        <v>0.58333333333333337</v>
      </c>
      <c r="O329" s="11" cm="1">
        <f t="array" ref="O329">IF($A329="","",IFERROR((SUMPRODUCT((TRIM(tblDados[Mandante])=$A329)*tblDados[Primeira_Ocorrencia]*(tblDados[GM_M]&gt;0)*(tblDados[GS_M]&gt;0))+SUMPRODUCT((TRIM(tblDados[Visitante])=$A329)*tblDados[Primeira_Ocorrencia]*(tblDados[GM_V]&gt;0)*(tblDados[GS_V]&gt;0)))/G329,0))</f>
        <v>0.75</v>
      </c>
      <c r="P329" s="10" cm="1">
        <f t="array" ref="P329">IF($A329="","",IFERROR((SUMPRODUCT((TRIM(tblDados[Mandante])=$A329)*tblDados[Primeira_Ocorrencia]*tblDados[GM_M]^2)+SUMPRODUCT((TRIM(tblDados[Visitante])=$A329)*tblDados[Primeira_Ocorrencia]*tblDados[GM_V]^2))/G329-H329^2,0))</f>
        <v>1.7222222222222219</v>
      </c>
      <c r="Q329" s="10">
        <f t="shared" si="122"/>
        <v>1.3123346456686351</v>
      </c>
      <c r="R329" s="8" t="str">
        <f t="shared" si="123"/>
        <v>Poisson</v>
      </c>
      <c r="S329" s="10" cm="1">
        <f t="array" ref="S329">IF($A329="","",SUMPRODUCT((TRIM(tblDados[Mandante])=$A329)*tblDados[Primeira_Ocorrencia]*tblDados[GM_M]))</f>
        <v>11</v>
      </c>
      <c r="T329" s="10" cm="1">
        <f t="array" ref="T329">IF($A329="","",SUMPRODUCT((TRIM(tblDados[Visitante])=$A329)*tblDados[Primeira_Ocorrencia]*tblDados[GM_V]))</f>
        <v>9</v>
      </c>
      <c r="U329" s="10">
        <f t="shared" si="124"/>
        <v>20</v>
      </c>
      <c r="V329" s="10">
        <f t="shared" si="113"/>
        <v>1.6666666666666667</v>
      </c>
      <c r="W329" s="10" cm="1">
        <f t="array" ref="W329">IF($A329="","",SUMPRODUCT((TRIM(tblDados[Mandante])=$A329)*tblDados[Primeira_Ocorrencia]*tblDados[GS_M]))</f>
        <v>13</v>
      </c>
      <c r="X329" s="10" cm="1">
        <f t="array" ref="X329">IF($A329="","",SUMPRODUCT((TRIM(tblDados[Visitante])=$A329)*tblDados[Primeira_Ocorrencia]*tblDados[GS_V]))</f>
        <v>13</v>
      </c>
      <c r="Y329" s="10">
        <f t="shared" si="125"/>
        <v>26</v>
      </c>
      <c r="Z329" s="10">
        <f t="shared" si="114"/>
        <v>2.1666666666666665</v>
      </c>
      <c r="AA329" s="10">
        <f t="shared" si="115"/>
        <v>1.8333333333333333</v>
      </c>
      <c r="AB329" s="10">
        <f t="shared" si="116"/>
        <v>2.1666666666666665</v>
      </c>
      <c r="AC329" s="10">
        <f t="shared" si="117"/>
        <v>1.5</v>
      </c>
      <c r="AD329" s="10">
        <f t="shared" si="118"/>
        <v>2.1666666666666665</v>
      </c>
    </row>
    <row r="330" spans="1:30" x14ac:dyDescent="0.3">
      <c r="A330" s="7" t="str">
        <v>Ningbo Professional</v>
      </c>
      <c r="B330" s="12" t="str" cm="1">
        <f t="array" ref="B330">IF($A330="","",_xlfn.LET(_xlpm.p,IFERROR(INDEX(tblDados[País],MATCH($A330,TRIM(tblDados[Mandante]),0)),INDEX(tblDados[País],MATCH($A330,TRIM(tblDados[Visitante]),0))),_xlpm.l,IFERROR(INDEX(tblDados[Liga],MATCH($A330,TRIM(tblDados[Mandante]),0)),INDEX(tblDados[Liga],MATCH($A330,TRIM(tblDados[Visitante]),0))),_xlpm.p&amp;" - "&amp;_xlpm.l))</f>
        <v>CHN - League One</v>
      </c>
      <c r="C330" s="10">
        <f t="shared" si="119"/>
        <v>2.8571428571428572</v>
      </c>
      <c r="D330" s="10">
        <f t="shared" si="120"/>
        <v>2.4</v>
      </c>
      <c r="E330" s="9" cm="1">
        <f t="array" ref="E330">IF($A330="","",SUMPRODUCT((TRIM(tblDados[Mandante])=$A330)*tblDados[Primeira_Ocorrencia]))</f>
        <v>7</v>
      </c>
      <c r="F330" s="9" cm="1">
        <f t="array" ref="F330">IF($A330="","",SUMPRODUCT((TRIM(tblDados[Visitante])=$A330)*tblDados[Primeira_Ocorrencia]))</f>
        <v>5</v>
      </c>
      <c r="G330" s="9" cm="1">
        <f t="array" ref="G330">IF($A330="","",SUMPRODUCT((TRIM(tblDados[Mandante])=$A330)*tblDados[Primeira_Ocorrencia])+SUMPRODUCT((TRIM(tblDados[Visitante])=$A330)*tblDados[Primeira_Ocorrencia]))</f>
        <v>12</v>
      </c>
      <c r="H330" s="10">
        <f t="shared" si="121"/>
        <v>1.6666666666666667</v>
      </c>
      <c r="I330" s="10" cm="1">
        <f t="array" ref="I330">IF($A330="","",_xlfn.LET(_xlpm.p,IFERROR(INDEX(tblDados[País],MATCH($A330,TRIM(tblDados[Mandante]),0)),INDEX(tblDados[País],MATCH($A330,TRIM(tblDados[Visitante]),0))),_xlpm.l,IFERROR(INDEX(tblDados[Liga],MATCH($A330,TRIM(tblDados[Mandante]),0)),INDEX(tblDados[Liga],MATCH($A330,TRIM(tblDados[Visitante]),0))),IFERROR(SUMIFS(Ligas!$D$2:$D$39,Ligas!$H$2:$H$39,_xlpm.p,Ligas!$I$2:$I$39,_xlpm.l),0)))</f>
        <v>2.5</v>
      </c>
      <c r="J330" s="11" cm="1">
        <f t="array" ref="J330">IF($A330="","",IFERROR((SUMPRODUCT((TRIM(tblDados[Mandante])=$A330)*tblDados[Primeira_Ocorrencia]*(tblDados[GM_M]=0))+SUMPRODUCT((TRIM(tblDados[Visitante])=$A330)*tblDados[Primeira_Ocorrencia]*(tblDados[GM_V]=0)))/G330,0))</f>
        <v>0</v>
      </c>
      <c r="K330" s="11" cm="1">
        <f t="array" ref="K330">IF($A330="","",IFERROR((SUMPRODUCT((TRIM(tblDados[Mandante])=$A330)*tblDados[Primeira_Ocorrencia]*((tblDados[GM_M]+tblDados[GS_M])&gt;0.5))+SUMPRODUCT((TRIM(tblDados[Visitante])=$A330)*tblDados[Primeira_Ocorrencia]*((tblDados[GM_V]+tblDados[GS_V])&gt;0.5)))/G330,0))</f>
        <v>1</v>
      </c>
      <c r="L330" s="11" cm="1">
        <f t="array" ref="L330">IF($A330="","",IFERROR((SUMPRODUCT((TRIM(tblDados[Mandante])=$A330)*tblDados[Primeira_Ocorrencia]*((tblDados[GM_M]+tblDados[GS_M])&gt;1.5))+SUMPRODUCT((TRIM(tblDados[Visitante])=$A330)*tblDados[Primeira_Ocorrencia]*((tblDados[GM_V]+tblDados[GS_V])&gt;1.5)))/G330,0))</f>
        <v>0.75</v>
      </c>
      <c r="M330" s="11" cm="1">
        <f t="array" ref="M330">IF($A330="","",IFERROR((SUMPRODUCT((TRIM(tblDados[Mandante])=$A330)*tblDados[Primeira_Ocorrencia]*((tblDados[GM_M]+tblDados[GS_M])&gt;2.5))+SUMPRODUCT((TRIM(tblDados[Visitante])=$A330)*tblDados[Primeira_Ocorrencia]*((tblDados[GM_V]+tblDados[GS_V])&gt;2.5)))/G330,0))</f>
        <v>0.58333333333333337</v>
      </c>
      <c r="N330" s="11" cm="1">
        <f t="array" ref="N330">IF($A330="","",IFERROR((SUMPRODUCT((TRIM(tblDados[Mandante])=$A330)*tblDados[Primeira_Ocorrencia]*((tblDados[GM_M]+tblDados[GS_M])&gt;3.5))+SUMPRODUCT((TRIM(tblDados[Visitante])=$A330)*tblDados[Primeira_Ocorrencia]*((tblDados[GM_V]+tblDados[GS_V])&gt;3.5)))/G330,0))</f>
        <v>0.16666666666666666</v>
      </c>
      <c r="O330" s="11" cm="1">
        <f t="array" ref="O330">IF($A330="","",IFERROR((SUMPRODUCT((TRIM(tblDados[Mandante])=$A330)*tblDados[Primeira_Ocorrencia]*(tblDados[GM_M]&gt;0)*(tblDados[GS_M]&gt;0))+SUMPRODUCT((TRIM(tblDados[Visitante])=$A330)*tblDados[Primeira_Ocorrencia]*(tblDados[GM_V]&gt;0)*(tblDados[GS_V]&gt;0)))/G330,0))</f>
        <v>0.66666666666666663</v>
      </c>
      <c r="P330" s="10" cm="1">
        <f t="array" ref="P330">IF($A330="","",IFERROR((SUMPRODUCT((TRIM(tblDados[Mandante])=$A330)*tblDados[Primeira_Ocorrencia]*tblDados[GM_M]^2)+SUMPRODUCT((TRIM(tblDados[Visitante])=$A330)*tblDados[Primeira_Ocorrencia]*tblDados[GM_V]^2))/G330-H330^2,0))</f>
        <v>0.55555555555555536</v>
      </c>
      <c r="Q330" s="10">
        <f t="shared" si="122"/>
        <v>0.74535599249992979</v>
      </c>
      <c r="R330" s="8" t="str">
        <f t="shared" si="123"/>
        <v>Poisson</v>
      </c>
      <c r="S330" s="10" cm="1">
        <f t="array" ref="S330">IF($A330="","",SUMPRODUCT((TRIM(tblDados[Mandante])=$A330)*tblDados[Primeira_Ocorrencia]*tblDados[GM_M]))</f>
        <v>11</v>
      </c>
      <c r="T330" s="10" cm="1">
        <f t="array" ref="T330">IF($A330="","",SUMPRODUCT((TRIM(tblDados[Visitante])=$A330)*tblDados[Primeira_Ocorrencia]*tblDados[GM_V]))</f>
        <v>9</v>
      </c>
      <c r="U330" s="10">
        <f t="shared" si="124"/>
        <v>20</v>
      </c>
      <c r="V330" s="10">
        <f t="shared" si="113"/>
        <v>1.6666666666666667</v>
      </c>
      <c r="W330" s="10" cm="1">
        <f t="array" ref="W330">IF($A330="","",SUMPRODUCT((TRIM(tblDados[Mandante])=$A330)*tblDados[Primeira_Ocorrencia]*tblDados[GS_M]))</f>
        <v>9</v>
      </c>
      <c r="X330" s="10" cm="1">
        <f t="array" ref="X330">IF($A330="","",SUMPRODUCT((TRIM(tblDados[Visitante])=$A330)*tblDados[Primeira_Ocorrencia]*tblDados[GS_V]))</f>
        <v>3</v>
      </c>
      <c r="Y330" s="10">
        <f t="shared" si="125"/>
        <v>12</v>
      </c>
      <c r="Z330" s="10">
        <f t="shared" si="114"/>
        <v>1</v>
      </c>
      <c r="AA330" s="10">
        <f t="shared" si="115"/>
        <v>1.5714285714285714</v>
      </c>
      <c r="AB330" s="10">
        <f t="shared" si="116"/>
        <v>1.2857142857142858</v>
      </c>
      <c r="AC330" s="10">
        <f t="shared" si="117"/>
        <v>1.8</v>
      </c>
      <c r="AD330" s="10">
        <f t="shared" si="118"/>
        <v>0.6</v>
      </c>
    </row>
    <row r="331" spans="1:30" x14ac:dyDescent="0.3">
      <c r="A331" s="7" t="str">
        <v>Nordic United</v>
      </c>
      <c r="B331" s="12" t="str" cm="1">
        <f t="array" ref="B331">IF($A331="","",_xlfn.LET(_xlpm.p,IFERROR(INDEX(tblDados[País],MATCH($A331,TRIM(tblDados[Mandante]),0)),INDEX(tblDados[País],MATCH($A331,TRIM(tblDados[Visitante]),0))),_xlpm.l,IFERROR(INDEX(tblDados[Liga],MATCH($A331,TRIM(tblDados[Mandante]),0)),INDEX(tblDados[Liga],MATCH($A331,TRIM(tblDados[Visitante]),0))),_xlpm.p&amp;" - "&amp;_xlpm.l))</f>
        <v>SWE - Superettan</v>
      </c>
      <c r="C331" s="10">
        <f t="shared" si="119"/>
        <v>3.3333333333333335</v>
      </c>
      <c r="D331" s="10">
        <f t="shared" si="120"/>
        <v>1.6666666666666667</v>
      </c>
      <c r="E331" s="9" cm="1">
        <f t="array" ref="E331">IF($A331="","",SUMPRODUCT((TRIM(tblDados[Mandante])=$A331)*tblDados[Primeira_Ocorrencia]))</f>
        <v>6</v>
      </c>
      <c r="F331" s="9" cm="1">
        <f t="array" ref="F331">IF($A331="","",SUMPRODUCT((TRIM(tblDados[Visitante])=$A331)*tblDados[Primeira_Ocorrencia]))</f>
        <v>6</v>
      </c>
      <c r="G331" s="9" cm="1">
        <f t="array" ref="G331">IF($A331="","",SUMPRODUCT((TRIM(tblDados[Mandante])=$A331)*tblDados[Primeira_Ocorrencia])+SUMPRODUCT((TRIM(tblDados[Visitante])=$A331)*tblDados[Primeira_Ocorrencia]))</f>
        <v>12</v>
      </c>
      <c r="H331" s="10">
        <f t="shared" si="121"/>
        <v>1.25</v>
      </c>
      <c r="I331" s="10" cm="1">
        <f t="array" ref="I331">IF($A331="","",_xlfn.LET(_xlpm.p,IFERROR(INDEX(tblDados[País],MATCH($A331,TRIM(tblDados[Mandante]),0)),INDEX(tblDados[País],MATCH($A331,TRIM(tblDados[Visitante]),0))),_xlpm.l,IFERROR(INDEX(tblDados[Liga],MATCH($A331,TRIM(tblDados[Mandante]),0)),INDEX(tblDados[Liga],MATCH($A331,TRIM(tblDados[Visitante]),0))),IFERROR(SUMIFS(Ligas!$D$2:$D$39,Ligas!$H$2:$H$39,_xlpm.p,Ligas!$I$2:$I$39,_xlpm.l),0)))</f>
        <v>2.5</v>
      </c>
      <c r="J331" s="11" cm="1">
        <f t="array" ref="J331">IF($A331="","",IFERROR((SUMPRODUCT((TRIM(tblDados[Mandante])=$A331)*tblDados[Primeira_Ocorrencia]*(tblDados[GM_M]=0))+SUMPRODUCT((TRIM(tblDados[Visitante])=$A331)*tblDados[Primeira_Ocorrencia]*(tblDados[GM_V]=0)))/G331,0))</f>
        <v>0.16666666666666666</v>
      </c>
      <c r="K331" s="11" cm="1">
        <f t="array" ref="K331">IF($A331="","",IFERROR((SUMPRODUCT((TRIM(tblDados[Mandante])=$A331)*tblDados[Primeira_Ocorrencia]*((tblDados[GM_M]+tblDados[GS_M])&gt;0.5))+SUMPRODUCT((TRIM(tblDados[Visitante])=$A331)*tblDados[Primeira_Ocorrencia]*((tblDados[GM_V]+tblDados[GS_V])&gt;0.5)))/G331,0))</f>
        <v>0.91666666666666663</v>
      </c>
      <c r="L331" s="11" cm="1">
        <f t="array" ref="L331">IF($A331="","",IFERROR((SUMPRODUCT((TRIM(tblDados[Mandante])=$A331)*tblDados[Primeira_Ocorrencia]*((tblDados[GM_M]+tblDados[GS_M])&gt;1.5))+SUMPRODUCT((TRIM(tblDados[Visitante])=$A331)*tblDados[Primeira_Ocorrencia]*((tblDados[GM_V]+tblDados[GS_V])&gt;1.5)))/G331,0))</f>
        <v>0.83333333333333337</v>
      </c>
      <c r="M331" s="11" cm="1">
        <f t="array" ref="M331">IF($A331="","",IFERROR((SUMPRODUCT((TRIM(tblDados[Mandante])=$A331)*tblDados[Primeira_Ocorrencia]*((tblDados[GM_M]+tblDados[GS_M])&gt;2.5))+SUMPRODUCT((TRIM(tblDados[Visitante])=$A331)*tblDados[Primeira_Ocorrencia]*((tblDados[GM_V]+tblDados[GS_V])&gt;2.5)))/G331,0))</f>
        <v>0.25</v>
      </c>
      <c r="N331" s="11" cm="1">
        <f t="array" ref="N331">IF($A331="","",IFERROR((SUMPRODUCT((TRIM(tblDados[Mandante])=$A331)*tblDados[Primeira_Ocorrencia]*((tblDados[GM_M]+tblDados[GS_M])&gt;3.5))+SUMPRODUCT((TRIM(tblDados[Visitante])=$A331)*tblDados[Primeira_Ocorrencia]*((tblDados[GM_V]+tblDados[GS_V])&gt;3.5)))/G331,0))</f>
        <v>0.25</v>
      </c>
      <c r="O331" s="11" cm="1">
        <f t="array" ref="O331">IF($A331="","",IFERROR((SUMPRODUCT((TRIM(tblDados[Mandante])=$A331)*tblDados[Primeira_Ocorrencia]*(tblDados[GM_M]&gt;0)*(tblDados[GS_M]&gt;0))+SUMPRODUCT((TRIM(tblDados[Visitante])=$A331)*tblDados[Primeira_Ocorrencia]*(tblDados[GM_V]&gt;0)*(tblDados[GS_V]&gt;0)))/G331,0))</f>
        <v>0.58333333333333337</v>
      </c>
      <c r="P331" s="10" cm="1">
        <f t="array" ref="P331">IF($A331="","",IFERROR((SUMPRODUCT((TRIM(tblDados[Mandante])=$A331)*tblDados[Primeira_Ocorrencia]*tblDados[GM_M]^2)+SUMPRODUCT((TRIM(tblDados[Visitante])=$A331)*tblDados[Primeira_Ocorrencia]*tblDados[GM_V]^2))/G331-H331^2,0))</f>
        <v>0.6875</v>
      </c>
      <c r="Q331" s="10">
        <f t="shared" si="122"/>
        <v>0.82915619758884995</v>
      </c>
      <c r="R331" s="8" t="str">
        <f t="shared" si="123"/>
        <v>Poisson</v>
      </c>
      <c r="S331" s="10" cm="1">
        <f t="array" ref="S331">IF($A331="","",SUMPRODUCT((TRIM(tblDados[Mandante])=$A331)*tblDados[Primeira_Ocorrencia]*tblDados[GM_M]))</f>
        <v>10</v>
      </c>
      <c r="T331" s="10" cm="1">
        <f t="array" ref="T331">IF($A331="","",SUMPRODUCT((TRIM(tblDados[Visitante])=$A331)*tblDados[Primeira_Ocorrencia]*tblDados[GM_V]))</f>
        <v>5</v>
      </c>
      <c r="U331" s="10">
        <f t="shared" si="124"/>
        <v>15</v>
      </c>
      <c r="V331" s="10">
        <f t="shared" si="113"/>
        <v>1.25</v>
      </c>
      <c r="W331" s="10" cm="1">
        <f t="array" ref="W331">IF($A331="","",SUMPRODUCT((TRIM(tblDados[Mandante])=$A331)*tblDados[Primeira_Ocorrencia]*tblDados[GS_M]))</f>
        <v>10</v>
      </c>
      <c r="X331" s="10" cm="1">
        <f t="array" ref="X331">IF($A331="","",SUMPRODUCT((TRIM(tblDados[Visitante])=$A331)*tblDados[Primeira_Ocorrencia]*tblDados[GS_V]))</f>
        <v>5</v>
      </c>
      <c r="Y331" s="10">
        <f t="shared" si="125"/>
        <v>15</v>
      </c>
      <c r="Z331" s="10">
        <f t="shared" si="114"/>
        <v>1.25</v>
      </c>
      <c r="AA331" s="10">
        <f t="shared" si="115"/>
        <v>1.6666666666666667</v>
      </c>
      <c r="AB331" s="10">
        <f t="shared" si="116"/>
        <v>1.6666666666666667</v>
      </c>
      <c r="AC331" s="10">
        <f t="shared" si="117"/>
        <v>0.83333333333333337</v>
      </c>
      <c r="AD331" s="10">
        <f t="shared" si="118"/>
        <v>0.83333333333333337</v>
      </c>
    </row>
    <row r="332" spans="1:30" x14ac:dyDescent="0.3">
      <c r="A332" s="7" t="str">
        <v>Nosaby IF</v>
      </c>
      <c r="B332" s="12" t="str" cm="1">
        <f t="array" ref="B332">IF($A332="","",_xlfn.LET(_xlpm.p,IFERROR(INDEX(tblDados[País],MATCH($A332,TRIM(tblDados[Mandante]),0)),INDEX(tblDados[País],MATCH($A332,TRIM(tblDados[Visitante]),0))),_xlpm.l,IFERROR(INDEX(tblDados[Liga],MATCH($A332,TRIM(tblDados[Mandante]),0)),INDEX(tblDados[Liga],MATCH($A332,TRIM(tblDados[Visitante]),0))),_xlpm.p&amp;" - "&amp;_xlpm.l))</f>
        <v>SWE - 2ª D Södra Götaland</v>
      </c>
      <c r="C332" s="10">
        <f t="shared" si="119"/>
        <v>3.4285714285714288</v>
      </c>
      <c r="D332" s="10">
        <f t="shared" si="120"/>
        <v>4.2</v>
      </c>
      <c r="E332" s="9" cm="1">
        <f t="array" ref="E332">IF($A332="","",SUMPRODUCT((TRIM(tblDados[Mandante])=$A332)*tblDados[Primeira_Ocorrencia]))</f>
        <v>7</v>
      </c>
      <c r="F332" s="9" cm="1">
        <f t="array" ref="F332">IF($A332="","",SUMPRODUCT((TRIM(tblDados[Visitante])=$A332)*tblDados[Primeira_Ocorrencia]))</f>
        <v>5</v>
      </c>
      <c r="G332" s="9" cm="1">
        <f t="array" ref="G332">IF($A332="","",SUMPRODUCT((TRIM(tblDados[Mandante])=$A332)*tblDados[Primeira_Ocorrencia])+SUMPRODUCT((TRIM(tblDados[Visitante])=$A332)*tblDados[Primeira_Ocorrencia]))</f>
        <v>12</v>
      </c>
      <c r="H332" s="10">
        <f t="shared" si="121"/>
        <v>1.9166666666666667</v>
      </c>
      <c r="I332" s="10" cm="1">
        <f t="array" ref="I332">IF($A332="","",_xlfn.LET(_xlpm.p,IFERROR(INDEX(tblDados[País],MATCH($A332,TRIM(tblDados[Mandante]),0)),INDEX(tblDados[País],MATCH($A332,TRIM(tblDados[Visitante]),0))),_xlpm.l,IFERROR(INDEX(tblDados[Liga],MATCH($A332,TRIM(tblDados[Mandante]),0)),INDEX(tblDados[Liga],MATCH($A332,TRIM(tblDados[Visitante]),0))),IFERROR(SUMIFS(Ligas!$D$2:$D$39,Ligas!$H$2:$H$39,_xlpm.p,Ligas!$I$2:$I$39,_xlpm.l),0)))</f>
        <v>2.5</v>
      </c>
      <c r="J332" s="11" cm="1">
        <f t="array" ref="J332">IF($A332="","",IFERROR((SUMPRODUCT((TRIM(tblDados[Mandante])=$A332)*tblDados[Primeira_Ocorrencia]*(tblDados[GM_M]=0))+SUMPRODUCT((TRIM(tblDados[Visitante])=$A332)*tblDados[Primeira_Ocorrencia]*(tblDados[GM_V]=0)))/G332,0))</f>
        <v>0.25</v>
      </c>
      <c r="K332" s="11" cm="1">
        <f t="array" ref="K332">IF($A332="","",IFERROR((SUMPRODUCT((TRIM(tblDados[Mandante])=$A332)*tblDados[Primeira_Ocorrencia]*((tblDados[GM_M]+tblDados[GS_M])&gt;0.5))+SUMPRODUCT((TRIM(tblDados[Visitante])=$A332)*tblDados[Primeira_Ocorrencia]*((tblDados[GM_V]+tblDados[GS_V])&gt;0.5)))/G332,0))</f>
        <v>0.91666666666666663</v>
      </c>
      <c r="L332" s="11" cm="1">
        <f t="array" ref="L332">IF($A332="","",IFERROR((SUMPRODUCT((TRIM(tblDados[Mandante])=$A332)*tblDados[Primeira_Ocorrencia]*((tblDados[GM_M]+tblDados[GS_M])&gt;1.5))+SUMPRODUCT((TRIM(tblDados[Visitante])=$A332)*tblDados[Primeira_Ocorrencia]*((tblDados[GM_V]+tblDados[GS_V])&gt;1.5)))/G332,0))</f>
        <v>0.91666666666666663</v>
      </c>
      <c r="M332" s="11" cm="1">
        <f t="array" ref="M332">IF($A332="","",IFERROR((SUMPRODUCT((TRIM(tblDados[Mandante])=$A332)*tblDados[Primeira_Ocorrencia]*((tblDados[GM_M]+tblDados[GS_M])&gt;2.5))+SUMPRODUCT((TRIM(tblDados[Visitante])=$A332)*tblDados[Primeira_Ocorrencia]*((tblDados[GM_V]+tblDados[GS_V])&gt;2.5)))/G332,0))</f>
        <v>0.83333333333333337</v>
      </c>
      <c r="N332" s="11" cm="1">
        <f t="array" ref="N332">IF($A332="","",IFERROR((SUMPRODUCT((TRIM(tblDados[Mandante])=$A332)*tblDados[Primeira_Ocorrencia]*((tblDados[GM_M]+tblDados[GS_M])&gt;3.5))+SUMPRODUCT((TRIM(tblDados[Visitante])=$A332)*tblDados[Primeira_Ocorrencia]*((tblDados[GM_V]+tblDados[GS_V])&gt;3.5)))/G332,0))</f>
        <v>0.66666666666666663</v>
      </c>
      <c r="O332" s="11" cm="1">
        <f t="array" ref="O332">IF($A332="","",IFERROR((SUMPRODUCT((TRIM(tblDados[Mandante])=$A332)*tblDados[Primeira_Ocorrencia]*(tblDados[GM_M]&gt;0)*(tblDados[GS_M]&gt;0))+SUMPRODUCT((TRIM(tblDados[Visitante])=$A332)*tblDados[Primeira_Ocorrencia]*(tblDados[GM_V]&gt;0)*(tblDados[GS_V]&gt;0)))/G332,0))</f>
        <v>0.5</v>
      </c>
      <c r="P332" s="10" cm="1">
        <f t="array" ref="P332">IF($A332="","",IFERROR((SUMPRODUCT((TRIM(tblDados[Mandante])=$A332)*tblDados[Primeira_Ocorrencia]*tblDados[GM_M]^2)+SUMPRODUCT((TRIM(tblDados[Visitante])=$A332)*tblDados[Primeira_Ocorrencia]*tblDados[GM_V]^2))/G332-H332^2,0))</f>
        <v>2.0763888888888884</v>
      </c>
      <c r="Q332" s="10">
        <f t="shared" si="122"/>
        <v>1.4409680388158816</v>
      </c>
      <c r="R332" s="8" t="str">
        <f t="shared" si="123"/>
        <v>Poisson</v>
      </c>
      <c r="S332" s="10" cm="1">
        <f t="array" ref="S332">IF($A332="","",SUMPRODUCT((TRIM(tblDados[Mandante])=$A332)*tblDados[Primeira_Ocorrencia]*tblDados[GM_M]))</f>
        <v>18</v>
      </c>
      <c r="T332" s="10" cm="1">
        <f t="array" ref="T332">IF($A332="","",SUMPRODUCT((TRIM(tblDados[Visitante])=$A332)*tblDados[Primeira_Ocorrencia]*tblDados[GM_V]))</f>
        <v>5</v>
      </c>
      <c r="U332" s="10">
        <f t="shared" si="124"/>
        <v>23</v>
      </c>
      <c r="V332" s="10">
        <f t="shared" si="113"/>
        <v>1.9166666666666667</v>
      </c>
      <c r="W332" s="10" cm="1">
        <f t="array" ref="W332">IF($A332="","",SUMPRODUCT((TRIM(tblDados[Mandante])=$A332)*tblDados[Primeira_Ocorrencia]*tblDados[GS_M]))</f>
        <v>6</v>
      </c>
      <c r="X332" s="10" cm="1">
        <f t="array" ref="X332">IF($A332="","",SUMPRODUCT((TRIM(tblDados[Visitante])=$A332)*tblDados[Primeira_Ocorrencia]*tblDados[GS_V]))</f>
        <v>16</v>
      </c>
      <c r="Y332" s="10">
        <f t="shared" si="125"/>
        <v>22</v>
      </c>
      <c r="Z332" s="10">
        <f t="shared" si="114"/>
        <v>1.8333333333333333</v>
      </c>
      <c r="AA332" s="10">
        <f t="shared" si="115"/>
        <v>2.5714285714285716</v>
      </c>
      <c r="AB332" s="10">
        <f t="shared" si="116"/>
        <v>0.8571428571428571</v>
      </c>
      <c r="AC332" s="10">
        <f t="shared" si="117"/>
        <v>1</v>
      </c>
      <c r="AD332" s="10">
        <f t="shared" si="118"/>
        <v>3.2</v>
      </c>
    </row>
    <row r="333" spans="1:30" x14ac:dyDescent="0.3">
      <c r="A333" s="7" t="str">
        <v>Ñublense</v>
      </c>
      <c r="B333" s="12" t="str" cm="1">
        <f t="array" ref="B333">IF($A333="","",_xlfn.LET(_xlpm.p,IFERROR(INDEX(tblDados[País],MATCH($A333,TRIM(tblDados[Mandante]),0)),INDEX(tblDados[País],MATCH($A333,TRIM(tblDados[Visitante]),0))),_xlpm.l,IFERROR(INDEX(tblDados[Liga],MATCH($A333,TRIM(tblDados[Mandante]),0)),INDEX(tblDados[Liga],MATCH($A333,TRIM(tblDados[Visitante]),0))),_xlpm.p&amp;" - "&amp;_xlpm.l))</f>
        <v>CHI - Liga de Primera</v>
      </c>
      <c r="C333" s="10">
        <f t="shared" si="119"/>
        <v>2.8571428571428572</v>
      </c>
      <c r="D333" s="10">
        <f t="shared" si="120"/>
        <v>2.5999999999999996</v>
      </c>
      <c r="E333" s="9" cm="1">
        <f t="array" ref="E333">IF($A333="","",SUMPRODUCT((TRIM(tblDados[Mandante])=$A333)*tblDados[Primeira_Ocorrencia]))</f>
        <v>7</v>
      </c>
      <c r="F333" s="9" cm="1">
        <f t="array" ref="F333">IF($A333="","",SUMPRODUCT((TRIM(tblDados[Visitante])=$A333)*tblDados[Primeira_Ocorrencia]))</f>
        <v>5</v>
      </c>
      <c r="G333" s="9" cm="1">
        <f t="array" ref="G333">IF($A333="","",SUMPRODUCT((TRIM(tblDados[Mandante])=$A333)*tblDados[Primeira_Ocorrencia])+SUMPRODUCT((TRIM(tblDados[Visitante])=$A333)*tblDados[Primeira_Ocorrencia]))</f>
        <v>12</v>
      </c>
      <c r="H333" s="10">
        <f t="shared" si="121"/>
        <v>1.3333333333333333</v>
      </c>
      <c r="I333" s="10" cm="1">
        <f t="array" ref="I333">IF($A333="","",_xlfn.LET(_xlpm.p,IFERROR(INDEX(tblDados[País],MATCH($A333,TRIM(tblDados[Mandante]),0)),INDEX(tblDados[País],MATCH($A333,TRIM(tblDados[Visitante]),0))),_xlpm.l,IFERROR(INDEX(tblDados[Liga],MATCH($A333,TRIM(tblDados[Mandante]),0)),INDEX(tblDados[Liga],MATCH($A333,TRIM(tblDados[Visitante]),0))),IFERROR(SUMIFS(Ligas!$D$2:$D$39,Ligas!$H$2:$H$39,_xlpm.p,Ligas!$I$2:$I$39,_xlpm.l),0)))</f>
        <v>2.5</v>
      </c>
      <c r="J333" s="11" cm="1">
        <f t="array" ref="J333">IF($A333="","",IFERROR((SUMPRODUCT((TRIM(tblDados[Mandante])=$A333)*tblDados[Primeira_Ocorrencia]*(tblDados[GM_M]=0))+SUMPRODUCT((TRIM(tblDados[Visitante])=$A333)*tblDados[Primeira_Ocorrencia]*(tblDados[GM_V]=0)))/G333,0))</f>
        <v>0.16666666666666666</v>
      </c>
      <c r="K333" s="11" cm="1">
        <f t="array" ref="K333">IF($A333="","",IFERROR((SUMPRODUCT((TRIM(tblDados[Mandante])=$A333)*tblDados[Primeira_Ocorrencia]*((tblDados[GM_M]+tblDados[GS_M])&gt;0.5))+SUMPRODUCT((TRIM(tblDados[Visitante])=$A333)*tblDados[Primeira_Ocorrencia]*((tblDados[GM_V]+tblDados[GS_V])&gt;0.5)))/G333,0))</f>
        <v>0.91666666666666663</v>
      </c>
      <c r="L333" s="11" cm="1">
        <f t="array" ref="L333">IF($A333="","",IFERROR((SUMPRODUCT((TRIM(tblDados[Mandante])=$A333)*tblDados[Primeira_Ocorrencia]*((tblDados[GM_M]+tblDados[GS_M])&gt;1.5))+SUMPRODUCT((TRIM(tblDados[Visitante])=$A333)*tblDados[Primeira_Ocorrencia]*((tblDados[GM_V]+tblDados[GS_V])&gt;1.5)))/G333,0))</f>
        <v>0.75</v>
      </c>
      <c r="M333" s="11" cm="1">
        <f t="array" ref="M333">IF($A333="","",IFERROR((SUMPRODUCT((TRIM(tblDados[Mandante])=$A333)*tblDados[Primeira_Ocorrencia]*((tblDados[GM_M]+tblDados[GS_M])&gt;2.5))+SUMPRODUCT((TRIM(tblDados[Visitante])=$A333)*tblDados[Primeira_Ocorrencia]*((tblDados[GM_V]+tblDados[GS_V])&gt;2.5)))/G333,0))</f>
        <v>0.41666666666666669</v>
      </c>
      <c r="N333" s="11" cm="1">
        <f t="array" ref="N333">IF($A333="","",IFERROR((SUMPRODUCT((TRIM(tblDados[Mandante])=$A333)*tblDados[Primeira_Ocorrencia]*((tblDados[GM_M]+tblDados[GS_M])&gt;3.5))+SUMPRODUCT((TRIM(tblDados[Visitante])=$A333)*tblDados[Primeira_Ocorrencia]*((tblDados[GM_V]+tblDados[GS_V])&gt;3.5)))/G333,0))</f>
        <v>0.33333333333333331</v>
      </c>
      <c r="O333" s="11" cm="1">
        <f t="array" ref="O333">IF($A333="","",IFERROR((SUMPRODUCT((TRIM(tblDados[Mandante])=$A333)*tblDados[Primeira_Ocorrencia]*(tblDados[GM_M]&gt;0)*(tblDados[GS_M]&gt;0))+SUMPRODUCT((TRIM(tblDados[Visitante])=$A333)*tblDados[Primeira_Ocorrencia]*(tblDados[GM_V]&gt;0)*(tblDados[GS_V]&gt;0)))/G333,0))</f>
        <v>0.5</v>
      </c>
      <c r="P333" s="10" cm="1">
        <f t="array" ref="P333">IF($A333="","",IFERROR((SUMPRODUCT((TRIM(tblDados[Mandante])=$A333)*tblDados[Primeira_Ocorrencia]*tblDados[GM_M]^2)+SUMPRODUCT((TRIM(tblDados[Visitante])=$A333)*tblDados[Primeira_Ocorrencia]*tblDados[GM_V]^2))/G333-H333^2,0))</f>
        <v>0.5555555555555558</v>
      </c>
      <c r="Q333" s="10">
        <f t="shared" si="122"/>
        <v>0.74535599249993001</v>
      </c>
      <c r="R333" s="8" t="str">
        <f t="shared" si="123"/>
        <v>Poisson</v>
      </c>
      <c r="S333" s="10" cm="1">
        <f t="array" ref="S333">IF($A333="","",SUMPRODUCT((TRIM(tblDados[Mandante])=$A333)*tblDados[Primeira_Ocorrencia]*tblDados[GM_M]))</f>
        <v>10</v>
      </c>
      <c r="T333" s="10" cm="1">
        <f t="array" ref="T333">IF($A333="","",SUMPRODUCT((TRIM(tblDados[Visitante])=$A333)*tblDados[Primeira_Ocorrencia]*tblDados[GM_V]))</f>
        <v>6</v>
      </c>
      <c r="U333" s="10">
        <f t="shared" si="124"/>
        <v>16</v>
      </c>
      <c r="V333" s="10">
        <f t="shared" si="113"/>
        <v>1.3333333333333333</v>
      </c>
      <c r="W333" s="10" cm="1">
        <f t="array" ref="W333">IF($A333="","",SUMPRODUCT((TRIM(tblDados[Mandante])=$A333)*tblDados[Primeira_Ocorrencia]*tblDados[GS_M]))</f>
        <v>10</v>
      </c>
      <c r="X333" s="10" cm="1">
        <f t="array" ref="X333">IF($A333="","",SUMPRODUCT((TRIM(tblDados[Visitante])=$A333)*tblDados[Primeira_Ocorrencia]*tblDados[GS_V]))</f>
        <v>7</v>
      </c>
      <c r="Y333" s="10">
        <f t="shared" si="125"/>
        <v>17</v>
      </c>
      <c r="Z333" s="10">
        <f t="shared" si="114"/>
        <v>1.4166666666666667</v>
      </c>
      <c r="AA333" s="10">
        <f t="shared" si="115"/>
        <v>1.4285714285714286</v>
      </c>
      <c r="AB333" s="10">
        <f t="shared" si="116"/>
        <v>1.4285714285714286</v>
      </c>
      <c r="AC333" s="10">
        <f t="shared" si="117"/>
        <v>1.2</v>
      </c>
      <c r="AD333" s="10">
        <f t="shared" si="118"/>
        <v>1.4</v>
      </c>
    </row>
    <row r="334" spans="1:30" x14ac:dyDescent="0.3">
      <c r="A334" s="7" t="str">
        <v>NWS Spirit</v>
      </c>
      <c r="B334" s="12" t="str" cm="1">
        <f t="array" ref="B334">IF($A334="","",_xlfn.LET(_xlpm.p,IFERROR(INDEX(tblDados[País],MATCH($A334,TRIM(tblDados[Mandante]),0)),INDEX(tblDados[País],MATCH($A334,TRIM(tblDados[Visitante]),0))),_xlpm.l,IFERROR(INDEX(tblDados[Liga],MATCH($A334,TRIM(tblDados[Mandante]),0)),INDEX(tblDados[Liga],MATCH($A334,TRIM(tblDados[Visitante]),0))),_xlpm.p&amp;" - "&amp;_xlpm.l))</f>
        <v>AUS - NPL New South Wales</v>
      </c>
      <c r="C334" s="10">
        <f t="shared" si="119"/>
        <v>3.333333333333333</v>
      </c>
      <c r="D334" s="10">
        <f t="shared" si="120"/>
        <v>1.8333333333333333</v>
      </c>
      <c r="E334" s="9" cm="1">
        <f t="array" ref="E334">IF($A334="","",SUMPRODUCT((TRIM(tblDados[Mandante])=$A334)*tblDados[Primeira_Ocorrencia]))</f>
        <v>6</v>
      </c>
      <c r="F334" s="9" cm="1">
        <f t="array" ref="F334">IF($A334="","",SUMPRODUCT((TRIM(tblDados[Visitante])=$A334)*tblDados[Primeira_Ocorrencia]))</f>
        <v>6</v>
      </c>
      <c r="G334" s="9" cm="1">
        <f t="array" ref="G334">IF($A334="","",SUMPRODUCT((TRIM(tblDados[Mandante])=$A334)*tblDados[Primeira_Ocorrencia])+SUMPRODUCT((TRIM(tblDados[Visitante])=$A334)*tblDados[Primeira_Ocorrencia]))</f>
        <v>12</v>
      </c>
      <c r="H334" s="10">
        <f t="shared" si="121"/>
        <v>1.1666666666666667</v>
      </c>
      <c r="I334" s="10" cm="1">
        <f t="array" ref="I334">IF($A334="","",_xlfn.LET(_xlpm.p,IFERROR(INDEX(tblDados[País],MATCH($A334,TRIM(tblDados[Mandante]),0)),INDEX(tblDados[País],MATCH($A334,TRIM(tblDados[Visitante]),0))),_xlpm.l,IFERROR(INDEX(tblDados[Liga],MATCH($A334,TRIM(tblDados[Mandante]),0)),INDEX(tblDados[Liga],MATCH($A334,TRIM(tblDados[Visitante]),0))),IFERROR(SUMIFS(Ligas!$D$2:$D$39,Ligas!$H$2:$H$39,_xlpm.p,Ligas!$I$2:$I$39,_xlpm.l),0)))</f>
        <v>3.61</v>
      </c>
      <c r="J334" s="11" cm="1">
        <f t="array" ref="J334">IF($A334="","",IFERROR((SUMPRODUCT((TRIM(tblDados[Mandante])=$A334)*tblDados[Primeira_Ocorrencia]*(tblDados[GM_M]=0))+SUMPRODUCT((TRIM(tblDados[Visitante])=$A334)*tblDados[Primeira_Ocorrencia]*(tblDados[GM_V]=0)))/G334,0))</f>
        <v>0.41666666666666669</v>
      </c>
      <c r="K334" s="11" cm="1">
        <f t="array" ref="K334">IF($A334="","",IFERROR((SUMPRODUCT((TRIM(tblDados[Mandante])=$A334)*tblDados[Primeira_Ocorrencia]*((tblDados[GM_M]+tblDados[GS_M])&gt;0.5))+SUMPRODUCT((TRIM(tblDados[Visitante])=$A334)*tblDados[Primeira_Ocorrencia]*((tblDados[GM_V]+tblDados[GS_V])&gt;0.5)))/G334,0))</f>
        <v>1</v>
      </c>
      <c r="L334" s="11" cm="1">
        <f t="array" ref="L334">IF($A334="","",IFERROR((SUMPRODUCT((TRIM(tblDados[Mandante])=$A334)*tblDados[Primeira_Ocorrencia]*((tblDados[GM_M]+tblDados[GS_M])&gt;1.5))+SUMPRODUCT((TRIM(tblDados[Visitante])=$A334)*tblDados[Primeira_Ocorrencia]*((tblDados[GM_V]+tblDados[GS_V])&gt;1.5)))/G334,0))</f>
        <v>0.75</v>
      </c>
      <c r="M334" s="11" cm="1">
        <f t="array" ref="M334">IF($A334="","",IFERROR((SUMPRODUCT((TRIM(tblDados[Mandante])=$A334)*tblDados[Primeira_Ocorrencia]*((tblDados[GM_M]+tblDados[GS_M])&gt;2.5))+SUMPRODUCT((TRIM(tblDados[Visitante])=$A334)*tblDados[Primeira_Ocorrencia]*((tblDados[GM_V]+tblDados[GS_V])&gt;2.5)))/G334,0))</f>
        <v>0.5</v>
      </c>
      <c r="N334" s="11" cm="1">
        <f t="array" ref="N334">IF($A334="","",IFERROR((SUMPRODUCT((TRIM(tblDados[Mandante])=$A334)*tblDados[Primeira_Ocorrencia]*((tblDados[GM_M]+tblDados[GS_M])&gt;3.5))+SUMPRODUCT((TRIM(tblDados[Visitante])=$A334)*tblDados[Primeira_Ocorrencia]*((tblDados[GM_V]+tblDados[GS_V])&gt;3.5)))/G334,0))</f>
        <v>0.33333333333333331</v>
      </c>
      <c r="O334" s="11" cm="1">
        <f t="array" ref="O334">IF($A334="","",IFERROR((SUMPRODUCT((TRIM(tblDados[Mandante])=$A334)*tblDados[Primeira_Ocorrencia]*(tblDados[GM_M]&gt;0)*(tblDados[GS_M]&gt;0))+SUMPRODUCT((TRIM(tblDados[Visitante])=$A334)*tblDados[Primeira_Ocorrencia]*(tblDados[GM_V]&gt;0)*(tblDados[GS_V]&gt;0)))/G334,0))</f>
        <v>0.41666666666666669</v>
      </c>
      <c r="P334" s="10" cm="1">
        <f t="array" ref="P334">IF($A334="","",IFERROR((SUMPRODUCT((TRIM(tblDados[Mandante])=$A334)*tblDados[Primeira_Ocorrencia]*tblDados[GM_M]^2)+SUMPRODUCT((TRIM(tblDados[Visitante])=$A334)*tblDados[Primeira_Ocorrencia]*tblDados[GM_V]^2))/G334-H334^2,0))</f>
        <v>1.4722222222222221</v>
      </c>
      <c r="Q334" s="10">
        <f t="shared" si="122"/>
        <v>1.2133516482134197</v>
      </c>
      <c r="R334" s="8" t="str">
        <f t="shared" si="123"/>
        <v>Poisson</v>
      </c>
      <c r="S334" s="10" cm="1">
        <f t="array" ref="S334">IF($A334="","",SUMPRODUCT((TRIM(tblDados[Mandante])=$A334)*tblDados[Primeira_Ocorrencia]*tblDados[GM_M]))</f>
        <v>12</v>
      </c>
      <c r="T334" s="10" cm="1">
        <f t="array" ref="T334">IF($A334="","",SUMPRODUCT((TRIM(tblDados[Visitante])=$A334)*tblDados[Primeira_Ocorrencia]*tblDados[GM_V]))</f>
        <v>2</v>
      </c>
      <c r="U334" s="10">
        <f t="shared" si="124"/>
        <v>14</v>
      </c>
      <c r="V334" s="10">
        <f t="shared" si="113"/>
        <v>1.1666666666666667</v>
      </c>
      <c r="W334" s="10" cm="1">
        <f t="array" ref="W334">IF($A334="","",SUMPRODUCT((TRIM(tblDados[Mandante])=$A334)*tblDados[Primeira_Ocorrencia]*tblDados[GS_M]))</f>
        <v>8</v>
      </c>
      <c r="X334" s="10" cm="1">
        <f t="array" ref="X334">IF($A334="","",SUMPRODUCT((TRIM(tblDados[Visitante])=$A334)*tblDados[Primeira_Ocorrencia]*tblDados[GS_V]))</f>
        <v>9</v>
      </c>
      <c r="Y334" s="10">
        <f t="shared" si="125"/>
        <v>17</v>
      </c>
      <c r="Z334" s="10">
        <f t="shared" si="114"/>
        <v>1.4166666666666667</v>
      </c>
      <c r="AA334" s="10">
        <f t="shared" si="115"/>
        <v>2</v>
      </c>
      <c r="AB334" s="10">
        <f t="shared" si="116"/>
        <v>1.3333333333333333</v>
      </c>
      <c r="AC334" s="10">
        <f t="shared" si="117"/>
        <v>0.33333333333333331</v>
      </c>
      <c r="AD334" s="10">
        <f t="shared" si="118"/>
        <v>1.5</v>
      </c>
    </row>
    <row r="335" spans="1:30" x14ac:dyDescent="0.3">
      <c r="A335" s="7" t="str">
        <v>Oakleigh Cannons</v>
      </c>
      <c r="B335" s="12" t="str" cm="1">
        <f t="array" ref="B335">IF($A335="","",_xlfn.LET(_xlpm.p,IFERROR(INDEX(tblDados[País],MATCH($A335,TRIM(tblDados[Mandante]),0)),INDEX(tblDados[País],MATCH($A335,TRIM(tblDados[Visitante]),0))),_xlpm.l,IFERROR(INDEX(tblDados[Liga],MATCH($A335,TRIM(tblDados[Mandante]),0)),INDEX(tblDados[Liga],MATCH($A335,TRIM(tblDados[Visitante]),0))),_xlpm.p&amp;" - "&amp;_xlpm.l))</f>
        <v>AUS - NPL Victoria</v>
      </c>
      <c r="C335" s="10">
        <f t="shared" si="119"/>
        <v>3</v>
      </c>
      <c r="D335" s="10">
        <f t="shared" si="120"/>
        <v>1.2857142857142856</v>
      </c>
      <c r="E335" s="9" cm="1">
        <f t="array" ref="E335">IF($A335="","",SUMPRODUCT((TRIM(tblDados[Mandante])=$A335)*tblDados[Primeira_Ocorrencia]))</f>
        <v>5</v>
      </c>
      <c r="F335" s="9" cm="1">
        <f t="array" ref="F335">IF($A335="","",SUMPRODUCT((TRIM(tblDados[Visitante])=$A335)*tblDados[Primeira_Ocorrencia]))</f>
        <v>7</v>
      </c>
      <c r="G335" s="9" cm="1">
        <f t="array" ref="G335">IF($A335="","",SUMPRODUCT((TRIM(tblDados[Mandante])=$A335)*tblDados[Primeira_Ocorrencia])+SUMPRODUCT((TRIM(tblDados[Visitante])=$A335)*tblDados[Primeira_Ocorrencia]))</f>
        <v>12</v>
      </c>
      <c r="H335" s="10">
        <f t="shared" si="121"/>
        <v>1.4166666666666667</v>
      </c>
      <c r="I335" s="10" cm="1">
        <f t="array" ref="I335">IF($A335="","",_xlfn.LET(_xlpm.p,IFERROR(INDEX(tblDados[País],MATCH($A335,TRIM(tblDados[Mandante]),0)),INDEX(tblDados[País],MATCH($A335,TRIM(tblDados[Visitante]),0))),_xlpm.l,IFERROR(INDEX(tblDados[Liga],MATCH($A335,TRIM(tblDados[Mandante]),0)),INDEX(tblDados[Liga],MATCH($A335,TRIM(tblDados[Visitante]),0))),IFERROR(SUMIFS(Ligas!$D$2:$D$39,Ligas!$H$2:$H$39,_xlpm.p,Ligas!$I$2:$I$39,_xlpm.l),0)))</f>
        <v>2.89</v>
      </c>
      <c r="J335" s="11" cm="1">
        <f t="array" ref="J335">IF($A335="","",IFERROR((SUMPRODUCT((TRIM(tblDados[Mandante])=$A335)*tblDados[Primeira_Ocorrencia]*(tblDados[GM_M]=0))+SUMPRODUCT((TRIM(tblDados[Visitante])=$A335)*tblDados[Primeira_Ocorrencia]*(tblDados[GM_V]=0)))/G335,0))</f>
        <v>8.3333333333333329E-2</v>
      </c>
      <c r="K335" s="11" cm="1">
        <f t="array" ref="K335">IF($A335="","",IFERROR((SUMPRODUCT((TRIM(tblDados[Mandante])=$A335)*tblDados[Primeira_Ocorrencia]*((tblDados[GM_M]+tblDados[GS_M])&gt;0.5))+SUMPRODUCT((TRIM(tblDados[Visitante])=$A335)*tblDados[Primeira_Ocorrencia]*((tblDados[GM_V]+tblDados[GS_V])&gt;0.5)))/G335,0))</f>
        <v>0.91666666666666663</v>
      </c>
      <c r="L335" s="11" cm="1">
        <f t="array" ref="L335">IF($A335="","",IFERROR((SUMPRODUCT((TRIM(tblDados[Mandante])=$A335)*tblDados[Primeira_Ocorrencia]*((tblDados[GM_M]+tblDados[GS_M])&gt;1.5))+SUMPRODUCT((TRIM(tblDados[Visitante])=$A335)*tblDados[Primeira_Ocorrencia]*((tblDados[GM_V]+tblDados[GS_V])&gt;1.5)))/G335,0))</f>
        <v>0.66666666666666663</v>
      </c>
      <c r="M335" s="11" cm="1">
        <f t="array" ref="M335">IF($A335="","",IFERROR((SUMPRODUCT((TRIM(tblDados[Mandante])=$A335)*tblDados[Primeira_Ocorrencia]*((tblDados[GM_M]+tblDados[GS_M])&gt;2.5))+SUMPRODUCT((TRIM(tblDados[Visitante])=$A335)*tblDados[Primeira_Ocorrencia]*((tblDados[GM_V]+tblDados[GS_V])&gt;2.5)))/G335,0))</f>
        <v>0.25</v>
      </c>
      <c r="N335" s="11" cm="1">
        <f t="array" ref="N335">IF($A335="","",IFERROR((SUMPRODUCT((TRIM(tblDados[Mandante])=$A335)*tblDados[Primeira_Ocorrencia]*((tblDados[GM_M]+tblDados[GS_M])&gt;3.5))+SUMPRODUCT((TRIM(tblDados[Visitante])=$A335)*tblDados[Primeira_Ocorrencia]*((tblDados[GM_V]+tblDados[GS_V])&gt;3.5)))/G335,0))</f>
        <v>0.16666666666666666</v>
      </c>
      <c r="O335" s="11" cm="1">
        <f t="array" ref="O335">IF($A335="","",IFERROR((SUMPRODUCT((TRIM(tblDados[Mandante])=$A335)*tblDados[Primeira_Ocorrencia]*(tblDados[GM_M]&gt;0)*(tblDados[GS_M]&gt;0))+SUMPRODUCT((TRIM(tblDados[Visitante])=$A335)*tblDados[Primeira_Ocorrencia]*(tblDados[GM_V]&gt;0)*(tblDados[GS_V]&gt;0)))/G335,0))</f>
        <v>0.41666666666666669</v>
      </c>
      <c r="P335" s="10" cm="1">
        <f t="array" ref="P335">IF($A335="","",IFERROR((SUMPRODUCT((TRIM(tblDados[Mandante])=$A335)*tblDados[Primeira_Ocorrencia]*tblDados[GM_M]^2)+SUMPRODUCT((TRIM(tblDados[Visitante])=$A335)*tblDados[Primeira_Ocorrencia]*tblDados[GM_V]^2))/G335-H335^2,0))</f>
        <v>0.57638888888888884</v>
      </c>
      <c r="Q335" s="10">
        <f t="shared" si="122"/>
        <v>0.75920279826202486</v>
      </c>
      <c r="R335" s="8" t="str">
        <f t="shared" si="123"/>
        <v>Poisson</v>
      </c>
      <c r="S335" s="10" cm="1">
        <f t="array" ref="S335">IF($A335="","",SUMPRODUCT((TRIM(tblDados[Mandante])=$A335)*tblDados[Primeira_Ocorrencia]*tblDados[GM_M]))</f>
        <v>10</v>
      </c>
      <c r="T335" s="10" cm="1">
        <f t="array" ref="T335">IF($A335="","",SUMPRODUCT((TRIM(tblDados[Visitante])=$A335)*tblDados[Primeira_Ocorrencia]*tblDados[GM_V]))</f>
        <v>7</v>
      </c>
      <c r="U335" s="10">
        <f t="shared" si="124"/>
        <v>17</v>
      </c>
      <c r="V335" s="10">
        <f t="shared" si="113"/>
        <v>1.4166666666666667</v>
      </c>
      <c r="W335" s="10" cm="1">
        <f t="array" ref="W335">IF($A335="","",SUMPRODUCT((TRIM(tblDados[Mandante])=$A335)*tblDados[Primeira_Ocorrencia]*tblDados[GS_M]))</f>
        <v>5</v>
      </c>
      <c r="X335" s="10" cm="1">
        <f t="array" ref="X335">IF($A335="","",SUMPRODUCT((TRIM(tblDados[Visitante])=$A335)*tblDados[Primeira_Ocorrencia]*tblDados[GS_V]))</f>
        <v>2</v>
      </c>
      <c r="Y335" s="10">
        <f t="shared" si="125"/>
        <v>7</v>
      </c>
      <c r="Z335" s="10">
        <f t="shared" si="114"/>
        <v>0.58333333333333337</v>
      </c>
      <c r="AA335" s="10">
        <f t="shared" si="115"/>
        <v>2</v>
      </c>
      <c r="AB335" s="10">
        <f t="shared" si="116"/>
        <v>1</v>
      </c>
      <c r="AC335" s="10">
        <f t="shared" si="117"/>
        <v>1</v>
      </c>
      <c r="AD335" s="10">
        <f t="shared" si="118"/>
        <v>0.2857142857142857</v>
      </c>
    </row>
    <row r="336" spans="1:30" x14ac:dyDescent="0.3">
      <c r="A336" s="7" t="str">
        <v>Odds BK</v>
      </c>
      <c r="B336" s="12" t="str" cm="1">
        <f t="array" ref="B336">IF($A336="","",_xlfn.LET(_xlpm.p,IFERROR(INDEX(tblDados[País],MATCH($A336,TRIM(tblDados[Mandante]),0)),INDEX(tblDados[País],MATCH($A336,TRIM(tblDados[Visitante]),0))),_xlpm.l,IFERROR(INDEX(tblDados[Liga],MATCH($A336,TRIM(tblDados[Mandante]),0)),INDEX(tblDados[Liga],MATCH($A336,TRIM(tblDados[Visitante]),0))),_xlpm.p&amp;" - "&amp;_xlpm.l))</f>
        <v>NOR - OBOS-ligaen</v>
      </c>
      <c r="C336" s="10">
        <f t="shared" si="119"/>
        <v>3.5</v>
      </c>
      <c r="D336" s="10">
        <f t="shared" si="120"/>
        <v>3.333333333333333</v>
      </c>
      <c r="E336" s="9" cm="1">
        <f t="array" ref="E336">IF($A336="","",SUMPRODUCT((TRIM(tblDados[Mandante])=$A336)*tblDados[Primeira_Ocorrencia]))</f>
        <v>6</v>
      </c>
      <c r="F336" s="9" cm="1">
        <f t="array" ref="F336">IF($A336="","",SUMPRODUCT((TRIM(tblDados[Visitante])=$A336)*tblDados[Primeira_Ocorrencia]))</f>
        <v>6</v>
      </c>
      <c r="G336" s="9" cm="1">
        <f t="array" ref="G336">IF($A336="","",SUMPRODUCT((TRIM(tblDados[Mandante])=$A336)*tblDados[Primeira_Ocorrencia])+SUMPRODUCT((TRIM(tblDados[Visitante])=$A336)*tblDados[Primeira_Ocorrencia]))</f>
        <v>12</v>
      </c>
      <c r="H336" s="10">
        <f t="shared" si="121"/>
        <v>1.8333333333333333</v>
      </c>
      <c r="I336" s="10" cm="1">
        <f t="array" ref="I336">IF($A336="","",_xlfn.LET(_xlpm.p,IFERROR(INDEX(tblDados[País],MATCH($A336,TRIM(tblDados[Mandante]),0)),INDEX(tblDados[País],MATCH($A336,TRIM(tblDados[Visitante]),0))),_xlpm.l,IFERROR(INDEX(tblDados[Liga],MATCH($A336,TRIM(tblDados[Mandante]),0)),INDEX(tblDados[Liga],MATCH($A336,TRIM(tblDados[Visitante]),0))),IFERROR(SUMIFS(Ligas!$D$2:$D$39,Ligas!$H$2:$H$39,_xlpm.p,Ligas!$I$2:$I$39,_xlpm.l),0)))</f>
        <v>2.5</v>
      </c>
      <c r="J336" s="11" cm="1">
        <f t="array" ref="J336">IF($A336="","",IFERROR((SUMPRODUCT((TRIM(tblDados[Mandante])=$A336)*tblDados[Primeira_Ocorrencia]*(tblDados[GM_M]=0))+SUMPRODUCT((TRIM(tblDados[Visitante])=$A336)*tblDados[Primeira_Ocorrencia]*(tblDados[GM_V]=0)))/G336,0))</f>
        <v>0.16666666666666666</v>
      </c>
      <c r="K336" s="11" cm="1">
        <f t="array" ref="K336">IF($A336="","",IFERROR((SUMPRODUCT((TRIM(tblDados[Mandante])=$A336)*tblDados[Primeira_Ocorrencia]*((tblDados[GM_M]+tblDados[GS_M])&gt;0.5))+SUMPRODUCT((TRIM(tblDados[Visitante])=$A336)*tblDados[Primeira_Ocorrencia]*((tblDados[GM_V]+tblDados[GS_V])&gt;0.5)))/G336,0))</f>
        <v>0.83333333333333337</v>
      </c>
      <c r="L336" s="11" cm="1">
        <f t="array" ref="L336">IF($A336="","",IFERROR((SUMPRODUCT((TRIM(tblDados[Mandante])=$A336)*tblDados[Primeira_Ocorrencia]*((tblDados[GM_M]+tblDados[GS_M])&gt;1.5))+SUMPRODUCT((TRIM(tblDados[Visitante])=$A336)*tblDados[Primeira_Ocorrencia]*((tblDados[GM_V]+tblDados[GS_V])&gt;1.5)))/G336,0))</f>
        <v>0.75</v>
      </c>
      <c r="M336" s="11" cm="1">
        <f t="array" ref="M336">IF($A336="","",IFERROR((SUMPRODUCT((TRIM(tblDados[Mandante])=$A336)*tblDados[Primeira_Ocorrencia]*((tblDados[GM_M]+tblDados[GS_M])&gt;2.5))+SUMPRODUCT((TRIM(tblDados[Visitante])=$A336)*tblDados[Primeira_Ocorrencia]*((tblDados[GM_V]+tblDados[GS_V])&gt;2.5)))/G336,0))</f>
        <v>0.75</v>
      </c>
      <c r="N336" s="11" cm="1">
        <f t="array" ref="N336">IF($A336="","",IFERROR((SUMPRODUCT((TRIM(tblDados[Mandante])=$A336)*tblDados[Primeira_Ocorrencia]*((tblDados[GM_M]+tblDados[GS_M])&gt;3.5))+SUMPRODUCT((TRIM(tblDados[Visitante])=$A336)*tblDados[Primeira_Ocorrencia]*((tblDados[GM_V]+tblDados[GS_V])&gt;3.5)))/G336,0))</f>
        <v>0.58333333333333337</v>
      </c>
      <c r="O336" s="11" cm="1">
        <f t="array" ref="O336">IF($A336="","",IFERROR((SUMPRODUCT((TRIM(tblDados[Mandante])=$A336)*tblDados[Primeira_Ocorrencia]*(tblDados[GM_M]&gt;0)*(tblDados[GS_M]&gt;0))+SUMPRODUCT((TRIM(tblDados[Visitante])=$A336)*tblDados[Primeira_Ocorrencia]*(tblDados[GM_V]&gt;0)*(tblDados[GS_V]&gt;0)))/G336,0))</f>
        <v>0.66666666666666663</v>
      </c>
      <c r="P336" s="10" cm="1">
        <f t="array" ref="P336">IF($A336="","",IFERROR((SUMPRODUCT((TRIM(tblDados[Mandante])=$A336)*tblDados[Primeira_Ocorrencia]*tblDados[GM_M]^2)+SUMPRODUCT((TRIM(tblDados[Visitante])=$A336)*tblDados[Primeira_Ocorrencia]*tblDados[GM_V]^2))/G336-H336^2,0))</f>
        <v>1.4722222222222223</v>
      </c>
      <c r="Q336" s="10">
        <f t="shared" si="122"/>
        <v>1.2133516482134197</v>
      </c>
      <c r="R336" s="8" t="str">
        <f t="shared" si="123"/>
        <v>Poisson</v>
      </c>
      <c r="S336" s="10" cm="1">
        <f t="array" ref="S336">IF($A336="","",SUMPRODUCT((TRIM(tblDados[Mandante])=$A336)*tblDados[Primeira_Ocorrencia]*tblDados[GM_M]))</f>
        <v>13</v>
      </c>
      <c r="T336" s="10" cm="1">
        <f t="array" ref="T336">IF($A336="","",SUMPRODUCT((TRIM(tblDados[Visitante])=$A336)*tblDados[Primeira_Ocorrencia]*tblDados[GM_V]))</f>
        <v>9</v>
      </c>
      <c r="U336" s="10">
        <f t="shared" si="124"/>
        <v>22</v>
      </c>
      <c r="V336" s="10">
        <f t="shared" si="113"/>
        <v>1.8333333333333333</v>
      </c>
      <c r="W336" s="10" cm="1">
        <f t="array" ref="W336">IF($A336="","",SUMPRODUCT((TRIM(tblDados[Mandante])=$A336)*tblDados[Primeira_Ocorrencia]*tblDados[GS_M]))</f>
        <v>8</v>
      </c>
      <c r="X336" s="10" cm="1">
        <f t="array" ref="X336">IF($A336="","",SUMPRODUCT((TRIM(tblDados[Visitante])=$A336)*tblDados[Primeira_Ocorrencia]*tblDados[GS_V]))</f>
        <v>11</v>
      </c>
      <c r="Y336" s="10">
        <f t="shared" si="125"/>
        <v>19</v>
      </c>
      <c r="Z336" s="10">
        <f t="shared" si="114"/>
        <v>1.5833333333333333</v>
      </c>
      <c r="AA336" s="10">
        <f t="shared" si="115"/>
        <v>2.1666666666666665</v>
      </c>
      <c r="AB336" s="10">
        <f t="shared" si="116"/>
        <v>1.3333333333333333</v>
      </c>
      <c r="AC336" s="10">
        <f t="shared" si="117"/>
        <v>1.5</v>
      </c>
      <c r="AD336" s="10">
        <f t="shared" si="118"/>
        <v>1.8333333333333333</v>
      </c>
    </row>
    <row r="337" spans="1:30" x14ac:dyDescent="0.3">
      <c r="A337" s="7" t="str">
        <v>O'Higgins</v>
      </c>
      <c r="B337" s="12" t="str" cm="1">
        <f t="array" ref="B337">IF($A337="","",_xlfn.LET(_xlpm.p,IFERROR(INDEX(tblDados[País],MATCH($A337,TRIM(tblDados[Mandante]),0)),INDEX(tblDados[País],MATCH($A337,TRIM(tblDados[Visitante]),0))),_xlpm.l,IFERROR(INDEX(tblDados[Liga],MATCH($A337,TRIM(tblDados[Mandante]),0)),INDEX(tblDados[Liga],MATCH($A337,TRIM(tblDados[Visitante]),0))),_xlpm.p&amp;" - "&amp;_xlpm.l))</f>
        <v>CHI - Liga de Primera</v>
      </c>
      <c r="C337" s="10">
        <f t="shared" si="119"/>
        <v>2.4</v>
      </c>
      <c r="D337" s="10">
        <f t="shared" si="120"/>
        <v>2.8571428571428572</v>
      </c>
      <c r="E337" s="9" cm="1">
        <f t="array" ref="E337">IF($A337="","",SUMPRODUCT((TRIM(tblDados[Mandante])=$A337)*tblDados[Primeira_Ocorrencia]))</f>
        <v>5</v>
      </c>
      <c r="F337" s="9" cm="1">
        <f t="array" ref="F337">IF($A337="","",SUMPRODUCT((TRIM(tblDados[Visitante])=$A337)*tblDados[Primeira_Ocorrencia]))</f>
        <v>7</v>
      </c>
      <c r="G337" s="9" cm="1">
        <f t="array" ref="G337">IF($A337="","",SUMPRODUCT((TRIM(tblDados[Mandante])=$A337)*tblDados[Primeira_Ocorrencia])+SUMPRODUCT((TRIM(tblDados[Visitante])=$A337)*tblDados[Primeira_Ocorrencia]))</f>
        <v>12</v>
      </c>
      <c r="H337" s="10">
        <f t="shared" si="121"/>
        <v>1.25</v>
      </c>
      <c r="I337" s="10" cm="1">
        <f t="array" ref="I337">IF($A337="","",_xlfn.LET(_xlpm.p,IFERROR(INDEX(tblDados[País],MATCH($A337,TRIM(tblDados[Mandante]),0)),INDEX(tblDados[País],MATCH($A337,TRIM(tblDados[Visitante]),0))),_xlpm.l,IFERROR(INDEX(tblDados[Liga],MATCH($A337,TRIM(tblDados[Mandante]),0)),INDEX(tblDados[Liga],MATCH($A337,TRIM(tblDados[Visitante]),0))),IFERROR(SUMIFS(Ligas!$D$2:$D$39,Ligas!$H$2:$H$39,_xlpm.p,Ligas!$I$2:$I$39,_xlpm.l),0)))</f>
        <v>2.5</v>
      </c>
      <c r="J337" s="11" cm="1">
        <f t="array" ref="J337">IF($A337="","",IFERROR((SUMPRODUCT((TRIM(tblDados[Mandante])=$A337)*tblDados[Primeira_Ocorrencia]*(tblDados[GM_M]=0))+SUMPRODUCT((TRIM(tblDados[Visitante])=$A337)*tblDados[Primeira_Ocorrencia]*(tblDados[GM_V]=0)))/G337,0))</f>
        <v>0.41666666666666669</v>
      </c>
      <c r="K337" s="11" cm="1">
        <f t="array" ref="K337">IF($A337="","",IFERROR((SUMPRODUCT((TRIM(tblDados[Mandante])=$A337)*tblDados[Primeira_Ocorrencia]*((tblDados[GM_M]+tblDados[GS_M])&gt;0.5))+SUMPRODUCT((TRIM(tblDados[Visitante])=$A337)*tblDados[Primeira_Ocorrencia]*((tblDados[GM_V]+tblDados[GS_V])&gt;0.5)))/G337,0))</f>
        <v>0.91666666666666663</v>
      </c>
      <c r="L337" s="11" cm="1">
        <f t="array" ref="L337">IF($A337="","",IFERROR((SUMPRODUCT((TRIM(tblDados[Mandante])=$A337)*tblDados[Primeira_Ocorrencia]*((tblDados[GM_M]+tblDados[GS_M])&gt;1.5))+SUMPRODUCT((TRIM(tblDados[Visitante])=$A337)*tblDados[Primeira_Ocorrencia]*((tblDados[GM_V]+tblDados[GS_V])&gt;1.5)))/G337,0))</f>
        <v>0.75</v>
      </c>
      <c r="M337" s="11" cm="1">
        <f t="array" ref="M337">IF($A337="","",IFERROR((SUMPRODUCT((TRIM(tblDados[Mandante])=$A337)*tblDados[Primeira_Ocorrencia]*((tblDados[GM_M]+tblDados[GS_M])&gt;2.5))+SUMPRODUCT((TRIM(tblDados[Visitante])=$A337)*tblDados[Primeira_Ocorrencia]*((tblDados[GM_V]+tblDados[GS_V])&gt;2.5)))/G337,0))</f>
        <v>0.41666666666666669</v>
      </c>
      <c r="N337" s="11" cm="1">
        <f t="array" ref="N337">IF($A337="","",IFERROR((SUMPRODUCT((TRIM(tblDados[Mandante])=$A337)*tblDados[Primeira_Ocorrencia]*((tblDados[GM_M]+tblDados[GS_M])&gt;3.5))+SUMPRODUCT((TRIM(tblDados[Visitante])=$A337)*tblDados[Primeira_Ocorrencia]*((tblDados[GM_V]+tblDados[GS_V])&gt;3.5)))/G337,0))</f>
        <v>0.25</v>
      </c>
      <c r="O337" s="11" cm="1">
        <f t="array" ref="O337">IF($A337="","",IFERROR((SUMPRODUCT((TRIM(tblDados[Mandante])=$A337)*tblDados[Primeira_Ocorrencia]*(tblDados[GM_M]&gt;0)*(tblDados[GS_M]&gt;0))+SUMPRODUCT((TRIM(tblDados[Visitante])=$A337)*tblDados[Primeira_Ocorrencia]*(tblDados[GM_V]&gt;0)*(tblDados[GS_V]&gt;0)))/G337,0))</f>
        <v>0.41666666666666669</v>
      </c>
      <c r="P337" s="10" cm="1">
        <f t="array" ref="P337">IF($A337="","",IFERROR((SUMPRODUCT((TRIM(tblDados[Mandante])=$A337)*tblDados[Primeira_Ocorrencia]*tblDados[GM_M]^2)+SUMPRODUCT((TRIM(tblDados[Visitante])=$A337)*tblDados[Primeira_Ocorrencia]*tblDados[GM_V]^2))/G337-H337^2,0))</f>
        <v>1.3541666666666665</v>
      </c>
      <c r="Q337" s="10">
        <f t="shared" si="122"/>
        <v>1.1636866703140785</v>
      </c>
      <c r="R337" s="8" t="str">
        <f t="shared" si="123"/>
        <v>Poisson</v>
      </c>
      <c r="S337" s="10" cm="1">
        <f t="array" ref="S337">IF($A337="","",SUMPRODUCT((TRIM(tblDados[Mandante])=$A337)*tblDados[Primeira_Ocorrencia]*tblDados[GM_M]))</f>
        <v>5</v>
      </c>
      <c r="T337" s="10" cm="1">
        <f t="array" ref="T337">IF($A337="","",SUMPRODUCT((TRIM(tblDados[Visitante])=$A337)*tblDados[Primeira_Ocorrencia]*tblDados[GM_V]))</f>
        <v>10</v>
      </c>
      <c r="U337" s="10">
        <f t="shared" si="124"/>
        <v>15</v>
      </c>
      <c r="V337" s="10">
        <f t="shared" si="113"/>
        <v>1.25</v>
      </c>
      <c r="W337" s="10" cm="1">
        <f t="array" ref="W337">IF($A337="","",SUMPRODUCT((TRIM(tblDados[Mandante])=$A337)*tblDados[Primeira_Ocorrencia]*tblDados[GS_M]))</f>
        <v>7</v>
      </c>
      <c r="X337" s="10" cm="1">
        <f t="array" ref="X337">IF($A337="","",SUMPRODUCT((TRIM(tblDados[Visitante])=$A337)*tblDados[Primeira_Ocorrencia]*tblDados[GS_V]))</f>
        <v>10</v>
      </c>
      <c r="Y337" s="10">
        <f t="shared" si="125"/>
        <v>17</v>
      </c>
      <c r="Z337" s="10">
        <f t="shared" si="114"/>
        <v>1.4166666666666667</v>
      </c>
      <c r="AA337" s="10">
        <f t="shared" si="115"/>
        <v>1</v>
      </c>
      <c r="AB337" s="10">
        <f t="shared" si="116"/>
        <v>1.4</v>
      </c>
      <c r="AC337" s="10">
        <f t="shared" si="117"/>
        <v>1.4285714285714286</v>
      </c>
      <c r="AD337" s="10">
        <f t="shared" si="118"/>
        <v>1.4285714285714286</v>
      </c>
    </row>
    <row r="338" spans="1:30" x14ac:dyDescent="0.3">
      <c r="A338" s="7" t="str">
        <v>Onsala BK</v>
      </c>
      <c r="B338" s="12" t="str" cm="1">
        <f t="array" ref="B338">IF($A338="","",_xlfn.LET(_xlpm.p,IFERROR(INDEX(tblDados[País],MATCH($A338,TRIM(tblDados[Mandante]),0)),INDEX(tblDados[País],MATCH($A338,TRIM(tblDados[Visitante]),0))),_xlpm.l,IFERROR(INDEX(tblDados[Liga],MATCH($A338,TRIM(tblDados[Mandante]),0)),INDEX(tblDados[Liga],MATCH($A338,TRIM(tblDados[Visitante]),0))),_xlpm.p&amp;" - "&amp;_xlpm.l))</f>
        <v>SWE - 2ª D Västra Götaland</v>
      </c>
      <c r="C338" s="10">
        <f t="shared" si="119"/>
        <v>3.6666666666666665</v>
      </c>
      <c r="D338" s="10">
        <f t="shared" si="120"/>
        <v>2.333333333333333</v>
      </c>
      <c r="E338" s="9" cm="1">
        <f t="array" ref="E338">IF($A338="","",SUMPRODUCT((TRIM(tblDados[Mandante])=$A338)*tblDados[Primeira_Ocorrencia]))</f>
        <v>6</v>
      </c>
      <c r="F338" s="9" cm="1">
        <f t="array" ref="F338">IF($A338="","",SUMPRODUCT((TRIM(tblDados[Visitante])=$A338)*tblDados[Primeira_Ocorrencia]))</f>
        <v>6</v>
      </c>
      <c r="G338" s="9" cm="1">
        <f t="array" ref="G338">IF($A338="","",SUMPRODUCT((TRIM(tblDados[Mandante])=$A338)*tblDados[Primeira_Ocorrencia])+SUMPRODUCT((TRIM(tblDados[Visitante])=$A338)*tblDados[Primeira_Ocorrencia]))</f>
        <v>12</v>
      </c>
      <c r="H338" s="10">
        <f t="shared" si="121"/>
        <v>1.75</v>
      </c>
      <c r="I338" s="10" cm="1">
        <f t="array" ref="I338">IF($A338="","",_xlfn.LET(_xlpm.p,IFERROR(INDEX(tblDados[País],MATCH($A338,TRIM(tblDados[Mandante]),0)),INDEX(tblDados[País],MATCH($A338,TRIM(tblDados[Visitante]),0))),_xlpm.l,IFERROR(INDEX(tblDados[Liga],MATCH($A338,TRIM(tblDados[Mandante]),0)),INDEX(tblDados[Liga],MATCH($A338,TRIM(tblDados[Visitante]),0))),IFERROR(SUMIFS(Ligas!$D$2:$D$39,Ligas!$H$2:$H$39,_xlpm.p,Ligas!$I$2:$I$39,_xlpm.l),0)))</f>
        <v>2.5</v>
      </c>
      <c r="J338" s="11" cm="1">
        <f t="array" ref="J338">IF($A338="","",IFERROR((SUMPRODUCT((TRIM(tblDados[Mandante])=$A338)*tblDados[Primeira_Ocorrencia]*(tblDados[GM_M]=0))+SUMPRODUCT((TRIM(tblDados[Visitante])=$A338)*tblDados[Primeira_Ocorrencia]*(tblDados[GM_V]=0)))/G338,0))</f>
        <v>0.16666666666666666</v>
      </c>
      <c r="K338" s="11" cm="1">
        <f t="array" ref="K338">IF($A338="","",IFERROR((SUMPRODUCT((TRIM(tblDados[Mandante])=$A338)*tblDados[Primeira_Ocorrencia]*((tblDados[GM_M]+tblDados[GS_M])&gt;0.5))+SUMPRODUCT((TRIM(tblDados[Visitante])=$A338)*tblDados[Primeira_Ocorrencia]*((tblDados[GM_V]+tblDados[GS_V])&gt;0.5)))/G338,0))</f>
        <v>0.83333333333333337</v>
      </c>
      <c r="L338" s="11" cm="1">
        <f t="array" ref="L338">IF($A338="","",IFERROR((SUMPRODUCT((TRIM(tblDados[Mandante])=$A338)*tblDados[Primeira_Ocorrencia]*((tblDados[GM_M]+tblDados[GS_M])&gt;1.5))+SUMPRODUCT((TRIM(tblDados[Visitante])=$A338)*tblDados[Primeira_Ocorrencia]*((tblDados[GM_V]+tblDados[GS_V])&gt;1.5)))/G338,0))</f>
        <v>0.83333333333333337</v>
      </c>
      <c r="M338" s="11" cm="1">
        <f t="array" ref="M338">IF($A338="","",IFERROR((SUMPRODUCT((TRIM(tblDados[Mandante])=$A338)*tblDados[Primeira_Ocorrencia]*((tblDados[GM_M]+tblDados[GS_M])&gt;2.5))+SUMPRODUCT((TRIM(tblDados[Visitante])=$A338)*tblDados[Primeira_Ocorrencia]*((tblDados[GM_V]+tblDados[GS_V])&gt;2.5)))/G338,0))</f>
        <v>0.58333333333333337</v>
      </c>
      <c r="N338" s="11" cm="1">
        <f t="array" ref="N338">IF($A338="","",IFERROR((SUMPRODUCT((TRIM(tblDados[Mandante])=$A338)*tblDados[Primeira_Ocorrencia]*((tblDados[GM_M]+tblDados[GS_M])&gt;3.5))+SUMPRODUCT((TRIM(tblDados[Visitante])=$A338)*tblDados[Primeira_Ocorrencia]*((tblDados[GM_V]+tblDados[GS_V])&gt;3.5)))/G338,0))</f>
        <v>0.33333333333333331</v>
      </c>
      <c r="O338" s="11" cm="1">
        <f t="array" ref="O338">IF($A338="","",IFERROR((SUMPRODUCT((TRIM(tblDados[Mandante])=$A338)*tblDados[Primeira_Ocorrencia]*(tblDados[GM_M]&gt;0)*(tblDados[GS_M]&gt;0))+SUMPRODUCT((TRIM(tblDados[Visitante])=$A338)*tblDados[Primeira_Ocorrencia]*(tblDados[GM_V]&gt;0)*(tblDados[GS_V]&gt;0)))/G338,0))</f>
        <v>0.66666666666666663</v>
      </c>
      <c r="P338" s="10" cm="1">
        <f t="array" ref="P338">IF($A338="","",IFERROR((SUMPRODUCT((TRIM(tblDados[Mandante])=$A338)*tblDados[Primeira_Ocorrencia]*tblDados[GM_M]^2)+SUMPRODUCT((TRIM(tblDados[Visitante])=$A338)*tblDados[Primeira_Ocorrencia]*tblDados[GM_V]^2))/G338-H338^2,0))</f>
        <v>1.6875</v>
      </c>
      <c r="Q338" s="10">
        <f t="shared" si="122"/>
        <v>1.299038105676658</v>
      </c>
      <c r="R338" s="8" t="str">
        <f t="shared" si="123"/>
        <v>Poisson</v>
      </c>
      <c r="S338" s="10" cm="1">
        <f t="array" ref="S338">IF($A338="","",SUMPRODUCT((TRIM(tblDados[Mandante])=$A338)*tblDados[Primeira_Ocorrencia]*tblDados[GM_M]))</f>
        <v>13</v>
      </c>
      <c r="T338" s="10" cm="1">
        <f t="array" ref="T338">IF($A338="","",SUMPRODUCT((TRIM(tblDados[Visitante])=$A338)*tblDados[Primeira_Ocorrencia]*tblDados[GM_V]))</f>
        <v>8</v>
      </c>
      <c r="U338" s="10">
        <f t="shared" si="124"/>
        <v>21</v>
      </c>
      <c r="V338" s="10">
        <f t="shared" si="113"/>
        <v>1.75</v>
      </c>
      <c r="W338" s="10" cm="1">
        <f t="array" ref="W338">IF($A338="","",SUMPRODUCT((TRIM(tblDados[Mandante])=$A338)*tblDados[Primeira_Ocorrencia]*tblDados[GS_M]))</f>
        <v>9</v>
      </c>
      <c r="X338" s="10" cm="1">
        <f t="array" ref="X338">IF($A338="","",SUMPRODUCT((TRIM(tblDados[Visitante])=$A338)*tblDados[Primeira_Ocorrencia]*tblDados[GS_V]))</f>
        <v>6</v>
      </c>
      <c r="Y338" s="10">
        <f t="shared" si="125"/>
        <v>15</v>
      </c>
      <c r="Z338" s="10">
        <f t="shared" si="114"/>
        <v>1.25</v>
      </c>
      <c r="AA338" s="10">
        <f t="shared" si="115"/>
        <v>2.1666666666666665</v>
      </c>
      <c r="AB338" s="10">
        <f t="shared" si="116"/>
        <v>1.5</v>
      </c>
      <c r="AC338" s="10">
        <f t="shared" si="117"/>
        <v>1.3333333333333333</v>
      </c>
      <c r="AD338" s="10">
        <f t="shared" si="118"/>
        <v>1</v>
      </c>
    </row>
    <row r="339" spans="1:30" x14ac:dyDescent="0.3">
      <c r="A339" s="7" t="str">
        <v>Örebro SK</v>
      </c>
      <c r="B339" s="12" t="str" cm="1">
        <f t="array" ref="B339">IF($A339="","",_xlfn.LET(_xlpm.p,IFERROR(INDEX(tblDados[País],MATCH($A339,TRIM(tblDados[Mandante]),0)),INDEX(tblDados[País],MATCH($A339,TRIM(tblDados[Visitante]),0))),_xlpm.l,IFERROR(INDEX(tblDados[Liga],MATCH($A339,TRIM(tblDados[Mandante]),0)),INDEX(tblDados[Liga],MATCH($A339,TRIM(tblDados[Visitante]),0))),_xlpm.p&amp;" - "&amp;_xlpm.l))</f>
        <v>SWE - Superettan</v>
      </c>
      <c r="C339" s="10">
        <f t="shared" si="119"/>
        <v>2</v>
      </c>
      <c r="D339" s="10">
        <f t="shared" si="120"/>
        <v>3.4285714285714284</v>
      </c>
      <c r="E339" s="9" cm="1">
        <f t="array" ref="E339">IF($A339="","",SUMPRODUCT((TRIM(tblDados[Mandante])=$A339)*tblDados[Primeira_Ocorrencia]))</f>
        <v>5</v>
      </c>
      <c r="F339" s="9" cm="1">
        <f t="array" ref="F339">IF($A339="","",SUMPRODUCT((TRIM(tblDados[Visitante])=$A339)*tblDados[Primeira_Ocorrencia]))</f>
        <v>7</v>
      </c>
      <c r="G339" s="9" cm="1">
        <f t="array" ref="G339">IF($A339="","",SUMPRODUCT((TRIM(tblDados[Mandante])=$A339)*tblDados[Primeira_Ocorrencia])+SUMPRODUCT((TRIM(tblDados[Visitante])=$A339)*tblDados[Primeira_Ocorrencia]))</f>
        <v>12</v>
      </c>
      <c r="H339" s="10">
        <f t="shared" si="121"/>
        <v>0.91666666666666663</v>
      </c>
      <c r="I339" s="10" cm="1">
        <f t="array" ref="I339">IF($A339="","",_xlfn.LET(_xlpm.p,IFERROR(INDEX(tblDados[País],MATCH($A339,TRIM(tblDados[Mandante]),0)),INDEX(tblDados[País],MATCH($A339,TRIM(tblDados[Visitante]),0))),_xlpm.l,IFERROR(INDEX(tblDados[Liga],MATCH($A339,TRIM(tblDados[Mandante]),0)),INDEX(tblDados[Liga],MATCH($A339,TRIM(tblDados[Visitante]),0))),IFERROR(SUMIFS(Ligas!$D$2:$D$39,Ligas!$H$2:$H$39,_xlpm.p,Ligas!$I$2:$I$39,_xlpm.l),0)))</f>
        <v>2.5</v>
      </c>
      <c r="J339" s="11" cm="1">
        <f t="array" ref="J339">IF($A339="","",IFERROR((SUMPRODUCT((TRIM(tblDados[Mandante])=$A339)*tblDados[Primeira_Ocorrencia]*(tblDados[GM_M]=0))+SUMPRODUCT((TRIM(tblDados[Visitante])=$A339)*tblDados[Primeira_Ocorrencia]*(tblDados[GM_V]=0)))/G339,0))</f>
        <v>0.25</v>
      </c>
      <c r="K339" s="11" cm="1">
        <f t="array" ref="K339">IF($A339="","",IFERROR((SUMPRODUCT((TRIM(tblDados[Mandante])=$A339)*tblDados[Primeira_Ocorrencia]*((tblDados[GM_M]+tblDados[GS_M])&gt;0.5))+SUMPRODUCT((TRIM(tblDados[Visitante])=$A339)*tblDados[Primeira_Ocorrencia]*((tblDados[GM_V]+tblDados[GS_V])&gt;0.5)))/G339,0))</f>
        <v>0.91666666666666663</v>
      </c>
      <c r="L339" s="11" cm="1">
        <f t="array" ref="L339">IF($A339="","",IFERROR((SUMPRODUCT((TRIM(tblDados[Mandante])=$A339)*tblDados[Primeira_Ocorrencia]*((tblDados[GM_M]+tblDados[GS_M])&gt;1.5))+SUMPRODUCT((TRIM(tblDados[Visitante])=$A339)*tblDados[Primeira_Ocorrencia]*((tblDados[GM_V]+tblDados[GS_V])&gt;1.5)))/G339,0))</f>
        <v>0.75</v>
      </c>
      <c r="M339" s="11" cm="1">
        <f t="array" ref="M339">IF($A339="","",IFERROR((SUMPRODUCT((TRIM(tblDados[Mandante])=$A339)*tblDados[Primeira_Ocorrencia]*((tblDados[GM_M]+tblDados[GS_M])&gt;2.5))+SUMPRODUCT((TRIM(tblDados[Visitante])=$A339)*tblDados[Primeira_Ocorrencia]*((tblDados[GM_V]+tblDados[GS_V])&gt;2.5)))/G339,0))</f>
        <v>0.5</v>
      </c>
      <c r="N339" s="11" cm="1">
        <f t="array" ref="N339">IF($A339="","",IFERROR((SUMPRODUCT((TRIM(tblDados[Mandante])=$A339)*tblDados[Primeira_Ocorrencia]*((tblDados[GM_M]+tblDados[GS_M])&gt;3.5))+SUMPRODUCT((TRIM(tblDados[Visitante])=$A339)*tblDados[Primeira_Ocorrencia]*((tblDados[GM_V]+tblDados[GS_V])&gt;3.5)))/G339,0))</f>
        <v>0.41666666666666669</v>
      </c>
      <c r="O339" s="11" cm="1">
        <f t="array" ref="O339">IF($A339="","",IFERROR((SUMPRODUCT((TRIM(tblDados[Mandante])=$A339)*tblDados[Primeira_Ocorrencia]*(tblDados[GM_M]&gt;0)*(tblDados[GS_M]&gt;0))+SUMPRODUCT((TRIM(tblDados[Visitante])=$A339)*tblDados[Primeira_Ocorrencia]*(tblDados[GM_V]&gt;0)*(tblDados[GS_V]&gt;0)))/G339,0))</f>
        <v>0.66666666666666663</v>
      </c>
      <c r="P339" s="10" cm="1">
        <f t="array" ref="P339">IF($A339="","",IFERROR((SUMPRODUCT((TRIM(tblDados[Mandante])=$A339)*tblDados[Primeira_Ocorrencia]*tblDados[GM_M]^2)+SUMPRODUCT((TRIM(tblDados[Visitante])=$A339)*tblDados[Primeira_Ocorrencia]*tblDados[GM_V]^2))/G339-H339^2,0))</f>
        <v>0.40972222222222232</v>
      </c>
      <c r="Q339" s="10">
        <f t="shared" si="122"/>
        <v>0.64009547898905073</v>
      </c>
      <c r="R339" s="8" t="str">
        <f t="shared" si="123"/>
        <v>Poisson</v>
      </c>
      <c r="S339" s="10" cm="1">
        <f t="array" ref="S339">IF($A339="","",SUMPRODUCT((TRIM(tblDados[Mandante])=$A339)*tblDados[Primeira_Ocorrencia]*tblDados[GM_M]))</f>
        <v>3</v>
      </c>
      <c r="T339" s="10" cm="1">
        <f t="array" ref="T339">IF($A339="","",SUMPRODUCT((TRIM(tblDados[Visitante])=$A339)*tblDados[Primeira_Ocorrencia]*tblDados[GM_V]))</f>
        <v>8</v>
      </c>
      <c r="U339" s="10">
        <f t="shared" si="124"/>
        <v>11</v>
      </c>
      <c r="V339" s="10">
        <f t="shared" si="113"/>
        <v>0.91666666666666663</v>
      </c>
      <c r="W339" s="10" cm="1">
        <f t="array" ref="W339">IF($A339="","",SUMPRODUCT((TRIM(tblDados[Mandante])=$A339)*tblDados[Primeira_Ocorrencia]*tblDados[GS_M]))</f>
        <v>7</v>
      </c>
      <c r="X339" s="10" cm="1">
        <f t="array" ref="X339">IF($A339="","",SUMPRODUCT((TRIM(tblDados[Visitante])=$A339)*tblDados[Primeira_Ocorrencia]*tblDados[GS_V]))</f>
        <v>16</v>
      </c>
      <c r="Y339" s="10">
        <f t="shared" si="125"/>
        <v>23</v>
      </c>
      <c r="Z339" s="10">
        <f t="shared" si="114"/>
        <v>1.9166666666666667</v>
      </c>
      <c r="AA339" s="10">
        <f t="shared" si="115"/>
        <v>0.6</v>
      </c>
      <c r="AB339" s="10">
        <f t="shared" si="116"/>
        <v>1.4</v>
      </c>
      <c r="AC339" s="10">
        <f t="shared" si="117"/>
        <v>1.1428571428571428</v>
      </c>
      <c r="AD339" s="10">
        <f t="shared" si="118"/>
        <v>2.2857142857142856</v>
      </c>
    </row>
    <row r="340" spans="1:30" x14ac:dyDescent="0.3">
      <c r="A340" s="7" t="str">
        <v>Orense</v>
      </c>
      <c r="B340" s="12" t="str" cm="1">
        <f t="array" ref="B340">IF($A340="","",_xlfn.LET(_xlpm.p,IFERROR(INDEX(tblDados[País],MATCH($A340,TRIM(tblDados[Mandante]),0)),INDEX(tblDados[País],MATCH($A340,TRIM(tblDados[Visitante]),0))),_xlpm.l,IFERROR(INDEX(tblDados[Liga],MATCH($A340,TRIM(tblDados[Mandante]),0)),INDEX(tblDados[Liga],MATCH($A340,TRIM(tblDados[Visitante]),0))),_xlpm.p&amp;" - "&amp;_xlpm.l))</f>
        <v>ECU - LigaPro Serie A</v>
      </c>
      <c r="C340" s="10">
        <f t="shared" si="119"/>
        <v>3</v>
      </c>
      <c r="D340" s="10">
        <f t="shared" si="120"/>
        <v>2</v>
      </c>
      <c r="E340" s="9" cm="1">
        <f t="array" ref="E340">IF($A340="","",SUMPRODUCT((TRIM(tblDados[Mandante])=$A340)*tblDados[Primeira_Ocorrencia]))</f>
        <v>6</v>
      </c>
      <c r="F340" s="9" cm="1">
        <f t="array" ref="F340">IF($A340="","",SUMPRODUCT((TRIM(tblDados[Visitante])=$A340)*tblDados[Primeira_Ocorrencia]))</f>
        <v>6</v>
      </c>
      <c r="G340" s="9" cm="1">
        <f t="array" ref="G340">IF($A340="","",SUMPRODUCT((TRIM(tblDados[Mandante])=$A340)*tblDados[Primeira_Ocorrencia])+SUMPRODUCT((TRIM(tblDados[Visitante])=$A340)*tblDados[Primeira_Ocorrencia]))</f>
        <v>12</v>
      </c>
      <c r="H340" s="10">
        <f t="shared" si="121"/>
        <v>0.91666666666666663</v>
      </c>
      <c r="I340" s="10" cm="1">
        <f t="array" ref="I340">IF($A340="","",_xlfn.LET(_xlpm.p,IFERROR(INDEX(tblDados[País],MATCH($A340,TRIM(tblDados[Mandante]),0)),INDEX(tblDados[País],MATCH($A340,TRIM(tblDados[Visitante]),0))),_xlpm.l,IFERROR(INDEX(tblDados[Liga],MATCH($A340,TRIM(tblDados[Mandante]),0)),INDEX(tblDados[Liga],MATCH($A340,TRIM(tblDados[Visitante]),0))),IFERROR(SUMIFS(Ligas!$D$2:$D$39,Ligas!$H$2:$H$39,_xlpm.p,Ligas!$I$2:$I$39,_xlpm.l),0)))</f>
        <v>2.5</v>
      </c>
      <c r="J340" s="11" cm="1">
        <f t="array" ref="J340">IF($A340="","",IFERROR((SUMPRODUCT((TRIM(tblDados[Mandante])=$A340)*tblDados[Primeira_Ocorrencia]*(tblDados[GM_M]=0))+SUMPRODUCT((TRIM(tblDados[Visitante])=$A340)*tblDados[Primeira_Ocorrencia]*(tblDados[GM_V]=0)))/G340,0))</f>
        <v>0.33333333333333331</v>
      </c>
      <c r="K340" s="11" cm="1">
        <f t="array" ref="K340">IF($A340="","",IFERROR((SUMPRODUCT((TRIM(tblDados[Mandante])=$A340)*tblDados[Primeira_Ocorrencia]*((tblDados[GM_M]+tblDados[GS_M])&gt;0.5))+SUMPRODUCT((TRIM(tblDados[Visitante])=$A340)*tblDados[Primeira_Ocorrencia]*((tblDados[GM_V]+tblDados[GS_V])&gt;0.5)))/G340,0))</f>
        <v>0.91666666666666663</v>
      </c>
      <c r="L340" s="11" cm="1">
        <f t="array" ref="L340">IF($A340="","",IFERROR((SUMPRODUCT((TRIM(tblDados[Mandante])=$A340)*tblDados[Primeira_Ocorrencia]*((tblDados[GM_M]+tblDados[GS_M])&gt;1.5))+SUMPRODUCT((TRIM(tblDados[Visitante])=$A340)*tblDados[Primeira_Ocorrencia]*((tblDados[GM_V]+tblDados[GS_V])&gt;1.5)))/G340,0))</f>
        <v>0.83333333333333337</v>
      </c>
      <c r="M340" s="11" cm="1">
        <f t="array" ref="M340">IF($A340="","",IFERROR((SUMPRODUCT((TRIM(tblDados[Mandante])=$A340)*tblDados[Primeira_Ocorrencia]*((tblDados[GM_M]+tblDados[GS_M])&gt;2.5))+SUMPRODUCT((TRIM(tblDados[Visitante])=$A340)*tblDados[Primeira_Ocorrencia]*((tblDados[GM_V]+tblDados[GS_V])&gt;2.5)))/G340,0))</f>
        <v>0.58333333333333337</v>
      </c>
      <c r="N340" s="11" cm="1">
        <f t="array" ref="N340">IF($A340="","",IFERROR((SUMPRODUCT((TRIM(tblDados[Mandante])=$A340)*tblDados[Primeira_Ocorrencia]*((tblDados[GM_M]+tblDados[GS_M])&gt;3.5))+SUMPRODUCT((TRIM(tblDados[Visitante])=$A340)*tblDados[Primeira_Ocorrencia]*((tblDados[GM_V]+tblDados[GS_V])&gt;3.5)))/G340,0))</f>
        <v>8.3333333333333329E-2</v>
      </c>
      <c r="O340" s="11" cm="1">
        <f t="array" ref="O340">IF($A340="","",IFERROR((SUMPRODUCT((TRIM(tblDados[Mandante])=$A340)*tblDados[Primeira_Ocorrencia]*(tblDados[GM_M]&gt;0)*(tblDados[GS_M]&gt;0))+SUMPRODUCT((TRIM(tblDados[Visitante])=$A340)*tblDados[Primeira_Ocorrencia]*(tblDados[GM_V]&gt;0)*(tblDados[GS_V]&gt;0)))/G340,0))</f>
        <v>0.5</v>
      </c>
      <c r="P340" s="10" cm="1">
        <f t="array" ref="P340">IF($A340="","",IFERROR((SUMPRODUCT((TRIM(tblDados[Mandante])=$A340)*tblDados[Primeira_Ocorrencia]*tblDados[GM_M]^2)+SUMPRODUCT((TRIM(tblDados[Visitante])=$A340)*tblDados[Primeira_Ocorrencia]*tblDados[GM_V]^2))/G340-H340^2,0))</f>
        <v>0.57638888888888906</v>
      </c>
      <c r="Q340" s="10">
        <f t="shared" si="122"/>
        <v>0.75920279826202497</v>
      </c>
      <c r="R340" s="8" t="str">
        <f t="shared" si="123"/>
        <v>Poisson</v>
      </c>
      <c r="S340" s="10" cm="1">
        <f t="array" ref="S340">IF($A340="","",SUMPRODUCT((TRIM(tblDados[Mandante])=$A340)*tblDados[Primeira_Ocorrencia]*tblDados[GM_M]))</f>
        <v>8</v>
      </c>
      <c r="T340" s="10" cm="1">
        <f t="array" ref="T340">IF($A340="","",SUMPRODUCT((TRIM(tblDados[Visitante])=$A340)*tblDados[Primeira_Ocorrencia]*tblDados[GM_V]))</f>
        <v>3</v>
      </c>
      <c r="U340" s="10">
        <f t="shared" si="124"/>
        <v>11</v>
      </c>
      <c r="V340" s="10">
        <f t="shared" si="113"/>
        <v>0.91666666666666663</v>
      </c>
      <c r="W340" s="10" cm="1">
        <f t="array" ref="W340">IF($A340="","",SUMPRODUCT((TRIM(tblDados[Mandante])=$A340)*tblDados[Primeira_Ocorrencia]*tblDados[GS_M]))</f>
        <v>10</v>
      </c>
      <c r="X340" s="10" cm="1">
        <f t="array" ref="X340">IF($A340="","",SUMPRODUCT((TRIM(tblDados[Visitante])=$A340)*tblDados[Primeira_Ocorrencia]*tblDados[GS_V]))</f>
        <v>9</v>
      </c>
      <c r="Y340" s="10">
        <f t="shared" si="125"/>
        <v>19</v>
      </c>
      <c r="Z340" s="10">
        <f t="shared" si="114"/>
        <v>1.5833333333333333</v>
      </c>
      <c r="AA340" s="10">
        <f t="shared" si="115"/>
        <v>1.3333333333333333</v>
      </c>
      <c r="AB340" s="10">
        <f t="shared" si="116"/>
        <v>1.6666666666666667</v>
      </c>
      <c r="AC340" s="10">
        <f t="shared" si="117"/>
        <v>0.5</v>
      </c>
      <c r="AD340" s="10">
        <f t="shared" si="118"/>
        <v>1.5</v>
      </c>
    </row>
    <row r="341" spans="1:30" x14ac:dyDescent="0.3">
      <c r="A341" s="7" t="str">
        <v>Örgryte IS</v>
      </c>
      <c r="B341" s="12" t="str" cm="1">
        <f t="array" ref="B341">IF($A341="","",_xlfn.LET(_xlpm.p,IFERROR(INDEX(tblDados[País],MATCH($A341,TRIM(tblDados[Mandante]),0)),INDEX(tblDados[País],MATCH($A341,TRIM(tblDados[Visitante]),0))),_xlpm.l,IFERROR(INDEX(tblDados[Liga],MATCH($A341,TRIM(tblDados[Mandante]),0)),INDEX(tblDados[Liga],MATCH($A341,TRIM(tblDados[Visitante]),0))),_xlpm.p&amp;" - "&amp;_xlpm.l))</f>
        <v>SWE - Allsvenskan</v>
      </c>
      <c r="C341" s="10">
        <f t="shared" si="119"/>
        <v>4.1666666666666661</v>
      </c>
      <c r="D341" s="10">
        <f t="shared" si="120"/>
        <v>2.6666666666666665</v>
      </c>
      <c r="E341" s="9" cm="1">
        <f t="array" ref="E341">IF($A341="","",SUMPRODUCT((TRIM(tblDados[Mandante])=$A341)*tblDados[Primeira_Ocorrencia]))</f>
        <v>6</v>
      </c>
      <c r="F341" s="9" cm="1">
        <f t="array" ref="F341">IF($A341="","",SUMPRODUCT((TRIM(tblDados[Visitante])=$A341)*tblDados[Primeira_Ocorrencia]))</f>
        <v>6</v>
      </c>
      <c r="G341" s="9" cm="1">
        <f t="array" ref="G341">IF($A341="","",SUMPRODUCT((TRIM(tblDados[Mandante])=$A341)*tblDados[Primeira_Ocorrencia])+SUMPRODUCT((TRIM(tblDados[Visitante])=$A341)*tblDados[Primeira_Ocorrencia]))</f>
        <v>12</v>
      </c>
      <c r="H341" s="10">
        <f t="shared" si="121"/>
        <v>1.25</v>
      </c>
      <c r="I341" s="10" cm="1">
        <f t="array" ref="I341">IF($A341="","",_xlfn.LET(_xlpm.p,IFERROR(INDEX(tblDados[País],MATCH($A341,TRIM(tblDados[Mandante]),0)),INDEX(tblDados[País],MATCH($A341,TRIM(tblDados[Visitante]),0))),_xlpm.l,IFERROR(INDEX(tblDados[Liga],MATCH($A341,TRIM(tblDados[Mandante]),0)),INDEX(tblDados[Liga],MATCH($A341,TRIM(tblDados[Visitante]),0))),IFERROR(SUMIFS(Ligas!$D$2:$D$39,Ligas!$H$2:$H$39,_xlpm.p,Ligas!$I$2:$I$39,_xlpm.l),0)))</f>
        <v>2.5</v>
      </c>
      <c r="J341" s="11" cm="1">
        <f t="array" ref="J341">IF($A341="","",IFERROR((SUMPRODUCT((TRIM(tblDados[Mandante])=$A341)*tblDados[Primeira_Ocorrencia]*(tblDados[GM_M]=0))+SUMPRODUCT((TRIM(tblDados[Visitante])=$A341)*tblDados[Primeira_Ocorrencia]*(tblDados[GM_V]=0)))/G341,0))</f>
        <v>0.5</v>
      </c>
      <c r="K341" s="11" cm="1">
        <f t="array" ref="K341">IF($A341="","",IFERROR((SUMPRODUCT((TRIM(tblDados[Mandante])=$A341)*tblDados[Primeira_Ocorrencia]*((tblDados[GM_M]+tblDados[GS_M])&gt;0.5))+SUMPRODUCT((TRIM(tblDados[Visitante])=$A341)*tblDados[Primeira_Ocorrencia]*((tblDados[GM_V]+tblDados[GS_V])&gt;0.5)))/G341,0))</f>
        <v>0.91666666666666663</v>
      </c>
      <c r="L341" s="11" cm="1">
        <f t="array" ref="L341">IF($A341="","",IFERROR((SUMPRODUCT((TRIM(tblDados[Mandante])=$A341)*tblDados[Primeira_Ocorrencia]*((tblDados[GM_M]+tblDados[GS_M])&gt;1.5))+SUMPRODUCT((TRIM(tblDados[Visitante])=$A341)*tblDados[Primeira_Ocorrencia]*((tblDados[GM_V]+tblDados[GS_V])&gt;1.5)))/G341,0))</f>
        <v>0.91666666666666663</v>
      </c>
      <c r="M341" s="11" cm="1">
        <f t="array" ref="M341">IF($A341="","",IFERROR((SUMPRODUCT((TRIM(tblDados[Mandante])=$A341)*tblDados[Primeira_Ocorrencia]*((tblDados[GM_M]+tblDados[GS_M])&gt;2.5))+SUMPRODUCT((TRIM(tblDados[Visitante])=$A341)*tblDados[Primeira_Ocorrencia]*((tblDados[GM_V]+tblDados[GS_V])&gt;2.5)))/G341,0))</f>
        <v>0.58333333333333337</v>
      </c>
      <c r="N341" s="11" cm="1">
        <f t="array" ref="N341">IF($A341="","",IFERROR((SUMPRODUCT((TRIM(tblDados[Mandante])=$A341)*tblDados[Primeira_Ocorrencia]*((tblDados[GM_M]+tblDados[GS_M])&gt;3.5))+SUMPRODUCT((TRIM(tblDados[Visitante])=$A341)*tblDados[Primeira_Ocorrencia]*((tblDados[GM_V]+tblDados[GS_V])&gt;3.5)))/G341,0))</f>
        <v>0.41666666666666669</v>
      </c>
      <c r="O341" s="11" cm="1">
        <f t="array" ref="O341">IF($A341="","",IFERROR((SUMPRODUCT((TRIM(tblDados[Mandante])=$A341)*tblDados[Primeira_Ocorrencia]*(tblDados[GM_M]&gt;0)*(tblDados[GS_M]&gt;0))+SUMPRODUCT((TRIM(tblDados[Visitante])=$A341)*tblDados[Primeira_Ocorrencia]*(tblDados[GM_V]&gt;0)*(tblDados[GS_V]&gt;0)))/G341,0))</f>
        <v>0.41666666666666669</v>
      </c>
      <c r="P341" s="10" cm="1">
        <f t="array" ref="P341">IF($A341="","",IFERROR((SUMPRODUCT((TRIM(tblDados[Mandante])=$A341)*tblDados[Primeira_Ocorrencia]*tblDados[GM_M]^2)+SUMPRODUCT((TRIM(tblDados[Visitante])=$A341)*tblDados[Primeira_Ocorrencia]*tblDados[GM_V]^2))/G341-H341^2,0))</f>
        <v>2.0208333333333335</v>
      </c>
      <c r="Q341" s="10">
        <f t="shared" si="122"/>
        <v>1.4215601757693317</v>
      </c>
      <c r="R341" s="8" t="str">
        <f t="shared" si="123"/>
        <v>Poisson</v>
      </c>
      <c r="S341" s="10" cm="1">
        <f t="array" ref="S341">IF($A341="","",SUMPRODUCT((TRIM(tblDados[Mandante])=$A341)*tblDados[Primeira_Ocorrencia]*tblDados[GM_M]))</f>
        <v>12</v>
      </c>
      <c r="T341" s="10" cm="1">
        <f t="array" ref="T341">IF($A341="","",SUMPRODUCT((TRIM(tblDados[Visitante])=$A341)*tblDados[Primeira_Ocorrencia]*tblDados[GM_V]))</f>
        <v>3</v>
      </c>
      <c r="U341" s="10">
        <f t="shared" si="124"/>
        <v>15</v>
      </c>
      <c r="V341" s="10">
        <f t="shared" si="113"/>
        <v>1.25</v>
      </c>
      <c r="W341" s="10" cm="1">
        <f t="array" ref="W341">IF($A341="","",SUMPRODUCT((TRIM(tblDados[Mandante])=$A341)*tblDados[Primeira_Ocorrencia]*tblDados[GS_M]))</f>
        <v>13</v>
      </c>
      <c r="X341" s="10" cm="1">
        <f t="array" ref="X341">IF($A341="","",SUMPRODUCT((TRIM(tblDados[Visitante])=$A341)*tblDados[Primeira_Ocorrencia]*tblDados[GS_V]))</f>
        <v>13</v>
      </c>
      <c r="Y341" s="10">
        <f t="shared" si="125"/>
        <v>26</v>
      </c>
      <c r="Z341" s="10">
        <f t="shared" si="114"/>
        <v>2.1666666666666665</v>
      </c>
      <c r="AA341" s="10">
        <f t="shared" si="115"/>
        <v>2</v>
      </c>
      <c r="AB341" s="10">
        <f t="shared" si="116"/>
        <v>2.1666666666666665</v>
      </c>
      <c r="AC341" s="10">
        <f t="shared" si="117"/>
        <v>0.5</v>
      </c>
      <c r="AD341" s="10">
        <f t="shared" si="118"/>
        <v>2.1666666666666665</v>
      </c>
    </row>
    <row r="342" spans="1:30" x14ac:dyDescent="0.3">
      <c r="A342" s="7" t="str">
        <v>Orlando City SC</v>
      </c>
      <c r="B342" s="12" t="str" cm="1">
        <f t="array" ref="B342">IF($A342="","",_xlfn.LET(_xlpm.p,IFERROR(INDEX(tblDados[País],MATCH($A342,TRIM(tblDados[Mandante]),0)),INDEX(tblDados[País],MATCH($A342,TRIM(tblDados[Visitante]),0))),_xlpm.l,IFERROR(INDEX(tblDados[Liga],MATCH($A342,TRIM(tblDados[Mandante]),0)),INDEX(tblDados[Liga],MATCH($A342,TRIM(tblDados[Visitante]),0))),_xlpm.p&amp;" - "&amp;_xlpm.l))</f>
        <v>USA - MLS-East</v>
      </c>
      <c r="C342" s="10">
        <f t="shared" si="119"/>
        <v>3.2</v>
      </c>
      <c r="D342" s="10">
        <f t="shared" si="120"/>
        <v>4.7142857142857144</v>
      </c>
      <c r="E342" s="9" cm="1">
        <f t="array" ref="E342">IF($A342="","",SUMPRODUCT((TRIM(tblDados[Mandante])=$A342)*tblDados[Primeira_Ocorrencia]))</f>
        <v>5</v>
      </c>
      <c r="F342" s="9" cm="1">
        <f t="array" ref="F342">IF($A342="","",SUMPRODUCT((TRIM(tblDados[Visitante])=$A342)*tblDados[Primeira_Ocorrencia]))</f>
        <v>7</v>
      </c>
      <c r="G342" s="9" cm="1">
        <f t="array" ref="G342">IF($A342="","",SUMPRODUCT((TRIM(tblDados[Mandante])=$A342)*tblDados[Primeira_Ocorrencia])+SUMPRODUCT((TRIM(tblDados[Visitante])=$A342)*tblDados[Primeira_Ocorrencia]))</f>
        <v>12</v>
      </c>
      <c r="H342" s="10">
        <f t="shared" si="121"/>
        <v>2.0833333333333335</v>
      </c>
      <c r="I342" s="10" cm="1">
        <f t="array" ref="I342">IF($A342="","",_xlfn.LET(_xlpm.p,IFERROR(INDEX(tblDados[País],MATCH($A342,TRIM(tblDados[Mandante]),0)),INDEX(tblDados[País],MATCH($A342,TRIM(tblDados[Visitante]),0))),_xlpm.l,IFERROR(INDEX(tblDados[Liga],MATCH($A342,TRIM(tblDados[Mandante]),0)),INDEX(tblDados[Liga],MATCH($A342,TRIM(tblDados[Visitante]),0))),IFERROR(SUMIFS(Ligas!$D$2:$D$39,Ligas!$H$2:$H$39,_xlpm.p,Ligas!$I$2:$I$39,_xlpm.l),0)))</f>
        <v>3.3</v>
      </c>
      <c r="J342" s="11" cm="1">
        <f t="array" ref="J342">IF($A342="","",IFERROR((SUMPRODUCT((TRIM(tblDados[Mandante])=$A342)*tblDados[Primeira_Ocorrencia]*(tblDados[GM_M]=0))+SUMPRODUCT((TRIM(tblDados[Visitante])=$A342)*tblDados[Primeira_Ocorrencia]*(tblDados[GM_V]=0)))/G342,0))</f>
        <v>0.16666666666666666</v>
      </c>
      <c r="K342" s="11" cm="1">
        <f t="array" ref="K342">IF($A342="","",IFERROR((SUMPRODUCT((TRIM(tblDados[Mandante])=$A342)*tblDados[Primeira_Ocorrencia]*((tblDados[GM_M]+tblDados[GS_M])&gt;0.5))+SUMPRODUCT((TRIM(tblDados[Visitante])=$A342)*tblDados[Primeira_Ocorrencia]*((tblDados[GM_V]+tblDados[GS_V])&gt;0.5)))/G342,0))</f>
        <v>1</v>
      </c>
      <c r="L342" s="11" cm="1">
        <f t="array" ref="L342">IF($A342="","",IFERROR((SUMPRODUCT((TRIM(tblDados[Mandante])=$A342)*tblDados[Primeira_Ocorrencia]*((tblDados[GM_M]+tblDados[GS_M])&gt;1.5))+SUMPRODUCT((TRIM(tblDados[Visitante])=$A342)*tblDados[Primeira_Ocorrencia]*((tblDados[GM_V]+tblDados[GS_V])&gt;1.5)))/G342,0))</f>
        <v>0.83333333333333337</v>
      </c>
      <c r="M342" s="11" cm="1">
        <f t="array" ref="M342">IF($A342="","",IFERROR((SUMPRODUCT((TRIM(tblDados[Mandante])=$A342)*tblDados[Primeira_Ocorrencia]*((tblDados[GM_M]+tblDados[GS_M])&gt;2.5))+SUMPRODUCT((TRIM(tblDados[Visitante])=$A342)*tblDados[Primeira_Ocorrencia]*((tblDados[GM_V]+tblDados[GS_V])&gt;2.5)))/G342,0))</f>
        <v>0.58333333333333337</v>
      </c>
      <c r="N342" s="11" cm="1">
        <f t="array" ref="N342">IF($A342="","",IFERROR((SUMPRODUCT((TRIM(tblDados[Mandante])=$A342)*tblDados[Primeira_Ocorrencia]*((tblDados[GM_M]+tblDados[GS_M])&gt;3.5))+SUMPRODUCT((TRIM(tblDados[Visitante])=$A342)*tblDados[Primeira_Ocorrencia]*((tblDados[GM_V]+tblDados[GS_V])&gt;3.5)))/G342,0))</f>
        <v>0.58333333333333337</v>
      </c>
      <c r="O342" s="11" cm="1">
        <f t="array" ref="O342">IF($A342="","",IFERROR((SUMPRODUCT((TRIM(tblDados[Mandante])=$A342)*tblDados[Primeira_Ocorrencia]*(tblDados[GM_M]&gt;0)*(tblDados[GS_M]&gt;0))+SUMPRODUCT((TRIM(tblDados[Visitante])=$A342)*tblDados[Primeira_Ocorrencia]*(tblDados[GM_V]&gt;0)*(tblDados[GS_V]&gt;0)))/G342,0))</f>
        <v>0.66666666666666663</v>
      </c>
      <c r="P342" s="10" cm="1">
        <f t="array" ref="P342">IF($A342="","",IFERROR((SUMPRODUCT((TRIM(tblDados[Mandante])=$A342)*tblDados[Primeira_Ocorrencia]*tblDados[GM_M]^2)+SUMPRODUCT((TRIM(tblDados[Visitante])=$A342)*tblDados[Primeira_Ocorrencia]*tblDados[GM_V]^2))/G342-H342^2,0))</f>
        <v>2.2430555555555545</v>
      </c>
      <c r="Q342" s="10">
        <f t="shared" si="122"/>
        <v>1.4976833963009519</v>
      </c>
      <c r="R342" s="8" t="str">
        <f t="shared" si="123"/>
        <v>Poisson</v>
      </c>
      <c r="S342" s="10" cm="1">
        <f t="array" ref="S342">IF($A342="","",SUMPRODUCT((TRIM(tblDados[Mandante])=$A342)*tblDados[Primeira_Ocorrencia]*tblDados[GM_M]))</f>
        <v>10</v>
      </c>
      <c r="T342" s="10" cm="1">
        <f t="array" ref="T342">IF($A342="","",SUMPRODUCT((TRIM(tblDados[Visitante])=$A342)*tblDados[Primeira_Ocorrencia]*tblDados[GM_V]))</f>
        <v>15</v>
      </c>
      <c r="U342" s="10">
        <f t="shared" si="124"/>
        <v>25</v>
      </c>
      <c r="V342" s="10">
        <f t="shared" si="113"/>
        <v>2.0833333333333335</v>
      </c>
      <c r="W342" s="10" cm="1">
        <f t="array" ref="W342">IF($A342="","",SUMPRODUCT((TRIM(tblDados[Mandante])=$A342)*tblDados[Primeira_Ocorrencia]*tblDados[GS_M]))</f>
        <v>6</v>
      </c>
      <c r="X342" s="10" cm="1">
        <f t="array" ref="X342">IF($A342="","",SUMPRODUCT((TRIM(tblDados[Visitante])=$A342)*tblDados[Primeira_Ocorrencia]*tblDados[GS_V]))</f>
        <v>18</v>
      </c>
      <c r="Y342" s="10">
        <f t="shared" si="125"/>
        <v>24</v>
      </c>
      <c r="Z342" s="10">
        <f t="shared" si="114"/>
        <v>2</v>
      </c>
      <c r="AA342" s="10">
        <f t="shared" si="115"/>
        <v>2</v>
      </c>
      <c r="AB342" s="10">
        <f t="shared" si="116"/>
        <v>1.2</v>
      </c>
      <c r="AC342" s="10">
        <f t="shared" si="117"/>
        <v>2.1428571428571428</v>
      </c>
      <c r="AD342" s="10">
        <f t="shared" si="118"/>
        <v>2.5714285714285716</v>
      </c>
    </row>
    <row r="343" spans="1:30" x14ac:dyDescent="0.3">
      <c r="A343" s="7" t="str">
        <v>Österlen FF</v>
      </c>
      <c r="B343" s="12" t="str" cm="1">
        <f t="array" ref="B343">IF($A343="","",_xlfn.LET(_xlpm.p,IFERROR(INDEX(tblDados[País],MATCH($A343,TRIM(tblDados[Mandante]),0)),INDEX(tblDados[País],MATCH($A343,TRIM(tblDados[Visitante]),0))),_xlpm.l,IFERROR(INDEX(tblDados[Liga],MATCH($A343,TRIM(tblDados[Mandante]),0)),INDEX(tblDados[Liga],MATCH($A343,TRIM(tblDados[Visitante]),0))),_xlpm.p&amp;" - "&amp;_xlpm.l))</f>
        <v>SWE - 2ª D Södra Götaland</v>
      </c>
      <c r="C343" s="10">
        <f t="shared" si="119"/>
        <v>3.5</v>
      </c>
      <c r="D343" s="10">
        <f t="shared" si="120"/>
        <v>2.333333333333333</v>
      </c>
      <c r="E343" s="9" cm="1">
        <f t="array" ref="E343">IF($A343="","",SUMPRODUCT((TRIM(tblDados[Mandante])=$A343)*tblDados[Primeira_Ocorrencia]))</f>
        <v>6</v>
      </c>
      <c r="F343" s="9" cm="1">
        <f t="array" ref="F343">IF($A343="","",SUMPRODUCT((TRIM(tblDados[Visitante])=$A343)*tblDados[Primeira_Ocorrencia]))</f>
        <v>6</v>
      </c>
      <c r="G343" s="9" cm="1">
        <f t="array" ref="G343">IF($A343="","",SUMPRODUCT((TRIM(tblDados[Mandante])=$A343)*tblDados[Primeira_Ocorrencia])+SUMPRODUCT((TRIM(tblDados[Visitante])=$A343)*tblDados[Primeira_Ocorrencia]))</f>
        <v>12</v>
      </c>
      <c r="H343" s="10">
        <f t="shared" si="121"/>
        <v>1.6666666666666667</v>
      </c>
      <c r="I343" s="10" cm="1">
        <f t="array" ref="I343">IF($A343="","",_xlfn.LET(_xlpm.p,IFERROR(INDEX(tblDados[País],MATCH($A343,TRIM(tblDados[Mandante]),0)),INDEX(tblDados[País],MATCH($A343,TRIM(tblDados[Visitante]),0))),_xlpm.l,IFERROR(INDEX(tblDados[Liga],MATCH($A343,TRIM(tblDados[Mandante]),0)),INDEX(tblDados[Liga],MATCH($A343,TRIM(tblDados[Visitante]),0))),IFERROR(SUMIFS(Ligas!$D$2:$D$39,Ligas!$H$2:$H$39,_xlpm.p,Ligas!$I$2:$I$39,_xlpm.l),0)))</f>
        <v>2.5</v>
      </c>
      <c r="J343" s="11" cm="1">
        <f t="array" ref="J343">IF($A343="","",IFERROR((SUMPRODUCT((TRIM(tblDados[Mandante])=$A343)*tblDados[Primeira_Ocorrencia]*(tblDados[GM_M]=0))+SUMPRODUCT((TRIM(tblDados[Visitante])=$A343)*tblDados[Primeira_Ocorrencia]*(tblDados[GM_V]=0)))/G343,0))</f>
        <v>0.16666666666666666</v>
      </c>
      <c r="K343" s="11" cm="1">
        <f t="array" ref="K343">IF($A343="","",IFERROR((SUMPRODUCT((TRIM(tblDados[Mandante])=$A343)*tblDados[Primeira_Ocorrencia]*((tblDados[GM_M]+tblDados[GS_M])&gt;0.5))+SUMPRODUCT((TRIM(tblDados[Visitante])=$A343)*tblDados[Primeira_Ocorrencia]*((tblDados[GM_V]+tblDados[GS_V])&gt;0.5)))/G343,0))</f>
        <v>0.91666666666666663</v>
      </c>
      <c r="L343" s="11" cm="1">
        <f t="array" ref="L343">IF($A343="","",IFERROR((SUMPRODUCT((TRIM(tblDados[Mandante])=$A343)*tblDados[Primeira_Ocorrencia]*((tblDados[GM_M]+tblDados[GS_M])&gt;1.5))+SUMPRODUCT((TRIM(tblDados[Visitante])=$A343)*tblDados[Primeira_Ocorrencia]*((tblDados[GM_V]+tblDados[GS_V])&gt;1.5)))/G343,0))</f>
        <v>0.91666666666666663</v>
      </c>
      <c r="M343" s="11" cm="1">
        <f t="array" ref="M343">IF($A343="","",IFERROR((SUMPRODUCT((TRIM(tblDados[Mandante])=$A343)*tblDados[Primeira_Ocorrencia]*((tblDados[GM_M]+tblDados[GS_M])&gt;2.5))+SUMPRODUCT((TRIM(tblDados[Visitante])=$A343)*tblDados[Primeira_Ocorrencia]*((tblDados[GM_V]+tblDados[GS_V])&gt;2.5)))/G343,0))</f>
        <v>0.66666666666666663</v>
      </c>
      <c r="N343" s="11" cm="1">
        <f t="array" ref="N343">IF($A343="","",IFERROR((SUMPRODUCT((TRIM(tblDados[Mandante])=$A343)*tblDados[Primeira_Ocorrencia]*((tblDados[GM_M]+tblDados[GS_M])&gt;3.5))+SUMPRODUCT((TRIM(tblDados[Visitante])=$A343)*tblDados[Primeira_Ocorrencia]*((tblDados[GM_V]+tblDados[GS_V])&gt;3.5)))/G343,0))</f>
        <v>0.25</v>
      </c>
      <c r="O343" s="11" cm="1">
        <f t="array" ref="O343">IF($A343="","",IFERROR((SUMPRODUCT((TRIM(tblDados[Mandante])=$A343)*tblDados[Primeira_Ocorrencia]*(tblDados[GM_M]&gt;0)*(tblDados[GS_M]&gt;0))+SUMPRODUCT((TRIM(tblDados[Visitante])=$A343)*tblDados[Primeira_Ocorrencia]*(tblDados[GM_V]&gt;0)*(tblDados[GS_V]&gt;0)))/G343,0))</f>
        <v>0.75</v>
      </c>
      <c r="P343" s="10" cm="1">
        <f t="array" ref="P343">IF($A343="","",IFERROR((SUMPRODUCT((TRIM(tblDados[Mandante])=$A343)*tblDados[Primeira_Ocorrencia]*tblDados[GM_M]^2)+SUMPRODUCT((TRIM(tblDados[Visitante])=$A343)*tblDados[Primeira_Ocorrencia]*tblDados[GM_V]^2))/G343-H343^2,0))</f>
        <v>1.3888888888888888</v>
      </c>
      <c r="Q343" s="10">
        <f t="shared" si="122"/>
        <v>1.1785113019775793</v>
      </c>
      <c r="R343" s="8" t="str">
        <f t="shared" si="123"/>
        <v>Poisson</v>
      </c>
      <c r="S343" s="10" cm="1">
        <f t="array" ref="S343">IF($A343="","",SUMPRODUCT((TRIM(tblDados[Mandante])=$A343)*tblDados[Primeira_Ocorrencia]*tblDados[GM_M]))</f>
        <v>12</v>
      </c>
      <c r="T343" s="10" cm="1">
        <f t="array" ref="T343">IF($A343="","",SUMPRODUCT((TRIM(tblDados[Visitante])=$A343)*tblDados[Primeira_Ocorrencia]*tblDados[GM_V]))</f>
        <v>8</v>
      </c>
      <c r="U343" s="10">
        <f t="shared" si="124"/>
        <v>20</v>
      </c>
      <c r="V343" s="10">
        <f t="shared" si="113"/>
        <v>1.6666666666666667</v>
      </c>
      <c r="W343" s="10" cm="1">
        <f t="array" ref="W343">IF($A343="","",SUMPRODUCT((TRIM(tblDados[Mandante])=$A343)*tblDados[Primeira_Ocorrencia]*tblDados[GS_M]))</f>
        <v>9</v>
      </c>
      <c r="X343" s="10" cm="1">
        <f t="array" ref="X343">IF($A343="","",SUMPRODUCT((TRIM(tblDados[Visitante])=$A343)*tblDados[Primeira_Ocorrencia]*tblDados[GS_V]))</f>
        <v>6</v>
      </c>
      <c r="Y343" s="10">
        <f t="shared" si="125"/>
        <v>15</v>
      </c>
      <c r="Z343" s="10">
        <f t="shared" si="114"/>
        <v>1.25</v>
      </c>
      <c r="AA343" s="10">
        <f t="shared" si="115"/>
        <v>2</v>
      </c>
      <c r="AB343" s="10">
        <f t="shared" si="116"/>
        <v>1.5</v>
      </c>
      <c r="AC343" s="10">
        <f t="shared" si="117"/>
        <v>1.3333333333333333</v>
      </c>
      <c r="AD343" s="10">
        <f t="shared" si="118"/>
        <v>1</v>
      </c>
    </row>
    <row r="344" spans="1:30" x14ac:dyDescent="0.3">
      <c r="A344" s="7" t="str">
        <v>Östers IF</v>
      </c>
      <c r="B344" s="12" t="str" cm="1">
        <f t="array" ref="B344">IF($A344="","",_xlfn.LET(_xlpm.p,IFERROR(INDEX(tblDados[País],MATCH($A344,TRIM(tblDados[Mandante]),0)),INDEX(tblDados[País],MATCH($A344,TRIM(tblDados[Visitante]),0))),_xlpm.l,IFERROR(INDEX(tblDados[Liga],MATCH($A344,TRIM(tblDados[Mandante]),0)),INDEX(tblDados[Liga],MATCH($A344,TRIM(tblDados[Visitante]),0))),_xlpm.p&amp;" - "&amp;_xlpm.l))</f>
        <v>SWE - Superettan</v>
      </c>
      <c r="C344" s="10">
        <f t="shared" si="119"/>
        <v>3.125</v>
      </c>
      <c r="D344" s="10">
        <f t="shared" si="120"/>
        <v>2.5</v>
      </c>
      <c r="E344" s="9" cm="1">
        <f t="array" ref="E344">IF($A344="","",SUMPRODUCT((TRIM(tblDados[Mandante])=$A344)*tblDados[Primeira_Ocorrencia]))</f>
        <v>8</v>
      </c>
      <c r="F344" s="9" cm="1">
        <f t="array" ref="F344">IF($A344="","",SUMPRODUCT((TRIM(tblDados[Visitante])=$A344)*tblDados[Primeira_Ocorrencia]))</f>
        <v>4</v>
      </c>
      <c r="G344" s="9" cm="1">
        <f t="array" ref="G344">IF($A344="","",SUMPRODUCT((TRIM(tblDados[Mandante])=$A344)*tblDados[Primeira_Ocorrencia])+SUMPRODUCT((TRIM(tblDados[Visitante])=$A344)*tblDados[Primeira_Ocorrencia]))</f>
        <v>12</v>
      </c>
      <c r="H344" s="10">
        <f t="shared" si="121"/>
        <v>1.5833333333333333</v>
      </c>
      <c r="I344" s="10" cm="1">
        <f t="array" ref="I344">IF($A344="","",_xlfn.LET(_xlpm.p,IFERROR(INDEX(tblDados[País],MATCH($A344,TRIM(tblDados[Mandante]),0)),INDEX(tblDados[País],MATCH($A344,TRIM(tblDados[Visitante]),0))),_xlpm.l,IFERROR(INDEX(tblDados[Liga],MATCH($A344,TRIM(tblDados[Mandante]),0)),INDEX(tblDados[Liga],MATCH($A344,TRIM(tblDados[Visitante]),0))),IFERROR(SUMIFS(Ligas!$D$2:$D$39,Ligas!$H$2:$H$39,_xlpm.p,Ligas!$I$2:$I$39,_xlpm.l),0)))</f>
        <v>2.5</v>
      </c>
      <c r="J344" s="11" cm="1">
        <f t="array" ref="J344">IF($A344="","",IFERROR((SUMPRODUCT((TRIM(tblDados[Mandante])=$A344)*tblDados[Primeira_Ocorrencia]*(tblDados[GM_M]=0))+SUMPRODUCT((TRIM(tblDados[Visitante])=$A344)*tblDados[Primeira_Ocorrencia]*(tblDados[GM_V]=0)))/G344,0))</f>
        <v>0.25</v>
      </c>
      <c r="K344" s="11" cm="1">
        <f t="array" ref="K344">IF($A344="","",IFERROR((SUMPRODUCT((TRIM(tblDados[Mandante])=$A344)*tblDados[Primeira_Ocorrencia]*((tblDados[GM_M]+tblDados[GS_M])&gt;0.5))+SUMPRODUCT((TRIM(tblDados[Visitante])=$A344)*tblDados[Primeira_Ocorrencia]*((tblDados[GM_V]+tblDados[GS_V])&gt;0.5)))/G344,0))</f>
        <v>1</v>
      </c>
      <c r="L344" s="11" cm="1">
        <f t="array" ref="L344">IF($A344="","",IFERROR((SUMPRODUCT((TRIM(tblDados[Mandante])=$A344)*tblDados[Primeira_Ocorrencia]*((tblDados[GM_M]+tblDados[GS_M])&gt;1.5))+SUMPRODUCT((TRIM(tblDados[Visitante])=$A344)*tblDados[Primeira_Ocorrencia]*((tblDados[GM_V]+tblDados[GS_V])&gt;1.5)))/G344,0))</f>
        <v>0.75</v>
      </c>
      <c r="M344" s="11" cm="1">
        <f t="array" ref="M344">IF($A344="","",IFERROR((SUMPRODUCT((TRIM(tblDados[Mandante])=$A344)*tblDados[Primeira_Ocorrencia]*((tblDados[GM_M]+tblDados[GS_M])&gt;2.5))+SUMPRODUCT((TRIM(tblDados[Visitante])=$A344)*tblDados[Primeira_Ocorrencia]*((tblDados[GM_V]+tblDados[GS_V])&gt;2.5)))/G344,0))</f>
        <v>0.66666666666666663</v>
      </c>
      <c r="N344" s="11" cm="1">
        <f t="array" ref="N344">IF($A344="","",IFERROR((SUMPRODUCT((TRIM(tblDados[Mandante])=$A344)*tblDados[Primeira_Ocorrencia]*((tblDados[GM_M]+tblDados[GS_M])&gt;3.5))+SUMPRODUCT((TRIM(tblDados[Visitante])=$A344)*tblDados[Primeira_Ocorrencia]*((tblDados[GM_V]+tblDados[GS_V])&gt;3.5)))/G344,0))</f>
        <v>0.33333333333333331</v>
      </c>
      <c r="O344" s="11" cm="1">
        <f t="array" ref="O344">IF($A344="","",IFERROR((SUMPRODUCT((TRIM(tblDados[Mandante])=$A344)*tblDados[Primeira_Ocorrencia]*(tblDados[GM_M]&gt;0)*(tblDados[GS_M]&gt;0))+SUMPRODUCT((TRIM(tblDados[Visitante])=$A344)*tblDados[Primeira_Ocorrencia]*(tblDados[GM_V]&gt;0)*(tblDados[GS_V]&gt;0)))/G344,0))</f>
        <v>0.41666666666666669</v>
      </c>
      <c r="P344" s="10" cm="1">
        <f t="array" ref="P344">IF($A344="","",IFERROR((SUMPRODUCT((TRIM(tblDados[Mandante])=$A344)*tblDados[Primeira_Ocorrencia]*tblDados[GM_M]^2)+SUMPRODUCT((TRIM(tblDados[Visitante])=$A344)*tblDados[Primeira_Ocorrencia]*tblDados[GM_V]^2))/G344-H344^2,0))</f>
        <v>1.7430555555555558</v>
      </c>
      <c r="Q344" s="10">
        <f t="shared" si="122"/>
        <v>1.3202482931462385</v>
      </c>
      <c r="R344" s="8" t="str">
        <f t="shared" si="123"/>
        <v>Poisson</v>
      </c>
      <c r="S344" s="10" cm="1">
        <f t="array" ref="S344">IF($A344="","",SUMPRODUCT((TRIM(tblDados[Mandante])=$A344)*tblDados[Primeira_Ocorrencia]*tblDados[GM_M]))</f>
        <v>14</v>
      </c>
      <c r="T344" s="10" cm="1">
        <f t="array" ref="T344">IF($A344="","",SUMPRODUCT((TRIM(tblDados[Visitante])=$A344)*tblDados[Primeira_Ocorrencia]*tblDados[GM_V]))</f>
        <v>5</v>
      </c>
      <c r="U344" s="10">
        <f t="shared" si="124"/>
        <v>19</v>
      </c>
      <c r="V344" s="10">
        <f t="shared" si="113"/>
        <v>1.5833333333333333</v>
      </c>
      <c r="W344" s="10" cm="1">
        <f t="array" ref="W344">IF($A344="","",SUMPRODUCT((TRIM(tblDados[Mandante])=$A344)*tblDados[Primeira_Ocorrencia]*tblDados[GS_M]))</f>
        <v>11</v>
      </c>
      <c r="X344" s="10" cm="1">
        <f t="array" ref="X344">IF($A344="","",SUMPRODUCT((TRIM(tblDados[Visitante])=$A344)*tblDados[Primeira_Ocorrencia]*tblDados[GS_V]))</f>
        <v>5</v>
      </c>
      <c r="Y344" s="10">
        <f t="shared" si="125"/>
        <v>16</v>
      </c>
      <c r="Z344" s="10">
        <f t="shared" si="114"/>
        <v>1.3333333333333333</v>
      </c>
      <c r="AA344" s="10">
        <f t="shared" si="115"/>
        <v>1.75</v>
      </c>
      <c r="AB344" s="10">
        <f t="shared" si="116"/>
        <v>1.375</v>
      </c>
      <c r="AC344" s="10">
        <f t="shared" si="117"/>
        <v>1.25</v>
      </c>
      <c r="AD344" s="10">
        <f t="shared" si="118"/>
        <v>1.25</v>
      </c>
    </row>
    <row r="345" spans="1:30" x14ac:dyDescent="0.3">
      <c r="A345" s="7" t="str">
        <v>Östersunds FK</v>
      </c>
      <c r="B345" s="12" t="str" cm="1">
        <f t="array" ref="B345">IF($A345="","",_xlfn.LET(_xlpm.p,IFERROR(INDEX(tblDados[País],MATCH($A345,TRIM(tblDados[Mandante]),0)),INDEX(tblDados[País],MATCH($A345,TRIM(tblDados[Visitante]),0))),_xlpm.l,IFERROR(INDEX(tblDados[Liga],MATCH($A345,TRIM(tblDados[Mandante]),0)),INDEX(tblDados[Liga],MATCH($A345,TRIM(tblDados[Visitante]),0))),_xlpm.p&amp;" - "&amp;_xlpm.l))</f>
        <v>SWE - Superettan</v>
      </c>
      <c r="C345" s="10">
        <f t="shared" si="119"/>
        <v>2.3333333333333335</v>
      </c>
      <c r="D345" s="10">
        <f t="shared" si="120"/>
        <v>2.8333333333333335</v>
      </c>
      <c r="E345" s="9" cm="1">
        <f t="array" ref="E345">IF($A345="","",SUMPRODUCT((TRIM(tblDados[Mandante])=$A345)*tblDados[Primeira_Ocorrencia]))</f>
        <v>6</v>
      </c>
      <c r="F345" s="9" cm="1">
        <f t="array" ref="F345">IF($A345="","",SUMPRODUCT((TRIM(tblDados[Visitante])=$A345)*tblDados[Primeira_Ocorrencia]))</f>
        <v>6</v>
      </c>
      <c r="G345" s="9" cm="1">
        <f t="array" ref="G345">IF($A345="","",SUMPRODUCT((TRIM(tblDados[Mandante])=$A345)*tblDados[Primeira_Ocorrencia])+SUMPRODUCT((TRIM(tblDados[Visitante])=$A345)*tblDados[Primeira_Ocorrencia]))</f>
        <v>12</v>
      </c>
      <c r="H345" s="10">
        <f t="shared" si="121"/>
        <v>1.5833333333333333</v>
      </c>
      <c r="I345" s="10" cm="1">
        <f t="array" ref="I345">IF($A345="","",_xlfn.LET(_xlpm.p,IFERROR(INDEX(tblDados[País],MATCH($A345,TRIM(tblDados[Mandante]),0)),INDEX(tblDados[País],MATCH($A345,TRIM(tblDados[Visitante]),0))),_xlpm.l,IFERROR(INDEX(tblDados[Liga],MATCH($A345,TRIM(tblDados[Mandante]),0)),INDEX(tblDados[Liga],MATCH($A345,TRIM(tblDados[Visitante]),0))),IFERROR(SUMIFS(Ligas!$D$2:$D$39,Ligas!$H$2:$H$39,_xlpm.p,Ligas!$I$2:$I$39,_xlpm.l),0)))</f>
        <v>2.5</v>
      </c>
      <c r="J345" s="11" cm="1">
        <f t="array" ref="J345">IF($A345="","",IFERROR((SUMPRODUCT((TRIM(tblDados[Mandante])=$A345)*tblDados[Primeira_Ocorrencia]*(tblDados[GM_M]=0))+SUMPRODUCT((TRIM(tblDados[Visitante])=$A345)*tblDados[Primeira_Ocorrencia]*(tblDados[GM_V]=0)))/G345,0))</f>
        <v>0.16666666666666666</v>
      </c>
      <c r="K345" s="11" cm="1">
        <f t="array" ref="K345">IF($A345="","",IFERROR((SUMPRODUCT((TRIM(tblDados[Mandante])=$A345)*tblDados[Primeira_Ocorrencia]*((tblDados[GM_M]+tblDados[GS_M])&gt;0.5))+SUMPRODUCT((TRIM(tblDados[Visitante])=$A345)*tblDados[Primeira_Ocorrencia]*((tblDados[GM_V]+tblDados[GS_V])&gt;0.5)))/G345,0))</f>
        <v>1</v>
      </c>
      <c r="L345" s="11" cm="1">
        <f t="array" ref="L345">IF($A345="","",IFERROR((SUMPRODUCT((TRIM(tblDados[Mandante])=$A345)*tblDados[Primeira_Ocorrencia]*((tblDados[GM_M]+tblDados[GS_M])&gt;1.5))+SUMPRODUCT((TRIM(tblDados[Visitante])=$A345)*tblDados[Primeira_Ocorrencia]*((tblDados[GM_V]+tblDados[GS_V])&gt;1.5)))/G345,0))</f>
        <v>0.75</v>
      </c>
      <c r="M345" s="11" cm="1">
        <f t="array" ref="M345">IF($A345="","",IFERROR((SUMPRODUCT((TRIM(tblDados[Mandante])=$A345)*tblDados[Primeira_Ocorrencia]*((tblDados[GM_M]+tblDados[GS_M])&gt;2.5))+SUMPRODUCT((TRIM(tblDados[Visitante])=$A345)*tblDados[Primeira_Ocorrencia]*((tblDados[GM_V]+tblDados[GS_V])&gt;2.5)))/G345,0))</f>
        <v>0.33333333333333331</v>
      </c>
      <c r="N345" s="11" cm="1">
        <f t="array" ref="N345">IF($A345="","",IFERROR((SUMPRODUCT((TRIM(tblDados[Mandante])=$A345)*tblDados[Primeira_Ocorrencia]*((tblDados[GM_M]+tblDados[GS_M])&gt;3.5))+SUMPRODUCT((TRIM(tblDados[Visitante])=$A345)*tblDados[Primeira_Ocorrencia]*((tblDados[GM_V]+tblDados[GS_V])&gt;3.5)))/G345,0))</f>
        <v>0.25</v>
      </c>
      <c r="O345" s="11" cm="1">
        <f t="array" ref="O345">IF($A345="","",IFERROR((SUMPRODUCT((TRIM(tblDados[Mandante])=$A345)*tblDados[Primeira_Ocorrencia]*(tblDados[GM_M]&gt;0)*(tblDados[GS_M]&gt;0))+SUMPRODUCT((TRIM(tblDados[Visitante])=$A345)*tblDados[Primeira_Ocorrencia]*(tblDados[GM_V]&gt;0)*(tblDados[GS_V]&gt;0)))/G345,0))</f>
        <v>0.5</v>
      </c>
      <c r="P345" s="10" cm="1">
        <f t="array" ref="P345">IF($A345="","",IFERROR((SUMPRODUCT((TRIM(tblDados[Mandante])=$A345)*tblDados[Primeira_Ocorrencia]*tblDados[GM_M]^2)+SUMPRODUCT((TRIM(tblDados[Visitante])=$A345)*tblDados[Primeira_Ocorrencia]*tblDados[GM_V]^2))/G345-H345^2,0))</f>
        <v>1.2430555555555558</v>
      </c>
      <c r="Q345" s="10">
        <f t="shared" si="122"/>
        <v>1.1149240133549712</v>
      </c>
      <c r="R345" s="8" t="str">
        <f t="shared" si="123"/>
        <v>Poisson</v>
      </c>
      <c r="S345" s="10" cm="1">
        <f t="array" ref="S345">IF($A345="","",SUMPRODUCT((TRIM(tblDados[Mandante])=$A345)*tblDados[Primeira_Ocorrencia]*tblDados[GM_M]))</f>
        <v>9</v>
      </c>
      <c r="T345" s="10" cm="1">
        <f t="array" ref="T345">IF($A345="","",SUMPRODUCT((TRIM(tblDados[Visitante])=$A345)*tblDados[Primeira_Ocorrencia]*tblDados[GM_V]))</f>
        <v>10</v>
      </c>
      <c r="U345" s="10">
        <f t="shared" si="124"/>
        <v>19</v>
      </c>
      <c r="V345" s="10">
        <f t="shared" si="113"/>
        <v>1.5833333333333333</v>
      </c>
      <c r="W345" s="10" cm="1">
        <f t="array" ref="W345">IF($A345="","",SUMPRODUCT((TRIM(tblDados[Mandante])=$A345)*tblDados[Primeira_Ocorrencia]*tblDados[GS_M]))</f>
        <v>5</v>
      </c>
      <c r="X345" s="10" cm="1">
        <f t="array" ref="X345">IF($A345="","",SUMPRODUCT((TRIM(tblDados[Visitante])=$A345)*tblDados[Primeira_Ocorrencia]*tblDados[GS_V]))</f>
        <v>7</v>
      </c>
      <c r="Y345" s="10">
        <f t="shared" si="125"/>
        <v>12</v>
      </c>
      <c r="Z345" s="10">
        <f t="shared" si="114"/>
        <v>1</v>
      </c>
      <c r="AA345" s="10">
        <f t="shared" si="115"/>
        <v>1.5</v>
      </c>
      <c r="AB345" s="10">
        <f t="shared" si="116"/>
        <v>0.83333333333333337</v>
      </c>
      <c r="AC345" s="10">
        <f t="shared" si="117"/>
        <v>1.6666666666666667</v>
      </c>
      <c r="AD345" s="10">
        <f t="shared" si="118"/>
        <v>1.1666666666666667</v>
      </c>
    </row>
    <row r="346" spans="1:30" x14ac:dyDescent="0.3">
      <c r="A346" s="7" t="str">
        <v>Pacific FC</v>
      </c>
      <c r="B346" s="12" t="str" cm="1">
        <f t="array" ref="B346">IF($A346="","",_xlfn.LET(_xlpm.p,IFERROR(INDEX(tblDados[País],MATCH($A346,TRIM(tblDados[Mandante]),0)),INDEX(tblDados[País],MATCH($A346,TRIM(tblDados[Visitante]),0))),_xlpm.l,IFERROR(INDEX(tblDados[Liga],MATCH($A346,TRIM(tblDados[Mandante]),0)),INDEX(tblDados[Liga],MATCH($A346,TRIM(tblDados[Visitante]),0))),_xlpm.p&amp;" - "&amp;_xlpm.l))</f>
        <v>CAN - Premier League</v>
      </c>
      <c r="C346" s="10">
        <f t="shared" si="119"/>
        <v>2.5714285714285712</v>
      </c>
      <c r="D346" s="10">
        <f t="shared" si="120"/>
        <v>4</v>
      </c>
      <c r="E346" s="9" cm="1">
        <f t="array" ref="E346">IF($A346="","",SUMPRODUCT((TRIM(tblDados[Mandante])=$A346)*tblDados[Primeira_Ocorrencia]))</f>
        <v>7</v>
      </c>
      <c r="F346" s="9" cm="1">
        <f t="array" ref="F346">IF($A346="","",SUMPRODUCT((TRIM(tblDados[Visitante])=$A346)*tblDados[Primeira_Ocorrencia]))</f>
        <v>5</v>
      </c>
      <c r="G346" s="9" cm="1">
        <f t="array" ref="G346">IF($A346="","",SUMPRODUCT((TRIM(tblDados[Mandante])=$A346)*tblDados[Primeira_Ocorrencia])+SUMPRODUCT((TRIM(tblDados[Visitante])=$A346)*tblDados[Primeira_Ocorrencia]))</f>
        <v>12</v>
      </c>
      <c r="H346" s="10">
        <f t="shared" si="121"/>
        <v>1</v>
      </c>
      <c r="I346" s="10" cm="1">
        <f t="array" ref="I346">IF($A346="","",_xlfn.LET(_xlpm.p,IFERROR(INDEX(tblDados[País],MATCH($A346,TRIM(tblDados[Mandante]),0)),INDEX(tblDados[País],MATCH($A346,TRIM(tblDados[Visitante]),0))),_xlpm.l,IFERROR(INDEX(tblDados[Liga],MATCH($A346,TRIM(tblDados[Mandante]),0)),INDEX(tblDados[Liga],MATCH($A346,TRIM(tblDados[Visitante]),0))),IFERROR(SUMIFS(Ligas!$D$2:$D$39,Ligas!$H$2:$H$39,_xlpm.p,Ligas!$I$2:$I$39,_xlpm.l),0)))</f>
        <v>2.5</v>
      </c>
      <c r="J346" s="11" cm="1">
        <f t="array" ref="J346">IF($A346="","",IFERROR((SUMPRODUCT((TRIM(tblDados[Mandante])=$A346)*tblDados[Primeira_Ocorrencia]*(tblDados[GM_M]=0))+SUMPRODUCT((TRIM(tblDados[Visitante])=$A346)*tblDados[Primeira_Ocorrencia]*(tblDados[GM_V]=0)))/G346,0))</f>
        <v>0.25</v>
      </c>
      <c r="K346" s="11" cm="1">
        <f t="array" ref="K346">IF($A346="","",IFERROR((SUMPRODUCT((TRIM(tblDados[Mandante])=$A346)*tblDados[Primeira_Ocorrencia]*((tblDados[GM_M]+tblDados[GS_M])&gt;0.5))+SUMPRODUCT((TRIM(tblDados[Visitante])=$A346)*tblDados[Primeira_Ocorrencia]*((tblDados[GM_V]+tblDados[GS_V])&gt;0.5)))/G346,0))</f>
        <v>1</v>
      </c>
      <c r="L346" s="11" cm="1">
        <f t="array" ref="L346">IF($A346="","",IFERROR((SUMPRODUCT((TRIM(tblDados[Mandante])=$A346)*tblDados[Primeira_Ocorrencia]*((tblDados[GM_M]+tblDados[GS_M])&gt;1.5))+SUMPRODUCT((TRIM(tblDados[Visitante])=$A346)*tblDados[Primeira_Ocorrencia]*((tblDados[GM_V]+tblDados[GS_V])&gt;1.5)))/G346,0))</f>
        <v>0.83333333333333337</v>
      </c>
      <c r="M346" s="11" cm="1">
        <f t="array" ref="M346">IF($A346="","",IFERROR((SUMPRODUCT((TRIM(tblDados[Mandante])=$A346)*tblDados[Primeira_Ocorrencia]*((tblDados[GM_M]+tblDados[GS_M])&gt;2.5))+SUMPRODUCT((TRIM(tblDados[Visitante])=$A346)*tblDados[Primeira_Ocorrencia]*((tblDados[GM_V]+tblDados[GS_V])&gt;2.5)))/G346,0))</f>
        <v>0.66666666666666663</v>
      </c>
      <c r="N346" s="11" cm="1">
        <f t="array" ref="N346">IF($A346="","",IFERROR((SUMPRODUCT((TRIM(tblDados[Mandante])=$A346)*tblDados[Primeira_Ocorrencia]*((tblDados[GM_M]+tblDados[GS_M])&gt;3.5))+SUMPRODUCT((TRIM(tblDados[Visitante])=$A346)*tblDados[Primeira_Ocorrencia]*((tblDados[GM_V]+tblDados[GS_V])&gt;3.5)))/G346,0))</f>
        <v>0.33333333333333331</v>
      </c>
      <c r="O346" s="11" cm="1">
        <f t="array" ref="O346">IF($A346="","",IFERROR((SUMPRODUCT((TRIM(tblDados[Mandante])=$A346)*tblDados[Primeira_Ocorrencia]*(tblDados[GM_M]&gt;0)*(tblDados[GS_M]&gt;0))+SUMPRODUCT((TRIM(tblDados[Visitante])=$A346)*tblDados[Primeira_Ocorrencia]*(tblDados[GM_V]&gt;0)*(tblDados[GS_V]&gt;0)))/G346,0))</f>
        <v>0.75</v>
      </c>
      <c r="P346" s="10" cm="1">
        <f t="array" ref="P346">IF($A346="","",IFERROR((SUMPRODUCT((TRIM(tblDados[Mandante])=$A346)*tblDados[Primeira_Ocorrencia]*tblDados[GM_M]^2)+SUMPRODUCT((TRIM(tblDados[Visitante])=$A346)*tblDados[Primeira_Ocorrencia]*tblDados[GM_V]^2))/G346-H346^2,0))</f>
        <v>0.5</v>
      </c>
      <c r="Q346" s="10">
        <f t="shared" si="122"/>
        <v>0.70710678118654757</v>
      </c>
      <c r="R346" s="8" t="str">
        <f t="shared" si="123"/>
        <v>Poisson</v>
      </c>
      <c r="S346" s="10" cm="1">
        <f t="array" ref="S346">IF($A346="","",SUMPRODUCT((TRIM(tblDados[Mandante])=$A346)*tblDados[Primeira_Ocorrencia]*tblDados[GM_M]))</f>
        <v>6</v>
      </c>
      <c r="T346" s="10" cm="1">
        <f t="array" ref="T346">IF($A346="","",SUMPRODUCT((TRIM(tblDados[Visitante])=$A346)*tblDados[Primeira_Ocorrencia]*tblDados[GM_V]))</f>
        <v>6</v>
      </c>
      <c r="U346" s="10">
        <f t="shared" si="124"/>
        <v>12</v>
      </c>
      <c r="V346" s="10">
        <f t="shared" si="113"/>
        <v>1</v>
      </c>
      <c r="W346" s="10" cm="1">
        <f t="array" ref="W346">IF($A346="","",SUMPRODUCT((TRIM(tblDados[Mandante])=$A346)*tblDados[Primeira_Ocorrencia]*tblDados[GS_M]))</f>
        <v>12</v>
      </c>
      <c r="X346" s="10" cm="1">
        <f t="array" ref="X346">IF($A346="","",SUMPRODUCT((TRIM(tblDados[Visitante])=$A346)*tblDados[Primeira_Ocorrencia]*tblDados[GS_V]))</f>
        <v>14</v>
      </c>
      <c r="Y346" s="10">
        <f t="shared" si="125"/>
        <v>26</v>
      </c>
      <c r="Z346" s="10">
        <f t="shared" si="114"/>
        <v>2.1666666666666665</v>
      </c>
      <c r="AA346" s="10">
        <f t="shared" si="115"/>
        <v>0.8571428571428571</v>
      </c>
      <c r="AB346" s="10">
        <f t="shared" si="116"/>
        <v>1.7142857142857142</v>
      </c>
      <c r="AC346" s="10">
        <f t="shared" si="117"/>
        <v>1.2</v>
      </c>
      <c r="AD346" s="10">
        <f t="shared" si="118"/>
        <v>2.8</v>
      </c>
    </row>
    <row r="347" spans="1:30" x14ac:dyDescent="0.3">
      <c r="A347" s="7" t="str">
        <v>Palestino</v>
      </c>
      <c r="B347" s="12" t="str" cm="1">
        <f t="array" ref="B347">IF($A347="","",_xlfn.LET(_xlpm.p,IFERROR(INDEX(tblDados[País],MATCH($A347,TRIM(tblDados[Mandante]),0)),INDEX(tblDados[País],MATCH($A347,TRIM(tblDados[Visitante]),0))),_xlpm.l,IFERROR(INDEX(tblDados[Liga],MATCH($A347,TRIM(tblDados[Mandante]),0)),INDEX(tblDados[Liga],MATCH($A347,TRIM(tblDados[Visitante]),0))),_xlpm.p&amp;" - "&amp;_xlpm.l))</f>
        <v>CHI - Liga de Primera</v>
      </c>
      <c r="C347" s="10">
        <f t="shared" si="119"/>
        <v>2.8333333333333335</v>
      </c>
      <c r="D347" s="10">
        <f t="shared" si="120"/>
        <v>2.833333333333333</v>
      </c>
      <c r="E347" s="9" cm="1">
        <f t="array" ref="E347">IF($A347="","",SUMPRODUCT((TRIM(tblDados[Mandante])=$A347)*tblDados[Primeira_Ocorrencia]))</f>
        <v>6</v>
      </c>
      <c r="F347" s="9" cm="1">
        <f t="array" ref="F347">IF($A347="","",SUMPRODUCT((TRIM(tblDados[Visitante])=$A347)*tblDados[Primeira_Ocorrencia]))</f>
        <v>6</v>
      </c>
      <c r="G347" s="9" cm="1">
        <f t="array" ref="G347">IF($A347="","",SUMPRODUCT((TRIM(tblDados[Mandante])=$A347)*tblDados[Primeira_Ocorrencia])+SUMPRODUCT((TRIM(tblDados[Visitante])=$A347)*tblDados[Primeira_Ocorrencia]))</f>
        <v>12</v>
      </c>
      <c r="H347" s="10">
        <f t="shared" si="121"/>
        <v>1.5</v>
      </c>
      <c r="I347" s="10" cm="1">
        <f t="array" ref="I347">IF($A347="","",_xlfn.LET(_xlpm.p,IFERROR(INDEX(tblDados[País],MATCH($A347,TRIM(tblDados[Mandante]),0)),INDEX(tblDados[País],MATCH($A347,TRIM(tblDados[Visitante]),0))),_xlpm.l,IFERROR(INDEX(tblDados[Liga],MATCH($A347,TRIM(tblDados[Mandante]),0)),INDEX(tblDados[Liga],MATCH($A347,TRIM(tblDados[Visitante]),0))),IFERROR(SUMIFS(Ligas!$D$2:$D$39,Ligas!$H$2:$H$39,_xlpm.p,Ligas!$I$2:$I$39,_xlpm.l),0)))</f>
        <v>2.5</v>
      </c>
      <c r="J347" s="11" cm="1">
        <f t="array" ref="J347">IF($A347="","",IFERROR((SUMPRODUCT((TRIM(tblDados[Mandante])=$A347)*tblDados[Primeira_Ocorrencia]*(tblDados[GM_M]=0))+SUMPRODUCT((TRIM(tblDados[Visitante])=$A347)*tblDados[Primeira_Ocorrencia]*(tblDados[GM_V]=0)))/G347,0))</f>
        <v>0.33333333333333331</v>
      </c>
      <c r="K347" s="11" cm="1">
        <f t="array" ref="K347">IF($A347="","",IFERROR((SUMPRODUCT((TRIM(tblDados[Mandante])=$A347)*tblDados[Primeira_Ocorrencia]*((tblDados[GM_M]+tblDados[GS_M])&gt;0.5))+SUMPRODUCT((TRIM(tblDados[Visitante])=$A347)*tblDados[Primeira_Ocorrencia]*((tblDados[GM_V]+tblDados[GS_V])&gt;0.5)))/G347,0))</f>
        <v>0.91666666666666663</v>
      </c>
      <c r="L347" s="11" cm="1">
        <f t="array" ref="L347">IF($A347="","",IFERROR((SUMPRODUCT((TRIM(tblDados[Mandante])=$A347)*tblDados[Primeira_Ocorrencia]*((tblDados[GM_M]+tblDados[GS_M])&gt;1.5))+SUMPRODUCT((TRIM(tblDados[Visitante])=$A347)*tblDados[Primeira_Ocorrencia]*((tblDados[GM_V]+tblDados[GS_V])&gt;1.5)))/G347,0))</f>
        <v>0.58333333333333337</v>
      </c>
      <c r="M347" s="11" cm="1">
        <f t="array" ref="M347">IF($A347="","",IFERROR((SUMPRODUCT((TRIM(tblDados[Mandante])=$A347)*tblDados[Primeira_Ocorrencia]*((tblDados[GM_M]+tblDados[GS_M])&gt;2.5))+SUMPRODUCT((TRIM(tblDados[Visitante])=$A347)*tblDados[Primeira_Ocorrencia]*((tblDados[GM_V]+tblDados[GS_V])&gt;2.5)))/G347,0))</f>
        <v>0.5</v>
      </c>
      <c r="N347" s="11" cm="1">
        <f t="array" ref="N347">IF($A347="","",IFERROR((SUMPRODUCT((TRIM(tblDados[Mandante])=$A347)*tblDados[Primeira_Ocorrencia]*((tblDados[GM_M]+tblDados[GS_M])&gt;3.5))+SUMPRODUCT((TRIM(tblDados[Visitante])=$A347)*tblDados[Primeira_Ocorrencia]*((tblDados[GM_V]+tblDados[GS_V])&gt;3.5)))/G347,0))</f>
        <v>0.25</v>
      </c>
      <c r="O347" s="11" cm="1">
        <f t="array" ref="O347">IF($A347="","",IFERROR((SUMPRODUCT((TRIM(tblDados[Mandante])=$A347)*tblDados[Primeira_Ocorrencia]*(tblDados[GM_M]&gt;0)*(tblDados[GS_M]&gt;0))+SUMPRODUCT((TRIM(tblDados[Visitante])=$A347)*tblDados[Primeira_Ocorrencia]*(tblDados[GM_V]&gt;0)*(tblDados[GS_V]&gt;0)))/G347,0))</f>
        <v>0.5</v>
      </c>
      <c r="P347" s="10" cm="1">
        <f t="array" ref="P347">IF($A347="","",IFERROR((SUMPRODUCT((TRIM(tblDados[Mandante])=$A347)*tblDados[Primeira_Ocorrencia]*tblDados[GM_M]^2)+SUMPRODUCT((TRIM(tblDados[Visitante])=$A347)*tblDados[Primeira_Ocorrencia]*tblDados[GM_V]^2))/G347-H347^2,0))</f>
        <v>2.416666666666667</v>
      </c>
      <c r="Q347" s="10">
        <f t="shared" si="122"/>
        <v>1.5545631755148026</v>
      </c>
      <c r="R347" s="8" t="str">
        <f t="shared" si="123"/>
        <v>Poisson</v>
      </c>
      <c r="S347" s="10" cm="1">
        <f t="array" ref="S347">IF($A347="","",SUMPRODUCT((TRIM(tblDados[Mandante])=$A347)*tblDados[Primeira_Ocorrencia]*tblDados[GM_M]))</f>
        <v>12</v>
      </c>
      <c r="T347" s="10" cm="1">
        <f t="array" ref="T347">IF($A347="","",SUMPRODUCT((TRIM(tblDados[Visitante])=$A347)*tblDados[Primeira_Ocorrencia]*tblDados[GM_V]))</f>
        <v>6</v>
      </c>
      <c r="U347" s="10">
        <f t="shared" si="124"/>
        <v>18</v>
      </c>
      <c r="V347" s="10">
        <f t="shared" si="113"/>
        <v>1.5</v>
      </c>
      <c r="W347" s="10" cm="1">
        <f t="array" ref="W347">IF($A347="","",SUMPRODUCT((TRIM(tblDados[Mandante])=$A347)*tblDados[Primeira_Ocorrencia]*tblDados[GS_M]))</f>
        <v>5</v>
      </c>
      <c r="X347" s="10" cm="1">
        <f t="array" ref="X347">IF($A347="","",SUMPRODUCT((TRIM(tblDados[Visitante])=$A347)*tblDados[Primeira_Ocorrencia]*tblDados[GS_V]))</f>
        <v>11</v>
      </c>
      <c r="Y347" s="10">
        <f t="shared" si="125"/>
        <v>16</v>
      </c>
      <c r="Z347" s="10">
        <f t="shared" si="114"/>
        <v>1.3333333333333333</v>
      </c>
      <c r="AA347" s="10">
        <f t="shared" si="115"/>
        <v>2</v>
      </c>
      <c r="AB347" s="10">
        <f t="shared" si="116"/>
        <v>0.83333333333333337</v>
      </c>
      <c r="AC347" s="10">
        <f t="shared" si="117"/>
        <v>1</v>
      </c>
      <c r="AD347" s="10">
        <f t="shared" si="118"/>
        <v>1.8333333333333333</v>
      </c>
    </row>
    <row r="348" spans="1:30" x14ac:dyDescent="0.3">
      <c r="A348" s="7" t="str">
        <v>Philadelphia Union</v>
      </c>
      <c r="B348" s="12" t="str" cm="1">
        <f t="array" ref="B348">IF($A348="","",_xlfn.LET(_xlpm.p,IFERROR(INDEX(tblDados[País],MATCH($A348,TRIM(tblDados[Mandante]),0)),INDEX(tblDados[País],MATCH($A348,TRIM(tblDados[Visitante]),0))),_xlpm.l,IFERROR(INDEX(tblDados[Liga],MATCH($A348,TRIM(tblDados[Mandante]),0)),INDEX(tblDados[Liga],MATCH($A348,TRIM(tblDados[Visitante]),0))),_xlpm.p&amp;" - "&amp;_xlpm.l))</f>
        <v>USA - MLS-East</v>
      </c>
      <c r="C348" s="10">
        <f t="shared" si="119"/>
        <v>2</v>
      </c>
      <c r="D348" s="10">
        <f t="shared" si="120"/>
        <v>5.1666666666666661</v>
      </c>
      <c r="E348" s="9" cm="1">
        <f t="array" ref="E348">IF($A348="","",SUMPRODUCT((TRIM(tblDados[Mandante])=$A348)*tblDados[Primeira_Ocorrencia]))</f>
        <v>6</v>
      </c>
      <c r="F348" s="9" cm="1">
        <f t="array" ref="F348">IF($A348="","",SUMPRODUCT((TRIM(tblDados[Visitante])=$A348)*tblDados[Primeira_Ocorrencia]))</f>
        <v>6</v>
      </c>
      <c r="G348" s="9" cm="1">
        <f t="array" ref="G348">IF($A348="","",SUMPRODUCT((TRIM(tblDados[Mandante])=$A348)*tblDados[Primeira_Ocorrencia])+SUMPRODUCT((TRIM(tblDados[Visitante])=$A348)*tblDados[Primeira_Ocorrencia]))</f>
        <v>12</v>
      </c>
      <c r="H348" s="10">
        <f t="shared" si="121"/>
        <v>1.75</v>
      </c>
      <c r="I348" s="10" cm="1">
        <f t="array" ref="I348">IF($A348="","",_xlfn.LET(_xlpm.p,IFERROR(INDEX(tblDados[País],MATCH($A348,TRIM(tblDados[Mandante]),0)),INDEX(tblDados[País],MATCH($A348,TRIM(tblDados[Visitante]),0))),_xlpm.l,IFERROR(INDEX(tblDados[Liga],MATCH($A348,TRIM(tblDados[Mandante]),0)),INDEX(tblDados[Liga],MATCH($A348,TRIM(tblDados[Visitante]),0))),IFERROR(SUMIFS(Ligas!$D$2:$D$39,Ligas!$H$2:$H$39,_xlpm.p,Ligas!$I$2:$I$39,_xlpm.l),0)))</f>
        <v>3.3</v>
      </c>
      <c r="J348" s="11" cm="1">
        <f t="array" ref="J348">IF($A348="","",IFERROR((SUMPRODUCT((TRIM(tblDados[Mandante])=$A348)*tblDados[Primeira_Ocorrencia]*(tblDados[GM_M]=0))+SUMPRODUCT((TRIM(tblDados[Visitante])=$A348)*tblDados[Primeira_Ocorrencia]*(tblDados[GM_V]=0)))/G348,0))</f>
        <v>0.25</v>
      </c>
      <c r="K348" s="11" cm="1">
        <f t="array" ref="K348">IF($A348="","",IFERROR((SUMPRODUCT((TRIM(tblDados[Mandante])=$A348)*tblDados[Primeira_Ocorrencia]*((tblDados[GM_M]+tblDados[GS_M])&gt;0.5))+SUMPRODUCT((TRIM(tblDados[Visitante])=$A348)*tblDados[Primeira_Ocorrencia]*((tblDados[GM_V]+tblDados[GS_V])&gt;0.5)))/G348,0))</f>
        <v>0.83333333333333337</v>
      </c>
      <c r="L348" s="11" cm="1">
        <f t="array" ref="L348">IF($A348="","",IFERROR((SUMPRODUCT((TRIM(tblDados[Mandante])=$A348)*tblDados[Primeira_Ocorrencia]*((tblDados[GM_M]+tblDados[GS_M])&gt;1.5))+SUMPRODUCT((TRIM(tblDados[Visitante])=$A348)*tblDados[Primeira_Ocorrencia]*((tblDados[GM_V]+tblDados[GS_V])&gt;1.5)))/G348,0))</f>
        <v>0.75</v>
      </c>
      <c r="M348" s="11" cm="1">
        <f t="array" ref="M348">IF($A348="","",IFERROR((SUMPRODUCT((TRIM(tblDados[Mandante])=$A348)*tblDados[Primeira_Ocorrencia]*((tblDados[GM_M]+tblDados[GS_M])&gt;2.5))+SUMPRODUCT((TRIM(tblDados[Visitante])=$A348)*tblDados[Primeira_Ocorrencia]*((tblDados[GM_V]+tblDados[GS_V])&gt;2.5)))/G348,0))</f>
        <v>0.58333333333333337</v>
      </c>
      <c r="N348" s="11" cm="1">
        <f t="array" ref="N348">IF($A348="","",IFERROR((SUMPRODUCT((TRIM(tblDados[Mandante])=$A348)*tblDados[Primeira_Ocorrencia]*((tblDados[GM_M]+tblDados[GS_M])&gt;3.5))+SUMPRODUCT((TRIM(tblDados[Visitante])=$A348)*tblDados[Primeira_Ocorrencia]*((tblDados[GM_V]+tblDados[GS_V])&gt;3.5)))/G348,0))</f>
        <v>0.41666666666666669</v>
      </c>
      <c r="O348" s="11" cm="1">
        <f t="array" ref="O348">IF($A348="","",IFERROR((SUMPRODUCT((TRIM(tblDados[Mandante])=$A348)*tblDados[Primeira_Ocorrencia]*(tblDados[GM_M]&gt;0)*(tblDados[GS_M]&gt;0))+SUMPRODUCT((TRIM(tblDados[Visitante])=$A348)*tblDados[Primeira_Ocorrencia]*(tblDados[GM_V]&gt;0)*(tblDados[GS_V]&gt;0)))/G348,0))</f>
        <v>0.66666666666666663</v>
      </c>
      <c r="P348" s="10" cm="1">
        <f t="array" ref="P348">IF($A348="","",IFERROR((SUMPRODUCT((TRIM(tblDados[Mandante])=$A348)*tblDados[Primeira_Ocorrencia]*tblDados[GM_M]^2)+SUMPRODUCT((TRIM(tblDados[Visitante])=$A348)*tblDados[Primeira_Ocorrencia]*tblDados[GM_V]^2))/G348-H348^2,0))</f>
        <v>1.854166666666667</v>
      </c>
      <c r="Q348" s="10">
        <f t="shared" si="122"/>
        <v>1.3616778865306827</v>
      </c>
      <c r="R348" s="8" t="str">
        <f t="shared" si="123"/>
        <v>Poisson</v>
      </c>
      <c r="S348" s="10" cm="1">
        <f t="array" ref="S348">IF($A348="","",SUMPRODUCT((TRIM(tblDados[Mandante])=$A348)*tblDados[Primeira_Ocorrencia]*tblDados[GM_M]))</f>
        <v>8</v>
      </c>
      <c r="T348" s="10" cm="1">
        <f t="array" ref="T348">IF($A348="","",SUMPRODUCT((TRIM(tblDados[Visitante])=$A348)*tblDados[Primeira_Ocorrencia]*tblDados[GM_V]))</f>
        <v>13</v>
      </c>
      <c r="U348" s="10">
        <f t="shared" si="124"/>
        <v>21</v>
      </c>
      <c r="V348" s="10">
        <f t="shared" si="113"/>
        <v>1.75</v>
      </c>
      <c r="W348" s="10" cm="1">
        <f t="array" ref="W348">IF($A348="","",SUMPRODUCT((TRIM(tblDados[Mandante])=$A348)*tblDados[Primeira_Ocorrencia]*tblDados[GS_M]))</f>
        <v>4</v>
      </c>
      <c r="X348" s="10" cm="1">
        <f t="array" ref="X348">IF($A348="","",SUMPRODUCT((TRIM(tblDados[Visitante])=$A348)*tblDados[Primeira_Ocorrencia]*tblDados[GS_V]))</f>
        <v>18</v>
      </c>
      <c r="Y348" s="10">
        <f t="shared" si="125"/>
        <v>22</v>
      </c>
      <c r="Z348" s="10">
        <f t="shared" si="114"/>
        <v>1.8333333333333333</v>
      </c>
      <c r="AA348" s="10">
        <f t="shared" si="115"/>
        <v>1.3333333333333333</v>
      </c>
      <c r="AB348" s="10">
        <f t="shared" si="116"/>
        <v>0.66666666666666663</v>
      </c>
      <c r="AC348" s="10">
        <f t="shared" si="117"/>
        <v>2.1666666666666665</v>
      </c>
      <c r="AD348" s="10">
        <f t="shared" si="118"/>
        <v>3</v>
      </c>
    </row>
    <row r="349" spans="1:30" x14ac:dyDescent="0.3">
      <c r="A349" s="7" t="str">
        <v>Piteå IF</v>
      </c>
      <c r="B349" s="12" t="str" cm="1">
        <f t="array" ref="B349">IF($A349="","",_xlfn.LET(_xlpm.p,IFERROR(INDEX(tblDados[País],MATCH($A349,TRIM(tblDados[Mandante]),0)),INDEX(tblDados[País],MATCH($A349,TRIM(tblDados[Visitante]),0))),_xlpm.l,IFERROR(INDEX(tblDados[Liga],MATCH($A349,TRIM(tblDados[Mandante]),0)),INDEX(tblDados[Liga],MATCH($A349,TRIM(tblDados[Visitante]),0))),_xlpm.p&amp;" - "&amp;_xlpm.l))</f>
        <v>SWE - 1ª D Norra</v>
      </c>
      <c r="C349" s="10">
        <f t="shared" si="119"/>
        <v>3.5</v>
      </c>
      <c r="D349" s="10">
        <f t="shared" si="120"/>
        <v>3</v>
      </c>
      <c r="E349" s="9" cm="1">
        <f t="array" ref="E349">IF($A349="","",SUMPRODUCT((TRIM(tblDados[Mandante])=$A349)*tblDados[Primeira_Ocorrencia]))</f>
        <v>6</v>
      </c>
      <c r="F349" s="9" cm="1">
        <f t="array" ref="F349">IF($A349="","",SUMPRODUCT((TRIM(tblDados[Visitante])=$A349)*tblDados[Primeira_Ocorrencia]))</f>
        <v>6</v>
      </c>
      <c r="G349" s="9" cm="1">
        <f t="array" ref="G349">IF($A349="","",SUMPRODUCT((TRIM(tblDados[Mandante])=$A349)*tblDados[Primeira_Ocorrencia])+SUMPRODUCT((TRIM(tblDados[Visitante])=$A349)*tblDados[Primeira_Ocorrencia]))</f>
        <v>12</v>
      </c>
      <c r="H349" s="10">
        <f t="shared" si="121"/>
        <v>1.1666666666666667</v>
      </c>
      <c r="I349" s="10" cm="1">
        <f t="array" ref="I349">IF($A349="","",_xlfn.LET(_xlpm.p,IFERROR(INDEX(tblDados[País],MATCH($A349,TRIM(tblDados[Mandante]),0)),INDEX(tblDados[País],MATCH($A349,TRIM(tblDados[Visitante]),0))),_xlpm.l,IFERROR(INDEX(tblDados[Liga],MATCH($A349,TRIM(tblDados[Mandante]),0)),INDEX(tblDados[Liga],MATCH($A349,TRIM(tblDados[Visitante]),0))),IFERROR(SUMIFS(Ligas!$D$2:$D$39,Ligas!$H$2:$H$39,_xlpm.p,Ligas!$I$2:$I$39,_xlpm.l),0)))</f>
        <v>2.5</v>
      </c>
      <c r="J349" s="11" cm="1">
        <f t="array" ref="J349">IF($A349="","",IFERROR((SUMPRODUCT((TRIM(tblDados[Mandante])=$A349)*tblDados[Primeira_Ocorrencia]*(tblDados[GM_M]=0))+SUMPRODUCT((TRIM(tblDados[Visitante])=$A349)*tblDados[Primeira_Ocorrencia]*(tblDados[GM_V]=0)))/G349,0))</f>
        <v>0.33333333333333331</v>
      </c>
      <c r="K349" s="11" cm="1">
        <f t="array" ref="K349">IF($A349="","",IFERROR((SUMPRODUCT((TRIM(tblDados[Mandante])=$A349)*tblDados[Primeira_Ocorrencia]*((tblDados[GM_M]+tblDados[GS_M])&gt;0.5))+SUMPRODUCT((TRIM(tblDados[Visitante])=$A349)*tblDados[Primeira_Ocorrencia]*((tblDados[GM_V]+tblDados[GS_V])&gt;0.5)))/G349,0))</f>
        <v>0.91666666666666663</v>
      </c>
      <c r="L349" s="11" cm="1">
        <f t="array" ref="L349">IF($A349="","",IFERROR((SUMPRODUCT((TRIM(tblDados[Mandante])=$A349)*tblDados[Primeira_Ocorrencia]*((tblDados[GM_M]+tblDados[GS_M])&gt;1.5))+SUMPRODUCT((TRIM(tblDados[Visitante])=$A349)*tblDados[Primeira_Ocorrencia]*((tblDados[GM_V]+tblDados[GS_V])&gt;1.5)))/G349,0))</f>
        <v>0.91666666666666663</v>
      </c>
      <c r="M349" s="11" cm="1">
        <f t="array" ref="M349">IF($A349="","",IFERROR((SUMPRODUCT((TRIM(tblDados[Mandante])=$A349)*tblDados[Primeira_Ocorrencia]*((tblDados[GM_M]+tblDados[GS_M])&gt;2.5))+SUMPRODUCT((TRIM(tblDados[Visitante])=$A349)*tblDados[Primeira_Ocorrencia]*((tblDados[GM_V]+tblDados[GS_V])&gt;2.5)))/G349,0))</f>
        <v>0.66666666666666663</v>
      </c>
      <c r="N349" s="11" cm="1">
        <f t="array" ref="N349">IF($A349="","",IFERROR((SUMPRODUCT((TRIM(tblDados[Mandante])=$A349)*tblDados[Primeira_Ocorrencia]*((tblDados[GM_M]+tblDados[GS_M])&gt;3.5))+SUMPRODUCT((TRIM(tblDados[Visitante])=$A349)*tblDados[Primeira_Ocorrencia]*((tblDados[GM_V]+tblDados[GS_V])&gt;3.5)))/G349,0))</f>
        <v>0.5</v>
      </c>
      <c r="O349" s="11" cm="1">
        <f t="array" ref="O349">IF($A349="","",IFERROR((SUMPRODUCT((TRIM(tblDados[Mandante])=$A349)*tblDados[Primeira_Ocorrencia]*(tblDados[GM_M]&gt;0)*(tblDados[GS_M]&gt;0))+SUMPRODUCT((TRIM(tblDados[Visitante])=$A349)*tblDados[Primeira_Ocorrencia]*(tblDados[GM_V]&gt;0)*(tblDados[GS_V]&gt;0)))/G349,0))</f>
        <v>0.66666666666666663</v>
      </c>
      <c r="P349" s="10" cm="1">
        <f t="array" ref="P349">IF($A349="","",IFERROR((SUMPRODUCT((TRIM(tblDados[Mandante])=$A349)*tblDados[Primeira_Ocorrencia]*tblDados[GM_M]^2)+SUMPRODUCT((TRIM(tblDados[Visitante])=$A349)*tblDados[Primeira_Ocorrencia]*tblDados[GM_V]^2))/G349-H349^2,0))</f>
        <v>0.9722222222222221</v>
      </c>
      <c r="Q349" s="10">
        <f t="shared" si="122"/>
        <v>0.98601329718326924</v>
      </c>
      <c r="R349" s="8" t="str">
        <f t="shared" si="123"/>
        <v>Poisson</v>
      </c>
      <c r="S349" s="10" cm="1">
        <f t="array" ref="S349">IF($A349="","",SUMPRODUCT((TRIM(tblDados[Mandante])=$A349)*tblDados[Primeira_Ocorrencia]*tblDados[GM_M]))</f>
        <v>6</v>
      </c>
      <c r="T349" s="10" cm="1">
        <f t="array" ref="T349">IF($A349="","",SUMPRODUCT((TRIM(tblDados[Visitante])=$A349)*tblDados[Primeira_Ocorrencia]*tblDados[GM_V]))</f>
        <v>8</v>
      </c>
      <c r="U349" s="10">
        <f t="shared" si="124"/>
        <v>14</v>
      </c>
      <c r="V349" s="10">
        <f t="shared" si="113"/>
        <v>1.1666666666666667</v>
      </c>
      <c r="W349" s="10" cm="1">
        <f t="array" ref="W349">IF($A349="","",SUMPRODUCT((TRIM(tblDados[Mandante])=$A349)*tblDados[Primeira_Ocorrencia]*tblDados[GS_M]))</f>
        <v>15</v>
      </c>
      <c r="X349" s="10" cm="1">
        <f t="array" ref="X349">IF($A349="","",SUMPRODUCT((TRIM(tblDados[Visitante])=$A349)*tblDados[Primeira_Ocorrencia]*tblDados[GS_V]))</f>
        <v>10</v>
      </c>
      <c r="Y349" s="10">
        <f t="shared" si="125"/>
        <v>25</v>
      </c>
      <c r="Z349" s="10">
        <f t="shared" si="114"/>
        <v>2.0833333333333335</v>
      </c>
      <c r="AA349" s="10">
        <f t="shared" si="115"/>
        <v>1</v>
      </c>
      <c r="AB349" s="10">
        <f t="shared" si="116"/>
        <v>2.5</v>
      </c>
      <c r="AC349" s="10">
        <f t="shared" si="117"/>
        <v>1.3333333333333333</v>
      </c>
      <c r="AD349" s="10">
        <f t="shared" si="118"/>
        <v>1.6666666666666667</v>
      </c>
    </row>
    <row r="350" spans="1:30" x14ac:dyDescent="0.3">
      <c r="A350" s="7" t="str">
        <v>Preston Lions</v>
      </c>
      <c r="B350" s="12" t="str" cm="1">
        <f t="array" ref="B350">IF($A350="","",_xlfn.LET(_xlpm.p,IFERROR(INDEX(tblDados[País],MATCH($A350,TRIM(tblDados[Mandante]),0)),INDEX(tblDados[País],MATCH($A350,TRIM(tblDados[Visitante]),0))),_xlpm.l,IFERROR(INDEX(tblDados[Liga],MATCH($A350,TRIM(tblDados[Mandante]),0)),INDEX(tblDados[Liga],MATCH($A350,TRIM(tblDados[Visitante]),0))),_xlpm.p&amp;" - "&amp;_xlpm.l))</f>
        <v>AUS - NPL Victoria</v>
      </c>
      <c r="C350" s="10">
        <f t="shared" si="119"/>
        <v>2</v>
      </c>
      <c r="D350" s="10">
        <f t="shared" si="120"/>
        <v>1.5714285714285714</v>
      </c>
      <c r="E350" s="9" cm="1">
        <f t="array" ref="E350">IF($A350="","",SUMPRODUCT((TRIM(tblDados[Mandante])=$A350)*tblDados[Primeira_Ocorrencia]))</f>
        <v>5</v>
      </c>
      <c r="F350" s="9" cm="1">
        <f t="array" ref="F350">IF($A350="","",SUMPRODUCT((TRIM(tblDados[Visitante])=$A350)*tblDados[Primeira_Ocorrencia]))</f>
        <v>7</v>
      </c>
      <c r="G350" s="9" cm="1">
        <f t="array" ref="G350">IF($A350="","",SUMPRODUCT((TRIM(tblDados[Mandante])=$A350)*tblDados[Primeira_Ocorrencia])+SUMPRODUCT((TRIM(tblDados[Visitante])=$A350)*tblDados[Primeira_Ocorrencia]))</f>
        <v>12</v>
      </c>
      <c r="H350" s="10">
        <f t="shared" si="121"/>
        <v>1.1666666666666667</v>
      </c>
      <c r="I350" s="10" cm="1">
        <f t="array" ref="I350">IF($A350="","",_xlfn.LET(_xlpm.p,IFERROR(INDEX(tblDados[País],MATCH($A350,TRIM(tblDados[Mandante]),0)),INDEX(tblDados[País],MATCH($A350,TRIM(tblDados[Visitante]),0))),_xlpm.l,IFERROR(INDEX(tblDados[Liga],MATCH($A350,TRIM(tblDados[Mandante]),0)),INDEX(tblDados[Liga],MATCH($A350,TRIM(tblDados[Visitante]),0))),IFERROR(SUMIFS(Ligas!$D$2:$D$39,Ligas!$H$2:$H$39,_xlpm.p,Ligas!$I$2:$I$39,_xlpm.l),0)))</f>
        <v>2.89</v>
      </c>
      <c r="J350" s="11" cm="1">
        <f t="array" ref="J350">IF($A350="","",IFERROR((SUMPRODUCT((TRIM(tblDados[Mandante])=$A350)*tblDados[Primeira_Ocorrencia]*(tblDados[GM_M]=0))+SUMPRODUCT((TRIM(tblDados[Visitante])=$A350)*tblDados[Primeira_Ocorrencia]*(tblDados[GM_V]=0)))/G350,0))</f>
        <v>0.25</v>
      </c>
      <c r="K350" s="11" cm="1">
        <f t="array" ref="K350">IF($A350="","",IFERROR((SUMPRODUCT((TRIM(tblDados[Mandante])=$A350)*tblDados[Primeira_Ocorrencia]*((tblDados[GM_M]+tblDados[GS_M])&gt;0.5))+SUMPRODUCT((TRIM(tblDados[Visitante])=$A350)*tblDados[Primeira_Ocorrencia]*((tblDados[GM_V]+tblDados[GS_V])&gt;0.5)))/G350,0))</f>
        <v>0.91666666666666663</v>
      </c>
      <c r="L350" s="11" cm="1">
        <f t="array" ref="L350">IF($A350="","",IFERROR((SUMPRODUCT((TRIM(tblDados[Mandante])=$A350)*tblDados[Primeira_Ocorrencia]*((tblDados[GM_M]+tblDados[GS_M])&gt;1.5))+SUMPRODUCT((TRIM(tblDados[Visitante])=$A350)*tblDados[Primeira_Ocorrencia]*((tblDados[GM_V]+tblDados[GS_V])&gt;1.5)))/G350,0))</f>
        <v>0.33333333333333331</v>
      </c>
      <c r="M350" s="11" cm="1">
        <f t="array" ref="M350">IF($A350="","",IFERROR((SUMPRODUCT((TRIM(tblDados[Mandante])=$A350)*tblDados[Primeira_Ocorrencia]*((tblDados[GM_M]+tblDados[GS_M])&gt;2.5))+SUMPRODUCT((TRIM(tblDados[Visitante])=$A350)*tblDados[Primeira_Ocorrencia]*((tblDados[GM_V]+tblDados[GS_V])&gt;2.5)))/G350,0))</f>
        <v>0.25</v>
      </c>
      <c r="N350" s="11" cm="1">
        <f t="array" ref="N350">IF($A350="","",IFERROR((SUMPRODUCT((TRIM(tblDados[Mandante])=$A350)*tblDados[Primeira_Ocorrencia]*((tblDados[GM_M]+tblDados[GS_M])&gt;3.5))+SUMPRODUCT((TRIM(tblDados[Visitante])=$A350)*tblDados[Primeira_Ocorrencia]*((tblDados[GM_V]+tblDados[GS_V])&gt;3.5)))/G350,0))</f>
        <v>0.16666666666666666</v>
      </c>
      <c r="O350" s="11" cm="1">
        <f t="array" ref="O350">IF($A350="","",IFERROR((SUMPRODUCT((TRIM(tblDados[Mandante])=$A350)*tblDados[Primeira_Ocorrencia]*(tblDados[GM_M]&gt;0)*(tblDados[GS_M]&gt;0))+SUMPRODUCT((TRIM(tblDados[Visitante])=$A350)*tblDados[Primeira_Ocorrencia]*(tblDados[GM_V]&gt;0)*(tblDados[GS_V]&gt;0)))/G350,0))</f>
        <v>0.25</v>
      </c>
      <c r="P350" s="10" cm="1">
        <f t="array" ref="P350">IF($A350="","",IFERROR((SUMPRODUCT((TRIM(tblDados[Mandante])=$A350)*tblDados[Primeira_Ocorrencia]*tblDados[GM_M]^2)+SUMPRODUCT((TRIM(tblDados[Visitante])=$A350)*tblDados[Primeira_Ocorrencia]*tblDados[GM_V]^2))/G350-H350^2,0))</f>
        <v>0.80555555555555514</v>
      </c>
      <c r="Q350" s="10">
        <f t="shared" si="122"/>
        <v>0.89752746785575044</v>
      </c>
      <c r="R350" s="8" t="str">
        <f t="shared" si="123"/>
        <v>Poisson</v>
      </c>
      <c r="S350" s="10" cm="1">
        <f t="array" ref="S350">IF($A350="","",SUMPRODUCT((TRIM(tblDados[Mandante])=$A350)*tblDados[Primeira_Ocorrencia]*tblDados[GM_M]))</f>
        <v>6</v>
      </c>
      <c r="T350" s="10" cm="1">
        <f t="array" ref="T350">IF($A350="","",SUMPRODUCT((TRIM(tblDados[Visitante])=$A350)*tblDados[Primeira_Ocorrencia]*tblDados[GM_V]))</f>
        <v>8</v>
      </c>
      <c r="U350" s="10">
        <f t="shared" si="124"/>
        <v>14</v>
      </c>
      <c r="V350" s="10">
        <f t="shared" si="113"/>
        <v>1.1666666666666667</v>
      </c>
      <c r="W350" s="10" cm="1">
        <f t="array" ref="W350">IF($A350="","",SUMPRODUCT((TRIM(tblDados[Mandante])=$A350)*tblDados[Primeira_Ocorrencia]*tblDados[GS_M]))</f>
        <v>4</v>
      </c>
      <c r="X350" s="10" cm="1">
        <f t="array" ref="X350">IF($A350="","",SUMPRODUCT((TRIM(tblDados[Visitante])=$A350)*tblDados[Primeira_Ocorrencia]*tblDados[GS_V]))</f>
        <v>3</v>
      </c>
      <c r="Y350" s="10">
        <f t="shared" si="125"/>
        <v>7</v>
      </c>
      <c r="Z350" s="10">
        <f t="shared" si="114"/>
        <v>0.58333333333333337</v>
      </c>
      <c r="AA350" s="10">
        <f t="shared" si="115"/>
        <v>1.2</v>
      </c>
      <c r="AB350" s="10">
        <f t="shared" si="116"/>
        <v>0.8</v>
      </c>
      <c r="AC350" s="10">
        <f t="shared" si="117"/>
        <v>1.1428571428571428</v>
      </c>
      <c r="AD350" s="10">
        <f t="shared" si="118"/>
        <v>0.42857142857142855</v>
      </c>
    </row>
    <row r="351" spans="1:30" x14ac:dyDescent="0.3">
      <c r="A351" s="7" t="str">
        <v>Qviding FIF</v>
      </c>
      <c r="B351" s="12" t="str" cm="1">
        <f t="array" ref="B351">IF($A351="","",_xlfn.LET(_xlpm.p,IFERROR(INDEX(tblDados[País],MATCH($A351,TRIM(tblDados[Mandante]),0)),INDEX(tblDados[País],MATCH($A351,TRIM(tblDados[Visitante]),0))),_xlpm.l,IFERROR(INDEX(tblDados[Liga],MATCH($A351,TRIM(tblDados[Mandante]),0)),INDEX(tblDados[Liga],MATCH($A351,TRIM(tblDados[Visitante]),0))),_xlpm.p&amp;" - "&amp;_xlpm.l))</f>
        <v>SWE - 2ª D Västra Götaland</v>
      </c>
      <c r="C351" s="10">
        <f t="shared" si="119"/>
        <v>4</v>
      </c>
      <c r="D351" s="10">
        <f t="shared" si="120"/>
        <v>3.333333333333333</v>
      </c>
      <c r="E351" s="9" cm="1">
        <f t="array" ref="E351">IF($A351="","",SUMPRODUCT((TRIM(tblDados[Mandante])=$A351)*tblDados[Primeira_Ocorrencia]))</f>
        <v>6</v>
      </c>
      <c r="F351" s="9" cm="1">
        <f t="array" ref="F351">IF($A351="","",SUMPRODUCT((TRIM(tblDados[Visitante])=$A351)*tblDados[Primeira_Ocorrencia]))</f>
        <v>6</v>
      </c>
      <c r="G351" s="9" cm="1">
        <f t="array" ref="G351">IF($A351="","",SUMPRODUCT((TRIM(tblDados[Mandante])=$A351)*tblDados[Primeira_Ocorrencia])+SUMPRODUCT((TRIM(tblDados[Visitante])=$A351)*tblDados[Primeira_Ocorrencia]))</f>
        <v>12</v>
      </c>
      <c r="H351" s="10">
        <f t="shared" si="121"/>
        <v>1.9166666666666667</v>
      </c>
      <c r="I351" s="10" cm="1">
        <f t="array" ref="I351">IF($A351="","",_xlfn.LET(_xlpm.p,IFERROR(INDEX(tblDados[País],MATCH($A351,TRIM(tblDados[Mandante]),0)),INDEX(tblDados[País],MATCH($A351,TRIM(tblDados[Visitante]),0))),_xlpm.l,IFERROR(INDEX(tblDados[Liga],MATCH($A351,TRIM(tblDados[Mandante]),0)),INDEX(tblDados[Liga],MATCH($A351,TRIM(tblDados[Visitante]),0))),IFERROR(SUMIFS(Ligas!$D$2:$D$39,Ligas!$H$2:$H$39,_xlpm.p,Ligas!$I$2:$I$39,_xlpm.l),0)))</f>
        <v>2.5</v>
      </c>
      <c r="J351" s="11" cm="1">
        <f t="array" ref="J351">IF($A351="","",IFERROR((SUMPRODUCT((TRIM(tblDados[Mandante])=$A351)*tblDados[Primeira_Ocorrencia]*(tblDados[GM_M]=0))+SUMPRODUCT((TRIM(tblDados[Visitante])=$A351)*tblDados[Primeira_Ocorrencia]*(tblDados[GM_V]=0)))/G351,0))</f>
        <v>8.3333333333333329E-2</v>
      </c>
      <c r="K351" s="11" cm="1">
        <f t="array" ref="K351">IF($A351="","",IFERROR((SUMPRODUCT((TRIM(tblDados[Mandante])=$A351)*tblDados[Primeira_Ocorrencia]*((tblDados[GM_M]+tblDados[GS_M])&gt;0.5))+SUMPRODUCT((TRIM(tblDados[Visitante])=$A351)*tblDados[Primeira_Ocorrencia]*((tblDados[GM_V]+tblDados[GS_V])&gt;0.5)))/G351,0))</f>
        <v>1</v>
      </c>
      <c r="L351" s="11" cm="1">
        <f t="array" ref="L351">IF($A351="","",IFERROR((SUMPRODUCT((TRIM(tblDados[Mandante])=$A351)*tblDados[Primeira_Ocorrencia]*((tblDados[GM_M]+tblDados[GS_M])&gt;1.5))+SUMPRODUCT((TRIM(tblDados[Visitante])=$A351)*tblDados[Primeira_Ocorrencia]*((tblDados[GM_V]+tblDados[GS_V])&gt;1.5)))/G351,0))</f>
        <v>1</v>
      </c>
      <c r="M351" s="11" cm="1">
        <f t="array" ref="M351">IF($A351="","",IFERROR((SUMPRODUCT((TRIM(tblDados[Mandante])=$A351)*tblDados[Primeira_Ocorrencia]*((tblDados[GM_M]+tblDados[GS_M])&gt;2.5))+SUMPRODUCT((TRIM(tblDados[Visitante])=$A351)*tblDados[Primeira_Ocorrencia]*((tblDados[GM_V]+tblDados[GS_V])&gt;2.5)))/G351,0))</f>
        <v>0.91666666666666663</v>
      </c>
      <c r="N351" s="11" cm="1">
        <f t="array" ref="N351">IF($A351="","",IFERROR((SUMPRODUCT((TRIM(tblDados[Mandante])=$A351)*tblDados[Primeira_Ocorrencia]*((tblDados[GM_M]+tblDados[GS_M])&gt;3.5))+SUMPRODUCT((TRIM(tblDados[Visitante])=$A351)*tblDados[Primeira_Ocorrencia]*((tblDados[GM_V]+tblDados[GS_V])&gt;3.5)))/G351,0))</f>
        <v>0.58333333333333337</v>
      </c>
      <c r="O351" s="11" cm="1">
        <f t="array" ref="O351">IF($A351="","",IFERROR((SUMPRODUCT((TRIM(tblDados[Mandante])=$A351)*tblDados[Primeira_Ocorrencia]*(tblDados[GM_M]&gt;0)*(tblDados[GS_M]&gt;0))+SUMPRODUCT((TRIM(tblDados[Visitante])=$A351)*tblDados[Primeira_Ocorrencia]*(tblDados[GM_V]&gt;0)*(tblDados[GS_V]&gt;0)))/G351,0))</f>
        <v>0.83333333333333337</v>
      </c>
      <c r="P351" s="10" cm="1">
        <f t="array" ref="P351">IF($A351="","",IFERROR((SUMPRODUCT((TRIM(tblDados[Mandante])=$A351)*tblDados[Primeira_Ocorrencia]*tblDados[GM_M]^2)+SUMPRODUCT((TRIM(tblDados[Visitante])=$A351)*tblDados[Primeira_Ocorrencia]*tblDados[GM_V]^2))/G351-H351^2,0))</f>
        <v>0.90972222222222143</v>
      </c>
      <c r="Q351" s="10">
        <f t="shared" si="122"/>
        <v>0.95379359518829931</v>
      </c>
      <c r="R351" s="8" t="str">
        <f t="shared" si="123"/>
        <v>Poisson</v>
      </c>
      <c r="S351" s="10" cm="1">
        <f t="array" ref="S351">IF($A351="","",SUMPRODUCT((TRIM(tblDados[Mandante])=$A351)*tblDados[Primeira_Ocorrencia]*tblDados[GM_M]))</f>
        <v>14</v>
      </c>
      <c r="T351" s="10" cm="1">
        <f t="array" ref="T351">IF($A351="","",SUMPRODUCT((TRIM(tblDados[Visitante])=$A351)*tblDados[Primeira_Ocorrencia]*tblDados[GM_V]))</f>
        <v>9</v>
      </c>
      <c r="U351" s="10">
        <f t="shared" si="124"/>
        <v>23</v>
      </c>
      <c r="V351" s="10">
        <f t="shared" si="113"/>
        <v>1.9166666666666667</v>
      </c>
      <c r="W351" s="10" cm="1">
        <f t="array" ref="W351">IF($A351="","",SUMPRODUCT((TRIM(tblDados[Mandante])=$A351)*tblDados[Primeira_Ocorrencia]*tblDados[GS_M]))</f>
        <v>10</v>
      </c>
      <c r="X351" s="10" cm="1">
        <f t="array" ref="X351">IF($A351="","",SUMPRODUCT((TRIM(tblDados[Visitante])=$A351)*tblDados[Primeira_Ocorrencia]*tblDados[GS_V]))</f>
        <v>11</v>
      </c>
      <c r="Y351" s="10">
        <f t="shared" si="125"/>
        <v>21</v>
      </c>
      <c r="Z351" s="10">
        <f t="shared" si="114"/>
        <v>1.75</v>
      </c>
      <c r="AA351" s="10">
        <f t="shared" si="115"/>
        <v>2.3333333333333335</v>
      </c>
      <c r="AB351" s="10">
        <f t="shared" si="116"/>
        <v>1.6666666666666667</v>
      </c>
      <c r="AC351" s="10">
        <f t="shared" si="117"/>
        <v>1.5</v>
      </c>
      <c r="AD351" s="10">
        <f t="shared" si="118"/>
        <v>1.8333333333333333</v>
      </c>
    </row>
    <row r="352" spans="1:30" x14ac:dyDescent="0.3">
      <c r="A352" s="7" t="str">
        <v>Ranheim Fotball</v>
      </c>
      <c r="B352" s="12" t="str" cm="1">
        <f t="array" ref="B352">IF($A352="","",_xlfn.LET(_xlpm.p,IFERROR(INDEX(tblDados[País],MATCH($A352,TRIM(tblDados[Mandante]),0)),INDEX(tblDados[País],MATCH($A352,TRIM(tblDados[Visitante]),0))),_xlpm.l,IFERROR(INDEX(tblDados[Liga],MATCH($A352,TRIM(tblDados[Mandante]),0)),INDEX(tblDados[Liga],MATCH($A352,TRIM(tblDados[Visitante]),0))),_xlpm.p&amp;" - "&amp;_xlpm.l))</f>
        <v>NOR - OBOS-ligaen</v>
      </c>
      <c r="C352" s="10">
        <f t="shared" si="119"/>
        <v>5.3333333333333339</v>
      </c>
      <c r="D352" s="10">
        <f t="shared" si="120"/>
        <v>5.1666666666666661</v>
      </c>
      <c r="E352" s="9" cm="1">
        <f t="array" ref="E352">IF($A352="","",SUMPRODUCT((TRIM(tblDados[Mandante])=$A352)*tblDados[Primeira_Ocorrencia]))</f>
        <v>6</v>
      </c>
      <c r="F352" s="9" cm="1">
        <f t="array" ref="F352">IF($A352="","",SUMPRODUCT((TRIM(tblDados[Visitante])=$A352)*tblDados[Primeira_Ocorrencia]))</f>
        <v>6</v>
      </c>
      <c r="G352" s="9" cm="1">
        <f t="array" ref="G352">IF($A352="","",SUMPRODUCT((TRIM(tblDados[Mandante])=$A352)*tblDados[Primeira_Ocorrencia])+SUMPRODUCT((TRIM(tblDados[Visitante])=$A352)*tblDados[Primeira_Ocorrencia]))</f>
        <v>12</v>
      </c>
      <c r="H352" s="10">
        <f t="shared" si="121"/>
        <v>2.4166666666666665</v>
      </c>
      <c r="I352" s="10" cm="1">
        <f t="array" ref="I352">IF($A352="","",_xlfn.LET(_xlpm.p,IFERROR(INDEX(tblDados[País],MATCH($A352,TRIM(tblDados[Mandante]),0)),INDEX(tblDados[País],MATCH($A352,TRIM(tblDados[Visitante]),0))),_xlpm.l,IFERROR(INDEX(tblDados[Liga],MATCH($A352,TRIM(tblDados[Mandante]),0)),INDEX(tblDados[Liga],MATCH($A352,TRIM(tblDados[Visitante]),0))),IFERROR(SUMIFS(Ligas!$D$2:$D$39,Ligas!$H$2:$H$39,_xlpm.p,Ligas!$I$2:$I$39,_xlpm.l),0)))</f>
        <v>2.5</v>
      </c>
      <c r="J352" s="11" cm="1">
        <f t="array" ref="J352">IF($A352="","",IFERROR((SUMPRODUCT((TRIM(tblDados[Mandante])=$A352)*tblDados[Primeira_Ocorrencia]*(tblDados[GM_M]=0))+SUMPRODUCT((TRIM(tblDados[Visitante])=$A352)*tblDados[Primeira_Ocorrencia]*(tblDados[GM_V]=0)))/G352,0))</f>
        <v>8.3333333333333329E-2</v>
      </c>
      <c r="K352" s="11" cm="1">
        <f t="array" ref="K352">IF($A352="","",IFERROR((SUMPRODUCT((TRIM(tblDados[Mandante])=$A352)*tblDados[Primeira_Ocorrencia]*((tblDados[GM_M]+tblDados[GS_M])&gt;0.5))+SUMPRODUCT((TRIM(tblDados[Visitante])=$A352)*tblDados[Primeira_Ocorrencia]*((tblDados[GM_V]+tblDados[GS_V])&gt;0.5)))/G352,0))</f>
        <v>1</v>
      </c>
      <c r="L352" s="11" cm="1">
        <f t="array" ref="L352">IF($A352="","",IFERROR((SUMPRODUCT((TRIM(tblDados[Mandante])=$A352)*tblDados[Primeira_Ocorrencia]*((tblDados[GM_M]+tblDados[GS_M])&gt;1.5))+SUMPRODUCT((TRIM(tblDados[Visitante])=$A352)*tblDados[Primeira_Ocorrencia]*((tblDados[GM_V]+tblDados[GS_V])&gt;1.5)))/G352,0))</f>
        <v>1</v>
      </c>
      <c r="M352" s="11" cm="1">
        <f t="array" ref="M352">IF($A352="","",IFERROR((SUMPRODUCT((TRIM(tblDados[Mandante])=$A352)*tblDados[Primeira_Ocorrencia]*((tblDados[GM_M]+tblDados[GS_M])&gt;2.5))+SUMPRODUCT((TRIM(tblDados[Visitante])=$A352)*tblDados[Primeira_Ocorrencia]*((tblDados[GM_V]+tblDados[GS_V])&gt;2.5)))/G352,0))</f>
        <v>0.91666666666666663</v>
      </c>
      <c r="N352" s="11" cm="1">
        <f t="array" ref="N352">IF($A352="","",IFERROR((SUMPRODUCT((TRIM(tblDados[Mandante])=$A352)*tblDados[Primeira_Ocorrencia]*((tblDados[GM_M]+tblDados[GS_M])&gt;3.5))+SUMPRODUCT((TRIM(tblDados[Visitante])=$A352)*tblDados[Primeira_Ocorrencia]*((tblDados[GM_V]+tblDados[GS_V])&gt;3.5)))/G352,0))</f>
        <v>0.83333333333333337</v>
      </c>
      <c r="O352" s="11" cm="1">
        <f t="array" ref="O352">IF($A352="","",IFERROR((SUMPRODUCT((TRIM(tblDados[Mandante])=$A352)*tblDados[Primeira_Ocorrencia]*(tblDados[GM_M]&gt;0)*(tblDados[GS_M]&gt;0))+SUMPRODUCT((TRIM(tblDados[Visitante])=$A352)*tblDados[Primeira_Ocorrencia]*(tblDados[GM_V]&gt;0)*(tblDados[GS_V]&gt;0)))/G352,0))</f>
        <v>0.91666666666666663</v>
      </c>
      <c r="P352" s="10" cm="1">
        <f t="array" ref="P352">IF($A352="","",IFERROR((SUMPRODUCT((TRIM(tblDados[Mandante])=$A352)*tblDados[Primeira_Ocorrencia]*tblDados[GM_M]^2)+SUMPRODUCT((TRIM(tblDados[Visitante])=$A352)*tblDados[Primeira_Ocorrencia]*tblDados[GM_V]^2))/G352-H352^2,0))</f>
        <v>2.0763888888888902</v>
      </c>
      <c r="Q352" s="10">
        <f t="shared" si="122"/>
        <v>1.4409680388158823</v>
      </c>
      <c r="R352" s="8" t="str">
        <f t="shared" si="123"/>
        <v>Poisson</v>
      </c>
      <c r="S352" s="10" cm="1">
        <f t="array" ref="S352">IF($A352="","",SUMPRODUCT((TRIM(tblDados[Mandante])=$A352)*tblDados[Primeira_Ocorrencia]*tblDados[GM_M]))</f>
        <v>17</v>
      </c>
      <c r="T352" s="10" cm="1">
        <f t="array" ref="T352">IF($A352="","",SUMPRODUCT((TRIM(tblDados[Visitante])=$A352)*tblDados[Primeira_Ocorrencia]*tblDados[GM_V]))</f>
        <v>12</v>
      </c>
      <c r="U352" s="10">
        <f t="shared" si="124"/>
        <v>29</v>
      </c>
      <c r="V352" s="10">
        <f t="shared" si="113"/>
        <v>2.4166666666666665</v>
      </c>
      <c r="W352" s="10" cm="1">
        <f t="array" ref="W352">IF($A352="","",SUMPRODUCT((TRIM(tblDados[Mandante])=$A352)*tblDados[Primeira_Ocorrencia]*tblDados[GS_M]))</f>
        <v>15</v>
      </c>
      <c r="X352" s="10" cm="1">
        <f t="array" ref="X352">IF($A352="","",SUMPRODUCT((TRIM(tblDados[Visitante])=$A352)*tblDados[Primeira_Ocorrencia]*tblDados[GS_V]))</f>
        <v>19</v>
      </c>
      <c r="Y352" s="10">
        <f t="shared" si="125"/>
        <v>34</v>
      </c>
      <c r="Z352" s="10">
        <f t="shared" si="114"/>
        <v>2.8333333333333335</v>
      </c>
      <c r="AA352" s="10">
        <f t="shared" si="115"/>
        <v>2.8333333333333335</v>
      </c>
      <c r="AB352" s="10">
        <f t="shared" si="116"/>
        <v>2.5</v>
      </c>
      <c r="AC352" s="10">
        <f t="shared" si="117"/>
        <v>2</v>
      </c>
      <c r="AD352" s="10">
        <f t="shared" si="118"/>
        <v>3.1666666666666665</v>
      </c>
    </row>
    <row r="353" spans="1:30" x14ac:dyDescent="0.3">
      <c r="A353" s="7" t="str">
        <v>Räppe GoIF</v>
      </c>
      <c r="B353" s="12" t="str" cm="1">
        <f t="array" ref="B353">IF($A353="","",_xlfn.LET(_xlpm.p,IFERROR(INDEX(tblDados[País],MATCH($A353,TRIM(tblDados[Mandante]),0)),INDEX(tblDados[País],MATCH($A353,TRIM(tblDados[Visitante]),0))),_xlpm.l,IFERROR(INDEX(tblDados[Liga],MATCH($A353,TRIM(tblDados[Mandante]),0)),INDEX(tblDados[Liga],MATCH($A353,TRIM(tblDados[Visitante]),0))),_xlpm.p&amp;" - "&amp;_xlpm.l))</f>
        <v>SWE - 2ª D Södra Götaland</v>
      </c>
      <c r="C353" s="10">
        <f t="shared" si="119"/>
        <v>2.6666666666666665</v>
      </c>
      <c r="D353" s="10">
        <f t="shared" si="120"/>
        <v>3.333333333333333</v>
      </c>
      <c r="E353" s="9" cm="1">
        <f t="array" ref="E353">IF($A353="","",SUMPRODUCT((TRIM(tblDados[Mandante])=$A353)*tblDados[Primeira_Ocorrencia]))</f>
        <v>6</v>
      </c>
      <c r="F353" s="9" cm="1">
        <f t="array" ref="F353">IF($A353="","",SUMPRODUCT((TRIM(tblDados[Visitante])=$A353)*tblDados[Primeira_Ocorrencia]))</f>
        <v>6</v>
      </c>
      <c r="G353" s="9" cm="1">
        <f t="array" ref="G353">IF($A353="","",SUMPRODUCT((TRIM(tblDados[Mandante])=$A353)*tblDados[Primeira_Ocorrencia])+SUMPRODUCT((TRIM(tblDados[Visitante])=$A353)*tblDados[Primeira_Ocorrencia]))</f>
        <v>12</v>
      </c>
      <c r="H353" s="10">
        <f t="shared" si="121"/>
        <v>0.91666666666666663</v>
      </c>
      <c r="I353" s="10" cm="1">
        <f t="array" ref="I353">IF($A353="","",_xlfn.LET(_xlpm.p,IFERROR(INDEX(tblDados[País],MATCH($A353,TRIM(tblDados[Mandante]),0)),INDEX(tblDados[País],MATCH($A353,TRIM(tblDados[Visitante]),0))),_xlpm.l,IFERROR(INDEX(tblDados[Liga],MATCH($A353,TRIM(tblDados[Mandante]),0)),INDEX(tblDados[Liga],MATCH($A353,TRIM(tblDados[Visitante]),0))),IFERROR(SUMIFS(Ligas!$D$2:$D$39,Ligas!$H$2:$H$39,_xlpm.p,Ligas!$I$2:$I$39,_xlpm.l),0)))</f>
        <v>2.5</v>
      </c>
      <c r="J353" s="11" cm="1">
        <f t="array" ref="J353">IF($A353="","",IFERROR((SUMPRODUCT((TRIM(tblDados[Mandante])=$A353)*tblDados[Primeira_Ocorrencia]*(tblDados[GM_M]=0))+SUMPRODUCT((TRIM(tblDados[Visitante])=$A353)*tblDados[Primeira_Ocorrencia]*(tblDados[GM_V]=0)))/G353,0))</f>
        <v>0.25</v>
      </c>
      <c r="K353" s="11" cm="1">
        <f t="array" ref="K353">IF($A353="","",IFERROR((SUMPRODUCT((TRIM(tblDados[Mandante])=$A353)*tblDados[Primeira_Ocorrencia]*((tblDados[GM_M]+tblDados[GS_M])&gt;0.5))+SUMPRODUCT((TRIM(tblDados[Visitante])=$A353)*tblDados[Primeira_Ocorrencia]*((tblDados[GM_V]+tblDados[GS_V])&gt;0.5)))/G353,0))</f>
        <v>1</v>
      </c>
      <c r="L353" s="11" cm="1">
        <f t="array" ref="L353">IF($A353="","",IFERROR((SUMPRODUCT((TRIM(tblDados[Mandante])=$A353)*tblDados[Primeira_Ocorrencia]*((tblDados[GM_M]+tblDados[GS_M])&gt;1.5))+SUMPRODUCT((TRIM(tblDados[Visitante])=$A353)*tblDados[Primeira_Ocorrencia]*((tblDados[GM_V]+tblDados[GS_V])&gt;1.5)))/G353,0))</f>
        <v>0.83333333333333337</v>
      </c>
      <c r="M353" s="11" cm="1">
        <f t="array" ref="M353">IF($A353="","",IFERROR((SUMPRODUCT((TRIM(tblDados[Mandante])=$A353)*tblDados[Primeira_Ocorrencia]*((tblDados[GM_M]+tblDados[GS_M])&gt;2.5))+SUMPRODUCT((TRIM(tblDados[Visitante])=$A353)*tblDados[Primeira_Ocorrencia]*((tblDados[GM_V]+tblDados[GS_V])&gt;2.5)))/G353,0))</f>
        <v>0.66666666666666663</v>
      </c>
      <c r="N353" s="11" cm="1">
        <f t="array" ref="N353">IF($A353="","",IFERROR((SUMPRODUCT((TRIM(tblDados[Mandante])=$A353)*tblDados[Primeira_Ocorrencia]*((tblDados[GM_M]+tblDados[GS_M])&gt;3.5))+SUMPRODUCT((TRIM(tblDados[Visitante])=$A353)*tblDados[Primeira_Ocorrencia]*((tblDados[GM_V]+tblDados[GS_V])&gt;3.5)))/G353,0))</f>
        <v>0.25</v>
      </c>
      <c r="O353" s="11" cm="1">
        <f t="array" ref="O353">IF($A353="","",IFERROR((SUMPRODUCT((TRIM(tblDados[Mandante])=$A353)*tblDados[Primeira_Ocorrencia]*(tblDados[GM_M]&gt;0)*(tblDados[GS_M]&gt;0))+SUMPRODUCT((TRIM(tblDados[Visitante])=$A353)*tblDados[Primeira_Ocorrencia]*(tblDados[GM_V]&gt;0)*(tblDados[GS_V]&gt;0)))/G353,0))</f>
        <v>0.58333333333333337</v>
      </c>
      <c r="P353" s="10" cm="1">
        <f t="array" ref="P353">IF($A353="","",IFERROR((SUMPRODUCT((TRIM(tblDados[Mandante])=$A353)*tblDados[Primeira_Ocorrencia]*tblDados[GM_M]^2)+SUMPRODUCT((TRIM(tblDados[Visitante])=$A353)*tblDados[Primeira_Ocorrencia]*tblDados[GM_V]^2))/G353-H353^2,0))</f>
        <v>0.40972222222222232</v>
      </c>
      <c r="Q353" s="10">
        <f t="shared" si="122"/>
        <v>0.64009547898905073</v>
      </c>
      <c r="R353" s="8" t="str">
        <f t="shared" si="123"/>
        <v>Poisson</v>
      </c>
      <c r="S353" s="10" cm="1">
        <f t="array" ref="S353">IF($A353="","",SUMPRODUCT((TRIM(tblDados[Mandante])=$A353)*tblDados[Primeira_Ocorrencia]*tblDados[GM_M]))</f>
        <v>4</v>
      </c>
      <c r="T353" s="10" cm="1">
        <f t="array" ref="T353">IF($A353="","",SUMPRODUCT((TRIM(tblDados[Visitante])=$A353)*tblDados[Primeira_Ocorrencia]*tblDados[GM_V]))</f>
        <v>7</v>
      </c>
      <c r="U353" s="10">
        <f t="shared" si="124"/>
        <v>11</v>
      </c>
      <c r="V353" s="10">
        <f t="shared" si="113"/>
        <v>0.91666666666666663</v>
      </c>
      <c r="W353" s="10" cm="1">
        <f t="array" ref="W353">IF($A353="","",SUMPRODUCT((TRIM(tblDados[Mandante])=$A353)*tblDados[Primeira_Ocorrencia]*tblDados[GS_M]))</f>
        <v>12</v>
      </c>
      <c r="X353" s="10" cm="1">
        <f t="array" ref="X353">IF($A353="","",SUMPRODUCT((TRIM(tblDados[Visitante])=$A353)*tblDados[Primeira_Ocorrencia]*tblDados[GS_V]))</f>
        <v>13</v>
      </c>
      <c r="Y353" s="10">
        <f t="shared" si="125"/>
        <v>25</v>
      </c>
      <c r="Z353" s="10">
        <f t="shared" si="114"/>
        <v>2.0833333333333335</v>
      </c>
      <c r="AA353" s="10">
        <f t="shared" si="115"/>
        <v>0.66666666666666663</v>
      </c>
      <c r="AB353" s="10">
        <f t="shared" si="116"/>
        <v>2</v>
      </c>
      <c r="AC353" s="10">
        <f t="shared" si="117"/>
        <v>1.1666666666666667</v>
      </c>
      <c r="AD353" s="10">
        <f t="shared" si="118"/>
        <v>2.1666666666666665</v>
      </c>
    </row>
    <row r="354" spans="1:30" x14ac:dyDescent="0.3">
      <c r="A354" s="7" t="str">
        <v>Raufoss Fotball</v>
      </c>
      <c r="B354" s="12" t="str" cm="1">
        <f t="array" ref="B354">IF($A354="","",_xlfn.LET(_xlpm.p,IFERROR(INDEX(tblDados[País],MATCH($A354,TRIM(tblDados[Mandante]),0)),INDEX(tblDados[País],MATCH($A354,TRIM(tblDados[Visitante]),0))),_xlpm.l,IFERROR(INDEX(tblDados[Liga],MATCH($A354,TRIM(tblDados[Mandante]),0)),INDEX(tblDados[Liga],MATCH($A354,TRIM(tblDados[Visitante]),0))),_xlpm.p&amp;" - "&amp;_xlpm.l))</f>
        <v>NOR - OBOS-ligaen</v>
      </c>
      <c r="C354" s="10">
        <f t="shared" si="119"/>
        <v>3</v>
      </c>
      <c r="D354" s="10">
        <f t="shared" si="120"/>
        <v>4.666666666666667</v>
      </c>
      <c r="E354" s="9" cm="1">
        <f t="array" ref="E354">IF($A354="","",SUMPRODUCT((TRIM(tblDados[Mandante])=$A354)*tblDados[Primeira_Ocorrencia]))</f>
        <v>6</v>
      </c>
      <c r="F354" s="9" cm="1">
        <f t="array" ref="F354">IF($A354="","",SUMPRODUCT((TRIM(tblDados[Visitante])=$A354)*tblDados[Primeira_Ocorrencia]))</f>
        <v>6</v>
      </c>
      <c r="G354" s="9" cm="1">
        <f t="array" ref="G354">IF($A354="","",SUMPRODUCT((TRIM(tblDados[Mandante])=$A354)*tblDados[Primeira_Ocorrencia])+SUMPRODUCT((TRIM(tblDados[Visitante])=$A354)*tblDados[Primeira_Ocorrencia]))</f>
        <v>12</v>
      </c>
      <c r="H354" s="10">
        <f t="shared" si="121"/>
        <v>1.4166666666666667</v>
      </c>
      <c r="I354" s="10" cm="1">
        <f t="array" ref="I354">IF($A354="","",_xlfn.LET(_xlpm.p,IFERROR(INDEX(tblDados[País],MATCH($A354,TRIM(tblDados[Mandante]),0)),INDEX(tblDados[País],MATCH($A354,TRIM(tblDados[Visitante]),0))),_xlpm.l,IFERROR(INDEX(tblDados[Liga],MATCH($A354,TRIM(tblDados[Mandante]),0)),INDEX(tblDados[Liga],MATCH($A354,TRIM(tblDados[Visitante]),0))),IFERROR(SUMIFS(Ligas!$D$2:$D$39,Ligas!$H$2:$H$39,_xlpm.p,Ligas!$I$2:$I$39,_xlpm.l),0)))</f>
        <v>2.5</v>
      </c>
      <c r="J354" s="11" cm="1">
        <f t="array" ref="J354">IF($A354="","",IFERROR((SUMPRODUCT((TRIM(tblDados[Mandante])=$A354)*tblDados[Primeira_Ocorrencia]*(tblDados[GM_M]=0))+SUMPRODUCT((TRIM(tblDados[Visitante])=$A354)*tblDados[Primeira_Ocorrencia]*(tblDados[GM_V]=0)))/G354,0))</f>
        <v>0.33333333333333331</v>
      </c>
      <c r="K354" s="11" cm="1">
        <f t="array" ref="K354">IF($A354="","",IFERROR((SUMPRODUCT((TRIM(tblDados[Mandante])=$A354)*tblDados[Primeira_Ocorrencia]*((tblDados[GM_M]+tblDados[GS_M])&gt;0.5))+SUMPRODUCT((TRIM(tblDados[Visitante])=$A354)*tblDados[Primeira_Ocorrencia]*((tblDados[GM_V]+tblDados[GS_V])&gt;0.5)))/G354,0))</f>
        <v>1</v>
      </c>
      <c r="L354" s="11" cm="1">
        <f t="array" ref="L354">IF($A354="","",IFERROR((SUMPRODUCT((TRIM(tblDados[Mandante])=$A354)*tblDados[Primeira_Ocorrencia]*((tblDados[GM_M]+tblDados[GS_M])&gt;1.5))+SUMPRODUCT((TRIM(tblDados[Visitante])=$A354)*tblDados[Primeira_Ocorrencia]*((tblDados[GM_V]+tblDados[GS_V])&gt;1.5)))/G354,0))</f>
        <v>0.83333333333333337</v>
      </c>
      <c r="M354" s="11" cm="1">
        <f t="array" ref="M354">IF($A354="","",IFERROR((SUMPRODUCT((TRIM(tblDados[Mandante])=$A354)*tblDados[Primeira_Ocorrencia]*((tblDados[GM_M]+tblDados[GS_M])&gt;2.5))+SUMPRODUCT((TRIM(tblDados[Visitante])=$A354)*tblDados[Primeira_Ocorrencia]*((tblDados[GM_V]+tblDados[GS_V])&gt;2.5)))/G354,0))</f>
        <v>0.75</v>
      </c>
      <c r="N354" s="11" cm="1">
        <f t="array" ref="N354">IF($A354="","",IFERROR((SUMPRODUCT((TRIM(tblDados[Mandante])=$A354)*tblDados[Primeira_Ocorrencia]*((tblDados[GM_M]+tblDados[GS_M])&gt;3.5))+SUMPRODUCT((TRIM(tblDados[Visitante])=$A354)*tblDados[Primeira_Ocorrencia]*((tblDados[GM_V]+tblDados[GS_V])&gt;3.5)))/G354,0))</f>
        <v>0.33333333333333331</v>
      </c>
      <c r="O354" s="11" cm="1">
        <f t="array" ref="O354">IF($A354="","",IFERROR((SUMPRODUCT((TRIM(tblDados[Mandante])=$A354)*tblDados[Primeira_Ocorrencia]*(tblDados[GM_M]&gt;0)*(tblDados[GS_M]&gt;0))+SUMPRODUCT((TRIM(tblDados[Visitante])=$A354)*tblDados[Primeira_Ocorrencia]*(tblDados[GM_V]&gt;0)*(tblDados[GS_V]&gt;0)))/G354,0))</f>
        <v>0.5</v>
      </c>
      <c r="P354" s="10" cm="1">
        <f t="array" ref="P354">IF($A354="","",IFERROR((SUMPRODUCT((TRIM(tblDados[Mandante])=$A354)*tblDados[Primeira_Ocorrencia]*tblDados[GM_M]^2)+SUMPRODUCT((TRIM(tblDados[Visitante])=$A354)*tblDados[Primeira_Ocorrencia]*tblDados[GM_V]^2))/G354-H354^2,0))</f>
        <v>1.4097222222222219</v>
      </c>
      <c r="Q354" s="10">
        <f t="shared" si="122"/>
        <v>1.1873172373979171</v>
      </c>
      <c r="R354" s="8" t="str">
        <f t="shared" si="123"/>
        <v>Poisson</v>
      </c>
      <c r="S354" s="10" cm="1">
        <f t="array" ref="S354">IF($A354="","",SUMPRODUCT((TRIM(tblDados[Mandante])=$A354)*tblDados[Primeira_Ocorrencia]*tblDados[GM_M]))</f>
        <v>10</v>
      </c>
      <c r="T354" s="10" cm="1">
        <f t="array" ref="T354">IF($A354="","",SUMPRODUCT((TRIM(tblDados[Visitante])=$A354)*tblDados[Primeira_Ocorrencia]*tblDados[GM_V]))</f>
        <v>7</v>
      </c>
      <c r="U354" s="10">
        <f t="shared" si="124"/>
        <v>17</v>
      </c>
      <c r="V354" s="10">
        <f t="shared" si="113"/>
        <v>1.4166666666666667</v>
      </c>
      <c r="W354" s="10" cm="1">
        <f t="array" ref="W354">IF($A354="","",SUMPRODUCT((TRIM(tblDados[Mandante])=$A354)*tblDados[Primeira_Ocorrencia]*tblDados[GS_M]))</f>
        <v>8</v>
      </c>
      <c r="X354" s="10" cm="1">
        <f t="array" ref="X354">IF($A354="","",SUMPRODUCT((TRIM(tblDados[Visitante])=$A354)*tblDados[Primeira_Ocorrencia]*tblDados[GS_V]))</f>
        <v>21</v>
      </c>
      <c r="Y354" s="10">
        <f t="shared" si="125"/>
        <v>29</v>
      </c>
      <c r="Z354" s="10">
        <f t="shared" si="114"/>
        <v>2.4166666666666665</v>
      </c>
      <c r="AA354" s="10">
        <f t="shared" si="115"/>
        <v>1.6666666666666667</v>
      </c>
      <c r="AB354" s="10">
        <f t="shared" si="116"/>
        <v>1.3333333333333333</v>
      </c>
      <c r="AC354" s="10">
        <f t="shared" si="117"/>
        <v>1.1666666666666667</v>
      </c>
      <c r="AD354" s="10">
        <f t="shared" si="118"/>
        <v>3.5</v>
      </c>
    </row>
    <row r="355" spans="1:30" x14ac:dyDescent="0.3">
      <c r="A355" s="7" t="str">
        <v>Real Potosí</v>
      </c>
      <c r="B355" s="12" t="str" cm="1">
        <f t="array" ref="B355">IF($A355="","",_xlfn.LET(_xlpm.p,IFERROR(INDEX(tblDados[País],MATCH($A355,TRIM(tblDados[Mandante]),0)),INDEX(tblDados[País],MATCH($A355,TRIM(tblDados[Visitante]),0))),_xlpm.l,IFERROR(INDEX(tblDados[Liga],MATCH($A355,TRIM(tblDados[Mandante]),0)),INDEX(tblDados[Liga],MATCH($A355,TRIM(tblDados[Visitante]),0))),_xlpm.p&amp;" - "&amp;_xlpm.l))</f>
        <v>BOL - Div. Profesional</v>
      </c>
      <c r="C355" s="10">
        <f t="shared" si="119"/>
        <v>2.4285714285714288</v>
      </c>
      <c r="D355" s="10">
        <f t="shared" si="120"/>
        <v>2</v>
      </c>
      <c r="E355" s="9" cm="1">
        <f t="array" ref="E355">IF($A355="","",SUMPRODUCT((TRIM(tblDados[Mandante])=$A355)*tblDados[Primeira_Ocorrencia]))</f>
        <v>7</v>
      </c>
      <c r="F355" s="9" cm="1">
        <f t="array" ref="F355">IF($A355="","",SUMPRODUCT((TRIM(tblDados[Visitante])=$A355)*tblDados[Primeira_Ocorrencia]))</f>
        <v>5</v>
      </c>
      <c r="G355" s="9" cm="1">
        <f t="array" ref="G355">IF($A355="","",SUMPRODUCT((TRIM(tblDados[Mandante])=$A355)*tblDados[Primeira_Ocorrencia])+SUMPRODUCT((TRIM(tblDados[Visitante])=$A355)*tblDados[Primeira_Ocorrencia]))</f>
        <v>12</v>
      </c>
      <c r="H355" s="10">
        <f t="shared" si="121"/>
        <v>1.4166666666666667</v>
      </c>
      <c r="I355" s="10" cm="1">
        <f t="array" ref="I355">IF($A355="","",_xlfn.LET(_xlpm.p,IFERROR(INDEX(tblDados[País],MATCH($A355,TRIM(tblDados[Mandante]),0)),INDEX(tblDados[País],MATCH($A355,TRIM(tblDados[Visitante]),0))),_xlpm.l,IFERROR(INDEX(tblDados[Liga],MATCH($A355,TRIM(tblDados[Mandante]),0)),INDEX(tblDados[Liga],MATCH($A355,TRIM(tblDados[Visitante]),0))),IFERROR(SUMIFS(Ligas!$D$2:$D$39,Ligas!$H$2:$H$39,_xlpm.p,Ligas!$I$2:$I$39,_xlpm.l),0)))</f>
        <v>3.62</v>
      </c>
      <c r="J355" s="11" cm="1">
        <f t="array" ref="J355">IF($A355="","",IFERROR((SUMPRODUCT((TRIM(tblDados[Mandante])=$A355)*tblDados[Primeira_Ocorrencia]*(tblDados[GM_M]=0))+SUMPRODUCT((TRIM(tblDados[Visitante])=$A355)*tblDados[Primeira_Ocorrencia]*(tblDados[GM_V]=0)))/G355,0))</f>
        <v>0.33333333333333331</v>
      </c>
      <c r="K355" s="11" cm="1">
        <f t="array" ref="K355">IF($A355="","",IFERROR((SUMPRODUCT((TRIM(tblDados[Mandante])=$A355)*tblDados[Primeira_Ocorrencia]*((tblDados[GM_M]+tblDados[GS_M])&gt;0.5))+SUMPRODUCT((TRIM(tblDados[Visitante])=$A355)*tblDados[Primeira_Ocorrencia]*((tblDados[GM_V]+tblDados[GS_V])&gt;0.5)))/G355,0))</f>
        <v>0.75</v>
      </c>
      <c r="L355" s="11" cm="1">
        <f t="array" ref="L355">IF($A355="","",IFERROR((SUMPRODUCT((TRIM(tblDados[Mandante])=$A355)*tblDados[Primeira_Ocorrencia]*((tblDados[GM_M]+tblDados[GS_M])&gt;1.5))+SUMPRODUCT((TRIM(tblDados[Visitante])=$A355)*tblDados[Primeira_Ocorrencia]*((tblDados[GM_V]+tblDados[GS_V])&gt;1.5)))/G355,0))</f>
        <v>0.75</v>
      </c>
      <c r="M355" s="11" cm="1">
        <f t="array" ref="M355">IF($A355="","",IFERROR((SUMPRODUCT((TRIM(tblDados[Mandante])=$A355)*tblDados[Primeira_Ocorrencia]*((tblDados[GM_M]+tblDados[GS_M])&gt;2.5))+SUMPRODUCT((TRIM(tblDados[Visitante])=$A355)*tblDados[Primeira_Ocorrencia]*((tblDados[GM_V]+tblDados[GS_V])&gt;2.5)))/G355,0))</f>
        <v>0.5</v>
      </c>
      <c r="N355" s="11" cm="1">
        <f t="array" ref="N355">IF($A355="","",IFERROR((SUMPRODUCT((TRIM(tblDados[Mandante])=$A355)*tblDados[Primeira_Ocorrencia]*((tblDados[GM_M]+tblDados[GS_M])&gt;3.5))+SUMPRODUCT((TRIM(tblDados[Visitante])=$A355)*tblDados[Primeira_Ocorrencia]*((tblDados[GM_V]+tblDados[GS_V])&gt;3.5)))/G355,0))</f>
        <v>0.16666666666666666</v>
      </c>
      <c r="O355" s="11" cm="1">
        <f t="array" ref="O355">IF($A355="","",IFERROR((SUMPRODUCT((TRIM(tblDados[Mandante])=$A355)*tblDados[Primeira_Ocorrencia]*(tblDados[GM_M]&gt;0)*(tblDados[GS_M]&gt;0))+SUMPRODUCT((TRIM(tblDados[Visitante])=$A355)*tblDados[Primeira_Ocorrencia]*(tblDados[GM_V]&gt;0)*(tblDados[GS_V]&gt;0)))/G355,0))</f>
        <v>0.5</v>
      </c>
      <c r="P355" s="10" cm="1">
        <f t="array" ref="P355">IF($A355="","",IFERROR((SUMPRODUCT((TRIM(tblDados[Mandante])=$A355)*tblDados[Primeira_Ocorrencia]*tblDados[GM_M]^2)+SUMPRODUCT((TRIM(tblDados[Visitante])=$A355)*tblDados[Primeira_Ocorrencia]*tblDados[GM_V]^2))/G355-H355^2,0))</f>
        <v>2.2430555555555554</v>
      </c>
      <c r="Q355" s="10">
        <f t="shared" si="122"/>
        <v>1.4976833963009524</v>
      </c>
      <c r="R355" s="8" t="str">
        <f t="shared" si="123"/>
        <v>Poisson</v>
      </c>
      <c r="S355" s="10" cm="1">
        <f t="array" ref="S355">IF($A355="","",SUMPRODUCT((TRIM(tblDados[Mandante])=$A355)*tblDados[Primeira_Ocorrencia]*tblDados[GM_M]))</f>
        <v>13</v>
      </c>
      <c r="T355" s="10" cm="1">
        <f t="array" ref="T355">IF($A355="","",SUMPRODUCT((TRIM(tblDados[Visitante])=$A355)*tblDados[Primeira_Ocorrencia]*tblDados[GM_V]))</f>
        <v>4</v>
      </c>
      <c r="U355" s="10">
        <f t="shared" si="124"/>
        <v>17</v>
      </c>
      <c r="V355" s="10">
        <f t="shared" si="113"/>
        <v>1.4166666666666667</v>
      </c>
      <c r="W355" s="10" cm="1">
        <f t="array" ref="W355">IF($A355="","",SUMPRODUCT((TRIM(tblDados[Mandante])=$A355)*tblDados[Primeira_Ocorrencia]*tblDados[GS_M]))</f>
        <v>4</v>
      </c>
      <c r="X355" s="10" cm="1">
        <f t="array" ref="X355">IF($A355="","",SUMPRODUCT((TRIM(tblDados[Visitante])=$A355)*tblDados[Primeira_Ocorrencia]*tblDados[GS_V]))</f>
        <v>6</v>
      </c>
      <c r="Y355" s="10">
        <f t="shared" si="125"/>
        <v>10</v>
      </c>
      <c r="Z355" s="10">
        <f t="shared" si="114"/>
        <v>0.83333333333333337</v>
      </c>
      <c r="AA355" s="10">
        <f t="shared" si="115"/>
        <v>1.8571428571428572</v>
      </c>
      <c r="AB355" s="10">
        <f t="shared" si="116"/>
        <v>0.5714285714285714</v>
      </c>
      <c r="AC355" s="10">
        <f t="shared" si="117"/>
        <v>0.8</v>
      </c>
      <c r="AD355" s="10">
        <f t="shared" si="118"/>
        <v>1.2</v>
      </c>
    </row>
    <row r="356" spans="1:30" x14ac:dyDescent="0.3">
      <c r="A356" s="7" t="str">
        <v>Real Salt Lake</v>
      </c>
      <c r="B356" s="12" t="str" cm="1">
        <f t="array" ref="B356">IF($A356="","",_xlfn.LET(_xlpm.p,IFERROR(INDEX(tblDados[País],MATCH($A356,TRIM(tblDados[Mandante]),0)),INDEX(tblDados[País],MATCH($A356,TRIM(tblDados[Visitante]),0))),_xlpm.l,IFERROR(INDEX(tblDados[Liga],MATCH($A356,TRIM(tblDados[Mandante]),0)),INDEX(tblDados[Liga],MATCH($A356,TRIM(tblDados[Visitante]),0))),_xlpm.p&amp;" - "&amp;_xlpm.l))</f>
        <v>USA - MLS-West</v>
      </c>
      <c r="C356" s="10">
        <f t="shared" si="119"/>
        <v>3.3333333333333335</v>
      </c>
      <c r="D356" s="10">
        <f t="shared" si="120"/>
        <v>3</v>
      </c>
      <c r="E356" s="9" cm="1">
        <f t="array" ref="E356">IF($A356="","",SUMPRODUCT((TRIM(tblDados[Mandante])=$A356)*tblDados[Primeira_Ocorrencia]))</f>
        <v>6</v>
      </c>
      <c r="F356" s="9" cm="1">
        <f t="array" ref="F356">IF($A356="","",SUMPRODUCT((TRIM(tblDados[Visitante])=$A356)*tblDados[Primeira_Ocorrencia]))</f>
        <v>6</v>
      </c>
      <c r="G356" s="9" cm="1">
        <f t="array" ref="G356">IF($A356="","",SUMPRODUCT((TRIM(tblDados[Mandante])=$A356)*tblDados[Primeira_Ocorrencia])+SUMPRODUCT((TRIM(tblDados[Visitante])=$A356)*tblDados[Primeira_Ocorrencia]))</f>
        <v>12</v>
      </c>
      <c r="H356" s="10">
        <f t="shared" si="121"/>
        <v>1.6666666666666667</v>
      </c>
      <c r="I356" s="10" cm="1">
        <f t="array" ref="I356">IF($A356="","",_xlfn.LET(_xlpm.p,IFERROR(INDEX(tblDados[País],MATCH($A356,TRIM(tblDados[Mandante]),0)),INDEX(tblDados[País],MATCH($A356,TRIM(tblDados[Visitante]),0))),_xlpm.l,IFERROR(INDEX(tblDados[Liga],MATCH($A356,TRIM(tblDados[Mandante]),0)),INDEX(tblDados[Liga],MATCH($A356,TRIM(tblDados[Visitante]),0))),IFERROR(SUMIFS(Ligas!$D$2:$D$39,Ligas!$H$2:$H$39,_xlpm.p,Ligas!$I$2:$I$39,_xlpm.l),0)))</f>
        <v>3.3</v>
      </c>
      <c r="J356" s="11" cm="1">
        <f t="array" ref="J356">IF($A356="","",IFERROR((SUMPRODUCT((TRIM(tblDados[Mandante])=$A356)*tblDados[Primeira_Ocorrencia]*(tblDados[GM_M]=0))+SUMPRODUCT((TRIM(tblDados[Visitante])=$A356)*tblDados[Primeira_Ocorrencia]*(tblDados[GM_V]=0)))/G356,0))</f>
        <v>8.3333333333333329E-2</v>
      </c>
      <c r="K356" s="11" cm="1">
        <f t="array" ref="K356">IF($A356="","",IFERROR((SUMPRODUCT((TRIM(tblDados[Mandante])=$A356)*tblDados[Primeira_Ocorrencia]*((tblDados[GM_M]+tblDados[GS_M])&gt;0.5))+SUMPRODUCT((TRIM(tblDados[Visitante])=$A356)*tblDados[Primeira_Ocorrencia]*((tblDados[GM_V]+tblDados[GS_V])&gt;0.5)))/G356,0))</f>
        <v>1</v>
      </c>
      <c r="L356" s="11" cm="1">
        <f t="array" ref="L356">IF($A356="","",IFERROR((SUMPRODUCT((TRIM(tblDados[Mandante])=$A356)*tblDados[Primeira_Ocorrencia]*((tblDados[GM_M]+tblDados[GS_M])&gt;1.5))+SUMPRODUCT((TRIM(tblDados[Visitante])=$A356)*tblDados[Primeira_Ocorrencia]*((tblDados[GM_V]+tblDados[GS_V])&gt;1.5)))/G356,0))</f>
        <v>1</v>
      </c>
      <c r="M356" s="11" cm="1">
        <f t="array" ref="M356">IF($A356="","",IFERROR((SUMPRODUCT((TRIM(tblDados[Mandante])=$A356)*tblDados[Primeira_Ocorrencia]*((tblDados[GM_M]+tblDados[GS_M])&gt;2.5))+SUMPRODUCT((TRIM(tblDados[Visitante])=$A356)*tblDados[Primeira_Ocorrencia]*((tblDados[GM_V]+tblDados[GS_V])&gt;2.5)))/G356,0))</f>
        <v>0.66666666666666663</v>
      </c>
      <c r="N356" s="11" cm="1">
        <f t="array" ref="N356">IF($A356="","",IFERROR((SUMPRODUCT((TRIM(tblDados[Mandante])=$A356)*tblDados[Primeira_Ocorrencia]*((tblDados[GM_M]+tblDados[GS_M])&gt;3.5))+SUMPRODUCT((TRIM(tblDados[Visitante])=$A356)*tblDados[Primeira_Ocorrencia]*((tblDados[GM_V]+tblDados[GS_V])&gt;3.5)))/G356,0))</f>
        <v>0.33333333333333331</v>
      </c>
      <c r="O356" s="11" cm="1">
        <f t="array" ref="O356">IF($A356="","",IFERROR((SUMPRODUCT((TRIM(tblDados[Mandante])=$A356)*tblDados[Primeira_Ocorrencia]*(tblDados[GM_M]&gt;0)*(tblDados[GS_M]&gt;0))+SUMPRODUCT((TRIM(tblDados[Visitante])=$A356)*tblDados[Primeira_Ocorrencia]*(tblDados[GM_V]&gt;0)*(tblDados[GS_V]&gt;0)))/G356,0))</f>
        <v>0.75</v>
      </c>
      <c r="P356" s="10" cm="1">
        <f t="array" ref="P356">IF($A356="","",IFERROR((SUMPRODUCT((TRIM(tblDados[Mandante])=$A356)*tblDados[Primeira_Ocorrencia]*tblDados[GM_M]^2)+SUMPRODUCT((TRIM(tblDados[Visitante])=$A356)*tblDados[Primeira_Ocorrencia]*tblDados[GM_V]^2))/G356-H356^2,0))</f>
        <v>1.2222222222222219</v>
      </c>
      <c r="Q356" s="10">
        <f t="shared" si="122"/>
        <v>1.1055415967851332</v>
      </c>
      <c r="R356" s="8" t="str">
        <f t="shared" si="123"/>
        <v>Poisson</v>
      </c>
      <c r="S356" s="10" cm="1">
        <f t="array" ref="S356">IF($A356="","",SUMPRODUCT((TRIM(tblDados[Mandante])=$A356)*tblDados[Primeira_Ocorrencia]*tblDados[GM_M]))</f>
        <v>14</v>
      </c>
      <c r="T356" s="10" cm="1">
        <f t="array" ref="T356">IF($A356="","",SUMPRODUCT((TRIM(tblDados[Visitante])=$A356)*tblDados[Primeira_Ocorrencia]*tblDados[GM_V]))</f>
        <v>6</v>
      </c>
      <c r="U356" s="10">
        <f t="shared" si="124"/>
        <v>20</v>
      </c>
      <c r="V356" s="10">
        <f t="shared" si="113"/>
        <v>1.6666666666666667</v>
      </c>
      <c r="W356" s="10" cm="1">
        <f t="array" ref="W356">IF($A356="","",SUMPRODUCT((TRIM(tblDados[Mandante])=$A356)*tblDados[Primeira_Ocorrencia]*tblDados[GS_M]))</f>
        <v>6</v>
      </c>
      <c r="X356" s="10" cm="1">
        <f t="array" ref="X356">IF($A356="","",SUMPRODUCT((TRIM(tblDados[Visitante])=$A356)*tblDados[Primeira_Ocorrencia]*tblDados[GS_V]))</f>
        <v>12</v>
      </c>
      <c r="Y356" s="10">
        <f t="shared" si="125"/>
        <v>18</v>
      </c>
      <c r="Z356" s="10">
        <f t="shared" si="114"/>
        <v>1.5</v>
      </c>
      <c r="AA356" s="10">
        <f t="shared" si="115"/>
        <v>2.3333333333333335</v>
      </c>
      <c r="AB356" s="10">
        <f t="shared" si="116"/>
        <v>1</v>
      </c>
      <c r="AC356" s="10">
        <f t="shared" si="117"/>
        <v>1</v>
      </c>
      <c r="AD356" s="10">
        <f t="shared" si="118"/>
        <v>2</v>
      </c>
    </row>
    <row r="357" spans="1:30" x14ac:dyDescent="0.3">
      <c r="A357" s="7" t="str">
        <v>Red Bull Bragantino</v>
      </c>
      <c r="B357" s="12" t="str" cm="1">
        <f t="array" ref="B357">IF($A357="","",_xlfn.LET(_xlpm.p,IFERROR(INDEX(tblDados[País],MATCH($A357,TRIM(tblDados[Mandante]),0)),INDEX(tblDados[País],MATCH($A357,TRIM(tblDados[Visitante]),0))),_xlpm.l,IFERROR(INDEX(tblDados[Liga],MATCH($A357,TRIM(tblDados[Mandante]),0)),INDEX(tblDados[Liga],MATCH($A357,TRIM(tblDados[Visitante]),0))),_xlpm.p&amp;" - "&amp;_xlpm.l))</f>
        <v>BRA - Série A</v>
      </c>
      <c r="C357" s="10">
        <f t="shared" si="119"/>
        <v>2.6666666666666665</v>
      </c>
      <c r="D357" s="10">
        <f t="shared" si="120"/>
        <v>2.333333333333333</v>
      </c>
      <c r="E357" s="9" cm="1">
        <f t="array" ref="E357">IF($A357="","",SUMPRODUCT((TRIM(tblDados[Mandante])=$A357)*tblDados[Primeira_Ocorrencia]))</f>
        <v>6</v>
      </c>
      <c r="F357" s="9" cm="1">
        <f t="array" ref="F357">IF($A357="","",SUMPRODUCT((TRIM(tblDados[Visitante])=$A357)*tblDados[Primeira_Ocorrencia]))</f>
        <v>6</v>
      </c>
      <c r="G357" s="9" cm="1">
        <f t="array" ref="G357">IF($A357="","",SUMPRODUCT((TRIM(tblDados[Mandante])=$A357)*tblDados[Primeira_Ocorrencia])+SUMPRODUCT((TRIM(tblDados[Visitante])=$A357)*tblDados[Primeira_Ocorrencia]))</f>
        <v>12</v>
      </c>
      <c r="H357" s="10">
        <f t="shared" si="121"/>
        <v>1.6666666666666667</v>
      </c>
      <c r="I357" s="10" cm="1">
        <f t="array" ref="I357">IF($A357="","",_xlfn.LET(_xlpm.p,IFERROR(INDEX(tblDados[País],MATCH($A357,TRIM(tblDados[Mandante]),0)),INDEX(tblDados[País],MATCH($A357,TRIM(tblDados[Visitante]),0))),_xlpm.l,IFERROR(INDEX(tblDados[Liga],MATCH($A357,TRIM(tblDados[Mandante]),0)),INDEX(tblDados[Liga],MATCH($A357,TRIM(tblDados[Visitante]),0))),IFERROR(SUMIFS(Ligas!$D$2:$D$39,Ligas!$H$2:$H$39,_xlpm.p,Ligas!$I$2:$I$39,_xlpm.l),0)))</f>
        <v>2.59</v>
      </c>
      <c r="J357" s="11" cm="1">
        <f t="array" ref="J357">IF($A357="","",IFERROR((SUMPRODUCT((TRIM(tblDados[Mandante])=$A357)*tblDados[Primeira_Ocorrencia]*(tblDados[GM_M]=0))+SUMPRODUCT((TRIM(tblDados[Visitante])=$A357)*tblDados[Primeira_Ocorrencia]*(tblDados[GM_V]=0)))/G357,0))</f>
        <v>0.25</v>
      </c>
      <c r="K357" s="11" cm="1">
        <f t="array" ref="K357">IF($A357="","",IFERROR((SUMPRODUCT((TRIM(tblDados[Mandante])=$A357)*tblDados[Primeira_Ocorrencia]*((tblDados[GM_M]+tblDados[GS_M])&gt;0.5))+SUMPRODUCT((TRIM(tblDados[Visitante])=$A357)*tblDados[Primeira_Ocorrencia]*((tblDados[GM_V]+tblDados[GS_V])&gt;0.5)))/G357,0))</f>
        <v>0.91666666666666663</v>
      </c>
      <c r="L357" s="11" cm="1">
        <f t="array" ref="L357">IF($A357="","",IFERROR((SUMPRODUCT((TRIM(tblDados[Mandante])=$A357)*tblDados[Primeira_Ocorrencia]*((tblDados[GM_M]+tblDados[GS_M])&gt;1.5))+SUMPRODUCT((TRIM(tblDados[Visitante])=$A357)*tblDados[Primeira_Ocorrencia]*((tblDados[GM_V]+tblDados[GS_V])&gt;1.5)))/G357,0))</f>
        <v>0.75</v>
      </c>
      <c r="M357" s="11" cm="1">
        <f t="array" ref="M357">IF($A357="","",IFERROR((SUMPRODUCT((TRIM(tblDados[Mandante])=$A357)*tblDados[Primeira_Ocorrencia]*((tblDados[GM_M]+tblDados[GS_M])&gt;2.5))+SUMPRODUCT((TRIM(tblDados[Visitante])=$A357)*tblDados[Primeira_Ocorrencia]*((tblDados[GM_V]+tblDados[GS_V])&gt;2.5)))/G357,0))</f>
        <v>0.5</v>
      </c>
      <c r="N357" s="11" cm="1">
        <f t="array" ref="N357">IF($A357="","",IFERROR((SUMPRODUCT((TRIM(tblDados[Mandante])=$A357)*tblDados[Primeira_Ocorrencia]*((tblDados[GM_M]+tblDados[GS_M])&gt;3.5))+SUMPRODUCT((TRIM(tblDados[Visitante])=$A357)*tblDados[Primeira_Ocorrencia]*((tblDados[GM_V]+tblDados[GS_V])&gt;3.5)))/G357,0))</f>
        <v>0.16666666666666666</v>
      </c>
      <c r="O357" s="11" cm="1">
        <f t="array" ref="O357">IF($A357="","",IFERROR((SUMPRODUCT((TRIM(tblDados[Mandante])=$A357)*tblDados[Primeira_Ocorrencia]*(tblDados[GM_M]&gt;0)*(tblDados[GS_M]&gt;0))+SUMPRODUCT((TRIM(tblDados[Visitante])=$A357)*tblDados[Primeira_Ocorrencia]*(tblDados[GM_V]&gt;0)*(tblDados[GS_V]&gt;0)))/G357,0))</f>
        <v>0.41666666666666669</v>
      </c>
      <c r="P357" s="10" cm="1">
        <f t="array" ref="P357">IF($A357="","",IFERROR((SUMPRODUCT((TRIM(tblDados[Mandante])=$A357)*tblDados[Primeira_Ocorrencia]*tblDados[GM_M]^2)+SUMPRODUCT((TRIM(tblDados[Visitante])=$A357)*tblDados[Primeira_Ocorrencia]*tblDados[GM_V]^2))/G357-H357^2,0))</f>
        <v>1.7222222222222219</v>
      </c>
      <c r="Q357" s="10">
        <f t="shared" si="122"/>
        <v>1.3123346456686351</v>
      </c>
      <c r="R357" s="8" t="str">
        <f t="shared" si="123"/>
        <v>Poisson</v>
      </c>
      <c r="S357" s="10" cm="1">
        <f t="array" ref="S357">IF($A357="","",SUMPRODUCT((TRIM(tblDados[Mandante])=$A357)*tblDados[Primeira_Ocorrencia]*tblDados[GM_M]))</f>
        <v>12</v>
      </c>
      <c r="T357" s="10" cm="1">
        <f t="array" ref="T357">IF($A357="","",SUMPRODUCT((TRIM(tblDados[Visitante])=$A357)*tblDados[Primeira_Ocorrencia]*tblDados[GM_V]))</f>
        <v>8</v>
      </c>
      <c r="U357" s="10">
        <f t="shared" si="124"/>
        <v>20</v>
      </c>
      <c r="V357" s="10">
        <f t="shared" si="113"/>
        <v>1.6666666666666667</v>
      </c>
      <c r="W357" s="10" cm="1">
        <f t="array" ref="W357">IF($A357="","",SUMPRODUCT((TRIM(tblDados[Mandante])=$A357)*tblDados[Primeira_Ocorrencia]*tblDados[GS_M]))</f>
        <v>4</v>
      </c>
      <c r="X357" s="10" cm="1">
        <f t="array" ref="X357">IF($A357="","",SUMPRODUCT((TRIM(tblDados[Visitante])=$A357)*tblDados[Primeira_Ocorrencia]*tblDados[GS_V]))</f>
        <v>6</v>
      </c>
      <c r="Y357" s="10">
        <f t="shared" si="125"/>
        <v>10</v>
      </c>
      <c r="Z357" s="10">
        <f t="shared" si="114"/>
        <v>0.83333333333333337</v>
      </c>
      <c r="AA357" s="10">
        <f t="shared" si="115"/>
        <v>2</v>
      </c>
      <c r="AB357" s="10">
        <f t="shared" si="116"/>
        <v>0.66666666666666663</v>
      </c>
      <c r="AC357" s="10">
        <f t="shared" si="117"/>
        <v>1.3333333333333333</v>
      </c>
      <c r="AD357" s="10">
        <f t="shared" si="118"/>
        <v>1</v>
      </c>
    </row>
    <row r="358" spans="1:30" x14ac:dyDescent="0.3">
      <c r="A358" s="7" t="str">
        <v>Rockdale Ilinden</v>
      </c>
      <c r="B358" s="12" t="str" cm="1">
        <f t="array" ref="B358">IF($A358="","",_xlfn.LET(_xlpm.p,IFERROR(INDEX(tblDados[País],MATCH($A358,TRIM(tblDados[Mandante]),0)),INDEX(tblDados[País],MATCH($A358,TRIM(tblDados[Visitante]),0))),_xlpm.l,IFERROR(INDEX(tblDados[Liga],MATCH($A358,TRIM(tblDados[Mandante]),0)),INDEX(tblDados[Liga],MATCH($A358,TRIM(tblDados[Visitante]),0))),_xlpm.p&amp;" - "&amp;_xlpm.l))</f>
        <v>AUS - NPL New South Wales</v>
      </c>
      <c r="C358" s="10">
        <f t="shared" si="119"/>
        <v>2.8000000000000003</v>
      </c>
      <c r="D358" s="10">
        <f t="shared" si="120"/>
        <v>2.8571428571428572</v>
      </c>
      <c r="E358" s="9" cm="1">
        <f t="array" ref="E358">IF($A358="","",SUMPRODUCT((TRIM(tblDados[Mandante])=$A358)*tblDados[Primeira_Ocorrencia]))</f>
        <v>5</v>
      </c>
      <c r="F358" s="9" cm="1">
        <f t="array" ref="F358">IF($A358="","",SUMPRODUCT((TRIM(tblDados[Visitante])=$A358)*tblDados[Primeira_Ocorrencia]))</f>
        <v>7</v>
      </c>
      <c r="G358" s="9" cm="1">
        <f t="array" ref="G358">IF($A358="","",SUMPRODUCT((TRIM(tblDados[Mandante])=$A358)*tblDados[Primeira_Ocorrencia])+SUMPRODUCT((TRIM(tblDados[Visitante])=$A358)*tblDados[Primeira_Ocorrencia]))</f>
        <v>12</v>
      </c>
      <c r="H358" s="10">
        <f t="shared" si="121"/>
        <v>1.5</v>
      </c>
      <c r="I358" s="10" cm="1">
        <f t="array" ref="I358">IF($A358="","",_xlfn.LET(_xlpm.p,IFERROR(INDEX(tblDados[País],MATCH($A358,TRIM(tblDados[Mandante]),0)),INDEX(tblDados[País],MATCH($A358,TRIM(tblDados[Visitante]),0))),_xlpm.l,IFERROR(INDEX(tblDados[Liga],MATCH($A358,TRIM(tblDados[Mandante]),0)),INDEX(tblDados[Liga],MATCH($A358,TRIM(tblDados[Visitante]),0))),IFERROR(SUMIFS(Ligas!$D$2:$D$39,Ligas!$H$2:$H$39,_xlpm.p,Ligas!$I$2:$I$39,_xlpm.l),0)))</f>
        <v>3.61</v>
      </c>
      <c r="J358" s="11" cm="1">
        <f t="array" ref="J358">IF($A358="","",IFERROR((SUMPRODUCT((TRIM(tblDados[Mandante])=$A358)*tblDados[Primeira_Ocorrencia]*(tblDados[GM_M]=0))+SUMPRODUCT((TRIM(tblDados[Visitante])=$A358)*tblDados[Primeira_Ocorrencia]*(tblDados[GM_V]=0)))/G358,0))</f>
        <v>0.33333333333333331</v>
      </c>
      <c r="K358" s="11" cm="1">
        <f t="array" ref="K358">IF($A358="","",IFERROR((SUMPRODUCT((TRIM(tblDados[Mandante])=$A358)*tblDados[Primeira_Ocorrencia]*((tblDados[GM_M]+tblDados[GS_M])&gt;0.5))+SUMPRODUCT((TRIM(tblDados[Visitante])=$A358)*tblDados[Primeira_Ocorrencia]*((tblDados[GM_V]+tblDados[GS_V])&gt;0.5)))/G358,0))</f>
        <v>1</v>
      </c>
      <c r="L358" s="11" cm="1">
        <f t="array" ref="L358">IF($A358="","",IFERROR((SUMPRODUCT((TRIM(tblDados[Mandante])=$A358)*tblDados[Primeira_Ocorrencia]*((tblDados[GM_M]+tblDados[GS_M])&gt;1.5))+SUMPRODUCT((TRIM(tblDados[Visitante])=$A358)*tblDados[Primeira_Ocorrencia]*((tblDados[GM_V]+tblDados[GS_V])&gt;1.5)))/G358,0))</f>
        <v>0.75</v>
      </c>
      <c r="M358" s="11" cm="1">
        <f t="array" ref="M358">IF($A358="","",IFERROR((SUMPRODUCT((TRIM(tblDados[Mandante])=$A358)*tblDados[Primeira_Ocorrencia]*((tblDados[GM_M]+tblDados[GS_M])&gt;2.5))+SUMPRODUCT((TRIM(tblDados[Visitante])=$A358)*tblDados[Primeira_Ocorrencia]*((tblDados[GM_V]+tblDados[GS_V])&gt;2.5)))/G358,0))</f>
        <v>0.41666666666666669</v>
      </c>
      <c r="N358" s="11" cm="1">
        <f t="array" ref="N358">IF($A358="","",IFERROR((SUMPRODUCT((TRIM(tblDados[Mandante])=$A358)*tblDados[Primeira_Ocorrencia]*((tblDados[GM_M]+tblDados[GS_M])&gt;3.5))+SUMPRODUCT((TRIM(tblDados[Visitante])=$A358)*tblDados[Primeira_Ocorrencia]*((tblDados[GM_V]+tblDados[GS_V])&gt;3.5)))/G358,0))</f>
        <v>0.33333333333333331</v>
      </c>
      <c r="O358" s="11" cm="1">
        <f t="array" ref="O358">IF($A358="","",IFERROR((SUMPRODUCT((TRIM(tblDados[Mandante])=$A358)*tblDados[Primeira_Ocorrencia]*(tblDados[GM_M]&gt;0)*(tblDados[GS_M]&gt;0))+SUMPRODUCT((TRIM(tblDados[Visitante])=$A358)*tblDados[Primeira_Ocorrencia]*(tblDados[GM_V]&gt;0)*(tblDados[GS_V]&gt;0)))/G358,0))</f>
        <v>0.5</v>
      </c>
      <c r="P358" s="10" cm="1">
        <f t="array" ref="P358">IF($A358="","",IFERROR((SUMPRODUCT((TRIM(tblDados[Mandante])=$A358)*tblDados[Primeira_Ocorrencia]*tblDados[GM_M]^2)+SUMPRODUCT((TRIM(tblDados[Visitante])=$A358)*tblDados[Primeira_Ocorrencia]*tblDados[GM_V]^2))/G358-H358^2,0))</f>
        <v>3.083333333333333</v>
      </c>
      <c r="Q358" s="10">
        <f t="shared" si="122"/>
        <v>1.7559422921421231</v>
      </c>
      <c r="R358" s="8" t="str">
        <f t="shared" si="123"/>
        <v>Binomial Negativa</v>
      </c>
      <c r="S358" s="10" cm="1">
        <f t="array" ref="S358">IF($A358="","",SUMPRODUCT((TRIM(tblDados[Mandante])=$A358)*tblDados[Primeira_Ocorrencia]*tblDados[GM_M]))</f>
        <v>3</v>
      </c>
      <c r="T358" s="10" cm="1">
        <f t="array" ref="T358">IF($A358="","",SUMPRODUCT((TRIM(tblDados[Visitante])=$A358)*tblDados[Primeira_Ocorrencia]*tblDados[GM_V]))</f>
        <v>15</v>
      </c>
      <c r="U358" s="10">
        <f t="shared" si="124"/>
        <v>18</v>
      </c>
      <c r="V358" s="10">
        <f t="shared" si="113"/>
        <v>1.5</v>
      </c>
      <c r="W358" s="10" cm="1">
        <f t="array" ref="W358">IF($A358="","",SUMPRODUCT((TRIM(tblDados[Mandante])=$A358)*tblDados[Primeira_Ocorrencia]*tblDados[GS_M]))</f>
        <v>11</v>
      </c>
      <c r="X358" s="10" cm="1">
        <f t="array" ref="X358">IF($A358="","",SUMPRODUCT((TRIM(tblDados[Visitante])=$A358)*tblDados[Primeira_Ocorrencia]*tblDados[GS_V]))</f>
        <v>5</v>
      </c>
      <c r="Y358" s="10">
        <f t="shared" si="125"/>
        <v>16</v>
      </c>
      <c r="Z358" s="10">
        <f t="shared" si="114"/>
        <v>1.3333333333333333</v>
      </c>
      <c r="AA358" s="10">
        <f t="shared" si="115"/>
        <v>0.6</v>
      </c>
      <c r="AB358" s="10">
        <f t="shared" si="116"/>
        <v>2.2000000000000002</v>
      </c>
      <c r="AC358" s="10">
        <f t="shared" si="117"/>
        <v>2.1428571428571428</v>
      </c>
      <c r="AD358" s="10">
        <f t="shared" si="118"/>
        <v>0.7142857142857143</v>
      </c>
    </row>
    <row r="359" spans="1:30" x14ac:dyDescent="0.3">
      <c r="A359" s="7" t="str">
        <v>Rosenborg BK</v>
      </c>
      <c r="B359" s="12" t="str" cm="1">
        <f t="array" ref="B359">IF($A359="","",_xlfn.LET(_xlpm.p,IFERROR(INDEX(tblDados[País],MATCH($A359,TRIM(tblDados[Mandante]),0)),INDEX(tblDados[País],MATCH($A359,TRIM(tblDados[Visitante]),0))),_xlpm.l,IFERROR(INDEX(tblDados[Liga],MATCH($A359,TRIM(tblDados[Mandante]),0)),INDEX(tblDados[Liga],MATCH($A359,TRIM(tblDados[Visitante]),0))),_xlpm.p&amp;" - "&amp;_xlpm.l))</f>
        <v>NOR - Eliteserien</v>
      </c>
      <c r="C359" s="10">
        <f t="shared" si="119"/>
        <v>3.3333333333333335</v>
      </c>
      <c r="D359" s="10">
        <f t="shared" si="120"/>
        <v>2.5</v>
      </c>
      <c r="E359" s="9" cm="1">
        <f t="array" ref="E359">IF($A359="","",SUMPRODUCT((TRIM(tblDados[Mandante])=$A359)*tblDados[Primeira_Ocorrencia]))</f>
        <v>6</v>
      </c>
      <c r="F359" s="9" cm="1">
        <f t="array" ref="F359">IF($A359="","",SUMPRODUCT((TRIM(tblDados[Visitante])=$A359)*tblDados[Primeira_Ocorrencia]))</f>
        <v>6</v>
      </c>
      <c r="G359" s="9" cm="1">
        <f t="array" ref="G359">IF($A359="","",SUMPRODUCT((TRIM(tblDados[Mandante])=$A359)*tblDados[Primeira_Ocorrencia])+SUMPRODUCT((TRIM(tblDados[Visitante])=$A359)*tblDados[Primeira_Ocorrencia]))</f>
        <v>12</v>
      </c>
      <c r="H359" s="10">
        <f t="shared" si="121"/>
        <v>1.75</v>
      </c>
      <c r="I359" s="10" cm="1">
        <f t="array" ref="I359">IF($A359="","",_xlfn.LET(_xlpm.p,IFERROR(INDEX(tblDados[País],MATCH($A359,TRIM(tblDados[Mandante]),0)),INDEX(tblDados[País],MATCH($A359,TRIM(tblDados[Visitante]),0))),_xlpm.l,IFERROR(INDEX(tblDados[Liga],MATCH($A359,TRIM(tblDados[Mandante]),0)),INDEX(tblDados[Liga],MATCH($A359,TRIM(tblDados[Visitante]),0))),IFERROR(SUMIFS(Ligas!$D$2:$D$39,Ligas!$H$2:$H$39,_xlpm.p,Ligas!$I$2:$I$39,_xlpm.l),0)))</f>
        <v>2.5</v>
      </c>
      <c r="J359" s="11" cm="1">
        <f t="array" ref="J359">IF($A359="","",IFERROR((SUMPRODUCT((TRIM(tblDados[Mandante])=$A359)*tblDados[Primeira_Ocorrencia]*(tblDados[GM_M]=0))+SUMPRODUCT((TRIM(tblDados[Visitante])=$A359)*tblDados[Primeira_Ocorrencia]*(tblDados[GM_V]=0)))/G359,0))</f>
        <v>0.25</v>
      </c>
      <c r="K359" s="11" cm="1">
        <f t="array" ref="K359">IF($A359="","",IFERROR((SUMPRODUCT((TRIM(tblDados[Mandante])=$A359)*tblDados[Primeira_Ocorrencia]*((tblDados[GM_M]+tblDados[GS_M])&gt;0.5))+SUMPRODUCT((TRIM(tblDados[Visitante])=$A359)*tblDados[Primeira_Ocorrencia]*((tblDados[GM_V]+tblDados[GS_V])&gt;0.5)))/G359,0))</f>
        <v>0.91666666666666663</v>
      </c>
      <c r="L359" s="11" cm="1">
        <f t="array" ref="L359">IF($A359="","",IFERROR((SUMPRODUCT((TRIM(tblDados[Mandante])=$A359)*tblDados[Primeira_Ocorrencia]*((tblDados[GM_M]+tblDados[GS_M])&gt;1.5))+SUMPRODUCT((TRIM(tblDados[Visitante])=$A359)*tblDados[Primeira_Ocorrencia]*((tblDados[GM_V]+tblDados[GS_V])&gt;1.5)))/G359,0))</f>
        <v>0.91666666666666663</v>
      </c>
      <c r="M359" s="11" cm="1">
        <f t="array" ref="M359">IF($A359="","",IFERROR((SUMPRODUCT((TRIM(tblDados[Mandante])=$A359)*tblDados[Primeira_Ocorrencia]*((tblDados[GM_M]+tblDados[GS_M])&gt;2.5))+SUMPRODUCT((TRIM(tblDados[Visitante])=$A359)*tblDados[Primeira_Ocorrencia]*((tblDados[GM_V]+tblDados[GS_V])&gt;2.5)))/G359,0))</f>
        <v>0.58333333333333337</v>
      </c>
      <c r="N359" s="11" cm="1">
        <f t="array" ref="N359">IF($A359="","",IFERROR((SUMPRODUCT((TRIM(tblDados[Mandante])=$A359)*tblDados[Primeira_Ocorrencia]*((tblDados[GM_M]+tblDados[GS_M])&gt;3.5))+SUMPRODUCT((TRIM(tblDados[Visitante])=$A359)*tblDados[Primeira_Ocorrencia]*((tblDados[GM_V]+tblDados[GS_V])&gt;3.5)))/G359,0))</f>
        <v>0.33333333333333331</v>
      </c>
      <c r="O359" s="11" cm="1">
        <f t="array" ref="O359">IF($A359="","",IFERROR((SUMPRODUCT((TRIM(tblDados[Mandante])=$A359)*tblDados[Primeira_Ocorrencia]*(tblDados[GM_M]&gt;0)*(tblDados[GS_M]&gt;0))+SUMPRODUCT((TRIM(tblDados[Visitante])=$A359)*tblDados[Primeira_Ocorrencia]*(tblDados[GM_V]&gt;0)*(tblDados[GS_V]&gt;0)))/G359,0))</f>
        <v>0.33333333333333331</v>
      </c>
      <c r="P359" s="10" cm="1">
        <f t="array" ref="P359">IF($A359="","",IFERROR((SUMPRODUCT((TRIM(tblDados[Mandante])=$A359)*tblDados[Primeira_Ocorrencia]*tblDados[GM_M]^2)+SUMPRODUCT((TRIM(tblDados[Visitante])=$A359)*tblDados[Primeira_Ocorrencia]*tblDados[GM_V]^2))/G359-H359^2,0))</f>
        <v>1.520833333333333</v>
      </c>
      <c r="Q359" s="10">
        <f t="shared" si="122"/>
        <v>1.2332207155790618</v>
      </c>
      <c r="R359" s="8" t="str">
        <f t="shared" si="123"/>
        <v>Poisson</v>
      </c>
      <c r="S359" s="10" cm="1">
        <f t="array" ref="S359">IF($A359="","",SUMPRODUCT((TRIM(tblDados[Mandante])=$A359)*tblDados[Primeira_Ocorrencia]*tblDados[GM_M]))</f>
        <v>14</v>
      </c>
      <c r="T359" s="10" cm="1">
        <f t="array" ref="T359">IF($A359="","",SUMPRODUCT((TRIM(tblDados[Visitante])=$A359)*tblDados[Primeira_Ocorrencia]*tblDados[GM_V]))</f>
        <v>7</v>
      </c>
      <c r="U359" s="10">
        <f t="shared" si="124"/>
        <v>21</v>
      </c>
      <c r="V359" s="10">
        <f t="shared" si="113"/>
        <v>1.75</v>
      </c>
      <c r="W359" s="10" cm="1">
        <f t="array" ref="W359">IF($A359="","",SUMPRODUCT((TRIM(tblDados[Mandante])=$A359)*tblDados[Primeira_Ocorrencia]*tblDados[GS_M]))</f>
        <v>6</v>
      </c>
      <c r="X359" s="10" cm="1">
        <f t="array" ref="X359">IF($A359="","",SUMPRODUCT((TRIM(tblDados[Visitante])=$A359)*tblDados[Primeira_Ocorrencia]*tblDados[GS_V]))</f>
        <v>8</v>
      </c>
      <c r="Y359" s="10">
        <f t="shared" si="125"/>
        <v>14</v>
      </c>
      <c r="Z359" s="10">
        <f t="shared" si="114"/>
        <v>1.1666666666666667</v>
      </c>
      <c r="AA359" s="10">
        <f t="shared" si="115"/>
        <v>2.3333333333333335</v>
      </c>
      <c r="AB359" s="10">
        <f t="shared" si="116"/>
        <v>1</v>
      </c>
      <c r="AC359" s="10">
        <f t="shared" si="117"/>
        <v>1.1666666666666667</v>
      </c>
      <c r="AD359" s="10">
        <f t="shared" si="118"/>
        <v>1.3333333333333333</v>
      </c>
    </row>
    <row r="360" spans="1:30" x14ac:dyDescent="0.3">
      <c r="A360" s="7" t="str">
        <v>San Diego FC</v>
      </c>
      <c r="B360" s="12" t="str" cm="1">
        <f t="array" ref="B360">IF($A360="","",_xlfn.LET(_xlpm.p,IFERROR(INDEX(tblDados[País],MATCH($A360,TRIM(tblDados[Mandante]),0)),INDEX(tblDados[País],MATCH($A360,TRIM(tblDados[Visitante]),0))),_xlpm.l,IFERROR(INDEX(tblDados[Liga],MATCH($A360,TRIM(tblDados[Mandante]),0)),INDEX(tblDados[Liga],MATCH($A360,TRIM(tblDados[Visitante]),0))),_xlpm.p&amp;" - "&amp;_xlpm.l))</f>
        <v>USA - MLS-West</v>
      </c>
      <c r="C360" s="10">
        <f t="shared" si="119"/>
        <v>4</v>
      </c>
      <c r="D360" s="10">
        <f t="shared" si="120"/>
        <v>2.4000000000000004</v>
      </c>
      <c r="E360" s="9" cm="1">
        <f t="array" ref="E360">IF($A360="","",SUMPRODUCT((TRIM(tblDados[Mandante])=$A360)*tblDados[Primeira_Ocorrencia]))</f>
        <v>7</v>
      </c>
      <c r="F360" s="9" cm="1">
        <f t="array" ref="F360">IF($A360="","",SUMPRODUCT((TRIM(tblDados[Visitante])=$A360)*tblDados[Primeira_Ocorrencia]))</f>
        <v>5</v>
      </c>
      <c r="G360" s="9" cm="1">
        <f t="array" ref="G360">IF($A360="","",SUMPRODUCT((TRIM(tblDados[Mandante])=$A360)*tblDados[Primeira_Ocorrencia])+SUMPRODUCT((TRIM(tblDados[Visitante])=$A360)*tblDados[Primeira_Ocorrencia]))</f>
        <v>12</v>
      </c>
      <c r="H360" s="10">
        <f t="shared" si="121"/>
        <v>1.5833333333333333</v>
      </c>
      <c r="I360" s="10" cm="1">
        <f t="array" ref="I360">IF($A360="","",_xlfn.LET(_xlpm.p,IFERROR(INDEX(tblDados[País],MATCH($A360,TRIM(tblDados[Mandante]),0)),INDEX(tblDados[País],MATCH($A360,TRIM(tblDados[Visitante]),0))),_xlpm.l,IFERROR(INDEX(tblDados[Liga],MATCH($A360,TRIM(tblDados[Mandante]),0)),INDEX(tblDados[Liga],MATCH($A360,TRIM(tblDados[Visitante]),0))),IFERROR(SUMIFS(Ligas!$D$2:$D$39,Ligas!$H$2:$H$39,_xlpm.p,Ligas!$I$2:$I$39,_xlpm.l),0)))</f>
        <v>3.3</v>
      </c>
      <c r="J360" s="11" cm="1">
        <f t="array" ref="J360">IF($A360="","",IFERROR((SUMPRODUCT((TRIM(tblDados[Mandante])=$A360)*tblDados[Primeira_Ocorrencia]*(tblDados[GM_M]=0))+SUMPRODUCT((TRIM(tblDados[Visitante])=$A360)*tblDados[Primeira_Ocorrencia]*(tblDados[GM_V]=0)))/G360,0))</f>
        <v>0.16666666666666666</v>
      </c>
      <c r="K360" s="11" cm="1">
        <f t="array" ref="K360">IF($A360="","",IFERROR((SUMPRODUCT((TRIM(tblDados[Mandante])=$A360)*tblDados[Primeira_Ocorrencia]*((tblDados[GM_M]+tblDados[GS_M])&gt;0.5))+SUMPRODUCT((TRIM(tblDados[Visitante])=$A360)*tblDados[Primeira_Ocorrencia]*((tblDados[GM_V]+tblDados[GS_V])&gt;0.5)))/G360,0))</f>
        <v>1</v>
      </c>
      <c r="L360" s="11" cm="1">
        <f t="array" ref="L360">IF($A360="","",IFERROR((SUMPRODUCT((TRIM(tblDados[Mandante])=$A360)*tblDados[Primeira_Ocorrencia]*((tblDados[GM_M]+tblDados[GS_M])&gt;1.5))+SUMPRODUCT((TRIM(tblDados[Visitante])=$A360)*tblDados[Primeira_Ocorrencia]*((tblDados[GM_V]+tblDados[GS_V])&gt;1.5)))/G360,0))</f>
        <v>0.75</v>
      </c>
      <c r="M360" s="11" cm="1">
        <f t="array" ref="M360">IF($A360="","",IFERROR((SUMPRODUCT((TRIM(tblDados[Mandante])=$A360)*tblDados[Primeira_Ocorrencia]*((tblDados[GM_M]+tblDados[GS_M])&gt;2.5))+SUMPRODUCT((TRIM(tblDados[Visitante])=$A360)*tblDados[Primeira_Ocorrencia]*((tblDados[GM_V]+tblDados[GS_V])&gt;2.5)))/G360,0))</f>
        <v>0.58333333333333337</v>
      </c>
      <c r="N360" s="11" cm="1">
        <f t="array" ref="N360">IF($A360="","",IFERROR((SUMPRODUCT((TRIM(tblDados[Mandante])=$A360)*tblDados[Primeira_Ocorrencia]*((tblDados[GM_M]+tblDados[GS_M])&gt;3.5))+SUMPRODUCT((TRIM(tblDados[Visitante])=$A360)*tblDados[Primeira_Ocorrencia]*((tblDados[GM_V]+tblDados[GS_V])&gt;3.5)))/G360,0))</f>
        <v>0.41666666666666669</v>
      </c>
      <c r="O360" s="11" cm="1">
        <f t="array" ref="O360">IF($A360="","",IFERROR((SUMPRODUCT((TRIM(tblDados[Mandante])=$A360)*tblDados[Primeira_Ocorrencia]*(tblDados[GM_M]&gt;0)*(tblDados[GS_M]&gt;0))+SUMPRODUCT((TRIM(tblDados[Visitante])=$A360)*tblDados[Primeira_Ocorrencia]*(tblDados[GM_V]&gt;0)*(tblDados[GS_V]&gt;0)))/G360,0))</f>
        <v>0.66666666666666663</v>
      </c>
      <c r="P360" s="10" cm="1">
        <f t="array" ref="P360">IF($A360="","",IFERROR((SUMPRODUCT((TRIM(tblDados[Mandante])=$A360)*tblDados[Primeira_Ocorrencia]*tblDados[GM_M]^2)+SUMPRODUCT((TRIM(tblDados[Visitante])=$A360)*tblDados[Primeira_Ocorrencia]*tblDados[GM_V]^2))/G360-H360^2,0))</f>
        <v>1.7430555555555558</v>
      </c>
      <c r="Q360" s="10">
        <f t="shared" si="122"/>
        <v>1.3202482931462385</v>
      </c>
      <c r="R360" s="8" t="str">
        <f t="shared" si="123"/>
        <v>Poisson</v>
      </c>
      <c r="S360" s="10" cm="1">
        <f t="array" ref="S360">IF($A360="","",SUMPRODUCT((TRIM(tblDados[Mandante])=$A360)*tblDados[Primeira_Ocorrencia]*tblDados[GM_M]))</f>
        <v>15</v>
      </c>
      <c r="T360" s="10" cm="1">
        <f t="array" ref="T360">IF($A360="","",SUMPRODUCT((TRIM(tblDados[Visitante])=$A360)*tblDados[Primeira_Ocorrencia]*tblDados[GM_V]))</f>
        <v>4</v>
      </c>
      <c r="U360" s="10">
        <f t="shared" si="124"/>
        <v>19</v>
      </c>
      <c r="V360" s="10">
        <f t="shared" si="113"/>
        <v>1.5833333333333333</v>
      </c>
      <c r="W360" s="10" cm="1">
        <f t="array" ref="W360">IF($A360="","",SUMPRODUCT((TRIM(tblDados[Mandante])=$A360)*tblDados[Primeira_Ocorrencia]*tblDados[GS_M]))</f>
        <v>13</v>
      </c>
      <c r="X360" s="10" cm="1">
        <f t="array" ref="X360">IF($A360="","",SUMPRODUCT((TRIM(tblDados[Visitante])=$A360)*tblDados[Primeira_Ocorrencia]*tblDados[GS_V]))</f>
        <v>8</v>
      </c>
      <c r="Y360" s="10">
        <f t="shared" si="125"/>
        <v>21</v>
      </c>
      <c r="Z360" s="10">
        <f t="shared" si="114"/>
        <v>1.75</v>
      </c>
      <c r="AA360" s="10">
        <f t="shared" si="115"/>
        <v>2.1428571428571428</v>
      </c>
      <c r="AB360" s="10">
        <f t="shared" si="116"/>
        <v>1.8571428571428572</v>
      </c>
      <c r="AC360" s="10">
        <f t="shared" si="117"/>
        <v>0.8</v>
      </c>
      <c r="AD360" s="10">
        <f t="shared" si="118"/>
        <v>1.6</v>
      </c>
    </row>
    <row r="361" spans="1:30" x14ac:dyDescent="0.3">
      <c r="A361" s="7" t="str">
        <v>San Jose Earthquakes</v>
      </c>
      <c r="B361" s="12" t="str" cm="1">
        <f t="array" ref="B361">IF($A361="","",_xlfn.LET(_xlpm.p,IFERROR(INDEX(tblDados[País],MATCH($A361,TRIM(tblDados[Mandante]),0)),INDEX(tblDados[País],MATCH($A361,TRIM(tblDados[Visitante]),0))),_xlpm.l,IFERROR(INDEX(tblDados[Liga],MATCH($A361,TRIM(tblDados[Mandante]),0)),INDEX(tblDados[Liga],MATCH($A361,TRIM(tblDados[Visitante]),0))),_xlpm.p&amp;" - "&amp;_xlpm.l))</f>
        <v>USA - MLS-West</v>
      </c>
      <c r="C361" s="10">
        <f t="shared" si="119"/>
        <v>3.8</v>
      </c>
      <c r="D361" s="10">
        <f t="shared" si="120"/>
        <v>4.4285714285714288</v>
      </c>
      <c r="E361" s="9" cm="1">
        <f t="array" ref="E361">IF($A361="","",SUMPRODUCT((TRIM(tblDados[Mandante])=$A361)*tblDados[Primeira_Ocorrencia]))</f>
        <v>5</v>
      </c>
      <c r="F361" s="9" cm="1">
        <f t="array" ref="F361">IF($A361="","",SUMPRODUCT((TRIM(tblDados[Visitante])=$A361)*tblDados[Primeira_Ocorrencia]))</f>
        <v>7</v>
      </c>
      <c r="G361" s="9" cm="1">
        <f t="array" ref="G361">IF($A361="","",SUMPRODUCT((TRIM(tblDados[Mandante])=$A361)*tblDados[Primeira_Ocorrencia])+SUMPRODUCT((TRIM(tblDados[Visitante])=$A361)*tblDados[Primeira_Ocorrencia]))</f>
        <v>12</v>
      </c>
      <c r="H361" s="10">
        <f t="shared" si="121"/>
        <v>2.25</v>
      </c>
      <c r="I361" s="10" cm="1">
        <f t="array" ref="I361">IF($A361="","",_xlfn.LET(_xlpm.p,IFERROR(INDEX(tblDados[País],MATCH($A361,TRIM(tblDados[Mandante]),0)),INDEX(tblDados[País],MATCH($A361,TRIM(tblDados[Visitante]),0))),_xlpm.l,IFERROR(INDEX(tblDados[Liga],MATCH($A361,TRIM(tblDados[Mandante]),0)),INDEX(tblDados[Liga],MATCH($A361,TRIM(tblDados[Visitante]),0))),IFERROR(SUMIFS(Ligas!$D$2:$D$39,Ligas!$H$2:$H$39,_xlpm.p,Ligas!$I$2:$I$39,_xlpm.l),0)))</f>
        <v>3.3</v>
      </c>
      <c r="J361" s="11" cm="1">
        <f t="array" ref="J361">IF($A361="","",IFERROR((SUMPRODUCT((TRIM(tblDados[Mandante])=$A361)*tblDados[Primeira_Ocorrencia]*(tblDados[GM_M]=0))+SUMPRODUCT((TRIM(tblDados[Visitante])=$A361)*tblDados[Primeira_Ocorrencia]*(tblDados[GM_V]=0)))/G361,0))</f>
        <v>8.3333333333333329E-2</v>
      </c>
      <c r="K361" s="11" cm="1">
        <f t="array" ref="K361">IF($A361="","",IFERROR((SUMPRODUCT((TRIM(tblDados[Mandante])=$A361)*tblDados[Primeira_Ocorrencia]*((tblDados[GM_M]+tblDados[GS_M])&gt;0.5))+SUMPRODUCT((TRIM(tblDados[Visitante])=$A361)*tblDados[Primeira_Ocorrencia]*((tblDados[GM_V]+tblDados[GS_V])&gt;0.5)))/G361,0))</f>
        <v>1</v>
      </c>
      <c r="L361" s="11" cm="1">
        <f t="array" ref="L361">IF($A361="","",IFERROR((SUMPRODUCT((TRIM(tblDados[Mandante])=$A361)*tblDados[Primeira_Ocorrencia]*((tblDados[GM_M]+tblDados[GS_M])&gt;1.5))+SUMPRODUCT((TRIM(tblDados[Visitante])=$A361)*tblDados[Primeira_Ocorrencia]*((tblDados[GM_V]+tblDados[GS_V])&gt;1.5)))/G361,0))</f>
        <v>1</v>
      </c>
      <c r="M361" s="11" cm="1">
        <f t="array" ref="M361">IF($A361="","",IFERROR((SUMPRODUCT((TRIM(tblDados[Mandante])=$A361)*tblDados[Primeira_Ocorrencia]*((tblDados[GM_M]+tblDados[GS_M])&gt;2.5))+SUMPRODUCT((TRIM(tblDados[Visitante])=$A361)*tblDados[Primeira_Ocorrencia]*((tblDados[GM_V]+tblDados[GS_V])&gt;2.5)))/G361,0))</f>
        <v>0.75</v>
      </c>
      <c r="N361" s="11" cm="1">
        <f t="array" ref="N361">IF($A361="","",IFERROR((SUMPRODUCT((TRIM(tblDados[Mandante])=$A361)*tblDados[Primeira_Ocorrencia]*((tblDados[GM_M]+tblDados[GS_M])&gt;3.5))+SUMPRODUCT((TRIM(tblDados[Visitante])=$A361)*tblDados[Primeira_Ocorrencia]*((tblDados[GM_V]+tblDados[GS_V])&gt;3.5)))/G361,0))</f>
        <v>0.75</v>
      </c>
      <c r="O361" s="11" cm="1">
        <f t="array" ref="O361">IF($A361="","",IFERROR((SUMPRODUCT((TRIM(tblDados[Mandante])=$A361)*tblDados[Primeira_Ocorrencia]*(tblDados[GM_M]&gt;0)*(tblDados[GS_M]&gt;0))+SUMPRODUCT((TRIM(tblDados[Visitante])=$A361)*tblDados[Primeira_Ocorrencia]*(tblDados[GM_V]&gt;0)*(tblDados[GS_V]&gt;0)))/G361,0))</f>
        <v>0.91666666666666663</v>
      </c>
      <c r="P361" s="10" cm="1">
        <f t="array" ref="P361">IF($A361="","",IFERROR((SUMPRODUCT((TRIM(tblDados[Mandante])=$A361)*tblDados[Primeira_Ocorrencia]*tblDados[GM_M]^2)+SUMPRODUCT((TRIM(tblDados[Visitante])=$A361)*tblDados[Primeira_Ocorrencia]*tblDados[GM_V]^2))/G361-H361^2,0))</f>
        <v>1.854166666666667</v>
      </c>
      <c r="Q361" s="10">
        <f t="shared" si="122"/>
        <v>1.3616778865306827</v>
      </c>
      <c r="R361" s="8" t="str">
        <f t="shared" si="123"/>
        <v>Poisson</v>
      </c>
      <c r="S361" s="10" cm="1">
        <f t="array" ref="S361">IF($A361="","",SUMPRODUCT((TRIM(tblDados[Mandante])=$A361)*tblDados[Primeira_Ocorrencia]*tblDados[GM_M]))</f>
        <v>9</v>
      </c>
      <c r="T361" s="10" cm="1">
        <f t="array" ref="T361">IF($A361="","",SUMPRODUCT((TRIM(tblDados[Visitante])=$A361)*tblDados[Primeira_Ocorrencia]*tblDados[GM_V]))</f>
        <v>18</v>
      </c>
      <c r="U361" s="10">
        <f t="shared" si="124"/>
        <v>27</v>
      </c>
      <c r="V361" s="10">
        <f t="shared" si="113"/>
        <v>2.25</v>
      </c>
      <c r="W361" s="10" cm="1">
        <f t="array" ref="W361">IF($A361="","",SUMPRODUCT((TRIM(tblDados[Mandante])=$A361)*tblDados[Primeira_Ocorrencia]*tblDados[GS_M]))</f>
        <v>10</v>
      </c>
      <c r="X361" s="10" cm="1">
        <f t="array" ref="X361">IF($A361="","",SUMPRODUCT((TRIM(tblDados[Visitante])=$A361)*tblDados[Primeira_Ocorrencia]*tblDados[GS_V]))</f>
        <v>13</v>
      </c>
      <c r="Y361" s="10">
        <f t="shared" si="125"/>
        <v>23</v>
      </c>
      <c r="Z361" s="10">
        <f t="shared" si="114"/>
        <v>1.9166666666666667</v>
      </c>
      <c r="AA361" s="10">
        <f t="shared" si="115"/>
        <v>1.8</v>
      </c>
      <c r="AB361" s="10">
        <f t="shared" si="116"/>
        <v>2</v>
      </c>
      <c r="AC361" s="10">
        <f t="shared" si="117"/>
        <v>2.5714285714285716</v>
      </c>
      <c r="AD361" s="10">
        <f t="shared" si="118"/>
        <v>1.8571428571428572</v>
      </c>
    </row>
    <row r="362" spans="1:30" x14ac:dyDescent="0.3">
      <c r="A362" s="7" t="str">
        <v>Sandefjord Fotball</v>
      </c>
      <c r="B362" s="12" t="str" cm="1">
        <f t="array" ref="B362">IF($A362="","",_xlfn.LET(_xlpm.p,IFERROR(INDEX(tblDados[País],MATCH($A362,TRIM(tblDados[Mandante]),0)),INDEX(tblDados[País],MATCH($A362,TRIM(tblDados[Visitante]),0))),_xlpm.l,IFERROR(INDEX(tblDados[Liga],MATCH($A362,TRIM(tblDados[Mandante]),0)),INDEX(tblDados[Liga],MATCH($A362,TRIM(tblDados[Visitante]),0))),_xlpm.p&amp;" - "&amp;_xlpm.l))</f>
        <v>NOR - Eliteserien</v>
      </c>
      <c r="C362" s="10">
        <f t="shared" si="119"/>
        <v>1.8571428571428572</v>
      </c>
      <c r="D362" s="10">
        <f t="shared" si="120"/>
        <v>3</v>
      </c>
      <c r="E362" s="9" cm="1">
        <f t="array" ref="E362">IF($A362="","",SUMPRODUCT((TRIM(tblDados[Mandante])=$A362)*tblDados[Primeira_Ocorrencia]))</f>
        <v>7</v>
      </c>
      <c r="F362" s="9" cm="1">
        <f t="array" ref="F362">IF($A362="","",SUMPRODUCT((TRIM(tblDados[Visitante])=$A362)*tblDados[Primeira_Ocorrencia]))</f>
        <v>5</v>
      </c>
      <c r="G362" s="9" cm="1">
        <f t="array" ref="G362">IF($A362="","",SUMPRODUCT((TRIM(tblDados[Mandante])=$A362)*tblDados[Primeira_Ocorrencia])+SUMPRODUCT((TRIM(tblDados[Visitante])=$A362)*tblDados[Primeira_Ocorrencia]))</f>
        <v>12</v>
      </c>
      <c r="H362" s="10">
        <f t="shared" si="121"/>
        <v>0.83333333333333337</v>
      </c>
      <c r="I362" s="10" cm="1">
        <f t="array" ref="I362">IF($A362="","",_xlfn.LET(_xlpm.p,IFERROR(INDEX(tblDados[País],MATCH($A362,TRIM(tblDados[Mandante]),0)),INDEX(tblDados[País],MATCH($A362,TRIM(tblDados[Visitante]),0))),_xlpm.l,IFERROR(INDEX(tblDados[Liga],MATCH($A362,TRIM(tblDados[Mandante]),0)),INDEX(tblDados[Liga],MATCH($A362,TRIM(tblDados[Visitante]),0))),IFERROR(SUMIFS(Ligas!$D$2:$D$39,Ligas!$H$2:$H$39,_xlpm.p,Ligas!$I$2:$I$39,_xlpm.l),0)))</f>
        <v>2.5</v>
      </c>
      <c r="J362" s="11" cm="1">
        <f t="array" ref="J362">IF($A362="","",IFERROR((SUMPRODUCT((TRIM(tblDados[Mandante])=$A362)*tblDados[Primeira_Ocorrencia]*(tblDados[GM_M]=0))+SUMPRODUCT((TRIM(tblDados[Visitante])=$A362)*tblDados[Primeira_Ocorrencia]*(tblDados[GM_V]=0)))/G362,0))</f>
        <v>0.33333333333333331</v>
      </c>
      <c r="K362" s="11" cm="1">
        <f t="array" ref="K362">IF($A362="","",IFERROR((SUMPRODUCT((TRIM(tblDados[Mandante])=$A362)*tblDados[Primeira_Ocorrencia]*((tblDados[GM_M]+tblDados[GS_M])&gt;0.5))+SUMPRODUCT((TRIM(tblDados[Visitante])=$A362)*tblDados[Primeira_Ocorrencia]*((tblDados[GM_V]+tblDados[GS_V])&gt;0.5)))/G362,0))</f>
        <v>0.91666666666666663</v>
      </c>
      <c r="L362" s="11" cm="1">
        <f t="array" ref="L362">IF($A362="","",IFERROR((SUMPRODUCT((TRIM(tblDados[Mandante])=$A362)*tblDados[Primeira_Ocorrencia]*((tblDados[GM_M]+tblDados[GS_M])&gt;1.5))+SUMPRODUCT((TRIM(tblDados[Visitante])=$A362)*tblDados[Primeira_Ocorrencia]*((tblDados[GM_V]+tblDados[GS_V])&gt;1.5)))/G362,0))</f>
        <v>0.66666666666666663</v>
      </c>
      <c r="M362" s="11" cm="1">
        <f t="array" ref="M362">IF($A362="","",IFERROR((SUMPRODUCT((TRIM(tblDados[Mandante])=$A362)*tblDados[Primeira_Ocorrencia]*((tblDados[GM_M]+tblDados[GS_M])&gt;2.5))+SUMPRODUCT((TRIM(tblDados[Visitante])=$A362)*tblDados[Primeira_Ocorrencia]*((tblDados[GM_V]+tblDados[GS_V])&gt;2.5)))/G362,0))</f>
        <v>0.5</v>
      </c>
      <c r="N362" s="11" cm="1">
        <f t="array" ref="N362">IF($A362="","",IFERROR((SUMPRODUCT((TRIM(tblDados[Mandante])=$A362)*tblDados[Primeira_Ocorrencia]*((tblDados[GM_M]+tblDados[GS_M])&gt;3.5))+SUMPRODUCT((TRIM(tblDados[Visitante])=$A362)*tblDados[Primeira_Ocorrencia]*((tblDados[GM_V]+tblDados[GS_V])&gt;3.5)))/G362,0))</f>
        <v>0.25</v>
      </c>
      <c r="O362" s="11" cm="1">
        <f t="array" ref="O362">IF($A362="","",IFERROR((SUMPRODUCT((TRIM(tblDados[Mandante])=$A362)*tblDados[Primeira_Ocorrencia]*(tblDados[GM_M]&gt;0)*(tblDados[GS_M]&gt;0))+SUMPRODUCT((TRIM(tblDados[Visitante])=$A362)*tblDados[Primeira_Ocorrencia]*(tblDados[GM_V]&gt;0)*(tblDados[GS_V]&gt;0)))/G362,0))</f>
        <v>0.5</v>
      </c>
      <c r="P362" s="10" cm="1">
        <f t="array" ref="P362">IF($A362="","",IFERROR((SUMPRODUCT((TRIM(tblDados[Mandante])=$A362)*tblDados[Primeira_Ocorrencia]*tblDados[GM_M]^2)+SUMPRODUCT((TRIM(tblDados[Visitante])=$A362)*tblDados[Primeira_Ocorrencia]*tblDados[GM_V]^2))/G362-H362^2,0))</f>
        <v>0.47222222222222221</v>
      </c>
      <c r="Q362" s="10">
        <f t="shared" si="122"/>
        <v>0.68718427093627676</v>
      </c>
      <c r="R362" s="8" t="str">
        <f t="shared" si="123"/>
        <v>Poisson</v>
      </c>
      <c r="S362" s="10" cm="1">
        <f t="array" ref="S362">IF($A362="","",SUMPRODUCT((TRIM(tblDados[Mandante])=$A362)*tblDados[Primeira_Ocorrencia]*tblDados[GM_M]))</f>
        <v>6</v>
      </c>
      <c r="T362" s="10" cm="1">
        <f t="array" ref="T362">IF($A362="","",SUMPRODUCT((TRIM(tblDados[Visitante])=$A362)*tblDados[Primeira_Ocorrencia]*tblDados[GM_V]))</f>
        <v>4</v>
      </c>
      <c r="U362" s="10">
        <f t="shared" si="124"/>
        <v>10</v>
      </c>
      <c r="V362" s="10">
        <f t="shared" si="113"/>
        <v>0.83333333333333337</v>
      </c>
      <c r="W362" s="10" cm="1">
        <f t="array" ref="W362">IF($A362="","",SUMPRODUCT((TRIM(tblDados[Mandante])=$A362)*tblDados[Primeira_Ocorrencia]*tblDados[GS_M]))</f>
        <v>7</v>
      </c>
      <c r="X362" s="10" cm="1">
        <f t="array" ref="X362">IF($A362="","",SUMPRODUCT((TRIM(tblDados[Visitante])=$A362)*tblDados[Primeira_Ocorrencia]*tblDados[GS_V]))</f>
        <v>11</v>
      </c>
      <c r="Y362" s="10">
        <f t="shared" si="125"/>
        <v>18</v>
      </c>
      <c r="Z362" s="10">
        <f t="shared" si="114"/>
        <v>1.5</v>
      </c>
      <c r="AA362" s="10">
        <f t="shared" si="115"/>
        <v>0.8571428571428571</v>
      </c>
      <c r="AB362" s="10">
        <f t="shared" si="116"/>
        <v>1</v>
      </c>
      <c r="AC362" s="10">
        <f t="shared" si="117"/>
        <v>0.8</v>
      </c>
      <c r="AD362" s="10">
        <f t="shared" si="118"/>
        <v>2.2000000000000002</v>
      </c>
    </row>
    <row r="363" spans="1:30" x14ac:dyDescent="0.3">
      <c r="A363" s="7" t="str">
        <v>Sandnes Ulf</v>
      </c>
      <c r="B363" s="12" t="str" cm="1">
        <f t="array" ref="B363">IF($A363="","",_xlfn.LET(_xlpm.p,IFERROR(INDEX(tblDados[País],MATCH($A363,TRIM(tblDados[Mandante]),0)),INDEX(tblDados[País],MATCH($A363,TRIM(tblDados[Visitante]),0))),_xlpm.l,IFERROR(INDEX(tblDados[Liga],MATCH($A363,TRIM(tblDados[Mandante]),0)),INDEX(tblDados[Liga],MATCH($A363,TRIM(tblDados[Visitante]),0))),_xlpm.p&amp;" - "&amp;_xlpm.l))</f>
        <v>NOR - OBOS-ligaen</v>
      </c>
      <c r="C363" s="10">
        <f t="shared" si="119"/>
        <v>4</v>
      </c>
      <c r="D363" s="10">
        <f t="shared" si="120"/>
        <v>3.4000000000000004</v>
      </c>
      <c r="E363" s="9" cm="1">
        <f t="array" ref="E363">IF($A363="","",SUMPRODUCT((TRIM(tblDados[Mandante])=$A363)*tblDados[Primeira_Ocorrencia]))</f>
        <v>7</v>
      </c>
      <c r="F363" s="9" cm="1">
        <f t="array" ref="F363">IF($A363="","",SUMPRODUCT((TRIM(tblDados[Visitante])=$A363)*tblDados[Primeira_Ocorrencia]))</f>
        <v>5</v>
      </c>
      <c r="G363" s="9" cm="1">
        <f t="array" ref="G363">IF($A363="","",SUMPRODUCT((TRIM(tblDados[Mandante])=$A363)*tblDados[Primeira_Ocorrencia])+SUMPRODUCT((TRIM(tblDados[Visitante])=$A363)*tblDados[Primeira_Ocorrencia]))</f>
        <v>12</v>
      </c>
      <c r="H363" s="10">
        <f t="shared" si="121"/>
        <v>1.75</v>
      </c>
      <c r="I363" s="10" cm="1">
        <f t="array" ref="I363">IF($A363="","",_xlfn.LET(_xlpm.p,IFERROR(INDEX(tblDados[País],MATCH($A363,TRIM(tblDados[Mandante]),0)),INDEX(tblDados[País],MATCH($A363,TRIM(tblDados[Visitante]),0))),_xlpm.l,IFERROR(INDEX(tblDados[Liga],MATCH($A363,TRIM(tblDados[Mandante]),0)),INDEX(tblDados[Liga],MATCH($A363,TRIM(tblDados[Visitante]),0))),IFERROR(SUMIFS(Ligas!$D$2:$D$39,Ligas!$H$2:$H$39,_xlpm.p,Ligas!$I$2:$I$39,_xlpm.l),0)))</f>
        <v>2.5</v>
      </c>
      <c r="J363" s="11" cm="1">
        <f t="array" ref="J363">IF($A363="","",IFERROR((SUMPRODUCT((TRIM(tblDados[Mandante])=$A363)*tblDados[Primeira_Ocorrencia]*(tblDados[GM_M]=0))+SUMPRODUCT((TRIM(tblDados[Visitante])=$A363)*tblDados[Primeira_Ocorrencia]*(tblDados[GM_V]=0)))/G363,0))</f>
        <v>0.25</v>
      </c>
      <c r="K363" s="11" cm="1">
        <f t="array" ref="K363">IF($A363="","",IFERROR((SUMPRODUCT((TRIM(tblDados[Mandante])=$A363)*tblDados[Primeira_Ocorrencia]*((tblDados[GM_M]+tblDados[GS_M])&gt;0.5))+SUMPRODUCT((TRIM(tblDados[Visitante])=$A363)*tblDados[Primeira_Ocorrencia]*((tblDados[GM_V]+tblDados[GS_V])&gt;0.5)))/G363,0))</f>
        <v>1</v>
      </c>
      <c r="L363" s="11" cm="1">
        <f t="array" ref="L363">IF($A363="","",IFERROR((SUMPRODUCT((TRIM(tblDados[Mandante])=$A363)*tblDados[Primeira_Ocorrencia]*((tblDados[GM_M]+tblDados[GS_M])&gt;1.5))+SUMPRODUCT((TRIM(tblDados[Visitante])=$A363)*tblDados[Primeira_Ocorrencia]*((tblDados[GM_V]+tblDados[GS_V])&gt;1.5)))/G363,0))</f>
        <v>0.91666666666666663</v>
      </c>
      <c r="M363" s="11" cm="1">
        <f t="array" ref="M363">IF($A363="","",IFERROR((SUMPRODUCT((TRIM(tblDados[Mandante])=$A363)*tblDados[Primeira_Ocorrencia]*((tblDados[GM_M]+tblDados[GS_M])&gt;2.5))+SUMPRODUCT((TRIM(tblDados[Visitante])=$A363)*tblDados[Primeira_Ocorrencia]*((tblDados[GM_V]+tblDados[GS_V])&gt;2.5)))/G363,0))</f>
        <v>0.5</v>
      </c>
      <c r="N363" s="11" cm="1">
        <f t="array" ref="N363">IF($A363="","",IFERROR((SUMPRODUCT((TRIM(tblDados[Mandante])=$A363)*tblDados[Primeira_Ocorrencia]*((tblDados[GM_M]+tblDados[GS_M])&gt;3.5))+SUMPRODUCT((TRIM(tblDados[Visitante])=$A363)*tblDados[Primeira_Ocorrencia]*((tblDados[GM_V]+tblDados[GS_V])&gt;3.5)))/G363,0))</f>
        <v>0.41666666666666669</v>
      </c>
      <c r="O363" s="11" cm="1">
        <f t="array" ref="O363">IF($A363="","",IFERROR((SUMPRODUCT((TRIM(tblDados[Mandante])=$A363)*tblDados[Primeira_Ocorrencia]*(tblDados[GM_M]&gt;0)*(tblDados[GS_M]&gt;0))+SUMPRODUCT((TRIM(tblDados[Visitante])=$A363)*tblDados[Primeira_Ocorrencia]*(tblDados[GM_V]&gt;0)*(tblDados[GS_V]&gt;0)))/G363,0))</f>
        <v>0.5</v>
      </c>
      <c r="P363" s="10" cm="1">
        <f t="array" ref="P363">IF($A363="","",IFERROR((SUMPRODUCT((TRIM(tblDados[Mandante])=$A363)*tblDados[Primeira_Ocorrencia]*tblDados[GM_M]^2)+SUMPRODUCT((TRIM(tblDados[Visitante])=$A363)*tblDados[Primeira_Ocorrencia]*tblDados[GM_V]^2))/G363-H363^2,0))</f>
        <v>2.020833333333333</v>
      </c>
      <c r="Q363" s="10">
        <f t="shared" si="122"/>
        <v>1.4215601757693317</v>
      </c>
      <c r="R363" s="8" t="str">
        <f t="shared" si="123"/>
        <v>Poisson</v>
      </c>
      <c r="S363" s="10" cm="1">
        <f t="array" ref="S363">IF($A363="","",SUMPRODUCT((TRIM(tblDados[Mandante])=$A363)*tblDados[Primeira_Ocorrencia]*tblDados[GM_M]))</f>
        <v>15</v>
      </c>
      <c r="T363" s="10" cm="1">
        <f t="array" ref="T363">IF($A363="","",SUMPRODUCT((TRIM(tblDados[Visitante])=$A363)*tblDados[Primeira_Ocorrencia]*tblDados[GM_V]))</f>
        <v>6</v>
      </c>
      <c r="U363" s="10">
        <f t="shared" si="124"/>
        <v>21</v>
      </c>
      <c r="V363" s="10">
        <f t="shared" si="113"/>
        <v>1.75</v>
      </c>
      <c r="W363" s="10" cm="1">
        <f t="array" ref="W363">IF($A363="","",SUMPRODUCT((TRIM(tblDados[Mandante])=$A363)*tblDados[Primeira_Ocorrencia]*tblDados[GS_M]))</f>
        <v>13</v>
      </c>
      <c r="X363" s="10" cm="1">
        <f t="array" ref="X363">IF($A363="","",SUMPRODUCT((TRIM(tblDados[Visitante])=$A363)*tblDados[Primeira_Ocorrencia]*tblDados[GS_V]))</f>
        <v>11</v>
      </c>
      <c r="Y363" s="10">
        <f t="shared" si="125"/>
        <v>24</v>
      </c>
      <c r="Z363" s="10">
        <f t="shared" si="114"/>
        <v>2</v>
      </c>
      <c r="AA363" s="10">
        <f t="shared" si="115"/>
        <v>2.1428571428571428</v>
      </c>
      <c r="AB363" s="10">
        <f t="shared" si="116"/>
        <v>1.8571428571428572</v>
      </c>
      <c r="AC363" s="10">
        <f t="shared" si="117"/>
        <v>1.2</v>
      </c>
      <c r="AD363" s="10">
        <f t="shared" si="118"/>
        <v>2.2000000000000002</v>
      </c>
    </row>
    <row r="364" spans="1:30" x14ac:dyDescent="0.3">
      <c r="A364" s="7" t="str">
        <v>Sandvikens IF</v>
      </c>
      <c r="B364" s="12" t="str" cm="1">
        <f t="array" ref="B364">IF($A364="","",_xlfn.LET(_xlpm.p,IFERROR(INDEX(tblDados[País],MATCH($A364,TRIM(tblDados[Mandante]),0)),INDEX(tblDados[País],MATCH($A364,TRIM(tblDados[Visitante]),0))),_xlpm.l,IFERROR(INDEX(tblDados[Liga],MATCH($A364,TRIM(tblDados[Mandante]),0)),INDEX(tblDados[Liga],MATCH($A364,TRIM(tblDados[Visitante]),0))),_xlpm.p&amp;" - "&amp;_xlpm.l))</f>
        <v>SWE - Superettan</v>
      </c>
      <c r="C364" s="10">
        <f t="shared" si="119"/>
        <v>4.5999999999999996</v>
      </c>
      <c r="D364" s="10">
        <f t="shared" si="120"/>
        <v>2.2857142857142856</v>
      </c>
      <c r="E364" s="9" cm="1">
        <f t="array" ref="E364">IF($A364="","",SUMPRODUCT((TRIM(tblDados[Mandante])=$A364)*tblDados[Primeira_Ocorrencia]))</f>
        <v>5</v>
      </c>
      <c r="F364" s="9" cm="1">
        <f t="array" ref="F364">IF($A364="","",SUMPRODUCT((TRIM(tblDados[Visitante])=$A364)*tblDados[Primeira_Ocorrencia]))</f>
        <v>7</v>
      </c>
      <c r="G364" s="9" cm="1">
        <f t="array" ref="G364">IF($A364="","",SUMPRODUCT((TRIM(tblDados[Mandante])=$A364)*tblDados[Primeira_Ocorrencia])+SUMPRODUCT((TRIM(tblDados[Visitante])=$A364)*tblDados[Primeira_Ocorrencia]))</f>
        <v>12</v>
      </c>
      <c r="H364" s="10">
        <f t="shared" si="121"/>
        <v>1.9166666666666667</v>
      </c>
      <c r="I364" s="10" cm="1">
        <f t="array" ref="I364">IF($A364="","",_xlfn.LET(_xlpm.p,IFERROR(INDEX(tblDados[País],MATCH($A364,TRIM(tblDados[Mandante]),0)),INDEX(tblDados[País],MATCH($A364,TRIM(tblDados[Visitante]),0))),_xlpm.l,IFERROR(INDEX(tblDados[Liga],MATCH($A364,TRIM(tblDados[Mandante]),0)),INDEX(tblDados[Liga],MATCH($A364,TRIM(tblDados[Visitante]),0))),IFERROR(SUMIFS(Ligas!$D$2:$D$39,Ligas!$H$2:$H$39,_xlpm.p,Ligas!$I$2:$I$39,_xlpm.l),0)))</f>
        <v>2.5</v>
      </c>
      <c r="J364" s="11" cm="1">
        <f t="array" ref="J364">IF($A364="","",IFERROR((SUMPRODUCT((TRIM(tblDados[Mandante])=$A364)*tblDados[Primeira_Ocorrencia]*(tblDados[GM_M]=0))+SUMPRODUCT((TRIM(tblDados[Visitante])=$A364)*tblDados[Primeira_Ocorrencia]*(tblDados[GM_V]=0)))/G364,0))</f>
        <v>0.25</v>
      </c>
      <c r="K364" s="11" cm="1">
        <f t="array" ref="K364">IF($A364="","",IFERROR((SUMPRODUCT((TRIM(tblDados[Mandante])=$A364)*tblDados[Primeira_Ocorrencia]*((tblDados[GM_M]+tblDados[GS_M])&gt;0.5))+SUMPRODUCT((TRIM(tblDados[Visitante])=$A364)*tblDados[Primeira_Ocorrencia]*((tblDados[GM_V]+tblDados[GS_V])&gt;0.5)))/G364,0))</f>
        <v>1</v>
      </c>
      <c r="L364" s="11" cm="1">
        <f t="array" ref="L364">IF($A364="","",IFERROR((SUMPRODUCT((TRIM(tblDados[Mandante])=$A364)*tblDados[Primeira_Ocorrencia]*((tblDados[GM_M]+tblDados[GS_M])&gt;1.5))+SUMPRODUCT((TRIM(tblDados[Visitante])=$A364)*tblDados[Primeira_Ocorrencia]*((tblDados[GM_V]+tblDados[GS_V])&gt;1.5)))/G364,0))</f>
        <v>0.75</v>
      </c>
      <c r="M364" s="11" cm="1">
        <f t="array" ref="M364">IF($A364="","",IFERROR((SUMPRODUCT((TRIM(tblDados[Mandante])=$A364)*tblDados[Primeira_Ocorrencia]*((tblDados[GM_M]+tblDados[GS_M])&gt;2.5))+SUMPRODUCT((TRIM(tblDados[Visitante])=$A364)*tblDados[Primeira_Ocorrencia]*((tblDados[GM_V]+tblDados[GS_V])&gt;2.5)))/G364,0))</f>
        <v>0.66666666666666663</v>
      </c>
      <c r="N364" s="11" cm="1">
        <f t="array" ref="N364">IF($A364="","",IFERROR((SUMPRODUCT((TRIM(tblDados[Mandante])=$A364)*tblDados[Primeira_Ocorrencia]*((tblDados[GM_M]+tblDados[GS_M])&gt;3.5))+SUMPRODUCT((TRIM(tblDados[Visitante])=$A364)*tblDados[Primeira_Ocorrencia]*((tblDados[GM_V]+tblDados[GS_V])&gt;3.5)))/G364,0))</f>
        <v>0.33333333333333331</v>
      </c>
      <c r="O364" s="11" cm="1">
        <f t="array" ref="O364">IF($A364="","",IFERROR((SUMPRODUCT((TRIM(tblDados[Mandante])=$A364)*tblDados[Primeira_Ocorrencia]*(tblDados[GM_M]&gt;0)*(tblDados[GS_M]&gt;0))+SUMPRODUCT((TRIM(tblDados[Visitante])=$A364)*tblDados[Primeira_Ocorrencia]*(tblDados[GM_V]&gt;0)*(tblDados[GS_V]&gt;0)))/G364,0))</f>
        <v>0.5</v>
      </c>
      <c r="P364" s="10" cm="1">
        <f t="array" ref="P364">IF($A364="","",IFERROR((SUMPRODUCT((TRIM(tblDados[Mandante])=$A364)*tblDados[Primeira_Ocorrencia]*tblDados[GM_M]^2)+SUMPRODUCT((TRIM(tblDados[Visitante])=$A364)*tblDados[Primeira_Ocorrencia]*tblDados[GM_V]^2))/G364-H364^2,0))</f>
        <v>2.9097222222222214</v>
      </c>
      <c r="Q364" s="10">
        <f t="shared" si="122"/>
        <v>1.7057907908715597</v>
      </c>
      <c r="R364" s="8" t="str">
        <f t="shared" si="123"/>
        <v>Poisson</v>
      </c>
      <c r="S364" s="10" cm="1">
        <f t="array" ref="S364">IF($A364="","",SUMPRODUCT((TRIM(tblDados[Mandante])=$A364)*tblDados[Primeira_Ocorrencia]*tblDados[GM_M]))</f>
        <v>16</v>
      </c>
      <c r="T364" s="10" cm="1">
        <f t="array" ref="T364">IF($A364="","",SUMPRODUCT((TRIM(tblDados[Visitante])=$A364)*tblDados[Primeira_Ocorrencia]*tblDados[GM_V]))</f>
        <v>7</v>
      </c>
      <c r="U364" s="10">
        <f t="shared" si="124"/>
        <v>23</v>
      </c>
      <c r="V364" s="10">
        <f t="shared" si="113"/>
        <v>1.9166666666666667</v>
      </c>
      <c r="W364" s="10" cm="1">
        <f t="array" ref="W364">IF($A364="","",SUMPRODUCT((TRIM(tblDados[Mandante])=$A364)*tblDados[Primeira_Ocorrencia]*tblDados[GS_M]))</f>
        <v>7</v>
      </c>
      <c r="X364" s="10" cm="1">
        <f t="array" ref="X364">IF($A364="","",SUMPRODUCT((TRIM(tblDados[Visitante])=$A364)*tblDados[Primeira_Ocorrencia]*tblDados[GS_V]))</f>
        <v>9</v>
      </c>
      <c r="Y364" s="10">
        <f t="shared" si="125"/>
        <v>16</v>
      </c>
      <c r="Z364" s="10">
        <f t="shared" si="114"/>
        <v>1.3333333333333333</v>
      </c>
      <c r="AA364" s="10">
        <f t="shared" si="115"/>
        <v>3.2</v>
      </c>
      <c r="AB364" s="10">
        <f t="shared" si="116"/>
        <v>1.4</v>
      </c>
      <c r="AC364" s="10">
        <f t="shared" si="117"/>
        <v>1</v>
      </c>
      <c r="AD364" s="10">
        <f t="shared" si="118"/>
        <v>1.2857142857142858</v>
      </c>
    </row>
    <row r="365" spans="1:30" x14ac:dyDescent="0.3">
      <c r="A365" s="7" t="str">
        <v>Santa Cruz</v>
      </c>
      <c r="B365" s="12" t="str" cm="1">
        <f t="array" ref="B365">IF($A365="","",_xlfn.LET(_xlpm.p,IFERROR(INDEX(tblDados[País],MATCH($A365,TRIM(tblDados[Mandante]),0)),INDEX(tblDados[País],MATCH($A365,TRIM(tblDados[Visitante]),0))),_xlpm.l,IFERROR(INDEX(tblDados[Liga],MATCH($A365,TRIM(tblDados[Mandante]),0)),INDEX(tblDados[Liga],MATCH($A365,TRIM(tblDados[Visitante]),0))),_xlpm.p&amp;" - "&amp;_xlpm.l))</f>
        <v>BRA - Série C</v>
      </c>
      <c r="C365" s="10">
        <f t="shared" si="119"/>
        <v>1.4</v>
      </c>
      <c r="D365" s="10">
        <f t="shared" si="120"/>
        <v>2.5714285714285712</v>
      </c>
      <c r="E365" s="9" cm="1">
        <f t="array" ref="E365">IF($A365="","",SUMPRODUCT((TRIM(tblDados[Mandante])=$A365)*tblDados[Primeira_Ocorrencia]))</f>
        <v>5</v>
      </c>
      <c r="F365" s="9" cm="1">
        <f t="array" ref="F365">IF($A365="","",SUMPRODUCT((TRIM(tblDados[Visitante])=$A365)*tblDados[Primeira_Ocorrencia]))</f>
        <v>7</v>
      </c>
      <c r="G365" s="9" cm="1">
        <f t="array" ref="G365">IF($A365="","",SUMPRODUCT((TRIM(tblDados[Mandante])=$A365)*tblDados[Primeira_Ocorrencia])+SUMPRODUCT((TRIM(tblDados[Visitante])=$A365)*tblDados[Primeira_Ocorrencia]))</f>
        <v>12</v>
      </c>
      <c r="H365" s="10">
        <f t="shared" si="121"/>
        <v>1.25</v>
      </c>
      <c r="I365" s="10" cm="1">
        <f t="array" ref="I365">IF($A365="","",_xlfn.LET(_xlpm.p,IFERROR(INDEX(tblDados[País],MATCH($A365,TRIM(tblDados[Mandante]),0)),INDEX(tblDados[País],MATCH($A365,TRIM(tblDados[Visitante]),0))),_xlpm.l,IFERROR(INDEX(tblDados[Liga],MATCH($A365,TRIM(tblDados[Mandante]),0)),INDEX(tblDados[Liga],MATCH($A365,TRIM(tblDados[Visitante]),0))),IFERROR(SUMIFS(Ligas!$D$2:$D$39,Ligas!$H$2:$H$39,_xlpm.p,Ligas!$I$2:$I$39,_xlpm.l),0)))</f>
        <v>2.09</v>
      </c>
      <c r="J365" s="11" cm="1">
        <f t="array" ref="J365">IF($A365="","",IFERROR((SUMPRODUCT((TRIM(tblDados[Mandante])=$A365)*tblDados[Primeira_Ocorrencia]*(tblDados[GM_M]=0))+SUMPRODUCT((TRIM(tblDados[Visitante])=$A365)*tblDados[Primeira_Ocorrencia]*(tblDados[GM_V]=0)))/G365,0))</f>
        <v>0.25</v>
      </c>
      <c r="K365" s="11" cm="1">
        <f t="array" ref="K365">IF($A365="","",IFERROR((SUMPRODUCT((TRIM(tblDados[Mandante])=$A365)*tblDados[Primeira_Ocorrencia]*((tblDados[GM_M]+tblDados[GS_M])&gt;0.5))+SUMPRODUCT((TRIM(tblDados[Visitante])=$A365)*tblDados[Primeira_Ocorrencia]*((tblDados[GM_V]+tblDados[GS_V])&gt;0.5)))/G365,0))</f>
        <v>1</v>
      </c>
      <c r="L365" s="11" cm="1">
        <f t="array" ref="L365">IF($A365="","",IFERROR((SUMPRODUCT((TRIM(tblDados[Mandante])=$A365)*tblDados[Primeira_Ocorrencia]*((tblDados[GM_M]+tblDados[GS_M])&gt;1.5))+SUMPRODUCT((TRIM(tblDados[Visitante])=$A365)*tblDados[Primeira_Ocorrencia]*((tblDados[GM_V]+tblDados[GS_V])&gt;1.5)))/G365,0))</f>
        <v>0.58333333333333337</v>
      </c>
      <c r="M365" s="11" cm="1">
        <f t="array" ref="M365">IF($A365="","",IFERROR((SUMPRODUCT((TRIM(tblDados[Mandante])=$A365)*tblDados[Primeira_Ocorrencia]*((tblDados[GM_M]+tblDados[GS_M])&gt;2.5))+SUMPRODUCT((TRIM(tblDados[Visitante])=$A365)*tblDados[Primeira_Ocorrencia]*((tblDados[GM_V]+tblDados[GS_V])&gt;2.5)))/G365,0))</f>
        <v>0.33333333333333331</v>
      </c>
      <c r="N365" s="11" cm="1">
        <f t="array" ref="N365">IF($A365="","",IFERROR((SUMPRODUCT((TRIM(tblDados[Mandante])=$A365)*tblDados[Primeira_Ocorrencia]*((tblDados[GM_M]+tblDados[GS_M])&gt;3.5))+SUMPRODUCT((TRIM(tblDados[Visitante])=$A365)*tblDados[Primeira_Ocorrencia]*((tblDados[GM_V]+tblDados[GS_V])&gt;3.5)))/G365,0))</f>
        <v>0.16666666666666666</v>
      </c>
      <c r="O365" s="11" cm="1">
        <f t="array" ref="O365">IF($A365="","",IFERROR((SUMPRODUCT((TRIM(tblDados[Mandante])=$A365)*tblDados[Primeira_Ocorrencia]*(tblDados[GM_M]&gt;0)*(tblDados[GS_M]&gt;0))+SUMPRODUCT((TRIM(tblDados[Visitante])=$A365)*tblDados[Primeira_Ocorrencia]*(tblDados[GM_V]&gt;0)*(tblDados[GS_V]&gt;0)))/G365,0))</f>
        <v>0.5</v>
      </c>
      <c r="P365" s="10" cm="1">
        <f t="array" ref="P365">IF($A365="","",IFERROR((SUMPRODUCT((TRIM(tblDados[Mandante])=$A365)*tblDados[Primeira_Ocorrencia]*tblDados[GM_M]^2)+SUMPRODUCT((TRIM(tblDados[Visitante])=$A365)*tblDados[Primeira_Ocorrencia]*tblDados[GM_V]^2))/G365-H365^2,0))</f>
        <v>0.85416666666666652</v>
      </c>
      <c r="Q365" s="10">
        <f t="shared" si="122"/>
        <v>0.92421137553411803</v>
      </c>
      <c r="R365" s="8" t="str">
        <f t="shared" si="123"/>
        <v>Poisson</v>
      </c>
      <c r="S365" s="10" cm="1">
        <f t="array" ref="S365">IF($A365="","",SUMPRODUCT((TRIM(tblDados[Mandante])=$A365)*tblDados[Primeira_Ocorrencia]*tblDados[GM_M]))</f>
        <v>4</v>
      </c>
      <c r="T365" s="10" cm="1">
        <f t="array" ref="T365">IF($A365="","",SUMPRODUCT((TRIM(tblDados[Visitante])=$A365)*tblDados[Primeira_Ocorrencia]*tblDados[GM_V]))</f>
        <v>11</v>
      </c>
      <c r="U365" s="10">
        <f t="shared" si="124"/>
        <v>15</v>
      </c>
      <c r="V365" s="10">
        <f t="shared" si="113"/>
        <v>1.25</v>
      </c>
      <c r="W365" s="10" cm="1">
        <f t="array" ref="W365">IF($A365="","",SUMPRODUCT((TRIM(tblDados[Mandante])=$A365)*tblDados[Primeira_Ocorrencia]*tblDados[GS_M]))</f>
        <v>3</v>
      </c>
      <c r="X365" s="10" cm="1">
        <f t="array" ref="X365">IF($A365="","",SUMPRODUCT((TRIM(tblDados[Visitante])=$A365)*tblDados[Primeira_Ocorrencia]*tblDados[GS_V]))</f>
        <v>7</v>
      </c>
      <c r="Y365" s="10">
        <f t="shared" si="125"/>
        <v>10</v>
      </c>
      <c r="Z365" s="10">
        <f t="shared" si="114"/>
        <v>0.83333333333333337</v>
      </c>
      <c r="AA365" s="10">
        <f t="shared" si="115"/>
        <v>0.8</v>
      </c>
      <c r="AB365" s="10">
        <f t="shared" si="116"/>
        <v>0.6</v>
      </c>
      <c r="AC365" s="10">
        <f t="shared" si="117"/>
        <v>1.5714285714285714</v>
      </c>
      <c r="AD365" s="10">
        <f t="shared" si="118"/>
        <v>1</v>
      </c>
    </row>
    <row r="366" spans="1:30" x14ac:dyDescent="0.3">
      <c r="A366" s="7" t="str">
        <v>Santos</v>
      </c>
      <c r="B366" s="12" t="str" cm="1">
        <f t="array" ref="B366">IF($A366="","",_xlfn.LET(_xlpm.p,IFERROR(INDEX(tblDados[País],MATCH($A366,TRIM(tblDados[Mandante]),0)),INDEX(tblDados[País],MATCH($A366,TRIM(tblDados[Visitante]),0))),_xlpm.l,IFERROR(INDEX(tblDados[Liga],MATCH($A366,TRIM(tblDados[Mandante]),0)),INDEX(tblDados[Liga],MATCH($A366,TRIM(tblDados[Visitante]),0))),_xlpm.p&amp;" - "&amp;_xlpm.l))</f>
        <v>BRA - Série A</v>
      </c>
      <c r="C366" s="10">
        <f t="shared" si="119"/>
        <v>3</v>
      </c>
      <c r="D366" s="10">
        <f t="shared" si="120"/>
        <v>3.6</v>
      </c>
      <c r="E366" s="9" cm="1">
        <f t="array" ref="E366">IF($A366="","",SUMPRODUCT((TRIM(tblDados[Mandante])=$A366)*tblDados[Primeira_Ocorrencia]))</f>
        <v>7</v>
      </c>
      <c r="F366" s="9" cm="1">
        <f t="array" ref="F366">IF($A366="","",SUMPRODUCT((TRIM(tblDados[Visitante])=$A366)*tblDados[Primeira_Ocorrencia]))</f>
        <v>5</v>
      </c>
      <c r="G366" s="9" cm="1">
        <f t="array" ref="G366">IF($A366="","",SUMPRODUCT((TRIM(tblDados[Mandante])=$A366)*tblDados[Primeira_Ocorrencia])+SUMPRODUCT((TRIM(tblDados[Visitante])=$A366)*tblDados[Primeira_Ocorrencia]))</f>
        <v>12</v>
      </c>
      <c r="H366" s="10">
        <f t="shared" si="121"/>
        <v>1.5833333333333333</v>
      </c>
      <c r="I366" s="10" cm="1">
        <f t="array" ref="I366">IF($A366="","",_xlfn.LET(_xlpm.p,IFERROR(INDEX(tblDados[País],MATCH($A366,TRIM(tblDados[Mandante]),0)),INDEX(tblDados[País],MATCH($A366,TRIM(tblDados[Visitante]),0))),_xlpm.l,IFERROR(INDEX(tblDados[Liga],MATCH($A366,TRIM(tblDados[Mandante]),0)),INDEX(tblDados[Liga],MATCH($A366,TRIM(tblDados[Visitante]),0))),IFERROR(SUMIFS(Ligas!$D$2:$D$39,Ligas!$H$2:$H$39,_xlpm.p,Ligas!$I$2:$I$39,_xlpm.l),0)))</f>
        <v>2.59</v>
      </c>
      <c r="J366" s="11" cm="1">
        <f t="array" ref="J366">IF($A366="","",IFERROR((SUMPRODUCT((TRIM(tblDados[Mandante])=$A366)*tblDados[Primeira_Ocorrencia]*(tblDados[GM_M]=0))+SUMPRODUCT((TRIM(tblDados[Visitante])=$A366)*tblDados[Primeira_Ocorrencia]*(tblDados[GM_V]=0)))/G366,0))</f>
        <v>8.3333333333333329E-2</v>
      </c>
      <c r="K366" s="11" cm="1">
        <f t="array" ref="K366">IF($A366="","",IFERROR((SUMPRODUCT((TRIM(tblDados[Mandante])=$A366)*tblDados[Primeira_Ocorrencia]*((tblDados[GM_M]+tblDados[GS_M])&gt;0.5))+SUMPRODUCT((TRIM(tblDados[Visitante])=$A366)*tblDados[Primeira_Ocorrencia]*((tblDados[GM_V]+tblDados[GS_V])&gt;0.5)))/G366,0))</f>
        <v>1</v>
      </c>
      <c r="L366" s="11" cm="1">
        <f t="array" ref="L366">IF($A366="","",IFERROR((SUMPRODUCT((TRIM(tblDados[Mandante])=$A366)*tblDados[Primeira_Ocorrencia]*((tblDados[GM_M]+tblDados[GS_M])&gt;1.5))+SUMPRODUCT((TRIM(tblDados[Visitante])=$A366)*tblDados[Primeira_Ocorrencia]*((tblDados[GM_V]+tblDados[GS_V])&gt;1.5)))/G366,0))</f>
        <v>0.91666666666666663</v>
      </c>
      <c r="M366" s="11" cm="1">
        <f t="array" ref="M366">IF($A366="","",IFERROR((SUMPRODUCT((TRIM(tblDados[Mandante])=$A366)*tblDados[Primeira_Ocorrencia]*((tblDados[GM_M]+tblDados[GS_M])&gt;2.5))+SUMPRODUCT((TRIM(tblDados[Visitante])=$A366)*tblDados[Primeira_Ocorrencia]*((tblDados[GM_V]+tblDados[GS_V])&gt;2.5)))/G366,0))</f>
        <v>0.66666666666666663</v>
      </c>
      <c r="N366" s="11" cm="1">
        <f t="array" ref="N366">IF($A366="","",IFERROR((SUMPRODUCT((TRIM(tblDados[Mandante])=$A366)*tblDados[Primeira_Ocorrencia]*((tblDados[GM_M]+tblDados[GS_M])&gt;3.5))+SUMPRODUCT((TRIM(tblDados[Visitante])=$A366)*tblDados[Primeira_Ocorrencia]*((tblDados[GM_V]+tblDados[GS_V])&gt;3.5)))/G366,0))</f>
        <v>0.5</v>
      </c>
      <c r="O366" s="11" cm="1">
        <f t="array" ref="O366">IF($A366="","",IFERROR((SUMPRODUCT((TRIM(tblDados[Mandante])=$A366)*tblDados[Primeira_Ocorrencia]*(tblDados[GM_M]&gt;0)*(tblDados[GS_M]&gt;0))+SUMPRODUCT((TRIM(tblDados[Visitante])=$A366)*tblDados[Primeira_Ocorrencia]*(tblDados[GM_V]&gt;0)*(tblDados[GS_V]&gt;0)))/G366,0))</f>
        <v>0.66666666666666663</v>
      </c>
      <c r="P366" s="10" cm="1">
        <f t="array" ref="P366">IF($A366="","",IFERROR((SUMPRODUCT((TRIM(tblDados[Mandante])=$A366)*tblDados[Primeira_Ocorrencia]*tblDados[GM_M]^2)+SUMPRODUCT((TRIM(tblDados[Visitante])=$A366)*tblDados[Primeira_Ocorrencia]*tblDados[GM_V]^2))/G366-H366^2,0))</f>
        <v>0.57638888888888928</v>
      </c>
      <c r="Q366" s="10">
        <f t="shared" si="122"/>
        <v>0.75920279826202519</v>
      </c>
      <c r="R366" s="8" t="str">
        <f t="shared" si="123"/>
        <v>Poisson</v>
      </c>
      <c r="S366" s="10" cm="1">
        <f t="array" ref="S366">IF($A366="","",SUMPRODUCT((TRIM(tblDados[Mandante])=$A366)*tblDados[Primeira_Ocorrencia]*tblDados[GM_M]))</f>
        <v>12</v>
      </c>
      <c r="T366" s="10" cm="1">
        <f t="array" ref="T366">IF($A366="","",SUMPRODUCT((TRIM(tblDados[Visitante])=$A366)*tblDados[Primeira_Ocorrencia]*tblDados[GM_V]))</f>
        <v>7</v>
      </c>
      <c r="U366" s="10">
        <f t="shared" si="124"/>
        <v>19</v>
      </c>
      <c r="V366" s="10">
        <f t="shared" si="113"/>
        <v>1.5833333333333333</v>
      </c>
      <c r="W366" s="10" cm="1">
        <f t="array" ref="W366">IF($A366="","",SUMPRODUCT((TRIM(tblDados[Mandante])=$A366)*tblDados[Primeira_Ocorrencia]*tblDados[GS_M]))</f>
        <v>9</v>
      </c>
      <c r="X366" s="10" cm="1">
        <f t="array" ref="X366">IF($A366="","",SUMPRODUCT((TRIM(tblDados[Visitante])=$A366)*tblDados[Primeira_Ocorrencia]*tblDados[GS_V]))</f>
        <v>11</v>
      </c>
      <c r="Y366" s="10">
        <f t="shared" si="125"/>
        <v>20</v>
      </c>
      <c r="Z366" s="10">
        <f t="shared" si="114"/>
        <v>1.6666666666666667</v>
      </c>
      <c r="AA366" s="10">
        <f t="shared" si="115"/>
        <v>1.7142857142857142</v>
      </c>
      <c r="AB366" s="10">
        <f t="shared" si="116"/>
        <v>1.2857142857142858</v>
      </c>
      <c r="AC366" s="10">
        <f t="shared" si="117"/>
        <v>1.4</v>
      </c>
      <c r="AD366" s="10">
        <f t="shared" si="118"/>
        <v>2.2000000000000002</v>
      </c>
    </row>
    <row r="367" spans="1:30" x14ac:dyDescent="0.3">
      <c r="A367" s="7" t="str">
        <v>São Paulo</v>
      </c>
      <c r="B367" s="12" t="str" cm="1">
        <f t="array" ref="B367">IF($A367="","",_xlfn.LET(_xlpm.p,IFERROR(INDEX(tblDados[País],MATCH($A367,TRIM(tblDados[Mandante]),0)),INDEX(tblDados[País],MATCH($A367,TRIM(tblDados[Visitante]),0))),_xlpm.l,IFERROR(INDEX(tblDados[Liga],MATCH($A367,TRIM(tblDados[Mandante]),0)),INDEX(tblDados[Liga],MATCH($A367,TRIM(tblDados[Visitante]),0))),_xlpm.p&amp;" - "&amp;_xlpm.l))</f>
        <v>BRA - Série A</v>
      </c>
      <c r="C367" s="10">
        <f t="shared" si="119"/>
        <v>3</v>
      </c>
      <c r="D367" s="10">
        <f t="shared" si="120"/>
        <v>2.5714285714285712</v>
      </c>
      <c r="E367" s="9" cm="1">
        <f t="array" ref="E367">IF($A367="","",SUMPRODUCT((TRIM(tblDados[Mandante])=$A367)*tblDados[Primeira_Ocorrencia]))</f>
        <v>5</v>
      </c>
      <c r="F367" s="9" cm="1">
        <f t="array" ref="F367">IF($A367="","",SUMPRODUCT((TRIM(tblDados[Visitante])=$A367)*tblDados[Primeira_Ocorrencia]))</f>
        <v>7</v>
      </c>
      <c r="G367" s="9" cm="1">
        <f t="array" ref="G367">IF($A367="","",SUMPRODUCT((TRIM(tblDados[Mandante])=$A367)*tblDados[Primeira_Ocorrencia])+SUMPRODUCT((TRIM(tblDados[Visitante])=$A367)*tblDados[Primeira_Ocorrencia]))</f>
        <v>12</v>
      </c>
      <c r="H367" s="10">
        <f t="shared" si="121"/>
        <v>1.25</v>
      </c>
      <c r="I367" s="10" cm="1">
        <f t="array" ref="I367">IF($A367="","",_xlfn.LET(_xlpm.p,IFERROR(INDEX(tblDados[País],MATCH($A367,TRIM(tblDados[Mandante]),0)),INDEX(tblDados[País],MATCH($A367,TRIM(tblDados[Visitante]),0))),_xlpm.l,IFERROR(INDEX(tblDados[Liga],MATCH($A367,TRIM(tblDados[Mandante]),0)),INDEX(tblDados[Liga],MATCH($A367,TRIM(tblDados[Visitante]),0))),IFERROR(SUMIFS(Ligas!$D$2:$D$39,Ligas!$H$2:$H$39,_xlpm.p,Ligas!$I$2:$I$39,_xlpm.l),0)))</f>
        <v>2.59</v>
      </c>
      <c r="J367" s="11" cm="1">
        <f t="array" ref="J367">IF($A367="","",IFERROR((SUMPRODUCT((TRIM(tblDados[Mandante])=$A367)*tblDados[Primeira_Ocorrencia]*(tblDados[GM_M]=0))+SUMPRODUCT((TRIM(tblDados[Visitante])=$A367)*tblDados[Primeira_Ocorrencia]*(tblDados[GM_V]=0)))/G367,0))</f>
        <v>0.16666666666666666</v>
      </c>
      <c r="K367" s="11" cm="1">
        <f t="array" ref="K367">IF($A367="","",IFERROR((SUMPRODUCT((TRIM(tblDados[Mandante])=$A367)*tblDados[Primeira_Ocorrencia]*((tblDados[GM_M]+tblDados[GS_M])&gt;0.5))+SUMPRODUCT((TRIM(tblDados[Visitante])=$A367)*tblDados[Primeira_Ocorrencia]*((tblDados[GM_V]+tblDados[GS_V])&gt;0.5)))/G367,0))</f>
        <v>1</v>
      </c>
      <c r="L367" s="11" cm="1">
        <f t="array" ref="L367">IF($A367="","",IFERROR((SUMPRODUCT((TRIM(tblDados[Mandante])=$A367)*tblDados[Primeira_Ocorrencia]*((tblDados[GM_M]+tblDados[GS_M])&gt;1.5))+SUMPRODUCT((TRIM(tblDados[Visitante])=$A367)*tblDados[Primeira_Ocorrencia]*((tblDados[GM_V]+tblDados[GS_V])&gt;1.5)))/G367,0))</f>
        <v>0.83333333333333337</v>
      </c>
      <c r="M367" s="11" cm="1">
        <f t="array" ref="M367">IF($A367="","",IFERROR((SUMPRODUCT((TRIM(tblDados[Mandante])=$A367)*tblDados[Primeira_Ocorrencia]*((tblDados[GM_M]+tblDados[GS_M])&gt;2.5))+SUMPRODUCT((TRIM(tblDados[Visitante])=$A367)*tblDados[Primeira_Ocorrencia]*((tblDados[GM_V]+tblDados[GS_V])&gt;2.5)))/G367,0))</f>
        <v>0.5</v>
      </c>
      <c r="N367" s="11" cm="1">
        <f t="array" ref="N367">IF($A367="","",IFERROR((SUMPRODUCT((TRIM(tblDados[Mandante])=$A367)*tblDados[Primeira_Ocorrencia]*((tblDados[GM_M]+tblDados[GS_M])&gt;3.5))+SUMPRODUCT((TRIM(tblDados[Visitante])=$A367)*tblDados[Primeira_Ocorrencia]*((tblDados[GM_V]+tblDados[GS_V])&gt;3.5)))/G367,0))</f>
        <v>0.25</v>
      </c>
      <c r="O367" s="11" cm="1">
        <f t="array" ref="O367">IF($A367="","",IFERROR((SUMPRODUCT((TRIM(tblDados[Mandante])=$A367)*tblDados[Primeira_Ocorrencia]*(tblDados[GM_M]&gt;0)*(tblDados[GS_M]&gt;0))+SUMPRODUCT((TRIM(tblDados[Visitante])=$A367)*tblDados[Primeira_Ocorrencia]*(tblDados[GM_V]&gt;0)*(tblDados[GS_V]&gt;0)))/G367,0))</f>
        <v>0.75</v>
      </c>
      <c r="P367" s="10" cm="1">
        <f t="array" ref="P367">IF($A367="","",IFERROR((SUMPRODUCT((TRIM(tblDados[Mandante])=$A367)*tblDados[Primeira_Ocorrencia]*tblDados[GM_M]^2)+SUMPRODUCT((TRIM(tblDados[Visitante])=$A367)*tblDados[Primeira_Ocorrencia]*tblDados[GM_V]^2))/G367-H367^2,0))</f>
        <v>1.0208333333333335</v>
      </c>
      <c r="Q367" s="10">
        <f t="shared" si="122"/>
        <v>1.0103629710818451</v>
      </c>
      <c r="R367" s="8" t="str">
        <f t="shared" si="123"/>
        <v>Poisson</v>
      </c>
      <c r="S367" s="10" cm="1">
        <f t="array" ref="S367">IF($A367="","",SUMPRODUCT((TRIM(tblDados[Mandante])=$A367)*tblDados[Primeira_Ocorrencia]*tblDados[GM_M]))</f>
        <v>9</v>
      </c>
      <c r="T367" s="10" cm="1">
        <f t="array" ref="T367">IF($A367="","",SUMPRODUCT((TRIM(tblDados[Visitante])=$A367)*tblDados[Primeira_Ocorrencia]*tblDados[GM_V]))</f>
        <v>6</v>
      </c>
      <c r="U367" s="10">
        <f t="shared" si="124"/>
        <v>15</v>
      </c>
      <c r="V367" s="10">
        <f t="shared" si="113"/>
        <v>1.25</v>
      </c>
      <c r="W367" s="10" cm="1">
        <f t="array" ref="W367">IF($A367="","",SUMPRODUCT((TRIM(tblDados[Mandante])=$A367)*tblDados[Primeira_Ocorrencia]*tblDados[GS_M]))</f>
        <v>6</v>
      </c>
      <c r="X367" s="10" cm="1">
        <f t="array" ref="X367">IF($A367="","",SUMPRODUCT((TRIM(tblDados[Visitante])=$A367)*tblDados[Primeira_Ocorrencia]*tblDados[GS_V]))</f>
        <v>12</v>
      </c>
      <c r="Y367" s="10">
        <f t="shared" si="125"/>
        <v>18</v>
      </c>
      <c r="Z367" s="10">
        <f t="shared" si="114"/>
        <v>1.5</v>
      </c>
      <c r="AA367" s="10">
        <f t="shared" si="115"/>
        <v>1.8</v>
      </c>
      <c r="AB367" s="10">
        <f t="shared" si="116"/>
        <v>1.2</v>
      </c>
      <c r="AC367" s="10">
        <f t="shared" si="117"/>
        <v>0.8571428571428571</v>
      </c>
      <c r="AD367" s="10">
        <f t="shared" si="118"/>
        <v>1.7142857142857142</v>
      </c>
    </row>
    <row r="368" spans="1:30" x14ac:dyDescent="0.3">
      <c r="A368" s="7" t="str">
        <v>Sarpsborg 08 FF</v>
      </c>
      <c r="B368" s="12" t="str" cm="1">
        <f t="array" ref="B368">IF($A368="","",_xlfn.LET(_xlpm.p,IFERROR(INDEX(tblDados[País],MATCH($A368,TRIM(tblDados[Mandante]),0)),INDEX(tblDados[País],MATCH($A368,TRIM(tblDados[Visitante]),0))),_xlpm.l,IFERROR(INDEX(tblDados[Liga],MATCH($A368,TRIM(tblDados[Mandante]),0)),INDEX(tblDados[Liga],MATCH($A368,TRIM(tblDados[Visitante]),0))),_xlpm.p&amp;" - "&amp;_xlpm.l))</f>
        <v>NOR - Eliteserien</v>
      </c>
      <c r="C368" s="10">
        <f t="shared" si="119"/>
        <v>1.7999999999999998</v>
      </c>
      <c r="D368" s="10">
        <f t="shared" si="120"/>
        <v>3.1428571428571428</v>
      </c>
      <c r="E368" s="9" cm="1">
        <f t="array" ref="E368">IF($A368="","",SUMPRODUCT((TRIM(tblDados[Mandante])=$A368)*tblDados[Primeira_Ocorrencia]))</f>
        <v>5</v>
      </c>
      <c r="F368" s="9" cm="1">
        <f t="array" ref="F368">IF($A368="","",SUMPRODUCT((TRIM(tblDados[Visitante])=$A368)*tblDados[Primeira_Ocorrencia]))</f>
        <v>7</v>
      </c>
      <c r="G368" s="9" cm="1">
        <f t="array" ref="G368">IF($A368="","",SUMPRODUCT((TRIM(tblDados[Mandante])=$A368)*tblDados[Primeira_Ocorrencia])+SUMPRODUCT((TRIM(tblDados[Visitante])=$A368)*tblDados[Primeira_Ocorrencia]))</f>
        <v>12</v>
      </c>
      <c r="H368" s="10">
        <f t="shared" si="121"/>
        <v>1.1666666666666667</v>
      </c>
      <c r="I368" s="10" cm="1">
        <f t="array" ref="I368">IF($A368="","",_xlfn.LET(_xlpm.p,IFERROR(INDEX(tblDados[País],MATCH($A368,TRIM(tblDados[Mandante]),0)),INDEX(tblDados[País],MATCH($A368,TRIM(tblDados[Visitante]),0))),_xlpm.l,IFERROR(INDEX(tblDados[Liga],MATCH($A368,TRIM(tblDados[Mandante]),0)),INDEX(tblDados[Liga],MATCH($A368,TRIM(tblDados[Visitante]),0))),IFERROR(SUMIFS(Ligas!$D$2:$D$39,Ligas!$H$2:$H$39,_xlpm.p,Ligas!$I$2:$I$39,_xlpm.l),0)))</f>
        <v>2.5</v>
      </c>
      <c r="J368" s="11" cm="1">
        <f t="array" ref="J368">IF($A368="","",IFERROR((SUMPRODUCT((TRIM(tblDados[Mandante])=$A368)*tblDados[Primeira_Ocorrencia]*(tblDados[GM_M]=0))+SUMPRODUCT((TRIM(tblDados[Visitante])=$A368)*tblDados[Primeira_Ocorrencia]*(tblDados[GM_V]=0)))/G368,0))</f>
        <v>0.33333333333333331</v>
      </c>
      <c r="K368" s="11" cm="1">
        <f t="array" ref="K368">IF($A368="","",IFERROR((SUMPRODUCT((TRIM(tblDados[Mandante])=$A368)*tblDados[Primeira_Ocorrencia]*((tblDados[GM_M]+tblDados[GS_M])&gt;0.5))+SUMPRODUCT((TRIM(tblDados[Visitante])=$A368)*tblDados[Primeira_Ocorrencia]*((tblDados[GM_V]+tblDados[GS_V])&gt;0.5)))/G368,0))</f>
        <v>0.91666666666666663</v>
      </c>
      <c r="L368" s="11" cm="1">
        <f t="array" ref="L368">IF($A368="","",IFERROR((SUMPRODUCT((TRIM(tblDados[Mandante])=$A368)*tblDados[Primeira_Ocorrencia]*((tblDados[GM_M]+tblDados[GS_M])&gt;1.5))+SUMPRODUCT((TRIM(tblDados[Visitante])=$A368)*tblDados[Primeira_Ocorrencia]*((tblDados[GM_V]+tblDados[GS_V])&gt;1.5)))/G368,0))</f>
        <v>0.58333333333333337</v>
      </c>
      <c r="M368" s="11" cm="1">
        <f t="array" ref="M368">IF($A368="","",IFERROR((SUMPRODUCT((TRIM(tblDados[Mandante])=$A368)*tblDados[Primeira_Ocorrencia]*((tblDados[GM_M]+tblDados[GS_M])&gt;2.5))+SUMPRODUCT((TRIM(tblDados[Visitante])=$A368)*tblDados[Primeira_Ocorrencia]*((tblDados[GM_V]+tblDados[GS_V])&gt;2.5)))/G368,0))</f>
        <v>0.58333333333333337</v>
      </c>
      <c r="N368" s="11" cm="1">
        <f t="array" ref="N368">IF($A368="","",IFERROR((SUMPRODUCT((TRIM(tblDados[Mandante])=$A368)*tblDados[Primeira_Ocorrencia]*((tblDados[GM_M]+tblDados[GS_M])&gt;3.5))+SUMPRODUCT((TRIM(tblDados[Visitante])=$A368)*tblDados[Primeira_Ocorrencia]*((tblDados[GM_V]+tblDados[GS_V])&gt;3.5)))/G368,0))</f>
        <v>0.25</v>
      </c>
      <c r="O368" s="11" cm="1">
        <f t="array" ref="O368">IF($A368="","",IFERROR((SUMPRODUCT((TRIM(tblDados[Mandante])=$A368)*tblDados[Primeira_Ocorrencia]*(tblDados[GM_M]&gt;0)*(tblDados[GS_M]&gt;0))+SUMPRODUCT((TRIM(tblDados[Visitante])=$A368)*tblDados[Primeira_Ocorrencia]*(tblDados[GM_V]&gt;0)*(tblDados[GS_V]&gt;0)))/G368,0))</f>
        <v>0.5</v>
      </c>
      <c r="P368" s="10" cm="1">
        <f t="array" ref="P368">IF($A368="","",IFERROR((SUMPRODUCT((TRIM(tblDados[Mandante])=$A368)*tblDados[Primeira_Ocorrencia]*tblDados[GM_M]^2)+SUMPRODUCT((TRIM(tblDados[Visitante])=$A368)*tblDados[Primeira_Ocorrencia]*tblDados[GM_V]^2))/G368-H368^2,0))</f>
        <v>0.9722222222222221</v>
      </c>
      <c r="Q368" s="10">
        <f t="shared" si="122"/>
        <v>0.98601329718326924</v>
      </c>
      <c r="R368" s="8" t="str">
        <f t="shared" si="123"/>
        <v>Poisson</v>
      </c>
      <c r="S368" s="10" cm="1">
        <f t="array" ref="S368">IF($A368="","",SUMPRODUCT((TRIM(tblDados[Mandante])=$A368)*tblDados[Primeira_Ocorrencia]*tblDados[GM_M]))</f>
        <v>6</v>
      </c>
      <c r="T368" s="10" cm="1">
        <f t="array" ref="T368">IF($A368="","",SUMPRODUCT((TRIM(tblDados[Visitante])=$A368)*tblDados[Primeira_Ocorrencia]*tblDados[GM_V]))</f>
        <v>8</v>
      </c>
      <c r="U368" s="10">
        <f t="shared" si="124"/>
        <v>14</v>
      </c>
      <c r="V368" s="10">
        <f t="shared" si="113"/>
        <v>1.1666666666666667</v>
      </c>
      <c r="W368" s="10" cm="1">
        <f t="array" ref="W368">IF($A368="","",SUMPRODUCT((TRIM(tblDados[Mandante])=$A368)*tblDados[Primeira_Ocorrencia]*tblDados[GS_M]))</f>
        <v>3</v>
      </c>
      <c r="X368" s="10" cm="1">
        <f t="array" ref="X368">IF($A368="","",SUMPRODUCT((TRIM(tblDados[Visitante])=$A368)*tblDados[Primeira_Ocorrencia]*tblDados[GS_V]))</f>
        <v>14</v>
      </c>
      <c r="Y368" s="10">
        <f t="shared" si="125"/>
        <v>17</v>
      </c>
      <c r="Z368" s="10">
        <f t="shared" si="114"/>
        <v>1.4166666666666667</v>
      </c>
      <c r="AA368" s="10">
        <f t="shared" si="115"/>
        <v>1.2</v>
      </c>
      <c r="AB368" s="10">
        <f t="shared" si="116"/>
        <v>0.6</v>
      </c>
      <c r="AC368" s="10">
        <f t="shared" si="117"/>
        <v>1.1428571428571428</v>
      </c>
      <c r="AD368" s="10">
        <f t="shared" si="118"/>
        <v>2</v>
      </c>
    </row>
    <row r="369" spans="1:30" x14ac:dyDescent="0.3">
      <c r="A369" s="7" t="str">
        <v>SD Raiders</v>
      </c>
      <c r="B369" s="12" t="str" cm="1">
        <f t="array" ref="B369">IF($A369="","",_xlfn.LET(_xlpm.p,IFERROR(INDEX(tblDados[País],MATCH($A369,TRIM(tblDados[Mandante]),0)),INDEX(tblDados[País],MATCH($A369,TRIM(tblDados[Visitante]),0))),_xlpm.l,IFERROR(INDEX(tblDados[Liga],MATCH($A369,TRIM(tblDados[Mandante]),0)),INDEX(tblDados[Liga],MATCH($A369,TRIM(tblDados[Visitante]),0))),_xlpm.p&amp;" - "&amp;_xlpm.l))</f>
        <v>AUS - NPL New South Wales</v>
      </c>
      <c r="C369" s="10">
        <f t="shared" si="119"/>
        <v>2.833333333333333</v>
      </c>
      <c r="D369" s="10">
        <f t="shared" si="120"/>
        <v>2.5</v>
      </c>
      <c r="E369" s="9" cm="1">
        <f t="array" ref="E369">IF($A369="","",SUMPRODUCT((TRIM(tblDados[Mandante])=$A369)*tblDados[Primeira_Ocorrencia]))</f>
        <v>6</v>
      </c>
      <c r="F369" s="9" cm="1">
        <f t="array" ref="F369">IF($A369="","",SUMPRODUCT((TRIM(tblDados[Visitante])=$A369)*tblDados[Primeira_Ocorrencia]))</f>
        <v>6</v>
      </c>
      <c r="G369" s="9" cm="1">
        <f t="array" ref="G369">IF($A369="","",SUMPRODUCT((TRIM(tblDados[Mandante])=$A369)*tblDados[Primeira_Ocorrencia])+SUMPRODUCT((TRIM(tblDados[Visitante])=$A369)*tblDados[Primeira_Ocorrencia]))</f>
        <v>12</v>
      </c>
      <c r="H369" s="10">
        <f t="shared" si="121"/>
        <v>1.5833333333333333</v>
      </c>
      <c r="I369" s="10" cm="1">
        <f t="array" ref="I369">IF($A369="","",_xlfn.LET(_xlpm.p,IFERROR(INDEX(tblDados[País],MATCH($A369,TRIM(tblDados[Mandante]),0)),INDEX(tblDados[País],MATCH($A369,TRIM(tblDados[Visitante]),0))),_xlpm.l,IFERROR(INDEX(tblDados[Liga],MATCH($A369,TRIM(tblDados[Mandante]),0)),INDEX(tblDados[Liga],MATCH($A369,TRIM(tblDados[Visitante]),0))),IFERROR(SUMIFS(Ligas!$D$2:$D$39,Ligas!$H$2:$H$39,_xlpm.p,Ligas!$I$2:$I$39,_xlpm.l),0)))</f>
        <v>3.61</v>
      </c>
      <c r="J369" s="11" cm="1">
        <f t="array" ref="J369">IF($A369="","",IFERROR((SUMPRODUCT((TRIM(tblDados[Mandante])=$A369)*tblDados[Primeira_Ocorrencia]*(tblDados[GM_M]=0))+SUMPRODUCT((TRIM(tblDados[Visitante])=$A369)*tblDados[Primeira_Ocorrencia]*(tblDados[GM_V]=0)))/G369,0))</f>
        <v>0.25</v>
      </c>
      <c r="K369" s="11" cm="1">
        <f t="array" ref="K369">IF($A369="","",IFERROR((SUMPRODUCT((TRIM(tblDados[Mandante])=$A369)*tblDados[Primeira_Ocorrencia]*((tblDados[GM_M]+tblDados[GS_M])&gt;0.5))+SUMPRODUCT((TRIM(tblDados[Visitante])=$A369)*tblDados[Primeira_Ocorrencia]*((tblDados[GM_V]+tblDados[GS_V])&gt;0.5)))/G369,0))</f>
        <v>1</v>
      </c>
      <c r="L369" s="11" cm="1">
        <f t="array" ref="L369">IF($A369="","",IFERROR((SUMPRODUCT((TRIM(tblDados[Mandante])=$A369)*tblDados[Primeira_Ocorrencia]*((tblDados[GM_M]+tblDados[GS_M])&gt;1.5))+SUMPRODUCT((TRIM(tblDados[Visitante])=$A369)*tblDados[Primeira_Ocorrencia]*((tblDados[GM_V]+tblDados[GS_V])&gt;1.5)))/G369,0))</f>
        <v>0.66666666666666663</v>
      </c>
      <c r="M369" s="11" cm="1">
        <f t="array" ref="M369">IF($A369="","",IFERROR((SUMPRODUCT((TRIM(tblDados[Mandante])=$A369)*tblDados[Primeira_Ocorrencia]*((tblDados[GM_M]+tblDados[GS_M])&gt;2.5))+SUMPRODUCT((TRIM(tblDados[Visitante])=$A369)*tblDados[Primeira_Ocorrencia]*((tblDados[GM_V]+tblDados[GS_V])&gt;2.5)))/G369,0))</f>
        <v>0.5</v>
      </c>
      <c r="N369" s="11" cm="1">
        <f t="array" ref="N369">IF($A369="","",IFERROR((SUMPRODUCT((TRIM(tblDados[Mandante])=$A369)*tblDados[Primeira_Ocorrencia]*((tblDados[GM_M]+tblDados[GS_M])&gt;3.5))+SUMPRODUCT((TRIM(tblDados[Visitante])=$A369)*tblDados[Primeira_Ocorrencia]*((tblDados[GM_V]+tblDados[GS_V])&gt;3.5)))/G369,0))</f>
        <v>0.33333333333333331</v>
      </c>
      <c r="O369" s="11" cm="1">
        <f t="array" ref="O369">IF($A369="","",IFERROR((SUMPRODUCT((TRIM(tblDados[Mandante])=$A369)*tblDados[Primeira_Ocorrencia]*(tblDados[GM_M]&gt;0)*(tblDados[GS_M]&gt;0))+SUMPRODUCT((TRIM(tblDados[Visitante])=$A369)*tblDados[Primeira_Ocorrencia]*(tblDados[GM_V]&gt;0)*(tblDados[GS_V]&gt;0)))/G369,0))</f>
        <v>0.5</v>
      </c>
      <c r="P369" s="10" cm="1">
        <f t="array" ref="P369">IF($A369="","",IFERROR((SUMPRODUCT((TRIM(tblDados[Mandante])=$A369)*tblDados[Primeira_Ocorrencia]*tblDados[GM_M]^2)+SUMPRODUCT((TRIM(tblDados[Visitante])=$A369)*tblDados[Primeira_Ocorrencia]*tblDados[GM_V]^2))/G369-H369^2,0))</f>
        <v>1.4097222222222223</v>
      </c>
      <c r="Q369" s="10">
        <f t="shared" si="122"/>
        <v>1.1873172373979173</v>
      </c>
      <c r="R369" s="8" t="str">
        <f t="shared" si="123"/>
        <v>Poisson</v>
      </c>
      <c r="S369" s="10" cm="1">
        <f t="array" ref="S369">IF($A369="","",SUMPRODUCT((TRIM(tblDados[Mandante])=$A369)*tblDados[Primeira_Ocorrencia]*tblDados[GM_M]))</f>
        <v>11</v>
      </c>
      <c r="T369" s="10" cm="1">
        <f t="array" ref="T369">IF($A369="","",SUMPRODUCT((TRIM(tblDados[Visitante])=$A369)*tblDados[Primeira_Ocorrencia]*tblDados[GM_V]))</f>
        <v>8</v>
      </c>
      <c r="U369" s="10">
        <f t="shared" si="124"/>
        <v>19</v>
      </c>
      <c r="V369" s="10">
        <f t="shared" si="113"/>
        <v>1.5833333333333333</v>
      </c>
      <c r="W369" s="10" cm="1">
        <f t="array" ref="W369">IF($A369="","",SUMPRODUCT((TRIM(tblDados[Mandante])=$A369)*tblDados[Primeira_Ocorrencia]*tblDados[GS_M]))</f>
        <v>6</v>
      </c>
      <c r="X369" s="10" cm="1">
        <f t="array" ref="X369">IF($A369="","",SUMPRODUCT((TRIM(tblDados[Visitante])=$A369)*tblDados[Primeira_Ocorrencia]*tblDados[GS_V]))</f>
        <v>7</v>
      </c>
      <c r="Y369" s="10">
        <f t="shared" si="125"/>
        <v>13</v>
      </c>
      <c r="Z369" s="10">
        <f t="shared" si="114"/>
        <v>1.0833333333333333</v>
      </c>
      <c r="AA369" s="10">
        <f t="shared" si="115"/>
        <v>1.8333333333333333</v>
      </c>
      <c r="AB369" s="10">
        <f t="shared" si="116"/>
        <v>1</v>
      </c>
      <c r="AC369" s="10">
        <f t="shared" si="117"/>
        <v>1.3333333333333333</v>
      </c>
      <c r="AD369" s="10">
        <f t="shared" si="118"/>
        <v>1.1666666666666667</v>
      </c>
    </row>
    <row r="370" spans="1:30" x14ac:dyDescent="0.3">
      <c r="A370" s="7" t="str">
        <v>Seattle Sounders FC</v>
      </c>
      <c r="B370" s="12" t="str" cm="1">
        <f t="array" ref="B370">IF($A370="","",_xlfn.LET(_xlpm.p,IFERROR(INDEX(tblDados[País],MATCH($A370,TRIM(tblDados[Mandante]),0)),INDEX(tblDados[País],MATCH($A370,TRIM(tblDados[Visitante]),0))),_xlpm.l,IFERROR(INDEX(tblDados[Liga],MATCH($A370,TRIM(tblDados[Mandante]),0)),INDEX(tblDados[Liga],MATCH($A370,TRIM(tblDados[Visitante]),0))),_xlpm.p&amp;" - "&amp;_xlpm.l))</f>
        <v>USA - MLS-West</v>
      </c>
      <c r="C370" s="10">
        <f t="shared" si="119"/>
        <v>3.833333333333333</v>
      </c>
      <c r="D370" s="10">
        <f t="shared" si="120"/>
        <v>2</v>
      </c>
      <c r="E370" s="9" cm="1">
        <f t="array" ref="E370">IF($A370="","",SUMPRODUCT((TRIM(tblDados[Mandante])=$A370)*tblDados[Primeira_Ocorrencia]))</f>
        <v>6</v>
      </c>
      <c r="F370" s="9" cm="1">
        <f t="array" ref="F370">IF($A370="","",SUMPRODUCT((TRIM(tblDados[Visitante])=$A370)*tblDados[Primeira_Ocorrencia]))</f>
        <v>6</v>
      </c>
      <c r="G370" s="9" cm="1">
        <f t="array" ref="G370">IF($A370="","",SUMPRODUCT((TRIM(tblDados[Mandante])=$A370)*tblDados[Primeira_Ocorrencia])+SUMPRODUCT((TRIM(tblDados[Visitante])=$A370)*tblDados[Primeira_Ocorrencia]))</f>
        <v>12</v>
      </c>
      <c r="H370" s="10">
        <f t="shared" si="121"/>
        <v>1.25</v>
      </c>
      <c r="I370" s="10" cm="1">
        <f t="array" ref="I370">IF($A370="","",_xlfn.LET(_xlpm.p,IFERROR(INDEX(tblDados[País],MATCH($A370,TRIM(tblDados[Mandante]),0)),INDEX(tblDados[País],MATCH($A370,TRIM(tblDados[Visitante]),0))),_xlpm.l,IFERROR(INDEX(tblDados[Liga],MATCH($A370,TRIM(tblDados[Mandante]),0)),INDEX(tblDados[Liga],MATCH($A370,TRIM(tblDados[Visitante]),0))),IFERROR(SUMIFS(Ligas!$D$2:$D$39,Ligas!$H$2:$H$39,_xlpm.p,Ligas!$I$2:$I$39,_xlpm.l),0)))</f>
        <v>3.3</v>
      </c>
      <c r="J370" s="11" cm="1">
        <f t="array" ref="J370">IF($A370="","",IFERROR((SUMPRODUCT((TRIM(tblDados[Mandante])=$A370)*tblDados[Primeira_Ocorrencia]*(tblDados[GM_M]=0))+SUMPRODUCT((TRIM(tblDados[Visitante])=$A370)*tblDados[Primeira_Ocorrencia]*(tblDados[GM_V]=0)))/G370,0))</f>
        <v>0.25</v>
      </c>
      <c r="K370" s="11" cm="1">
        <f t="array" ref="K370">IF($A370="","",IFERROR((SUMPRODUCT((TRIM(tblDados[Mandante])=$A370)*tblDados[Primeira_Ocorrencia]*((tblDados[GM_M]+tblDados[GS_M])&gt;0.5))+SUMPRODUCT((TRIM(tblDados[Visitante])=$A370)*tblDados[Primeira_Ocorrencia]*((tblDados[GM_V]+tblDados[GS_V])&gt;0.5)))/G370,0))</f>
        <v>1</v>
      </c>
      <c r="L370" s="11" cm="1">
        <f t="array" ref="L370">IF($A370="","",IFERROR((SUMPRODUCT((TRIM(tblDados[Mandante])=$A370)*tblDados[Primeira_Ocorrencia]*((tblDados[GM_M]+tblDados[GS_M])&gt;1.5))+SUMPRODUCT((TRIM(tblDados[Visitante])=$A370)*tblDados[Primeira_Ocorrencia]*((tblDados[GM_V]+tblDados[GS_V])&gt;1.5)))/G370,0))</f>
        <v>0.75</v>
      </c>
      <c r="M370" s="11" cm="1">
        <f t="array" ref="M370">IF($A370="","",IFERROR((SUMPRODUCT((TRIM(tblDados[Mandante])=$A370)*tblDados[Primeira_Ocorrencia]*((tblDados[GM_M]+tblDados[GS_M])&gt;2.5))+SUMPRODUCT((TRIM(tblDados[Visitante])=$A370)*tblDados[Primeira_Ocorrencia]*((tblDados[GM_V]+tblDados[GS_V])&gt;2.5)))/G370,0))</f>
        <v>0.5</v>
      </c>
      <c r="N370" s="11" cm="1">
        <f t="array" ref="N370">IF($A370="","",IFERROR((SUMPRODUCT((TRIM(tblDados[Mandante])=$A370)*tblDados[Primeira_Ocorrencia]*((tblDados[GM_M]+tblDados[GS_M])&gt;3.5))+SUMPRODUCT((TRIM(tblDados[Visitante])=$A370)*tblDados[Primeira_Ocorrencia]*((tblDados[GM_V]+tblDados[GS_V])&gt;3.5)))/G370,0))</f>
        <v>0.33333333333333331</v>
      </c>
      <c r="O370" s="11" cm="1">
        <f t="array" ref="O370">IF($A370="","",IFERROR((SUMPRODUCT((TRIM(tblDados[Mandante])=$A370)*tblDados[Primeira_Ocorrencia]*(tblDados[GM_M]&gt;0)*(tblDados[GS_M]&gt;0))+SUMPRODUCT((TRIM(tblDados[Visitante])=$A370)*tblDados[Primeira_Ocorrencia]*(tblDados[GM_V]&gt;0)*(tblDados[GS_V]&gt;0)))/G370,0))</f>
        <v>0.66666666666666663</v>
      </c>
      <c r="P370" s="10" cm="1">
        <f t="array" ref="P370">IF($A370="","",IFERROR((SUMPRODUCT((TRIM(tblDados[Mandante])=$A370)*tblDados[Primeira_Ocorrencia]*tblDados[GM_M]^2)+SUMPRODUCT((TRIM(tblDados[Visitante])=$A370)*tblDados[Primeira_Ocorrencia]*tblDados[GM_V]^2))/G370-H370^2,0))</f>
        <v>1.3541666666666665</v>
      </c>
      <c r="Q370" s="10">
        <f t="shared" si="122"/>
        <v>1.1636866703140785</v>
      </c>
      <c r="R370" s="8" t="str">
        <f t="shared" si="123"/>
        <v>Poisson</v>
      </c>
      <c r="S370" s="10" cm="1">
        <f t="array" ref="S370">IF($A370="","",SUMPRODUCT((TRIM(tblDados[Mandante])=$A370)*tblDados[Primeira_Ocorrencia]*tblDados[GM_M]))</f>
        <v>11</v>
      </c>
      <c r="T370" s="10" cm="1">
        <f t="array" ref="T370">IF($A370="","",SUMPRODUCT((TRIM(tblDados[Visitante])=$A370)*tblDados[Primeira_Ocorrencia]*tblDados[GM_V]))</f>
        <v>4</v>
      </c>
      <c r="U370" s="10">
        <f t="shared" si="124"/>
        <v>15</v>
      </c>
      <c r="V370" s="10">
        <f t="shared" si="113"/>
        <v>1.25</v>
      </c>
      <c r="W370" s="10" cm="1">
        <f t="array" ref="W370">IF($A370="","",SUMPRODUCT((TRIM(tblDados[Mandante])=$A370)*tblDados[Primeira_Ocorrencia]*tblDados[GS_M]))</f>
        <v>12</v>
      </c>
      <c r="X370" s="10" cm="1">
        <f t="array" ref="X370">IF($A370="","",SUMPRODUCT((TRIM(tblDados[Visitante])=$A370)*tblDados[Primeira_Ocorrencia]*tblDados[GS_V]))</f>
        <v>8</v>
      </c>
      <c r="Y370" s="10">
        <f t="shared" si="125"/>
        <v>20</v>
      </c>
      <c r="Z370" s="10">
        <f t="shared" si="114"/>
        <v>1.6666666666666667</v>
      </c>
      <c r="AA370" s="10">
        <f t="shared" si="115"/>
        <v>1.8333333333333333</v>
      </c>
      <c r="AB370" s="10">
        <f t="shared" si="116"/>
        <v>2</v>
      </c>
      <c r="AC370" s="10">
        <f t="shared" si="117"/>
        <v>0.66666666666666663</v>
      </c>
      <c r="AD370" s="10">
        <f t="shared" si="118"/>
        <v>1.3333333333333333</v>
      </c>
    </row>
    <row r="371" spans="1:30" x14ac:dyDescent="0.3">
      <c r="A371" s="7" t="str">
        <v>Shaanxi Union</v>
      </c>
      <c r="B371" s="12" t="str" cm="1">
        <f t="array" ref="B371">IF($A371="","",_xlfn.LET(_xlpm.p,IFERROR(INDEX(tblDados[País],MATCH($A371,TRIM(tblDados[Mandante]),0)),INDEX(tblDados[País],MATCH($A371,TRIM(tblDados[Visitante]),0))),_xlpm.l,IFERROR(INDEX(tblDados[Liga],MATCH($A371,TRIM(tblDados[Mandante]),0)),INDEX(tblDados[Liga],MATCH($A371,TRIM(tblDados[Visitante]),0))),_xlpm.p&amp;" - "&amp;_xlpm.l))</f>
        <v>CHN - League One</v>
      </c>
      <c r="C371" s="10">
        <f t="shared" si="119"/>
        <v>2.6</v>
      </c>
      <c r="D371" s="10">
        <f t="shared" si="120"/>
        <v>3.2857142857142856</v>
      </c>
      <c r="E371" s="9" cm="1">
        <f t="array" ref="E371">IF($A371="","",SUMPRODUCT((TRIM(tblDados[Mandante])=$A371)*tblDados[Primeira_Ocorrencia]))</f>
        <v>5</v>
      </c>
      <c r="F371" s="9" cm="1">
        <f t="array" ref="F371">IF($A371="","",SUMPRODUCT((TRIM(tblDados[Visitante])=$A371)*tblDados[Primeira_Ocorrencia]))</f>
        <v>7</v>
      </c>
      <c r="G371" s="9" cm="1">
        <f t="array" ref="G371">IF($A371="","",SUMPRODUCT((TRIM(tblDados[Mandante])=$A371)*tblDados[Primeira_Ocorrencia])+SUMPRODUCT((TRIM(tblDados[Visitante])=$A371)*tblDados[Primeira_Ocorrencia]))</f>
        <v>12</v>
      </c>
      <c r="H371" s="10">
        <f t="shared" si="121"/>
        <v>1.9166666666666667</v>
      </c>
      <c r="I371" s="10" cm="1">
        <f t="array" ref="I371">IF($A371="","",_xlfn.LET(_xlpm.p,IFERROR(INDEX(tblDados[País],MATCH($A371,TRIM(tblDados[Mandante]),0)),INDEX(tblDados[País],MATCH($A371,TRIM(tblDados[Visitante]),0))),_xlpm.l,IFERROR(INDEX(tblDados[Liga],MATCH($A371,TRIM(tblDados[Mandante]),0)),INDEX(tblDados[Liga],MATCH($A371,TRIM(tblDados[Visitante]),0))),IFERROR(SUMIFS(Ligas!$D$2:$D$39,Ligas!$H$2:$H$39,_xlpm.p,Ligas!$I$2:$I$39,_xlpm.l),0)))</f>
        <v>2.5</v>
      </c>
      <c r="J371" s="11" cm="1">
        <f t="array" ref="J371">IF($A371="","",IFERROR((SUMPRODUCT((TRIM(tblDados[Mandante])=$A371)*tblDados[Primeira_Ocorrencia]*(tblDados[GM_M]=0))+SUMPRODUCT((TRIM(tblDados[Visitante])=$A371)*tblDados[Primeira_Ocorrencia]*(tblDados[GM_V]=0)))/G371,0))</f>
        <v>0.16666666666666666</v>
      </c>
      <c r="K371" s="11" cm="1">
        <f t="array" ref="K371">IF($A371="","",IFERROR((SUMPRODUCT((TRIM(tblDados[Mandante])=$A371)*tblDados[Primeira_Ocorrencia]*((tblDados[GM_M]+tblDados[GS_M])&gt;0.5))+SUMPRODUCT((TRIM(tblDados[Visitante])=$A371)*tblDados[Primeira_Ocorrencia]*((tblDados[GM_V]+tblDados[GS_V])&gt;0.5)))/G371,0))</f>
        <v>1</v>
      </c>
      <c r="L371" s="11" cm="1">
        <f t="array" ref="L371">IF($A371="","",IFERROR((SUMPRODUCT((TRIM(tblDados[Mandante])=$A371)*tblDados[Primeira_Ocorrencia]*((tblDados[GM_M]+tblDados[GS_M])&gt;1.5))+SUMPRODUCT((TRIM(tblDados[Visitante])=$A371)*tblDados[Primeira_Ocorrencia]*((tblDados[GM_V]+tblDados[GS_V])&gt;1.5)))/G371,0))</f>
        <v>0.91666666666666663</v>
      </c>
      <c r="M371" s="11" cm="1">
        <f t="array" ref="M371">IF($A371="","",IFERROR((SUMPRODUCT((TRIM(tblDados[Mandante])=$A371)*tblDados[Primeira_Ocorrencia]*((tblDados[GM_M]+tblDados[GS_M])&gt;2.5))+SUMPRODUCT((TRIM(tblDados[Visitante])=$A371)*tblDados[Primeira_Ocorrencia]*((tblDados[GM_V]+tblDados[GS_V])&gt;2.5)))/G371,0))</f>
        <v>0.75</v>
      </c>
      <c r="N371" s="11" cm="1">
        <f t="array" ref="N371">IF($A371="","",IFERROR((SUMPRODUCT((TRIM(tblDados[Mandante])=$A371)*tblDados[Primeira_Ocorrencia]*((tblDados[GM_M]+tblDados[GS_M])&gt;3.5))+SUMPRODUCT((TRIM(tblDados[Visitante])=$A371)*tblDados[Primeira_Ocorrencia]*((tblDados[GM_V]+tblDados[GS_V])&gt;3.5)))/G371,0))</f>
        <v>0.25</v>
      </c>
      <c r="O371" s="11" cm="1">
        <f t="array" ref="O371">IF($A371="","",IFERROR((SUMPRODUCT((TRIM(tblDados[Mandante])=$A371)*tblDados[Primeira_Ocorrencia]*(tblDados[GM_M]&gt;0)*(tblDados[GS_M]&gt;0))+SUMPRODUCT((TRIM(tblDados[Visitante])=$A371)*tblDados[Primeira_Ocorrencia]*(tblDados[GM_V]&gt;0)*(tblDados[GS_V]&gt;0)))/G371,0))</f>
        <v>0.5</v>
      </c>
      <c r="P371" s="10" cm="1">
        <f t="array" ref="P371">IF($A371="","",IFERROR((SUMPRODUCT((TRIM(tblDados[Mandante])=$A371)*tblDados[Primeira_Ocorrencia]*tblDados[GM_M]^2)+SUMPRODUCT((TRIM(tblDados[Visitante])=$A371)*tblDados[Primeira_Ocorrencia]*tblDados[GM_V]^2))/G371-H371^2,0))</f>
        <v>2.2430555555555554</v>
      </c>
      <c r="Q371" s="10">
        <f t="shared" si="122"/>
        <v>1.4976833963009524</v>
      </c>
      <c r="R371" s="8" t="str">
        <f t="shared" si="123"/>
        <v>Poisson</v>
      </c>
      <c r="S371" s="10" cm="1">
        <f t="array" ref="S371">IF($A371="","",SUMPRODUCT((TRIM(tblDados[Mandante])=$A371)*tblDados[Primeira_Ocorrencia]*tblDados[GM_M]))</f>
        <v>10</v>
      </c>
      <c r="T371" s="10" cm="1">
        <f t="array" ref="T371">IF($A371="","",SUMPRODUCT((TRIM(tblDados[Visitante])=$A371)*tblDados[Primeira_Ocorrencia]*tblDados[GM_V]))</f>
        <v>13</v>
      </c>
      <c r="U371" s="10">
        <f t="shared" si="124"/>
        <v>23</v>
      </c>
      <c r="V371" s="10">
        <f t="shared" si="113"/>
        <v>1.9166666666666667</v>
      </c>
      <c r="W371" s="10" cm="1">
        <f t="array" ref="W371">IF($A371="","",SUMPRODUCT((TRIM(tblDados[Mandante])=$A371)*tblDados[Primeira_Ocorrencia]*tblDados[GS_M]))</f>
        <v>3</v>
      </c>
      <c r="X371" s="10" cm="1">
        <f t="array" ref="X371">IF($A371="","",SUMPRODUCT((TRIM(tblDados[Visitante])=$A371)*tblDados[Primeira_Ocorrencia]*tblDados[GS_V]))</f>
        <v>10</v>
      </c>
      <c r="Y371" s="10">
        <f t="shared" si="125"/>
        <v>13</v>
      </c>
      <c r="Z371" s="10">
        <f t="shared" si="114"/>
        <v>1.0833333333333333</v>
      </c>
      <c r="AA371" s="10">
        <f t="shared" si="115"/>
        <v>2</v>
      </c>
      <c r="AB371" s="10">
        <f t="shared" si="116"/>
        <v>0.6</v>
      </c>
      <c r="AC371" s="10">
        <f t="shared" si="117"/>
        <v>1.8571428571428572</v>
      </c>
      <c r="AD371" s="10">
        <f t="shared" si="118"/>
        <v>1.4285714285714286</v>
      </c>
    </row>
    <row r="372" spans="1:30" x14ac:dyDescent="0.3">
      <c r="A372" s="7" t="str">
        <v>Shanghai Port</v>
      </c>
      <c r="B372" s="12" t="str" cm="1">
        <f t="array" ref="B372">IF($A372="","",_xlfn.LET(_xlpm.p,IFERROR(INDEX(tblDados[País],MATCH($A372,TRIM(tblDados[Mandante]),0)),INDEX(tblDados[País],MATCH($A372,TRIM(tblDados[Visitante]),0))),_xlpm.l,IFERROR(INDEX(tblDados[Liga],MATCH($A372,TRIM(tblDados[Mandante]),0)),INDEX(tblDados[Liga],MATCH($A372,TRIM(tblDados[Visitante]),0))),_xlpm.p&amp;" - "&amp;_xlpm.l))</f>
        <v>CHN - Super League</v>
      </c>
      <c r="C372" s="10">
        <f t="shared" si="119"/>
        <v>2.2000000000000002</v>
      </c>
      <c r="D372" s="10">
        <f t="shared" si="120"/>
        <v>3.5714285714285712</v>
      </c>
      <c r="E372" s="9" cm="1">
        <f t="array" ref="E372">IF($A372="","",SUMPRODUCT((TRIM(tblDados[Mandante])=$A372)*tblDados[Primeira_Ocorrencia]))</f>
        <v>5</v>
      </c>
      <c r="F372" s="9" cm="1">
        <f t="array" ref="F372">IF($A372="","",SUMPRODUCT((TRIM(tblDados[Visitante])=$A372)*tblDados[Primeira_Ocorrencia]))</f>
        <v>7</v>
      </c>
      <c r="G372" s="9" cm="1">
        <f t="array" ref="G372">IF($A372="","",SUMPRODUCT((TRIM(tblDados[Mandante])=$A372)*tblDados[Primeira_Ocorrencia])+SUMPRODUCT((TRIM(tblDados[Visitante])=$A372)*tblDados[Primeira_Ocorrencia]))</f>
        <v>12</v>
      </c>
      <c r="H372" s="10">
        <f t="shared" si="121"/>
        <v>1.5833333333333333</v>
      </c>
      <c r="I372" s="10" cm="1">
        <f t="array" ref="I372">IF($A372="","",_xlfn.LET(_xlpm.p,IFERROR(INDEX(tblDados[País],MATCH($A372,TRIM(tblDados[Mandante]),0)),INDEX(tblDados[País],MATCH($A372,TRIM(tblDados[Visitante]),0))),_xlpm.l,IFERROR(INDEX(tblDados[Liga],MATCH($A372,TRIM(tblDados[Mandante]),0)),INDEX(tblDados[Liga],MATCH($A372,TRIM(tblDados[Visitante]),0))),IFERROR(SUMIFS(Ligas!$D$2:$D$39,Ligas!$H$2:$H$39,_xlpm.p,Ligas!$I$2:$I$39,_xlpm.l),0)))</f>
        <v>2.5</v>
      </c>
      <c r="J372" s="11" cm="1">
        <f t="array" ref="J372">IF($A372="","",IFERROR((SUMPRODUCT((TRIM(tblDados[Mandante])=$A372)*tblDados[Primeira_Ocorrencia]*(tblDados[GM_M]=0))+SUMPRODUCT((TRIM(tblDados[Visitante])=$A372)*tblDados[Primeira_Ocorrencia]*(tblDados[GM_V]=0)))/G372,0))</f>
        <v>8.3333333333333329E-2</v>
      </c>
      <c r="K372" s="11" cm="1">
        <f t="array" ref="K372">IF($A372="","",IFERROR((SUMPRODUCT((TRIM(tblDados[Mandante])=$A372)*tblDados[Primeira_Ocorrencia]*((tblDados[GM_M]+tblDados[GS_M])&gt;0.5))+SUMPRODUCT((TRIM(tblDados[Visitante])=$A372)*tblDados[Primeira_Ocorrencia]*((tblDados[GM_V]+tblDados[GS_V])&gt;0.5)))/G372,0))</f>
        <v>1</v>
      </c>
      <c r="L372" s="11" cm="1">
        <f t="array" ref="L372">IF($A372="","",IFERROR((SUMPRODUCT((TRIM(tblDados[Mandante])=$A372)*tblDados[Primeira_Ocorrencia]*((tblDados[GM_M]+tblDados[GS_M])&gt;1.5))+SUMPRODUCT((TRIM(tblDados[Visitante])=$A372)*tblDados[Primeira_Ocorrencia]*((tblDados[GM_V]+tblDados[GS_V])&gt;1.5)))/G372,0))</f>
        <v>0.83333333333333337</v>
      </c>
      <c r="M372" s="11" cm="1">
        <f t="array" ref="M372">IF($A372="","",IFERROR((SUMPRODUCT((TRIM(tblDados[Mandante])=$A372)*tblDados[Primeira_Ocorrencia]*((tblDados[GM_M]+tblDados[GS_M])&gt;2.5))+SUMPRODUCT((TRIM(tblDados[Visitante])=$A372)*tblDados[Primeira_Ocorrencia]*((tblDados[GM_V]+tblDados[GS_V])&gt;2.5)))/G372,0))</f>
        <v>0.58333333333333337</v>
      </c>
      <c r="N372" s="11" cm="1">
        <f t="array" ref="N372">IF($A372="","",IFERROR((SUMPRODUCT((TRIM(tblDados[Mandante])=$A372)*tblDados[Primeira_Ocorrencia]*((tblDados[GM_M]+tblDados[GS_M])&gt;3.5))+SUMPRODUCT((TRIM(tblDados[Visitante])=$A372)*tblDados[Primeira_Ocorrencia]*((tblDados[GM_V]+tblDados[GS_V])&gt;3.5)))/G372,0))</f>
        <v>0.41666666666666669</v>
      </c>
      <c r="O372" s="11" cm="1">
        <f t="array" ref="O372">IF($A372="","",IFERROR((SUMPRODUCT((TRIM(tblDados[Mandante])=$A372)*tblDados[Primeira_Ocorrencia]*(tblDados[GM_M]&gt;0)*(tblDados[GS_M]&gt;0))+SUMPRODUCT((TRIM(tblDados[Visitante])=$A372)*tblDados[Primeira_Ocorrencia]*(tblDados[GM_V]&gt;0)*(tblDados[GS_V]&gt;0)))/G372,0))</f>
        <v>0.75</v>
      </c>
      <c r="P372" s="10" cm="1">
        <f t="array" ref="P372">IF($A372="","",IFERROR((SUMPRODUCT((TRIM(tblDados[Mandante])=$A372)*tblDados[Primeira_Ocorrencia]*tblDados[GM_M]^2)+SUMPRODUCT((TRIM(tblDados[Visitante])=$A372)*tblDados[Primeira_Ocorrencia]*tblDados[GM_V]^2))/G372-H372^2,0))</f>
        <v>0.57638888888888928</v>
      </c>
      <c r="Q372" s="10">
        <f t="shared" si="122"/>
        <v>0.75920279826202519</v>
      </c>
      <c r="R372" s="8" t="str">
        <f t="shared" si="123"/>
        <v>Poisson</v>
      </c>
      <c r="S372" s="10" cm="1">
        <f t="array" ref="S372">IF($A372="","",SUMPRODUCT((TRIM(tblDados[Mandante])=$A372)*tblDados[Primeira_Ocorrencia]*tblDados[GM_M]))</f>
        <v>6</v>
      </c>
      <c r="T372" s="10" cm="1">
        <f t="array" ref="T372">IF($A372="","",SUMPRODUCT((TRIM(tblDados[Visitante])=$A372)*tblDados[Primeira_Ocorrencia]*tblDados[GM_V]))</f>
        <v>13</v>
      </c>
      <c r="U372" s="10">
        <f t="shared" si="124"/>
        <v>19</v>
      </c>
      <c r="V372" s="10">
        <f t="shared" si="113"/>
        <v>1.5833333333333333</v>
      </c>
      <c r="W372" s="10" cm="1">
        <f t="array" ref="W372">IF($A372="","",SUMPRODUCT((TRIM(tblDados[Mandante])=$A372)*tblDados[Primeira_Ocorrencia]*tblDados[GS_M]))</f>
        <v>5</v>
      </c>
      <c r="X372" s="10" cm="1">
        <f t="array" ref="X372">IF($A372="","",SUMPRODUCT((TRIM(tblDados[Visitante])=$A372)*tblDados[Primeira_Ocorrencia]*tblDados[GS_V]))</f>
        <v>12</v>
      </c>
      <c r="Y372" s="10">
        <f t="shared" si="125"/>
        <v>17</v>
      </c>
      <c r="Z372" s="10">
        <f t="shared" si="114"/>
        <v>1.4166666666666667</v>
      </c>
      <c r="AA372" s="10">
        <f t="shared" si="115"/>
        <v>1.2</v>
      </c>
      <c r="AB372" s="10">
        <f t="shared" si="116"/>
        <v>1</v>
      </c>
      <c r="AC372" s="10">
        <f t="shared" si="117"/>
        <v>1.8571428571428572</v>
      </c>
      <c r="AD372" s="10">
        <f t="shared" si="118"/>
        <v>1.7142857142857142</v>
      </c>
    </row>
    <row r="373" spans="1:30" x14ac:dyDescent="0.3">
      <c r="A373" s="7" t="str">
        <v>Shanghai Shenhua</v>
      </c>
      <c r="B373" s="12" t="str" cm="1">
        <f t="array" ref="B373">IF($A373="","",_xlfn.LET(_xlpm.p,IFERROR(INDEX(tblDados[País],MATCH($A373,TRIM(tblDados[Mandante]),0)),INDEX(tblDados[País],MATCH($A373,TRIM(tblDados[Visitante]),0))),_xlpm.l,IFERROR(INDEX(tblDados[Liga],MATCH($A373,TRIM(tblDados[Mandante]),0)),INDEX(tblDados[Liga],MATCH($A373,TRIM(tblDados[Visitante]),0))),_xlpm.p&amp;" - "&amp;_xlpm.l))</f>
        <v>CHN - Super League</v>
      </c>
      <c r="C373" s="10">
        <f t="shared" si="119"/>
        <v>3.6</v>
      </c>
      <c r="D373" s="10">
        <f t="shared" si="120"/>
        <v>3.1428571428571432</v>
      </c>
      <c r="E373" s="9" cm="1">
        <f t="array" ref="E373">IF($A373="","",SUMPRODUCT((TRIM(tblDados[Mandante])=$A373)*tblDados[Primeira_Ocorrencia]))</f>
        <v>5</v>
      </c>
      <c r="F373" s="9" cm="1">
        <f t="array" ref="F373">IF($A373="","",SUMPRODUCT((TRIM(tblDados[Visitante])=$A373)*tblDados[Primeira_Ocorrencia]))</f>
        <v>7</v>
      </c>
      <c r="G373" s="9" cm="1">
        <f t="array" ref="G373">IF($A373="","",SUMPRODUCT((TRIM(tblDados[Mandante])=$A373)*tblDados[Primeira_Ocorrencia])+SUMPRODUCT((TRIM(tblDados[Visitante])=$A373)*tblDados[Primeira_Ocorrencia]))</f>
        <v>12</v>
      </c>
      <c r="H373" s="10">
        <f t="shared" si="121"/>
        <v>1.4166666666666667</v>
      </c>
      <c r="I373" s="10" cm="1">
        <f t="array" ref="I373">IF($A373="","",_xlfn.LET(_xlpm.p,IFERROR(INDEX(tblDados[País],MATCH($A373,TRIM(tblDados[Mandante]),0)),INDEX(tblDados[País],MATCH($A373,TRIM(tblDados[Visitante]),0))),_xlpm.l,IFERROR(INDEX(tblDados[Liga],MATCH($A373,TRIM(tblDados[Mandante]),0)),INDEX(tblDados[Liga],MATCH($A373,TRIM(tblDados[Visitante]),0))),IFERROR(SUMIFS(Ligas!$D$2:$D$39,Ligas!$H$2:$H$39,_xlpm.p,Ligas!$I$2:$I$39,_xlpm.l),0)))</f>
        <v>2.5</v>
      </c>
      <c r="J373" s="11" cm="1">
        <f t="array" ref="J373">IF($A373="","",IFERROR((SUMPRODUCT((TRIM(tblDados[Mandante])=$A373)*tblDados[Primeira_Ocorrencia]*(tblDados[GM_M]=0))+SUMPRODUCT((TRIM(tblDados[Visitante])=$A373)*tblDados[Primeira_Ocorrencia]*(tblDados[GM_V]=0)))/G373,0))</f>
        <v>0.25</v>
      </c>
      <c r="K373" s="11" cm="1">
        <f t="array" ref="K373">IF($A373="","",IFERROR((SUMPRODUCT((TRIM(tblDados[Mandante])=$A373)*tblDados[Primeira_Ocorrencia]*((tblDados[GM_M]+tblDados[GS_M])&gt;0.5))+SUMPRODUCT((TRIM(tblDados[Visitante])=$A373)*tblDados[Primeira_Ocorrencia]*((tblDados[GM_V]+tblDados[GS_V])&gt;0.5)))/G373,0))</f>
        <v>1</v>
      </c>
      <c r="L373" s="11" cm="1">
        <f t="array" ref="L373">IF($A373="","",IFERROR((SUMPRODUCT((TRIM(tblDados[Mandante])=$A373)*tblDados[Primeira_Ocorrencia]*((tblDados[GM_M]+tblDados[GS_M])&gt;1.5))+SUMPRODUCT((TRIM(tblDados[Visitante])=$A373)*tblDados[Primeira_Ocorrencia]*((tblDados[GM_V]+tblDados[GS_V])&gt;1.5)))/G373,0))</f>
        <v>0.83333333333333337</v>
      </c>
      <c r="M373" s="11" cm="1">
        <f t="array" ref="M373">IF($A373="","",IFERROR((SUMPRODUCT((TRIM(tblDados[Mandante])=$A373)*tblDados[Primeira_Ocorrencia]*((tblDados[GM_M]+tblDados[GS_M])&gt;2.5))+SUMPRODUCT((TRIM(tblDados[Visitante])=$A373)*tblDados[Primeira_Ocorrencia]*((tblDados[GM_V]+tblDados[GS_V])&gt;2.5)))/G373,0))</f>
        <v>0.66666666666666663</v>
      </c>
      <c r="N373" s="11" cm="1">
        <f t="array" ref="N373">IF($A373="","",IFERROR((SUMPRODUCT((TRIM(tblDados[Mandante])=$A373)*tblDados[Primeira_Ocorrencia]*((tblDados[GM_M]+tblDados[GS_M])&gt;3.5))+SUMPRODUCT((TRIM(tblDados[Visitante])=$A373)*tblDados[Primeira_Ocorrencia]*((tblDados[GM_V]+tblDados[GS_V])&gt;3.5)))/G373,0))</f>
        <v>0.58333333333333337</v>
      </c>
      <c r="O373" s="11" cm="1">
        <f t="array" ref="O373">IF($A373="","",IFERROR((SUMPRODUCT((TRIM(tblDados[Mandante])=$A373)*tblDados[Primeira_Ocorrencia]*(tblDados[GM_M]&gt;0)*(tblDados[GS_M]&gt;0))+SUMPRODUCT((TRIM(tblDados[Visitante])=$A373)*tblDados[Primeira_Ocorrencia]*(tblDados[GM_V]&gt;0)*(tblDados[GS_V]&gt;0)))/G373,0))</f>
        <v>0.66666666666666663</v>
      </c>
      <c r="P373" s="10" cm="1">
        <f t="array" ref="P373">IF($A373="","",IFERROR((SUMPRODUCT((TRIM(tblDados[Mandante])=$A373)*tblDados[Primeira_Ocorrencia]*tblDados[GM_M]^2)+SUMPRODUCT((TRIM(tblDados[Visitante])=$A373)*tblDados[Primeira_Ocorrencia]*tblDados[GM_V]^2))/G373-H373^2,0))</f>
        <v>1.4097222222222219</v>
      </c>
      <c r="Q373" s="10">
        <f t="shared" si="122"/>
        <v>1.1873172373979171</v>
      </c>
      <c r="R373" s="8" t="str">
        <f t="shared" si="123"/>
        <v>Poisson</v>
      </c>
      <c r="S373" s="10" cm="1">
        <f t="array" ref="S373">IF($A373="","",SUMPRODUCT((TRIM(tblDados[Mandante])=$A373)*tblDados[Primeira_Ocorrencia]*tblDados[GM_M]))</f>
        <v>8</v>
      </c>
      <c r="T373" s="10" cm="1">
        <f t="array" ref="T373">IF($A373="","",SUMPRODUCT((TRIM(tblDados[Visitante])=$A373)*tblDados[Primeira_Ocorrencia]*tblDados[GM_V]))</f>
        <v>9</v>
      </c>
      <c r="U373" s="10">
        <f t="shared" si="124"/>
        <v>17</v>
      </c>
      <c r="V373" s="10">
        <f t="shared" si="113"/>
        <v>1.4166666666666667</v>
      </c>
      <c r="W373" s="10" cm="1">
        <f t="array" ref="W373">IF($A373="","",SUMPRODUCT((TRIM(tblDados[Mandante])=$A373)*tblDados[Primeira_Ocorrencia]*tblDados[GS_M]))</f>
        <v>10</v>
      </c>
      <c r="X373" s="10" cm="1">
        <f t="array" ref="X373">IF($A373="","",SUMPRODUCT((TRIM(tblDados[Visitante])=$A373)*tblDados[Primeira_Ocorrencia]*tblDados[GS_V]))</f>
        <v>13</v>
      </c>
      <c r="Y373" s="10">
        <f t="shared" si="125"/>
        <v>23</v>
      </c>
      <c r="Z373" s="10">
        <f t="shared" si="114"/>
        <v>1.9166666666666667</v>
      </c>
      <c r="AA373" s="10">
        <f t="shared" si="115"/>
        <v>1.6</v>
      </c>
      <c r="AB373" s="10">
        <f t="shared" si="116"/>
        <v>2</v>
      </c>
      <c r="AC373" s="10">
        <f t="shared" si="117"/>
        <v>1.2857142857142858</v>
      </c>
      <c r="AD373" s="10">
        <f t="shared" si="118"/>
        <v>1.8571428571428572</v>
      </c>
    </row>
    <row r="374" spans="1:30" x14ac:dyDescent="0.3">
      <c r="A374" s="7" t="str">
        <v>Shenzhen Juniors</v>
      </c>
      <c r="B374" s="12" t="str" cm="1">
        <f t="array" ref="B374">IF($A374="","",_xlfn.LET(_xlpm.p,IFERROR(INDEX(tblDados[País],MATCH($A374,TRIM(tblDados[Mandante]),0)),INDEX(tblDados[País],MATCH($A374,TRIM(tblDados[Visitante]),0))),_xlpm.l,IFERROR(INDEX(tblDados[Liga],MATCH($A374,TRIM(tblDados[Mandante]),0)),INDEX(tblDados[Liga],MATCH($A374,TRIM(tblDados[Visitante]),0))),_xlpm.p&amp;" - "&amp;_xlpm.l))</f>
        <v>CHN - League One</v>
      </c>
      <c r="C374" s="10">
        <f t="shared" si="119"/>
        <v>2.2000000000000002</v>
      </c>
      <c r="D374" s="10">
        <f t="shared" si="120"/>
        <v>3.1428571428571432</v>
      </c>
      <c r="E374" s="9" cm="1">
        <f t="array" ref="E374">IF($A374="","",SUMPRODUCT((TRIM(tblDados[Mandante])=$A374)*tblDados[Primeira_Ocorrencia]))</f>
        <v>5</v>
      </c>
      <c r="F374" s="9" cm="1">
        <f t="array" ref="F374">IF($A374="","",SUMPRODUCT((TRIM(tblDados[Visitante])=$A374)*tblDados[Primeira_Ocorrencia]))</f>
        <v>7</v>
      </c>
      <c r="G374" s="9" cm="1">
        <f t="array" ref="G374">IF($A374="","",SUMPRODUCT((TRIM(tblDados[Mandante])=$A374)*tblDados[Primeira_Ocorrencia])+SUMPRODUCT((TRIM(tblDados[Visitante])=$A374)*tblDados[Primeira_Ocorrencia]))</f>
        <v>12</v>
      </c>
      <c r="H374" s="10">
        <f t="shared" si="121"/>
        <v>1.6666666666666667</v>
      </c>
      <c r="I374" s="10" cm="1">
        <f t="array" ref="I374">IF($A374="","",_xlfn.LET(_xlpm.p,IFERROR(INDEX(tblDados[País],MATCH($A374,TRIM(tblDados[Mandante]),0)),INDEX(tblDados[País],MATCH($A374,TRIM(tblDados[Visitante]),0))),_xlpm.l,IFERROR(INDEX(tblDados[Liga],MATCH($A374,TRIM(tblDados[Mandante]),0)),INDEX(tblDados[Liga],MATCH($A374,TRIM(tblDados[Visitante]),0))),IFERROR(SUMIFS(Ligas!$D$2:$D$39,Ligas!$H$2:$H$39,_xlpm.p,Ligas!$I$2:$I$39,_xlpm.l),0)))</f>
        <v>2.5</v>
      </c>
      <c r="J374" s="11" cm="1">
        <f t="array" ref="J374">IF($A374="","",IFERROR((SUMPRODUCT((TRIM(tblDados[Mandante])=$A374)*tblDados[Primeira_Ocorrencia]*(tblDados[GM_M]=0))+SUMPRODUCT((TRIM(tblDados[Visitante])=$A374)*tblDados[Primeira_Ocorrencia]*(tblDados[GM_V]=0)))/G374,0))</f>
        <v>0.33333333333333331</v>
      </c>
      <c r="K374" s="11" cm="1">
        <f t="array" ref="K374">IF($A374="","",IFERROR((SUMPRODUCT((TRIM(tblDados[Mandante])=$A374)*tblDados[Primeira_Ocorrencia]*((tblDados[GM_M]+tblDados[GS_M])&gt;0.5))+SUMPRODUCT((TRIM(tblDados[Visitante])=$A374)*tblDados[Primeira_Ocorrencia]*((tblDados[GM_V]+tblDados[GS_V])&gt;0.5)))/G374,0))</f>
        <v>0.75</v>
      </c>
      <c r="L374" s="11" cm="1">
        <f t="array" ref="L374">IF($A374="","",IFERROR((SUMPRODUCT((TRIM(tblDados[Mandante])=$A374)*tblDados[Primeira_Ocorrencia]*((tblDados[GM_M]+tblDados[GS_M])&gt;1.5))+SUMPRODUCT((TRIM(tblDados[Visitante])=$A374)*tblDados[Primeira_Ocorrencia]*((tblDados[GM_V]+tblDados[GS_V])&gt;1.5)))/G374,0))</f>
        <v>0.58333333333333337</v>
      </c>
      <c r="M374" s="11" cm="1">
        <f t="array" ref="M374">IF($A374="","",IFERROR((SUMPRODUCT((TRIM(tblDados[Mandante])=$A374)*tblDados[Primeira_Ocorrencia]*((tblDados[GM_M]+tblDados[GS_M])&gt;2.5))+SUMPRODUCT((TRIM(tblDados[Visitante])=$A374)*tblDados[Primeira_Ocorrencia]*((tblDados[GM_V]+tblDados[GS_V])&gt;2.5)))/G374,0))</f>
        <v>0.41666666666666669</v>
      </c>
      <c r="N374" s="11" cm="1">
        <f t="array" ref="N374">IF($A374="","",IFERROR((SUMPRODUCT((TRIM(tblDados[Mandante])=$A374)*tblDados[Primeira_Ocorrencia]*((tblDados[GM_M]+tblDados[GS_M])&gt;3.5))+SUMPRODUCT((TRIM(tblDados[Visitante])=$A374)*tblDados[Primeira_Ocorrencia]*((tblDados[GM_V]+tblDados[GS_V])&gt;3.5)))/G374,0))</f>
        <v>0.33333333333333331</v>
      </c>
      <c r="O374" s="11" cm="1">
        <f t="array" ref="O374">IF($A374="","",IFERROR((SUMPRODUCT((TRIM(tblDados[Mandante])=$A374)*tblDados[Primeira_Ocorrencia]*(tblDados[GM_M]&gt;0)*(tblDados[GS_M]&gt;0))+SUMPRODUCT((TRIM(tblDados[Visitante])=$A374)*tblDados[Primeira_Ocorrencia]*(tblDados[GM_V]&gt;0)*(tblDados[GS_V]&gt;0)))/G374,0))</f>
        <v>0.33333333333333331</v>
      </c>
      <c r="P374" s="10" cm="1">
        <f t="array" ref="P374">IF($A374="","",IFERROR((SUMPRODUCT((TRIM(tblDados[Mandante])=$A374)*tblDados[Primeira_Ocorrencia]*tblDados[GM_M]^2)+SUMPRODUCT((TRIM(tblDados[Visitante])=$A374)*tblDados[Primeira_Ocorrencia]*tblDados[GM_V]^2))/G374-H374^2,0))</f>
        <v>2.5555555555555549</v>
      </c>
      <c r="Q374" s="10">
        <f t="shared" si="122"/>
        <v>1.5986105077709063</v>
      </c>
      <c r="R374" s="8" t="str">
        <f t="shared" si="123"/>
        <v>Poisson</v>
      </c>
      <c r="S374" s="10" cm="1">
        <f t="array" ref="S374">IF($A374="","",SUMPRODUCT((TRIM(tblDados[Mandante])=$A374)*tblDados[Primeira_Ocorrencia]*tblDados[GM_M]))</f>
        <v>7</v>
      </c>
      <c r="T374" s="10" cm="1">
        <f t="array" ref="T374">IF($A374="","",SUMPRODUCT((TRIM(tblDados[Visitante])=$A374)*tblDados[Primeira_Ocorrencia]*tblDados[GM_V]))</f>
        <v>13</v>
      </c>
      <c r="U374" s="10">
        <f t="shared" si="124"/>
        <v>20</v>
      </c>
      <c r="V374" s="10">
        <f t="shared" si="113"/>
        <v>1.6666666666666667</v>
      </c>
      <c r="W374" s="10" cm="1">
        <f t="array" ref="W374">IF($A374="","",SUMPRODUCT((TRIM(tblDados[Mandante])=$A374)*tblDados[Primeira_Ocorrencia]*tblDados[GS_M]))</f>
        <v>4</v>
      </c>
      <c r="X374" s="10" cm="1">
        <f t="array" ref="X374">IF($A374="","",SUMPRODUCT((TRIM(tblDados[Visitante])=$A374)*tblDados[Primeira_Ocorrencia]*tblDados[GS_V]))</f>
        <v>9</v>
      </c>
      <c r="Y374" s="10">
        <f t="shared" si="125"/>
        <v>13</v>
      </c>
      <c r="Z374" s="10">
        <f t="shared" si="114"/>
        <v>1.0833333333333333</v>
      </c>
      <c r="AA374" s="10">
        <f t="shared" si="115"/>
        <v>1.4</v>
      </c>
      <c r="AB374" s="10">
        <f t="shared" si="116"/>
        <v>0.8</v>
      </c>
      <c r="AC374" s="10">
        <f t="shared" si="117"/>
        <v>1.8571428571428572</v>
      </c>
      <c r="AD374" s="10">
        <f t="shared" si="118"/>
        <v>1.2857142857142858</v>
      </c>
    </row>
    <row r="375" spans="1:30" x14ac:dyDescent="0.3">
      <c r="A375" s="7" t="str">
        <v>SJK</v>
      </c>
      <c r="B375" s="12" t="str" cm="1">
        <f t="array" ref="B375">IF($A375="","",_xlfn.LET(_xlpm.p,IFERROR(INDEX(tblDados[País],MATCH($A375,TRIM(tblDados[Mandante]),0)),INDEX(tblDados[País],MATCH($A375,TRIM(tblDados[Visitante]),0))),_xlpm.l,IFERROR(INDEX(tblDados[Liga],MATCH($A375,TRIM(tblDados[Mandante]),0)),INDEX(tblDados[Liga],MATCH($A375,TRIM(tblDados[Visitante]),0))),_xlpm.p&amp;" - "&amp;_xlpm.l))</f>
        <v>FIN - Veikkausliiga</v>
      </c>
      <c r="C375" s="10">
        <f t="shared" si="119"/>
        <v>3</v>
      </c>
      <c r="D375" s="10">
        <f t="shared" si="120"/>
        <v>2.5999999999999996</v>
      </c>
      <c r="E375" s="9" cm="1">
        <f t="array" ref="E375">IF($A375="","",SUMPRODUCT((TRIM(tblDados[Mandante])=$A375)*tblDados[Primeira_Ocorrencia]))</f>
        <v>7</v>
      </c>
      <c r="F375" s="9" cm="1">
        <f t="array" ref="F375">IF($A375="","",SUMPRODUCT((TRIM(tblDados[Visitante])=$A375)*tblDados[Primeira_Ocorrencia]))</f>
        <v>5</v>
      </c>
      <c r="G375" s="9" cm="1">
        <f t="array" ref="G375">IF($A375="","",SUMPRODUCT((TRIM(tblDados[Mandante])=$A375)*tblDados[Primeira_Ocorrencia])+SUMPRODUCT((TRIM(tblDados[Visitante])=$A375)*tblDados[Primeira_Ocorrencia]))</f>
        <v>12</v>
      </c>
      <c r="H375" s="10">
        <f t="shared" si="121"/>
        <v>1.3333333333333333</v>
      </c>
      <c r="I375" s="10" cm="1">
        <f t="array" ref="I375">IF($A375="","",_xlfn.LET(_xlpm.p,IFERROR(INDEX(tblDados[País],MATCH($A375,TRIM(tblDados[Mandante]),0)),INDEX(tblDados[País],MATCH($A375,TRIM(tblDados[Visitante]),0))),_xlpm.l,IFERROR(INDEX(tblDados[Liga],MATCH($A375,TRIM(tblDados[Mandante]),0)),INDEX(tblDados[Liga],MATCH($A375,TRIM(tblDados[Visitante]),0))),IFERROR(SUMIFS(Ligas!$D$2:$D$39,Ligas!$H$2:$H$39,_xlpm.p,Ligas!$I$2:$I$39,_xlpm.l),0)))</f>
        <v>2.6</v>
      </c>
      <c r="J375" s="11" cm="1">
        <f t="array" ref="J375">IF($A375="","",IFERROR((SUMPRODUCT((TRIM(tblDados[Mandante])=$A375)*tblDados[Primeira_Ocorrencia]*(tblDados[GM_M]=0))+SUMPRODUCT((TRIM(tblDados[Visitante])=$A375)*tblDados[Primeira_Ocorrencia]*(tblDados[GM_V]=0)))/G375,0))</f>
        <v>0.33333333333333331</v>
      </c>
      <c r="K375" s="11" cm="1">
        <f t="array" ref="K375">IF($A375="","",IFERROR((SUMPRODUCT((TRIM(tblDados[Mandante])=$A375)*tblDados[Primeira_Ocorrencia]*((tblDados[GM_M]+tblDados[GS_M])&gt;0.5))+SUMPRODUCT((TRIM(tblDados[Visitante])=$A375)*tblDados[Primeira_Ocorrencia]*((tblDados[GM_V]+tblDados[GS_V])&gt;0.5)))/G375,0))</f>
        <v>0.91666666666666663</v>
      </c>
      <c r="L375" s="11" cm="1">
        <f t="array" ref="L375">IF($A375="","",IFERROR((SUMPRODUCT((TRIM(tblDados[Mandante])=$A375)*tblDados[Primeira_Ocorrencia]*((tblDados[GM_M]+tblDados[GS_M])&gt;1.5))+SUMPRODUCT((TRIM(tblDados[Visitante])=$A375)*tblDados[Primeira_Ocorrencia]*((tblDados[GM_V]+tblDados[GS_V])&gt;1.5)))/G375,0))</f>
        <v>0.75</v>
      </c>
      <c r="M375" s="11" cm="1">
        <f t="array" ref="M375">IF($A375="","",IFERROR((SUMPRODUCT((TRIM(tblDados[Mandante])=$A375)*tblDados[Primeira_Ocorrencia]*((tblDados[GM_M]+tblDados[GS_M])&gt;2.5))+SUMPRODUCT((TRIM(tblDados[Visitante])=$A375)*tblDados[Primeira_Ocorrencia]*((tblDados[GM_V]+tblDados[GS_V])&gt;2.5)))/G375,0))</f>
        <v>0.66666666666666663</v>
      </c>
      <c r="N375" s="11" cm="1">
        <f t="array" ref="N375">IF($A375="","",IFERROR((SUMPRODUCT((TRIM(tblDados[Mandante])=$A375)*tblDados[Primeira_Ocorrencia]*((tblDados[GM_M]+tblDados[GS_M])&gt;3.5))+SUMPRODUCT((TRIM(tblDados[Visitante])=$A375)*tblDados[Primeira_Ocorrencia]*((tblDados[GM_V]+tblDados[GS_V])&gt;3.5)))/G375,0))</f>
        <v>0.41666666666666669</v>
      </c>
      <c r="O375" s="11" cm="1">
        <f t="array" ref="O375">IF($A375="","",IFERROR((SUMPRODUCT((TRIM(tblDados[Mandante])=$A375)*tblDados[Primeira_Ocorrencia]*(tblDados[GM_M]&gt;0)*(tblDados[GS_M]&gt;0))+SUMPRODUCT((TRIM(tblDados[Visitante])=$A375)*tblDados[Primeira_Ocorrencia]*(tblDados[GM_V]&gt;0)*(tblDados[GS_V]&gt;0)))/G375,0))</f>
        <v>0.58333333333333337</v>
      </c>
      <c r="P375" s="10" cm="1">
        <f t="array" ref="P375">IF($A375="","",IFERROR((SUMPRODUCT((TRIM(tblDados[Mandante])=$A375)*tblDados[Primeira_Ocorrencia]*tblDados[GM_M]^2)+SUMPRODUCT((TRIM(tblDados[Visitante])=$A375)*tblDados[Primeira_Ocorrencia]*tblDados[GM_V]^2))/G375-H375^2,0))</f>
        <v>1.3888888888888888</v>
      </c>
      <c r="Q375" s="10">
        <f t="shared" si="122"/>
        <v>1.1785113019775793</v>
      </c>
      <c r="R375" s="8" t="str">
        <f t="shared" si="123"/>
        <v>Poisson</v>
      </c>
      <c r="S375" s="10" cm="1">
        <f t="array" ref="S375">IF($A375="","",SUMPRODUCT((TRIM(tblDados[Mandante])=$A375)*tblDados[Primeira_Ocorrencia]*tblDados[GM_M]))</f>
        <v>10</v>
      </c>
      <c r="T375" s="10" cm="1">
        <f t="array" ref="T375">IF($A375="","",SUMPRODUCT((TRIM(tblDados[Visitante])=$A375)*tblDados[Primeira_Ocorrencia]*tblDados[GM_V]))</f>
        <v>6</v>
      </c>
      <c r="U375" s="10">
        <f t="shared" si="124"/>
        <v>16</v>
      </c>
      <c r="V375" s="10">
        <f t="shared" si="113"/>
        <v>1.3333333333333333</v>
      </c>
      <c r="W375" s="10" cm="1">
        <f t="array" ref="W375">IF($A375="","",SUMPRODUCT((TRIM(tblDados[Mandante])=$A375)*tblDados[Primeira_Ocorrencia]*tblDados[GS_M]))</f>
        <v>11</v>
      </c>
      <c r="X375" s="10" cm="1">
        <f t="array" ref="X375">IF($A375="","",SUMPRODUCT((TRIM(tblDados[Visitante])=$A375)*tblDados[Primeira_Ocorrencia]*tblDados[GS_V]))</f>
        <v>7</v>
      </c>
      <c r="Y375" s="10">
        <f t="shared" si="125"/>
        <v>18</v>
      </c>
      <c r="Z375" s="10">
        <f t="shared" si="114"/>
        <v>1.5</v>
      </c>
      <c r="AA375" s="10">
        <f t="shared" si="115"/>
        <v>1.4285714285714286</v>
      </c>
      <c r="AB375" s="10">
        <f t="shared" si="116"/>
        <v>1.5714285714285714</v>
      </c>
      <c r="AC375" s="10">
        <f t="shared" si="117"/>
        <v>1.2</v>
      </c>
      <c r="AD375" s="10">
        <f t="shared" si="118"/>
        <v>1.4</v>
      </c>
    </row>
    <row r="376" spans="1:30" x14ac:dyDescent="0.3">
      <c r="A376" s="7" t="str">
        <v>SJK Akatemia</v>
      </c>
      <c r="B376" s="12" t="str" cm="1">
        <f t="array" ref="B376">IF($A376="","",_xlfn.LET(_xlpm.p,IFERROR(INDEX(tblDados[País],MATCH($A376,TRIM(tblDados[Mandante]),0)),INDEX(tblDados[País],MATCH($A376,TRIM(tblDados[Visitante]),0))),_xlpm.l,IFERROR(INDEX(tblDados[Liga],MATCH($A376,TRIM(tblDados[Mandante]),0)),INDEX(tblDados[Liga],MATCH($A376,TRIM(tblDados[Visitante]),0))),_xlpm.p&amp;" - "&amp;_xlpm.l))</f>
        <v>FIN - Ykkösliiga</v>
      </c>
      <c r="C376" s="10">
        <f t="shared" si="119"/>
        <v>1.3333333333333335</v>
      </c>
      <c r="D376" s="10">
        <f t="shared" si="120"/>
        <v>2.333333333333333</v>
      </c>
      <c r="E376" s="9" cm="1">
        <f t="array" ref="E376">IF($A376="","",SUMPRODUCT((TRIM(tblDados[Mandante])=$A376)*tblDados[Primeira_Ocorrencia]))</f>
        <v>6</v>
      </c>
      <c r="F376" s="9" cm="1">
        <f t="array" ref="F376">IF($A376="","",SUMPRODUCT((TRIM(tblDados[Visitante])=$A376)*tblDados[Primeira_Ocorrencia]))</f>
        <v>6</v>
      </c>
      <c r="G376" s="9" cm="1">
        <f t="array" ref="G376">IF($A376="","",SUMPRODUCT((TRIM(tblDados[Mandante])=$A376)*tblDados[Primeira_Ocorrencia])+SUMPRODUCT((TRIM(tblDados[Visitante])=$A376)*tblDados[Primeira_Ocorrencia]))</f>
        <v>12</v>
      </c>
      <c r="H376" s="10">
        <f t="shared" si="121"/>
        <v>0.33333333333333331</v>
      </c>
      <c r="I376" s="10" cm="1">
        <f t="array" ref="I376">IF($A376="","",_xlfn.LET(_xlpm.p,IFERROR(INDEX(tblDados[País],MATCH($A376,TRIM(tblDados[Mandante]),0)),INDEX(tblDados[País],MATCH($A376,TRIM(tblDados[Visitante]),0))),_xlpm.l,IFERROR(INDEX(tblDados[Liga],MATCH($A376,TRIM(tblDados[Mandante]),0)),INDEX(tblDados[Liga],MATCH($A376,TRIM(tblDados[Visitante]),0))),IFERROR(SUMIFS(Ligas!$D$2:$D$39,Ligas!$H$2:$H$39,_xlpm.p,Ligas!$I$2:$I$39,_xlpm.l),0)))</f>
        <v>2.5099999999999998</v>
      </c>
      <c r="J376" s="11" cm="1">
        <f t="array" ref="J376">IF($A376="","",IFERROR((SUMPRODUCT((TRIM(tblDados[Mandante])=$A376)*tblDados[Primeira_Ocorrencia]*(tblDados[GM_M]=0))+SUMPRODUCT((TRIM(tblDados[Visitante])=$A376)*tblDados[Primeira_Ocorrencia]*(tblDados[GM_V]=0)))/G376,0))</f>
        <v>0.75</v>
      </c>
      <c r="K376" s="11" cm="1">
        <f t="array" ref="K376">IF($A376="","",IFERROR((SUMPRODUCT((TRIM(tblDados[Mandante])=$A376)*tblDados[Primeira_Ocorrencia]*((tblDados[GM_M]+tblDados[GS_M])&gt;0.5))+SUMPRODUCT((TRIM(tblDados[Visitante])=$A376)*tblDados[Primeira_Ocorrencia]*((tblDados[GM_V]+tblDados[GS_V])&gt;0.5)))/G376,0))</f>
        <v>0.83333333333333337</v>
      </c>
      <c r="L376" s="11" cm="1">
        <f t="array" ref="L376">IF($A376="","",IFERROR((SUMPRODUCT((TRIM(tblDados[Mandante])=$A376)*tblDados[Primeira_Ocorrencia]*((tblDados[GM_M]+tblDados[GS_M])&gt;1.5))+SUMPRODUCT((TRIM(tblDados[Visitante])=$A376)*tblDados[Primeira_Ocorrencia]*((tblDados[GM_V]+tblDados[GS_V])&gt;1.5)))/G376,0))</f>
        <v>0.58333333333333337</v>
      </c>
      <c r="M376" s="11" cm="1">
        <f t="array" ref="M376">IF($A376="","",IFERROR((SUMPRODUCT((TRIM(tblDados[Mandante])=$A376)*tblDados[Primeira_Ocorrencia]*((tblDados[GM_M]+tblDados[GS_M])&gt;2.5))+SUMPRODUCT((TRIM(tblDados[Visitante])=$A376)*tblDados[Primeira_Ocorrencia]*((tblDados[GM_V]+tblDados[GS_V])&gt;2.5)))/G376,0))</f>
        <v>0.33333333333333331</v>
      </c>
      <c r="N376" s="11" cm="1">
        <f t="array" ref="N376">IF($A376="","",IFERROR((SUMPRODUCT((TRIM(tblDados[Mandante])=$A376)*tblDados[Primeira_Ocorrencia]*((tblDados[GM_M]+tblDados[GS_M])&gt;3.5))+SUMPRODUCT((TRIM(tblDados[Visitante])=$A376)*tblDados[Primeira_Ocorrencia]*((tblDados[GM_V]+tblDados[GS_V])&gt;3.5)))/G376,0))</f>
        <v>8.3333333333333329E-2</v>
      </c>
      <c r="O376" s="11" cm="1">
        <f t="array" ref="O376">IF($A376="","",IFERROR((SUMPRODUCT((TRIM(tblDados[Mandante])=$A376)*tblDados[Primeira_Ocorrencia]*(tblDados[GM_M]&gt;0)*(tblDados[GS_M]&gt;0))+SUMPRODUCT((TRIM(tblDados[Visitante])=$A376)*tblDados[Primeira_Ocorrencia]*(tblDados[GM_V]&gt;0)*(tblDados[GS_V]&gt;0)))/G376,0))</f>
        <v>0.25</v>
      </c>
      <c r="P376" s="10" cm="1">
        <f t="array" ref="P376">IF($A376="","",IFERROR((SUMPRODUCT((TRIM(tblDados[Mandante])=$A376)*tblDados[Primeira_Ocorrencia]*tblDados[GM_M]^2)+SUMPRODUCT((TRIM(tblDados[Visitante])=$A376)*tblDados[Primeira_Ocorrencia]*tblDados[GM_V]^2))/G376-H376^2,0))</f>
        <v>0.3888888888888889</v>
      </c>
      <c r="Q376" s="10">
        <f t="shared" si="122"/>
        <v>0.62360956446232352</v>
      </c>
      <c r="R376" s="8" t="str">
        <f t="shared" si="123"/>
        <v>Poisson</v>
      </c>
      <c r="S376" s="10" cm="1">
        <f t="array" ref="S376">IF($A376="","",SUMPRODUCT((TRIM(tblDados[Mandante])=$A376)*tblDados[Primeira_Ocorrencia]*tblDados[GM_M]))</f>
        <v>1</v>
      </c>
      <c r="T376" s="10" cm="1">
        <f t="array" ref="T376">IF($A376="","",SUMPRODUCT((TRIM(tblDados[Visitante])=$A376)*tblDados[Primeira_Ocorrencia]*tblDados[GM_V]))</f>
        <v>3</v>
      </c>
      <c r="U376" s="10">
        <f t="shared" si="124"/>
        <v>4</v>
      </c>
      <c r="V376" s="10">
        <f t="shared" si="113"/>
        <v>0.33333333333333331</v>
      </c>
      <c r="W376" s="10" cm="1">
        <f t="array" ref="W376">IF($A376="","",SUMPRODUCT((TRIM(tblDados[Mandante])=$A376)*tblDados[Primeira_Ocorrencia]*tblDados[GS_M]))</f>
        <v>7</v>
      </c>
      <c r="X376" s="10" cm="1">
        <f t="array" ref="X376">IF($A376="","",SUMPRODUCT((TRIM(tblDados[Visitante])=$A376)*tblDados[Primeira_Ocorrencia]*tblDados[GS_V]))</f>
        <v>11</v>
      </c>
      <c r="Y376" s="10">
        <f t="shared" si="125"/>
        <v>18</v>
      </c>
      <c r="Z376" s="10">
        <f t="shared" si="114"/>
        <v>1.5</v>
      </c>
      <c r="AA376" s="10">
        <f t="shared" si="115"/>
        <v>0.16666666666666666</v>
      </c>
      <c r="AB376" s="10">
        <f t="shared" si="116"/>
        <v>1.1666666666666667</v>
      </c>
      <c r="AC376" s="10">
        <f t="shared" si="117"/>
        <v>0.5</v>
      </c>
      <c r="AD376" s="10">
        <f t="shared" si="118"/>
        <v>1.8333333333333333</v>
      </c>
    </row>
    <row r="377" spans="1:30" x14ac:dyDescent="0.3">
      <c r="A377" s="7" t="str">
        <v>SK Brann</v>
      </c>
      <c r="B377" s="12" t="str" cm="1">
        <f t="array" ref="B377">IF($A377="","",_xlfn.LET(_xlpm.p,IFERROR(INDEX(tblDados[País],MATCH($A377,TRIM(tblDados[Mandante]),0)),INDEX(tblDados[País],MATCH($A377,TRIM(tblDados[Visitante]),0))),_xlpm.l,IFERROR(INDEX(tblDados[Liga],MATCH($A377,TRIM(tblDados[Mandante]),0)),INDEX(tblDados[Liga],MATCH($A377,TRIM(tblDados[Visitante]),0))),_xlpm.p&amp;" - "&amp;_xlpm.l))</f>
        <v>NOR - Eliteserien</v>
      </c>
      <c r="C377" s="10">
        <f t="shared" si="119"/>
        <v>3.833333333333333</v>
      </c>
      <c r="D377" s="10">
        <f t="shared" si="120"/>
        <v>3.666666666666667</v>
      </c>
      <c r="E377" s="9" cm="1">
        <f t="array" ref="E377">IF($A377="","",SUMPRODUCT((TRIM(tblDados[Mandante])=$A377)*tblDados[Primeira_Ocorrencia]))</f>
        <v>6</v>
      </c>
      <c r="F377" s="9" cm="1">
        <f t="array" ref="F377">IF($A377="","",SUMPRODUCT((TRIM(tblDados[Visitante])=$A377)*tblDados[Primeira_Ocorrencia]))</f>
        <v>6</v>
      </c>
      <c r="G377" s="9" cm="1">
        <f t="array" ref="G377">IF($A377="","",SUMPRODUCT((TRIM(tblDados[Mandante])=$A377)*tblDados[Primeira_Ocorrencia])+SUMPRODUCT((TRIM(tblDados[Visitante])=$A377)*tblDados[Primeira_Ocorrencia]))</f>
        <v>12</v>
      </c>
      <c r="H377" s="10">
        <f t="shared" si="121"/>
        <v>2.0833333333333335</v>
      </c>
      <c r="I377" s="10" cm="1">
        <f t="array" ref="I377">IF($A377="","",_xlfn.LET(_xlpm.p,IFERROR(INDEX(tblDados[País],MATCH($A377,TRIM(tblDados[Mandante]),0)),INDEX(tblDados[País],MATCH($A377,TRIM(tblDados[Visitante]),0))),_xlpm.l,IFERROR(INDEX(tblDados[Liga],MATCH($A377,TRIM(tblDados[Mandante]),0)),INDEX(tblDados[Liga],MATCH($A377,TRIM(tblDados[Visitante]),0))),IFERROR(SUMIFS(Ligas!$D$2:$D$39,Ligas!$H$2:$H$39,_xlpm.p,Ligas!$I$2:$I$39,_xlpm.l),0)))</f>
        <v>2.5</v>
      </c>
      <c r="J377" s="11" cm="1">
        <f t="array" ref="J377">IF($A377="","",IFERROR((SUMPRODUCT((TRIM(tblDados[Mandante])=$A377)*tblDados[Primeira_Ocorrencia]*(tblDados[GM_M]=0))+SUMPRODUCT((TRIM(tblDados[Visitante])=$A377)*tblDados[Primeira_Ocorrencia]*(tblDados[GM_V]=0)))/G377,0))</f>
        <v>0</v>
      </c>
      <c r="K377" s="11" cm="1">
        <f t="array" ref="K377">IF($A377="","",IFERROR((SUMPRODUCT((TRIM(tblDados[Mandante])=$A377)*tblDados[Primeira_Ocorrencia]*((tblDados[GM_M]+tblDados[GS_M])&gt;0.5))+SUMPRODUCT((TRIM(tblDados[Visitante])=$A377)*tblDados[Primeira_Ocorrencia]*((tblDados[GM_V]+tblDados[GS_V])&gt;0.5)))/G377,0))</f>
        <v>1</v>
      </c>
      <c r="L377" s="11" cm="1">
        <f t="array" ref="L377">IF($A377="","",IFERROR((SUMPRODUCT((TRIM(tblDados[Mandante])=$A377)*tblDados[Primeira_Ocorrencia]*((tblDados[GM_M]+tblDados[GS_M])&gt;1.5))+SUMPRODUCT((TRIM(tblDados[Visitante])=$A377)*tblDados[Primeira_Ocorrencia]*((tblDados[GM_V]+tblDados[GS_V])&gt;1.5)))/G377,0))</f>
        <v>1</v>
      </c>
      <c r="M377" s="11" cm="1">
        <f t="array" ref="M377">IF($A377="","",IFERROR((SUMPRODUCT((TRIM(tblDados[Mandante])=$A377)*tblDados[Primeira_Ocorrencia]*((tblDados[GM_M]+tblDados[GS_M])&gt;2.5))+SUMPRODUCT((TRIM(tblDados[Visitante])=$A377)*tblDados[Primeira_Ocorrencia]*((tblDados[GM_V]+tblDados[GS_V])&gt;2.5)))/G377,0))</f>
        <v>0.91666666666666663</v>
      </c>
      <c r="N377" s="11" cm="1">
        <f t="array" ref="N377">IF($A377="","",IFERROR((SUMPRODUCT((TRIM(tblDados[Mandante])=$A377)*tblDados[Primeira_Ocorrencia]*((tblDados[GM_M]+tblDados[GS_M])&gt;3.5))+SUMPRODUCT((TRIM(tblDados[Visitante])=$A377)*tblDados[Primeira_Ocorrencia]*((tblDados[GM_V]+tblDados[GS_V])&gt;3.5)))/G377,0))</f>
        <v>0.5</v>
      </c>
      <c r="O377" s="11" cm="1">
        <f t="array" ref="O377">IF($A377="","",IFERROR((SUMPRODUCT((TRIM(tblDados[Mandante])=$A377)*tblDados[Primeira_Ocorrencia]*(tblDados[GM_M]&gt;0)*(tblDados[GS_M]&gt;0))+SUMPRODUCT((TRIM(tblDados[Visitante])=$A377)*tblDados[Primeira_Ocorrencia]*(tblDados[GM_V]&gt;0)*(tblDados[GS_V]&gt;0)))/G377,0))</f>
        <v>0.91666666666666663</v>
      </c>
      <c r="P377" s="10" cm="1">
        <f t="array" ref="P377">IF($A377="","",IFERROR((SUMPRODUCT((TRIM(tblDados[Mandante])=$A377)*tblDados[Primeira_Ocorrencia]*tblDados[GM_M]^2)+SUMPRODUCT((TRIM(tblDados[Visitante])=$A377)*tblDados[Primeira_Ocorrencia]*tblDados[GM_V]^2))/G377-H377^2,0))</f>
        <v>1.2430555555555545</v>
      </c>
      <c r="Q377" s="10">
        <f t="shared" si="122"/>
        <v>1.1149240133549705</v>
      </c>
      <c r="R377" s="8" t="str">
        <f t="shared" si="123"/>
        <v>Poisson</v>
      </c>
      <c r="S377" s="10" cm="1">
        <f t="array" ref="S377">IF($A377="","",SUMPRODUCT((TRIM(tblDados[Mandante])=$A377)*tblDados[Primeira_Ocorrencia]*tblDados[GM_M]))</f>
        <v>13</v>
      </c>
      <c r="T377" s="10" cm="1">
        <f t="array" ref="T377">IF($A377="","",SUMPRODUCT((TRIM(tblDados[Visitante])=$A377)*tblDados[Primeira_Ocorrencia]*tblDados[GM_V]))</f>
        <v>12</v>
      </c>
      <c r="U377" s="10">
        <f t="shared" si="124"/>
        <v>25</v>
      </c>
      <c r="V377" s="10">
        <f t="shared" si="113"/>
        <v>2.0833333333333335</v>
      </c>
      <c r="W377" s="10" cm="1">
        <f t="array" ref="W377">IF($A377="","",SUMPRODUCT((TRIM(tblDados[Mandante])=$A377)*tblDados[Primeira_Ocorrencia]*tblDados[GS_M]))</f>
        <v>10</v>
      </c>
      <c r="X377" s="10" cm="1">
        <f t="array" ref="X377">IF($A377="","",SUMPRODUCT((TRIM(tblDados[Visitante])=$A377)*tblDados[Primeira_Ocorrencia]*tblDados[GS_V]))</f>
        <v>10</v>
      </c>
      <c r="Y377" s="10">
        <f t="shared" si="125"/>
        <v>20</v>
      </c>
      <c r="Z377" s="10">
        <f t="shared" si="114"/>
        <v>1.6666666666666667</v>
      </c>
      <c r="AA377" s="10">
        <f t="shared" si="115"/>
        <v>2.1666666666666665</v>
      </c>
      <c r="AB377" s="10">
        <f t="shared" si="116"/>
        <v>1.6666666666666667</v>
      </c>
      <c r="AC377" s="10">
        <f t="shared" si="117"/>
        <v>2</v>
      </c>
      <c r="AD377" s="10">
        <f t="shared" si="118"/>
        <v>1.6666666666666667</v>
      </c>
    </row>
    <row r="378" spans="1:30" x14ac:dyDescent="0.3">
      <c r="A378" s="7" t="str">
        <v>Skara FC</v>
      </c>
      <c r="B378" s="12" t="str" cm="1">
        <f t="array" ref="B378">IF($A378="","",_xlfn.LET(_xlpm.p,IFERROR(INDEX(tblDados[País],MATCH($A378,TRIM(tblDados[Mandante]),0)),INDEX(tblDados[País],MATCH($A378,TRIM(tblDados[Visitante]),0))),_xlpm.l,IFERROR(INDEX(tblDados[Liga],MATCH($A378,TRIM(tblDados[Mandante]),0)),INDEX(tblDados[Liga],MATCH($A378,TRIM(tblDados[Visitante]),0))),_xlpm.p&amp;" - "&amp;_xlpm.l))</f>
        <v>SWE - 2ª D Norra Götaland</v>
      </c>
      <c r="C378" s="10">
        <f t="shared" si="119"/>
        <v>3.1666666666666665</v>
      </c>
      <c r="D378" s="10">
        <f t="shared" si="120"/>
        <v>2.6666666666666665</v>
      </c>
      <c r="E378" s="9" cm="1">
        <f t="array" ref="E378">IF($A378="","",SUMPRODUCT((TRIM(tblDados[Mandante])=$A378)*tblDados[Primeira_Ocorrencia]))</f>
        <v>6</v>
      </c>
      <c r="F378" s="9" cm="1">
        <f t="array" ref="F378">IF($A378="","",SUMPRODUCT((TRIM(tblDados[Visitante])=$A378)*tblDados[Primeira_Ocorrencia]))</f>
        <v>6</v>
      </c>
      <c r="G378" s="9" cm="1">
        <f t="array" ref="G378">IF($A378="","",SUMPRODUCT((TRIM(tblDados[Mandante])=$A378)*tblDados[Primeira_Ocorrencia])+SUMPRODUCT((TRIM(tblDados[Visitante])=$A378)*tblDados[Primeira_Ocorrencia]))</f>
        <v>12</v>
      </c>
      <c r="H378" s="10">
        <f t="shared" si="121"/>
        <v>2.1666666666666665</v>
      </c>
      <c r="I378" s="10" cm="1">
        <f t="array" ref="I378">IF($A378="","",_xlfn.LET(_xlpm.p,IFERROR(INDEX(tblDados[País],MATCH($A378,TRIM(tblDados[Mandante]),0)),INDEX(tblDados[País],MATCH($A378,TRIM(tblDados[Visitante]),0))),_xlpm.l,IFERROR(INDEX(tblDados[Liga],MATCH($A378,TRIM(tblDados[Mandante]),0)),INDEX(tblDados[Liga],MATCH($A378,TRIM(tblDados[Visitante]),0))),IFERROR(SUMIFS(Ligas!$D$2:$D$39,Ligas!$H$2:$H$39,_xlpm.p,Ligas!$I$2:$I$39,_xlpm.l),0)))</f>
        <v>2.5</v>
      </c>
      <c r="J378" s="11" cm="1">
        <f t="array" ref="J378">IF($A378="","",IFERROR((SUMPRODUCT((TRIM(tblDados[Mandante])=$A378)*tblDados[Primeira_Ocorrencia]*(tblDados[GM_M]=0))+SUMPRODUCT((TRIM(tblDados[Visitante])=$A378)*tblDados[Primeira_Ocorrencia]*(tblDados[GM_V]=0)))/G378,0))</f>
        <v>0</v>
      </c>
      <c r="K378" s="11" cm="1">
        <f t="array" ref="K378">IF($A378="","",IFERROR((SUMPRODUCT((TRIM(tblDados[Mandante])=$A378)*tblDados[Primeira_Ocorrencia]*((tblDados[GM_M]+tblDados[GS_M])&gt;0.5))+SUMPRODUCT((TRIM(tblDados[Visitante])=$A378)*tblDados[Primeira_Ocorrencia]*((tblDados[GM_V]+tblDados[GS_V])&gt;0.5)))/G378,0))</f>
        <v>1</v>
      </c>
      <c r="L378" s="11" cm="1">
        <f t="array" ref="L378">IF($A378="","",IFERROR((SUMPRODUCT((TRIM(tblDados[Mandante])=$A378)*tblDados[Primeira_Ocorrencia]*((tblDados[GM_M]+tblDados[GS_M])&gt;1.5))+SUMPRODUCT((TRIM(tblDados[Visitante])=$A378)*tblDados[Primeira_Ocorrencia]*((tblDados[GM_V]+tblDados[GS_V])&gt;1.5)))/G378,0))</f>
        <v>0.91666666666666663</v>
      </c>
      <c r="M378" s="11" cm="1">
        <f t="array" ref="M378">IF($A378="","",IFERROR((SUMPRODUCT((TRIM(tblDados[Mandante])=$A378)*tblDados[Primeira_Ocorrencia]*((tblDados[GM_M]+tblDados[GS_M])&gt;2.5))+SUMPRODUCT((TRIM(tblDados[Visitante])=$A378)*tblDados[Primeira_Ocorrencia]*((tblDados[GM_V]+tblDados[GS_V])&gt;2.5)))/G378,0))</f>
        <v>0.5</v>
      </c>
      <c r="N378" s="11" cm="1">
        <f t="array" ref="N378">IF($A378="","",IFERROR((SUMPRODUCT((TRIM(tblDados[Mandante])=$A378)*tblDados[Primeira_Ocorrencia]*((tblDados[GM_M]+tblDados[GS_M])&gt;3.5))+SUMPRODUCT((TRIM(tblDados[Visitante])=$A378)*tblDados[Primeira_Ocorrencia]*((tblDados[GM_V]+tblDados[GS_V])&gt;3.5)))/G378,0))</f>
        <v>0.33333333333333331</v>
      </c>
      <c r="O378" s="11" cm="1">
        <f t="array" ref="O378">IF($A378="","",IFERROR((SUMPRODUCT((TRIM(tblDados[Mandante])=$A378)*tblDados[Primeira_Ocorrencia]*(tblDados[GM_M]&gt;0)*(tblDados[GS_M]&gt;0))+SUMPRODUCT((TRIM(tblDados[Visitante])=$A378)*tblDados[Primeira_Ocorrencia]*(tblDados[GM_V]&gt;0)*(tblDados[GS_V]&gt;0)))/G378,0))</f>
        <v>0.66666666666666663</v>
      </c>
      <c r="P378" s="10" cm="1">
        <f t="array" ref="P378">IF($A378="","",IFERROR((SUMPRODUCT((TRIM(tblDados[Mandante])=$A378)*tblDados[Primeira_Ocorrencia]*tblDados[GM_M]^2)+SUMPRODUCT((TRIM(tblDados[Visitante])=$A378)*tblDados[Primeira_Ocorrencia]*tblDados[GM_V]^2))/G378-H378^2,0))</f>
        <v>1.1388888888888893</v>
      </c>
      <c r="Q378" s="10">
        <f t="shared" si="122"/>
        <v>1.0671873729054751</v>
      </c>
      <c r="R378" s="8" t="str">
        <f t="shared" si="123"/>
        <v>Poisson</v>
      </c>
      <c r="S378" s="10" cm="1">
        <f t="array" ref="S378">IF($A378="","",SUMPRODUCT((TRIM(tblDados[Mandante])=$A378)*tblDados[Primeira_Ocorrencia]*tblDados[GM_M]))</f>
        <v>15</v>
      </c>
      <c r="T378" s="10" cm="1">
        <f t="array" ref="T378">IF($A378="","",SUMPRODUCT((TRIM(tblDados[Visitante])=$A378)*tblDados[Primeira_Ocorrencia]*tblDados[GM_V]))</f>
        <v>11</v>
      </c>
      <c r="U378" s="10">
        <f t="shared" si="124"/>
        <v>26</v>
      </c>
      <c r="V378" s="10">
        <f t="shared" si="113"/>
        <v>2.1666666666666665</v>
      </c>
      <c r="W378" s="10" cm="1">
        <f t="array" ref="W378">IF($A378="","",SUMPRODUCT((TRIM(tblDados[Mandante])=$A378)*tblDados[Primeira_Ocorrencia]*tblDados[GS_M]))</f>
        <v>4</v>
      </c>
      <c r="X378" s="10" cm="1">
        <f t="array" ref="X378">IF($A378="","",SUMPRODUCT((TRIM(tblDados[Visitante])=$A378)*tblDados[Primeira_Ocorrencia]*tblDados[GS_V]))</f>
        <v>5</v>
      </c>
      <c r="Y378" s="10">
        <f t="shared" si="125"/>
        <v>9</v>
      </c>
      <c r="Z378" s="10">
        <f t="shared" si="114"/>
        <v>0.75</v>
      </c>
      <c r="AA378" s="10">
        <f t="shared" si="115"/>
        <v>2.5</v>
      </c>
      <c r="AB378" s="10">
        <f t="shared" si="116"/>
        <v>0.66666666666666663</v>
      </c>
      <c r="AC378" s="10">
        <f t="shared" si="117"/>
        <v>1.8333333333333333</v>
      </c>
      <c r="AD378" s="10">
        <f t="shared" si="118"/>
        <v>0.83333333333333337</v>
      </c>
    </row>
    <row r="379" spans="1:30" x14ac:dyDescent="0.3">
      <c r="A379" s="7" t="str">
        <v>Skövde AIK</v>
      </c>
      <c r="B379" s="12" t="str" cm="1">
        <f t="array" ref="B379">IF($A379="","",_xlfn.LET(_xlpm.p,IFERROR(INDEX(tblDados[País],MATCH($A379,TRIM(tblDados[Mandante]),0)),INDEX(tblDados[País],MATCH($A379,TRIM(tblDados[Visitante]),0))),_xlpm.l,IFERROR(INDEX(tblDados[Liga],MATCH($A379,TRIM(tblDados[Mandante]),0)),INDEX(tblDados[Liga],MATCH($A379,TRIM(tblDados[Visitante]),0))),_xlpm.p&amp;" - "&amp;_xlpm.l))</f>
        <v>SWE - 1ª D Södra</v>
      </c>
      <c r="C379" s="10">
        <f t="shared" si="119"/>
        <v>2.1666666666666665</v>
      </c>
      <c r="D379" s="10">
        <f t="shared" si="120"/>
        <v>3.5</v>
      </c>
      <c r="E379" s="9" cm="1">
        <f t="array" ref="E379">IF($A379="","",SUMPRODUCT((TRIM(tblDados[Mandante])=$A379)*tblDados[Primeira_Ocorrencia]))</f>
        <v>6</v>
      </c>
      <c r="F379" s="9" cm="1">
        <f t="array" ref="F379">IF($A379="","",SUMPRODUCT((TRIM(tblDados[Visitante])=$A379)*tblDados[Primeira_Ocorrencia]))</f>
        <v>6</v>
      </c>
      <c r="G379" s="9" cm="1">
        <f t="array" ref="G379">IF($A379="","",SUMPRODUCT((TRIM(tblDados[Mandante])=$A379)*tblDados[Primeira_Ocorrencia])+SUMPRODUCT((TRIM(tblDados[Visitante])=$A379)*tblDados[Primeira_Ocorrencia]))</f>
        <v>12</v>
      </c>
      <c r="H379" s="10">
        <f t="shared" si="121"/>
        <v>0.91666666666666663</v>
      </c>
      <c r="I379" s="10" cm="1">
        <f t="array" ref="I379">IF($A379="","",_xlfn.LET(_xlpm.p,IFERROR(INDEX(tblDados[País],MATCH($A379,TRIM(tblDados[Mandante]),0)),INDEX(tblDados[País],MATCH($A379,TRIM(tblDados[Visitante]),0))),_xlpm.l,IFERROR(INDEX(tblDados[Liga],MATCH($A379,TRIM(tblDados[Mandante]),0)),INDEX(tblDados[Liga],MATCH($A379,TRIM(tblDados[Visitante]),0))),IFERROR(SUMIFS(Ligas!$D$2:$D$39,Ligas!$H$2:$H$39,_xlpm.p,Ligas!$I$2:$I$39,_xlpm.l),0)))</f>
        <v>2.5</v>
      </c>
      <c r="J379" s="11" cm="1">
        <f t="array" ref="J379">IF($A379="","",IFERROR((SUMPRODUCT((TRIM(tblDados[Mandante])=$A379)*tblDados[Primeira_Ocorrencia]*(tblDados[GM_M]=0))+SUMPRODUCT((TRIM(tblDados[Visitante])=$A379)*tblDados[Primeira_Ocorrencia]*(tblDados[GM_V]=0)))/G379,0))</f>
        <v>0.33333333333333331</v>
      </c>
      <c r="K379" s="11" cm="1">
        <f t="array" ref="K379">IF($A379="","",IFERROR((SUMPRODUCT((TRIM(tblDados[Mandante])=$A379)*tblDados[Primeira_Ocorrencia]*((tblDados[GM_M]+tblDados[GS_M])&gt;0.5))+SUMPRODUCT((TRIM(tblDados[Visitante])=$A379)*tblDados[Primeira_Ocorrencia]*((tblDados[GM_V]+tblDados[GS_V])&gt;0.5)))/G379,0))</f>
        <v>0.91666666666666663</v>
      </c>
      <c r="L379" s="11" cm="1">
        <f t="array" ref="L379">IF($A379="","",IFERROR((SUMPRODUCT((TRIM(tblDados[Mandante])=$A379)*tblDados[Primeira_Ocorrencia]*((tblDados[GM_M]+tblDados[GS_M])&gt;1.5))+SUMPRODUCT((TRIM(tblDados[Visitante])=$A379)*tblDados[Primeira_Ocorrencia]*((tblDados[GM_V]+tblDados[GS_V])&gt;1.5)))/G379,0))</f>
        <v>0.83333333333333337</v>
      </c>
      <c r="M379" s="11" cm="1">
        <f t="array" ref="M379">IF($A379="","",IFERROR((SUMPRODUCT((TRIM(tblDados[Mandante])=$A379)*tblDados[Primeira_Ocorrencia]*((tblDados[GM_M]+tblDados[GS_M])&gt;2.5))+SUMPRODUCT((TRIM(tblDados[Visitante])=$A379)*tblDados[Primeira_Ocorrencia]*((tblDados[GM_V]+tblDados[GS_V])&gt;2.5)))/G379,0))</f>
        <v>0.58333333333333337</v>
      </c>
      <c r="N379" s="11" cm="1">
        <f t="array" ref="N379">IF($A379="","",IFERROR((SUMPRODUCT((TRIM(tblDados[Mandante])=$A379)*tblDados[Primeira_Ocorrencia]*((tblDados[GM_M]+tblDados[GS_M])&gt;3.5))+SUMPRODUCT((TRIM(tblDados[Visitante])=$A379)*tblDados[Primeira_Ocorrencia]*((tblDados[GM_V]+tblDados[GS_V])&gt;3.5)))/G379,0))</f>
        <v>0.41666666666666669</v>
      </c>
      <c r="O379" s="11" cm="1">
        <f t="array" ref="O379">IF($A379="","",IFERROR((SUMPRODUCT((TRIM(tblDados[Mandante])=$A379)*tblDados[Primeira_Ocorrencia]*(tblDados[GM_M]&gt;0)*(tblDados[GS_M]&gt;0))+SUMPRODUCT((TRIM(tblDados[Visitante])=$A379)*tblDados[Primeira_Ocorrencia]*(tblDados[GM_V]&gt;0)*(tblDados[GS_V]&gt;0)))/G379,0))</f>
        <v>0.58333333333333337</v>
      </c>
      <c r="P379" s="10" cm="1">
        <f t="array" ref="P379">IF($A379="","",IFERROR((SUMPRODUCT((TRIM(tblDados[Mandante])=$A379)*tblDados[Primeira_Ocorrencia]*tblDados[GM_M]^2)+SUMPRODUCT((TRIM(tblDados[Visitante])=$A379)*tblDados[Primeira_Ocorrencia]*tblDados[GM_V]^2))/G379-H379^2,0))</f>
        <v>0.74305555555555558</v>
      </c>
      <c r="Q379" s="10">
        <f t="shared" si="122"/>
        <v>0.86200670273238333</v>
      </c>
      <c r="R379" s="8" t="str">
        <f t="shared" si="123"/>
        <v>Poisson</v>
      </c>
      <c r="S379" s="10" cm="1">
        <f t="array" ref="S379">IF($A379="","",SUMPRODUCT((TRIM(tblDados[Mandante])=$A379)*tblDados[Primeira_Ocorrencia]*tblDados[GM_M]))</f>
        <v>5</v>
      </c>
      <c r="T379" s="10" cm="1">
        <f t="array" ref="T379">IF($A379="","",SUMPRODUCT((TRIM(tblDados[Visitante])=$A379)*tblDados[Primeira_Ocorrencia]*tblDados[GM_V]))</f>
        <v>6</v>
      </c>
      <c r="U379" s="10">
        <f t="shared" si="124"/>
        <v>11</v>
      </c>
      <c r="V379" s="10">
        <f t="shared" si="113"/>
        <v>0.91666666666666663</v>
      </c>
      <c r="W379" s="10" cm="1">
        <f t="array" ref="W379">IF($A379="","",SUMPRODUCT((TRIM(tblDados[Mandante])=$A379)*tblDados[Primeira_Ocorrencia]*tblDados[GS_M]))</f>
        <v>8</v>
      </c>
      <c r="X379" s="10" cm="1">
        <f t="array" ref="X379">IF($A379="","",SUMPRODUCT((TRIM(tblDados[Visitante])=$A379)*tblDados[Primeira_Ocorrencia]*tblDados[GS_V]))</f>
        <v>15</v>
      </c>
      <c r="Y379" s="10">
        <f t="shared" si="125"/>
        <v>23</v>
      </c>
      <c r="Z379" s="10">
        <f t="shared" si="114"/>
        <v>1.9166666666666667</v>
      </c>
      <c r="AA379" s="10">
        <f t="shared" si="115"/>
        <v>0.83333333333333337</v>
      </c>
      <c r="AB379" s="10">
        <f t="shared" si="116"/>
        <v>1.3333333333333333</v>
      </c>
      <c r="AC379" s="10">
        <f t="shared" si="117"/>
        <v>1</v>
      </c>
      <c r="AD379" s="10">
        <f t="shared" si="118"/>
        <v>2.5</v>
      </c>
    </row>
    <row r="380" spans="1:30" x14ac:dyDescent="0.3">
      <c r="A380" s="7" t="str">
        <v>Sogndal Fotball</v>
      </c>
      <c r="B380" s="12" t="str" cm="1">
        <f t="array" ref="B380">IF($A380="","",_xlfn.LET(_xlpm.p,IFERROR(INDEX(tblDados[País],MATCH($A380,TRIM(tblDados[Mandante]),0)),INDEX(tblDados[País],MATCH($A380,TRIM(tblDados[Visitante]),0))),_xlpm.l,IFERROR(INDEX(tblDados[Liga],MATCH($A380,TRIM(tblDados[Mandante]),0)),INDEX(tblDados[Liga],MATCH($A380,TRIM(tblDados[Visitante]),0))),_xlpm.p&amp;" - "&amp;_xlpm.l))</f>
        <v>NOR - OBOS-ligaen</v>
      </c>
      <c r="C380" s="10">
        <f t="shared" si="119"/>
        <v>4.833333333333333</v>
      </c>
      <c r="D380" s="10">
        <f t="shared" si="120"/>
        <v>4.3333333333333339</v>
      </c>
      <c r="E380" s="9" cm="1">
        <f t="array" ref="E380">IF($A380="","",SUMPRODUCT((TRIM(tblDados[Mandante])=$A380)*tblDados[Primeira_Ocorrencia]))</f>
        <v>6</v>
      </c>
      <c r="F380" s="9" cm="1">
        <f t="array" ref="F380">IF($A380="","",SUMPRODUCT((TRIM(tblDados[Visitante])=$A380)*tblDados[Primeira_Ocorrencia]))</f>
        <v>6</v>
      </c>
      <c r="G380" s="9" cm="1">
        <f t="array" ref="G380">IF($A380="","",SUMPRODUCT((TRIM(tblDados[Mandante])=$A380)*tblDados[Primeira_Ocorrencia])+SUMPRODUCT((TRIM(tblDados[Visitante])=$A380)*tblDados[Primeira_Ocorrencia]))</f>
        <v>12</v>
      </c>
      <c r="H380" s="10">
        <f t="shared" si="121"/>
        <v>2.0833333333333335</v>
      </c>
      <c r="I380" s="10" cm="1">
        <f t="array" ref="I380">IF($A380="","",_xlfn.LET(_xlpm.p,IFERROR(INDEX(tblDados[País],MATCH($A380,TRIM(tblDados[Mandante]),0)),INDEX(tblDados[País],MATCH($A380,TRIM(tblDados[Visitante]),0))),_xlpm.l,IFERROR(INDEX(tblDados[Liga],MATCH($A380,TRIM(tblDados[Mandante]),0)),INDEX(tblDados[Liga],MATCH($A380,TRIM(tblDados[Visitante]),0))),IFERROR(SUMIFS(Ligas!$D$2:$D$39,Ligas!$H$2:$H$39,_xlpm.p,Ligas!$I$2:$I$39,_xlpm.l),0)))</f>
        <v>2.5</v>
      </c>
      <c r="J380" s="11" cm="1">
        <f t="array" ref="J380">IF($A380="","",IFERROR((SUMPRODUCT((TRIM(tblDados[Mandante])=$A380)*tblDados[Primeira_Ocorrencia]*(tblDados[GM_M]=0))+SUMPRODUCT((TRIM(tblDados[Visitante])=$A380)*tblDados[Primeira_Ocorrencia]*(tblDados[GM_V]=0)))/G380,0))</f>
        <v>0.16666666666666666</v>
      </c>
      <c r="K380" s="11" cm="1">
        <f t="array" ref="K380">IF($A380="","",IFERROR((SUMPRODUCT((TRIM(tblDados[Mandante])=$A380)*tblDados[Primeira_Ocorrencia]*((tblDados[GM_M]+tblDados[GS_M])&gt;0.5))+SUMPRODUCT((TRIM(tblDados[Visitante])=$A380)*tblDados[Primeira_Ocorrencia]*((tblDados[GM_V]+tblDados[GS_V])&gt;0.5)))/G380,0))</f>
        <v>1</v>
      </c>
      <c r="L380" s="11" cm="1">
        <f t="array" ref="L380">IF($A380="","",IFERROR((SUMPRODUCT((TRIM(tblDados[Mandante])=$A380)*tblDados[Primeira_Ocorrencia]*((tblDados[GM_M]+tblDados[GS_M])&gt;1.5))+SUMPRODUCT((TRIM(tblDados[Visitante])=$A380)*tblDados[Primeira_Ocorrencia]*((tblDados[GM_V]+tblDados[GS_V])&gt;1.5)))/G380,0))</f>
        <v>1</v>
      </c>
      <c r="M380" s="11" cm="1">
        <f t="array" ref="M380">IF($A380="","",IFERROR((SUMPRODUCT((TRIM(tblDados[Mandante])=$A380)*tblDados[Primeira_Ocorrencia]*((tblDados[GM_M]+tblDados[GS_M])&gt;2.5))+SUMPRODUCT((TRIM(tblDados[Visitante])=$A380)*tblDados[Primeira_Ocorrencia]*((tblDados[GM_V]+tblDados[GS_V])&gt;2.5)))/G380,0))</f>
        <v>0.83333333333333337</v>
      </c>
      <c r="N380" s="11" cm="1">
        <f t="array" ref="N380">IF($A380="","",IFERROR((SUMPRODUCT((TRIM(tblDados[Mandante])=$A380)*tblDados[Primeira_Ocorrencia]*((tblDados[GM_M]+tblDados[GS_M])&gt;3.5))+SUMPRODUCT((TRIM(tblDados[Visitante])=$A380)*tblDados[Primeira_Ocorrencia]*((tblDados[GM_V]+tblDados[GS_V])&gt;3.5)))/G380,0))</f>
        <v>0.83333333333333337</v>
      </c>
      <c r="O380" s="11" cm="1">
        <f t="array" ref="O380">IF($A380="","",IFERROR((SUMPRODUCT((TRIM(tblDados[Mandante])=$A380)*tblDados[Primeira_Ocorrencia]*(tblDados[GM_M]&gt;0)*(tblDados[GS_M]&gt;0))+SUMPRODUCT((TRIM(tblDados[Visitante])=$A380)*tblDados[Primeira_Ocorrencia]*(tblDados[GM_V]&gt;0)*(tblDados[GS_V]&gt;0)))/G380,0))</f>
        <v>0.83333333333333337</v>
      </c>
      <c r="P380" s="10" cm="1">
        <f t="array" ref="P380">IF($A380="","",IFERROR((SUMPRODUCT((TRIM(tblDados[Mandante])=$A380)*tblDados[Primeira_Ocorrencia]*tblDados[GM_M]^2)+SUMPRODUCT((TRIM(tblDados[Visitante])=$A380)*tblDados[Primeira_Ocorrencia]*tblDados[GM_V]^2))/G380-H380^2,0))</f>
        <v>2.0763888888888884</v>
      </c>
      <c r="Q380" s="10">
        <f t="shared" si="122"/>
        <v>1.4409680388158816</v>
      </c>
      <c r="R380" s="8" t="str">
        <f t="shared" si="123"/>
        <v>Poisson</v>
      </c>
      <c r="S380" s="10" cm="1">
        <f t="array" ref="S380">IF($A380="","",SUMPRODUCT((TRIM(tblDados[Mandante])=$A380)*tblDados[Primeira_Ocorrencia]*tblDados[GM_M]))</f>
        <v>16</v>
      </c>
      <c r="T380" s="10" cm="1">
        <f t="array" ref="T380">IF($A380="","",SUMPRODUCT((TRIM(tblDados[Visitante])=$A380)*tblDados[Primeira_Ocorrencia]*tblDados[GM_V]))</f>
        <v>9</v>
      </c>
      <c r="U380" s="10">
        <f t="shared" si="124"/>
        <v>25</v>
      </c>
      <c r="V380" s="10">
        <f t="shared" si="113"/>
        <v>2.0833333333333335</v>
      </c>
      <c r="W380" s="10" cm="1">
        <f t="array" ref="W380">IF($A380="","",SUMPRODUCT((TRIM(tblDados[Mandante])=$A380)*tblDados[Primeira_Ocorrencia]*tblDados[GS_M]))</f>
        <v>13</v>
      </c>
      <c r="X380" s="10" cm="1">
        <f t="array" ref="X380">IF($A380="","",SUMPRODUCT((TRIM(tblDados[Visitante])=$A380)*tblDados[Primeira_Ocorrencia]*tblDados[GS_V]))</f>
        <v>17</v>
      </c>
      <c r="Y380" s="10">
        <f t="shared" si="125"/>
        <v>30</v>
      </c>
      <c r="Z380" s="10">
        <f t="shared" si="114"/>
        <v>2.5</v>
      </c>
      <c r="AA380" s="10">
        <f t="shared" si="115"/>
        <v>2.6666666666666665</v>
      </c>
      <c r="AB380" s="10">
        <f t="shared" si="116"/>
        <v>2.1666666666666665</v>
      </c>
      <c r="AC380" s="10">
        <f t="shared" si="117"/>
        <v>1.5</v>
      </c>
      <c r="AD380" s="10">
        <f t="shared" si="118"/>
        <v>2.8333333333333335</v>
      </c>
    </row>
    <row r="381" spans="1:30" x14ac:dyDescent="0.3">
      <c r="A381" s="7" t="str">
        <v>Sollentuna FK</v>
      </c>
      <c r="B381" s="12" t="str" cm="1">
        <f t="array" ref="B381">IF($A381="","",_xlfn.LET(_xlpm.p,IFERROR(INDEX(tblDados[País],MATCH($A381,TRIM(tblDados[Mandante]),0)),INDEX(tblDados[País],MATCH($A381,TRIM(tblDados[Visitante]),0))),_xlpm.l,IFERROR(INDEX(tblDados[Liga],MATCH($A381,TRIM(tblDados[Mandante]),0)),INDEX(tblDados[Liga],MATCH($A381,TRIM(tblDados[Visitante]),0))),_xlpm.p&amp;" - "&amp;_xlpm.l))</f>
        <v>SWE - 1ª D Norra</v>
      </c>
      <c r="C381" s="10">
        <f t="shared" si="119"/>
        <v>3</v>
      </c>
      <c r="D381" s="10">
        <f t="shared" si="120"/>
        <v>2.2857142857142856</v>
      </c>
      <c r="E381" s="9" cm="1">
        <f t="array" ref="E381">IF($A381="","",SUMPRODUCT((TRIM(tblDados[Mandante])=$A381)*tblDados[Primeira_Ocorrencia]))</f>
        <v>5</v>
      </c>
      <c r="F381" s="9" cm="1">
        <f t="array" ref="F381">IF($A381="","",SUMPRODUCT((TRIM(tblDados[Visitante])=$A381)*tblDados[Primeira_Ocorrencia]))</f>
        <v>7</v>
      </c>
      <c r="G381" s="9" cm="1">
        <f t="array" ref="G381">IF($A381="","",SUMPRODUCT((TRIM(tblDados[Mandante])=$A381)*tblDados[Primeira_Ocorrencia])+SUMPRODUCT((TRIM(tblDados[Visitante])=$A381)*tblDados[Primeira_Ocorrencia]))</f>
        <v>12</v>
      </c>
      <c r="H381" s="10">
        <f t="shared" si="121"/>
        <v>0.83333333333333337</v>
      </c>
      <c r="I381" s="10" cm="1">
        <f t="array" ref="I381">IF($A381="","",_xlfn.LET(_xlpm.p,IFERROR(INDEX(tblDados[País],MATCH($A381,TRIM(tblDados[Mandante]),0)),INDEX(tblDados[País],MATCH($A381,TRIM(tblDados[Visitante]),0))),_xlpm.l,IFERROR(INDEX(tblDados[Liga],MATCH($A381,TRIM(tblDados[Mandante]),0)),INDEX(tblDados[Liga],MATCH($A381,TRIM(tblDados[Visitante]),0))),IFERROR(SUMIFS(Ligas!$D$2:$D$39,Ligas!$H$2:$H$39,_xlpm.p,Ligas!$I$2:$I$39,_xlpm.l),0)))</f>
        <v>2.5</v>
      </c>
      <c r="J381" s="11" cm="1">
        <f t="array" ref="J381">IF($A381="","",IFERROR((SUMPRODUCT((TRIM(tblDados[Mandante])=$A381)*tblDados[Primeira_Ocorrencia]*(tblDados[GM_M]=0))+SUMPRODUCT((TRIM(tblDados[Visitante])=$A381)*tblDados[Primeira_Ocorrencia]*(tblDados[GM_V]=0)))/G381,0))</f>
        <v>0.41666666666666669</v>
      </c>
      <c r="K381" s="11" cm="1">
        <f t="array" ref="K381">IF($A381="","",IFERROR((SUMPRODUCT((TRIM(tblDados[Mandante])=$A381)*tblDados[Primeira_Ocorrencia]*((tblDados[GM_M]+tblDados[GS_M])&gt;0.5))+SUMPRODUCT((TRIM(tblDados[Visitante])=$A381)*tblDados[Primeira_Ocorrencia]*((tblDados[GM_V]+tblDados[GS_V])&gt;0.5)))/G381,0))</f>
        <v>0.91666666666666663</v>
      </c>
      <c r="L381" s="11" cm="1">
        <f t="array" ref="L381">IF($A381="","",IFERROR((SUMPRODUCT((TRIM(tblDados[Mandante])=$A381)*tblDados[Primeira_Ocorrencia]*((tblDados[GM_M]+tblDados[GS_M])&gt;1.5))+SUMPRODUCT((TRIM(tblDados[Visitante])=$A381)*tblDados[Primeira_Ocorrencia]*((tblDados[GM_V]+tblDados[GS_V])&gt;1.5)))/G381,0))</f>
        <v>0.83333333333333337</v>
      </c>
      <c r="M381" s="11" cm="1">
        <f t="array" ref="M381">IF($A381="","",IFERROR((SUMPRODUCT((TRIM(tblDados[Mandante])=$A381)*tblDados[Primeira_Ocorrencia]*((tblDados[GM_M]+tblDados[GS_M])&gt;2.5))+SUMPRODUCT((TRIM(tblDados[Visitante])=$A381)*tblDados[Primeira_Ocorrencia]*((tblDados[GM_V]+tblDados[GS_V])&gt;2.5)))/G381,0))</f>
        <v>0.33333333333333331</v>
      </c>
      <c r="N381" s="11" cm="1">
        <f t="array" ref="N381">IF($A381="","",IFERROR((SUMPRODUCT((TRIM(tblDados[Mandante])=$A381)*tblDados[Primeira_Ocorrencia]*((tblDados[GM_M]+tblDados[GS_M])&gt;3.5))+SUMPRODUCT((TRIM(tblDados[Visitante])=$A381)*tblDados[Primeira_Ocorrencia]*((tblDados[GM_V]+tblDados[GS_V])&gt;3.5)))/G381,0))</f>
        <v>0.25</v>
      </c>
      <c r="O381" s="11" cm="1">
        <f t="array" ref="O381">IF($A381="","",IFERROR((SUMPRODUCT((TRIM(tblDados[Mandante])=$A381)*tblDados[Primeira_Ocorrencia]*(tblDados[GM_M]&gt;0)*(tblDados[GS_M]&gt;0))+SUMPRODUCT((TRIM(tblDados[Visitante])=$A381)*tblDados[Primeira_Ocorrencia]*(tblDados[GM_V]&gt;0)*(tblDados[GS_V]&gt;0)))/G381,0))</f>
        <v>0.58333333333333337</v>
      </c>
      <c r="P381" s="10" cm="1">
        <f t="array" ref="P381">IF($A381="","",IFERROR((SUMPRODUCT((TRIM(tblDados[Mandante])=$A381)*tblDados[Primeira_Ocorrencia]*tblDados[GM_M]^2)+SUMPRODUCT((TRIM(tblDados[Visitante])=$A381)*tblDados[Primeira_Ocorrencia]*tblDados[GM_V]^2))/G381-H381^2,0))</f>
        <v>0.80555555555555547</v>
      </c>
      <c r="Q381" s="10">
        <f t="shared" si="122"/>
        <v>0.89752746785575066</v>
      </c>
      <c r="R381" s="8" t="str">
        <f t="shared" si="123"/>
        <v>Poisson</v>
      </c>
      <c r="S381" s="10" cm="1">
        <f t="array" ref="S381">IF($A381="","",SUMPRODUCT((TRIM(tblDados[Mandante])=$A381)*tblDados[Primeira_Ocorrencia]*tblDados[GM_M]))</f>
        <v>4</v>
      </c>
      <c r="T381" s="10" cm="1">
        <f t="array" ref="T381">IF($A381="","",SUMPRODUCT((TRIM(tblDados[Visitante])=$A381)*tblDados[Primeira_Ocorrencia]*tblDados[GM_V]))</f>
        <v>6</v>
      </c>
      <c r="U381" s="10">
        <f t="shared" si="124"/>
        <v>10</v>
      </c>
      <c r="V381" s="10">
        <f t="shared" si="113"/>
        <v>0.83333333333333337</v>
      </c>
      <c r="W381" s="10" cm="1">
        <f t="array" ref="W381">IF($A381="","",SUMPRODUCT((TRIM(tblDados[Mandante])=$A381)*tblDados[Primeira_Ocorrencia]*tblDados[GS_M]))</f>
        <v>11</v>
      </c>
      <c r="X381" s="10" cm="1">
        <f t="array" ref="X381">IF($A381="","",SUMPRODUCT((TRIM(tblDados[Visitante])=$A381)*tblDados[Primeira_Ocorrencia]*tblDados[GS_V]))</f>
        <v>10</v>
      </c>
      <c r="Y381" s="10">
        <f t="shared" si="125"/>
        <v>21</v>
      </c>
      <c r="Z381" s="10">
        <f t="shared" si="114"/>
        <v>1.75</v>
      </c>
      <c r="AA381" s="10">
        <f t="shared" si="115"/>
        <v>0.8</v>
      </c>
      <c r="AB381" s="10">
        <f t="shared" si="116"/>
        <v>2.2000000000000002</v>
      </c>
      <c r="AC381" s="10">
        <f t="shared" si="117"/>
        <v>0.8571428571428571</v>
      </c>
      <c r="AD381" s="10">
        <f t="shared" si="118"/>
        <v>1.4285714285714286</v>
      </c>
    </row>
    <row r="382" spans="1:30" x14ac:dyDescent="0.3">
      <c r="A382" s="7" t="str">
        <v>Sölvesborgs GoIF</v>
      </c>
      <c r="B382" s="12" t="str" cm="1">
        <f t="array" ref="B382">IF($A382="","",_xlfn.LET(_xlpm.p,IFERROR(INDEX(tblDados[País],MATCH($A382,TRIM(tblDados[Mandante]),0)),INDEX(tblDados[País],MATCH($A382,TRIM(tblDados[Visitante]),0))),_xlpm.l,IFERROR(INDEX(tblDados[Liga],MATCH($A382,TRIM(tblDados[Mandante]),0)),INDEX(tblDados[Liga],MATCH($A382,TRIM(tblDados[Visitante]),0))),_xlpm.p&amp;" - "&amp;_xlpm.l))</f>
        <v>SWE - 2ª D Södra Götaland</v>
      </c>
      <c r="C382" s="10">
        <f t="shared" si="119"/>
        <v>2.666666666666667</v>
      </c>
      <c r="D382" s="10">
        <f t="shared" si="120"/>
        <v>3.5</v>
      </c>
      <c r="E382" s="9" cm="1">
        <f t="array" ref="E382">IF($A382="","",SUMPRODUCT((TRIM(tblDados[Mandante])=$A382)*tblDados[Primeira_Ocorrencia]))</f>
        <v>6</v>
      </c>
      <c r="F382" s="9" cm="1">
        <f t="array" ref="F382">IF($A382="","",SUMPRODUCT((TRIM(tblDados[Visitante])=$A382)*tblDados[Primeira_Ocorrencia]))</f>
        <v>6</v>
      </c>
      <c r="G382" s="9" cm="1">
        <f t="array" ref="G382">IF($A382="","",SUMPRODUCT((TRIM(tblDados[Mandante])=$A382)*tblDados[Primeira_Ocorrencia])+SUMPRODUCT((TRIM(tblDados[Visitante])=$A382)*tblDados[Primeira_Ocorrencia]))</f>
        <v>12</v>
      </c>
      <c r="H382" s="10">
        <f t="shared" si="121"/>
        <v>1.1666666666666667</v>
      </c>
      <c r="I382" s="10" cm="1">
        <f t="array" ref="I382">IF($A382="","",_xlfn.LET(_xlpm.p,IFERROR(INDEX(tblDados[País],MATCH($A382,TRIM(tblDados[Mandante]),0)),INDEX(tblDados[País],MATCH($A382,TRIM(tblDados[Visitante]),0))),_xlpm.l,IFERROR(INDEX(tblDados[Liga],MATCH($A382,TRIM(tblDados[Mandante]),0)),INDEX(tblDados[Liga],MATCH($A382,TRIM(tblDados[Visitante]),0))),IFERROR(SUMIFS(Ligas!$D$2:$D$39,Ligas!$H$2:$H$39,_xlpm.p,Ligas!$I$2:$I$39,_xlpm.l),0)))</f>
        <v>2.5</v>
      </c>
      <c r="J382" s="11" cm="1">
        <f t="array" ref="J382">IF($A382="","",IFERROR((SUMPRODUCT((TRIM(tblDados[Mandante])=$A382)*tblDados[Primeira_Ocorrencia]*(tblDados[GM_M]=0))+SUMPRODUCT((TRIM(tblDados[Visitante])=$A382)*tblDados[Primeira_Ocorrencia]*(tblDados[GM_V]=0)))/G382,0))</f>
        <v>0.25</v>
      </c>
      <c r="K382" s="11" cm="1">
        <f t="array" ref="K382">IF($A382="","",IFERROR((SUMPRODUCT((TRIM(tblDados[Mandante])=$A382)*tblDados[Primeira_Ocorrencia]*((tblDados[GM_M]+tblDados[GS_M])&gt;0.5))+SUMPRODUCT((TRIM(tblDados[Visitante])=$A382)*tblDados[Primeira_Ocorrencia]*((tblDados[GM_V]+tblDados[GS_V])&gt;0.5)))/G382,0))</f>
        <v>1</v>
      </c>
      <c r="L382" s="11" cm="1">
        <f t="array" ref="L382">IF($A382="","",IFERROR((SUMPRODUCT((TRIM(tblDados[Mandante])=$A382)*tblDados[Primeira_Ocorrencia]*((tblDados[GM_M]+tblDados[GS_M])&gt;1.5))+SUMPRODUCT((TRIM(tblDados[Visitante])=$A382)*tblDados[Primeira_Ocorrencia]*((tblDados[GM_V]+tblDados[GS_V])&gt;1.5)))/G382,0))</f>
        <v>0.75</v>
      </c>
      <c r="M382" s="11" cm="1">
        <f t="array" ref="M382">IF($A382="","",IFERROR((SUMPRODUCT((TRIM(tblDados[Mandante])=$A382)*tblDados[Primeira_Ocorrencia]*((tblDados[GM_M]+tblDados[GS_M])&gt;2.5))+SUMPRODUCT((TRIM(tblDados[Visitante])=$A382)*tblDados[Primeira_Ocorrencia]*((tblDados[GM_V]+tblDados[GS_V])&gt;2.5)))/G382,0))</f>
        <v>0.5</v>
      </c>
      <c r="N382" s="11" cm="1">
        <f t="array" ref="N382">IF($A382="","",IFERROR((SUMPRODUCT((TRIM(tblDados[Mandante])=$A382)*tblDados[Primeira_Ocorrencia]*((tblDados[GM_M]+tblDados[GS_M])&gt;3.5))+SUMPRODUCT((TRIM(tblDados[Visitante])=$A382)*tblDados[Primeira_Ocorrencia]*((tblDados[GM_V]+tblDados[GS_V])&gt;3.5)))/G382,0))</f>
        <v>0.41666666666666669</v>
      </c>
      <c r="O382" s="11" cm="1">
        <f t="array" ref="O382">IF($A382="","",IFERROR((SUMPRODUCT((TRIM(tblDados[Mandante])=$A382)*tblDados[Primeira_Ocorrencia]*(tblDados[GM_M]&gt;0)*(tblDados[GS_M]&gt;0))+SUMPRODUCT((TRIM(tblDados[Visitante])=$A382)*tblDados[Primeira_Ocorrencia]*(tblDados[GM_V]&gt;0)*(tblDados[GS_V]&gt;0)))/G382,0))</f>
        <v>0.58333333333333337</v>
      </c>
      <c r="P382" s="10" cm="1">
        <f t="array" ref="P382">IF($A382="","",IFERROR((SUMPRODUCT((TRIM(tblDados[Mandante])=$A382)*tblDados[Primeira_Ocorrencia]*tblDados[GM_M]^2)+SUMPRODUCT((TRIM(tblDados[Visitante])=$A382)*tblDados[Primeira_Ocorrencia]*tblDados[GM_V]^2))/G382-H382^2,0))</f>
        <v>0.63888888888888862</v>
      </c>
      <c r="Q382" s="10">
        <f t="shared" si="122"/>
        <v>0.79930525388545304</v>
      </c>
      <c r="R382" s="8" t="str">
        <f t="shared" si="123"/>
        <v>Poisson</v>
      </c>
      <c r="S382" s="10" cm="1">
        <f t="array" ref="S382">IF($A382="","",SUMPRODUCT((TRIM(tblDados[Mandante])=$A382)*tblDados[Primeira_Ocorrencia]*tblDados[GM_M]))</f>
        <v>7</v>
      </c>
      <c r="T382" s="10" cm="1">
        <f t="array" ref="T382">IF($A382="","",SUMPRODUCT((TRIM(tblDados[Visitante])=$A382)*tblDados[Primeira_Ocorrencia]*tblDados[GM_V]))</f>
        <v>7</v>
      </c>
      <c r="U382" s="10">
        <f t="shared" si="124"/>
        <v>14</v>
      </c>
      <c r="V382" s="10">
        <f t="shared" si="113"/>
        <v>1.1666666666666667</v>
      </c>
      <c r="W382" s="10" cm="1">
        <f t="array" ref="W382">IF($A382="","",SUMPRODUCT((TRIM(tblDados[Mandante])=$A382)*tblDados[Primeira_Ocorrencia]*tblDados[GS_M]))</f>
        <v>9</v>
      </c>
      <c r="X382" s="10" cm="1">
        <f t="array" ref="X382">IF($A382="","",SUMPRODUCT((TRIM(tblDados[Visitante])=$A382)*tblDados[Primeira_Ocorrencia]*tblDados[GS_V]))</f>
        <v>14</v>
      </c>
      <c r="Y382" s="10">
        <f t="shared" si="125"/>
        <v>23</v>
      </c>
      <c r="Z382" s="10">
        <f t="shared" si="114"/>
        <v>1.9166666666666667</v>
      </c>
      <c r="AA382" s="10">
        <f t="shared" si="115"/>
        <v>1.1666666666666667</v>
      </c>
      <c r="AB382" s="10">
        <f t="shared" si="116"/>
        <v>1.5</v>
      </c>
      <c r="AC382" s="10">
        <f t="shared" si="117"/>
        <v>1.1666666666666667</v>
      </c>
      <c r="AD382" s="10">
        <f t="shared" si="118"/>
        <v>2.3333333333333335</v>
      </c>
    </row>
    <row r="383" spans="1:30" x14ac:dyDescent="0.3">
      <c r="A383" s="7" t="str">
        <v>St Albans Saints</v>
      </c>
      <c r="B383" s="12" t="str" cm="1">
        <f t="array" ref="B383">IF($A383="","",_xlfn.LET(_xlpm.p,IFERROR(INDEX(tblDados[País],MATCH($A383,TRIM(tblDados[Mandante]),0)),INDEX(tblDados[País],MATCH($A383,TRIM(tblDados[Visitante]),0))),_xlpm.l,IFERROR(INDEX(tblDados[Liga],MATCH($A383,TRIM(tblDados[Mandante]),0)),INDEX(tblDados[Liga],MATCH($A383,TRIM(tblDados[Visitante]),0))),_xlpm.p&amp;" - "&amp;_xlpm.l))</f>
        <v>AUS - NPL Victoria</v>
      </c>
      <c r="C383" s="10">
        <f t="shared" si="119"/>
        <v>2.6666666666666665</v>
      </c>
      <c r="D383" s="10">
        <f t="shared" si="120"/>
        <v>2.8333333333333335</v>
      </c>
      <c r="E383" s="9" cm="1">
        <f t="array" ref="E383">IF($A383="","",SUMPRODUCT((TRIM(tblDados[Mandante])=$A383)*tblDados[Primeira_Ocorrencia]))</f>
        <v>6</v>
      </c>
      <c r="F383" s="9" cm="1">
        <f t="array" ref="F383">IF($A383="","",SUMPRODUCT((TRIM(tblDados[Visitante])=$A383)*tblDados[Primeira_Ocorrencia]))</f>
        <v>6</v>
      </c>
      <c r="G383" s="9" cm="1">
        <f t="array" ref="G383">IF($A383="","",SUMPRODUCT((TRIM(tblDados[Mandante])=$A383)*tblDados[Primeira_Ocorrencia])+SUMPRODUCT((TRIM(tblDados[Visitante])=$A383)*tblDados[Primeira_Ocorrencia]))</f>
        <v>12</v>
      </c>
      <c r="H383" s="10">
        <f t="shared" si="121"/>
        <v>1.25</v>
      </c>
      <c r="I383" s="10" cm="1">
        <f t="array" ref="I383">IF($A383="","",_xlfn.LET(_xlpm.p,IFERROR(INDEX(tblDados[País],MATCH($A383,TRIM(tblDados[Mandante]),0)),INDEX(tblDados[País],MATCH($A383,TRIM(tblDados[Visitante]),0))),_xlpm.l,IFERROR(INDEX(tblDados[Liga],MATCH($A383,TRIM(tblDados[Mandante]),0)),INDEX(tblDados[Liga],MATCH($A383,TRIM(tblDados[Visitante]),0))),IFERROR(SUMIFS(Ligas!$D$2:$D$39,Ligas!$H$2:$H$39,_xlpm.p,Ligas!$I$2:$I$39,_xlpm.l),0)))</f>
        <v>2.89</v>
      </c>
      <c r="J383" s="11" cm="1">
        <f t="array" ref="J383">IF($A383="","",IFERROR((SUMPRODUCT((TRIM(tblDados[Mandante])=$A383)*tblDados[Primeira_Ocorrencia]*(tblDados[GM_M]=0))+SUMPRODUCT((TRIM(tblDados[Visitante])=$A383)*tblDados[Primeira_Ocorrencia]*(tblDados[GM_V]=0)))/G383,0))</f>
        <v>0.25</v>
      </c>
      <c r="K383" s="11" cm="1">
        <f t="array" ref="K383">IF($A383="","",IFERROR((SUMPRODUCT((TRIM(tblDados[Mandante])=$A383)*tblDados[Primeira_Ocorrencia]*((tblDados[GM_M]+tblDados[GS_M])&gt;0.5))+SUMPRODUCT((TRIM(tblDados[Visitante])=$A383)*tblDados[Primeira_Ocorrencia]*((tblDados[GM_V]+tblDados[GS_V])&gt;0.5)))/G383,0))</f>
        <v>1</v>
      </c>
      <c r="L383" s="11" cm="1">
        <f t="array" ref="L383">IF($A383="","",IFERROR((SUMPRODUCT((TRIM(tblDados[Mandante])=$A383)*tblDados[Primeira_Ocorrencia]*((tblDados[GM_M]+tblDados[GS_M])&gt;1.5))+SUMPRODUCT((TRIM(tblDados[Visitante])=$A383)*tblDados[Primeira_Ocorrencia]*((tblDados[GM_V]+tblDados[GS_V])&gt;1.5)))/G383,0))</f>
        <v>0.83333333333333337</v>
      </c>
      <c r="M383" s="11" cm="1">
        <f t="array" ref="M383">IF($A383="","",IFERROR((SUMPRODUCT((TRIM(tblDados[Mandante])=$A383)*tblDados[Primeira_Ocorrencia]*((tblDados[GM_M]+tblDados[GS_M])&gt;2.5))+SUMPRODUCT((TRIM(tblDados[Visitante])=$A383)*tblDados[Primeira_Ocorrencia]*((tblDados[GM_V]+tblDados[GS_V])&gt;2.5)))/G383,0))</f>
        <v>0.5</v>
      </c>
      <c r="N383" s="11" cm="1">
        <f t="array" ref="N383">IF($A383="","",IFERROR((SUMPRODUCT((TRIM(tblDados[Mandante])=$A383)*tblDados[Primeira_Ocorrencia]*((tblDados[GM_M]+tblDados[GS_M])&gt;3.5))+SUMPRODUCT((TRIM(tblDados[Visitante])=$A383)*tblDados[Primeira_Ocorrencia]*((tblDados[GM_V]+tblDados[GS_V])&gt;3.5)))/G383,0))</f>
        <v>0.33333333333333331</v>
      </c>
      <c r="O383" s="11" cm="1">
        <f t="array" ref="O383">IF($A383="","",IFERROR((SUMPRODUCT((TRIM(tblDados[Mandante])=$A383)*tblDados[Primeira_Ocorrencia]*(tblDados[GM_M]&gt;0)*(tblDados[GS_M]&gt;0))+SUMPRODUCT((TRIM(tblDados[Visitante])=$A383)*tblDados[Primeira_Ocorrencia]*(tblDados[GM_V]&gt;0)*(tblDados[GS_V]&gt;0)))/G383,0))</f>
        <v>0.66666666666666663</v>
      </c>
      <c r="P383" s="10" cm="1">
        <f t="array" ref="P383">IF($A383="","",IFERROR((SUMPRODUCT((TRIM(tblDados[Mandante])=$A383)*tblDados[Primeira_Ocorrencia]*tblDados[GM_M]^2)+SUMPRODUCT((TRIM(tblDados[Visitante])=$A383)*tblDados[Primeira_Ocorrencia]*tblDados[GM_V]^2))/G383-H383^2,0))</f>
        <v>0.85416666666666652</v>
      </c>
      <c r="Q383" s="10">
        <f t="shared" si="122"/>
        <v>0.92421137553411803</v>
      </c>
      <c r="R383" s="8" t="str">
        <f t="shared" si="123"/>
        <v>Poisson</v>
      </c>
      <c r="S383" s="10" cm="1">
        <f t="array" ref="S383">IF($A383="","",SUMPRODUCT((TRIM(tblDados[Mandante])=$A383)*tblDados[Primeira_Ocorrencia]*tblDados[GM_M]))</f>
        <v>8</v>
      </c>
      <c r="T383" s="10" cm="1">
        <f t="array" ref="T383">IF($A383="","",SUMPRODUCT((TRIM(tblDados[Visitante])=$A383)*tblDados[Primeira_Ocorrencia]*tblDados[GM_V]))</f>
        <v>7</v>
      </c>
      <c r="U383" s="10">
        <f t="shared" si="124"/>
        <v>15</v>
      </c>
      <c r="V383" s="10">
        <f t="shared" si="113"/>
        <v>1.25</v>
      </c>
      <c r="W383" s="10" cm="1">
        <f t="array" ref="W383">IF($A383="","",SUMPRODUCT((TRIM(tblDados[Mandante])=$A383)*tblDados[Primeira_Ocorrencia]*tblDados[GS_M]))</f>
        <v>8</v>
      </c>
      <c r="X383" s="10" cm="1">
        <f t="array" ref="X383">IF($A383="","",SUMPRODUCT((TRIM(tblDados[Visitante])=$A383)*tblDados[Primeira_Ocorrencia]*tblDados[GS_V]))</f>
        <v>10</v>
      </c>
      <c r="Y383" s="10">
        <f t="shared" si="125"/>
        <v>18</v>
      </c>
      <c r="Z383" s="10">
        <f t="shared" si="114"/>
        <v>1.5</v>
      </c>
      <c r="AA383" s="10">
        <f t="shared" si="115"/>
        <v>1.3333333333333333</v>
      </c>
      <c r="AB383" s="10">
        <f t="shared" si="116"/>
        <v>1.3333333333333333</v>
      </c>
      <c r="AC383" s="10">
        <f t="shared" si="117"/>
        <v>1.1666666666666667</v>
      </c>
      <c r="AD383" s="10">
        <f t="shared" si="118"/>
        <v>1.6666666666666667</v>
      </c>
    </row>
    <row r="384" spans="1:30" x14ac:dyDescent="0.3">
      <c r="A384" s="7" t="str">
        <v>St George City FA</v>
      </c>
      <c r="B384" s="12" t="str" cm="1">
        <f t="array" ref="B384">IF($A384="","",_xlfn.LET(_xlpm.p,IFERROR(INDEX(tblDados[País],MATCH($A384,TRIM(tblDados[Mandante]),0)),INDEX(tblDados[País],MATCH($A384,TRIM(tblDados[Visitante]),0))),_xlpm.l,IFERROR(INDEX(tblDados[Liga],MATCH($A384,TRIM(tblDados[Mandante]),0)),INDEX(tblDados[Liga],MATCH($A384,TRIM(tblDados[Visitante]),0))),_xlpm.p&amp;" - "&amp;_xlpm.l))</f>
        <v>AUS - NPL New South Wales</v>
      </c>
      <c r="C384" s="10">
        <f t="shared" si="119"/>
        <v>1.6666666666666667</v>
      </c>
      <c r="D384" s="10">
        <f t="shared" si="120"/>
        <v>2.8333333333333335</v>
      </c>
      <c r="E384" s="9" cm="1">
        <f t="array" ref="E384">IF($A384="","",SUMPRODUCT((TRIM(tblDados[Mandante])=$A384)*tblDados[Primeira_Ocorrencia]))</f>
        <v>6</v>
      </c>
      <c r="F384" s="9" cm="1">
        <f t="array" ref="F384">IF($A384="","",SUMPRODUCT((TRIM(tblDados[Visitante])=$A384)*tblDados[Primeira_Ocorrencia]))</f>
        <v>6</v>
      </c>
      <c r="G384" s="9" cm="1">
        <f t="array" ref="G384">IF($A384="","",SUMPRODUCT((TRIM(tblDados[Mandante])=$A384)*tblDados[Primeira_Ocorrencia])+SUMPRODUCT((TRIM(tblDados[Visitante])=$A384)*tblDados[Primeira_Ocorrencia]))</f>
        <v>12</v>
      </c>
      <c r="H384" s="10">
        <f t="shared" si="121"/>
        <v>1</v>
      </c>
      <c r="I384" s="10" cm="1">
        <f t="array" ref="I384">IF($A384="","",_xlfn.LET(_xlpm.p,IFERROR(INDEX(tblDados[País],MATCH($A384,TRIM(tblDados[Mandante]),0)),INDEX(tblDados[País],MATCH($A384,TRIM(tblDados[Visitante]),0))),_xlpm.l,IFERROR(INDEX(tblDados[Liga],MATCH($A384,TRIM(tblDados[Mandante]),0)),INDEX(tblDados[Liga],MATCH($A384,TRIM(tblDados[Visitante]),0))),IFERROR(SUMIFS(Ligas!$D$2:$D$39,Ligas!$H$2:$H$39,_xlpm.p,Ligas!$I$2:$I$39,_xlpm.l),0)))</f>
        <v>3.61</v>
      </c>
      <c r="J384" s="11" cm="1">
        <f t="array" ref="J384">IF($A384="","",IFERROR((SUMPRODUCT((TRIM(tblDados[Mandante])=$A384)*tblDados[Primeira_Ocorrencia]*(tblDados[GM_M]=0))+SUMPRODUCT((TRIM(tblDados[Visitante])=$A384)*tblDados[Primeira_Ocorrencia]*(tblDados[GM_V]=0)))/G384,0))</f>
        <v>0.16666666666666666</v>
      </c>
      <c r="K384" s="11" cm="1">
        <f t="array" ref="K384">IF($A384="","",IFERROR((SUMPRODUCT((TRIM(tblDados[Mandante])=$A384)*tblDados[Primeira_Ocorrencia]*((tblDados[GM_M]+tblDados[GS_M])&gt;0.5))+SUMPRODUCT((TRIM(tblDados[Visitante])=$A384)*tblDados[Primeira_Ocorrencia]*((tblDados[GM_V]+tblDados[GS_V])&gt;0.5)))/G384,0))</f>
        <v>1</v>
      </c>
      <c r="L384" s="11" cm="1">
        <f t="array" ref="L384">IF($A384="","",IFERROR((SUMPRODUCT((TRIM(tblDados[Mandante])=$A384)*tblDados[Primeira_Ocorrencia]*((tblDados[GM_M]+tblDados[GS_M])&gt;1.5))+SUMPRODUCT((TRIM(tblDados[Visitante])=$A384)*tblDados[Primeira_Ocorrencia]*((tblDados[GM_V]+tblDados[GS_V])&gt;1.5)))/G384,0))</f>
        <v>0.58333333333333337</v>
      </c>
      <c r="M384" s="11" cm="1">
        <f t="array" ref="M384">IF($A384="","",IFERROR((SUMPRODUCT((TRIM(tblDados[Mandante])=$A384)*tblDados[Primeira_Ocorrencia]*((tblDados[GM_M]+tblDados[GS_M])&gt;2.5))+SUMPRODUCT((TRIM(tblDados[Visitante])=$A384)*tblDados[Primeira_Ocorrencia]*((tblDados[GM_V]+tblDados[GS_V])&gt;2.5)))/G384,0))</f>
        <v>0.33333333333333331</v>
      </c>
      <c r="N384" s="11" cm="1">
        <f t="array" ref="N384">IF($A384="","",IFERROR((SUMPRODUCT((TRIM(tblDados[Mandante])=$A384)*tblDados[Primeira_Ocorrencia]*((tblDados[GM_M]+tblDados[GS_M])&gt;3.5))+SUMPRODUCT((TRIM(tblDados[Visitante])=$A384)*tblDados[Primeira_Ocorrencia]*((tblDados[GM_V]+tblDados[GS_V])&gt;3.5)))/G384,0))</f>
        <v>0.16666666666666666</v>
      </c>
      <c r="O384" s="11" cm="1">
        <f t="array" ref="O384">IF($A384="","",IFERROR((SUMPRODUCT((TRIM(tblDados[Mandante])=$A384)*tblDados[Primeira_Ocorrencia]*(tblDados[GM_M]&gt;0)*(tblDados[GS_M]&gt;0))+SUMPRODUCT((TRIM(tblDados[Visitante])=$A384)*tblDados[Primeira_Ocorrencia]*(tblDados[GM_V]&gt;0)*(tblDados[GS_V]&gt;0)))/G384,0))</f>
        <v>0.41666666666666669</v>
      </c>
      <c r="P384" s="10" cm="1">
        <f t="array" ref="P384">IF($A384="","",IFERROR((SUMPRODUCT((TRIM(tblDados[Mandante])=$A384)*tblDados[Primeira_Ocorrencia]*tblDados[GM_M]^2)+SUMPRODUCT((TRIM(tblDados[Visitante])=$A384)*tblDados[Primeira_Ocorrencia]*tblDados[GM_V]^2))/G384-H384^2,0))</f>
        <v>0.5</v>
      </c>
      <c r="Q384" s="10">
        <f t="shared" si="122"/>
        <v>0.70710678118654757</v>
      </c>
      <c r="R384" s="8" t="str">
        <f t="shared" si="123"/>
        <v>Poisson</v>
      </c>
      <c r="S384" s="10" cm="1">
        <f t="array" ref="S384">IF($A384="","",SUMPRODUCT((TRIM(tblDados[Mandante])=$A384)*tblDados[Primeira_Ocorrencia]*tblDados[GM_M]))</f>
        <v>5</v>
      </c>
      <c r="T384" s="10" cm="1">
        <f t="array" ref="T384">IF($A384="","",SUMPRODUCT((TRIM(tblDados[Visitante])=$A384)*tblDados[Primeira_Ocorrencia]*tblDados[GM_V]))</f>
        <v>7</v>
      </c>
      <c r="U384" s="10">
        <f t="shared" si="124"/>
        <v>12</v>
      </c>
      <c r="V384" s="10">
        <f t="shared" si="113"/>
        <v>1</v>
      </c>
      <c r="W384" s="10" cm="1">
        <f t="array" ref="W384">IF($A384="","",SUMPRODUCT((TRIM(tblDados[Mandante])=$A384)*tblDados[Primeira_Ocorrencia]*tblDados[GS_M]))</f>
        <v>5</v>
      </c>
      <c r="X384" s="10" cm="1">
        <f t="array" ref="X384">IF($A384="","",SUMPRODUCT((TRIM(tblDados[Visitante])=$A384)*tblDados[Primeira_Ocorrencia]*tblDados[GS_V]))</f>
        <v>10</v>
      </c>
      <c r="Y384" s="10">
        <f t="shared" si="125"/>
        <v>15</v>
      </c>
      <c r="Z384" s="10">
        <f t="shared" si="114"/>
        <v>1.25</v>
      </c>
      <c r="AA384" s="10">
        <f t="shared" si="115"/>
        <v>0.83333333333333337</v>
      </c>
      <c r="AB384" s="10">
        <f t="shared" si="116"/>
        <v>0.83333333333333337</v>
      </c>
      <c r="AC384" s="10">
        <f t="shared" si="117"/>
        <v>1.1666666666666667</v>
      </c>
      <c r="AD384" s="10">
        <f t="shared" si="118"/>
        <v>1.6666666666666667</v>
      </c>
    </row>
    <row r="385" spans="1:30" x14ac:dyDescent="0.3">
      <c r="A385" s="7" t="str">
        <v>St. Louis CITY SC</v>
      </c>
      <c r="B385" s="12" t="str" cm="1">
        <f t="array" ref="B385">IF($A385="","",_xlfn.LET(_xlpm.p,IFERROR(INDEX(tblDados[País],MATCH($A385,TRIM(tblDados[Mandante]),0)),INDEX(tblDados[País],MATCH($A385,TRIM(tblDados[Visitante]),0))),_xlpm.l,IFERROR(INDEX(tblDados[Liga],MATCH($A385,TRIM(tblDados[Mandante]),0)),INDEX(tblDados[Liga],MATCH($A385,TRIM(tblDados[Visitante]),0))),_xlpm.p&amp;" - "&amp;_xlpm.l))</f>
        <v>USA - MLS-West</v>
      </c>
      <c r="C385" s="10">
        <f t="shared" si="119"/>
        <v>3.166666666666667</v>
      </c>
      <c r="D385" s="10">
        <f t="shared" si="120"/>
        <v>2.666666666666667</v>
      </c>
      <c r="E385" s="9" cm="1">
        <f t="array" ref="E385">IF($A385="","",SUMPRODUCT((TRIM(tblDados[Mandante])=$A385)*tblDados[Primeira_Ocorrencia]))</f>
        <v>6</v>
      </c>
      <c r="F385" s="9" cm="1">
        <f t="array" ref="F385">IF($A385="","",SUMPRODUCT((TRIM(tblDados[Visitante])=$A385)*tblDados[Primeira_Ocorrencia]))</f>
        <v>6</v>
      </c>
      <c r="G385" s="9" cm="1">
        <f t="array" ref="G385">IF($A385="","",SUMPRODUCT((TRIM(tblDados[Mandante])=$A385)*tblDados[Primeira_Ocorrencia])+SUMPRODUCT((TRIM(tblDados[Visitante])=$A385)*tblDados[Primeira_Ocorrencia]))</f>
        <v>12</v>
      </c>
      <c r="H385" s="10">
        <f t="shared" si="121"/>
        <v>1.5833333333333333</v>
      </c>
      <c r="I385" s="10" cm="1">
        <f t="array" ref="I385">IF($A385="","",_xlfn.LET(_xlpm.p,IFERROR(INDEX(tblDados[País],MATCH($A385,TRIM(tblDados[Mandante]),0)),INDEX(tblDados[País],MATCH($A385,TRIM(tblDados[Visitante]),0))),_xlpm.l,IFERROR(INDEX(tblDados[Liga],MATCH($A385,TRIM(tblDados[Mandante]),0)),INDEX(tblDados[Liga],MATCH($A385,TRIM(tblDados[Visitante]),0))),IFERROR(SUMIFS(Ligas!$D$2:$D$39,Ligas!$H$2:$H$39,_xlpm.p,Ligas!$I$2:$I$39,_xlpm.l),0)))</f>
        <v>3.3</v>
      </c>
      <c r="J385" s="11" cm="1">
        <f t="array" ref="J385">IF($A385="","",IFERROR((SUMPRODUCT((TRIM(tblDados[Mandante])=$A385)*tblDados[Primeira_Ocorrencia]*(tblDados[GM_M]=0))+SUMPRODUCT((TRIM(tblDados[Visitante])=$A385)*tblDados[Primeira_Ocorrencia]*(tblDados[GM_V]=0)))/G385,0))</f>
        <v>8.3333333333333329E-2</v>
      </c>
      <c r="K385" s="11" cm="1">
        <f t="array" ref="K385">IF($A385="","",IFERROR((SUMPRODUCT((TRIM(tblDados[Mandante])=$A385)*tblDados[Primeira_Ocorrencia]*((tblDados[GM_M]+tblDados[GS_M])&gt;0.5))+SUMPRODUCT((TRIM(tblDados[Visitante])=$A385)*tblDados[Primeira_Ocorrencia]*((tblDados[GM_V]+tblDados[GS_V])&gt;0.5)))/G385,0))</f>
        <v>1</v>
      </c>
      <c r="L385" s="11" cm="1">
        <f t="array" ref="L385">IF($A385="","",IFERROR((SUMPRODUCT((TRIM(tblDados[Mandante])=$A385)*tblDados[Primeira_Ocorrencia]*((tblDados[GM_M]+tblDados[GS_M])&gt;1.5))+SUMPRODUCT((TRIM(tblDados[Visitante])=$A385)*tblDados[Primeira_Ocorrencia]*((tblDados[GM_V]+tblDados[GS_V])&gt;1.5)))/G385,0))</f>
        <v>0.83333333333333337</v>
      </c>
      <c r="M385" s="11" cm="1">
        <f t="array" ref="M385">IF($A385="","",IFERROR((SUMPRODUCT((TRIM(tblDados[Mandante])=$A385)*tblDados[Primeira_Ocorrencia]*((tblDados[GM_M]+tblDados[GS_M])&gt;2.5))+SUMPRODUCT((TRIM(tblDados[Visitante])=$A385)*tblDados[Primeira_Ocorrencia]*((tblDados[GM_V]+tblDados[GS_V])&gt;2.5)))/G385,0))</f>
        <v>0.5</v>
      </c>
      <c r="N385" s="11" cm="1">
        <f t="array" ref="N385">IF($A385="","",IFERROR((SUMPRODUCT((TRIM(tblDados[Mandante])=$A385)*tblDados[Primeira_Ocorrencia]*((tblDados[GM_M]+tblDados[GS_M])&gt;3.5))+SUMPRODUCT((TRIM(tblDados[Visitante])=$A385)*tblDados[Primeira_Ocorrencia]*((tblDados[GM_V]+tblDados[GS_V])&gt;3.5)))/G385,0))</f>
        <v>0.33333333333333331</v>
      </c>
      <c r="O385" s="11" cm="1">
        <f t="array" ref="O385">IF($A385="","",IFERROR((SUMPRODUCT((TRIM(tblDados[Mandante])=$A385)*tblDados[Primeira_Ocorrencia]*(tblDados[GM_M]&gt;0)*(tblDados[GS_M]&gt;0))+SUMPRODUCT((TRIM(tblDados[Visitante])=$A385)*tblDados[Primeira_Ocorrencia]*(tblDados[GM_V]&gt;0)*(tblDados[GS_V]&gt;0)))/G385,0))</f>
        <v>0.66666666666666663</v>
      </c>
      <c r="P385" s="10" cm="1">
        <f t="array" ref="P385">IF($A385="","",IFERROR((SUMPRODUCT((TRIM(tblDados[Mandante])=$A385)*tblDados[Primeira_Ocorrencia]*tblDados[GM_M]^2)+SUMPRODUCT((TRIM(tblDados[Visitante])=$A385)*tblDados[Primeira_Ocorrencia]*tblDados[GM_V]^2))/G385-H385^2,0))</f>
        <v>0.90972222222222232</v>
      </c>
      <c r="Q385" s="10">
        <f t="shared" si="122"/>
        <v>0.95379359518829976</v>
      </c>
      <c r="R385" s="8" t="str">
        <f t="shared" si="123"/>
        <v>Poisson</v>
      </c>
      <c r="S385" s="10" cm="1">
        <f t="array" ref="S385">IF($A385="","",SUMPRODUCT((TRIM(tblDados[Mandante])=$A385)*tblDados[Primeira_Ocorrencia]*tblDados[GM_M]))</f>
        <v>12</v>
      </c>
      <c r="T385" s="10" cm="1">
        <f t="array" ref="T385">IF($A385="","",SUMPRODUCT((TRIM(tblDados[Visitante])=$A385)*tblDados[Primeira_Ocorrencia]*tblDados[GM_V]))</f>
        <v>7</v>
      </c>
      <c r="U385" s="10">
        <f t="shared" si="124"/>
        <v>19</v>
      </c>
      <c r="V385" s="10">
        <f t="shared" si="113"/>
        <v>1.5833333333333333</v>
      </c>
      <c r="W385" s="10" cm="1">
        <f t="array" ref="W385">IF($A385="","",SUMPRODUCT((TRIM(tblDados[Mandante])=$A385)*tblDados[Primeira_Ocorrencia]*tblDados[GS_M]))</f>
        <v>7</v>
      </c>
      <c r="X385" s="10" cm="1">
        <f t="array" ref="X385">IF($A385="","",SUMPRODUCT((TRIM(tblDados[Visitante])=$A385)*tblDados[Primeira_Ocorrencia]*tblDados[GS_V]))</f>
        <v>9</v>
      </c>
      <c r="Y385" s="10">
        <f t="shared" si="125"/>
        <v>16</v>
      </c>
      <c r="Z385" s="10">
        <f t="shared" si="114"/>
        <v>1.3333333333333333</v>
      </c>
      <c r="AA385" s="10">
        <f t="shared" si="115"/>
        <v>2</v>
      </c>
      <c r="AB385" s="10">
        <f t="shared" si="116"/>
        <v>1.1666666666666667</v>
      </c>
      <c r="AC385" s="10">
        <f t="shared" si="117"/>
        <v>1.1666666666666667</v>
      </c>
      <c r="AD385" s="10">
        <f t="shared" si="118"/>
        <v>1.5</v>
      </c>
    </row>
    <row r="386" spans="1:30" x14ac:dyDescent="0.3">
      <c r="A386" s="7" t="str">
        <v>Stabæk Fotball</v>
      </c>
      <c r="B386" s="12" t="str" cm="1">
        <f t="array" ref="B386">IF($A386="","",_xlfn.LET(_xlpm.p,IFERROR(INDEX(tblDados[País],MATCH($A386,TRIM(tblDados[Mandante]),0)),INDEX(tblDados[País],MATCH($A386,TRIM(tblDados[Visitante]),0))),_xlpm.l,IFERROR(INDEX(tblDados[Liga],MATCH($A386,TRIM(tblDados[Mandante]),0)),INDEX(tblDados[Liga],MATCH($A386,TRIM(tblDados[Visitante]),0))),_xlpm.p&amp;" - "&amp;_xlpm.l))</f>
        <v>NOR - OBOS-ligaen</v>
      </c>
      <c r="C386" s="10">
        <f t="shared" si="119"/>
        <v>4</v>
      </c>
      <c r="D386" s="10">
        <f t="shared" si="120"/>
        <v>3.166666666666667</v>
      </c>
      <c r="E386" s="9" cm="1">
        <f t="array" ref="E386">IF($A386="","",SUMPRODUCT((TRIM(tblDados[Mandante])=$A386)*tblDados[Primeira_Ocorrencia]))</f>
        <v>6</v>
      </c>
      <c r="F386" s="9" cm="1">
        <f t="array" ref="F386">IF($A386="","",SUMPRODUCT((TRIM(tblDados[Visitante])=$A386)*tblDados[Primeira_Ocorrencia]))</f>
        <v>6</v>
      </c>
      <c r="G386" s="9" cm="1">
        <f t="array" ref="G386">IF($A386="","",SUMPRODUCT((TRIM(tblDados[Mandante])=$A386)*tblDados[Primeira_Ocorrencia])+SUMPRODUCT((TRIM(tblDados[Visitante])=$A386)*tblDados[Primeira_Ocorrencia]))</f>
        <v>12</v>
      </c>
      <c r="H386" s="10">
        <f t="shared" si="121"/>
        <v>2.5</v>
      </c>
      <c r="I386" s="10" cm="1">
        <f t="array" ref="I386">IF($A386="","",_xlfn.LET(_xlpm.p,IFERROR(INDEX(tblDados[País],MATCH($A386,TRIM(tblDados[Mandante]),0)),INDEX(tblDados[País],MATCH($A386,TRIM(tblDados[Visitante]),0))),_xlpm.l,IFERROR(INDEX(tblDados[Liga],MATCH($A386,TRIM(tblDados[Mandante]),0)),INDEX(tblDados[Liga],MATCH($A386,TRIM(tblDados[Visitante]),0))),IFERROR(SUMIFS(Ligas!$D$2:$D$39,Ligas!$H$2:$H$39,_xlpm.p,Ligas!$I$2:$I$39,_xlpm.l),0)))</f>
        <v>2.5</v>
      </c>
      <c r="J386" s="11" cm="1">
        <f t="array" ref="J386">IF($A386="","",IFERROR((SUMPRODUCT((TRIM(tblDados[Mandante])=$A386)*tblDados[Primeira_Ocorrencia]*(tblDados[GM_M]=0))+SUMPRODUCT((TRIM(tblDados[Visitante])=$A386)*tblDados[Primeira_Ocorrencia]*(tblDados[GM_V]=0)))/G386,0))</f>
        <v>8.3333333333333329E-2</v>
      </c>
      <c r="K386" s="11" cm="1">
        <f t="array" ref="K386">IF($A386="","",IFERROR((SUMPRODUCT((TRIM(tblDados[Mandante])=$A386)*tblDados[Primeira_Ocorrencia]*((tblDados[GM_M]+tblDados[GS_M])&gt;0.5))+SUMPRODUCT((TRIM(tblDados[Visitante])=$A386)*tblDados[Primeira_Ocorrencia]*((tblDados[GM_V]+tblDados[GS_V])&gt;0.5)))/G386,0))</f>
        <v>1</v>
      </c>
      <c r="L386" s="11" cm="1">
        <f t="array" ref="L386">IF($A386="","",IFERROR((SUMPRODUCT((TRIM(tblDados[Mandante])=$A386)*tblDados[Primeira_Ocorrencia]*((tblDados[GM_M]+tblDados[GS_M])&gt;1.5))+SUMPRODUCT((TRIM(tblDados[Visitante])=$A386)*tblDados[Primeira_Ocorrencia]*((tblDados[GM_V]+tblDados[GS_V])&gt;1.5)))/G386,0))</f>
        <v>0.83333333333333337</v>
      </c>
      <c r="M386" s="11" cm="1">
        <f t="array" ref="M386">IF($A386="","",IFERROR((SUMPRODUCT((TRIM(tblDados[Mandante])=$A386)*tblDados[Primeira_Ocorrencia]*((tblDados[GM_M]+tblDados[GS_M])&gt;2.5))+SUMPRODUCT((TRIM(tblDados[Visitante])=$A386)*tblDados[Primeira_Ocorrencia]*((tblDados[GM_V]+tblDados[GS_V])&gt;2.5)))/G386,0))</f>
        <v>0.58333333333333337</v>
      </c>
      <c r="N386" s="11" cm="1">
        <f t="array" ref="N386">IF($A386="","",IFERROR((SUMPRODUCT((TRIM(tblDados[Mandante])=$A386)*tblDados[Primeira_Ocorrencia]*((tblDados[GM_M]+tblDados[GS_M])&gt;3.5))+SUMPRODUCT((TRIM(tblDados[Visitante])=$A386)*tblDados[Primeira_Ocorrencia]*((tblDados[GM_V]+tblDados[GS_V])&gt;3.5)))/G386,0))</f>
        <v>0.5</v>
      </c>
      <c r="O386" s="11" cm="1">
        <f t="array" ref="O386">IF($A386="","",IFERROR((SUMPRODUCT((TRIM(tblDados[Mandante])=$A386)*tblDados[Primeira_Ocorrencia]*(tblDados[GM_M]&gt;0)*(tblDados[GS_M]&gt;0))+SUMPRODUCT((TRIM(tblDados[Visitante])=$A386)*tblDados[Primeira_Ocorrencia]*(tblDados[GM_V]&gt;0)*(tblDados[GS_V]&gt;0)))/G386,0))</f>
        <v>0.5</v>
      </c>
      <c r="P386" s="10" cm="1">
        <f t="array" ref="P386">IF($A386="","",IFERROR((SUMPRODUCT((TRIM(tblDados[Mandante])=$A386)*tblDados[Primeira_Ocorrencia]*tblDados[GM_M]^2)+SUMPRODUCT((TRIM(tblDados[Visitante])=$A386)*tblDados[Primeira_Ocorrencia]*tblDados[GM_V]^2))/G386-H386^2,0))</f>
        <v>2.75</v>
      </c>
      <c r="Q386" s="10">
        <f t="shared" si="122"/>
        <v>1.6583123951776999</v>
      </c>
      <c r="R386" s="8" t="str">
        <f t="shared" si="123"/>
        <v>Poisson</v>
      </c>
      <c r="S386" s="10" cm="1">
        <f t="array" ref="S386">IF($A386="","",SUMPRODUCT((TRIM(tblDados[Mandante])=$A386)*tblDados[Primeira_Ocorrencia]*tblDados[GM_M]))</f>
        <v>18</v>
      </c>
      <c r="T386" s="10" cm="1">
        <f t="array" ref="T386">IF($A386="","",SUMPRODUCT((TRIM(tblDados[Visitante])=$A386)*tblDados[Primeira_Ocorrencia]*tblDados[GM_V]))</f>
        <v>12</v>
      </c>
      <c r="U386" s="10">
        <f t="shared" si="124"/>
        <v>30</v>
      </c>
      <c r="V386" s="10">
        <f t="shared" ref="V386:V449" si="126">IF($A386="","",IFERROR(U386/G386,0))</f>
        <v>2.5</v>
      </c>
      <c r="W386" s="10" cm="1">
        <f t="array" ref="W386">IF($A386="","",SUMPRODUCT((TRIM(tblDados[Mandante])=$A386)*tblDados[Primeira_Ocorrencia]*tblDados[GS_M]))</f>
        <v>6</v>
      </c>
      <c r="X386" s="10" cm="1">
        <f t="array" ref="X386">IF($A386="","",SUMPRODUCT((TRIM(tblDados[Visitante])=$A386)*tblDados[Primeira_Ocorrencia]*tblDados[GS_V]))</f>
        <v>7</v>
      </c>
      <c r="Y386" s="10">
        <f t="shared" si="125"/>
        <v>13</v>
      </c>
      <c r="Z386" s="10">
        <f t="shared" ref="Z386:Z449" si="127">IF($A386="","",IFERROR(Y386/G386,0))</f>
        <v>1.0833333333333333</v>
      </c>
      <c r="AA386" s="10">
        <f t="shared" ref="AA386:AA449" si="128">IF($A386="","",IF($E386=0,"",$S386/$E386))</f>
        <v>3</v>
      </c>
      <c r="AB386" s="10">
        <f t="shared" ref="AB386:AB449" si="129">IF($A386="","",IF($E386=0,"",$W386/$E386))</f>
        <v>1</v>
      </c>
      <c r="AC386" s="10">
        <f t="shared" ref="AC386:AC449" si="130">IF($A386="","",IF($F386=0,"",$T386/$F386))</f>
        <v>2</v>
      </c>
      <c r="AD386" s="10">
        <f t="shared" ref="AD386:AD449" si="131">IF($A386="","",IF($F386=0,"",$X386/$F386))</f>
        <v>1.1666666666666667</v>
      </c>
    </row>
    <row r="387" spans="1:30" x14ac:dyDescent="0.3">
      <c r="A387" s="7" t="str">
        <v>Staffanstorp United</v>
      </c>
      <c r="B387" s="12" t="str" cm="1">
        <f t="array" ref="B387">IF($A387="","",_xlfn.LET(_xlpm.p,IFERROR(INDEX(tblDados[País],MATCH($A387,TRIM(tblDados[Mandante]),0)),INDEX(tblDados[País],MATCH($A387,TRIM(tblDados[Visitante]),0))),_xlpm.l,IFERROR(INDEX(tblDados[Liga],MATCH($A387,TRIM(tblDados[Mandante]),0)),INDEX(tblDados[Liga],MATCH($A387,TRIM(tblDados[Visitante]),0))),_xlpm.p&amp;" - "&amp;_xlpm.l))</f>
        <v>SWE - 2ª D Södra Götaland</v>
      </c>
      <c r="C387" s="10">
        <f t="shared" ref="C387:C450" si="132">IF($A387="","",IF($E387=0,"",$AA387+$AB387))</f>
        <v>3.8333333333333335</v>
      </c>
      <c r="D387" s="10">
        <f t="shared" ref="D387:D450" si="133">IF($A387="","",IF($F387=0,"",$AC387+$AD387))</f>
        <v>3</v>
      </c>
      <c r="E387" s="9" cm="1">
        <f t="array" ref="E387">IF($A387="","",SUMPRODUCT((TRIM(tblDados[Mandante])=$A387)*tblDados[Primeira_Ocorrencia]))</f>
        <v>6</v>
      </c>
      <c r="F387" s="9" cm="1">
        <f t="array" ref="F387">IF($A387="","",SUMPRODUCT((TRIM(tblDados[Visitante])=$A387)*tblDados[Primeira_Ocorrencia]))</f>
        <v>6</v>
      </c>
      <c r="G387" s="9" cm="1">
        <f t="array" ref="G387">IF($A387="","",SUMPRODUCT((TRIM(tblDados[Mandante])=$A387)*tblDados[Primeira_Ocorrencia])+SUMPRODUCT((TRIM(tblDados[Visitante])=$A387)*tblDados[Primeira_Ocorrencia]))</f>
        <v>12</v>
      </c>
      <c r="H387" s="10">
        <f t="shared" ref="H387:H450" si="134">IF($A387="","",IFERROR($U387/$G387,0))</f>
        <v>1.9166666666666667</v>
      </c>
      <c r="I387" s="10" cm="1">
        <f t="array" ref="I387">IF($A387="","",_xlfn.LET(_xlpm.p,IFERROR(INDEX(tblDados[País],MATCH($A387,TRIM(tblDados[Mandante]),0)),INDEX(tblDados[País],MATCH($A387,TRIM(tblDados[Visitante]),0))),_xlpm.l,IFERROR(INDEX(tblDados[Liga],MATCH($A387,TRIM(tblDados[Mandante]),0)),INDEX(tblDados[Liga],MATCH($A387,TRIM(tblDados[Visitante]),0))),IFERROR(SUMIFS(Ligas!$D$2:$D$39,Ligas!$H$2:$H$39,_xlpm.p,Ligas!$I$2:$I$39,_xlpm.l),0)))</f>
        <v>2.5</v>
      </c>
      <c r="J387" s="11" cm="1">
        <f t="array" ref="J387">IF($A387="","",IFERROR((SUMPRODUCT((TRIM(tblDados[Mandante])=$A387)*tblDados[Primeira_Ocorrencia]*(tblDados[GM_M]=0))+SUMPRODUCT((TRIM(tblDados[Visitante])=$A387)*tblDados[Primeira_Ocorrencia]*(tblDados[GM_V]=0)))/G387,0))</f>
        <v>0.16666666666666666</v>
      </c>
      <c r="K387" s="11" cm="1">
        <f t="array" ref="K387">IF($A387="","",IFERROR((SUMPRODUCT((TRIM(tblDados[Mandante])=$A387)*tblDados[Primeira_Ocorrencia]*((tblDados[GM_M]+tblDados[GS_M])&gt;0.5))+SUMPRODUCT((TRIM(tblDados[Visitante])=$A387)*tblDados[Primeira_Ocorrencia]*((tblDados[GM_V]+tblDados[GS_V])&gt;0.5)))/G387,0))</f>
        <v>0.91666666666666663</v>
      </c>
      <c r="L387" s="11" cm="1">
        <f t="array" ref="L387">IF($A387="","",IFERROR((SUMPRODUCT((TRIM(tblDados[Mandante])=$A387)*tblDados[Primeira_Ocorrencia]*((tblDados[GM_M]+tblDados[GS_M])&gt;1.5))+SUMPRODUCT((TRIM(tblDados[Visitante])=$A387)*tblDados[Primeira_Ocorrencia]*((tblDados[GM_V]+tblDados[GS_V])&gt;1.5)))/G387,0))</f>
        <v>0.91666666666666663</v>
      </c>
      <c r="M387" s="11" cm="1">
        <f t="array" ref="M387">IF($A387="","",IFERROR((SUMPRODUCT((TRIM(tblDados[Mandante])=$A387)*tblDados[Primeira_Ocorrencia]*((tblDados[GM_M]+tblDados[GS_M])&gt;2.5))+SUMPRODUCT((TRIM(tblDados[Visitante])=$A387)*tblDados[Primeira_Ocorrencia]*((tblDados[GM_V]+tblDados[GS_V])&gt;2.5)))/G387,0))</f>
        <v>0.66666666666666663</v>
      </c>
      <c r="N387" s="11" cm="1">
        <f t="array" ref="N387">IF($A387="","",IFERROR((SUMPRODUCT((TRIM(tblDados[Mandante])=$A387)*tblDados[Primeira_Ocorrencia]*((tblDados[GM_M]+tblDados[GS_M])&gt;3.5))+SUMPRODUCT((TRIM(tblDados[Visitante])=$A387)*tblDados[Primeira_Ocorrencia]*((tblDados[GM_V]+tblDados[GS_V])&gt;3.5)))/G387,0))</f>
        <v>0.5</v>
      </c>
      <c r="O387" s="11" cm="1">
        <f t="array" ref="O387">IF($A387="","",IFERROR((SUMPRODUCT((TRIM(tblDados[Mandante])=$A387)*tblDados[Primeira_Ocorrencia]*(tblDados[GM_M]&gt;0)*(tblDados[GS_M]&gt;0))+SUMPRODUCT((TRIM(tblDados[Visitante])=$A387)*tblDados[Primeira_Ocorrencia]*(tblDados[GM_V]&gt;0)*(tblDados[GS_V]&gt;0)))/G387,0))</f>
        <v>0.75</v>
      </c>
      <c r="P387" s="10" cm="1">
        <f t="array" ref="P387">IF($A387="","",IFERROR((SUMPRODUCT((TRIM(tblDados[Mandante])=$A387)*tblDados[Primeira_Ocorrencia]*tblDados[GM_M]^2)+SUMPRODUCT((TRIM(tblDados[Visitante])=$A387)*tblDados[Primeira_Ocorrencia]*tblDados[GM_V]^2))/G387-H387^2,0))</f>
        <v>2.2430555555555554</v>
      </c>
      <c r="Q387" s="10">
        <f t="shared" ref="Q387:Q450" si="135">IF($A387="","",IFERROR(SQRT(MAX(P387,0)),0))</f>
        <v>1.4976833963009524</v>
      </c>
      <c r="R387" s="8" t="str">
        <f t="shared" ref="R387:R450" si="136">IF(A387="","",IF(OR(G387&lt;5,H387=0),"Amostra Insuficiente",IF(_xlfn.CHISQ.DIST.RT(G387*P387/H387,G387-1)&lt;0.05,"Binomial Negativa","Poisson")))</f>
        <v>Poisson</v>
      </c>
      <c r="S387" s="10" cm="1">
        <f t="array" ref="S387">IF($A387="","",SUMPRODUCT((TRIM(tblDados[Mandante])=$A387)*tblDados[Primeira_Ocorrencia]*tblDados[GM_M]))</f>
        <v>14</v>
      </c>
      <c r="T387" s="10" cm="1">
        <f t="array" ref="T387">IF($A387="","",SUMPRODUCT((TRIM(tblDados[Visitante])=$A387)*tblDados[Primeira_Ocorrencia]*tblDados[GM_V]))</f>
        <v>9</v>
      </c>
      <c r="U387" s="10">
        <f t="shared" ref="U387:U450" si="137">IF($A387="","",S387+T387)</f>
        <v>23</v>
      </c>
      <c r="V387" s="10">
        <f t="shared" si="126"/>
        <v>1.9166666666666667</v>
      </c>
      <c r="W387" s="10" cm="1">
        <f t="array" ref="W387">IF($A387="","",SUMPRODUCT((TRIM(tblDados[Mandante])=$A387)*tblDados[Primeira_Ocorrencia]*tblDados[GS_M]))</f>
        <v>9</v>
      </c>
      <c r="X387" s="10" cm="1">
        <f t="array" ref="X387">IF($A387="","",SUMPRODUCT((TRIM(tblDados[Visitante])=$A387)*tblDados[Primeira_Ocorrencia]*tblDados[GS_V]))</f>
        <v>9</v>
      </c>
      <c r="Y387" s="10">
        <f t="shared" ref="Y387:Y450" si="138">IF($A387="","",W387+X387)</f>
        <v>18</v>
      </c>
      <c r="Z387" s="10">
        <f t="shared" si="127"/>
        <v>1.5</v>
      </c>
      <c r="AA387" s="10">
        <f t="shared" si="128"/>
        <v>2.3333333333333335</v>
      </c>
      <c r="AB387" s="10">
        <f t="shared" si="129"/>
        <v>1.5</v>
      </c>
      <c r="AC387" s="10">
        <f t="shared" si="130"/>
        <v>1.5</v>
      </c>
      <c r="AD387" s="10">
        <f t="shared" si="131"/>
        <v>1.5</v>
      </c>
    </row>
    <row r="388" spans="1:30" x14ac:dyDescent="0.3">
      <c r="A388" s="7" t="str">
        <v>Stenungsunds IF</v>
      </c>
      <c r="B388" s="12" t="str" cm="1">
        <f t="array" ref="B388">IF($A388="","",_xlfn.LET(_xlpm.p,IFERROR(INDEX(tblDados[País],MATCH($A388,TRIM(tblDados[Mandante]),0)),INDEX(tblDados[País],MATCH($A388,TRIM(tblDados[Visitante]),0))),_xlpm.l,IFERROR(INDEX(tblDados[Liga],MATCH($A388,TRIM(tblDados[Mandante]),0)),INDEX(tblDados[Liga],MATCH($A388,TRIM(tblDados[Visitante]),0))),_xlpm.p&amp;" - "&amp;_xlpm.l))</f>
        <v>SWE - 2ª D Norra Götaland</v>
      </c>
      <c r="C388" s="10">
        <f t="shared" si="132"/>
        <v>3.5</v>
      </c>
      <c r="D388" s="10">
        <f t="shared" si="133"/>
        <v>3.333333333333333</v>
      </c>
      <c r="E388" s="9" cm="1">
        <f t="array" ref="E388">IF($A388="","",SUMPRODUCT((TRIM(tblDados[Mandante])=$A388)*tblDados[Primeira_Ocorrencia]))</f>
        <v>6</v>
      </c>
      <c r="F388" s="9" cm="1">
        <f t="array" ref="F388">IF($A388="","",SUMPRODUCT((TRIM(tblDados[Visitante])=$A388)*tblDados[Primeira_Ocorrencia]))</f>
        <v>6</v>
      </c>
      <c r="G388" s="9" cm="1">
        <f t="array" ref="G388">IF($A388="","",SUMPRODUCT((TRIM(tblDados[Mandante])=$A388)*tblDados[Primeira_Ocorrencia])+SUMPRODUCT((TRIM(tblDados[Visitante])=$A388)*tblDados[Primeira_Ocorrencia]))</f>
        <v>12</v>
      </c>
      <c r="H388" s="10">
        <f t="shared" si="134"/>
        <v>1.8333333333333333</v>
      </c>
      <c r="I388" s="10" cm="1">
        <f t="array" ref="I388">IF($A388="","",_xlfn.LET(_xlpm.p,IFERROR(INDEX(tblDados[País],MATCH($A388,TRIM(tblDados[Mandante]),0)),INDEX(tblDados[País],MATCH($A388,TRIM(tblDados[Visitante]),0))),_xlpm.l,IFERROR(INDEX(tblDados[Liga],MATCH($A388,TRIM(tblDados[Mandante]),0)),INDEX(tblDados[Liga],MATCH($A388,TRIM(tblDados[Visitante]),0))),IFERROR(SUMIFS(Ligas!$D$2:$D$39,Ligas!$H$2:$H$39,_xlpm.p,Ligas!$I$2:$I$39,_xlpm.l),0)))</f>
        <v>2.5</v>
      </c>
      <c r="J388" s="11" cm="1">
        <f t="array" ref="J388">IF($A388="","",IFERROR((SUMPRODUCT((TRIM(tblDados[Mandante])=$A388)*tblDados[Primeira_Ocorrencia]*(tblDados[GM_M]=0))+SUMPRODUCT((TRIM(tblDados[Visitante])=$A388)*tblDados[Primeira_Ocorrencia]*(tblDados[GM_V]=0)))/G388,0))</f>
        <v>0.33333333333333331</v>
      </c>
      <c r="K388" s="11" cm="1">
        <f t="array" ref="K388">IF($A388="","",IFERROR((SUMPRODUCT((TRIM(tblDados[Mandante])=$A388)*tblDados[Primeira_Ocorrencia]*((tblDados[GM_M]+tblDados[GS_M])&gt;0.5))+SUMPRODUCT((TRIM(tblDados[Visitante])=$A388)*tblDados[Primeira_Ocorrencia]*((tblDados[GM_V]+tblDados[GS_V])&gt;0.5)))/G388,0))</f>
        <v>1</v>
      </c>
      <c r="L388" s="11" cm="1">
        <f t="array" ref="L388">IF($A388="","",IFERROR((SUMPRODUCT((TRIM(tblDados[Mandante])=$A388)*tblDados[Primeira_Ocorrencia]*((tblDados[GM_M]+tblDados[GS_M])&gt;1.5))+SUMPRODUCT((TRIM(tblDados[Visitante])=$A388)*tblDados[Primeira_Ocorrencia]*((tblDados[GM_V]+tblDados[GS_V])&gt;1.5)))/G388,0))</f>
        <v>0.91666666666666663</v>
      </c>
      <c r="M388" s="11" cm="1">
        <f t="array" ref="M388">IF($A388="","",IFERROR((SUMPRODUCT((TRIM(tblDados[Mandante])=$A388)*tblDados[Primeira_Ocorrencia]*((tblDados[GM_M]+tblDados[GS_M])&gt;2.5))+SUMPRODUCT((TRIM(tblDados[Visitante])=$A388)*tblDados[Primeira_Ocorrencia]*((tblDados[GM_V]+tblDados[GS_V])&gt;2.5)))/G388,0))</f>
        <v>0.58333333333333337</v>
      </c>
      <c r="N388" s="11" cm="1">
        <f t="array" ref="N388">IF($A388="","",IFERROR((SUMPRODUCT((TRIM(tblDados[Mandante])=$A388)*tblDados[Primeira_Ocorrencia]*((tblDados[GM_M]+tblDados[GS_M])&gt;3.5))+SUMPRODUCT((TRIM(tblDados[Visitante])=$A388)*tblDados[Primeira_Ocorrencia]*((tblDados[GM_V]+tblDados[GS_V])&gt;3.5)))/G388,0))</f>
        <v>0.5</v>
      </c>
      <c r="O388" s="11" cm="1">
        <f t="array" ref="O388">IF($A388="","",IFERROR((SUMPRODUCT((TRIM(tblDados[Mandante])=$A388)*tblDados[Primeira_Ocorrencia]*(tblDados[GM_M]&gt;0)*(tblDados[GS_M]&gt;0))+SUMPRODUCT((TRIM(tblDados[Visitante])=$A388)*tblDados[Primeira_Ocorrencia]*(tblDados[GM_V]&gt;0)*(tblDados[GS_V]&gt;0)))/G388,0))</f>
        <v>0.41666666666666669</v>
      </c>
      <c r="P388" s="10" cm="1">
        <f t="array" ref="P388">IF($A388="","",IFERROR((SUMPRODUCT((TRIM(tblDados[Mandante])=$A388)*tblDados[Primeira_Ocorrencia]*tblDados[GM_M]^2)+SUMPRODUCT((TRIM(tblDados[Visitante])=$A388)*tblDados[Primeira_Ocorrencia]*tblDados[GM_V]^2))/G388-H388^2,0))</f>
        <v>3.9722222222222223</v>
      </c>
      <c r="Q388" s="10">
        <f t="shared" si="135"/>
        <v>1.9930434571835665</v>
      </c>
      <c r="R388" s="8" t="str">
        <f t="shared" si="136"/>
        <v>Binomial Negativa</v>
      </c>
      <c r="S388" s="10" cm="1">
        <f t="array" ref="S388">IF($A388="","",SUMPRODUCT((TRIM(tblDados[Mandante])=$A388)*tblDados[Primeira_Ocorrencia]*tblDados[GM_M]))</f>
        <v>15</v>
      </c>
      <c r="T388" s="10" cm="1">
        <f t="array" ref="T388">IF($A388="","",SUMPRODUCT((TRIM(tblDados[Visitante])=$A388)*tblDados[Primeira_Ocorrencia]*tblDados[GM_V]))</f>
        <v>7</v>
      </c>
      <c r="U388" s="10">
        <f t="shared" si="137"/>
        <v>22</v>
      </c>
      <c r="V388" s="10">
        <f t="shared" si="126"/>
        <v>1.8333333333333333</v>
      </c>
      <c r="W388" s="10" cm="1">
        <f t="array" ref="W388">IF($A388="","",SUMPRODUCT((TRIM(tblDados[Mandante])=$A388)*tblDados[Primeira_Ocorrencia]*tblDados[GS_M]))</f>
        <v>6</v>
      </c>
      <c r="X388" s="10" cm="1">
        <f t="array" ref="X388">IF($A388="","",SUMPRODUCT((TRIM(tblDados[Visitante])=$A388)*tblDados[Primeira_Ocorrencia]*tblDados[GS_V]))</f>
        <v>13</v>
      </c>
      <c r="Y388" s="10">
        <f t="shared" si="138"/>
        <v>19</v>
      </c>
      <c r="Z388" s="10">
        <f t="shared" si="127"/>
        <v>1.5833333333333333</v>
      </c>
      <c r="AA388" s="10">
        <f t="shared" si="128"/>
        <v>2.5</v>
      </c>
      <c r="AB388" s="10">
        <f t="shared" si="129"/>
        <v>1</v>
      </c>
      <c r="AC388" s="10">
        <f t="shared" si="130"/>
        <v>1.1666666666666667</v>
      </c>
      <c r="AD388" s="10">
        <f t="shared" si="131"/>
        <v>2.1666666666666665</v>
      </c>
    </row>
    <row r="389" spans="1:30" x14ac:dyDescent="0.3">
      <c r="A389" s="7" t="str">
        <v>Strømmen IF</v>
      </c>
      <c r="B389" s="12" t="str" cm="1">
        <f t="array" ref="B389">IF($A389="","",_xlfn.LET(_xlpm.p,IFERROR(INDEX(tblDados[País],MATCH($A389,TRIM(tblDados[Mandante]),0)),INDEX(tblDados[País],MATCH($A389,TRIM(tblDados[Visitante]),0))),_xlpm.l,IFERROR(INDEX(tblDados[Liga],MATCH($A389,TRIM(tblDados[Mandante]),0)),INDEX(tblDados[Liga],MATCH($A389,TRIM(tblDados[Visitante]),0))),_xlpm.p&amp;" - "&amp;_xlpm.l))</f>
        <v>NOR - OBOS-ligaen</v>
      </c>
      <c r="C389" s="10">
        <f t="shared" si="132"/>
        <v>3.7142857142857144</v>
      </c>
      <c r="D389" s="10">
        <f t="shared" si="133"/>
        <v>2.8</v>
      </c>
      <c r="E389" s="9" cm="1">
        <f t="array" ref="E389">IF($A389="","",SUMPRODUCT((TRIM(tblDados[Mandante])=$A389)*tblDados[Primeira_Ocorrencia]))</f>
        <v>7</v>
      </c>
      <c r="F389" s="9" cm="1">
        <f t="array" ref="F389">IF($A389="","",SUMPRODUCT((TRIM(tblDados[Visitante])=$A389)*tblDados[Primeira_Ocorrencia]))</f>
        <v>5</v>
      </c>
      <c r="G389" s="9" cm="1">
        <f t="array" ref="G389">IF($A389="","",SUMPRODUCT((TRIM(tblDados[Mandante])=$A389)*tblDados[Primeira_Ocorrencia])+SUMPRODUCT((TRIM(tblDados[Visitante])=$A389)*tblDados[Primeira_Ocorrencia]))</f>
        <v>12</v>
      </c>
      <c r="H389" s="10">
        <f t="shared" si="134"/>
        <v>1.0833333333333333</v>
      </c>
      <c r="I389" s="10" cm="1">
        <f t="array" ref="I389">IF($A389="","",_xlfn.LET(_xlpm.p,IFERROR(INDEX(tblDados[País],MATCH($A389,TRIM(tblDados[Mandante]),0)),INDEX(tblDados[País],MATCH($A389,TRIM(tblDados[Visitante]),0))),_xlpm.l,IFERROR(INDEX(tblDados[Liga],MATCH($A389,TRIM(tblDados[Mandante]),0)),INDEX(tblDados[Liga],MATCH($A389,TRIM(tblDados[Visitante]),0))),IFERROR(SUMIFS(Ligas!$D$2:$D$39,Ligas!$H$2:$H$39,_xlpm.p,Ligas!$I$2:$I$39,_xlpm.l),0)))</f>
        <v>2.5</v>
      </c>
      <c r="J389" s="11" cm="1">
        <f t="array" ref="J389">IF($A389="","",IFERROR((SUMPRODUCT((TRIM(tblDados[Mandante])=$A389)*tblDados[Primeira_Ocorrencia]*(tblDados[GM_M]=0))+SUMPRODUCT((TRIM(tblDados[Visitante])=$A389)*tblDados[Primeira_Ocorrencia]*(tblDados[GM_V]=0)))/G389,0))</f>
        <v>0.41666666666666669</v>
      </c>
      <c r="K389" s="11" cm="1">
        <f t="array" ref="K389">IF($A389="","",IFERROR((SUMPRODUCT((TRIM(tblDados[Mandante])=$A389)*tblDados[Primeira_Ocorrencia]*((tblDados[GM_M]+tblDados[GS_M])&gt;0.5))+SUMPRODUCT((TRIM(tblDados[Visitante])=$A389)*tblDados[Primeira_Ocorrencia]*((tblDados[GM_V]+tblDados[GS_V])&gt;0.5)))/G389,0))</f>
        <v>0.91666666666666663</v>
      </c>
      <c r="L389" s="11" cm="1">
        <f t="array" ref="L389">IF($A389="","",IFERROR((SUMPRODUCT((TRIM(tblDados[Mandante])=$A389)*tblDados[Primeira_Ocorrencia]*((tblDados[GM_M]+tblDados[GS_M])&gt;1.5))+SUMPRODUCT((TRIM(tblDados[Visitante])=$A389)*tblDados[Primeira_Ocorrencia]*((tblDados[GM_V]+tblDados[GS_V])&gt;1.5)))/G389,0))</f>
        <v>0.66666666666666663</v>
      </c>
      <c r="M389" s="11" cm="1">
        <f t="array" ref="M389">IF($A389="","",IFERROR((SUMPRODUCT((TRIM(tblDados[Mandante])=$A389)*tblDados[Primeira_Ocorrencia]*((tblDados[GM_M]+tblDados[GS_M])&gt;2.5))+SUMPRODUCT((TRIM(tblDados[Visitante])=$A389)*tblDados[Primeira_Ocorrencia]*((tblDados[GM_V]+tblDados[GS_V])&gt;2.5)))/G389,0))</f>
        <v>0.58333333333333337</v>
      </c>
      <c r="N389" s="11" cm="1">
        <f t="array" ref="N389">IF($A389="","",IFERROR((SUMPRODUCT((TRIM(tblDados[Mandante])=$A389)*tblDados[Primeira_Ocorrencia]*((tblDados[GM_M]+tblDados[GS_M])&gt;3.5))+SUMPRODUCT((TRIM(tblDados[Visitante])=$A389)*tblDados[Primeira_Ocorrencia]*((tblDados[GM_V]+tblDados[GS_V])&gt;3.5)))/G389,0))</f>
        <v>0.5</v>
      </c>
      <c r="O389" s="11" cm="1">
        <f t="array" ref="O389">IF($A389="","",IFERROR((SUMPRODUCT((TRIM(tblDados[Mandante])=$A389)*tblDados[Primeira_Ocorrencia]*(tblDados[GM_M]&gt;0)*(tblDados[GS_M]&gt;0))+SUMPRODUCT((TRIM(tblDados[Visitante])=$A389)*tblDados[Primeira_Ocorrencia]*(tblDados[GM_V]&gt;0)*(tblDados[GS_V]&gt;0)))/G389,0))</f>
        <v>0.5</v>
      </c>
      <c r="P389" s="10" cm="1">
        <f t="array" ref="P389">IF($A389="","",IFERROR((SUMPRODUCT((TRIM(tblDados[Mandante])=$A389)*tblDados[Primeira_Ocorrencia]*tblDados[GM_M]^2)+SUMPRODUCT((TRIM(tblDados[Visitante])=$A389)*tblDados[Primeira_Ocorrencia]*tblDados[GM_V]^2))/G389-H389^2,0))</f>
        <v>1.2430555555555556</v>
      </c>
      <c r="Q389" s="10">
        <f t="shared" si="135"/>
        <v>1.1149240133549709</v>
      </c>
      <c r="R389" s="8" t="str">
        <f t="shared" si="136"/>
        <v>Poisson</v>
      </c>
      <c r="S389" s="10" cm="1">
        <f t="array" ref="S389">IF($A389="","",SUMPRODUCT((TRIM(tblDados[Mandante])=$A389)*tblDados[Primeira_Ocorrencia]*tblDados[GM_M]))</f>
        <v>8</v>
      </c>
      <c r="T389" s="10" cm="1">
        <f t="array" ref="T389">IF($A389="","",SUMPRODUCT((TRIM(tblDados[Visitante])=$A389)*tblDados[Primeira_Ocorrencia]*tblDados[GM_V]))</f>
        <v>5</v>
      </c>
      <c r="U389" s="10">
        <f t="shared" si="137"/>
        <v>13</v>
      </c>
      <c r="V389" s="10">
        <f t="shared" si="126"/>
        <v>1.0833333333333333</v>
      </c>
      <c r="W389" s="10" cm="1">
        <f t="array" ref="W389">IF($A389="","",SUMPRODUCT((TRIM(tblDados[Mandante])=$A389)*tblDados[Primeira_Ocorrencia]*tblDados[GS_M]))</f>
        <v>18</v>
      </c>
      <c r="X389" s="10" cm="1">
        <f t="array" ref="X389">IF($A389="","",SUMPRODUCT((TRIM(tblDados[Visitante])=$A389)*tblDados[Primeira_Ocorrencia]*tblDados[GS_V]))</f>
        <v>9</v>
      </c>
      <c r="Y389" s="10">
        <f t="shared" si="138"/>
        <v>27</v>
      </c>
      <c r="Z389" s="10">
        <f t="shared" si="127"/>
        <v>2.25</v>
      </c>
      <c r="AA389" s="10">
        <f t="shared" si="128"/>
        <v>1.1428571428571428</v>
      </c>
      <c r="AB389" s="10">
        <f t="shared" si="129"/>
        <v>2.5714285714285716</v>
      </c>
      <c r="AC389" s="10">
        <f t="shared" si="130"/>
        <v>1</v>
      </c>
      <c r="AD389" s="10">
        <f t="shared" si="131"/>
        <v>1.8</v>
      </c>
    </row>
    <row r="390" spans="1:30" x14ac:dyDescent="0.3">
      <c r="A390" s="7" t="str">
        <v>Strømsgodset IF</v>
      </c>
      <c r="B390" s="12" t="str" cm="1">
        <f t="array" ref="B390">IF($A390="","",_xlfn.LET(_xlpm.p,IFERROR(INDEX(tblDados[País],MATCH($A390,TRIM(tblDados[Mandante]),0)),INDEX(tblDados[País],MATCH($A390,TRIM(tblDados[Visitante]),0))),_xlpm.l,IFERROR(INDEX(tblDados[Liga],MATCH($A390,TRIM(tblDados[Mandante]),0)),INDEX(tblDados[Liga],MATCH($A390,TRIM(tblDados[Visitante]),0))),_xlpm.p&amp;" - "&amp;_xlpm.l))</f>
        <v>NOR - OBOS-ligaen</v>
      </c>
      <c r="C390" s="10">
        <f t="shared" si="132"/>
        <v>4.166666666666667</v>
      </c>
      <c r="D390" s="10">
        <f t="shared" si="133"/>
        <v>4.5</v>
      </c>
      <c r="E390" s="9" cm="1">
        <f t="array" ref="E390">IF($A390="","",SUMPRODUCT((TRIM(tblDados[Mandante])=$A390)*tblDados[Primeira_Ocorrencia]))</f>
        <v>6</v>
      </c>
      <c r="F390" s="9" cm="1">
        <f t="array" ref="F390">IF($A390="","",SUMPRODUCT((TRIM(tblDados[Visitante])=$A390)*tblDados[Primeira_Ocorrencia]))</f>
        <v>6</v>
      </c>
      <c r="G390" s="9" cm="1">
        <f t="array" ref="G390">IF($A390="","",SUMPRODUCT((TRIM(tblDados[Mandante])=$A390)*tblDados[Primeira_Ocorrencia])+SUMPRODUCT((TRIM(tblDados[Visitante])=$A390)*tblDados[Primeira_Ocorrencia]))</f>
        <v>12</v>
      </c>
      <c r="H390" s="10">
        <f t="shared" si="134"/>
        <v>2.75</v>
      </c>
      <c r="I390" s="10" cm="1">
        <f t="array" ref="I390">IF($A390="","",_xlfn.LET(_xlpm.p,IFERROR(INDEX(tblDados[País],MATCH($A390,TRIM(tblDados[Mandante]),0)),INDEX(tblDados[País],MATCH($A390,TRIM(tblDados[Visitante]),0))),_xlpm.l,IFERROR(INDEX(tblDados[Liga],MATCH($A390,TRIM(tblDados[Mandante]),0)),INDEX(tblDados[Liga],MATCH($A390,TRIM(tblDados[Visitante]),0))),IFERROR(SUMIFS(Ligas!$D$2:$D$39,Ligas!$H$2:$H$39,_xlpm.p,Ligas!$I$2:$I$39,_xlpm.l),0)))</f>
        <v>2.5</v>
      </c>
      <c r="J390" s="11" cm="1">
        <f t="array" ref="J390">IF($A390="","",IFERROR((SUMPRODUCT((TRIM(tblDados[Mandante])=$A390)*tblDados[Primeira_Ocorrencia]*(tblDados[GM_M]=0))+SUMPRODUCT((TRIM(tblDados[Visitante])=$A390)*tblDados[Primeira_Ocorrencia]*(tblDados[GM_V]=0)))/G390,0))</f>
        <v>8.3333333333333329E-2</v>
      </c>
      <c r="K390" s="11" cm="1">
        <f t="array" ref="K390">IF($A390="","",IFERROR((SUMPRODUCT((TRIM(tblDados[Mandante])=$A390)*tblDados[Primeira_Ocorrencia]*((tblDados[GM_M]+tblDados[GS_M])&gt;0.5))+SUMPRODUCT((TRIM(tblDados[Visitante])=$A390)*tblDados[Primeira_Ocorrencia]*((tblDados[GM_V]+tblDados[GS_V])&gt;0.5)))/G390,0))</f>
        <v>1</v>
      </c>
      <c r="L390" s="11" cm="1">
        <f t="array" ref="L390">IF($A390="","",IFERROR((SUMPRODUCT((TRIM(tblDados[Mandante])=$A390)*tblDados[Primeira_Ocorrencia]*((tblDados[GM_M]+tblDados[GS_M])&gt;1.5))+SUMPRODUCT((TRIM(tblDados[Visitante])=$A390)*tblDados[Primeira_Ocorrencia]*((tblDados[GM_V]+tblDados[GS_V])&gt;1.5)))/G390,0))</f>
        <v>0.91666666666666663</v>
      </c>
      <c r="M390" s="11" cm="1">
        <f t="array" ref="M390">IF($A390="","",IFERROR((SUMPRODUCT((TRIM(tblDados[Mandante])=$A390)*tblDados[Primeira_Ocorrencia]*((tblDados[GM_M]+tblDados[GS_M])&gt;2.5))+SUMPRODUCT((TRIM(tblDados[Visitante])=$A390)*tblDados[Primeira_Ocorrencia]*((tblDados[GM_V]+tblDados[GS_V])&gt;2.5)))/G390,0))</f>
        <v>0.58333333333333337</v>
      </c>
      <c r="N390" s="11" cm="1">
        <f t="array" ref="N390">IF($A390="","",IFERROR((SUMPRODUCT((TRIM(tblDados[Mandante])=$A390)*tblDados[Primeira_Ocorrencia]*((tblDados[GM_M]+tblDados[GS_M])&gt;3.5))+SUMPRODUCT((TRIM(tblDados[Visitante])=$A390)*tblDados[Primeira_Ocorrencia]*((tblDados[GM_V]+tblDados[GS_V])&gt;3.5)))/G390,0))</f>
        <v>0.5</v>
      </c>
      <c r="O390" s="11" cm="1">
        <f t="array" ref="O390">IF($A390="","",IFERROR((SUMPRODUCT((TRIM(tblDados[Mandante])=$A390)*tblDados[Primeira_Ocorrencia]*(tblDados[GM_M]&gt;0)*(tblDados[GS_M]&gt;0))+SUMPRODUCT((TRIM(tblDados[Visitante])=$A390)*tblDados[Primeira_Ocorrencia]*(tblDados[GM_V]&gt;0)*(tblDados[GS_V]&gt;0)))/G390,0))</f>
        <v>0.58333333333333337</v>
      </c>
      <c r="P390" s="10" cm="1">
        <f t="array" ref="P390">IF($A390="","",IFERROR((SUMPRODUCT((TRIM(tblDados[Mandante])=$A390)*tblDados[Primeira_Ocorrencia]*tblDados[GM_M]^2)+SUMPRODUCT((TRIM(tblDados[Visitante])=$A390)*tblDados[Primeira_Ocorrencia]*tblDados[GM_V]^2))/G390-H390^2,0))</f>
        <v>3.3541666666666661</v>
      </c>
      <c r="Q390" s="10">
        <f t="shared" si="135"/>
        <v>1.8314384146529923</v>
      </c>
      <c r="R390" s="8" t="str">
        <f t="shared" si="136"/>
        <v>Poisson</v>
      </c>
      <c r="S390" s="10" cm="1">
        <f t="array" ref="S390">IF($A390="","",SUMPRODUCT((TRIM(tblDados[Mandante])=$A390)*tblDados[Primeira_Ocorrencia]*tblDados[GM_M]))</f>
        <v>15</v>
      </c>
      <c r="T390" s="10" cm="1">
        <f t="array" ref="T390">IF($A390="","",SUMPRODUCT((TRIM(tblDados[Visitante])=$A390)*tblDados[Primeira_Ocorrencia]*tblDados[GM_V]))</f>
        <v>18</v>
      </c>
      <c r="U390" s="10">
        <f t="shared" si="137"/>
        <v>33</v>
      </c>
      <c r="V390" s="10">
        <f t="shared" si="126"/>
        <v>2.75</v>
      </c>
      <c r="W390" s="10" cm="1">
        <f t="array" ref="W390">IF($A390="","",SUMPRODUCT((TRIM(tblDados[Mandante])=$A390)*tblDados[Primeira_Ocorrencia]*tblDados[GS_M]))</f>
        <v>10</v>
      </c>
      <c r="X390" s="10" cm="1">
        <f t="array" ref="X390">IF($A390="","",SUMPRODUCT((TRIM(tblDados[Visitante])=$A390)*tblDados[Primeira_Ocorrencia]*tblDados[GS_V]))</f>
        <v>9</v>
      </c>
      <c r="Y390" s="10">
        <f t="shared" si="138"/>
        <v>19</v>
      </c>
      <c r="Z390" s="10">
        <f t="shared" si="127"/>
        <v>1.5833333333333333</v>
      </c>
      <c r="AA390" s="10">
        <f t="shared" si="128"/>
        <v>2.5</v>
      </c>
      <c r="AB390" s="10">
        <f t="shared" si="129"/>
        <v>1.6666666666666667</v>
      </c>
      <c r="AC390" s="10">
        <f t="shared" si="130"/>
        <v>3</v>
      </c>
      <c r="AD390" s="10">
        <f t="shared" si="131"/>
        <v>1.5</v>
      </c>
    </row>
    <row r="391" spans="1:30" x14ac:dyDescent="0.3">
      <c r="A391" s="7" t="str">
        <v>Supra du Québec</v>
      </c>
      <c r="B391" s="12" t="str" cm="1">
        <f t="array" ref="B391">IF($A391="","",_xlfn.LET(_xlpm.p,IFERROR(INDEX(tblDados[País],MATCH($A391,TRIM(tblDados[Mandante]),0)),INDEX(tblDados[País],MATCH($A391,TRIM(tblDados[Visitante]),0))),_xlpm.l,IFERROR(INDEX(tblDados[Liga],MATCH($A391,TRIM(tblDados[Mandante]),0)),INDEX(tblDados[Liga],MATCH($A391,TRIM(tblDados[Visitante]),0))),_xlpm.p&amp;" - "&amp;_xlpm.l))</f>
        <v>CAN - Premier League</v>
      </c>
      <c r="C391" s="10">
        <f t="shared" si="132"/>
        <v>3.1666666666666665</v>
      </c>
      <c r="D391" s="10">
        <f t="shared" si="133"/>
        <v>3.666666666666667</v>
      </c>
      <c r="E391" s="9" cm="1">
        <f t="array" ref="E391">IF($A391="","",SUMPRODUCT((TRIM(tblDados[Mandante])=$A391)*tblDados[Primeira_Ocorrencia]))</f>
        <v>6</v>
      </c>
      <c r="F391" s="9" cm="1">
        <f t="array" ref="F391">IF($A391="","",SUMPRODUCT((TRIM(tblDados[Visitante])=$A391)*tblDados[Primeira_Ocorrencia]))</f>
        <v>6</v>
      </c>
      <c r="G391" s="9" cm="1">
        <f t="array" ref="G391">IF($A391="","",SUMPRODUCT((TRIM(tblDados[Mandante])=$A391)*tblDados[Primeira_Ocorrencia])+SUMPRODUCT((TRIM(tblDados[Visitante])=$A391)*tblDados[Primeira_Ocorrencia]))</f>
        <v>12</v>
      </c>
      <c r="H391" s="10">
        <f t="shared" si="134"/>
        <v>1.5</v>
      </c>
      <c r="I391" s="10" cm="1">
        <f t="array" ref="I391">IF($A391="","",_xlfn.LET(_xlpm.p,IFERROR(INDEX(tblDados[País],MATCH($A391,TRIM(tblDados[Mandante]),0)),INDEX(tblDados[País],MATCH($A391,TRIM(tblDados[Visitante]),0))),_xlpm.l,IFERROR(INDEX(tblDados[Liga],MATCH($A391,TRIM(tblDados[Mandante]),0)),INDEX(tblDados[Liga],MATCH($A391,TRIM(tblDados[Visitante]),0))),IFERROR(SUMIFS(Ligas!$D$2:$D$39,Ligas!$H$2:$H$39,_xlpm.p,Ligas!$I$2:$I$39,_xlpm.l),0)))</f>
        <v>2.5</v>
      </c>
      <c r="J391" s="11" cm="1">
        <f t="array" ref="J391">IF($A391="","",IFERROR((SUMPRODUCT((TRIM(tblDados[Mandante])=$A391)*tblDados[Primeira_Ocorrencia]*(tblDados[GM_M]=0))+SUMPRODUCT((TRIM(tblDados[Visitante])=$A391)*tblDados[Primeira_Ocorrencia]*(tblDados[GM_V]=0)))/G391,0))</f>
        <v>0.16666666666666666</v>
      </c>
      <c r="K391" s="11" cm="1">
        <f t="array" ref="K391">IF($A391="","",IFERROR((SUMPRODUCT((TRIM(tblDados[Mandante])=$A391)*tblDados[Primeira_Ocorrencia]*((tblDados[GM_M]+tblDados[GS_M])&gt;0.5))+SUMPRODUCT((TRIM(tblDados[Visitante])=$A391)*tblDados[Primeira_Ocorrencia]*((tblDados[GM_V]+tblDados[GS_V])&gt;0.5)))/G391,0))</f>
        <v>1</v>
      </c>
      <c r="L391" s="11" cm="1">
        <f t="array" ref="L391">IF($A391="","",IFERROR((SUMPRODUCT((TRIM(tblDados[Mandante])=$A391)*tblDados[Primeira_Ocorrencia]*((tblDados[GM_M]+tblDados[GS_M])&gt;1.5))+SUMPRODUCT((TRIM(tblDados[Visitante])=$A391)*tblDados[Primeira_Ocorrencia]*((tblDados[GM_V]+tblDados[GS_V])&gt;1.5)))/G391,0))</f>
        <v>0.83333333333333337</v>
      </c>
      <c r="M391" s="11" cm="1">
        <f t="array" ref="M391">IF($A391="","",IFERROR((SUMPRODUCT((TRIM(tblDados[Mandante])=$A391)*tblDados[Primeira_Ocorrencia]*((tblDados[GM_M]+tblDados[GS_M])&gt;2.5))+SUMPRODUCT((TRIM(tblDados[Visitante])=$A391)*tblDados[Primeira_Ocorrencia]*((tblDados[GM_V]+tblDados[GS_V])&gt;2.5)))/G391,0))</f>
        <v>0.66666666666666663</v>
      </c>
      <c r="N391" s="11" cm="1">
        <f t="array" ref="N391">IF($A391="","",IFERROR((SUMPRODUCT((TRIM(tblDados[Mandante])=$A391)*tblDados[Primeira_Ocorrencia]*((tblDados[GM_M]+tblDados[GS_M])&gt;3.5))+SUMPRODUCT((TRIM(tblDados[Visitante])=$A391)*tblDados[Primeira_Ocorrencia]*((tblDados[GM_V]+tblDados[GS_V])&gt;3.5)))/G391,0))</f>
        <v>0.33333333333333331</v>
      </c>
      <c r="O391" s="11" cm="1">
        <f t="array" ref="O391">IF($A391="","",IFERROR((SUMPRODUCT((TRIM(tblDados[Mandante])=$A391)*tblDados[Primeira_Ocorrencia]*(tblDados[GM_M]&gt;0)*(tblDados[GS_M]&gt;0))+SUMPRODUCT((TRIM(tblDados[Visitante])=$A391)*tblDados[Primeira_Ocorrencia]*(tblDados[GM_V]&gt;0)*(tblDados[GS_V]&gt;0)))/G391,0))</f>
        <v>0.83333333333333337</v>
      </c>
      <c r="P391" s="10" cm="1">
        <f t="array" ref="P391">IF($A391="","",IFERROR((SUMPRODUCT((TRIM(tblDados[Mandante])=$A391)*tblDados[Primeira_Ocorrencia]*tblDados[GM_M]^2)+SUMPRODUCT((TRIM(tblDados[Visitante])=$A391)*tblDados[Primeira_Ocorrencia]*tblDados[GM_V]^2))/G391-H391^2,0))</f>
        <v>1.0833333333333335</v>
      </c>
      <c r="Q391" s="10">
        <f t="shared" si="135"/>
        <v>1.0408329997330665</v>
      </c>
      <c r="R391" s="8" t="str">
        <f t="shared" si="136"/>
        <v>Poisson</v>
      </c>
      <c r="S391" s="10" cm="1">
        <f t="array" ref="S391">IF($A391="","",SUMPRODUCT((TRIM(tblDados[Mandante])=$A391)*tblDados[Primeira_Ocorrencia]*tblDados[GM_M]))</f>
        <v>8</v>
      </c>
      <c r="T391" s="10" cm="1">
        <f t="array" ref="T391">IF($A391="","",SUMPRODUCT((TRIM(tblDados[Visitante])=$A391)*tblDados[Primeira_Ocorrencia]*tblDados[GM_V]))</f>
        <v>10</v>
      </c>
      <c r="U391" s="10">
        <f t="shared" si="137"/>
        <v>18</v>
      </c>
      <c r="V391" s="10">
        <f t="shared" si="126"/>
        <v>1.5</v>
      </c>
      <c r="W391" s="10" cm="1">
        <f t="array" ref="W391">IF($A391="","",SUMPRODUCT((TRIM(tblDados[Mandante])=$A391)*tblDados[Primeira_Ocorrencia]*tblDados[GS_M]))</f>
        <v>11</v>
      </c>
      <c r="X391" s="10" cm="1">
        <f t="array" ref="X391">IF($A391="","",SUMPRODUCT((TRIM(tblDados[Visitante])=$A391)*tblDados[Primeira_Ocorrencia]*tblDados[GS_V]))</f>
        <v>12</v>
      </c>
      <c r="Y391" s="10">
        <f t="shared" si="138"/>
        <v>23</v>
      </c>
      <c r="Z391" s="10">
        <f t="shared" si="127"/>
        <v>1.9166666666666667</v>
      </c>
      <c r="AA391" s="10">
        <f t="shared" si="128"/>
        <v>1.3333333333333333</v>
      </c>
      <c r="AB391" s="10">
        <f t="shared" si="129"/>
        <v>1.8333333333333333</v>
      </c>
      <c r="AC391" s="10">
        <f t="shared" si="130"/>
        <v>1.6666666666666667</v>
      </c>
      <c r="AD391" s="10">
        <f t="shared" si="131"/>
        <v>2</v>
      </c>
    </row>
    <row r="392" spans="1:30" x14ac:dyDescent="0.3">
      <c r="A392" s="7" t="str">
        <v>Sutherland Sharks</v>
      </c>
      <c r="B392" s="12" t="str" cm="1">
        <f t="array" ref="B392">IF($A392="","",_xlfn.LET(_xlpm.p,IFERROR(INDEX(tblDados[País],MATCH($A392,TRIM(tblDados[Mandante]),0)),INDEX(tblDados[País],MATCH($A392,TRIM(tblDados[Visitante]),0))),_xlpm.l,IFERROR(INDEX(tblDados[Liga],MATCH($A392,TRIM(tblDados[Mandante]),0)),INDEX(tblDados[Liga],MATCH($A392,TRIM(tblDados[Visitante]),0))),_xlpm.p&amp;" - "&amp;_xlpm.l))</f>
        <v>AUS - NPL New South Wales</v>
      </c>
      <c r="C392" s="10">
        <f t="shared" si="132"/>
        <v>2.666666666666667</v>
      </c>
      <c r="D392" s="10">
        <f t="shared" si="133"/>
        <v>3</v>
      </c>
      <c r="E392" s="9" cm="1">
        <f t="array" ref="E392">IF($A392="","",SUMPRODUCT((TRIM(tblDados[Mandante])=$A392)*tblDados[Primeira_Ocorrencia]))</f>
        <v>6</v>
      </c>
      <c r="F392" s="9" cm="1">
        <f t="array" ref="F392">IF($A392="","",SUMPRODUCT((TRIM(tblDados[Visitante])=$A392)*tblDados[Primeira_Ocorrencia]))</f>
        <v>6</v>
      </c>
      <c r="G392" s="9" cm="1">
        <f t="array" ref="G392">IF($A392="","",SUMPRODUCT((TRIM(tblDados[Mandante])=$A392)*tblDados[Primeira_Ocorrencia])+SUMPRODUCT((TRIM(tblDados[Visitante])=$A392)*tblDados[Primeira_Ocorrencia]))</f>
        <v>12</v>
      </c>
      <c r="H392" s="10">
        <f t="shared" si="134"/>
        <v>1.8333333333333333</v>
      </c>
      <c r="I392" s="10" cm="1">
        <f t="array" ref="I392">IF($A392="","",_xlfn.LET(_xlpm.p,IFERROR(INDEX(tblDados[País],MATCH($A392,TRIM(tblDados[Mandante]),0)),INDEX(tblDados[País],MATCH($A392,TRIM(tblDados[Visitante]),0))),_xlpm.l,IFERROR(INDEX(tblDados[Liga],MATCH($A392,TRIM(tblDados[Mandante]),0)),INDEX(tblDados[Liga],MATCH($A392,TRIM(tblDados[Visitante]),0))),IFERROR(SUMIFS(Ligas!$D$2:$D$39,Ligas!$H$2:$H$39,_xlpm.p,Ligas!$I$2:$I$39,_xlpm.l),0)))</f>
        <v>3.61</v>
      </c>
      <c r="J392" s="11" cm="1">
        <f t="array" ref="J392">IF($A392="","",IFERROR((SUMPRODUCT((TRIM(tblDados[Mandante])=$A392)*tblDados[Primeira_Ocorrencia]*(tblDados[GM_M]=0))+SUMPRODUCT((TRIM(tblDados[Visitante])=$A392)*tblDados[Primeira_Ocorrencia]*(tblDados[GM_V]=0)))/G392,0))</f>
        <v>0</v>
      </c>
      <c r="K392" s="11" cm="1">
        <f t="array" ref="K392">IF($A392="","",IFERROR((SUMPRODUCT((TRIM(tblDados[Mandante])=$A392)*tblDados[Primeira_Ocorrencia]*((tblDados[GM_M]+tblDados[GS_M])&gt;0.5))+SUMPRODUCT((TRIM(tblDados[Visitante])=$A392)*tblDados[Primeira_Ocorrencia]*((tblDados[GM_V]+tblDados[GS_V])&gt;0.5)))/G392,0))</f>
        <v>1</v>
      </c>
      <c r="L392" s="11" cm="1">
        <f t="array" ref="L392">IF($A392="","",IFERROR((SUMPRODUCT((TRIM(tblDados[Mandante])=$A392)*tblDados[Primeira_Ocorrencia]*((tblDados[GM_M]+tblDados[GS_M])&gt;1.5))+SUMPRODUCT((TRIM(tblDados[Visitante])=$A392)*tblDados[Primeira_Ocorrencia]*((tblDados[GM_V]+tblDados[GS_V])&gt;1.5)))/G392,0))</f>
        <v>0.83333333333333337</v>
      </c>
      <c r="M392" s="11" cm="1">
        <f t="array" ref="M392">IF($A392="","",IFERROR((SUMPRODUCT((TRIM(tblDados[Mandante])=$A392)*tblDados[Primeira_Ocorrencia]*((tblDados[GM_M]+tblDados[GS_M])&gt;2.5))+SUMPRODUCT((TRIM(tblDados[Visitante])=$A392)*tblDados[Primeira_Ocorrencia]*((tblDados[GM_V]+tblDados[GS_V])&gt;2.5)))/G392,0))</f>
        <v>0.66666666666666663</v>
      </c>
      <c r="N392" s="11" cm="1">
        <f t="array" ref="N392">IF($A392="","",IFERROR((SUMPRODUCT((TRIM(tblDados[Mandante])=$A392)*tblDados[Primeira_Ocorrencia]*((tblDados[GM_M]+tblDados[GS_M])&gt;3.5))+SUMPRODUCT((TRIM(tblDados[Visitante])=$A392)*tblDados[Primeira_Ocorrencia]*((tblDados[GM_V]+tblDados[GS_V])&gt;3.5)))/G392,0))</f>
        <v>0.25</v>
      </c>
      <c r="O392" s="11" cm="1">
        <f t="array" ref="O392">IF($A392="","",IFERROR((SUMPRODUCT((TRIM(tblDados[Mandante])=$A392)*tblDados[Primeira_Ocorrencia]*(tblDados[GM_M]&gt;0)*(tblDados[GS_M]&gt;0))+SUMPRODUCT((TRIM(tblDados[Visitante])=$A392)*tblDados[Primeira_Ocorrencia]*(tblDados[GM_V]&gt;0)*(tblDados[GS_V]&gt;0)))/G392,0))</f>
        <v>0.75</v>
      </c>
      <c r="P392" s="10" cm="1">
        <f t="array" ref="P392">IF($A392="","",IFERROR((SUMPRODUCT((TRIM(tblDados[Mandante])=$A392)*tblDados[Primeira_Ocorrencia]*tblDados[GM_M]^2)+SUMPRODUCT((TRIM(tblDados[Visitante])=$A392)*tblDados[Primeira_Ocorrencia]*tblDados[GM_V]^2))/G392-H392^2,0))</f>
        <v>0.80555555555555625</v>
      </c>
      <c r="Q392" s="10">
        <f t="shared" si="135"/>
        <v>0.8975274678557511</v>
      </c>
      <c r="R392" s="8" t="str">
        <f t="shared" si="136"/>
        <v>Poisson</v>
      </c>
      <c r="S392" s="10" cm="1">
        <f t="array" ref="S392">IF($A392="","",SUMPRODUCT((TRIM(tblDados[Mandante])=$A392)*tblDados[Primeira_Ocorrencia]*tblDados[GM_M]))</f>
        <v>9</v>
      </c>
      <c r="T392" s="10" cm="1">
        <f t="array" ref="T392">IF($A392="","",SUMPRODUCT((TRIM(tblDados[Visitante])=$A392)*tblDados[Primeira_Ocorrencia]*tblDados[GM_V]))</f>
        <v>13</v>
      </c>
      <c r="U392" s="10">
        <f t="shared" si="137"/>
        <v>22</v>
      </c>
      <c r="V392" s="10">
        <f t="shared" si="126"/>
        <v>1.8333333333333333</v>
      </c>
      <c r="W392" s="10" cm="1">
        <f t="array" ref="W392">IF($A392="","",SUMPRODUCT((TRIM(tblDados[Mandante])=$A392)*tblDados[Primeira_Ocorrencia]*tblDados[GS_M]))</f>
        <v>7</v>
      </c>
      <c r="X392" s="10" cm="1">
        <f t="array" ref="X392">IF($A392="","",SUMPRODUCT((TRIM(tblDados[Visitante])=$A392)*tblDados[Primeira_Ocorrencia]*tblDados[GS_V]))</f>
        <v>5</v>
      </c>
      <c r="Y392" s="10">
        <f t="shared" si="138"/>
        <v>12</v>
      </c>
      <c r="Z392" s="10">
        <f t="shared" si="127"/>
        <v>1</v>
      </c>
      <c r="AA392" s="10">
        <f t="shared" si="128"/>
        <v>1.5</v>
      </c>
      <c r="AB392" s="10">
        <f t="shared" si="129"/>
        <v>1.1666666666666667</v>
      </c>
      <c r="AC392" s="10">
        <f t="shared" si="130"/>
        <v>2.1666666666666665</v>
      </c>
      <c r="AD392" s="10">
        <f t="shared" si="131"/>
        <v>0.83333333333333337</v>
      </c>
    </row>
    <row r="393" spans="1:30" x14ac:dyDescent="0.3">
      <c r="A393" s="7" t="str">
        <v>Suzhou Dongwu</v>
      </c>
      <c r="B393" s="12" t="str" cm="1">
        <f t="array" ref="B393">IF($A393="","",_xlfn.LET(_xlpm.p,IFERROR(INDEX(tblDados[País],MATCH($A393,TRIM(tblDados[Mandante]),0)),INDEX(tblDados[País],MATCH($A393,TRIM(tblDados[Visitante]),0))),_xlpm.l,IFERROR(INDEX(tblDados[Liga],MATCH($A393,TRIM(tblDados[Mandante]),0)),INDEX(tblDados[Liga],MATCH($A393,TRIM(tblDados[Visitante]),0))),_xlpm.p&amp;" - "&amp;_xlpm.l))</f>
        <v>CHN - League One</v>
      </c>
      <c r="C393" s="10">
        <f t="shared" si="132"/>
        <v>2.5714285714285712</v>
      </c>
      <c r="D393" s="10">
        <f t="shared" si="133"/>
        <v>1.7999999999999998</v>
      </c>
      <c r="E393" s="9" cm="1">
        <f t="array" ref="E393">IF($A393="","",SUMPRODUCT((TRIM(tblDados[Mandante])=$A393)*tblDados[Primeira_Ocorrencia]))</f>
        <v>7</v>
      </c>
      <c r="F393" s="9" cm="1">
        <f t="array" ref="F393">IF($A393="","",SUMPRODUCT((TRIM(tblDados[Visitante])=$A393)*tblDados[Primeira_Ocorrencia]))</f>
        <v>5</v>
      </c>
      <c r="G393" s="9" cm="1">
        <f t="array" ref="G393">IF($A393="","",SUMPRODUCT((TRIM(tblDados[Mandante])=$A393)*tblDados[Primeira_Ocorrencia])+SUMPRODUCT((TRIM(tblDados[Visitante])=$A393)*tblDados[Primeira_Ocorrencia]))</f>
        <v>12</v>
      </c>
      <c r="H393" s="10">
        <f t="shared" si="134"/>
        <v>0.83333333333333337</v>
      </c>
      <c r="I393" s="10" cm="1">
        <f t="array" ref="I393">IF($A393="","",_xlfn.LET(_xlpm.p,IFERROR(INDEX(tblDados[País],MATCH($A393,TRIM(tblDados[Mandante]),0)),INDEX(tblDados[País],MATCH($A393,TRIM(tblDados[Visitante]),0))),_xlpm.l,IFERROR(INDEX(tblDados[Liga],MATCH($A393,TRIM(tblDados[Mandante]),0)),INDEX(tblDados[Liga],MATCH($A393,TRIM(tblDados[Visitante]),0))),IFERROR(SUMIFS(Ligas!$D$2:$D$39,Ligas!$H$2:$H$39,_xlpm.p,Ligas!$I$2:$I$39,_xlpm.l),0)))</f>
        <v>2.5</v>
      </c>
      <c r="J393" s="11" cm="1">
        <f t="array" ref="J393">IF($A393="","",IFERROR((SUMPRODUCT((TRIM(tblDados[Mandante])=$A393)*tblDados[Primeira_Ocorrencia]*(tblDados[GM_M]=0))+SUMPRODUCT((TRIM(tblDados[Visitante])=$A393)*tblDados[Primeira_Ocorrencia]*(tblDados[GM_V]=0)))/G393,0))</f>
        <v>0.33333333333333331</v>
      </c>
      <c r="K393" s="11" cm="1">
        <f t="array" ref="K393">IF($A393="","",IFERROR((SUMPRODUCT((TRIM(tblDados[Mandante])=$A393)*tblDados[Primeira_Ocorrencia]*((tblDados[GM_M]+tblDados[GS_M])&gt;0.5))+SUMPRODUCT((TRIM(tblDados[Visitante])=$A393)*tblDados[Primeira_Ocorrencia]*((tblDados[GM_V]+tblDados[GS_V])&gt;0.5)))/G393,0))</f>
        <v>0.83333333333333337</v>
      </c>
      <c r="L393" s="11" cm="1">
        <f t="array" ref="L393">IF($A393="","",IFERROR((SUMPRODUCT((TRIM(tblDados[Mandante])=$A393)*tblDados[Primeira_Ocorrencia]*((tblDados[GM_M]+tblDados[GS_M])&gt;1.5))+SUMPRODUCT((TRIM(tblDados[Visitante])=$A393)*tblDados[Primeira_Ocorrencia]*((tblDados[GM_V]+tblDados[GS_V])&gt;1.5)))/G393,0))</f>
        <v>0.66666666666666663</v>
      </c>
      <c r="M393" s="11" cm="1">
        <f t="array" ref="M393">IF($A393="","",IFERROR((SUMPRODUCT((TRIM(tblDados[Mandante])=$A393)*tblDados[Primeira_Ocorrencia]*((tblDados[GM_M]+tblDados[GS_M])&gt;2.5))+SUMPRODUCT((TRIM(tblDados[Visitante])=$A393)*tblDados[Primeira_Ocorrencia]*((tblDados[GM_V]+tblDados[GS_V])&gt;2.5)))/G393,0))</f>
        <v>0.5</v>
      </c>
      <c r="N393" s="11" cm="1">
        <f t="array" ref="N393">IF($A393="","",IFERROR((SUMPRODUCT((TRIM(tblDados[Mandante])=$A393)*tblDados[Primeira_Ocorrencia]*((tblDados[GM_M]+tblDados[GS_M])&gt;3.5))+SUMPRODUCT((TRIM(tblDados[Visitante])=$A393)*tblDados[Primeira_Ocorrencia]*((tblDados[GM_V]+tblDados[GS_V])&gt;3.5)))/G393,0))</f>
        <v>0.25</v>
      </c>
      <c r="O393" s="11" cm="1">
        <f t="array" ref="O393">IF($A393="","",IFERROR((SUMPRODUCT((TRIM(tblDados[Mandante])=$A393)*tblDados[Primeira_Ocorrencia]*(tblDados[GM_M]&gt;0)*(tblDados[GS_M]&gt;0))+SUMPRODUCT((TRIM(tblDados[Visitante])=$A393)*tblDados[Primeira_Ocorrencia]*(tblDados[GM_V]&gt;0)*(tblDados[GS_V]&gt;0)))/G393,0))</f>
        <v>0.58333333333333337</v>
      </c>
      <c r="P393" s="10" cm="1">
        <f t="array" ref="P393">IF($A393="","",IFERROR((SUMPRODUCT((TRIM(tblDados[Mandante])=$A393)*tblDados[Primeira_Ocorrencia]*tblDados[GM_M]^2)+SUMPRODUCT((TRIM(tblDados[Visitante])=$A393)*tblDados[Primeira_Ocorrencia]*tblDados[GM_V]^2))/G393-H393^2,0))</f>
        <v>0.47222222222222221</v>
      </c>
      <c r="Q393" s="10">
        <f t="shared" si="135"/>
        <v>0.68718427093627676</v>
      </c>
      <c r="R393" s="8" t="str">
        <f t="shared" si="136"/>
        <v>Poisson</v>
      </c>
      <c r="S393" s="10" cm="1">
        <f t="array" ref="S393">IF($A393="","",SUMPRODUCT((TRIM(tblDados[Mandante])=$A393)*tblDados[Primeira_Ocorrencia]*tblDados[GM_M]))</f>
        <v>7</v>
      </c>
      <c r="T393" s="10" cm="1">
        <f t="array" ref="T393">IF($A393="","",SUMPRODUCT((TRIM(tblDados[Visitante])=$A393)*tblDados[Primeira_Ocorrencia]*tblDados[GM_V]))</f>
        <v>3</v>
      </c>
      <c r="U393" s="10">
        <f t="shared" si="137"/>
        <v>10</v>
      </c>
      <c r="V393" s="10">
        <f t="shared" si="126"/>
        <v>0.83333333333333337</v>
      </c>
      <c r="W393" s="10" cm="1">
        <f t="array" ref="W393">IF($A393="","",SUMPRODUCT((TRIM(tblDados[Mandante])=$A393)*tblDados[Primeira_Ocorrencia]*tblDados[GS_M]))</f>
        <v>11</v>
      </c>
      <c r="X393" s="10" cm="1">
        <f t="array" ref="X393">IF($A393="","",SUMPRODUCT((TRIM(tblDados[Visitante])=$A393)*tblDados[Primeira_Ocorrencia]*tblDados[GS_V]))</f>
        <v>6</v>
      </c>
      <c r="Y393" s="10">
        <f t="shared" si="138"/>
        <v>17</v>
      </c>
      <c r="Z393" s="10">
        <f t="shared" si="127"/>
        <v>1.4166666666666667</v>
      </c>
      <c r="AA393" s="10">
        <f t="shared" si="128"/>
        <v>1</v>
      </c>
      <c r="AB393" s="10">
        <f t="shared" si="129"/>
        <v>1.5714285714285714</v>
      </c>
      <c r="AC393" s="10">
        <f t="shared" si="130"/>
        <v>0.6</v>
      </c>
      <c r="AD393" s="10">
        <f t="shared" si="131"/>
        <v>1.2</v>
      </c>
    </row>
    <row r="394" spans="1:30" x14ac:dyDescent="0.3">
      <c r="A394" s="7" t="str">
        <v>Sydney FC NPL</v>
      </c>
      <c r="B394" s="12" t="str" cm="1">
        <f t="array" ref="B394">IF($A394="","",_xlfn.LET(_xlpm.p,IFERROR(INDEX(tblDados[País],MATCH($A394,TRIM(tblDados[Mandante]),0)),INDEX(tblDados[País],MATCH($A394,TRIM(tblDados[Visitante]),0))),_xlpm.l,IFERROR(INDEX(tblDados[Liga],MATCH($A394,TRIM(tblDados[Mandante]),0)),INDEX(tblDados[Liga],MATCH($A394,TRIM(tblDados[Visitante]),0))),_xlpm.p&amp;" - "&amp;_xlpm.l))</f>
        <v>AUS - NPL New South Wales</v>
      </c>
      <c r="C394" s="10">
        <f t="shared" si="132"/>
        <v>2</v>
      </c>
      <c r="D394" s="10">
        <f t="shared" si="133"/>
        <v>2.75</v>
      </c>
      <c r="E394" s="9" cm="1">
        <f t="array" ref="E394">IF($A394="","",SUMPRODUCT((TRIM(tblDados[Mandante])=$A394)*tblDados[Primeira_Ocorrencia]))</f>
        <v>4</v>
      </c>
      <c r="F394" s="9" cm="1">
        <f t="array" ref="F394">IF($A394="","",SUMPRODUCT((TRIM(tblDados[Visitante])=$A394)*tblDados[Primeira_Ocorrencia]))</f>
        <v>8</v>
      </c>
      <c r="G394" s="9" cm="1">
        <f t="array" ref="G394">IF($A394="","",SUMPRODUCT((TRIM(tblDados[Mandante])=$A394)*tblDados[Primeira_Ocorrencia])+SUMPRODUCT((TRIM(tblDados[Visitante])=$A394)*tblDados[Primeira_Ocorrencia]))</f>
        <v>12</v>
      </c>
      <c r="H394" s="10">
        <f t="shared" si="134"/>
        <v>1</v>
      </c>
      <c r="I394" s="10" cm="1">
        <f t="array" ref="I394">IF($A394="","",_xlfn.LET(_xlpm.p,IFERROR(INDEX(tblDados[País],MATCH($A394,TRIM(tblDados[Mandante]),0)),INDEX(tblDados[País],MATCH($A394,TRIM(tblDados[Visitante]),0))),_xlpm.l,IFERROR(INDEX(tblDados[Liga],MATCH($A394,TRIM(tblDados[Mandante]),0)),INDEX(tblDados[Liga],MATCH($A394,TRIM(tblDados[Visitante]),0))),IFERROR(SUMIFS(Ligas!$D$2:$D$39,Ligas!$H$2:$H$39,_xlpm.p,Ligas!$I$2:$I$39,_xlpm.l),0)))</f>
        <v>3.61</v>
      </c>
      <c r="J394" s="11" cm="1">
        <f t="array" ref="J394">IF($A394="","",IFERROR((SUMPRODUCT((TRIM(tblDados[Mandante])=$A394)*tblDados[Primeira_Ocorrencia]*(tblDados[GM_M]=0))+SUMPRODUCT((TRIM(tblDados[Visitante])=$A394)*tblDados[Primeira_Ocorrencia]*(tblDados[GM_V]=0)))/G394,0))</f>
        <v>0.33333333333333331</v>
      </c>
      <c r="K394" s="11" cm="1">
        <f t="array" ref="K394">IF($A394="","",IFERROR((SUMPRODUCT((TRIM(tblDados[Mandante])=$A394)*tblDados[Primeira_Ocorrencia]*((tblDados[GM_M]+tblDados[GS_M])&gt;0.5))+SUMPRODUCT((TRIM(tblDados[Visitante])=$A394)*tblDados[Primeira_Ocorrencia]*((tblDados[GM_V]+tblDados[GS_V])&gt;0.5)))/G394,0))</f>
        <v>0.75</v>
      </c>
      <c r="L394" s="11" cm="1">
        <f t="array" ref="L394">IF($A394="","",IFERROR((SUMPRODUCT((TRIM(tblDados[Mandante])=$A394)*tblDados[Primeira_Ocorrencia]*((tblDados[GM_M]+tblDados[GS_M])&gt;1.5))+SUMPRODUCT((TRIM(tblDados[Visitante])=$A394)*tblDados[Primeira_Ocorrencia]*((tblDados[GM_V]+tblDados[GS_V])&gt;1.5)))/G394,0))</f>
        <v>0.5</v>
      </c>
      <c r="M394" s="11" cm="1">
        <f t="array" ref="M394">IF($A394="","",IFERROR((SUMPRODUCT((TRIM(tblDados[Mandante])=$A394)*tblDados[Primeira_Ocorrencia]*((tblDados[GM_M]+tblDados[GS_M])&gt;2.5))+SUMPRODUCT((TRIM(tblDados[Visitante])=$A394)*tblDados[Primeira_Ocorrencia]*((tblDados[GM_V]+tblDados[GS_V])&gt;2.5)))/G394,0))</f>
        <v>0.41666666666666669</v>
      </c>
      <c r="N394" s="11" cm="1">
        <f t="array" ref="N394">IF($A394="","",IFERROR((SUMPRODUCT((TRIM(tblDados[Mandante])=$A394)*tblDados[Primeira_Ocorrencia]*((tblDados[GM_M]+tblDados[GS_M])&gt;3.5))+SUMPRODUCT((TRIM(tblDados[Visitante])=$A394)*tblDados[Primeira_Ocorrencia]*((tblDados[GM_V]+tblDados[GS_V])&gt;3.5)))/G394,0))</f>
        <v>0.33333333333333331</v>
      </c>
      <c r="O394" s="11" cm="1">
        <f t="array" ref="O394">IF($A394="","",IFERROR((SUMPRODUCT((TRIM(tblDados[Mandante])=$A394)*tblDados[Primeira_Ocorrencia]*(tblDados[GM_M]&gt;0)*(tblDados[GS_M]&gt;0))+SUMPRODUCT((TRIM(tblDados[Visitante])=$A394)*tblDados[Primeira_Ocorrencia]*(tblDados[GM_V]&gt;0)*(tblDados[GS_V]&gt;0)))/G394,0))</f>
        <v>0.41666666666666669</v>
      </c>
      <c r="P394" s="10" cm="1">
        <f t="array" ref="P394">IF($A394="","",IFERROR((SUMPRODUCT((TRIM(tblDados[Mandante])=$A394)*tblDados[Primeira_Ocorrencia]*tblDados[GM_M]^2)+SUMPRODUCT((TRIM(tblDados[Visitante])=$A394)*tblDados[Primeira_Ocorrencia]*tblDados[GM_V]^2))/G394-H394^2,0))</f>
        <v>0.83333333333333326</v>
      </c>
      <c r="Q394" s="10">
        <f t="shared" si="135"/>
        <v>0.91287092917527679</v>
      </c>
      <c r="R394" s="8" t="str">
        <f t="shared" si="136"/>
        <v>Poisson</v>
      </c>
      <c r="S394" s="10" cm="1">
        <f t="array" ref="S394">IF($A394="","",SUMPRODUCT((TRIM(tblDados[Mandante])=$A394)*tblDados[Primeira_Ocorrencia]*tblDados[GM_M]))</f>
        <v>2</v>
      </c>
      <c r="T394" s="10" cm="1">
        <f t="array" ref="T394">IF($A394="","",SUMPRODUCT((TRIM(tblDados[Visitante])=$A394)*tblDados[Primeira_Ocorrencia]*tblDados[GM_V]))</f>
        <v>10</v>
      </c>
      <c r="U394" s="10">
        <f t="shared" si="137"/>
        <v>12</v>
      </c>
      <c r="V394" s="10">
        <f t="shared" si="126"/>
        <v>1</v>
      </c>
      <c r="W394" s="10" cm="1">
        <f t="array" ref="W394">IF($A394="","",SUMPRODUCT((TRIM(tblDados[Mandante])=$A394)*tblDados[Primeira_Ocorrencia]*tblDados[GS_M]))</f>
        <v>6</v>
      </c>
      <c r="X394" s="10" cm="1">
        <f t="array" ref="X394">IF($A394="","",SUMPRODUCT((TRIM(tblDados[Visitante])=$A394)*tblDados[Primeira_Ocorrencia]*tblDados[GS_V]))</f>
        <v>12</v>
      </c>
      <c r="Y394" s="10">
        <f t="shared" si="138"/>
        <v>18</v>
      </c>
      <c r="Z394" s="10">
        <f t="shared" si="127"/>
        <v>1.5</v>
      </c>
      <c r="AA394" s="10">
        <f t="shared" si="128"/>
        <v>0.5</v>
      </c>
      <c r="AB394" s="10">
        <f t="shared" si="129"/>
        <v>1.5</v>
      </c>
      <c r="AC394" s="10">
        <f t="shared" si="130"/>
        <v>1.25</v>
      </c>
      <c r="AD394" s="10">
        <f t="shared" si="131"/>
        <v>1.5</v>
      </c>
    </row>
    <row r="395" spans="1:30" x14ac:dyDescent="0.3">
      <c r="A395" s="7" t="str">
        <v>Sydney Olympic</v>
      </c>
      <c r="B395" s="12" t="str" cm="1">
        <f t="array" ref="B395">IF($A395="","",_xlfn.LET(_xlpm.p,IFERROR(INDEX(tblDados[País],MATCH($A395,TRIM(tblDados[Mandante]),0)),INDEX(tblDados[País],MATCH($A395,TRIM(tblDados[Visitante]),0))),_xlpm.l,IFERROR(INDEX(tblDados[Liga],MATCH($A395,TRIM(tblDados[Mandante]),0)),INDEX(tblDados[Liga],MATCH($A395,TRIM(tblDados[Visitante]),0))),_xlpm.p&amp;" - "&amp;_xlpm.l))</f>
        <v>AUS - NPL New South Wales</v>
      </c>
      <c r="C395" s="10">
        <f t="shared" si="132"/>
        <v>3.75</v>
      </c>
      <c r="D395" s="10">
        <f t="shared" si="133"/>
        <v>2.875</v>
      </c>
      <c r="E395" s="9" cm="1">
        <f t="array" ref="E395">IF($A395="","",SUMPRODUCT((TRIM(tblDados[Mandante])=$A395)*tblDados[Primeira_Ocorrencia]))</f>
        <v>4</v>
      </c>
      <c r="F395" s="9" cm="1">
        <f t="array" ref="F395">IF($A395="","",SUMPRODUCT((TRIM(tblDados[Visitante])=$A395)*tblDados[Primeira_Ocorrencia]))</f>
        <v>8</v>
      </c>
      <c r="G395" s="9" cm="1">
        <f t="array" ref="G395">IF($A395="","",SUMPRODUCT((TRIM(tblDados[Mandante])=$A395)*tblDados[Primeira_Ocorrencia])+SUMPRODUCT((TRIM(tblDados[Visitante])=$A395)*tblDados[Primeira_Ocorrencia]))</f>
        <v>12</v>
      </c>
      <c r="H395" s="10">
        <f t="shared" si="134"/>
        <v>1.25</v>
      </c>
      <c r="I395" s="10" cm="1">
        <f t="array" ref="I395">IF($A395="","",_xlfn.LET(_xlpm.p,IFERROR(INDEX(tblDados[País],MATCH($A395,TRIM(tblDados[Mandante]),0)),INDEX(tblDados[País],MATCH($A395,TRIM(tblDados[Visitante]),0))),_xlpm.l,IFERROR(INDEX(tblDados[Liga],MATCH($A395,TRIM(tblDados[Mandante]),0)),INDEX(tblDados[Liga],MATCH($A395,TRIM(tblDados[Visitante]),0))),IFERROR(SUMIFS(Ligas!$D$2:$D$39,Ligas!$H$2:$H$39,_xlpm.p,Ligas!$I$2:$I$39,_xlpm.l),0)))</f>
        <v>3.61</v>
      </c>
      <c r="J395" s="11" cm="1">
        <f t="array" ref="J395">IF($A395="","",IFERROR((SUMPRODUCT((TRIM(tblDados[Mandante])=$A395)*tblDados[Primeira_Ocorrencia]*(tblDados[GM_M]=0))+SUMPRODUCT((TRIM(tblDados[Visitante])=$A395)*tblDados[Primeira_Ocorrencia]*(tblDados[GM_V]=0)))/G395,0))</f>
        <v>0.25</v>
      </c>
      <c r="K395" s="11" cm="1">
        <f t="array" ref="K395">IF($A395="","",IFERROR((SUMPRODUCT((TRIM(tblDados[Mandante])=$A395)*tblDados[Primeira_Ocorrencia]*((tblDados[GM_M]+tblDados[GS_M])&gt;0.5))+SUMPRODUCT((TRIM(tblDados[Visitante])=$A395)*tblDados[Primeira_Ocorrencia]*((tblDados[GM_V]+tblDados[GS_V])&gt;0.5)))/G395,0))</f>
        <v>1</v>
      </c>
      <c r="L395" s="11" cm="1">
        <f t="array" ref="L395">IF($A395="","",IFERROR((SUMPRODUCT((TRIM(tblDados[Mandante])=$A395)*tblDados[Primeira_Ocorrencia]*((tblDados[GM_M]+tblDados[GS_M])&gt;1.5))+SUMPRODUCT((TRIM(tblDados[Visitante])=$A395)*tblDados[Primeira_Ocorrencia]*((tblDados[GM_V]+tblDados[GS_V])&gt;1.5)))/G395,0))</f>
        <v>1</v>
      </c>
      <c r="M395" s="11" cm="1">
        <f t="array" ref="M395">IF($A395="","",IFERROR((SUMPRODUCT((TRIM(tblDados[Mandante])=$A395)*tblDados[Primeira_Ocorrencia]*((tblDados[GM_M]+tblDados[GS_M])&gt;2.5))+SUMPRODUCT((TRIM(tblDados[Visitante])=$A395)*tblDados[Primeira_Ocorrencia]*((tblDados[GM_V]+tblDados[GS_V])&gt;2.5)))/G395,0))</f>
        <v>0.66666666666666663</v>
      </c>
      <c r="N395" s="11" cm="1">
        <f t="array" ref="N395">IF($A395="","",IFERROR((SUMPRODUCT((TRIM(tblDados[Mandante])=$A395)*tblDados[Primeira_Ocorrencia]*((tblDados[GM_M]+tblDados[GS_M])&gt;3.5))+SUMPRODUCT((TRIM(tblDados[Visitante])=$A395)*tblDados[Primeira_Ocorrencia]*((tblDados[GM_V]+tblDados[GS_V])&gt;3.5)))/G395,0))</f>
        <v>0.41666666666666669</v>
      </c>
      <c r="O395" s="11" cm="1">
        <f t="array" ref="O395">IF($A395="","",IFERROR((SUMPRODUCT((TRIM(tblDados[Mandante])=$A395)*tblDados[Primeira_Ocorrencia]*(tblDados[GM_M]&gt;0)*(tblDados[GS_M]&gt;0))+SUMPRODUCT((TRIM(tblDados[Visitante])=$A395)*tblDados[Primeira_Ocorrencia]*(tblDados[GM_V]&gt;0)*(tblDados[GS_V]&gt;0)))/G395,0))</f>
        <v>0.66666666666666663</v>
      </c>
      <c r="P395" s="10" cm="1">
        <f t="array" ref="P395">IF($A395="","",IFERROR((SUMPRODUCT((TRIM(tblDados[Mandante])=$A395)*tblDados[Primeira_Ocorrencia]*tblDados[GM_M]^2)+SUMPRODUCT((TRIM(tblDados[Visitante])=$A395)*tblDados[Primeira_Ocorrencia]*tblDados[GM_V]^2))/G395-H395^2,0))</f>
        <v>1.0208333333333335</v>
      </c>
      <c r="Q395" s="10">
        <f t="shared" si="135"/>
        <v>1.0103629710818451</v>
      </c>
      <c r="R395" s="8" t="str">
        <f t="shared" si="136"/>
        <v>Poisson</v>
      </c>
      <c r="S395" s="10" cm="1">
        <f t="array" ref="S395">IF($A395="","",SUMPRODUCT((TRIM(tblDados[Mandante])=$A395)*tblDados[Primeira_Ocorrencia]*tblDados[GM_M]))</f>
        <v>5</v>
      </c>
      <c r="T395" s="10" cm="1">
        <f t="array" ref="T395">IF($A395="","",SUMPRODUCT((TRIM(tblDados[Visitante])=$A395)*tblDados[Primeira_Ocorrencia]*tblDados[GM_V]))</f>
        <v>10</v>
      </c>
      <c r="U395" s="10">
        <f t="shared" si="137"/>
        <v>15</v>
      </c>
      <c r="V395" s="10">
        <f t="shared" si="126"/>
        <v>1.25</v>
      </c>
      <c r="W395" s="10" cm="1">
        <f t="array" ref="W395">IF($A395="","",SUMPRODUCT((TRIM(tblDados[Mandante])=$A395)*tblDados[Primeira_Ocorrencia]*tblDados[GS_M]))</f>
        <v>10</v>
      </c>
      <c r="X395" s="10" cm="1">
        <f t="array" ref="X395">IF($A395="","",SUMPRODUCT((TRIM(tblDados[Visitante])=$A395)*tblDados[Primeira_Ocorrencia]*tblDados[GS_V]))</f>
        <v>13</v>
      </c>
      <c r="Y395" s="10">
        <f t="shared" si="138"/>
        <v>23</v>
      </c>
      <c r="Z395" s="10">
        <f t="shared" si="127"/>
        <v>1.9166666666666667</v>
      </c>
      <c r="AA395" s="10">
        <f t="shared" si="128"/>
        <v>1.25</v>
      </c>
      <c r="AB395" s="10">
        <f t="shared" si="129"/>
        <v>2.5</v>
      </c>
      <c r="AC395" s="10">
        <f t="shared" si="130"/>
        <v>1.25</v>
      </c>
      <c r="AD395" s="10">
        <f t="shared" si="131"/>
        <v>1.625</v>
      </c>
    </row>
    <row r="396" spans="1:30" x14ac:dyDescent="0.3">
      <c r="A396" s="7" t="str">
        <v>Sydney United</v>
      </c>
      <c r="B396" s="12" t="str" cm="1">
        <f t="array" ref="B396">IF($A396="","",_xlfn.LET(_xlpm.p,IFERROR(INDEX(tblDados[País],MATCH($A396,TRIM(tblDados[Mandante]),0)),INDEX(tblDados[País],MATCH($A396,TRIM(tblDados[Visitante]),0))),_xlpm.l,IFERROR(INDEX(tblDados[Liga],MATCH($A396,TRIM(tblDados[Mandante]),0)),INDEX(tblDados[Liga],MATCH($A396,TRIM(tblDados[Visitante]),0))),_xlpm.p&amp;" - "&amp;_xlpm.l))</f>
        <v>AUS - NPL New South Wales</v>
      </c>
      <c r="C396" s="10">
        <f t="shared" si="132"/>
        <v>1.25</v>
      </c>
      <c r="D396" s="10">
        <f t="shared" si="133"/>
        <v>1.625</v>
      </c>
      <c r="E396" s="9" cm="1">
        <f t="array" ref="E396">IF($A396="","",SUMPRODUCT((TRIM(tblDados[Mandante])=$A396)*tblDados[Primeira_Ocorrencia]))</f>
        <v>4</v>
      </c>
      <c r="F396" s="9" cm="1">
        <f t="array" ref="F396">IF($A396="","",SUMPRODUCT((TRIM(tblDados[Visitante])=$A396)*tblDados[Primeira_Ocorrencia]))</f>
        <v>8</v>
      </c>
      <c r="G396" s="9" cm="1">
        <f t="array" ref="G396">IF($A396="","",SUMPRODUCT((TRIM(tblDados[Mandante])=$A396)*tblDados[Primeira_Ocorrencia])+SUMPRODUCT((TRIM(tblDados[Visitante])=$A396)*tblDados[Primeira_Ocorrencia]))</f>
        <v>12</v>
      </c>
      <c r="H396" s="10">
        <f t="shared" si="134"/>
        <v>0.91666666666666663</v>
      </c>
      <c r="I396" s="10" cm="1">
        <f t="array" ref="I396">IF($A396="","",_xlfn.LET(_xlpm.p,IFERROR(INDEX(tblDados[País],MATCH($A396,TRIM(tblDados[Mandante]),0)),INDEX(tblDados[País],MATCH($A396,TRIM(tblDados[Visitante]),0))),_xlpm.l,IFERROR(INDEX(tblDados[Liga],MATCH($A396,TRIM(tblDados[Mandante]),0)),INDEX(tblDados[Liga],MATCH($A396,TRIM(tblDados[Visitante]),0))),IFERROR(SUMIFS(Ligas!$D$2:$D$39,Ligas!$H$2:$H$39,_xlpm.p,Ligas!$I$2:$I$39,_xlpm.l),0)))</f>
        <v>3.61</v>
      </c>
      <c r="J396" s="11" cm="1">
        <f t="array" ref="J396">IF($A396="","",IFERROR((SUMPRODUCT((TRIM(tblDados[Mandante])=$A396)*tblDados[Primeira_Ocorrencia]*(tblDados[GM_M]=0))+SUMPRODUCT((TRIM(tblDados[Visitante])=$A396)*tblDados[Primeira_Ocorrencia]*(tblDados[GM_V]=0)))/G396,0))</f>
        <v>0.41666666666666669</v>
      </c>
      <c r="K396" s="11" cm="1">
        <f t="array" ref="K396">IF($A396="","",IFERROR((SUMPRODUCT((TRIM(tblDados[Mandante])=$A396)*tblDados[Primeira_Ocorrencia]*((tblDados[GM_M]+tblDados[GS_M])&gt;0.5))+SUMPRODUCT((TRIM(tblDados[Visitante])=$A396)*tblDados[Primeira_Ocorrencia]*((tblDados[GM_V]+tblDados[GS_V])&gt;0.5)))/G396,0))</f>
        <v>0.91666666666666663</v>
      </c>
      <c r="L396" s="11" cm="1">
        <f t="array" ref="L396">IF($A396="","",IFERROR((SUMPRODUCT((TRIM(tblDados[Mandante])=$A396)*tblDados[Primeira_Ocorrencia]*((tblDados[GM_M]+tblDados[GS_M])&gt;1.5))+SUMPRODUCT((TRIM(tblDados[Visitante])=$A396)*tblDados[Primeira_Ocorrencia]*((tblDados[GM_V]+tblDados[GS_V])&gt;1.5)))/G396,0))</f>
        <v>0.41666666666666669</v>
      </c>
      <c r="M396" s="11" cm="1">
        <f t="array" ref="M396">IF($A396="","",IFERROR((SUMPRODUCT((TRIM(tblDados[Mandante])=$A396)*tblDados[Primeira_Ocorrencia]*((tblDados[GM_M]+tblDados[GS_M])&gt;2.5))+SUMPRODUCT((TRIM(tblDados[Visitante])=$A396)*tblDados[Primeira_Ocorrencia]*((tblDados[GM_V]+tblDados[GS_V])&gt;2.5)))/G396,0))</f>
        <v>8.3333333333333329E-2</v>
      </c>
      <c r="N396" s="11" cm="1">
        <f t="array" ref="N396">IF($A396="","",IFERROR((SUMPRODUCT((TRIM(tblDados[Mandante])=$A396)*tblDados[Primeira_Ocorrencia]*((tblDados[GM_M]+tblDados[GS_M])&gt;3.5))+SUMPRODUCT((TRIM(tblDados[Visitante])=$A396)*tblDados[Primeira_Ocorrencia]*((tblDados[GM_V]+tblDados[GS_V])&gt;3.5)))/G396,0))</f>
        <v>8.3333333333333329E-2</v>
      </c>
      <c r="O396" s="11" cm="1">
        <f t="array" ref="O396">IF($A396="","",IFERROR((SUMPRODUCT((TRIM(tblDados[Mandante])=$A396)*tblDados[Primeira_Ocorrencia]*(tblDados[GM_M]&gt;0)*(tblDados[GS_M]&gt;0))+SUMPRODUCT((TRIM(tblDados[Visitante])=$A396)*tblDados[Primeira_Ocorrencia]*(tblDados[GM_V]&gt;0)*(tblDados[GS_V]&gt;0)))/G396,0))</f>
        <v>0.16666666666666666</v>
      </c>
      <c r="P396" s="10" cm="1">
        <f t="array" ref="P396">IF($A396="","",IFERROR((SUMPRODUCT((TRIM(tblDados[Mandante])=$A396)*tblDados[Primeira_Ocorrencia]*tblDados[GM_M]^2)+SUMPRODUCT((TRIM(tblDados[Visitante])=$A396)*tblDados[Primeira_Ocorrencia]*tblDados[GM_V]^2))/G396-H396^2,0))</f>
        <v>0.90972222222222232</v>
      </c>
      <c r="Q396" s="10">
        <f t="shared" si="135"/>
        <v>0.95379359518829976</v>
      </c>
      <c r="R396" s="8" t="str">
        <f t="shared" si="136"/>
        <v>Poisson</v>
      </c>
      <c r="S396" s="10" cm="1">
        <f t="array" ref="S396">IF($A396="","",SUMPRODUCT((TRIM(tblDados[Mandante])=$A396)*tblDados[Primeira_Ocorrencia]*tblDados[GM_M]))</f>
        <v>4</v>
      </c>
      <c r="T396" s="10" cm="1">
        <f t="array" ref="T396">IF($A396="","",SUMPRODUCT((TRIM(tblDados[Visitante])=$A396)*tblDados[Primeira_Ocorrencia]*tblDados[GM_V]))</f>
        <v>7</v>
      </c>
      <c r="U396" s="10">
        <f t="shared" si="137"/>
        <v>11</v>
      </c>
      <c r="V396" s="10">
        <f t="shared" si="126"/>
        <v>0.91666666666666663</v>
      </c>
      <c r="W396" s="10" cm="1">
        <f t="array" ref="W396">IF($A396="","",SUMPRODUCT((TRIM(tblDados[Mandante])=$A396)*tblDados[Primeira_Ocorrencia]*tblDados[GS_M]))</f>
        <v>1</v>
      </c>
      <c r="X396" s="10" cm="1">
        <f t="array" ref="X396">IF($A396="","",SUMPRODUCT((TRIM(tblDados[Visitante])=$A396)*tblDados[Primeira_Ocorrencia]*tblDados[GS_V]))</f>
        <v>6</v>
      </c>
      <c r="Y396" s="10">
        <f t="shared" si="138"/>
        <v>7</v>
      </c>
      <c r="Z396" s="10">
        <f t="shared" si="127"/>
        <v>0.58333333333333337</v>
      </c>
      <c r="AA396" s="10">
        <f t="shared" si="128"/>
        <v>1</v>
      </c>
      <c r="AB396" s="10">
        <f t="shared" si="129"/>
        <v>0.25</v>
      </c>
      <c r="AC396" s="10">
        <f t="shared" si="130"/>
        <v>0.875</v>
      </c>
      <c r="AD396" s="10">
        <f t="shared" si="131"/>
        <v>0.75</v>
      </c>
    </row>
    <row r="397" spans="1:30" x14ac:dyDescent="0.3">
      <c r="A397" s="7" t="str">
        <v>Tampere Utd</v>
      </c>
      <c r="B397" s="12" t="str" cm="1">
        <f t="array" ref="B397">IF($A397="","",_xlfn.LET(_xlpm.p,IFERROR(INDEX(tblDados[País],MATCH($A397,TRIM(tblDados[Mandante]),0)),INDEX(tblDados[País],MATCH($A397,TRIM(tblDados[Visitante]),0))),_xlpm.l,IFERROR(INDEX(tblDados[Liga],MATCH($A397,TRIM(tblDados[Mandante]),0)),INDEX(tblDados[Liga],MATCH($A397,TRIM(tblDados[Visitante]),0))),_xlpm.p&amp;" - "&amp;_xlpm.l))</f>
        <v>FIN - Ykkönen</v>
      </c>
      <c r="C397" s="10">
        <f t="shared" si="132"/>
        <v>3</v>
      </c>
      <c r="D397" s="10">
        <f t="shared" si="133"/>
        <v>3</v>
      </c>
      <c r="E397" s="9" cm="1">
        <f t="array" ref="E397">IF($A397="","",SUMPRODUCT((TRIM(tblDados[Mandante])=$A397)*tblDados[Primeira_Ocorrencia]))</f>
        <v>5</v>
      </c>
      <c r="F397" s="9" cm="1">
        <f t="array" ref="F397">IF($A397="","",SUMPRODUCT((TRIM(tblDados[Visitante])=$A397)*tblDados[Primeira_Ocorrencia]))</f>
        <v>7</v>
      </c>
      <c r="G397" s="9" cm="1">
        <f t="array" ref="G397">IF($A397="","",SUMPRODUCT((TRIM(tblDados[Mandante])=$A397)*tblDados[Primeira_Ocorrencia])+SUMPRODUCT((TRIM(tblDados[Visitante])=$A397)*tblDados[Primeira_Ocorrencia]))</f>
        <v>12</v>
      </c>
      <c r="H397" s="10">
        <f t="shared" si="134"/>
        <v>2.25</v>
      </c>
      <c r="I397" s="10" cm="1">
        <f t="array" ref="I397">IF($A397="","",_xlfn.LET(_xlpm.p,IFERROR(INDEX(tblDados[País],MATCH($A397,TRIM(tblDados[Mandante]),0)),INDEX(tblDados[País],MATCH($A397,TRIM(tblDados[Visitante]),0))),_xlpm.l,IFERROR(INDEX(tblDados[Liga],MATCH($A397,TRIM(tblDados[Mandante]),0)),INDEX(tblDados[Liga],MATCH($A397,TRIM(tblDados[Visitante]),0))),IFERROR(SUMIFS(Ligas!$D$2:$D$39,Ligas!$H$2:$H$39,_xlpm.p,Ligas!$I$2:$I$39,_xlpm.l),0)))</f>
        <v>3.57</v>
      </c>
      <c r="J397" s="11" cm="1">
        <f t="array" ref="J397">IF($A397="","",IFERROR((SUMPRODUCT((TRIM(tblDados[Mandante])=$A397)*tblDados[Primeira_Ocorrencia]*(tblDados[GM_M]=0))+SUMPRODUCT((TRIM(tblDados[Visitante])=$A397)*tblDados[Primeira_Ocorrencia]*(tblDados[GM_V]=0)))/G397,0))</f>
        <v>8.3333333333333329E-2</v>
      </c>
      <c r="K397" s="11" cm="1">
        <f t="array" ref="K397">IF($A397="","",IFERROR((SUMPRODUCT((TRIM(tblDados[Mandante])=$A397)*tblDados[Primeira_Ocorrencia]*((tblDados[GM_M]+tblDados[GS_M])&gt;0.5))+SUMPRODUCT((TRIM(tblDados[Visitante])=$A397)*tblDados[Primeira_Ocorrencia]*((tblDados[GM_V]+tblDados[GS_V])&gt;0.5)))/G397,0))</f>
        <v>1</v>
      </c>
      <c r="L397" s="11" cm="1">
        <f t="array" ref="L397">IF($A397="","",IFERROR((SUMPRODUCT((TRIM(tblDados[Mandante])=$A397)*tblDados[Primeira_Ocorrencia]*((tblDados[GM_M]+tblDados[GS_M])&gt;1.5))+SUMPRODUCT((TRIM(tblDados[Visitante])=$A397)*tblDados[Primeira_Ocorrencia]*((tblDados[GM_V]+tblDados[GS_V])&gt;1.5)))/G397,0))</f>
        <v>0.58333333333333337</v>
      </c>
      <c r="M397" s="11" cm="1">
        <f t="array" ref="M397">IF($A397="","",IFERROR((SUMPRODUCT((TRIM(tblDados[Mandante])=$A397)*tblDados[Primeira_Ocorrencia]*((tblDados[GM_M]+tblDados[GS_M])&gt;2.5))+SUMPRODUCT((TRIM(tblDados[Visitante])=$A397)*tblDados[Primeira_Ocorrencia]*((tblDados[GM_V]+tblDados[GS_V])&gt;2.5)))/G397,0))</f>
        <v>0.5</v>
      </c>
      <c r="N397" s="11" cm="1">
        <f t="array" ref="N397">IF($A397="","",IFERROR((SUMPRODUCT((TRIM(tblDados[Mandante])=$A397)*tblDados[Primeira_Ocorrencia]*((tblDados[GM_M]+tblDados[GS_M])&gt;3.5))+SUMPRODUCT((TRIM(tblDados[Visitante])=$A397)*tblDados[Primeira_Ocorrencia]*((tblDados[GM_V]+tblDados[GS_V])&gt;3.5)))/G397,0))</f>
        <v>0.33333333333333331</v>
      </c>
      <c r="O397" s="11" cm="1">
        <f t="array" ref="O397">IF($A397="","",IFERROR((SUMPRODUCT((TRIM(tblDados[Mandante])=$A397)*tblDados[Primeira_Ocorrencia]*(tblDados[GM_M]&gt;0)*(tblDados[GS_M]&gt;0))+SUMPRODUCT((TRIM(tblDados[Visitante])=$A397)*tblDados[Primeira_Ocorrencia]*(tblDados[GM_V]&gt;0)*(tblDados[GS_V]&gt;0)))/G397,0))</f>
        <v>0.25</v>
      </c>
      <c r="P397" s="10" cm="1">
        <f t="array" ref="P397">IF($A397="","",IFERROR((SUMPRODUCT((TRIM(tblDados[Mandante])=$A397)*tblDados[Primeira_Ocorrencia]*tblDados[GM_M]^2)+SUMPRODUCT((TRIM(tblDados[Visitante])=$A397)*tblDados[Primeira_Ocorrencia]*tblDados[GM_V]^2))/G397-H397^2,0))</f>
        <v>2.520833333333333</v>
      </c>
      <c r="Q397" s="10">
        <f t="shared" si="135"/>
        <v>1.5877132402714706</v>
      </c>
      <c r="R397" s="8" t="str">
        <f t="shared" si="136"/>
        <v>Poisson</v>
      </c>
      <c r="S397" s="10" cm="1">
        <f t="array" ref="S397">IF($A397="","",SUMPRODUCT((TRIM(tblDados[Mandante])=$A397)*tblDados[Primeira_Ocorrencia]*tblDados[GM_M]))</f>
        <v>12</v>
      </c>
      <c r="T397" s="10" cm="1">
        <f t="array" ref="T397">IF($A397="","",SUMPRODUCT((TRIM(tblDados[Visitante])=$A397)*tblDados[Primeira_Ocorrencia]*tblDados[GM_V]))</f>
        <v>15</v>
      </c>
      <c r="U397" s="10">
        <f t="shared" si="137"/>
        <v>27</v>
      </c>
      <c r="V397" s="10">
        <f t="shared" si="126"/>
        <v>2.25</v>
      </c>
      <c r="W397" s="10" cm="1">
        <f t="array" ref="W397">IF($A397="","",SUMPRODUCT((TRIM(tblDados[Mandante])=$A397)*tblDados[Primeira_Ocorrencia]*tblDados[GS_M]))</f>
        <v>3</v>
      </c>
      <c r="X397" s="10" cm="1">
        <f t="array" ref="X397">IF($A397="","",SUMPRODUCT((TRIM(tblDados[Visitante])=$A397)*tblDados[Primeira_Ocorrencia]*tblDados[GS_V]))</f>
        <v>6</v>
      </c>
      <c r="Y397" s="10">
        <f t="shared" si="138"/>
        <v>9</v>
      </c>
      <c r="Z397" s="10">
        <f t="shared" si="127"/>
        <v>0.75</v>
      </c>
      <c r="AA397" s="10">
        <f t="shared" si="128"/>
        <v>2.4</v>
      </c>
      <c r="AB397" s="10">
        <f t="shared" si="129"/>
        <v>0.6</v>
      </c>
      <c r="AC397" s="10">
        <f t="shared" si="130"/>
        <v>2.1428571428571428</v>
      </c>
      <c r="AD397" s="10">
        <f t="shared" si="131"/>
        <v>0.8571428571428571</v>
      </c>
    </row>
    <row r="398" spans="1:30" x14ac:dyDescent="0.3">
      <c r="A398" s="7" t="str">
        <v>Técnico Universitario</v>
      </c>
      <c r="B398" s="12" t="str" cm="1">
        <f t="array" ref="B398">IF($A398="","",_xlfn.LET(_xlpm.p,IFERROR(INDEX(tblDados[País],MATCH($A398,TRIM(tblDados[Mandante]),0)),INDEX(tblDados[País],MATCH($A398,TRIM(tblDados[Visitante]),0))),_xlpm.l,IFERROR(INDEX(tblDados[Liga],MATCH($A398,TRIM(tblDados[Mandante]),0)),INDEX(tblDados[Liga],MATCH($A398,TRIM(tblDados[Visitante]),0))),_xlpm.p&amp;" - "&amp;_xlpm.l))</f>
        <v>ECU - LigaPro Serie A</v>
      </c>
      <c r="C398" s="10">
        <f t="shared" si="132"/>
        <v>2</v>
      </c>
      <c r="D398" s="10">
        <f t="shared" si="133"/>
        <v>3</v>
      </c>
      <c r="E398" s="9" cm="1">
        <f t="array" ref="E398">IF($A398="","",SUMPRODUCT((TRIM(tblDados[Mandante])=$A398)*tblDados[Primeira_Ocorrencia]))</f>
        <v>6</v>
      </c>
      <c r="F398" s="9" cm="1">
        <f t="array" ref="F398">IF($A398="","",SUMPRODUCT((TRIM(tblDados[Visitante])=$A398)*tblDados[Primeira_Ocorrencia]))</f>
        <v>6</v>
      </c>
      <c r="G398" s="9" cm="1">
        <f t="array" ref="G398">IF($A398="","",SUMPRODUCT((TRIM(tblDados[Mandante])=$A398)*tblDados[Primeira_Ocorrencia])+SUMPRODUCT((TRIM(tblDados[Visitante])=$A398)*tblDados[Primeira_Ocorrencia]))</f>
        <v>12</v>
      </c>
      <c r="H398" s="10">
        <f t="shared" si="134"/>
        <v>1</v>
      </c>
      <c r="I398" s="10" cm="1">
        <f t="array" ref="I398">IF($A398="","",_xlfn.LET(_xlpm.p,IFERROR(INDEX(tblDados[País],MATCH($A398,TRIM(tblDados[Mandante]),0)),INDEX(tblDados[País],MATCH($A398,TRIM(tblDados[Visitante]),0))),_xlpm.l,IFERROR(INDEX(tblDados[Liga],MATCH($A398,TRIM(tblDados[Mandante]),0)),INDEX(tblDados[Liga],MATCH($A398,TRIM(tblDados[Visitante]),0))),IFERROR(SUMIFS(Ligas!$D$2:$D$39,Ligas!$H$2:$H$39,_xlpm.p,Ligas!$I$2:$I$39,_xlpm.l),0)))</f>
        <v>2.5</v>
      </c>
      <c r="J398" s="11" cm="1">
        <f t="array" ref="J398">IF($A398="","",IFERROR((SUMPRODUCT((TRIM(tblDados[Mandante])=$A398)*tblDados[Primeira_Ocorrencia]*(tblDados[GM_M]=0))+SUMPRODUCT((TRIM(tblDados[Visitante])=$A398)*tblDados[Primeira_Ocorrencia]*(tblDados[GM_V]=0)))/G398,0))</f>
        <v>0.41666666666666669</v>
      </c>
      <c r="K398" s="11" cm="1">
        <f t="array" ref="K398">IF($A398="","",IFERROR((SUMPRODUCT((TRIM(tblDados[Mandante])=$A398)*tblDados[Primeira_Ocorrencia]*((tblDados[GM_M]+tblDados[GS_M])&gt;0.5))+SUMPRODUCT((TRIM(tblDados[Visitante])=$A398)*tblDados[Primeira_Ocorrencia]*((tblDados[GM_V]+tblDados[GS_V])&gt;0.5)))/G398,0))</f>
        <v>1</v>
      </c>
      <c r="L398" s="11" cm="1">
        <f t="array" ref="L398">IF($A398="","",IFERROR((SUMPRODUCT((TRIM(tblDados[Mandante])=$A398)*tblDados[Primeira_Ocorrencia]*((tblDados[GM_M]+tblDados[GS_M])&gt;1.5))+SUMPRODUCT((TRIM(tblDados[Visitante])=$A398)*tblDados[Primeira_Ocorrencia]*((tblDados[GM_V]+tblDados[GS_V])&gt;1.5)))/G398,0))</f>
        <v>0.66666666666666663</v>
      </c>
      <c r="M398" s="11" cm="1">
        <f t="array" ref="M398">IF($A398="","",IFERROR((SUMPRODUCT((TRIM(tblDados[Mandante])=$A398)*tblDados[Primeira_Ocorrencia]*((tblDados[GM_M]+tblDados[GS_M])&gt;2.5))+SUMPRODUCT((TRIM(tblDados[Visitante])=$A398)*tblDados[Primeira_Ocorrencia]*((tblDados[GM_V]+tblDados[GS_V])&gt;2.5)))/G398,0))</f>
        <v>0.58333333333333337</v>
      </c>
      <c r="N398" s="11" cm="1">
        <f t="array" ref="N398">IF($A398="","",IFERROR((SUMPRODUCT((TRIM(tblDados[Mandante])=$A398)*tblDados[Primeira_Ocorrencia]*((tblDados[GM_M]+tblDados[GS_M])&gt;3.5))+SUMPRODUCT((TRIM(tblDados[Visitante])=$A398)*tblDados[Primeira_Ocorrencia]*((tblDados[GM_V]+tblDados[GS_V])&gt;3.5)))/G398,0))</f>
        <v>0.16666666666666666</v>
      </c>
      <c r="O398" s="11" cm="1">
        <f t="array" ref="O398">IF($A398="","",IFERROR((SUMPRODUCT((TRIM(tblDados[Mandante])=$A398)*tblDados[Primeira_Ocorrencia]*(tblDados[GM_M]&gt;0)*(tblDados[GS_M]&gt;0))+SUMPRODUCT((TRIM(tblDados[Visitante])=$A398)*tblDados[Primeira_Ocorrencia]*(tblDados[GM_V]&gt;0)*(tblDados[GS_V]&gt;0)))/G398,0))</f>
        <v>0.33333333333333331</v>
      </c>
      <c r="P398" s="10" cm="1">
        <f t="array" ref="P398">IF($A398="","",IFERROR((SUMPRODUCT((TRIM(tblDados[Mandante])=$A398)*tblDados[Primeira_Ocorrencia]*tblDados[GM_M]^2)+SUMPRODUCT((TRIM(tblDados[Visitante])=$A398)*tblDados[Primeira_Ocorrencia]*tblDados[GM_V]^2))/G398-H398^2,0))</f>
        <v>1.3333333333333335</v>
      </c>
      <c r="Q398" s="10">
        <f t="shared" si="135"/>
        <v>1.1547005383792517</v>
      </c>
      <c r="R398" s="8" t="str">
        <f t="shared" si="136"/>
        <v>Poisson</v>
      </c>
      <c r="S398" s="10" cm="1">
        <f t="array" ref="S398">IF($A398="","",SUMPRODUCT((TRIM(tblDados[Mandante])=$A398)*tblDados[Primeira_Ocorrencia]*tblDados[GM_M]))</f>
        <v>8</v>
      </c>
      <c r="T398" s="10" cm="1">
        <f t="array" ref="T398">IF($A398="","",SUMPRODUCT((TRIM(tblDados[Visitante])=$A398)*tblDados[Primeira_Ocorrencia]*tblDados[GM_V]))</f>
        <v>4</v>
      </c>
      <c r="U398" s="10">
        <f t="shared" si="137"/>
        <v>12</v>
      </c>
      <c r="V398" s="10">
        <f t="shared" si="126"/>
        <v>1</v>
      </c>
      <c r="W398" s="10" cm="1">
        <f t="array" ref="W398">IF($A398="","",SUMPRODUCT((TRIM(tblDados[Mandante])=$A398)*tblDados[Primeira_Ocorrencia]*tblDados[GS_M]))</f>
        <v>4</v>
      </c>
      <c r="X398" s="10" cm="1">
        <f t="array" ref="X398">IF($A398="","",SUMPRODUCT((TRIM(tblDados[Visitante])=$A398)*tblDados[Primeira_Ocorrencia]*tblDados[GS_V]))</f>
        <v>14</v>
      </c>
      <c r="Y398" s="10">
        <f t="shared" si="138"/>
        <v>18</v>
      </c>
      <c r="Z398" s="10">
        <f t="shared" si="127"/>
        <v>1.5</v>
      </c>
      <c r="AA398" s="10">
        <f t="shared" si="128"/>
        <v>1.3333333333333333</v>
      </c>
      <c r="AB398" s="10">
        <f t="shared" si="129"/>
        <v>0.66666666666666663</v>
      </c>
      <c r="AC398" s="10">
        <f t="shared" si="130"/>
        <v>0.66666666666666663</v>
      </c>
      <c r="AD398" s="10">
        <f t="shared" si="131"/>
        <v>2.3333333333333335</v>
      </c>
    </row>
    <row r="399" spans="1:30" x14ac:dyDescent="0.3">
      <c r="A399" s="7" t="str">
        <v>Thor Akureyri (Þór Akureyri)</v>
      </c>
      <c r="B399" s="12" t="str" cm="1">
        <f t="array" ref="B399">IF($A399="","",_xlfn.LET(_xlpm.p,IFERROR(INDEX(tblDados[País],MATCH($A399,TRIM(tblDados[Mandante]),0)),INDEX(tblDados[País],MATCH($A399,TRIM(tblDados[Visitante]),0))),_xlpm.l,IFERROR(INDEX(tblDados[Liga],MATCH($A399,TRIM(tblDados[Mandante]),0)),INDEX(tblDados[Liga],MATCH($A399,TRIM(tblDados[Visitante]),0))),_xlpm.p&amp;" - "&amp;_xlpm.l))</f>
        <v>ISL - Besta-deild karla (PL)</v>
      </c>
      <c r="C399" s="10">
        <f t="shared" si="132"/>
        <v>4</v>
      </c>
      <c r="D399" s="10">
        <f t="shared" si="133"/>
        <v>2.4</v>
      </c>
      <c r="E399" s="9" cm="1">
        <f t="array" ref="E399">IF($A399="","",SUMPRODUCT((TRIM(tblDados[Mandante])=$A399)*tblDados[Primeira_Ocorrencia]))</f>
        <v>7</v>
      </c>
      <c r="F399" s="9" cm="1">
        <f t="array" ref="F399">IF($A399="","",SUMPRODUCT((TRIM(tblDados[Visitante])=$A399)*tblDados[Primeira_Ocorrencia]))</f>
        <v>5</v>
      </c>
      <c r="G399" s="9" cm="1">
        <f t="array" ref="G399">IF($A399="","",SUMPRODUCT((TRIM(tblDados[Mandante])=$A399)*tblDados[Primeira_Ocorrencia])+SUMPRODUCT((TRIM(tblDados[Visitante])=$A399)*tblDados[Primeira_Ocorrencia]))</f>
        <v>12</v>
      </c>
      <c r="H399" s="10">
        <f t="shared" si="134"/>
        <v>1.0833333333333333</v>
      </c>
      <c r="I399" s="10" cm="1">
        <f t="array" ref="I399">IF($A399="","",_xlfn.LET(_xlpm.p,IFERROR(INDEX(tblDados[País],MATCH($A399,TRIM(tblDados[Mandante]),0)),INDEX(tblDados[País],MATCH($A399,TRIM(tblDados[Visitante]),0))),_xlpm.l,IFERROR(INDEX(tblDados[Liga],MATCH($A399,TRIM(tblDados[Mandante]),0)),INDEX(tblDados[Liga],MATCH($A399,TRIM(tblDados[Visitante]),0))),IFERROR(SUMIFS(Ligas!$D$2:$D$39,Ligas!$H$2:$H$39,_xlpm.p,Ligas!$I$2:$I$39,_xlpm.l),0)))</f>
        <v>2.5</v>
      </c>
      <c r="J399" s="11" cm="1">
        <f t="array" ref="J399">IF($A399="","",IFERROR((SUMPRODUCT((TRIM(tblDados[Mandante])=$A399)*tblDados[Primeira_Ocorrencia]*(tblDados[GM_M]=0))+SUMPRODUCT((TRIM(tblDados[Visitante])=$A399)*tblDados[Primeira_Ocorrencia]*(tblDados[GM_V]=0)))/G399,0))</f>
        <v>0.25</v>
      </c>
      <c r="K399" s="11" cm="1">
        <f t="array" ref="K399">IF($A399="","",IFERROR((SUMPRODUCT((TRIM(tblDados[Mandante])=$A399)*tblDados[Primeira_Ocorrencia]*((tblDados[GM_M]+tblDados[GS_M])&gt;0.5))+SUMPRODUCT((TRIM(tblDados[Visitante])=$A399)*tblDados[Primeira_Ocorrencia]*((tblDados[GM_V]+tblDados[GS_V])&gt;0.5)))/G399,0))</f>
        <v>0.91666666666666663</v>
      </c>
      <c r="L399" s="11" cm="1">
        <f t="array" ref="L399">IF($A399="","",IFERROR((SUMPRODUCT((TRIM(tblDados[Mandante])=$A399)*tblDados[Primeira_Ocorrencia]*((tblDados[GM_M]+tblDados[GS_M])&gt;1.5))+SUMPRODUCT((TRIM(tblDados[Visitante])=$A399)*tblDados[Primeira_Ocorrencia]*((tblDados[GM_V]+tblDados[GS_V])&gt;1.5)))/G399,0))</f>
        <v>0.75</v>
      </c>
      <c r="M399" s="11" cm="1">
        <f t="array" ref="M399">IF($A399="","",IFERROR((SUMPRODUCT((TRIM(tblDados[Mandante])=$A399)*tblDados[Primeira_Ocorrencia]*((tblDados[GM_M]+tblDados[GS_M])&gt;2.5))+SUMPRODUCT((TRIM(tblDados[Visitante])=$A399)*tblDados[Primeira_Ocorrencia]*((tblDados[GM_V]+tblDados[GS_V])&gt;2.5)))/G399,0))</f>
        <v>0.58333333333333337</v>
      </c>
      <c r="N399" s="11" cm="1">
        <f t="array" ref="N399">IF($A399="","",IFERROR((SUMPRODUCT((TRIM(tblDados[Mandante])=$A399)*tblDados[Primeira_Ocorrencia]*((tblDados[GM_M]+tblDados[GS_M])&gt;3.5))+SUMPRODUCT((TRIM(tblDados[Visitante])=$A399)*tblDados[Primeira_Ocorrencia]*((tblDados[GM_V]+tblDados[GS_V])&gt;3.5)))/G399,0))</f>
        <v>0.41666666666666669</v>
      </c>
      <c r="O399" s="11" cm="1">
        <f t="array" ref="O399">IF($A399="","",IFERROR((SUMPRODUCT((TRIM(tblDados[Mandante])=$A399)*tblDados[Primeira_Ocorrencia]*(tblDados[GM_M]&gt;0)*(tblDados[GS_M]&gt;0))+SUMPRODUCT((TRIM(tblDados[Visitante])=$A399)*tblDados[Primeira_Ocorrencia]*(tblDados[GM_V]&gt;0)*(tblDados[GS_V]&gt;0)))/G399,0))</f>
        <v>0.66666666666666663</v>
      </c>
      <c r="P399" s="10" cm="1">
        <f t="array" ref="P399">IF($A399="","",IFERROR((SUMPRODUCT((TRIM(tblDados[Mandante])=$A399)*tblDados[Primeira_Ocorrencia]*tblDados[GM_M]^2)+SUMPRODUCT((TRIM(tblDados[Visitante])=$A399)*tblDados[Primeira_Ocorrencia]*tblDados[GM_V]^2))/G399-H399^2,0))</f>
        <v>0.7430555555555558</v>
      </c>
      <c r="Q399" s="10">
        <f t="shared" si="135"/>
        <v>0.86200670273238356</v>
      </c>
      <c r="R399" s="8" t="str">
        <f t="shared" si="136"/>
        <v>Poisson</v>
      </c>
      <c r="S399" s="10" cm="1">
        <f t="array" ref="S399">IF($A399="","",SUMPRODUCT((TRIM(tblDados[Mandante])=$A399)*tblDados[Primeira_Ocorrencia]*tblDados[GM_M]))</f>
        <v>11</v>
      </c>
      <c r="T399" s="10" cm="1">
        <f t="array" ref="T399">IF($A399="","",SUMPRODUCT((TRIM(tblDados[Visitante])=$A399)*tblDados[Primeira_Ocorrencia]*tblDados[GM_V]))</f>
        <v>2</v>
      </c>
      <c r="U399" s="10">
        <f t="shared" si="137"/>
        <v>13</v>
      </c>
      <c r="V399" s="10">
        <f t="shared" si="126"/>
        <v>1.0833333333333333</v>
      </c>
      <c r="W399" s="10" cm="1">
        <f t="array" ref="W399">IF($A399="","",SUMPRODUCT((TRIM(tblDados[Mandante])=$A399)*tblDados[Primeira_Ocorrencia]*tblDados[GS_M]))</f>
        <v>17</v>
      </c>
      <c r="X399" s="10" cm="1">
        <f t="array" ref="X399">IF($A399="","",SUMPRODUCT((TRIM(tblDados[Visitante])=$A399)*tblDados[Primeira_Ocorrencia]*tblDados[GS_V]))</f>
        <v>10</v>
      </c>
      <c r="Y399" s="10">
        <f t="shared" si="138"/>
        <v>27</v>
      </c>
      <c r="Z399" s="10">
        <f t="shared" si="127"/>
        <v>2.25</v>
      </c>
      <c r="AA399" s="10">
        <f t="shared" si="128"/>
        <v>1.5714285714285714</v>
      </c>
      <c r="AB399" s="10">
        <f t="shared" si="129"/>
        <v>2.4285714285714284</v>
      </c>
      <c r="AC399" s="10">
        <f t="shared" si="130"/>
        <v>0.4</v>
      </c>
      <c r="AD399" s="10">
        <f t="shared" si="131"/>
        <v>2</v>
      </c>
    </row>
    <row r="400" spans="1:30" x14ac:dyDescent="0.3">
      <c r="A400" s="7" t="str">
        <v>Torns IF</v>
      </c>
      <c r="B400" s="12" t="str" cm="1">
        <f t="array" ref="B400">IF($A400="","",_xlfn.LET(_xlpm.p,IFERROR(INDEX(tblDados[País],MATCH($A400,TRIM(tblDados[Mandante]),0)),INDEX(tblDados[País],MATCH($A400,TRIM(tblDados[Visitante]),0))),_xlpm.l,IFERROR(INDEX(tblDados[Liga],MATCH($A400,TRIM(tblDados[Mandante]),0)),INDEX(tblDados[Liga],MATCH($A400,TRIM(tblDados[Visitante]),0))),_xlpm.p&amp;" - "&amp;_xlpm.l))</f>
        <v>SWE - 2ª D Södra Götaland</v>
      </c>
      <c r="C400" s="10">
        <f t="shared" si="132"/>
        <v>3.2</v>
      </c>
      <c r="D400" s="10">
        <f t="shared" si="133"/>
        <v>4.8571428571428577</v>
      </c>
      <c r="E400" s="9" cm="1">
        <f t="array" ref="E400">IF($A400="","",SUMPRODUCT((TRIM(tblDados[Mandante])=$A400)*tblDados[Primeira_Ocorrencia]))</f>
        <v>5</v>
      </c>
      <c r="F400" s="9" cm="1">
        <f t="array" ref="F400">IF($A400="","",SUMPRODUCT((TRIM(tblDados[Visitante])=$A400)*tblDados[Primeira_Ocorrencia]))</f>
        <v>7</v>
      </c>
      <c r="G400" s="9" cm="1">
        <f t="array" ref="G400">IF($A400="","",SUMPRODUCT((TRIM(tblDados[Mandante])=$A400)*tblDados[Primeira_Ocorrencia])+SUMPRODUCT((TRIM(tblDados[Visitante])=$A400)*tblDados[Primeira_Ocorrencia]))</f>
        <v>12</v>
      </c>
      <c r="H400" s="10">
        <f t="shared" si="134"/>
        <v>1.25</v>
      </c>
      <c r="I400" s="10" cm="1">
        <f t="array" ref="I400">IF($A400="","",_xlfn.LET(_xlpm.p,IFERROR(INDEX(tblDados[País],MATCH($A400,TRIM(tblDados[Mandante]),0)),INDEX(tblDados[País],MATCH($A400,TRIM(tblDados[Visitante]),0))),_xlpm.l,IFERROR(INDEX(tblDados[Liga],MATCH($A400,TRIM(tblDados[Mandante]),0)),INDEX(tblDados[Liga],MATCH($A400,TRIM(tblDados[Visitante]),0))),IFERROR(SUMIFS(Ligas!$D$2:$D$39,Ligas!$H$2:$H$39,_xlpm.p,Ligas!$I$2:$I$39,_xlpm.l),0)))</f>
        <v>2.5</v>
      </c>
      <c r="J400" s="11" cm="1">
        <f t="array" ref="J400">IF($A400="","",IFERROR((SUMPRODUCT((TRIM(tblDados[Mandante])=$A400)*tblDados[Primeira_Ocorrencia]*(tblDados[GM_M]=0))+SUMPRODUCT((TRIM(tblDados[Visitante])=$A400)*tblDados[Primeira_Ocorrencia]*(tblDados[GM_V]=0)))/G400,0))</f>
        <v>0.25</v>
      </c>
      <c r="K400" s="11" cm="1">
        <f t="array" ref="K400">IF($A400="","",IFERROR((SUMPRODUCT((TRIM(tblDados[Mandante])=$A400)*tblDados[Primeira_Ocorrencia]*((tblDados[GM_M]+tblDados[GS_M])&gt;0.5))+SUMPRODUCT((TRIM(tblDados[Visitante])=$A400)*tblDados[Primeira_Ocorrencia]*((tblDados[GM_V]+tblDados[GS_V])&gt;0.5)))/G400,0))</f>
        <v>1</v>
      </c>
      <c r="L400" s="11" cm="1">
        <f t="array" ref="L400">IF($A400="","",IFERROR((SUMPRODUCT((TRIM(tblDados[Mandante])=$A400)*tblDados[Primeira_Ocorrencia]*((tblDados[GM_M]+tblDados[GS_M])&gt;1.5))+SUMPRODUCT((TRIM(tblDados[Visitante])=$A400)*tblDados[Primeira_Ocorrencia]*((tblDados[GM_V]+tblDados[GS_V])&gt;1.5)))/G400,0))</f>
        <v>1</v>
      </c>
      <c r="M400" s="11" cm="1">
        <f t="array" ref="M400">IF($A400="","",IFERROR((SUMPRODUCT((TRIM(tblDados[Mandante])=$A400)*tblDados[Primeira_Ocorrencia]*((tblDados[GM_M]+tblDados[GS_M])&gt;2.5))+SUMPRODUCT((TRIM(tblDados[Visitante])=$A400)*tblDados[Primeira_Ocorrencia]*((tblDados[GM_V]+tblDados[GS_V])&gt;2.5)))/G400,0))</f>
        <v>0.83333333333333337</v>
      </c>
      <c r="N400" s="11" cm="1">
        <f t="array" ref="N400">IF($A400="","",IFERROR((SUMPRODUCT((TRIM(tblDados[Mandante])=$A400)*tblDados[Primeira_Ocorrencia]*((tblDados[GM_M]+tblDados[GS_M])&gt;3.5))+SUMPRODUCT((TRIM(tblDados[Visitante])=$A400)*tblDados[Primeira_Ocorrencia]*((tblDados[GM_V]+tblDados[GS_V])&gt;3.5)))/G400,0))</f>
        <v>0.66666666666666663</v>
      </c>
      <c r="O400" s="11" cm="1">
        <f t="array" ref="O400">IF($A400="","",IFERROR((SUMPRODUCT((TRIM(tblDados[Mandante])=$A400)*tblDados[Primeira_Ocorrencia]*(tblDados[GM_M]&gt;0)*(tblDados[GS_M]&gt;0))+SUMPRODUCT((TRIM(tblDados[Visitante])=$A400)*tblDados[Primeira_Ocorrencia]*(tblDados[GM_V]&gt;0)*(tblDados[GS_V]&gt;0)))/G400,0))</f>
        <v>0.66666666666666663</v>
      </c>
      <c r="P400" s="10" cm="1">
        <f t="array" ref="P400">IF($A400="","",IFERROR((SUMPRODUCT((TRIM(tblDados[Mandante])=$A400)*tblDados[Primeira_Ocorrencia]*tblDados[GM_M]^2)+SUMPRODUCT((TRIM(tblDados[Visitante])=$A400)*tblDados[Primeira_Ocorrencia]*tblDados[GM_V]^2))/G400-H400^2,0))</f>
        <v>0.85416666666666652</v>
      </c>
      <c r="Q400" s="10">
        <f t="shared" si="135"/>
        <v>0.92421137553411803</v>
      </c>
      <c r="R400" s="8" t="str">
        <f t="shared" si="136"/>
        <v>Poisson</v>
      </c>
      <c r="S400" s="10" cm="1">
        <f t="array" ref="S400">IF($A400="","",SUMPRODUCT((TRIM(tblDados[Mandante])=$A400)*tblDados[Primeira_Ocorrencia]*tblDados[GM_M]))</f>
        <v>7</v>
      </c>
      <c r="T400" s="10" cm="1">
        <f t="array" ref="T400">IF($A400="","",SUMPRODUCT((TRIM(tblDados[Visitante])=$A400)*tblDados[Primeira_Ocorrencia]*tblDados[GM_V]))</f>
        <v>8</v>
      </c>
      <c r="U400" s="10">
        <f t="shared" si="137"/>
        <v>15</v>
      </c>
      <c r="V400" s="10">
        <f t="shared" si="126"/>
        <v>1.25</v>
      </c>
      <c r="W400" s="10" cm="1">
        <f t="array" ref="W400">IF($A400="","",SUMPRODUCT((TRIM(tblDados[Mandante])=$A400)*tblDados[Primeira_Ocorrencia]*tblDados[GS_M]))</f>
        <v>9</v>
      </c>
      <c r="X400" s="10" cm="1">
        <f t="array" ref="X400">IF($A400="","",SUMPRODUCT((TRIM(tblDados[Visitante])=$A400)*tblDados[Primeira_Ocorrencia]*tblDados[GS_V]))</f>
        <v>26</v>
      </c>
      <c r="Y400" s="10">
        <f t="shared" si="138"/>
        <v>35</v>
      </c>
      <c r="Z400" s="10">
        <f t="shared" si="127"/>
        <v>2.9166666666666665</v>
      </c>
      <c r="AA400" s="10">
        <f t="shared" si="128"/>
        <v>1.4</v>
      </c>
      <c r="AB400" s="10">
        <f t="shared" si="129"/>
        <v>1.8</v>
      </c>
      <c r="AC400" s="10">
        <f t="shared" si="130"/>
        <v>1.1428571428571428</v>
      </c>
      <c r="AD400" s="10">
        <f t="shared" si="131"/>
        <v>3.7142857142857144</v>
      </c>
    </row>
    <row r="401" spans="1:30" x14ac:dyDescent="0.3">
      <c r="A401" s="7" t="str">
        <v>Toronto FC</v>
      </c>
      <c r="B401" s="12" t="str" cm="1">
        <f t="array" ref="B401">IF($A401="","",_xlfn.LET(_xlpm.p,IFERROR(INDEX(tblDados[País],MATCH($A401,TRIM(tblDados[Mandante]),0)),INDEX(tblDados[País],MATCH($A401,TRIM(tblDados[Visitante]),0))),_xlpm.l,IFERROR(INDEX(tblDados[Liga],MATCH($A401,TRIM(tblDados[Mandante]),0)),INDEX(tblDados[Liga],MATCH($A401,TRIM(tblDados[Visitante]),0))),_xlpm.p&amp;" - "&amp;_xlpm.l))</f>
        <v>USA - MLS-East</v>
      </c>
      <c r="C401" s="10">
        <f t="shared" si="132"/>
        <v>4.166666666666667</v>
      </c>
      <c r="D401" s="10">
        <f t="shared" si="133"/>
        <v>2</v>
      </c>
      <c r="E401" s="9" cm="1">
        <f t="array" ref="E401">IF($A401="","",SUMPRODUCT((TRIM(tblDados[Mandante])=$A401)*tblDados[Primeira_Ocorrencia]))</f>
        <v>6</v>
      </c>
      <c r="F401" s="9" cm="1">
        <f t="array" ref="F401">IF($A401="","",SUMPRODUCT((TRIM(tblDados[Visitante])=$A401)*tblDados[Primeira_Ocorrencia]))</f>
        <v>6</v>
      </c>
      <c r="G401" s="9" cm="1">
        <f t="array" ref="G401">IF($A401="","",SUMPRODUCT((TRIM(tblDados[Mandante])=$A401)*tblDados[Primeira_Ocorrencia])+SUMPRODUCT((TRIM(tblDados[Visitante])=$A401)*tblDados[Primeira_Ocorrencia]))</f>
        <v>12</v>
      </c>
      <c r="H401" s="10">
        <f t="shared" si="134"/>
        <v>1.25</v>
      </c>
      <c r="I401" s="10" cm="1">
        <f t="array" ref="I401">IF($A401="","",_xlfn.LET(_xlpm.p,IFERROR(INDEX(tblDados[País],MATCH($A401,TRIM(tblDados[Mandante]),0)),INDEX(tblDados[País],MATCH($A401,TRIM(tblDados[Visitante]),0))),_xlpm.l,IFERROR(INDEX(tblDados[Liga],MATCH($A401,TRIM(tblDados[Mandante]),0)),INDEX(tblDados[Liga],MATCH($A401,TRIM(tblDados[Visitante]),0))),IFERROR(SUMIFS(Ligas!$D$2:$D$39,Ligas!$H$2:$H$39,_xlpm.p,Ligas!$I$2:$I$39,_xlpm.l),0)))</f>
        <v>3.3</v>
      </c>
      <c r="J401" s="11" cm="1">
        <f t="array" ref="J401">IF($A401="","",IFERROR((SUMPRODUCT((TRIM(tblDados[Mandante])=$A401)*tblDados[Primeira_Ocorrencia]*(tblDados[GM_M]=0))+SUMPRODUCT((TRIM(tblDados[Visitante])=$A401)*tblDados[Primeira_Ocorrencia]*(tblDados[GM_V]=0)))/G401,0))</f>
        <v>0.16666666666666666</v>
      </c>
      <c r="K401" s="11" cm="1">
        <f t="array" ref="K401">IF($A401="","",IFERROR((SUMPRODUCT((TRIM(tblDados[Mandante])=$A401)*tblDados[Primeira_Ocorrencia]*((tblDados[GM_M]+tblDados[GS_M])&gt;0.5))+SUMPRODUCT((TRIM(tblDados[Visitante])=$A401)*tblDados[Primeira_Ocorrencia]*((tblDados[GM_V]+tblDados[GS_V])&gt;0.5)))/G401,0))</f>
        <v>0.83333333333333337</v>
      </c>
      <c r="L401" s="11" cm="1">
        <f t="array" ref="L401">IF($A401="","",IFERROR((SUMPRODUCT((TRIM(tblDados[Mandante])=$A401)*tblDados[Primeira_Ocorrencia]*((tblDados[GM_M]+tblDados[GS_M])&gt;1.5))+SUMPRODUCT((TRIM(tblDados[Visitante])=$A401)*tblDados[Primeira_Ocorrencia]*((tblDados[GM_V]+tblDados[GS_V])&gt;1.5)))/G401,0))</f>
        <v>0.83333333333333337</v>
      </c>
      <c r="M401" s="11" cm="1">
        <f t="array" ref="M401">IF($A401="","",IFERROR((SUMPRODUCT((TRIM(tblDados[Mandante])=$A401)*tblDados[Primeira_Ocorrencia]*((tblDados[GM_M]+tblDados[GS_M])&gt;2.5))+SUMPRODUCT((TRIM(tblDados[Visitante])=$A401)*tblDados[Primeira_Ocorrencia]*((tblDados[GM_V]+tblDados[GS_V])&gt;2.5)))/G401,0))</f>
        <v>0.58333333333333337</v>
      </c>
      <c r="N401" s="11" cm="1">
        <f t="array" ref="N401">IF($A401="","",IFERROR((SUMPRODUCT((TRIM(tblDados[Mandante])=$A401)*tblDados[Primeira_Ocorrencia]*((tblDados[GM_M]+tblDados[GS_M])&gt;3.5))+SUMPRODUCT((TRIM(tblDados[Visitante])=$A401)*tblDados[Primeira_Ocorrencia]*((tblDados[GM_V]+tblDados[GS_V])&gt;3.5)))/G401,0))</f>
        <v>0.33333333333333331</v>
      </c>
      <c r="O401" s="11" cm="1">
        <f t="array" ref="O401">IF($A401="","",IFERROR((SUMPRODUCT((TRIM(tblDados[Mandante])=$A401)*tblDados[Primeira_Ocorrencia]*(tblDados[GM_M]&gt;0)*(tblDados[GS_M]&gt;0))+SUMPRODUCT((TRIM(tblDados[Visitante])=$A401)*tblDados[Primeira_Ocorrencia]*(tblDados[GM_V]&gt;0)*(tblDados[GS_V]&gt;0)))/G401,0))</f>
        <v>0.83333333333333337</v>
      </c>
      <c r="P401" s="10" cm="1">
        <f t="array" ref="P401">IF($A401="","",IFERROR((SUMPRODUCT((TRIM(tblDados[Mandante])=$A401)*tblDados[Primeira_Ocorrencia]*tblDados[GM_M]^2)+SUMPRODUCT((TRIM(tblDados[Visitante])=$A401)*tblDados[Primeira_Ocorrencia]*tblDados[GM_V]^2))/G401-H401^2,0))</f>
        <v>0.85416666666666652</v>
      </c>
      <c r="Q401" s="10">
        <f t="shared" si="135"/>
        <v>0.92421137553411803</v>
      </c>
      <c r="R401" s="8" t="str">
        <f t="shared" si="136"/>
        <v>Poisson</v>
      </c>
      <c r="S401" s="10" cm="1">
        <f t="array" ref="S401">IF($A401="","",SUMPRODUCT((TRIM(tblDados[Mandante])=$A401)*tblDados[Primeira_Ocorrencia]*tblDados[GM_M]))</f>
        <v>11</v>
      </c>
      <c r="T401" s="10" cm="1">
        <f t="array" ref="T401">IF($A401="","",SUMPRODUCT((TRIM(tblDados[Visitante])=$A401)*tblDados[Primeira_Ocorrencia]*tblDados[GM_V]))</f>
        <v>4</v>
      </c>
      <c r="U401" s="10">
        <f t="shared" si="137"/>
        <v>15</v>
      </c>
      <c r="V401" s="10">
        <f t="shared" si="126"/>
        <v>1.25</v>
      </c>
      <c r="W401" s="10" cm="1">
        <f t="array" ref="W401">IF($A401="","",SUMPRODUCT((TRIM(tblDados[Mandante])=$A401)*tblDados[Primeira_Ocorrencia]*tblDados[GS_M]))</f>
        <v>14</v>
      </c>
      <c r="X401" s="10" cm="1">
        <f t="array" ref="X401">IF($A401="","",SUMPRODUCT((TRIM(tblDados[Visitante])=$A401)*tblDados[Primeira_Ocorrencia]*tblDados[GS_V]))</f>
        <v>8</v>
      </c>
      <c r="Y401" s="10">
        <f t="shared" si="138"/>
        <v>22</v>
      </c>
      <c r="Z401" s="10">
        <f t="shared" si="127"/>
        <v>1.8333333333333333</v>
      </c>
      <c r="AA401" s="10">
        <f t="shared" si="128"/>
        <v>1.8333333333333333</v>
      </c>
      <c r="AB401" s="10">
        <f t="shared" si="129"/>
        <v>2.3333333333333335</v>
      </c>
      <c r="AC401" s="10">
        <f t="shared" si="130"/>
        <v>0.66666666666666663</v>
      </c>
      <c r="AD401" s="10">
        <f t="shared" si="131"/>
        <v>1.3333333333333333</v>
      </c>
    </row>
    <row r="402" spans="1:30" x14ac:dyDescent="0.3">
      <c r="A402" s="1" t="str">
        <v>Torslanda IK</v>
      </c>
      <c r="B402" s="13" t="str" cm="1">
        <f t="array" ref="B402">IF($A402="","",_xlfn.LET(_xlpm.p,IFERROR(INDEX(tblDados[País],MATCH($A402,TRIM(tblDados[Mandante]),0)),INDEX(tblDados[País],MATCH($A402,TRIM(tblDados[Visitante]),0))),_xlpm.l,IFERROR(INDEX(tblDados[Liga],MATCH($A402,TRIM(tblDados[Mandante]),0)),INDEX(tblDados[Liga],MATCH($A402,TRIM(tblDados[Visitante]),0))),_xlpm.p&amp;" - "&amp;_xlpm.l))</f>
        <v>SWE - 2ª D Västra Götaland</v>
      </c>
      <c r="C402" s="14">
        <f t="shared" si="132"/>
        <v>2.5</v>
      </c>
      <c r="D402" s="14">
        <f t="shared" si="133"/>
        <v>3.333333333333333</v>
      </c>
      <c r="E402" s="15" cm="1">
        <f t="array" ref="E402">IF($A402="","",SUMPRODUCT((TRIM(tblDados[Mandante])=$A402)*tblDados[Primeira_Ocorrencia]))</f>
        <v>6</v>
      </c>
      <c r="F402" s="15" cm="1">
        <f t="array" ref="F402">IF($A402="","",SUMPRODUCT((TRIM(tblDados[Visitante])=$A402)*tblDados[Primeira_Ocorrencia]))</f>
        <v>6</v>
      </c>
      <c r="G402" s="15" cm="1">
        <f t="array" ref="G402">IF($A402="","",SUMPRODUCT((TRIM(tblDados[Mandante])=$A402)*tblDados[Primeira_Ocorrencia])+SUMPRODUCT((TRIM(tblDados[Visitante])=$A402)*tblDados[Primeira_Ocorrencia]))</f>
        <v>12</v>
      </c>
      <c r="H402" s="14">
        <f t="shared" si="134"/>
        <v>1.75</v>
      </c>
      <c r="I402" s="14" cm="1">
        <f t="array" ref="I402">IF($A402="","",_xlfn.LET(_xlpm.p,IFERROR(INDEX(tblDados[País],MATCH($A402,TRIM(tblDados[Mandante]),0)),INDEX(tblDados[País],MATCH($A402,TRIM(tblDados[Visitante]),0))),_xlpm.l,IFERROR(INDEX(tblDados[Liga],MATCH($A402,TRIM(tblDados[Mandante]),0)),INDEX(tblDados[Liga],MATCH($A402,TRIM(tblDados[Visitante]),0))),IFERROR(SUMIFS(Ligas!$D$2:$D$39,Ligas!$H$2:$H$39,_xlpm.p,Ligas!$I$2:$I$39,_xlpm.l),0)))</f>
        <v>2.5</v>
      </c>
      <c r="J402" s="16" cm="1">
        <f t="array" ref="J402">IF($A402="","",IFERROR((SUMPRODUCT((TRIM(tblDados[Mandante])=$A402)*tblDados[Primeira_Ocorrencia]*(tblDados[GM_M]=0))+SUMPRODUCT((TRIM(tblDados[Visitante])=$A402)*tblDados[Primeira_Ocorrencia]*(tblDados[GM_V]=0)))/G402,0))</f>
        <v>8.3333333333333329E-2</v>
      </c>
      <c r="K402" s="16" cm="1">
        <f t="array" ref="K402">IF($A402="","",IFERROR((SUMPRODUCT((TRIM(tblDados[Mandante])=$A402)*tblDados[Primeira_Ocorrencia]*((tblDados[GM_M]+tblDados[GS_M])&gt;0.5))+SUMPRODUCT((TRIM(tblDados[Visitante])=$A402)*tblDados[Primeira_Ocorrencia]*((tblDados[GM_V]+tblDados[GS_V])&gt;0.5)))/G402,0))</f>
        <v>1</v>
      </c>
      <c r="L402" s="16" cm="1">
        <f t="array" ref="L402">IF($A402="","",IFERROR((SUMPRODUCT((TRIM(tblDados[Mandante])=$A402)*tblDados[Primeira_Ocorrencia]*((tblDados[GM_M]+tblDados[GS_M])&gt;1.5))+SUMPRODUCT((TRIM(tblDados[Visitante])=$A402)*tblDados[Primeira_Ocorrencia]*((tblDados[GM_V]+tblDados[GS_V])&gt;1.5)))/G402,0))</f>
        <v>0.91666666666666663</v>
      </c>
      <c r="M402" s="16" cm="1">
        <f t="array" ref="M402">IF($A402="","",IFERROR((SUMPRODUCT((TRIM(tblDados[Mandante])=$A402)*tblDados[Primeira_Ocorrencia]*((tblDados[GM_M]+tblDados[GS_M])&gt;2.5))+SUMPRODUCT((TRIM(tblDados[Visitante])=$A402)*tblDados[Primeira_Ocorrencia]*((tblDados[GM_V]+tblDados[GS_V])&gt;2.5)))/G402,0))</f>
        <v>0.58333333333333337</v>
      </c>
      <c r="N402" s="16" cm="1">
        <f t="array" ref="N402">IF($A402="","",IFERROR((SUMPRODUCT((TRIM(tblDados[Mandante])=$A402)*tblDados[Primeira_Ocorrencia]*((tblDados[GM_M]+tblDados[GS_M])&gt;3.5))+SUMPRODUCT((TRIM(tblDados[Visitante])=$A402)*tblDados[Primeira_Ocorrencia]*((tblDados[GM_V]+tblDados[GS_V])&gt;3.5)))/G402,0))</f>
        <v>0.25</v>
      </c>
      <c r="O402" s="16" cm="1">
        <f t="array" ref="O402">IF($A402="","",IFERROR((SUMPRODUCT((TRIM(tblDados[Mandante])=$A402)*tblDados[Primeira_Ocorrencia]*(tblDados[GM_M]&gt;0)*(tblDados[GS_M]&gt;0))+SUMPRODUCT((TRIM(tblDados[Visitante])=$A402)*tblDados[Primeira_Ocorrencia]*(tblDados[GM_V]&gt;0)*(tblDados[GS_V]&gt;0)))/G402,0))</f>
        <v>0.75</v>
      </c>
      <c r="P402" s="14" cm="1">
        <f t="array" ref="P402">IF($A402="","",IFERROR((SUMPRODUCT((TRIM(tblDados[Mandante])=$A402)*tblDados[Primeira_Ocorrencia]*tblDados[GM_M]^2)+SUMPRODUCT((TRIM(tblDados[Visitante])=$A402)*tblDados[Primeira_Ocorrencia]*tblDados[GM_V]^2))/G402-H402^2,0))</f>
        <v>2.020833333333333</v>
      </c>
      <c r="Q402" s="14">
        <f t="shared" si="135"/>
        <v>1.4215601757693317</v>
      </c>
      <c r="R402" s="1" t="str">
        <f t="shared" si="136"/>
        <v>Poisson</v>
      </c>
      <c r="S402" s="14" cm="1">
        <f t="array" ref="S402">IF($A402="","",SUMPRODUCT((TRIM(tblDados[Mandante])=$A402)*tblDados[Primeira_Ocorrencia]*tblDados[GM_M]))</f>
        <v>8</v>
      </c>
      <c r="T402" s="14" cm="1">
        <f t="array" ref="T402">IF($A402="","",SUMPRODUCT((TRIM(tblDados[Visitante])=$A402)*tblDados[Primeira_Ocorrencia]*tblDados[GM_V]))</f>
        <v>13</v>
      </c>
      <c r="U402" s="14">
        <f t="shared" si="137"/>
        <v>21</v>
      </c>
      <c r="V402" s="14">
        <f t="shared" si="126"/>
        <v>1.75</v>
      </c>
      <c r="W402" s="14" cm="1">
        <f t="array" ref="W402">IF($A402="","",SUMPRODUCT((TRIM(tblDados[Mandante])=$A402)*tblDados[Primeira_Ocorrencia]*tblDados[GS_M]))</f>
        <v>7</v>
      </c>
      <c r="X402" s="14" cm="1">
        <f t="array" ref="X402">IF($A402="","",SUMPRODUCT((TRIM(tblDados[Visitante])=$A402)*tblDados[Primeira_Ocorrencia]*tblDados[GS_V]))</f>
        <v>7</v>
      </c>
      <c r="Y402" s="14">
        <f t="shared" si="138"/>
        <v>14</v>
      </c>
      <c r="Z402" s="14">
        <f t="shared" si="127"/>
        <v>1.1666666666666667</v>
      </c>
      <c r="AA402" s="14">
        <f t="shared" si="128"/>
        <v>1.3333333333333333</v>
      </c>
      <c r="AB402" s="14">
        <f t="shared" si="129"/>
        <v>1.1666666666666667</v>
      </c>
      <c r="AC402" s="14">
        <f t="shared" si="130"/>
        <v>2.1666666666666665</v>
      </c>
      <c r="AD402" s="14">
        <f t="shared" si="131"/>
        <v>1.1666666666666667</v>
      </c>
    </row>
    <row r="403" spans="1:30" x14ac:dyDescent="0.3">
      <c r="A403" s="1" t="str">
        <v>TP-47</v>
      </c>
      <c r="B403" s="13" t="str" cm="1">
        <f t="array" ref="B403">IF($A403="","",_xlfn.LET(_xlpm.p,IFERROR(INDEX(tblDados[País],MATCH($A403,TRIM(tblDados[Mandante]),0)),INDEX(tblDados[País],MATCH($A403,TRIM(tblDados[Visitante]),0))),_xlpm.l,IFERROR(INDEX(tblDados[Liga],MATCH($A403,TRIM(tblDados[Mandante]),0)),INDEX(tblDados[Liga],MATCH($A403,TRIM(tblDados[Visitante]),0))),_xlpm.p&amp;" - "&amp;_xlpm.l))</f>
        <v>FIN - Kakkonen C</v>
      </c>
      <c r="C403" s="14">
        <f t="shared" si="132"/>
        <v>4.1428571428571423</v>
      </c>
      <c r="D403" s="14">
        <f t="shared" si="133"/>
        <v>2.8</v>
      </c>
      <c r="E403" s="15" cm="1">
        <f t="array" ref="E403">IF($A403="","",SUMPRODUCT((TRIM(tblDados[Mandante])=$A403)*tblDados[Primeira_Ocorrencia]))</f>
        <v>7</v>
      </c>
      <c r="F403" s="15" cm="1">
        <f t="array" ref="F403">IF($A403="","",SUMPRODUCT((TRIM(tblDados[Visitante])=$A403)*tblDados[Primeira_Ocorrencia]))</f>
        <v>5</v>
      </c>
      <c r="G403" s="15" cm="1">
        <f t="array" ref="G403">IF($A403="","",SUMPRODUCT((TRIM(tblDados[Mandante])=$A403)*tblDados[Primeira_Ocorrencia])+SUMPRODUCT((TRIM(tblDados[Visitante])=$A403)*tblDados[Primeira_Ocorrencia]))</f>
        <v>12</v>
      </c>
      <c r="H403" s="14">
        <f t="shared" si="134"/>
        <v>1.4166666666666667</v>
      </c>
      <c r="I403" s="14" cm="1">
        <f t="array" ref="I403">IF($A403="","",_xlfn.LET(_xlpm.p,IFERROR(INDEX(tblDados[País],MATCH($A403,TRIM(tblDados[Mandante]),0)),INDEX(tblDados[País],MATCH($A403,TRIM(tblDados[Visitante]),0))),_xlpm.l,IFERROR(INDEX(tblDados[Liga],MATCH($A403,TRIM(tblDados[Mandante]),0)),INDEX(tblDados[Liga],MATCH($A403,TRIM(tblDados[Visitante]),0))),IFERROR(SUMIFS(Ligas!$D$2:$D$39,Ligas!$H$2:$H$39,_xlpm.p,Ligas!$I$2:$I$39,_xlpm.l),0)))</f>
        <v>4.32</v>
      </c>
      <c r="J403" s="16" cm="1">
        <f t="array" ref="J403">IF($A403="","",IFERROR((SUMPRODUCT((TRIM(tblDados[Mandante])=$A403)*tblDados[Primeira_Ocorrencia]*(tblDados[GM_M]=0))+SUMPRODUCT((TRIM(tblDados[Visitante])=$A403)*tblDados[Primeira_Ocorrencia]*(tblDados[GM_V]=0)))/G403,0))</f>
        <v>0.41666666666666669</v>
      </c>
      <c r="K403" s="16" cm="1">
        <f t="array" ref="K403">IF($A403="","",IFERROR((SUMPRODUCT((TRIM(tblDados[Mandante])=$A403)*tblDados[Primeira_Ocorrencia]*((tblDados[GM_M]+tblDados[GS_M])&gt;0.5))+SUMPRODUCT((TRIM(tblDados[Visitante])=$A403)*tblDados[Primeira_Ocorrencia]*((tblDados[GM_V]+tblDados[GS_V])&gt;0.5)))/G403,0))</f>
        <v>0.91666666666666663</v>
      </c>
      <c r="L403" s="16" cm="1">
        <f t="array" ref="L403">IF($A403="","",IFERROR((SUMPRODUCT((TRIM(tblDados[Mandante])=$A403)*tblDados[Primeira_Ocorrencia]*((tblDados[GM_M]+tblDados[GS_M])&gt;1.5))+SUMPRODUCT((TRIM(tblDados[Visitante])=$A403)*tblDados[Primeira_Ocorrencia]*((tblDados[GM_V]+tblDados[GS_V])&gt;1.5)))/G403,0))</f>
        <v>0.83333333333333337</v>
      </c>
      <c r="M403" s="16" cm="1">
        <f t="array" ref="M403">IF($A403="","",IFERROR((SUMPRODUCT((TRIM(tblDados[Mandante])=$A403)*tblDados[Primeira_Ocorrencia]*((tblDados[GM_M]+tblDados[GS_M])&gt;2.5))+SUMPRODUCT((TRIM(tblDados[Visitante])=$A403)*tblDados[Primeira_Ocorrencia]*((tblDados[GM_V]+tblDados[GS_V])&gt;2.5)))/G403,0))</f>
        <v>0.66666666666666663</v>
      </c>
      <c r="N403" s="16" cm="1">
        <f t="array" ref="N403">IF($A403="","",IFERROR((SUMPRODUCT((TRIM(tblDados[Mandante])=$A403)*tblDados[Primeira_Ocorrencia]*((tblDados[GM_M]+tblDados[GS_M])&gt;3.5))+SUMPRODUCT((TRIM(tblDados[Visitante])=$A403)*tblDados[Primeira_Ocorrencia]*((tblDados[GM_V]+tblDados[GS_V])&gt;3.5)))/G403,0))</f>
        <v>0.5</v>
      </c>
      <c r="O403" s="16" cm="1">
        <f t="array" ref="O403">IF($A403="","",IFERROR((SUMPRODUCT((TRIM(tblDados[Mandante])=$A403)*tblDados[Primeira_Ocorrencia]*(tblDados[GM_M]&gt;0)*(tblDados[GS_M]&gt;0))+SUMPRODUCT((TRIM(tblDados[Visitante])=$A403)*tblDados[Primeira_Ocorrencia]*(tblDados[GM_V]&gt;0)*(tblDados[GS_V]&gt;0)))/G403,0))</f>
        <v>0.58333333333333337</v>
      </c>
      <c r="P403" s="14" cm="1">
        <f t="array" ref="P403">IF($A403="","",IFERROR((SUMPRODUCT((TRIM(tblDados[Mandante])=$A403)*tblDados[Primeira_Ocorrencia]*tblDados[GM_M]^2)+SUMPRODUCT((TRIM(tblDados[Visitante])=$A403)*tblDados[Primeira_Ocorrencia]*tblDados[GM_V]^2))/G403-H403^2,0))</f>
        <v>1.9097222222222219</v>
      </c>
      <c r="Q403" s="14">
        <f t="shared" si="135"/>
        <v>1.3819269959814164</v>
      </c>
      <c r="R403" s="1" t="str">
        <f t="shared" si="136"/>
        <v>Poisson</v>
      </c>
      <c r="S403" s="14" cm="1">
        <f t="array" ref="S403">IF($A403="","",SUMPRODUCT((TRIM(tblDados[Mandante])=$A403)*tblDados[Primeira_Ocorrencia]*tblDados[GM_M]))</f>
        <v>13</v>
      </c>
      <c r="T403" s="14" cm="1">
        <f t="array" ref="T403">IF($A403="","",SUMPRODUCT((TRIM(tblDados[Visitante])=$A403)*tblDados[Primeira_Ocorrencia]*tblDados[GM_V]))</f>
        <v>4</v>
      </c>
      <c r="U403" s="14">
        <f t="shared" si="137"/>
        <v>17</v>
      </c>
      <c r="V403" s="14">
        <f t="shared" si="126"/>
        <v>1.4166666666666667</v>
      </c>
      <c r="W403" s="14" cm="1">
        <f t="array" ref="W403">IF($A403="","",SUMPRODUCT((TRIM(tblDados[Mandante])=$A403)*tblDados[Primeira_Ocorrencia]*tblDados[GS_M]))</f>
        <v>16</v>
      </c>
      <c r="X403" s="14" cm="1">
        <f t="array" ref="X403">IF($A403="","",SUMPRODUCT((TRIM(tblDados[Visitante])=$A403)*tblDados[Primeira_Ocorrencia]*tblDados[GS_V]))</f>
        <v>10</v>
      </c>
      <c r="Y403" s="14">
        <f t="shared" si="138"/>
        <v>26</v>
      </c>
      <c r="Z403" s="14">
        <f t="shared" si="127"/>
        <v>2.1666666666666665</v>
      </c>
      <c r="AA403" s="14">
        <f t="shared" si="128"/>
        <v>1.8571428571428572</v>
      </c>
      <c r="AB403" s="14">
        <f t="shared" si="129"/>
        <v>2.2857142857142856</v>
      </c>
      <c r="AC403" s="14">
        <f t="shared" si="130"/>
        <v>0.8</v>
      </c>
      <c r="AD403" s="14">
        <f t="shared" si="131"/>
        <v>2</v>
      </c>
    </row>
    <row r="404" spans="1:30" x14ac:dyDescent="0.3">
      <c r="A404" s="1" t="str">
        <v>TPS</v>
      </c>
      <c r="B404" s="13" t="str" cm="1">
        <f t="array" ref="B404">IF($A404="","",_xlfn.LET(_xlpm.p,IFERROR(INDEX(tblDados[País],MATCH($A404,TRIM(tblDados[Mandante]),0)),INDEX(tblDados[País],MATCH($A404,TRIM(tblDados[Visitante]),0))),_xlpm.l,IFERROR(INDEX(tblDados[Liga],MATCH($A404,TRIM(tblDados[Mandante]),0)),INDEX(tblDados[Liga],MATCH($A404,TRIM(tblDados[Visitante]),0))),_xlpm.p&amp;" - "&amp;_xlpm.l))</f>
        <v>FIN - Veikkausliiga</v>
      </c>
      <c r="C404" s="14">
        <f t="shared" si="132"/>
        <v>3.166666666666667</v>
      </c>
      <c r="D404" s="14">
        <f t="shared" si="133"/>
        <v>1.6666666666666665</v>
      </c>
      <c r="E404" s="15" cm="1">
        <f t="array" ref="E404">IF($A404="","",SUMPRODUCT((TRIM(tblDados[Mandante])=$A404)*tblDados[Primeira_Ocorrencia]))</f>
        <v>6</v>
      </c>
      <c r="F404" s="15" cm="1">
        <f t="array" ref="F404">IF($A404="","",SUMPRODUCT((TRIM(tblDados[Visitante])=$A404)*tblDados[Primeira_Ocorrencia]))</f>
        <v>6</v>
      </c>
      <c r="G404" s="15" cm="1">
        <f t="array" ref="G404">IF($A404="","",SUMPRODUCT((TRIM(tblDados[Mandante])=$A404)*tblDados[Primeira_Ocorrencia])+SUMPRODUCT((TRIM(tblDados[Visitante])=$A404)*tblDados[Primeira_Ocorrencia]))</f>
        <v>12</v>
      </c>
      <c r="H404" s="14">
        <f t="shared" si="134"/>
        <v>1.1666666666666667</v>
      </c>
      <c r="I404" s="14" cm="1">
        <f t="array" ref="I404">IF($A404="","",_xlfn.LET(_xlpm.p,IFERROR(INDEX(tblDados[País],MATCH($A404,TRIM(tblDados[Mandante]),0)),INDEX(tblDados[País],MATCH($A404,TRIM(tblDados[Visitante]),0))),_xlpm.l,IFERROR(INDEX(tblDados[Liga],MATCH($A404,TRIM(tblDados[Mandante]),0)),INDEX(tblDados[Liga],MATCH($A404,TRIM(tblDados[Visitante]),0))),IFERROR(SUMIFS(Ligas!$D$2:$D$39,Ligas!$H$2:$H$39,_xlpm.p,Ligas!$I$2:$I$39,_xlpm.l),0)))</f>
        <v>2.6</v>
      </c>
      <c r="J404" s="16" cm="1">
        <f t="array" ref="J404">IF($A404="","",IFERROR((SUMPRODUCT((TRIM(tblDados[Mandante])=$A404)*tblDados[Primeira_Ocorrencia]*(tblDados[GM_M]=0))+SUMPRODUCT((TRIM(tblDados[Visitante])=$A404)*tblDados[Primeira_Ocorrencia]*(tblDados[GM_V]=0)))/G404,0))</f>
        <v>0.33333333333333331</v>
      </c>
      <c r="K404" s="16" cm="1">
        <f t="array" ref="K404">IF($A404="","",IFERROR((SUMPRODUCT((TRIM(tblDados[Mandante])=$A404)*tblDados[Primeira_Ocorrencia]*((tblDados[GM_M]+tblDados[GS_M])&gt;0.5))+SUMPRODUCT((TRIM(tblDados[Visitante])=$A404)*tblDados[Primeira_Ocorrencia]*((tblDados[GM_V]+tblDados[GS_V])&gt;0.5)))/G404,0))</f>
        <v>0.91666666666666663</v>
      </c>
      <c r="L404" s="16" cm="1">
        <f t="array" ref="L404">IF($A404="","",IFERROR((SUMPRODUCT((TRIM(tblDados[Mandante])=$A404)*tblDados[Primeira_Ocorrencia]*((tblDados[GM_M]+tblDados[GS_M])&gt;1.5))+SUMPRODUCT((TRIM(tblDados[Visitante])=$A404)*tblDados[Primeira_Ocorrencia]*((tblDados[GM_V]+tblDados[GS_V])&gt;1.5)))/G404,0))</f>
        <v>0.58333333333333337</v>
      </c>
      <c r="M404" s="16" cm="1">
        <f t="array" ref="M404">IF($A404="","",IFERROR((SUMPRODUCT((TRIM(tblDados[Mandante])=$A404)*tblDados[Primeira_Ocorrencia]*((tblDados[GM_M]+tblDados[GS_M])&gt;2.5))+SUMPRODUCT((TRIM(tblDados[Visitante])=$A404)*tblDados[Primeira_Ocorrencia]*((tblDados[GM_V]+tblDados[GS_V])&gt;2.5)))/G404,0))</f>
        <v>0.58333333333333337</v>
      </c>
      <c r="N404" s="16" cm="1">
        <f t="array" ref="N404">IF($A404="","",IFERROR((SUMPRODUCT((TRIM(tblDados[Mandante])=$A404)*tblDados[Primeira_Ocorrencia]*((tblDados[GM_M]+tblDados[GS_M])&gt;3.5))+SUMPRODUCT((TRIM(tblDados[Visitante])=$A404)*tblDados[Primeira_Ocorrencia]*((tblDados[GM_V]+tblDados[GS_V])&gt;3.5)))/G404,0))</f>
        <v>0.25</v>
      </c>
      <c r="O404" s="16" cm="1">
        <f t="array" ref="O404">IF($A404="","",IFERROR((SUMPRODUCT((TRIM(tblDados[Mandante])=$A404)*tblDados[Primeira_Ocorrencia]*(tblDados[GM_M]&gt;0)*(tblDados[GS_M]&gt;0))+SUMPRODUCT((TRIM(tblDados[Visitante])=$A404)*tblDados[Primeira_Ocorrencia]*(tblDados[GM_V]&gt;0)*(tblDados[GS_V]&gt;0)))/G404,0))</f>
        <v>0.41666666666666669</v>
      </c>
      <c r="P404" s="14" cm="1">
        <f t="array" ref="P404">IF($A404="","",IFERROR((SUMPRODUCT((TRIM(tblDados[Mandante])=$A404)*tblDados[Primeira_Ocorrencia]*tblDados[GM_M]^2)+SUMPRODUCT((TRIM(tblDados[Visitante])=$A404)*tblDados[Primeira_Ocorrencia]*tblDados[GM_V]^2))/G404-H404^2,0))</f>
        <v>1.3055555555555551</v>
      </c>
      <c r="Q404" s="14">
        <f t="shared" si="135"/>
        <v>1.1426091000668406</v>
      </c>
      <c r="R404" s="1" t="str">
        <f t="shared" si="136"/>
        <v>Poisson</v>
      </c>
      <c r="S404" s="14" cm="1">
        <f t="array" ref="S404">IF($A404="","",SUMPRODUCT((TRIM(tblDados[Mandante])=$A404)*tblDados[Primeira_Ocorrencia]*tblDados[GM_M]))</f>
        <v>12</v>
      </c>
      <c r="T404" s="14" cm="1">
        <f t="array" ref="T404">IF($A404="","",SUMPRODUCT((TRIM(tblDados[Visitante])=$A404)*tblDados[Primeira_Ocorrencia]*tblDados[GM_V]))</f>
        <v>2</v>
      </c>
      <c r="U404" s="14">
        <f t="shared" si="137"/>
        <v>14</v>
      </c>
      <c r="V404" s="14">
        <f t="shared" si="126"/>
        <v>1.1666666666666667</v>
      </c>
      <c r="W404" s="14" cm="1">
        <f t="array" ref="W404">IF($A404="","",SUMPRODUCT((TRIM(tblDados[Mandante])=$A404)*tblDados[Primeira_Ocorrencia]*tblDados[GS_M]))</f>
        <v>7</v>
      </c>
      <c r="X404" s="14" cm="1">
        <f t="array" ref="X404">IF($A404="","",SUMPRODUCT((TRIM(tblDados[Visitante])=$A404)*tblDados[Primeira_Ocorrencia]*tblDados[GS_V]))</f>
        <v>8</v>
      </c>
      <c r="Y404" s="14">
        <f t="shared" si="138"/>
        <v>15</v>
      </c>
      <c r="Z404" s="14">
        <f t="shared" si="127"/>
        <v>1.25</v>
      </c>
      <c r="AA404" s="14">
        <f t="shared" si="128"/>
        <v>2</v>
      </c>
      <c r="AB404" s="14">
        <f t="shared" si="129"/>
        <v>1.1666666666666667</v>
      </c>
      <c r="AC404" s="14">
        <f t="shared" si="130"/>
        <v>0.33333333333333331</v>
      </c>
      <c r="AD404" s="14">
        <f t="shared" si="131"/>
        <v>1.3333333333333333</v>
      </c>
    </row>
    <row r="405" spans="1:30" x14ac:dyDescent="0.3">
      <c r="A405" s="2" t="str">
        <v>TPV</v>
      </c>
      <c r="B405" s="13" t="str" cm="1">
        <f t="array" ref="B405">IF($A405="","",_xlfn.LET(_xlpm.p,IFERROR(INDEX(tblDados[País],MATCH($A405,TRIM(tblDados[Mandante]),0)),INDEX(tblDados[País],MATCH($A405,TRIM(tblDados[Visitante]),0))),_xlpm.l,IFERROR(INDEX(tblDados[Liga],MATCH($A405,TRIM(tblDados[Mandante]),0)),INDEX(tblDados[Liga],MATCH($A405,TRIM(tblDados[Visitante]),0))),_xlpm.p&amp;" - "&amp;_xlpm.l))</f>
        <v>FIN - Ykkönen</v>
      </c>
      <c r="C405" s="14">
        <f t="shared" si="132"/>
        <v>3.833333333333333</v>
      </c>
      <c r="D405" s="14">
        <f t="shared" si="133"/>
        <v>4.5</v>
      </c>
      <c r="E405" s="15" cm="1">
        <f t="array" ref="E405">IF($A405="","",SUMPRODUCT((TRIM(tblDados[Mandante])=$A405)*tblDados[Primeira_Ocorrencia]))</f>
        <v>6</v>
      </c>
      <c r="F405" s="15" cm="1">
        <f t="array" ref="F405">IF($A405="","",SUMPRODUCT((TRIM(tblDados[Visitante])=$A405)*tblDados[Primeira_Ocorrencia]))</f>
        <v>6</v>
      </c>
      <c r="G405" s="15" cm="1">
        <f t="array" ref="G405">IF($A405="","",SUMPRODUCT((TRIM(tblDados[Mandante])=$A405)*tblDados[Primeira_Ocorrencia])+SUMPRODUCT((TRIM(tblDados[Visitante])=$A405)*tblDados[Primeira_Ocorrencia]))</f>
        <v>12</v>
      </c>
      <c r="H405" s="14">
        <f t="shared" si="134"/>
        <v>1.9166666666666667</v>
      </c>
      <c r="I405" s="14" cm="1">
        <f t="array" ref="I405">IF($A405="","",_xlfn.LET(_xlpm.p,IFERROR(INDEX(tblDados[País],MATCH($A405,TRIM(tblDados[Mandante]),0)),INDEX(tblDados[País],MATCH($A405,TRIM(tblDados[Visitante]),0))),_xlpm.l,IFERROR(INDEX(tblDados[Liga],MATCH($A405,TRIM(tblDados[Mandante]),0)),INDEX(tblDados[Liga],MATCH($A405,TRIM(tblDados[Visitante]),0))),IFERROR(SUMIFS(Ligas!$D$2:$D$39,Ligas!$H$2:$H$39,_xlpm.p,Ligas!$I$2:$I$39,_xlpm.l),0)))</f>
        <v>3.57</v>
      </c>
      <c r="J405" s="16" cm="1">
        <f t="array" ref="J405">IF($A405="","",IFERROR((SUMPRODUCT((TRIM(tblDados[Mandante])=$A405)*tblDados[Primeira_Ocorrencia]*(tblDados[GM_M]=0))+SUMPRODUCT((TRIM(tblDados[Visitante])=$A405)*tblDados[Primeira_Ocorrencia]*(tblDados[GM_V]=0)))/G405,0))</f>
        <v>0.16666666666666666</v>
      </c>
      <c r="K405" s="16" cm="1">
        <f t="array" ref="K405">IF($A405="","",IFERROR((SUMPRODUCT((TRIM(tblDados[Mandante])=$A405)*tblDados[Primeira_Ocorrencia]*((tblDados[GM_M]+tblDados[GS_M])&gt;0.5))+SUMPRODUCT((TRIM(tblDados[Visitante])=$A405)*tblDados[Primeira_Ocorrencia]*((tblDados[GM_V]+tblDados[GS_V])&gt;0.5)))/G405,0))</f>
        <v>1</v>
      </c>
      <c r="L405" s="16" cm="1">
        <f t="array" ref="L405">IF($A405="","",IFERROR((SUMPRODUCT((TRIM(tblDados[Mandante])=$A405)*tblDados[Primeira_Ocorrencia]*((tblDados[GM_M]+tblDados[GS_M])&gt;1.5))+SUMPRODUCT((TRIM(tblDados[Visitante])=$A405)*tblDados[Primeira_Ocorrencia]*((tblDados[GM_V]+tblDados[GS_V])&gt;1.5)))/G405,0))</f>
        <v>0.91666666666666663</v>
      </c>
      <c r="M405" s="16" cm="1">
        <f t="array" ref="M405">IF($A405="","",IFERROR((SUMPRODUCT((TRIM(tblDados[Mandante])=$A405)*tblDados[Primeira_Ocorrencia]*((tblDados[GM_M]+tblDados[GS_M])&gt;2.5))+SUMPRODUCT((TRIM(tblDados[Visitante])=$A405)*tblDados[Primeira_Ocorrencia]*((tblDados[GM_V]+tblDados[GS_V])&gt;2.5)))/G405,0))</f>
        <v>0.83333333333333337</v>
      </c>
      <c r="N405" s="16" cm="1">
        <f t="array" ref="N405">IF($A405="","",IFERROR((SUMPRODUCT((TRIM(tblDados[Mandante])=$A405)*tblDados[Primeira_Ocorrencia]*((tblDados[GM_M]+tblDados[GS_M])&gt;3.5))+SUMPRODUCT((TRIM(tblDados[Visitante])=$A405)*tblDados[Primeira_Ocorrencia]*((tblDados[GM_V]+tblDados[GS_V])&gt;3.5)))/G405,0))</f>
        <v>0.66666666666666663</v>
      </c>
      <c r="O405" s="16" cm="1">
        <f t="array" ref="O405">IF($A405="","",IFERROR((SUMPRODUCT((TRIM(tblDados[Mandante])=$A405)*tblDados[Primeira_Ocorrencia]*(tblDados[GM_M]&gt;0)*(tblDados[GS_M]&gt;0))+SUMPRODUCT((TRIM(tblDados[Visitante])=$A405)*tblDados[Primeira_Ocorrencia]*(tblDados[GM_V]&gt;0)*(tblDados[GS_V]&gt;0)))/G405,0))</f>
        <v>0.75</v>
      </c>
      <c r="P405" s="14" cm="1">
        <f t="array" ref="P405">IF($A405="","",IFERROR((SUMPRODUCT((TRIM(tblDados[Mandante])=$A405)*tblDados[Primeira_Ocorrencia]*tblDados[GM_M]^2)+SUMPRODUCT((TRIM(tblDados[Visitante])=$A405)*tblDados[Primeira_Ocorrencia]*tblDados[GM_V]^2))/G405-H405^2,0))</f>
        <v>2.4097222222222214</v>
      </c>
      <c r="Q405" s="14">
        <f t="shared" si="135"/>
        <v>1.5523280008497629</v>
      </c>
      <c r="R405" s="1" t="str">
        <f t="shared" si="136"/>
        <v>Poisson</v>
      </c>
      <c r="S405" s="14" cm="1">
        <f t="array" ref="S405">IF($A405="","",SUMPRODUCT((TRIM(tblDados[Mandante])=$A405)*tblDados[Primeira_Ocorrencia]*tblDados[GM_M]))</f>
        <v>13</v>
      </c>
      <c r="T405" s="14" cm="1">
        <f t="array" ref="T405">IF($A405="","",SUMPRODUCT((TRIM(tblDados[Visitante])=$A405)*tblDados[Primeira_Ocorrencia]*tblDados[GM_V]))</f>
        <v>10</v>
      </c>
      <c r="U405" s="14">
        <f t="shared" si="137"/>
        <v>23</v>
      </c>
      <c r="V405" s="14">
        <f t="shared" si="126"/>
        <v>1.9166666666666667</v>
      </c>
      <c r="W405" s="14" cm="1">
        <f t="array" ref="W405">IF($A405="","",SUMPRODUCT((TRIM(tblDados[Mandante])=$A405)*tblDados[Primeira_Ocorrencia]*tblDados[GS_M]))</f>
        <v>10</v>
      </c>
      <c r="X405" s="14" cm="1">
        <f t="array" ref="X405">IF($A405="","",SUMPRODUCT((TRIM(tblDados[Visitante])=$A405)*tblDados[Primeira_Ocorrencia]*tblDados[GS_V]))</f>
        <v>17</v>
      </c>
      <c r="Y405" s="14">
        <f t="shared" si="138"/>
        <v>27</v>
      </c>
      <c r="Z405" s="14">
        <f t="shared" si="127"/>
        <v>2.25</v>
      </c>
      <c r="AA405" s="14">
        <f t="shared" si="128"/>
        <v>2.1666666666666665</v>
      </c>
      <c r="AB405" s="14">
        <f t="shared" si="129"/>
        <v>1.6666666666666667</v>
      </c>
      <c r="AC405" s="14">
        <f t="shared" si="130"/>
        <v>1.6666666666666667</v>
      </c>
      <c r="AD405" s="14">
        <f t="shared" si="131"/>
        <v>2.8333333333333335</v>
      </c>
    </row>
    <row r="406" spans="1:30" x14ac:dyDescent="0.3">
      <c r="A406" s="2" t="str">
        <v>Trelleborgs FF</v>
      </c>
      <c r="B406" s="13" t="str" cm="1">
        <f t="array" ref="B406">IF($A406="","",_xlfn.LET(_xlpm.p,IFERROR(INDEX(tblDados[País],MATCH($A406,TRIM(tblDados[Mandante]),0)),INDEX(tblDados[País],MATCH($A406,TRIM(tblDados[Visitante]),0))),_xlpm.l,IFERROR(INDEX(tblDados[Liga],MATCH($A406,TRIM(tblDados[Mandante]),0)),INDEX(tblDados[Liga],MATCH($A406,TRIM(tblDados[Visitante]),0))),_xlpm.p&amp;" - "&amp;_xlpm.l))</f>
        <v>SWE - 1ª D Södra</v>
      </c>
      <c r="C406" s="14">
        <f t="shared" si="132"/>
        <v>3.666666666666667</v>
      </c>
      <c r="D406" s="14">
        <f t="shared" si="133"/>
        <v>2.1666666666666665</v>
      </c>
      <c r="E406" s="15" cm="1">
        <f t="array" ref="E406">IF($A406="","",SUMPRODUCT((TRIM(tblDados[Mandante])=$A406)*tblDados[Primeira_Ocorrencia]))</f>
        <v>6</v>
      </c>
      <c r="F406" s="15" cm="1">
        <f t="array" ref="F406">IF($A406="","",SUMPRODUCT((TRIM(tblDados[Visitante])=$A406)*tblDados[Primeira_Ocorrencia]))</f>
        <v>6</v>
      </c>
      <c r="G406" s="15" cm="1">
        <f t="array" ref="G406">IF($A406="","",SUMPRODUCT((TRIM(tblDados[Mandante])=$A406)*tblDados[Primeira_Ocorrencia])+SUMPRODUCT((TRIM(tblDados[Visitante])=$A406)*tblDados[Primeira_Ocorrencia]))</f>
        <v>12</v>
      </c>
      <c r="H406" s="14">
        <f t="shared" si="134"/>
        <v>1.9166666666666667</v>
      </c>
      <c r="I406" s="14" cm="1">
        <f t="array" ref="I406">IF($A406="","",_xlfn.LET(_xlpm.p,IFERROR(INDEX(tblDados[País],MATCH($A406,TRIM(tblDados[Mandante]),0)),INDEX(tblDados[País],MATCH($A406,TRIM(tblDados[Visitante]),0))),_xlpm.l,IFERROR(INDEX(tblDados[Liga],MATCH($A406,TRIM(tblDados[Mandante]),0)),INDEX(tblDados[Liga],MATCH($A406,TRIM(tblDados[Visitante]),0))),IFERROR(SUMIFS(Ligas!$D$2:$D$39,Ligas!$H$2:$H$39,_xlpm.p,Ligas!$I$2:$I$39,_xlpm.l),0)))</f>
        <v>2.5</v>
      </c>
      <c r="J406" s="16" cm="1">
        <f t="array" ref="J406">IF($A406="","",IFERROR((SUMPRODUCT((TRIM(tblDados[Mandante])=$A406)*tblDados[Primeira_Ocorrencia]*(tblDados[GM_M]=0))+SUMPRODUCT((TRIM(tblDados[Visitante])=$A406)*tblDados[Primeira_Ocorrencia]*(tblDados[GM_V]=0)))/G406,0))</f>
        <v>0.16666666666666666</v>
      </c>
      <c r="K406" s="16" cm="1">
        <f t="array" ref="K406">IF($A406="","",IFERROR((SUMPRODUCT((TRIM(tblDados[Mandante])=$A406)*tblDados[Primeira_Ocorrencia]*((tblDados[GM_M]+tblDados[GS_M])&gt;0.5))+SUMPRODUCT((TRIM(tblDados[Visitante])=$A406)*tblDados[Primeira_Ocorrencia]*((tblDados[GM_V]+tblDados[GS_V])&gt;0.5)))/G406,0))</f>
        <v>0.83333333333333337</v>
      </c>
      <c r="L406" s="16" cm="1">
        <f t="array" ref="L406">IF($A406="","",IFERROR((SUMPRODUCT((TRIM(tblDados[Mandante])=$A406)*tblDados[Primeira_Ocorrencia]*((tblDados[GM_M]+tblDados[GS_M])&gt;1.5))+SUMPRODUCT((TRIM(tblDados[Visitante])=$A406)*tblDados[Primeira_Ocorrencia]*((tblDados[GM_V]+tblDados[GS_V])&gt;1.5)))/G406,0))</f>
        <v>0.83333333333333337</v>
      </c>
      <c r="M406" s="16" cm="1">
        <f t="array" ref="M406">IF($A406="","",IFERROR((SUMPRODUCT((TRIM(tblDados[Mandante])=$A406)*tblDados[Primeira_Ocorrencia]*((tblDados[GM_M]+tblDados[GS_M])&gt;2.5))+SUMPRODUCT((TRIM(tblDados[Visitante])=$A406)*tblDados[Primeira_Ocorrencia]*((tblDados[GM_V]+tblDados[GS_V])&gt;2.5)))/G406,0))</f>
        <v>0.66666666666666663</v>
      </c>
      <c r="N406" s="16" cm="1">
        <f t="array" ref="N406">IF($A406="","",IFERROR((SUMPRODUCT((TRIM(tblDados[Mandante])=$A406)*tblDados[Primeira_Ocorrencia]*((tblDados[GM_M]+tblDados[GS_M])&gt;3.5))+SUMPRODUCT((TRIM(tblDados[Visitante])=$A406)*tblDados[Primeira_Ocorrencia]*((tblDados[GM_V]+tblDados[GS_V])&gt;3.5)))/G406,0))</f>
        <v>0.41666666666666669</v>
      </c>
      <c r="O406" s="16" cm="1">
        <f t="array" ref="O406">IF($A406="","",IFERROR((SUMPRODUCT((TRIM(tblDados[Mandante])=$A406)*tblDados[Primeira_Ocorrencia]*(tblDados[GM_M]&gt;0)*(tblDados[GS_M]&gt;0))+SUMPRODUCT((TRIM(tblDados[Visitante])=$A406)*tblDados[Primeira_Ocorrencia]*(tblDados[GM_V]&gt;0)*(tblDados[GS_V]&gt;0)))/G406,0))</f>
        <v>0.66666666666666663</v>
      </c>
      <c r="P406" s="14" cm="1">
        <f t="array" ref="P406">IF($A406="","",IFERROR((SUMPRODUCT((TRIM(tblDados[Mandante])=$A406)*tblDados[Primeira_Ocorrencia]*tblDados[GM_M]^2)+SUMPRODUCT((TRIM(tblDados[Visitante])=$A406)*tblDados[Primeira_Ocorrencia]*tblDados[GM_V]^2))/G406-H406^2,0))</f>
        <v>1.2430555555555554</v>
      </c>
      <c r="Q406" s="14">
        <f t="shared" si="135"/>
        <v>1.1149240133549709</v>
      </c>
      <c r="R406" s="1" t="str">
        <f t="shared" si="136"/>
        <v>Poisson</v>
      </c>
      <c r="S406" s="14" cm="1">
        <f t="array" ref="S406">IF($A406="","",SUMPRODUCT((TRIM(tblDados[Mandante])=$A406)*tblDados[Primeira_Ocorrencia]*tblDados[GM_M]))</f>
        <v>14</v>
      </c>
      <c r="T406" s="14" cm="1">
        <f t="array" ref="T406">IF($A406="","",SUMPRODUCT((TRIM(tblDados[Visitante])=$A406)*tblDados[Primeira_Ocorrencia]*tblDados[GM_V]))</f>
        <v>9</v>
      </c>
      <c r="U406" s="14">
        <f t="shared" si="137"/>
        <v>23</v>
      </c>
      <c r="V406" s="14">
        <f t="shared" si="126"/>
        <v>1.9166666666666667</v>
      </c>
      <c r="W406" s="14" cm="1">
        <f t="array" ref="W406">IF($A406="","",SUMPRODUCT((TRIM(tblDados[Mandante])=$A406)*tblDados[Primeira_Ocorrencia]*tblDados[GS_M]))</f>
        <v>8</v>
      </c>
      <c r="X406" s="14" cm="1">
        <f t="array" ref="X406">IF($A406="","",SUMPRODUCT((TRIM(tblDados[Visitante])=$A406)*tblDados[Primeira_Ocorrencia]*tblDados[GS_V]))</f>
        <v>4</v>
      </c>
      <c r="Y406" s="14">
        <f t="shared" si="138"/>
        <v>12</v>
      </c>
      <c r="Z406" s="14">
        <f t="shared" si="127"/>
        <v>1</v>
      </c>
      <c r="AA406" s="14">
        <f t="shared" si="128"/>
        <v>2.3333333333333335</v>
      </c>
      <c r="AB406" s="14">
        <f t="shared" si="129"/>
        <v>1.3333333333333333</v>
      </c>
      <c r="AC406" s="14">
        <f t="shared" si="130"/>
        <v>1.5</v>
      </c>
      <c r="AD406" s="14">
        <f t="shared" si="131"/>
        <v>0.66666666666666663</v>
      </c>
    </row>
    <row r="407" spans="1:30" x14ac:dyDescent="0.3">
      <c r="A407" s="2" t="str">
        <v>Tromsø IL</v>
      </c>
      <c r="B407" s="13" t="str" cm="1">
        <f t="array" ref="B407">IF($A407="","",_xlfn.LET(_xlpm.p,IFERROR(INDEX(tblDados[País],MATCH($A407,TRIM(tblDados[Mandante]),0)),INDEX(tblDados[País],MATCH($A407,TRIM(tblDados[Visitante]),0))),_xlpm.l,IFERROR(INDEX(tblDados[Liga],MATCH($A407,TRIM(tblDados[Mandante]),0)),INDEX(tblDados[Liga],MATCH($A407,TRIM(tblDados[Visitante]),0))),_xlpm.p&amp;" - "&amp;_xlpm.l))</f>
        <v>NOR - Eliteserien</v>
      </c>
      <c r="C407" s="14">
        <f t="shared" si="132"/>
        <v>2.8333333333333335</v>
      </c>
      <c r="D407" s="14">
        <f t="shared" si="133"/>
        <v>3.5</v>
      </c>
      <c r="E407" s="15" cm="1">
        <f t="array" ref="E407">IF($A407="","",SUMPRODUCT((TRIM(tblDados[Mandante])=$A407)*tblDados[Primeira_Ocorrencia]))</f>
        <v>6</v>
      </c>
      <c r="F407" s="15" cm="1">
        <f t="array" ref="F407">IF($A407="","",SUMPRODUCT((TRIM(tblDados[Visitante])=$A407)*tblDados[Primeira_Ocorrencia]))</f>
        <v>6</v>
      </c>
      <c r="G407" s="15" cm="1">
        <f t="array" ref="G407">IF($A407="","",SUMPRODUCT((TRIM(tblDados[Mandante])=$A407)*tblDados[Primeira_Ocorrencia])+SUMPRODUCT((TRIM(tblDados[Visitante])=$A407)*tblDados[Primeira_Ocorrencia]))</f>
        <v>12</v>
      </c>
      <c r="H407" s="14">
        <f t="shared" si="134"/>
        <v>1.8333333333333333</v>
      </c>
      <c r="I407" s="14" cm="1">
        <f t="array" ref="I407">IF($A407="","",_xlfn.LET(_xlpm.p,IFERROR(INDEX(tblDados[País],MATCH($A407,TRIM(tblDados[Mandante]),0)),INDEX(tblDados[País],MATCH($A407,TRIM(tblDados[Visitante]),0))),_xlpm.l,IFERROR(INDEX(tblDados[Liga],MATCH($A407,TRIM(tblDados[Mandante]),0)),INDEX(tblDados[Liga],MATCH($A407,TRIM(tblDados[Visitante]),0))),IFERROR(SUMIFS(Ligas!$D$2:$D$39,Ligas!$H$2:$H$39,_xlpm.p,Ligas!$I$2:$I$39,_xlpm.l),0)))</f>
        <v>2.5</v>
      </c>
      <c r="J407" s="16" cm="1">
        <f t="array" ref="J407">IF($A407="","",IFERROR((SUMPRODUCT((TRIM(tblDados[Mandante])=$A407)*tblDados[Primeira_Ocorrencia]*(tblDados[GM_M]=0))+SUMPRODUCT((TRIM(tblDados[Visitante])=$A407)*tblDados[Primeira_Ocorrencia]*(tblDados[GM_V]=0)))/G407,0))</f>
        <v>0.33333333333333331</v>
      </c>
      <c r="K407" s="16" cm="1">
        <f t="array" ref="K407">IF($A407="","",IFERROR((SUMPRODUCT((TRIM(tblDados[Mandante])=$A407)*tblDados[Primeira_Ocorrencia]*((tblDados[GM_M]+tblDados[GS_M])&gt;0.5))+SUMPRODUCT((TRIM(tblDados[Visitante])=$A407)*tblDados[Primeira_Ocorrencia]*((tblDados[GM_V]+tblDados[GS_V])&gt;0.5)))/G407,0))</f>
        <v>0.83333333333333337</v>
      </c>
      <c r="L407" s="16" cm="1">
        <f t="array" ref="L407">IF($A407="","",IFERROR((SUMPRODUCT((TRIM(tblDados[Mandante])=$A407)*tblDados[Primeira_Ocorrencia]*((tblDados[GM_M]+tblDados[GS_M])&gt;1.5))+SUMPRODUCT((TRIM(tblDados[Visitante])=$A407)*tblDados[Primeira_Ocorrencia]*((tblDados[GM_V]+tblDados[GS_V])&gt;1.5)))/G407,0))</f>
        <v>0.75</v>
      </c>
      <c r="M407" s="16" cm="1">
        <f t="array" ref="M407">IF($A407="","",IFERROR((SUMPRODUCT((TRIM(tblDados[Mandante])=$A407)*tblDados[Primeira_Ocorrencia]*((tblDados[GM_M]+tblDados[GS_M])&gt;2.5))+SUMPRODUCT((TRIM(tblDados[Visitante])=$A407)*tblDados[Primeira_Ocorrencia]*((tblDados[GM_V]+tblDados[GS_V])&gt;2.5)))/G407,0))</f>
        <v>0.5</v>
      </c>
      <c r="N407" s="16" cm="1">
        <f t="array" ref="N407">IF($A407="","",IFERROR((SUMPRODUCT((TRIM(tblDados[Mandante])=$A407)*tblDados[Primeira_Ocorrencia]*((tblDados[GM_M]+tblDados[GS_M])&gt;3.5))+SUMPRODUCT((TRIM(tblDados[Visitante])=$A407)*tblDados[Primeira_Ocorrencia]*((tblDados[GM_V]+tblDados[GS_V])&gt;3.5)))/G407,0))</f>
        <v>0.5</v>
      </c>
      <c r="O407" s="16" cm="1">
        <f t="array" ref="O407">IF($A407="","",IFERROR((SUMPRODUCT((TRIM(tblDados[Mandante])=$A407)*tblDados[Primeira_Ocorrencia]*(tblDados[GM_M]&gt;0)*(tblDados[GS_M]&gt;0))+SUMPRODUCT((TRIM(tblDados[Visitante])=$A407)*tblDados[Primeira_Ocorrencia]*(tblDados[GM_V]&gt;0)*(tblDados[GS_V]&gt;0)))/G407,0))</f>
        <v>0.41666666666666669</v>
      </c>
      <c r="P407" s="14" cm="1">
        <f t="array" ref="P407">IF($A407="","",IFERROR((SUMPRODUCT((TRIM(tblDados[Mandante])=$A407)*tblDados[Primeira_Ocorrencia]*tblDados[GM_M]^2)+SUMPRODUCT((TRIM(tblDados[Visitante])=$A407)*tblDados[Primeira_Ocorrencia]*tblDados[GM_V]^2))/G407-H407^2,0))</f>
        <v>3.6388888888888893</v>
      </c>
      <c r="Q407" s="14">
        <f t="shared" si="135"/>
        <v>1.9075871903765995</v>
      </c>
      <c r="R407" s="1" t="str">
        <f t="shared" si="136"/>
        <v>Binomial Negativa</v>
      </c>
      <c r="S407" s="14" cm="1">
        <f t="array" ref="S407">IF($A407="","",SUMPRODUCT((TRIM(tblDados[Mandante])=$A407)*tblDados[Primeira_Ocorrencia]*tblDados[GM_M]))</f>
        <v>10</v>
      </c>
      <c r="T407" s="14" cm="1">
        <f t="array" ref="T407">IF($A407="","",SUMPRODUCT((TRIM(tblDados[Visitante])=$A407)*tblDados[Primeira_Ocorrencia]*tblDados[GM_V]))</f>
        <v>12</v>
      </c>
      <c r="U407" s="14">
        <f t="shared" si="137"/>
        <v>22</v>
      </c>
      <c r="V407" s="14">
        <f t="shared" si="126"/>
        <v>1.8333333333333333</v>
      </c>
      <c r="W407" s="14" cm="1">
        <f t="array" ref="W407">IF($A407="","",SUMPRODUCT((TRIM(tblDados[Mandante])=$A407)*tblDados[Primeira_Ocorrencia]*tblDados[GS_M]))</f>
        <v>7</v>
      </c>
      <c r="X407" s="14" cm="1">
        <f t="array" ref="X407">IF($A407="","",SUMPRODUCT((TRIM(tblDados[Visitante])=$A407)*tblDados[Primeira_Ocorrencia]*tblDados[GS_V]))</f>
        <v>9</v>
      </c>
      <c r="Y407" s="14">
        <f t="shared" si="138"/>
        <v>16</v>
      </c>
      <c r="Z407" s="14">
        <f t="shared" si="127"/>
        <v>1.3333333333333333</v>
      </c>
      <c r="AA407" s="14">
        <f t="shared" si="128"/>
        <v>1.6666666666666667</v>
      </c>
      <c r="AB407" s="14">
        <f t="shared" si="129"/>
        <v>1.1666666666666667</v>
      </c>
      <c r="AC407" s="14">
        <f t="shared" si="130"/>
        <v>2</v>
      </c>
      <c r="AD407" s="14">
        <f t="shared" si="131"/>
        <v>1.5</v>
      </c>
    </row>
    <row r="408" spans="1:30" x14ac:dyDescent="0.3">
      <c r="A408" s="2" t="str">
        <v>Tvååkers IF</v>
      </c>
      <c r="B408" s="13" t="str" cm="1">
        <f t="array" ref="B408">IF($A408="","",_xlfn.LET(_xlpm.p,IFERROR(INDEX(tblDados[País],MATCH($A408,TRIM(tblDados[Mandante]),0)),INDEX(tblDados[País],MATCH($A408,TRIM(tblDados[Visitante]),0))),_xlpm.l,IFERROR(INDEX(tblDados[Liga],MATCH($A408,TRIM(tblDados[Mandante]),0)),INDEX(tblDados[Liga],MATCH($A408,TRIM(tblDados[Visitante]),0))),_xlpm.p&amp;" - "&amp;_xlpm.l))</f>
        <v>SWE - 1ª D Södra</v>
      </c>
      <c r="C408" s="14">
        <f t="shared" si="132"/>
        <v>3</v>
      </c>
      <c r="D408" s="14">
        <f t="shared" si="133"/>
        <v>3</v>
      </c>
      <c r="E408" s="15" cm="1">
        <f t="array" ref="E408">IF($A408="","",SUMPRODUCT((TRIM(tblDados[Mandante])=$A408)*tblDados[Primeira_Ocorrencia]))</f>
        <v>8</v>
      </c>
      <c r="F408" s="15" cm="1">
        <f t="array" ref="F408">IF($A408="","",SUMPRODUCT((TRIM(tblDados[Visitante])=$A408)*tblDados[Primeira_Ocorrencia]))</f>
        <v>4</v>
      </c>
      <c r="G408" s="15" cm="1">
        <f t="array" ref="G408">IF($A408="","",SUMPRODUCT((TRIM(tblDados[Mandante])=$A408)*tblDados[Primeira_Ocorrencia])+SUMPRODUCT((TRIM(tblDados[Visitante])=$A408)*tblDados[Primeira_Ocorrencia]))</f>
        <v>12</v>
      </c>
      <c r="H408" s="14">
        <f t="shared" si="134"/>
        <v>1.5</v>
      </c>
      <c r="I408" s="14" cm="1">
        <f t="array" ref="I408">IF($A408="","",_xlfn.LET(_xlpm.p,IFERROR(INDEX(tblDados[País],MATCH($A408,TRIM(tblDados[Mandante]),0)),INDEX(tblDados[País],MATCH($A408,TRIM(tblDados[Visitante]),0))),_xlpm.l,IFERROR(INDEX(tblDados[Liga],MATCH($A408,TRIM(tblDados[Mandante]),0)),INDEX(tblDados[Liga],MATCH($A408,TRIM(tblDados[Visitante]),0))),IFERROR(SUMIFS(Ligas!$D$2:$D$39,Ligas!$H$2:$H$39,_xlpm.p,Ligas!$I$2:$I$39,_xlpm.l),0)))</f>
        <v>2.5</v>
      </c>
      <c r="J408" s="16" cm="1">
        <f t="array" ref="J408">IF($A408="","",IFERROR((SUMPRODUCT((TRIM(tblDados[Mandante])=$A408)*tblDados[Primeira_Ocorrencia]*(tblDados[GM_M]=0))+SUMPRODUCT((TRIM(tblDados[Visitante])=$A408)*tblDados[Primeira_Ocorrencia]*(tblDados[GM_V]=0)))/G408,0))</f>
        <v>0</v>
      </c>
      <c r="K408" s="16" cm="1">
        <f t="array" ref="K408">IF($A408="","",IFERROR((SUMPRODUCT((TRIM(tblDados[Mandante])=$A408)*tblDados[Primeira_Ocorrencia]*((tblDados[GM_M]+tblDados[GS_M])&gt;0.5))+SUMPRODUCT((TRIM(tblDados[Visitante])=$A408)*tblDados[Primeira_Ocorrencia]*((tblDados[GM_V]+tblDados[GS_V])&gt;0.5)))/G408,0))</f>
        <v>1</v>
      </c>
      <c r="L408" s="16" cm="1">
        <f t="array" ref="L408">IF($A408="","",IFERROR((SUMPRODUCT((TRIM(tblDados[Mandante])=$A408)*tblDados[Primeira_Ocorrencia]*((tblDados[GM_M]+tblDados[GS_M])&gt;1.5))+SUMPRODUCT((TRIM(tblDados[Visitante])=$A408)*tblDados[Primeira_Ocorrencia]*((tblDados[GM_V]+tblDados[GS_V])&gt;1.5)))/G408,0))</f>
        <v>0.75</v>
      </c>
      <c r="M408" s="16" cm="1">
        <f t="array" ref="M408">IF($A408="","",IFERROR((SUMPRODUCT((TRIM(tblDados[Mandante])=$A408)*tblDados[Primeira_Ocorrencia]*((tblDados[GM_M]+tblDados[GS_M])&gt;2.5))+SUMPRODUCT((TRIM(tblDados[Visitante])=$A408)*tblDados[Primeira_Ocorrencia]*((tblDados[GM_V]+tblDados[GS_V])&gt;2.5)))/G408,0))</f>
        <v>0.66666666666666663</v>
      </c>
      <c r="N408" s="16" cm="1">
        <f t="array" ref="N408">IF($A408="","",IFERROR((SUMPRODUCT((TRIM(tblDados[Mandante])=$A408)*tblDados[Primeira_Ocorrencia]*((tblDados[GM_M]+tblDados[GS_M])&gt;3.5))+SUMPRODUCT((TRIM(tblDados[Visitante])=$A408)*tblDados[Primeira_Ocorrencia]*((tblDados[GM_V]+tblDados[GS_V])&gt;3.5)))/G408,0))</f>
        <v>0.33333333333333331</v>
      </c>
      <c r="O408" s="16" cm="1">
        <f t="array" ref="O408">IF($A408="","",IFERROR((SUMPRODUCT((TRIM(tblDados[Mandante])=$A408)*tblDados[Primeira_Ocorrencia]*(tblDados[GM_M]&gt;0)*(tblDados[GS_M]&gt;0))+SUMPRODUCT((TRIM(tblDados[Visitante])=$A408)*tblDados[Primeira_Ocorrencia]*(tblDados[GM_V]&gt;0)*(tblDados[GS_V]&gt;0)))/G408,0))</f>
        <v>0.75</v>
      </c>
      <c r="P408" s="14" cm="1">
        <f t="array" ref="P408">IF($A408="","",IFERROR((SUMPRODUCT((TRIM(tblDados[Mandante])=$A408)*tblDados[Primeira_Ocorrencia]*tblDados[GM_M]^2)+SUMPRODUCT((TRIM(tblDados[Visitante])=$A408)*tblDados[Primeira_Ocorrencia]*tblDados[GM_V]^2))/G408-H408^2,0))</f>
        <v>0.41666666666666652</v>
      </c>
      <c r="Q408" s="14">
        <f t="shared" si="135"/>
        <v>0.64549722436790269</v>
      </c>
      <c r="R408" s="1" t="str">
        <f t="shared" si="136"/>
        <v>Poisson</v>
      </c>
      <c r="S408" s="14" cm="1">
        <f t="array" ref="S408">IF($A408="","",SUMPRODUCT((TRIM(tblDados[Mandante])=$A408)*tblDados[Primeira_Ocorrencia]*tblDados[GM_M]))</f>
        <v>12</v>
      </c>
      <c r="T408" s="14" cm="1">
        <f t="array" ref="T408">IF($A408="","",SUMPRODUCT((TRIM(tblDados[Visitante])=$A408)*tblDados[Primeira_Ocorrencia]*tblDados[GM_V]))</f>
        <v>6</v>
      </c>
      <c r="U408" s="14">
        <f t="shared" si="137"/>
        <v>18</v>
      </c>
      <c r="V408" s="14">
        <f t="shared" si="126"/>
        <v>1.5</v>
      </c>
      <c r="W408" s="14" cm="1">
        <f t="array" ref="W408">IF($A408="","",SUMPRODUCT((TRIM(tblDados[Mandante])=$A408)*tblDados[Primeira_Ocorrencia]*tblDados[GS_M]))</f>
        <v>12</v>
      </c>
      <c r="X408" s="14" cm="1">
        <f t="array" ref="X408">IF($A408="","",SUMPRODUCT((TRIM(tblDados[Visitante])=$A408)*tblDados[Primeira_Ocorrencia]*tblDados[GS_V]))</f>
        <v>6</v>
      </c>
      <c r="Y408" s="14">
        <f t="shared" si="138"/>
        <v>18</v>
      </c>
      <c r="Z408" s="14">
        <f t="shared" si="127"/>
        <v>1.5</v>
      </c>
      <c r="AA408" s="14">
        <f t="shared" si="128"/>
        <v>1.5</v>
      </c>
      <c r="AB408" s="14">
        <f t="shared" si="129"/>
        <v>1.5</v>
      </c>
      <c r="AC408" s="14">
        <f t="shared" si="130"/>
        <v>1.5</v>
      </c>
      <c r="AD408" s="14">
        <f t="shared" si="131"/>
        <v>1.5</v>
      </c>
    </row>
    <row r="409" spans="1:30" x14ac:dyDescent="0.3">
      <c r="A409" s="2" t="str">
        <v>Umeå FC</v>
      </c>
      <c r="B409" s="13" t="str" cm="1">
        <f t="array" ref="B409">IF($A409="","",_xlfn.LET(_xlpm.p,IFERROR(INDEX(tblDados[País],MATCH($A409,TRIM(tblDados[Mandante]),0)),INDEX(tblDados[País],MATCH($A409,TRIM(tblDados[Visitante]),0))),_xlpm.l,IFERROR(INDEX(tblDados[Liga],MATCH($A409,TRIM(tblDados[Mandante]),0)),INDEX(tblDados[Liga],MATCH($A409,TRIM(tblDados[Visitante]),0))),_xlpm.p&amp;" - "&amp;_xlpm.l))</f>
        <v>SWE - 1ª D Norra</v>
      </c>
      <c r="C409" s="14">
        <f t="shared" si="132"/>
        <v>3.2857142857142856</v>
      </c>
      <c r="D409" s="14">
        <f t="shared" si="133"/>
        <v>3</v>
      </c>
      <c r="E409" s="15" cm="1">
        <f t="array" ref="E409">IF($A409="","",SUMPRODUCT((TRIM(tblDados[Mandante])=$A409)*tblDados[Primeira_Ocorrencia]))</f>
        <v>7</v>
      </c>
      <c r="F409" s="15" cm="1">
        <f t="array" ref="F409">IF($A409="","",SUMPRODUCT((TRIM(tblDados[Visitante])=$A409)*tblDados[Primeira_Ocorrencia]))</f>
        <v>5</v>
      </c>
      <c r="G409" s="15" cm="1">
        <f t="array" ref="G409">IF($A409="","",SUMPRODUCT((TRIM(tblDados[Mandante])=$A409)*tblDados[Primeira_Ocorrencia])+SUMPRODUCT((TRIM(tblDados[Visitante])=$A409)*tblDados[Primeira_Ocorrencia]))</f>
        <v>12</v>
      </c>
      <c r="H409" s="14">
        <f t="shared" si="134"/>
        <v>1.5</v>
      </c>
      <c r="I409" s="14" cm="1">
        <f t="array" ref="I409">IF($A409="","",_xlfn.LET(_xlpm.p,IFERROR(INDEX(tblDados[País],MATCH($A409,TRIM(tblDados[Mandante]),0)),INDEX(tblDados[País],MATCH($A409,TRIM(tblDados[Visitante]),0))),_xlpm.l,IFERROR(INDEX(tblDados[Liga],MATCH($A409,TRIM(tblDados[Mandante]),0)),INDEX(tblDados[Liga],MATCH($A409,TRIM(tblDados[Visitante]),0))),IFERROR(SUMIFS(Ligas!$D$2:$D$39,Ligas!$H$2:$H$39,_xlpm.p,Ligas!$I$2:$I$39,_xlpm.l),0)))</f>
        <v>2.5</v>
      </c>
      <c r="J409" s="16" cm="1">
        <f t="array" ref="J409">IF($A409="","",IFERROR((SUMPRODUCT((TRIM(tblDados[Mandante])=$A409)*tblDados[Primeira_Ocorrencia]*(tblDados[GM_M]=0))+SUMPRODUCT((TRIM(tblDados[Visitante])=$A409)*tblDados[Primeira_Ocorrencia]*(tblDados[GM_V]=0)))/G409,0))</f>
        <v>0.16666666666666666</v>
      </c>
      <c r="K409" s="16" cm="1">
        <f t="array" ref="K409">IF($A409="","",IFERROR((SUMPRODUCT((TRIM(tblDados[Mandante])=$A409)*tblDados[Primeira_Ocorrencia]*((tblDados[GM_M]+tblDados[GS_M])&gt;0.5))+SUMPRODUCT((TRIM(tblDados[Visitante])=$A409)*tblDados[Primeira_Ocorrencia]*((tblDados[GM_V]+tblDados[GS_V])&gt;0.5)))/G409,0))</f>
        <v>1</v>
      </c>
      <c r="L409" s="16" cm="1">
        <f t="array" ref="L409">IF($A409="","",IFERROR((SUMPRODUCT((TRIM(tblDados[Mandante])=$A409)*tblDados[Primeira_Ocorrencia]*((tblDados[GM_M]+tblDados[GS_M])&gt;1.5))+SUMPRODUCT((TRIM(tblDados[Visitante])=$A409)*tblDados[Primeira_Ocorrencia]*((tblDados[GM_V]+tblDados[GS_V])&gt;1.5)))/G409,0))</f>
        <v>0.91666666666666663</v>
      </c>
      <c r="M409" s="16" cm="1">
        <f t="array" ref="M409">IF($A409="","",IFERROR((SUMPRODUCT((TRIM(tblDados[Mandante])=$A409)*tblDados[Primeira_Ocorrencia]*((tblDados[GM_M]+tblDados[GS_M])&gt;2.5))+SUMPRODUCT((TRIM(tblDados[Visitante])=$A409)*tblDados[Primeira_Ocorrencia]*((tblDados[GM_V]+tblDados[GS_V])&gt;2.5)))/G409,0))</f>
        <v>0.58333333333333337</v>
      </c>
      <c r="N409" s="16" cm="1">
        <f t="array" ref="N409">IF($A409="","",IFERROR((SUMPRODUCT((TRIM(tblDados[Mandante])=$A409)*tblDados[Primeira_Ocorrencia]*((tblDados[GM_M]+tblDados[GS_M])&gt;3.5))+SUMPRODUCT((TRIM(tblDados[Visitante])=$A409)*tblDados[Primeira_Ocorrencia]*((tblDados[GM_V]+tblDados[GS_V])&gt;3.5)))/G409,0))</f>
        <v>0.5</v>
      </c>
      <c r="O409" s="16" cm="1">
        <f t="array" ref="O409">IF($A409="","",IFERROR((SUMPRODUCT((TRIM(tblDados[Mandante])=$A409)*tblDados[Primeira_Ocorrencia]*(tblDados[GM_M]&gt;0)*(tblDados[GS_M]&gt;0))+SUMPRODUCT((TRIM(tblDados[Visitante])=$A409)*tblDados[Primeira_Ocorrencia]*(tblDados[GM_V]&gt;0)*(tblDados[GS_V]&gt;0)))/G409,0))</f>
        <v>0.75</v>
      </c>
      <c r="P409" s="14" cm="1">
        <f t="array" ref="P409">IF($A409="","",IFERROR((SUMPRODUCT((TRIM(tblDados[Mandante])=$A409)*tblDados[Primeira_Ocorrencia]*tblDados[GM_M]^2)+SUMPRODUCT((TRIM(tblDados[Visitante])=$A409)*tblDados[Primeira_Ocorrencia]*tblDados[GM_V]^2))/G409-H409^2,0))</f>
        <v>1.5833333333333335</v>
      </c>
      <c r="Q409" s="14">
        <f t="shared" si="135"/>
        <v>1.2583057392117918</v>
      </c>
      <c r="R409" s="1" t="str">
        <f t="shared" si="136"/>
        <v>Poisson</v>
      </c>
      <c r="S409" s="14" cm="1">
        <f t="array" ref="S409">IF($A409="","",SUMPRODUCT((TRIM(tblDados[Mandante])=$A409)*tblDados[Primeira_Ocorrencia]*tblDados[GM_M]))</f>
        <v>10</v>
      </c>
      <c r="T409" s="14" cm="1">
        <f t="array" ref="T409">IF($A409="","",SUMPRODUCT((TRIM(tblDados[Visitante])=$A409)*tblDados[Primeira_Ocorrencia]*tblDados[GM_V]))</f>
        <v>8</v>
      </c>
      <c r="U409" s="14">
        <f t="shared" si="137"/>
        <v>18</v>
      </c>
      <c r="V409" s="14">
        <f t="shared" si="126"/>
        <v>1.5</v>
      </c>
      <c r="W409" s="14" cm="1">
        <f t="array" ref="W409">IF($A409="","",SUMPRODUCT((TRIM(tblDados[Mandante])=$A409)*tblDados[Primeira_Ocorrencia]*tblDados[GS_M]))</f>
        <v>13</v>
      </c>
      <c r="X409" s="14" cm="1">
        <f t="array" ref="X409">IF($A409="","",SUMPRODUCT((TRIM(tblDados[Visitante])=$A409)*tblDados[Primeira_Ocorrencia]*tblDados[GS_V]))</f>
        <v>7</v>
      </c>
      <c r="Y409" s="14">
        <f t="shared" si="138"/>
        <v>20</v>
      </c>
      <c r="Z409" s="14">
        <f t="shared" si="127"/>
        <v>1.6666666666666667</v>
      </c>
      <c r="AA409" s="14">
        <f t="shared" si="128"/>
        <v>1.4285714285714286</v>
      </c>
      <c r="AB409" s="14">
        <f t="shared" si="129"/>
        <v>1.8571428571428572</v>
      </c>
      <c r="AC409" s="14">
        <f t="shared" si="130"/>
        <v>1.6</v>
      </c>
      <c r="AD409" s="14">
        <f t="shared" si="131"/>
        <v>1.4</v>
      </c>
    </row>
    <row r="410" spans="1:30" x14ac:dyDescent="0.3">
      <c r="A410" s="2" t="str">
        <v>Unión La Calera</v>
      </c>
      <c r="B410" s="13" t="str" cm="1">
        <f t="array" ref="B410">IF($A410="","",_xlfn.LET(_xlpm.p,IFERROR(INDEX(tblDados[País],MATCH($A410,TRIM(tblDados[Mandante]),0)),INDEX(tblDados[País],MATCH($A410,TRIM(tblDados[Visitante]),0))),_xlpm.l,IFERROR(INDEX(tblDados[Liga],MATCH($A410,TRIM(tblDados[Mandante]),0)),INDEX(tblDados[Liga],MATCH($A410,TRIM(tblDados[Visitante]),0))),_xlpm.p&amp;" - "&amp;_xlpm.l))</f>
        <v>CHI - Liga de Primera</v>
      </c>
      <c r="C410" s="14">
        <f t="shared" si="132"/>
        <v>3.166666666666667</v>
      </c>
      <c r="D410" s="14">
        <f t="shared" si="133"/>
        <v>3</v>
      </c>
      <c r="E410" s="15" cm="1">
        <f t="array" ref="E410">IF($A410="","",SUMPRODUCT((TRIM(tblDados[Mandante])=$A410)*tblDados[Primeira_Ocorrencia]))</f>
        <v>6</v>
      </c>
      <c r="F410" s="15" cm="1">
        <f t="array" ref="F410">IF($A410="","",SUMPRODUCT((TRIM(tblDados[Visitante])=$A410)*tblDados[Primeira_Ocorrencia]))</f>
        <v>6</v>
      </c>
      <c r="G410" s="15" cm="1">
        <f t="array" ref="G410">IF($A410="","",SUMPRODUCT((TRIM(tblDados[Mandante])=$A410)*tblDados[Primeira_Ocorrencia])+SUMPRODUCT((TRIM(tblDados[Visitante])=$A410)*tblDados[Primeira_Ocorrencia]))</f>
        <v>12</v>
      </c>
      <c r="H410" s="14">
        <f t="shared" si="134"/>
        <v>1</v>
      </c>
      <c r="I410" s="14" cm="1">
        <f t="array" ref="I410">IF($A410="","",_xlfn.LET(_xlpm.p,IFERROR(INDEX(tblDados[País],MATCH($A410,TRIM(tblDados[Mandante]),0)),INDEX(tblDados[País],MATCH($A410,TRIM(tblDados[Visitante]),0))),_xlpm.l,IFERROR(INDEX(tblDados[Liga],MATCH($A410,TRIM(tblDados[Mandante]),0)),INDEX(tblDados[Liga],MATCH($A410,TRIM(tblDados[Visitante]),0))),IFERROR(SUMIFS(Ligas!$D$2:$D$39,Ligas!$H$2:$H$39,_xlpm.p,Ligas!$I$2:$I$39,_xlpm.l),0)))</f>
        <v>2.5</v>
      </c>
      <c r="J410" s="16" cm="1">
        <f t="array" ref="J410">IF($A410="","",IFERROR((SUMPRODUCT((TRIM(tblDados[Mandante])=$A410)*tblDados[Primeira_Ocorrencia]*(tblDados[GM_M]=0))+SUMPRODUCT((TRIM(tblDados[Visitante])=$A410)*tblDados[Primeira_Ocorrencia]*(tblDados[GM_V]=0)))/G410,0))</f>
        <v>0.33333333333333331</v>
      </c>
      <c r="K410" s="16" cm="1">
        <f t="array" ref="K410">IF($A410="","",IFERROR((SUMPRODUCT((TRIM(tblDados[Mandante])=$A410)*tblDados[Primeira_Ocorrencia]*((tblDados[GM_M]+tblDados[GS_M])&gt;0.5))+SUMPRODUCT((TRIM(tblDados[Visitante])=$A410)*tblDados[Primeira_Ocorrencia]*((tblDados[GM_V]+tblDados[GS_V])&gt;0.5)))/G410,0))</f>
        <v>0.91666666666666663</v>
      </c>
      <c r="L410" s="16" cm="1">
        <f t="array" ref="L410">IF($A410="","",IFERROR((SUMPRODUCT((TRIM(tblDados[Mandante])=$A410)*tblDados[Primeira_Ocorrencia]*((tblDados[GM_M]+tblDados[GS_M])&gt;1.5))+SUMPRODUCT((TRIM(tblDados[Visitante])=$A410)*tblDados[Primeira_Ocorrencia]*((tblDados[GM_V]+tblDados[GS_V])&gt;1.5)))/G410,0))</f>
        <v>0.83333333333333337</v>
      </c>
      <c r="M410" s="16" cm="1">
        <f t="array" ref="M410">IF($A410="","",IFERROR((SUMPRODUCT((TRIM(tblDados[Mandante])=$A410)*tblDados[Primeira_Ocorrencia]*((tblDados[GM_M]+tblDados[GS_M])&gt;2.5))+SUMPRODUCT((TRIM(tblDados[Visitante])=$A410)*tblDados[Primeira_Ocorrencia]*((tblDados[GM_V]+tblDados[GS_V])&gt;2.5)))/G410,0))</f>
        <v>0.75</v>
      </c>
      <c r="N410" s="16" cm="1">
        <f t="array" ref="N410">IF($A410="","",IFERROR((SUMPRODUCT((TRIM(tblDados[Mandante])=$A410)*tblDados[Primeira_Ocorrencia]*((tblDados[GM_M]+tblDados[GS_M])&gt;3.5))+SUMPRODUCT((TRIM(tblDados[Visitante])=$A410)*tblDados[Primeira_Ocorrencia]*((tblDados[GM_V]+tblDados[GS_V])&gt;3.5)))/G410,0))</f>
        <v>0.41666666666666669</v>
      </c>
      <c r="O410" s="16" cm="1">
        <f t="array" ref="O410">IF($A410="","",IFERROR((SUMPRODUCT((TRIM(tblDados[Mandante])=$A410)*tblDados[Primeira_Ocorrencia]*(tblDados[GM_M]&gt;0)*(tblDados[GS_M]&gt;0))+SUMPRODUCT((TRIM(tblDados[Visitante])=$A410)*tblDados[Primeira_Ocorrencia]*(tblDados[GM_V]&gt;0)*(tblDados[GS_V]&gt;0)))/G410,0))</f>
        <v>0.58333333333333337</v>
      </c>
      <c r="P410" s="14" cm="1">
        <f t="array" ref="P410">IF($A410="","",IFERROR((SUMPRODUCT((TRIM(tblDados[Mandante])=$A410)*tblDados[Primeira_Ocorrencia]*tblDados[GM_M]^2)+SUMPRODUCT((TRIM(tblDados[Visitante])=$A410)*tblDados[Primeira_Ocorrencia]*tblDados[GM_V]^2))/G410-H410^2,0))</f>
        <v>0.83333333333333326</v>
      </c>
      <c r="Q410" s="14">
        <f t="shared" si="135"/>
        <v>0.91287092917527679</v>
      </c>
      <c r="R410" s="1" t="str">
        <f t="shared" si="136"/>
        <v>Poisson</v>
      </c>
      <c r="S410" s="14" cm="1">
        <f t="array" ref="S410">IF($A410="","",SUMPRODUCT((TRIM(tblDados[Mandante])=$A410)*tblDados[Primeira_Ocorrencia]*tblDados[GM_M]))</f>
        <v>9</v>
      </c>
      <c r="T410" s="14" cm="1">
        <f t="array" ref="T410">IF($A410="","",SUMPRODUCT((TRIM(tblDados[Visitante])=$A410)*tblDados[Primeira_Ocorrencia]*tblDados[GM_V]))</f>
        <v>3</v>
      </c>
      <c r="U410" s="14">
        <f t="shared" si="137"/>
        <v>12</v>
      </c>
      <c r="V410" s="14">
        <f t="shared" si="126"/>
        <v>1</v>
      </c>
      <c r="W410" s="14" cm="1">
        <f t="array" ref="W410">IF($A410="","",SUMPRODUCT((TRIM(tblDados[Mandante])=$A410)*tblDados[Primeira_Ocorrencia]*tblDados[GS_M]))</f>
        <v>10</v>
      </c>
      <c r="X410" s="14" cm="1">
        <f t="array" ref="X410">IF($A410="","",SUMPRODUCT((TRIM(tblDados[Visitante])=$A410)*tblDados[Primeira_Ocorrencia]*tblDados[GS_V]))</f>
        <v>15</v>
      </c>
      <c r="Y410" s="14">
        <f t="shared" si="138"/>
        <v>25</v>
      </c>
      <c r="Z410" s="14">
        <f t="shared" si="127"/>
        <v>2.0833333333333335</v>
      </c>
      <c r="AA410" s="14">
        <f t="shared" si="128"/>
        <v>1.5</v>
      </c>
      <c r="AB410" s="14">
        <f t="shared" si="129"/>
        <v>1.6666666666666667</v>
      </c>
      <c r="AC410" s="14">
        <f t="shared" si="130"/>
        <v>0.5</v>
      </c>
      <c r="AD410" s="14">
        <f t="shared" si="131"/>
        <v>2.5</v>
      </c>
    </row>
    <row r="411" spans="1:30" x14ac:dyDescent="0.3">
      <c r="A411" s="2" t="str">
        <v>Union Plaani</v>
      </c>
      <c r="B411" s="13" t="str" cm="1">
        <f t="array" ref="B411">IF($A411="","",_xlfn.LET(_xlpm.p,IFERROR(INDEX(tblDados[País],MATCH($A411,TRIM(tblDados[Mandante]),0)),INDEX(tblDados[País],MATCH($A411,TRIM(tblDados[Visitante]),0))),_xlpm.l,IFERROR(INDEX(tblDados[Liga],MATCH($A411,TRIM(tblDados[Mandante]),0)),INDEX(tblDados[Liga],MATCH($A411,TRIM(tblDados[Visitante]),0))),_xlpm.p&amp;" - "&amp;_xlpm.l))</f>
        <v>FIN - Kakkonen A</v>
      </c>
      <c r="C411" s="14">
        <f t="shared" si="132"/>
        <v>3.666666666666667</v>
      </c>
      <c r="D411" s="14">
        <f t="shared" si="133"/>
        <v>3</v>
      </c>
      <c r="E411" s="15" cm="1">
        <f t="array" ref="E411">IF($A411="","",SUMPRODUCT((TRIM(tblDados[Mandante])=$A411)*tblDados[Primeira_Ocorrencia]))</f>
        <v>6</v>
      </c>
      <c r="F411" s="15" cm="1">
        <f t="array" ref="F411">IF($A411="","",SUMPRODUCT((TRIM(tblDados[Visitante])=$A411)*tblDados[Primeira_Ocorrencia]))</f>
        <v>6</v>
      </c>
      <c r="G411" s="15" cm="1">
        <f t="array" ref="G411">IF($A411="","",SUMPRODUCT((TRIM(tblDados[Mandante])=$A411)*tblDados[Primeira_Ocorrencia])+SUMPRODUCT((TRIM(tblDados[Visitante])=$A411)*tblDados[Primeira_Ocorrencia]))</f>
        <v>12</v>
      </c>
      <c r="H411" s="14">
        <f t="shared" si="134"/>
        <v>1</v>
      </c>
      <c r="I411" s="14" cm="1">
        <f t="array" ref="I411">IF($A411="","",_xlfn.LET(_xlpm.p,IFERROR(INDEX(tblDados[País],MATCH($A411,TRIM(tblDados[Mandante]),0)),INDEX(tblDados[País],MATCH($A411,TRIM(tblDados[Visitante]),0))),_xlpm.l,IFERROR(INDEX(tblDados[Liga],MATCH($A411,TRIM(tblDados[Mandante]),0)),INDEX(tblDados[Liga],MATCH($A411,TRIM(tblDados[Visitante]),0))),IFERROR(SUMIFS(Ligas!$D$2:$D$39,Ligas!$H$2:$H$39,_xlpm.p,Ligas!$I$2:$I$39,_xlpm.l),0)))</f>
        <v>3.79</v>
      </c>
      <c r="J411" s="16" cm="1">
        <f t="array" ref="J411">IF($A411="","",IFERROR((SUMPRODUCT((TRIM(tblDados[Mandante])=$A411)*tblDados[Primeira_Ocorrencia]*(tblDados[GM_M]=0))+SUMPRODUCT((TRIM(tblDados[Visitante])=$A411)*tblDados[Primeira_Ocorrencia]*(tblDados[GM_V]=0)))/G411,0))</f>
        <v>0.41666666666666669</v>
      </c>
      <c r="K411" s="16" cm="1">
        <f t="array" ref="K411">IF($A411="","",IFERROR((SUMPRODUCT((TRIM(tblDados[Mandante])=$A411)*tblDados[Primeira_Ocorrencia]*((tblDados[GM_M]+tblDados[GS_M])&gt;0.5))+SUMPRODUCT((TRIM(tblDados[Visitante])=$A411)*tblDados[Primeira_Ocorrencia]*((tblDados[GM_V]+tblDados[GS_V])&gt;0.5)))/G411,0))</f>
        <v>1</v>
      </c>
      <c r="L411" s="16" cm="1">
        <f t="array" ref="L411">IF($A411="","",IFERROR((SUMPRODUCT((TRIM(tblDados[Mandante])=$A411)*tblDados[Primeira_Ocorrencia]*((tblDados[GM_M]+tblDados[GS_M])&gt;1.5))+SUMPRODUCT((TRIM(tblDados[Visitante])=$A411)*tblDados[Primeira_Ocorrencia]*((tblDados[GM_V]+tblDados[GS_V])&gt;1.5)))/G411,0))</f>
        <v>0.83333333333333337</v>
      </c>
      <c r="M411" s="16" cm="1">
        <f t="array" ref="M411">IF($A411="","",IFERROR((SUMPRODUCT((TRIM(tblDados[Mandante])=$A411)*tblDados[Primeira_Ocorrencia]*((tblDados[GM_M]+tblDados[GS_M])&gt;2.5))+SUMPRODUCT((TRIM(tblDados[Visitante])=$A411)*tblDados[Primeira_Ocorrencia]*((tblDados[GM_V]+tblDados[GS_V])&gt;2.5)))/G411,0))</f>
        <v>0.41666666666666669</v>
      </c>
      <c r="N411" s="16" cm="1">
        <f t="array" ref="N411">IF($A411="","",IFERROR((SUMPRODUCT((TRIM(tblDados[Mandante])=$A411)*tblDados[Primeira_Ocorrencia]*((tblDados[GM_M]+tblDados[GS_M])&gt;3.5))+SUMPRODUCT((TRIM(tblDados[Visitante])=$A411)*tblDados[Primeira_Ocorrencia]*((tblDados[GM_V]+tblDados[GS_V])&gt;3.5)))/G411,0))</f>
        <v>0.33333333333333331</v>
      </c>
      <c r="O411" s="16" cm="1">
        <f t="array" ref="O411">IF($A411="","",IFERROR((SUMPRODUCT((TRIM(tblDados[Mandante])=$A411)*tblDados[Primeira_Ocorrencia]*(tblDados[GM_M]&gt;0)*(tblDados[GS_M]&gt;0))+SUMPRODUCT((TRIM(tblDados[Visitante])=$A411)*tblDados[Primeira_Ocorrencia]*(tblDados[GM_V]&gt;0)*(tblDados[GS_V]&gt;0)))/G411,0))</f>
        <v>0.5</v>
      </c>
      <c r="P411" s="14" cm="1">
        <f t="array" ref="P411">IF($A411="","",IFERROR((SUMPRODUCT((TRIM(tblDados[Mandante])=$A411)*tblDados[Primeira_Ocorrencia]*tblDados[GM_M]^2)+SUMPRODUCT((TRIM(tblDados[Visitante])=$A411)*tblDados[Primeira_Ocorrencia]*tblDados[GM_V]^2))/G411-H411^2,0))</f>
        <v>1</v>
      </c>
      <c r="Q411" s="14">
        <f t="shared" si="135"/>
        <v>1</v>
      </c>
      <c r="R411" s="1" t="str">
        <f t="shared" si="136"/>
        <v>Poisson</v>
      </c>
      <c r="S411" s="14" cm="1">
        <f t="array" ref="S411">IF($A411="","",SUMPRODUCT((TRIM(tblDados[Mandante])=$A411)*tblDados[Primeira_Ocorrencia]*tblDados[GM_M]))</f>
        <v>7</v>
      </c>
      <c r="T411" s="14" cm="1">
        <f t="array" ref="T411">IF($A411="","",SUMPRODUCT((TRIM(tblDados[Visitante])=$A411)*tblDados[Primeira_Ocorrencia]*tblDados[GM_V]))</f>
        <v>5</v>
      </c>
      <c r="U411" s="14">
        <f t="shared" si="137"/>
        <v>12</v>
      </c>
      <c r="V411" s="14">
        <f t="shared" si="126"/>
        <v>1</v>
      </c>
      <c r="W411" s="14" cm="1">
        <f t="array" ref="W411">IF($A411="","",SUMPRODUCT((TRIM(tblDados[Mandante])=$A411)*tblDados[Primeira_Ocorrencia]*tblDados[GS_M]))</f>
        <v>15</v>
      </c>
      <c r="X411" s="14" cm="1">
        <f t="array" ref="X411">IF($A411="","",SUMPRODUCT((TRIM(tblDados[Visitante])=$A411)*tblDados[Primeira_Ocorrencia]*tblDados[GS_V]))</f>
        <v>13</v>
      </c>
      <c r="Y411" s="14">
        <f t="shared" si="138"/>
        <v>28</v>
      </c>
      <c r="Z411" s="14">
        <f t="shared" si="127"/>
        <v>2.3333333333333335</v>
      </c>
      <c r="AA411" s="14">
        <f t="shared" si="128"/>
        <v>1.1666666666666667</v>
      </c>
      <c r="AB411" s="14">
        <f t="shared" si="129"/>
        <v>2.5</v>
      </c>
      <c r="AC411" s="14">
        <f t="shared" si="130"/>
        <v>0.83333333333333337</v>
      </c>
      <c r="AD411" s="14">
        <f t="shared" si="131"/>
        <v>2.1666666666666665</v>
      </c>
    </row>
    <row r="412" spans="1:30" x14ac:dyDescent="0.3">
      <c r="A412" s="1" t="str">
        <v>Universidad Católica (Quito)</v>
      </c>
      <c r="B412" s="13" t="str" cm="1">
        <f t="array" ref="B412">IF($A412="","",_xlfn.LET(_xlpm.p,IFERROR(INDEX(tblDados[País],MATCH($A412,TRIM(tblDados[Mandante]),0)),INDEX(tblDados[País],MATCH($A412,TRIM(tblDados[Visitante]),0))),_xlpm.l,IFERROR(INDEX(tblDados[Liga],MATCH($A412,TRIM(tblDados[Mandante]),0)),INDEX(tblDados[Liga],MATCH($A412,TRIM(tblDados[Visitante]),0))),_xlpm.p&amp;" - "&amp;_xlpm.l))</f>
        <v>ECU - LigaPro Serie A</v>
      </c>
      <c r="C412" s="14">
        <f t="shared" si="132"/>
        <v>3.8333333333333335</v>
      </c>
      <c r="D412" s="14">
        <f t="shared" si="133"/>
        <v>1.6666666666666667</v>
      </c>
      <c r="E412" s="15" cm="1">
        <f t="array" ref="E412">IF($A412="","",SUMPRODUCT((TRIM(tblDados[Mandante])=$A412)*tblDados[Primeira_Ocorrencia]))</f>
        <v>6</v>
      </c>
      <c r="F412" s="15" cm="1">
        <f t="array" ref="F412">IF($A412="","",SUMPRODUCT((TRIM(tblDados[Visitante])=$A412)*tblDados[Primeira_Ocorrencia]))</f>
        <v>6</v>
      </c>
      <c r="G412" s="15" cm="1">
        <f t="array" ref="G412">IF($A412="","",SUMPRODUCT((TRIM(tblDados[Mandante])=$A412)*tblDados[Primeira_Ocorrencia])+SUMPRODUCT((TRIM(tblDados[Visitante])=$A412)*tblDados[Primeira_Ocorrencia]))</f>
        <v>12</v>
      </c>
      <c r="H412" s="14">
        <f t="shared" si="134"/>
        <v>1.5833333333333333</v>
      </c>
      <c r="I412" s="14" cm="1">
        <f t="array" ref="I412">IF($A412="","",_xlfn.LET(_xlpm.p,IFERROR(INDEX(tblDados[País],MATCH($A412,TRIM(tblDados[Mandante]),0)),INDEX(tblDados[País],MATCH($A412,TRIM(tblDados[Visitante]),0))),_xlpm.l,IFERROR(INDEX(tblDados[Liga],MATCH($A412,TRIM(tblDados[Mandante]),0)),INDEX(tblDados[Liga],MATCH($A412,TRIM(tblDados[Visitante]),0))),IFERROR(SUMIFS(Ligas!$D$2:$D$39,Ligas!$H$2:$H$39,_xlpm.p,Ligas!$I$2:$I$39,_xlpm.l),0)))</f>
        <v>2.5</v>
      </c>
      <c r="J412" s="16" cm="1">
        <f t="array" ref="J412">IF($A412="","",IFERROR((SUMPRODUCT((TRIM(tblDados[Mandante])=$A412)*tblDados[Primeira_Ocorrencia]*(tblDados[GM_M]=0))+SUMPRODUCT((TRIM(tblDados[Visitante])=$A412)*tblDados[Primeira_Ocorrencia]*(tblDados[GM_V]=0)))/G412,0))</f>
        <v>0.25</v>
      </c>
      <c r="K412" s="16" cm="1">
        <f t="array" ref="K412">IF($A412="","",IFERROR((SUMPRODUCT((TRIM(tblDados[Mandante])=$A412)*tblDados[Primeira_Ocorrencia]*((tblDados[GM_M]+tblDados[GS_M])&gt;0.5))+SUMPRODUCT((TRIM(tblDados[Visitante])=$A412)*tblDados[Primeira_Ocorrencia]*((tblDados[GM_V]+tblDados[GS_V])&gt;0.5)))/G412,0))</f>
        <v>0.91666666666666663</v>
      </c>
      <c r="L412" s="16" cm="1">
        <f t="array" ref="L412">IF($A412="","",IFERROR((SUMPRODUCT((TRIM(tblDados[Mandante])=$A412)*tblDados[Primeira_Ocorrencia]*((tblDados[GM_M]+tblDados[GS_M])&gt;1.5))+SUMPRODUCT((TRIM(tblDados[Visitante])=$A412)*tblDados[Primeira_Ocorrencia]*((tblDados[GM_V]+tblDados[GS_V])&gt;1.5)))/G412,0))</f>
        <v>0.66666666666666663</v>
      </c>
      <c r="M412" s="16" cm="1">
        <f t="array" ref="M412">IF($A412="","",IFERROR((SUMPRODUCT((TRIM(tblDados[Mandante])=$A412)*tblDados[Primeira_Ocorrencia]*((tblDados[GM_M]+tblDados[GS_M])&gt;2.5))+SUMPRODUCT((TRIM(tblDados[Visitante])=$A412)*tblDados[Primeira_Ocorrencia]*((tblDados[GM_V]+tblDados[GS_V])&gt;2.5)))/G412,0))</f>
        <v>0.58333333333333337</v>
      </c>
      <c r="N412" s="16" cm="1">
        <f t="array" ref="N412">IF($A412="","",IFERROR((SUMPRODUCT((TRIM(tblDados[Mandante])=$A412)*tblDados[Primeira_Ocorrencia]*((tblDados[GM_M]+tblDados[GS_M])&gt;3.5))+SUMPRODUCT((TRIM(tblDados[Visitante])=$A412)*tblDados[Primeira_Ocorrencia]*((tblDados[GM_V]+tblDados[GS_V])&gt;3.5)))/G412,0))</f>
        <v>0.33333333333333331</v>
      </c>
      <c r="O412" s="16" cm="1">
        <f t="array" ref="O412">IF($A412="","",IFERROR((SUMPRODUCT((TRIM(tblDados[Mandante])=$A412)*tblDados[Primeira_Ocorrencia]*(tblDados[GM_M]&gt;0)*(tblDados[GS_M]&gt;0))+SUMPRODUCT((TRIM(tblDados[Visitante])=$A412)*tblDados[Primeira_Ocorrencia]*(tblDados[GM_V]&gt;0)*(tblDados[GS_V]&gt;0)))/G412,0))</f>
        <v>0.5</v>
      </c>
      <c r="P412" s="14" cm="1">
        <f t="array" ref="P412">IF($A412="","",IFERROR((SUMPRODUCT((TRIM(tblDados[Mandante])=$A412)*tblDados[Primeira_Ocorrencia]*tblDados[GM_M]^2)+SUMPRODUCT((TRIM(tblDados[Visitante])=$A412)*tblDados[Primeira_Ocorrencia]*tblDados[GM_V]^2))/G412-H412^2,0))</f>
        <v>1.7430555555555558</v>
      </c>
      <c r="Q412" s="14">
        <f t="shared" si="135"/>
        <v>1.3202482931462385</v>
      </c>
      <c r="R412" s="1" t="str">
        <f t="shared" si="136"/>
        <v>Poisson</v>
      </c>
      <c r="S412" s="14" cm="1">
        <f t="array" ref="S412">IF($A412="","",SUMPRODUCT((TRIM(tblDados[Mandante])=$A412)*tblDados[Primeira_Ocorrencia]*tblDados[GM_M]))</f>
        <v>14</v>
      </c>
      <c r="T412" s="14" cm="1">
        <f t="array" ref="T412">IF($A412="","",SUMPRODUCT((TRIM(tblDados[Visitante])=$A412)*tblDados[Primeira_Ocorrencia]*tblDados[GM_V]))</f>
        <v>5</v>
      </c>
      <c r="U412" s="14">
        <f t="shared" si="137"/>
        <v>19</v>
      </c>
      <c r="V412" s="14">
        <f t="shared" si="126"/>
        <v>1.5833333333333333</v>
      </c>
      <c r="W412" s="14" cm="1">
        <f t="array" ref="W412">IF($A412="","",SUMPRODUCT((TRIM(tblDados[Mandante])=$A412)*tblDados[Primeira_Ocorrencia]*tblDados[GS_M]))</f>
        <v>9</v>
      </c>
      <c r="X412" s="14" cm="1">
        <f t="array" ref="X412">IF($A412="","",SUMPRODUCT((TRIM(tblDados[Visitante])=$A412)*tblDados[Primeira_Ocorrencia]*tblDados[GS_V]))</f>
        <v>5</v>
      </c>
      <c r="Y412" s="14">
        <f t="shared" si="138"/>
        <v>14</v>
      </c>
      <c r="Z412" s="14">
        <f t="shared" si="127"/>
        <v>1.1666666666666667</v>
      </c>
      <c r="AA412" s="14">
        <f t="shared" si="128"/>
        <v>2.3333333333333335</v>
      </c>
      <c r="AB412" s="14">
        <f t="shared" si="129"/>
        <v>1.5</v>
      </c>
      <c r="AC412" s="14">
        <f t="shared" si="130"/>
        <v>0.83333333333333337</v>
      </c>
      <c r="AD412" s="14">
        <f t="shared" si="131"/>
        <v>0.83333333333333337</v>
      </c>
    </row>
    <row r="413" spans="1:30" x14ac:dyDescent="0.3">
      <c r="A413" s="1" t="str">
        <v>Universidad de Chile</v>
      </c>
      <c r="B413" s="13" t="str" cm="1">
        <f t="array" ref="B413">IF($A413="","",_xlfn.LET(_xlpm.p,IFERROR(INDEX(tblDados[País],MATCH($A413,TRIM(tblDados[Mandante]),0)),INDEX(tblDados[País],MATCH($A413,TRIM(tblDados[Visitante]),0))),_xlpm.l,IFERROR(INDEX(tblDados[Liga],MATCH($A413,TRIM(tblDados[Mandante]),0)),INDEX(tblDados[Liga],MATCH($A413,TRIM(tblDados[Visitante]),0))),_xlpm.p&amp;" - "&amp;_xlpm.l))</f>
        <v>CHI - Liga de Primera</v>
      </c>
      <c r="C413" s="14">
        <f t="shared" si="132"/>
        <v>2.3333333333333335</v>
      </c>
      <c r="D413" s="14">
        <f t="shared" si="133"/>
        <v>1.6666666666666667</v>
      </c>
      <c r="E413" s="15" cm="1">
        <f t="array" ref="E413">IF($A413="","",SUMPRODUCT((TRIM(tblDados[Mandante])=$A413)*tblDados[Primeira_Ocorrencia]))</f>
        <v>6</v>
      </c>
      <c r="F413" s="15" cm="1">
        <f t="array" ref="F413">IF($A413="","",SUMPRODUCT((TRIM(tblDados[Visitante])=$A413)*tblDados[Primeira_Ocorrencia]))</f>
        <v>6</v>
      </c>
      <c r="G413" s="15" cm="1">
        <f t="array" ref="G413">IF($A413="","",SUMPRODUCT((TRIM(tblDados[Mandante])=$A413)*tblDados[Primeira_Ocorrencia])+SUMPRODUCT((TRIM(tblDados[Visitante])=$A413)*tblDados[Primeira_Ocorrencia]))</f>
        <v>12</v>
      </c>
      <c r="H413" s="14">
        <f t="shared" si="134"/>
        <v>1.4166666666666667</v>
      </c>
      <c r="I413" s="14" cm="1">
        <f t="array" ref="I413">IF($A413="","",_xlfn.LET(_xlpm.p,IFERROR(INDEX(tblDados[País],MATCH($A413,TRIM(tblDados[Mandante]),0)),INDEX(tblDados[País],MATCH($A413,TRIM(tblDados[Visitante]),0))),_xlpm.l,IFERROR(INDEX(tblDados[Liga],MATCH($A413,TRIM(tblDados[Mandante]),0)),INDEX(tblDados[Liga],MATCH($A413,TRIM(tblDados[Visitante]),0))),IFERROR(SUMIFS(Ligas!$D$2:$D$39,Ligas!$H$2:$H$39,_xlpm.p,Ligas!$I$2:$I$39,_xlpm.l),0)))</f>
        <v>2.5</v>
      </c>
      <c r="J413" s="16" cm="1">
        <f t="array" ref="J413">IF($A413="","",IFERROR((SUMPRODUCT((TRIM(tblDados[Mandante])=$A413)*tblDados[Primeira_Ocorrencia]*(tblDados[GM_M]=0))+SUMPRODUCT((TRIM(tblDados[Visitante])=$A413)*tblDados[Primeira_Ocorrencia]*(tblDados[GM_V]=0)))/G413,0))</f>
        <v>0.25</v>
      </c>
      <c r="K413" s="16" cm="1">
        <f t="array" ref="K413">IF($A413="","",IFERROR((SUMPRODUCT((TRIM(tblDados[Mandante])=$A413)*tblDados[Primeira_Ocorrencia]*((tblDados[GM_M]+tblDados[GS_M])&gt;0.5))+SUMPRODUCT((TRIM(tblDados[Visitante])=$A413)*tblDados[Primeira_Ocorrencia]*((tblDados[GM_V]+tblDados[GS_V])&gt;0.5)))/G413,0))</f>
        <v>0.91666666666666663</v>
      </c>
      <c r="L413" s="16" cm="1">
        <f t="array" ref="L413">IF($A413="","",IFERROR((SUMPRODUCT((TRIM(tblDados[Mandante])=$A413)*tblDados[Primeira_Ocorrencia]*((tblDados[GM_M]+tblDados[GS_M])&gt;1.5))+SUMPRODUCT((TRIM(tblDados[Visitante])=$A413)*tblDados[Primeira_Ocorrencia]*((tblDados[GM_V]+tblDados[GS_V])&gt;1.5)))/G413,0))</f>
        <v>0.58333333333333337</v>
      </c>
      <c r="M413" s="16" cm="1">
        <f t="array" ref="M413">IF($A413="","",IFERROR((SUMPRODUCT((TRIM(tblDados[Mandante])=$A413)*tblDados[Primeira_Ocorrencia]*((tblDados[GM_M]+tblDados[GS_M])&gt;2.5))+SUMPRODUCT((TRIM(tblDados[Visitante])=$A413)*tblDados[Primeira_Ocorrencia]*((tblDados[GM_V]+tblDados[GS_V])&gt;2.5)))/G413,0))</f>
        <v>0.33333333333333331</v>
      </c>
      <c r="N413" s="16" cm="1">
        <f t="array" ref="N413">IF($A413="","",IFERROR((SUMPRODUCT((TRIM(tblDados[Mandante])=$A413)*tblDados[Primeira_Ocorrencia]*((tblDados[GM_M]+tblDados[GS_M])&gt;3.5))+SUMPRODUCT((TRIM(tblDados[Visitante])=$A413)*tblDados[Primeira_Ocorrencia]*((tblDados[GM_V]+tblDados[GS_V])&gt;3.5)))/G413,0))</f>
        <v>0.16666666666666666</v>
      </c>
      <c r="O413" s="16" cm="1">
        <f t="array" ref="O413">IF($A413="","",IFERROR((SUMPRODUCT((TRIM(tblDados[Mandante])=$A413)*tblDados[Primeira_Ocorrencia]*(tblDados[GM_M]&gt;0)*(tblDados[GS_M]&gt;0))+SUMPRODUCT((TRIM(tblDados[Visitante])=$A413)*tblDados[Primeira_Ocorrencia]*(tblDados[GM_V]&gt;0)*(tblDados[GS_V]&gt;0)))/G413,0))</f>
        <v>0.33333333333333331</v>
      </c>
      <c r="P413" s="14" cm="1">
        <f t="array" ref="P413">IF($A413="","",IFERROR((SUMPRODUCT((TRIM(tblDados[Mandante])=$A413)*tblDados[Primeira_Ocorrencia]*tblDados[GM_M]^2)+SUMPRODUCT((TRIM(tblDados[Visitante])=$A413)*tblDados[Primeira_Ocorrencia]*tblDados[GM_V]^2))/G413-H413^2,0))</f>
        <v>1.2430555555555554</v>
      </c>
      <c r="Q413" s="14">
        <f t="shared" si="135"/>
        <v>1.1149240133549709</v>
      </c>
      <c r="R413" s="1" t="str">
        <f t="shared" si="136"/>
        <v>Poisson</v>
      </c>
      <c r="S413" s="14" cm="1">
        <f t="array" ref="S413">IF($A413="","",SUMPRODUCT((TRIM(tblDados[Mandante])=$A413)*tblDados[Primeira_Ocorrencia]*tblDados[GM_M]))</f>
        <v>12</v>
      </c>
      <c r="T413" s="14" cm="1">
        <f t="array" ref="T413">IF($A413="","",SUMPRODUCT((TRIM(tblDados[Visitante])=$A413)*tblDados[Primeira_Ocorrencia]*tblDados[GM_V]))</f>
        <v>5</v>
      </c>
      <c r="U413" s="14">
        <f t="shared" si="137"/>
        <v>17</v>
      </c>
      <c r="V413" s="14">
        <f t="shared" si="126"/>
        <v>1.4166666666666667</v>
      </c>
      <c r="W413" s="14" cm="1">
        <f t="array" ref="W413">IF($A413="","",SUMPRODUCT((TRIM(tblDados[Mandante])=$A413)*tblDados[Primeira_Ocorrencia]*tblDados[GS_M]))</f>
        <v>2</v>
      </c>
      <c r="X413" s="14" cm="1">
        <f t="array" ref="X413">IF($A413="","",SUMPRODUCT((TRIM(tblDados[Visitante])=$A413)*tblDados[Primeira_Ocorrencia]*tblDados[GS_V]))</f>
        <v>5</v>
      </c>
      <c r="Y413" s="14">
        <f t="shared" si="138"/>
        <v>7</v>
      </c>
      <c r="Z413" s="14">
        <f t="shared" si="127"/>
        <v>0.58333333333333337</v>
      </c>
      <c r="AA413" s="14">
        <f t="shared" si="128"/>
        <v>2</v>
      </c>
      <c r="AB413" s="14">
        <f t="shared" si="129"/>
        <v>0.33333333333333331</v>
      </c>
      <c r="AC413" s="14">
        <f t="shared" si="130"/>
        <v>0.83333333333333337</v>
      </c>
      <c r="AD413" s="14">
        <f t="shared" si="131"/>
        <v>0.83333333333333337</v>
      </c>
    </row>
    <row r="414" spans="1:30" x14ac:dyDescent="0.3">
      <c r="A414" s="1" t="str">
        <v>Universidad de Concepción</v>
      </c>
      <c r="B414" s="13" t="str" cm="1">
        <f t="array" ref="B414">IF($A414="","",_xlfn.LET(_xlpm.p,IFERROR(INDEX(tblDados[País],MATCH($A414,TRIM(tblDados[Mandante]),0)),INDEX(tblDados[País],MATCH($A414,TRIM(tblDados[Visitante]),0))),_xlpm.l,IFERROR(INDEX(tblDados[Liga],MATCH($A414,TRIM(tblDados[Mandante]),0)),INDEX(tblDados[Liga],MATCH($A414,TRIM(tblDados[Visitante]),0))),_xlpm.p&amp;" - "&amp;_xlpm.l))</f>
        <v>CHI - Liga de Primera</v>
      </c>
      <c r="C414" s="14">
        <f t="shared" si="132"/>
        <v>1.2</v>
      </c>
      <c r="D414" s="14">
        <f t="shared" si="133"/>
        <v>3.2857142857142856</v>
      </c>
      <c r="E414" s="15" cm="1">
        <f t="array" ref="E414">IF($A414="","",SUMPRODUCT((TRIM(tblDados[Mandante])=$A414)*tblDados[Primeira_Ocorrencia]))</f>
        <v>5</v>
      </c>
      <c r="F414" s="15" cm="1">
        <f t="array" ref="F414">IF($A414="","",SUMPRODUCT((TRIM(tblDados[Visitante])=$A414)*tblDados[Primeira_Ocorrencia]))</f>
        <v>7</v>
      </c>
      <c r="G414" s="15" cm="1">
        <f t="array" ref="G414">IF($A414="","",SUMPRODUCT((TRIM(tblDados[Mandante])=$A414)*tblDados[Primeira_Ocorrencia])+SUMPRODUCT((TRIM(tblDados[Visitante])=$A414)*tblDados[Primeira_Ocorrencia]))</f>
        <v>12</v>
      </c>
      <c r="H414" s="14">
        <f t="shared" si="134"/>
        <v>0.75</v>
      </c>
      <c r="I414" s="14" cm="1">
        <f t="array" ref="I414">IF($A414="","",_xlfn.LET(_xlpm.p,IFERROR(INDEX(tblDados[País],MATCH($A414,TRIM(tblDados[Mandante]),0)),INDEX(tblDados[País],MATCH($A414,TRIM(tblDados[Visitante]),0))),_xlpm.l,IFERROR(INDEX(tblDados[Liga],MATCH($A414,TRIM(tblDados[Mandante]),0)),INDEX(tblDados[Liga],MATCH($A414,TRIM(tblDados[Visitante]),0))),IFERROR(SUMIFS(Ligas!$D$2:$D$39,Ligas!$H$2:$H$39,_xlpm.p,Ligas!$I$2:$I$39,_xlpm.l),0)))</f>
        <v>2.5</v>
      </c>
      <c r="J414" s="16" cm="1">
        <f t="array" ref="J414">IF($A414="","",IFERROR((SUMPRODUCT((TRIM(tblDados[Mandante])=$A414)*tblDados[Primeira_Ocorrencia]*(tblDados[GM_M]=0))+SUMPRODUCT((TRIM(tblDados[Visitante])=$A414)*tblDados[Primeira_Ocorrencia]*(tblDados[GM_V]=0)))/G414,0))</f>
        <v>0.33333333333333331</v>
      </c>
      <c r="K414" s="16" cm="1">
        <f t="array" ref="K414">IF($A414="","",IFERROR((SUMPRODUCT((TRIM(tblDados[Mandante])=$A414)*tblDados[Primeira_Ocorrencia]*((tblDados[GM_M]+tblDados[GS_M])&gt;0.5))+SUMPRODUCT((TRIM(tblDados[Visitante])=$A414)*tblDados[Primeira_Ocorrencia]*((tblDados[GM_V]+tblDados[GS_V])&gt;0.5)))/G414,0))</f>
        <v>0.91666666666666663</v>
      </c>
      <c r="L414" s="16" cm="1">
        <f t="array" ref="L414">IF($A414="","",IFERROR((SUMPRODUCT((TRIM(tblDados[Mandante])=$A414)*tblDados[Primeira_Ocorrencia]*((tblDados[GM_M]+tblDados[GS_M])&gt;1.5))+SUMPRODUCT((TRIM(tblDados[Visitante])=$A414)*tblDados[Primeira_Ocorrencia]*((tblDados[GM_V]+tblDados[GS_V])&gt;1.5)))/G414,0))</f>
        <v>0.5</v>
      </c>
      <c r="M414" s="16" cm="1">
        <f t="array" ref="M414">IF($A414="","",IFERROR((SUMPRODUCT((TRIM(tblDados[Mandante])=$A414)*tblDados[Primeira_Ocorrencia]*((tblDados[GM_M]+tblDados[GS_M])&gt;2.5))+SUMPRODUCT((TRIM(tblDados[Visitante])=$A414)*tblDados[Primeira_Ocorrencia]*((tblDados[GM_V]+tblDados[GS_V])&gt;2.5)))/G414,0))</f>
        <v>0.41666666666666669</v>
      </c>
      <c r="N414" s="16" cm="1">
        <f t="array" ref="N414">IF($A414="","",IFERROR((SUMPRODUCT((TRIM(tblDados[Mandante])=$A414)*tblDados[Primeira_Ocorrencia]*((tblDados[GM_M]+tblDados[GS_M])&gt;3.5))+SUMPRODUCT((TRIM(tblDados[Visitante])=$A414)*tblDados[Primeira_Ocorrencia]*((tblDados[GM_V]+tblDados[GS_V])&gt;3.5)))/G414,0))</f>
        <v>0.25</v>
      </c>
      <c r="O414" s="16" cm="1">
        <f t="array" ref="O414">IF($A414="","",IFERROR((SUMPRODUCT((TRIM(tblDados[Mandante])=$A414)*tblDados[Primeira_Ocorrencia]*(tblDados[GM_M]&gt;0)*(tblDados[GS_M]&gt;0))+SUMPRODUCT((TRIM(tblDados[Visitante])=$A414)*tblDados[Primeira_Ocorrencia]*(tblDados[GM_V]&gt;0)*(tblDados[GS_V]&gt;0)))/G414,0))</f>
        <v>0.41666666666666669</v>
      </c>
      <c r="P414" s="14" cm="1">
        <f t="array" ref="P414">IF($A414="","",IFERROR((SUMPRODUCT((TRIM(tblDados[Mandante])=$A414)*tblDados[Primeira_Ocorrencia]*tblDados[GM_M]^2)+SUMPRODUCT((TRIM(tblDados[Visitante])=$A414)*tblDados[Primeira_Ocorrencia]*tblDados[GM_V]^2))/G414-H414^2,0))</f>
        <v>0.35416666666666663</v>
      </c>
      <c r="Q414" s="14">
        <f t="shared" si="135"/>
        <v>0.59511903571190417</v>
      </c>
      <c r="R414" s="1" t="str">
        <f t="shared" si="136"/>
        <v>Poisson</v>
      </c>
      <c r="S414" s="14" cm="1">
        <f t="array" ref="S414">IF($A414="","",SUMPRODUCT((TRIM(tblDados[Mandante])=$A414)*tblDados[Primeira_Ocorrencia]*tblDados[GM_M]))</f>
        <v>3</v>
      </c>
      <c r="T414" s="14" cm="1">
        <f t="array" ref="T414">IF($A414="","",SUMPRODUCT((TRIM(tblDados[Visitante])=$A414)*tblDados[Primeira_Ocorrencia]*tblDados[GM_V]))</f>
        <v>6</v>
      </c>
      <c r="U414" s="14">
        <f t="shared" si="137"/>
        <v>9</v>
      </c>
      <c r="V414" s="14">
        <f t="shared" si="126"/>
        <v>0.75</v>
      </c>
      <c r="W414" s="14" cm="1">
        <f t="array" ref="W414">IF($A414="","",SUMPRODUCT((TRIM(tblDados[Mandante])=$A414)*tblDados[Primeira_Ocorrencia]*tblDados[GS_M]))</f>
        <v>3</v>
      </c>
      <c r="X414" s="14" cm="1">
        <f t="array" ref="X414">IF($A414="","",SUMPRODUCT((TRIM(tblDados[Visitante])=$A414)*tblDados[Primeira_Ocorrencia]*tblDados[GS_V]))</f>
        <v>17</v>
      </c>
      <c r="Y414" s="14">
        <f t="shared" si="138"/>
        <v>20</v>
      </c>
      <c r="Z414" s="14">
        <f t="shared" si="127"/>
        <v>1.6666666666666667</v>
      </c>
      <c r="AA414" s="14">
        <f t="shared" si="128"/>
        <v>0.6</v>
      </c>
      <c r="AB414" s="14">
        <f t="shared" si="129"/>
        <v>0.6</v>
      </c>
      <c r="AC414" s="14">
        <f t="shared" si="130"/>
        <v>0.8571428571428571</v>
      </c>
      <c r="AD414" s="14">
        <f t="shared" si="131"/>
        <v>2.4285714285714284</v>
      </c>
    </row>
    <row r="415" spans="1:30" x14ac:dyDescent="0.3">
      <c r="A415" s="1" t="str">
        <v>Universitario de Vinto</v>
      </c>
      <c r="B415" s="13" t="str" cm="1">
        <f t="array" ref="B415">IF($A415="","",_xlfn.LET(_xlpm.p,IFERROR(INDEX(tblDados[País],MATCH($A415,TRIM(tblDados[Mandante]),0)),INDEX(tblDados[País],MATCH($A415,TRIM(tblDados[Visitante]),0))),_xlpm.l,IFERROR(INDEX(tblDados[Liga],MATCH($A415,TRIM(tblDados[Mandante]),0)),INDEX(tblDados[Liga],MATCH($A415,TRIM(tblDados[Visitante]),0))),_xlpm.p&amp;" - "&amp;_xlpm.l))</f>
        <v>BOL - Div. Profesional</v>
      </c>
      <c r="C415" s="14">
        <f t="shared" si="132"/>
        <v>3.666666666666667</v>
      </c>
      <c r="D415" s="14">
        <f t="shared" si="133"/>
        <v>3</v>
      </c>
      <c r="E415" s="15" cm="1">
        <f t="array" ref="E415">IF($A415="","",SUMPRODUCT((TRIM(tblDados[Mandante])=$A415)*tblDados[Primeira_Ocorrencia]))</f>
        <v>6</v>
      </c>
      <c r="F415" s="15" cm="1">
        <f t="array" ref="F415">IF($A415="","",SUMPRODUCT((TRIM(tblDados[Visitante])=$A415)*tblDados[Primeira_Ocorrencia]))</f>
        <v>6</v>
      </c>
      <c r="G415" s="15" cm="1">
        <f t="array" ref="G415">IF($A415="","",SUMPRODUCT((TRIM(tblDados[Mandante])=$A415)*tblDados[Primeira_Ocorrencia])+SUMPRODUCT((TRIM(tblDados[Visitante])=$A415)*tblDados[Primeira_Ocorrencia]))</f>
        <v>12</v>
      </c>
      <c r="H415" s="14">
        <f t="shared" si="134"/>
        <v>1.4166666666666667</v>
      </c>
      <c r="I415" s="14" cm="1">
        <f t="array" ref="I415">IF($A415="","",_xlfn.LET(_xlpm.p,IFERROR(INDEX(tblDados[País],MATCH($A415,TRIM(tblDados[Mandante]),0)),INDEX(tblDados[País],MATCH($A415,TRIM(tblDados[Visitante]),0))),_xlpm.l,IFERROR(INDEX(tblDados[Liga],MATCH($A415,TRIM(tblDados[Mandante]),0)),INDEX(tblDados[Liga],MATCH($A415,TRIM(tblDados[Visitante]),0))),IFERROR(SUMIFS(Ligas!$D$2:$D$39,Ligas!$H$2:$H$39,_xlpm.p,Ligas!$I$2:$I$39,_xlpm.l),0)))</f>
        <v>3.62</v>
      </c>
      <c r="J415" s="16" cm="1">
        <f t="array" ref="J415">IF($A415="","",IFERROR((SUMPRODUCT((TRIM(tblDados[Mandante])=$A415)*tblDados[Primeira_Ocorrencia]*(tblDados[GM_M]=0))+SUMPRODUCT((TRIM(tblDados[Visitante])=$A415)*tblDados[Primeira_Ocorrencia]*(tblDados[GM_V]=0)))/G415,0))</f>
        <v>0.16666666666666666</v>
      </c>
      <c r="K415" s="16" cm="1">
        <f t="array" ref="K415">IF($A415="","",IFERROR((SUMPRODUCT((TRIM(tblDados[Mandante])=$A415)*tblDados[Primeira_Ocorrencia]*((tblDados[GM_M]+tblDados[GS_M])&gt;0.5))+SUMPRODUCT((TRIM(tblDados[Visitante])=$A415)*tblDados[Primeira_Ocorrencia]*((tblDados[GM_V]+tblDados[GS_V])&gt;0.5)))/G415,0))</f>
        <v>1</v>
      </c>
      <c r="L415" s="16" cm="1">
        <f t="array" ref="L415">IF($A415="","",IFERROR((SUMPRODUCT((TRIM(tblDados[Mandante])=$A415)*tblDados[Primeira_Ocorrencia]*((tblDados[GM_M]+tblDados[GS_M])&gt;1.5))+SUMPRODUCT((TRIM(tblDados[Visitante])=$A415)*tblDados[Primeira_Ocorrencia]*((tblDados[GM_V]+tblDados[GS_V])&gt;1.5)))/G415,0))</f>
        <v>0.91666666666666663</v>
      </c>
      <c r="M415" s="16" cm="1">
        <f t="array" ref="M415">IF($A415="","",IFERROR((SUMPRODUCT((TRIM(tblDados[Mandante])=$A415)*tblDados[Primeira_Ocorrencia]*((tblDados[GM_M]+tblDados[GS_M])&gt;2.5))+SUMPRODUCT((TRIM(tblDados[Visitante])=$A415)*tblDados[Primeira_Ocorrencia]*((tblDados[GM_V]+tblDados[GS_V])&gt;2.5)))/G415,0))</f>
        <v>0.66666666666666663</v>
      </c>
      <c r="N415" s="16" cm="1">
        <f t="array" ref="N415">IF($A415="","",IFERROR((SUMPRODUCT((TRIM(tblDados[Mandante])=$A415)*tblDados[Primeira_Ocorrencia]*((tblDados[GM_M]+tblDados[GS_M])&gt;3.5))+SUMPRODUCT((TRIM(tblDados[Visitante])=$A415)*tblDados[Primeira_Ocorrencia]*((tblDados[GM_V]+tblDados[GS_V])&gt;3.5)))/G415,0))</f>
        <v>0.33333333333333331</v>
      </c>
      <c r="O415" s="16" cm="1">
        <f t="array" ref="O415">IF($A415="","",IFERROR((SUMPRODUCT((TRIM(tblDados[Mandante])=$A415)*tblDados[Primeira_Ocorrencia]*(tblDados[GM_M]&gt;0)*(tblDados[GS_M]&gt;0))+SUMPRODUCT((TRIM(tblDados[Visitante])=$A415)*tblDados[Primeira_Ocorrencia]*(tblDados[GM_V]&gt;0)*(tblDados[GS_V]&gt;0)))/G415,0))</f>
        <v>0.75</v>
      </c>
      <c r="P415" s="14" cm="1">
        <f t="array" ref="P415">IF($A415="","",IFERROR((SUMPRODUCT((TRIM(tblDados[Mandante])=$A415)*tblDados[Primeira_Ocorrencia]*tblDados[GM_M]^2)+SUMPRODUCT((TRIM(tblDados[Visitante])=$A415)*tblDados[Primeira_Ocorrencia]*tblDados[GM_V]^2))/G415-H415^2,0))</f>
        <v>1.7430555555555554</v>
      </c>
      <c r="Q415" s="14">
        <f t="shared" si="135"/>
        <v>1.3202482931462383</v>
      </c>
      <c r="R415" s="1" t="str">
        <f t="shared" si="136"/>
        <v>Poisson</v>
      </c>
      <c r="S415" s="14" cm="1">
        <f t="array" ref="S415">IF($A415="","",SUMPRODUCT((TRIM(tblDados[Mandante])=$A415)*tblDados[Primeira_Ocorrencia]*tblDados[GM_M]))</f>
        <v>12</v>
      </c>
      <c r="T415" s="14" cm="1">
        <f t="array" ref="T415">IF($A415="","",SUMPRODUCT((TRIM(tblDados[Visitante])=$A415)*tblDados[Primeira_Ocorrencia]*tblDados[GM_V]))</f>
        <v>5</v>
      </c>
      <c r="U415" s="14">
        <f t="shared" si="137"/>
        <v>17</v>
      </c>
      <c r="V415" s="14">
        <f t="shared" si="126"/>
        <v>1.4166666666666667</v>
      </c>
      <c r="W415" s="14" cm="1">
        <f t="array" ref="W415">IF($A415="","",SUMPRODUCT((TRIM(tblDados[Mandante])=$A415)*tblDados[Primeira_Ocorrencia]*tblDados[GS_M]))</f>
        <v>10</v>
      </c>
      <c r="X415" s="14" cm="1">
        <f t="array" ref="X415">IF($A415="","",SUMPRODUCT((TRIM(tblDados[Visitante])=$A415)*tblDados[Primeira_Ocorrencia]*tblDados[GS_V]))</f>
        <v>13</v>
      </c>
      <c r="Y415" s="14">
        <f t="shared" si="138"/>
        <v>23</v>
      </c>
      <c r="Z415" s="14">
        <f t="shared" si="127"/>
        <v>1.9166666666666667</v>
      </c>
      <c r="AA415" s="14">
        <f t="shared" si="128"/>
        <v>2</v>
      </c>
      <c r="AB415" s="14">
        <f t="shared" si="129"/>
        <v>1.6666666666666667</v>
      </c>
      <c r="AC415" s="14">
        <f t="shared" si="130"/>
        <v>0.83333333333333337</v>
      </c>
      <c r="AD415" s="14">
        <f t="shared" si="131"/>
        <v>2.1666666666666665</v>
      </c>
    </row>
    <row r="416" spans="1:30" x14ac:dyDescent="0.3">
      <c r="A416" s="1" t="str">
        <v>UNSW</v>
      </c>
      <c r="B416" s="13" t="str" cm="1">
        <f t="array" ref="B416">IF($A416="","",_xlfn.LET(_xlpm.p,IFERROR(INDEX(tblDados[País],MATCH($A416,TRIM(tblDados[Mandante]),0)),INDEX(tblDados[País],MATCH($A416,TRIM(tblDados[Visitante]),0))),_xlpm.l,IFERROR(INDEX(tblDados[Liga],MATCH($A416,TRIM(tblDados[Mandante]),0)),INDEX(tblDados[Liga],MATCH($A416,TRIM(tblDados[Visitante]),0))),_xlpm.p&amp;" - "&amp;_xlpm.l))</f>
        <v>AUS - NPL New South Wales</v>
      </c>
      <c r="C416" s="14">
        <f t="shared" si="132"/>
        <v>3.5714285714285712</v>
      </c>
      <c r="D416" s="14">
        <f t="shared" si="133"/>
        <v>2.6</v>
      </c>
      <c r="E416" s="15" cm="1">
        <f t="array" ref="E416">IF($A416="","",SUMPRODUCT((TRIM(tblDados[Mandante])=$A416)*tblDados[Primeira_Ocorrencia]))</f>
        <v>7</v>
      </c>
      <c r="F416" s="15" cm="1">
        <f t="array" ref="F416">IF($A416="","",SUMPRODUCT((TRIM(tblDados[Visitante])=$A416)*tblDados[Primeira_Ocorrencia]))</f>
        <v>5</v>
      </c>
      <c r="G416" s="15" cm="1">
        <f t="array" ref="G416">IF($A416="","",SUMPRODUCT((TRIM(tblDados[Mandante])=$A416)*tblDados[Primeira_Ocorrencia])+SUMPRODUCT((TRIM(tblDados[Visitante])=$A416)*tblDados[Primeira_Ocorrencia]))</f>
        <v>12</v>
      </c>
      <c r="H416" s="14">
        <f t="shared" si="134"/>
        <v>1.3333333333333333</v>
      </c>
      <c r="I416" s="14" cm="1">
        <f t="array" ref="I416">IF($A416="","",_xlfn.LET(_xlpm.p,IFERROR(INDEX(tblDados[País],MATCH($A416,TRIM(tblDados[Mandante]),0)),INDEX(tblDados[País],MATCH($A416,TRIM(tblDados[Visitante]),0))),_xlpm.l,IFERROR(INDEX(tblDados[Liga],MATCH($A416,TRIM(tblDados[Mandante]),0)),INDEX(tblDados[Liga],MATCH($A416,TRIM(tblDados[Visitante]),0))),IFERROR(SUMIFS(Ligas!$D$2:$D$39,Ligas!$H$2:$H$39,_xlpm.p,Ligas!$I$2:$I$39,_xlpm.l),0)))</f>
        <v>3.61</v>
      </c>
      <c r="J416" s="16" cm="1">
        <f t="array" ref="J416">IF($A416="","",IFERROR((SUMPRODUCT((TRIM(tblDados[Mandante])=$A416)*tblDados[Primeira_Ocorrencia]*(tblDados[GM_M]=0))+SUMPRODUCT((TRIM(tblDados[Visitante])=$A416)*tblDados[Primeira_Ocorrencia]*(tblDados[GM_V]=0)))/G416,0))</f>
        <v>0.16666666666666666</v>
      </c>
      <c r="K416" s="16" cm="1">
        <f t="array" ref="K416">IF($A416="","",IFERROR((SUMPRODUCT((TRIM(tblDados[Mandante])=$A416)*tblDados[Primeira_Ocorrencia]*((tblDados[GM_M]+tblDados[GS_M])&gt;0.5))+SUMPRODUCT((TRIM(tblDados[Visitante])=$A416)*tblDados[Primeira_Ocorrencia]*((tblDados[GM_V]+tblDados[GS_V])&gt;0.5)))/G416,0))</f>
        <v>1</v>
      </c>
      <c r="L416" s="16" cm="1">
        <f t="array" ref="L416">IF($A416="","",IFERROR((SUMPRODUCT((TRIM(tblDados[Mandante])=$A416)*tblDados[Primeira_Ocorrencia]*((tblDados[GM_M]+tblDados[GS_M])&gt;1.5))+SUMPRODUCT((TRIM(tblDados[Visitante])=$A416)*tblDados[Primeira_Ocorrencia]*((tblDados[GM_V]+tblDados[GS_V])&gt;1.5)))/G416,0))</f>
        <v>0.83333333333333337</v>
      </c>
      <c r="M416" s="16" cm="1">
        <f t="array" ref="M416">IF($A416="","",IFERROR((SUMPRODUCT((TRIM(tblDados[Mandante])=$A416)*tblDados[Primeira_Ocorrencia]*((tblDados[GM_M]+tblDados[GS_M])&gt;2.5))+SUMPRODUCT((TRIM(tblDados[Visitante])=$A416)*tblDados[Primeira_Ocorrencia]*((tblDados[GM_V]+tblDados[GS_V])&gt;2.5)))/G416,0))</f>
        <v>0.58333333333333337</v>
      </c>
      <c r="N416" s="16" cm="1">
        <f t="array" ref="N416">IF($A416="","",IFERROR((SUMPRODUCT((TRIM(tblDados[Mandante])=$A416)*tblDados[Primeira_Ocorrencia]*((tblDados[GM_M]+tblDados[GS_M])&gt;3.5))+SUMPRODUCT((TRIM(tblDados[Visitante])=$A416)*tblDados[Primeira_Ocorrencia]*((tblDados[GM_V]+tblDados[GS_V])&gt;3.5)))/G416,0))</f>
        <v>0.5</v>
      </c>
      <c r="O416" s="16" cm="1">
        <f t="array" ref="O416">IF($A416="","",IFERROR((SUMPRODUCT((TRIM(tblDados[Mandante])=$A416)*tblDados[Primeira_Ocorrencia]*(tblDados[GM_M]&gt;0)*(tblDados[GS_M]&gt;0))+SUMPRODUCT((TRIM(tblDados[Visitante])=$A416)*tblDados[Primeira_Ocorrencia]*(tblDados[GM_V]&gt;0)*(tblDados[GS_V]&gt;0)))/G416,0))</f>
        <v>0.58333333333333337</v>
      </c>
      <c r="P416" s="14" cm="1">
        <f t="array" ref="P416">IF($A416="","",IFERROR((SUMPRODUCT((TRIM(tblDados[Mandante])=$A416)*tblDados[Primeira_Ocorrencia]*tblDados[GM_M]^2)+SUMPRODUCT((TRIM(tblDados[Visitante])=$A416)*tblDados[Primeira_Ocorrencia]*tblDados[GM_V]^2))/G416-H416^2,0))</f>
        <v>0.88888888888888884</v>
      </c>
      <c r="Q416" s="14">
        <f t="shared" si="135"/>
        <v>0.94280904158206336</v>
      </c>
      <c r="R416" s="1" t="str">
        <f t="shared" si="136"/>
        <v>Poisson</v>
      </c>
      <c r="S416" s="14" cm="1">
        <f t="array" ref="S416">IF($A416="","",SUMPRODUCT((TRIM(tblDados[Mandante])=$A416)*tblDados[Primeira_Ocorrencia]*tblDados[GM_M]))</f>
        <v>12</v>
      </c>
      <c r="T416" s="14" cm="1">
        <f t="array" ref="T416">IF($A416="","",SUMPRODUCT((TRIM(tblDados[Visitante])=$A416)*tblDados[Primeira_Ocorrencia]*tblDados[GM_V]))</f>
        <v>4</v>
      </c>
      <c r="U416" s="14">
        <f t="shared" si="137"/>
        <v>16</v>
      </c>
      <c r="V416" s="14">
        <f t="shared" si="126"/>
        <v>1.3333333333333333</v>
      </c>
      <c r="W416" s="14" cm="1">
        <f t="array" ref="W416">IF($A416="","",SUMPRODUCT((TRIM(tblDados[Mandante])=$A416)*tblDados[Primeira_Ocorrencia]*tblDados[GS_M]))</f>
        <v>13</v>
      </c>
      <c r="X416" s="14" cm="1">
        <f t="array" ref="X416">IF($A416="","",SUMPRODUCT((TRIM(tblDados[Visitante])=$A416)*tblDados[Primeira_Ocorrencia]*tblDados[GS_V]))</f>
        <v>9</v>
      </c>
      <c r="Y416" s="14">
        <f t="shared" si="138"/>
        <v>22</v>
      </c>
      <c r="Z416" s="14">
        <f t="shared" si="127"/>
        <v>1.8333333333333333</v>
      </c>
      <c r="AA416" s="14">
        <f t="shared" si="128"/>
        <v>1.7142857142857142</v>
      </c>
      <c r="AB416" s="14">
        <f t="shared" si="129"/>
        <v>1.8571428571428572</v>
      </c>
      <c r="AC416" s="14">
        <f t="shared" si="130"/>
        <v>0.8</v>
      </c>
      <c r="AD416" s="14">
        <f t="shared" si="131"/>
        <v>1.8</v>
      </c>
    </row>
    <row r="417" spans="1:30" x14ac:dyDescent="0.3">
      <c r="A417" s="1" t="str">
        <v>Utsiktens BK</v>
      </c>
      <c r="B417" s="13" t="str" cm="1">
        <f t="array" ref="B417">IF($A417="","",_xlfn.LET(_xlpm.p,IFERROR(INDEX(tblDados[País],MATCH($A417,TRIM(tblDados[Mandante]),0)),INDEX(tblDados[País],MATCH($A417,TRIM(tblDados[Visitante]),0))),_xlpm.l,IFERROR(INDEX(tblDados[Liga],MATCH($A417,TRIM(tblDados[Mandante]),0)),INDEX(tblDados[Liga],MATCH($A417,TRIM(tblDados[Visitante]),0))),_xlpm.p&amp;" - "&amp;_xlpm.l))</f>
        <v>SWE - 1ª D Södra</v>
      </c>
      <c r="C417" s="14">
        <f t="shared" si="132"/>
        <v>2.3333333333333335</v>
      </c>
      <c r="D417" s="14">
        <f t="shared" si="133"/>
        <v>4.333333333333333</v>
      </c>
      <c r="E417" s="15" cm="1">
        <f t="array" ref="E417">IF($A417="","",SUMPRODUCT((TRIM(tblDados[Mandante])=$A417)*tblDados[Primeira_Ocorrencia]))</f>
        <v>6</v>
      </c>
      <c r="F417" s="15" cm="1">
        <f t="array" ref="F417">IF($A417="","",SUMPRODUCT((TRIM(tblDados[Visitante])=$A417)*tblDados[Primeira_Ocorrencia]))</f>
        <v>6</v>
      </c>
      <c r="G417" s="15" cm="1">
        <f t="array" ref="G417">IF($A417="","",SUMPRODUCT((TRIM(tblDados[Mandante])=$A417)*tblDados[Primeira_Ocorrencia])+SUMPRODUCT((TRIM(tblDados[Visitante])=$A417)*tblDados[Primeira_Ocorrencia]))</f>
        <v>12</v>
      </c>
      <c r="H417" s="14">
        <f t="shared" si="134"/>
        <v>0.58333333333333337</v>
      </c>
      <c r="I417" s="14" cm="1">
        <f t="array" ref="I417">IF($A417="","",_xlfn.LET(_xlpm.p,IFERROR(INDEX(tblDados[País],MATCH($A417,TRIM(tblDados[Mandante]),0)),INDEX(tblDados[País],MATCH($A417,TRIM(tblDados[Visitante]),0))),_xlpm.l,IFERROR(INDEX(tblDados[Liga],MATCH($A417,TRIM(tblDados[Mandante]),0)),INDEX(tblDados[Liga],MATCH($A417,TRIM(tblDados[Visitante]),0))),IFERROR(SUMIFS(Ligas!$D$2:$D$39,Ligas!$H$2:$H$39,_xlpm.p,Ligas!$I$2:$I$39,_xlpm.l),0)))</f>
        <v>2.5</v>
      </c>
      <c r="J417" s="16" cm="1">
        <f t="array" ref="J417">IF($A417="","",IFERROR((SUMPRODUCT((TRIM(tblDados[Mandante])=$A417)*tblDados[Primeira_Ocorrencia]*(tblDados[GM_M]=0))+SUMPRODUCT((TRIM(tblDados[Visitante])=$A417)*tblDados[Primeira_Ocorrencia]*(tblDados[GM_V]=0)))/G417,0))</f>
        <v>0.66666666666666663</v>
      </c>
      <c r="K417" s="16" cm="1">
        <f t="array" ref="K417">IF($A417="","",IFERROR((SUMPRODUCT((TRIM(tblDados[Mandante])=$A417)*tblDados[Primeira_Ocorrencia]*((tblDados[GM_M]+tblDados[GS_M])&gt;0.5))+SUMPRODUCT((TRIM(tblDados[Visitante])=$A417)*tblDados[Primeira_Ocorrencia]*((tblDados[GM_V]+tblDados[GS_V])&gt;0.5)))/G417,0))</f>
        <v>0.91666666666666663</v>
      </c>
      <c r="L417" s="16" cm="1">
        <f t="array" ref="L417">IF($A417="","",IFERROR((SUMPRODUCT((TRIM(tblDados[Mandante])=$A417)*tblDados[Primeira_Ocorrencia]*((tblDados[GM_M]+tblDados[GS_M])&gt;1.5))+SUMPRODUCT((TRIM(tblDados[Visitante])=$A417)*tblDados[Primeira_Ocorrencia]*((tblDados[GM_V]+tblDados[GS_V])&gt;1.5)))/G417,0))</f>
        <v>0.83333333333333337</v>
      </c>
      <c r="M417" s="16" cm="1">
        <f t="array" ref="M417">IF($A417="","",IFERROR((SUMPRODUCT((TRIM(tblDados[Mandante])=$A417)*tblDados[Primeira_Ocorrencia]*((tblDados[GM_M]+tblDados[GS_M])&gt;2.5))+SUMPRODUCT((TRIM(tblDados[Visitante])=$A417)*tblDados[Primeira_Ocorrencia]*((tblDados[GM_V]+tblDados[GS_V])&gt;2.5)))/G417,0))</f>
        <v>0.75</v>
      </c>
      <c r="N417" s="16" cm="1">
        <f t="array" ref="N417">IF($A417="","",IFERROR((SUMPRODUCT((TRIM(tblDados[Mandante])=$A417)*tblDados[Primeira_Ocorrencia]*((tblDados[GM_M]+tblDados[GS_M])&gt;3.5))+SUMPRODUCT((TRIM(tblDados[Visitante])=$A417)*tblDados[Primeira_Ocorrencia]*((tblDados[GM_V]+tblDados[GS_V])&gt;3.5)))/G417,0))</f>
        <v>0.5</v>
      </c>
      <c r="O417" s="16" cm="1">
        <f t="array" ref="O417">IF($A417="","",IFERROR((SUMPRODUCT((TRIM(tblDados[Mandante])=$A417)*tblDados[Primeira_Ocorrencia]*(tblDados[GM_M]&gt;0)*(tblDados[GS_M]&gt;0))+SUMPRODUCT((TRIM(tblDados[Visitante])=$A417)*tblDados[Primeira_Ocorrencia]*(tblDados[GM_V]&gt;0)*(tblDados[GS_V]&gt;0)))/G417,0))</f>
        <v>0.33333333333333331</v>
      </c>
      <c r="P417" s="14" cm="1">
        <f t="array" ref="P417">IF($A417="","",IFERROR((SUMPRODUCT((TRIM(tblDados[Mandante])=$A417)*tblDados[Primeira_Ocorrencia]*tblDados[GM_M]^2)+SUMPRODUCT((TRIM(tblDados[Visitante])=$A417)*tblDados[Primeira_Ocorrencia]*tblDados[GM_V]^2))/G417-H417^2,0))</f>
        <v>0.74305555555555536</v>
      </c>
      <c r="Q417" s="14">
        <f t="shared" si="135"/>
        <v>0.86200670273238322</v>
      </c>
      <c r="R417" s="1" t="str">
        <f t="shared" si="136"/>
        <v>Poisson</v>
      </c>
      <c r="S417" s="14" cm="1">
        <f t="array" ref="S417">IF($A417="","",SUMPRODUCT((TRIM(tblDados[Mandante])=$A417)*tblDados[Primeira_Ocorrencia]*tblDados[GM_M]))</f>
        <v>2</v>
      </c>
      <c r="T417" s="14" cm="1">
        <f t="array" ref="T417">IF($A417="","",SUMPRODUCT((TRIM(tblDados[Visitante])=$A417)*tblDados[Primeira_Ocorrencia]*tblDados[GM_V]))</f>
        <v>5</v>
      </c>
      <c r="U417" s="14">
        <f t="shared" si="137"/>
        <v>7</v>
      </c>
      <c r="V417" s="14">
        <f t="shared" si="126"/>
        <v>0.58333333333333337</v>
      </c>
      <c r="W417" s="14" cm="1">
        <f t="array" ref="W417">IF($A417="","",SUMPRODUCT((TRIM(tblDados[Mandante])=$A417)*tblDados[Primeira_Ocorrencia]*tblDados[GS_M]))</f>
        <v>12</v>
      </c>
      <c r="X417" s="14" cm="1">
        <f t="array" ref="X417">IF($A417="","",SUMPRODUCT((TRIM(tblDados[Visitante])=$A417)*tblDados[Primeira_Ocorrencia]*tblDados[GS_V]))</f>
        <v>21</v>
      </c>
      <c r="Y417" s="14">
        <f t="shared" si="138"/>
        <v>33</v>
      </c>
      <c r="Z417" s="14">
        <f t="shared" si="127"/>
        <v>2.75</v>
      </c>
      <c r="AA417" s="14">
        <f t="shared" si="128"/>
        <v>0.33333333333333331</v>
      </c>
      <c r="AB417" s="14">
        <f t="shared" si="129"/>
        <v>2</v>
      </c>
      <c r="AC417" s="14">
        <f t="shared" si="130"/>
        <v>0.83333333333333337</v>
      </c>
      <c r="AD417" s="14">
        <f t="shared" si="131"/>
        <v>3.5</v>
      </c>
    </row>
    <row r="418" spans="1:30" x14ac:dyDescent="0.3">
      <c r="A418" s="1" t="str">
        <v>Vålerenga Fotball</v>
      </c>
      <c r="B418" s="13" t="str" cm="1">
        <f t="array" ref="B418">IF($A418="","",_xlfn.LET(_xlpm.p,IFERROR(INDEX(tblDados[País],MATCH($A418,TRIM(tblDados[Mandante]),0)),INDEX(tblDados[País],MATCH($A418,TRIM(tblDados[Visitante]),0))),_xlpm.l,IFERROR(INDEX(tblDados[Liga],MATCH($A418,TRIM(tblDados[Mandante]),0)),INDEX(tblDados[Liga],MATCH($A418,TRIM(tblDados[Visitante]),0))),_xlpm.p&amp;" - "&amp;_xlpm.l))</f>
        <v>NOR - Eliteserien</v>
      </c>
      <c r="C418" s="14">
        <f t="shared" si="132"/>
        <v>4</v>
      </c>
      <c r="D418" s="14">
        <f t="shared" si="133"/>
        <v>3.5999999999999996</v>
      </c>
      <c r="E418" s="15" cm="1">
        <f t="array" ref="E418">IF($A418="","",SUMPRODUCT((TRIM(tblDados[Mandante])=$A418)*tblDados[Primeira_Ocorrencia]))</f>
        <v>7</v>
      </c>
      <c r="F418" s="15" cm="1">
        <f t="array" ref="F418">IF($A418="","",SUMPRODUCT((TRIM(tblDados[Visitante])=$A418)*tblDados[Primeira_Ocorrencia]))</f>
        <v>5</v>
      </c>
      <c r="G418" s="15" cm="1">
        <f t="array" ref="G418">IF($A418="","",SUMPRODUCT((TRIM(tblDados[Mandante])=$A418)*tblDados[Primeira_Ocorrencia])+SUMPRODUCT((TRIM(tblDados[Visitante])=$A418)*tblDados[Primeira_Ocorrencia]))</f>
        <v>12</v>
      </c>
      <c r="H418" s="14">
        <f t="shared" si="134"/>
        <v>1.5833333333333333</v>
      </c>
      <c r="I418" s="14" cm="1">
        <f t="array" ref="I418">IF($A418="","",_xlfn.LET(_xlpm.p,IFERROR(INDEX(tblDados[País],MATCH($A418,TRIM(tblDados[Mandante]),0)),INDEX(tblDados[País],MATCH($A418,TRIM(tblDados[Visitante]),0))),_xlpm.l,IFERROR(INDEX(tblDados[Liga],MATCH($A418,TRIM(tblDados[Mandante]),0)),INDEX(tblDados[Liga],MATCH($A418,TRIM(tblDados[Visitante]),0))),IFERROR(SUMIFS(Ligas!$D$2:$D$39,Ligas!$H$2:$H$39,_xlpm.p,Ligas!$I$2:$I$39,_xlpm.l),0)))</f>
        <v>2.5</v>
      </c>
      <c r="J418" s="16" cm="1">
        <f t="array" ref="J418">IF($A418="","",IFERROR((SUMPRODUCT((TRIM(tblDados[Mandante])=$A418)*tblDados[Primeira_Ocorrencia]*(tblDados[GM_M]=0))+SUMPRODUCT((TRIM(tblDados[Visitante])=$A418)*tblDados[Primeira_Ocorrencia]*(tblDados[GM_V]=0)))/G418,0))</f>
        <v>0.41666666666666669</v>
      </c>
      <c r="K418" s="16" cm="1">
        <f t="array" ref="K418">IF($A418="","",IFERROR((SUMPRODUCT((TRIM(tblDados[Mandante])=$A418)*tblDados[Primeira_Ocorrencia]*((tblDados[GM_M]+tblDados[GS_M])&gt;0.5))+SUMPRODUCT((TRIM(tblDados[Visitante])=$A418)*tblDados[Primeira_Ocorrencia]*((tblDados[GM_V]+tblDados[GS_V])&gt;0.5)))/G418,0))</f>
        <v>1</v>
      </c>
      <c r="L418" s="16" cm="1">
        <f t="array" ref="L418">IF($A418="","",IFERROR((SUMPRODUCT((TRIM(tblDados[Mandante])=$A418)*tblDados[Primeira_Ocorrencia]*((tblDados[GM_M]+tblDados[GS_M])&gt;1.5))+SUMPRODUCT((TRIM(tblDados[Visitante])=$A418)*tblDados[Primeira_Ocorrencia]*((tblDados[GM_V]+tblDados[GS_V])&gt;1.5)))/G418,0))</f>
        <v>0.91666666666666663</v>
      </c>
      <c r="M418" s="16" cm="1">
        <f t="array" ref="M418">IF($A418="","",IFERROR((SUMPRODUCT((TRIM(tblDados[Mandante])=$A418)*tblDados[Primeira_Ocorrencia]*((tblDados[GM_M]+tblDados[GS_M])&gt;2.5))+SUMPRODUCT((TRIM(tblDados[Visitante])=$A418)*tblDados[Primeira_Ocorrencia]*((tblDados[GM_V]+tblDados[GS_V])&gt;2.5)))/G418,0))</f>
        <v>0.75</v>
      </c>
      <c r="N418" s="16" cm="1">
        <f t="array" ref="N418">IF($A418="","",IFERROR((SUMPRODUCT((TRIM(tblDados[Mandante])=$A418)*tblDados[Primeira_Ocorrencia]*((tblDados[GM_M]+tblDados[GS_M])&gt;3.5))+SUMPRODUCT((TRIM(tblDados[Visitante])=$A418)*tblDados[Primeira_Ocorrencia]*((tblDados[GM_V]+tblDados[GS_V])&gt;3.5)))/G418,0))</f>
        <v>0.58333333333333337</v>
      </c>
      <c r="O418" s="16" cm="1">
        <f t="array" ref="O418">IF($A418="","",IFERROR((SUMPRODUCT((TRIM(tblDados[Mandante])=$A418)*tblDados[Primeira_Ocorrencia]*(tblDados[GM_M]&gt;0)*(tblDados[GS_M]&gt;0))+SUMPRODUCT((TRIM(tblDados[Visitante])=$A418)*tblDados[Primeira_Ocorrencia]*(tblDados[GM_V]&gt;0)*(tblDados[GS_V]&gt;0)))/G418,0))</f>
        <v>0.58333333333333337</v>
      </c>
      <c r="P418" s="14" cm="1">
        <f t="array" ref="P418">IF($A418="","",IFERROR((SUMPRODUCT((TRIM(tblDados[Mandante])=$A418)*tblDados[Primeira_Ocorrencia]*tblDados[GM_M]^2)+SUMPRODUCT((TRIM(tblDados[Visitante])=$A418)*tblDados[Primeira_Ocorrencia]*tblDados[GM_V]^2))/G418-H418^2,0))</f>
        <v>3.2430555555555558</v>
      </c>
      <c r="Q418" s="14">
        <f t="shared" si="135"/>
        <v>1.8008485654145259</v>
      </c>
      <c r="R418" s="1" t="str">
        <f t="shared" si="136"/>
        <v>Binomial Negativa</v>
      </c>
      <c r="S418" s="14" cm="1">
        <f t="array" ref="S418">IF($A418="","",SUMPRODUCT((TRIM(tblDados[Mandante])=$A418)*tblDados[Primeira_Ocorrencia]*tblDados[GM_M]))</f>
        <v>15</v>
      </c>
      <c r="T418" s="14" cm="1">
        <f t="array" ref="T418">IF($A418="","",SUMPRODUCT((TRIM(tblDados[Visitante])=$A418)*tblDados[Primeira_Ocorrencia]*tblDados[GM_V]))</f>
        <v>4</v>
      </c>
      <c r="U418" s="14">
        <f t="shared" si="137"/>
        <v>19</v>
      </c>
      <c r="V418" s="14">
        <f t="shared" si="126"/>
        <v>1.5833333333333333</v>
      </c>
      <c r="W418" s="14" cm="1">
        <f t="array" ref="W418">IF($A418="","",SUMPRODUCT((TRIM(tblDados[Mandante])=$A418)*tblDados[Primeira_Ocorrencia]*tblDados[GS_M]))</f>
        <v>13</v>
      </c>
      <c r="X418" s="14" cm="1">
        <f t="array" ref="X418">IF($A418="","",SUMPRODUCT((TRIM(tblDados[Visitante])=$A418)*tblDados[Primeira_Ocorrencia]*tblDados[GS_V]))</f>
        <v>14</v>
      </c>
      <c r="Y418" s="14">
        <f t="shared" si="138"/>
        <v>27</v>
      </c>
      <c r="Z418" s="14">
        <f t="shared" si="127"/>
        <v>2.25</v>
      </c>
      <c r="AA418" s="14">
        <f t="shared" si="128"/>
        <v>2.1428571428571428</v>
      </c>
      <c r="AB418" s="14">
        <f t="shared" si="129"/>
        <v>1.8571428571428572</v>
      </c>
      <c r="AC418" s="14">
        <f t="shared" si="130"/>
        <v>0.8</v>
      </c>
      <c r="AD418" s="14">
        <f t="shared" si="131"/>
        <v>2.8</v>
      </c>
    </row>
    <row r="419" spans="1:30" x14ac:dyDescent="0.3">
      <c r="A419" s="1" t="str">
        <v>Vancouver FC</v>
      </c>
      <c r="B419" s="13" t="str" cm="1">
        <f t="array" ref="B419">IF($A419="","",_xlfn.LET(_xlpm.p,IFERROR(INDEX(tblDados[País],MATCH($A419,TRIM(tblDados[Mandante]),0)),INDEX(tblDados[País],MATCH($A419,TRIM(tblDados[Visitante]),0))),_xlpm.l,IFERROR(INDEX(tblDados[Liga],MATCH($A419,TRIM(tblDados[Mandante]),0)),INDEX(tblDados[Liga],MATCH($A419,TRIM(tblDados[Visitante]),0))),_xlpm.p&amp;" - "&amp;_xlpm.l))</f>
        <v>CAN - Premier League</v>
      </c>
      <c r="C419" s="14">
        <f t="shared" si="132"/>
        <v>2.7142857142857144</v>
      </c>
      <c r="D419" s="14">
        <f t="shared" si="133"/>
        <v>3.4000000000000004</v>
      </c>
      <c r="E419" s="15" cm="1">
        <f t="array" ref="E419">IF($A419="","",SUMPRODUCT((TRIM(tblDados[Mandante])=$A419)*tblDados[Primeira_Ocorrencia]))</f>
        <v>7</v>
      </c>
      <c r="F419" s="15" cm="1">
        <f t="array" ref="F419">IF($A419="","",SUMPRODUCT((TRIM(tblDados[Visitante])=$A419)*tblDados[Primeira_Ocorrencia]))</f>
        <v>5</v>
      </c>
      <c r="G419" s="15" cm="1">
        <f t="array" ref="G419">IF($A419="","",SUMPRODUCT((TRIM(tblDados[Mandante])=$A419)*tblDados[Primeira_Ocorrencia])+SUMPRODUCT((TRIM(tblDados[Visitante])=$A419)*tblDados[Primeira_Ocorrencia]))</f>
        <v>12</v>
      </c>
      <c r="H419" s="14">
        <f t="shared" si="134"/>
        <v>2</v>
      </c>
      <c r="I419" s="14" cm="1">
        <f t="array" ref="I419">IF($A419="","",_xlfn.LET(_xlpm.p,IFERROR(INDEX(tblDados[País],MATCH($A419,TRIM(tblDados[Mandante]),0)),INDEX(tblDados[País],MATCH($A419,TRIM(tblDados[Visitante]),0))),_xlpm.l,IFERROR(INDEX(tblDados[Liga],MATCH($A419,TRIM(tblDados[Mandante]),0)),INDEX(tblDados[Liga],MATCH($A419,TRIM(tblDados[Visitante]),0))),IFERROR(SUMIFS(Ligas!$D$2:$D$39,Ligas!$H$2:$H$39,_xlpm.p,Ligas!$I$2:$I$39,_xlpm.l),0)))</f>
        <v>2.5</v>
      </c>
      <c r="J419" s="16" cm="1">
        <f t="array" ref="J419">IF($A419="","",IFERROR((SUMPRODUCT((TRIM(tblDados[Mandante])=$A419)*tblDados[Primeira_Ocorrencia]*(tblDados[GM_M]=0))+SUMPRODUCT((TRIM(tblDados[Visitante])=$A419)*tblDados[Primeira_Ocorrencia]*(tblDados[GM_V]=0)))/G419,0))</f>
        <v>0.16666666666666666</v>
      </c>
      <c r="K419" s="16" cm="1">
        <f t="array" ref="K419">IF($A419="","",IFERROR((SUMPRODUCT((TRIM(tblDados[Mandante])=$A419)*tblDados[Primeira_Ocorrencia]*((tblDados[GM_M]+tblDados[GS_M])&gt;0.5))+SUMPRODUCT((TRIM(tblDados[Visitante])=$A419)*tblDados[Primeira_Ocorrencia]*((tblDados[GM_V]+tblDados[GS_V])&gt;0.5)))/G419,0))</f>
        <v>1</v>
      </c>
      <c r="L419" s="16" cm="1">
        <f t="array" ref="L419">IF($A419="","",IFERROR((SUMPRODUCT((TRIM(tblDados[Mandante])=$A419)*tblDados[Primeira_Ocorrencia]*((tblDados[GM_M]+tblDados[GS_M])&gt;1.5))+SUMPRODUCT((TRIM(tblDados[Visitante])=$A419)*tblDados[Primeira_Ocorrencia]*((tblDados[GM_V]+tblDados[GS_V])&gt;1.5)))/G419,0))</f>
        <v>0.75</v>
      </c>
      <c r="M419" s="16" cm="1">
        <f t="array" ref="M419">IF($A419="","",IFERROR((SUMPRODUCT((TRIM(tblDados[Mandante])=$A419)*tblDados[Primeira_Ocorrencia]*((tblDados[GM_M]+tblDados[GS_M])&gt;2.5))+SUMPRODUCT((TRIM(tblDados[Visitante])=$A419)*tblDados[Primeira_Ocorrencia]*((tblDados[GM_V]+tblDados[GS_V])&gt;2.5)))/G419,0))</f>
        <v>0.58333333333333337</v>
      </c>
      <c r="N419" s="16" cm="1">
        <f t="array" ref="N419">IF($A419="","",IFERROR((SUMPRODUCT((TRIM(tblDados[Mandante])=$A419)*tblDados[Primeira_Ocorrencia]*((tblDados[GM_M]+tblDados[GS_M])&gt;3.5))+SUMPRODUCT((TRIM(tblDados[Visitante])=$A419)*tblDados[Primeira_Ocorrencia]*((tblDados[GM_V]+tblDados[GS_V])&gt;3.5)))/G419,0))</f>
        <v>0.41666666666666669</v>
      </c>
      <c r="O419" s="16" cm="1">
        <f t="array" ref="O419">IF($A419="","",IFERROR((SUMPRODUCT((TRIM(tblDados[Mandante])=$A419)*tblDados[Primeira_Ocorrencia]*(tblDados[GM_M]&gt;0)*(tblDados[GS_M]&gt;0))+SUMPRODUCT((TRIM(tblDados[Visitante])=$A419)*tblDados[Primeira_Ocorrencia]*(tblDados[GM_V]&gt;0)*(tblDados[GS_V]&gt;0)))/G419,0))</f>
        <v>0.58333333333333337</v>
      </c>
      <c r="P419" s="14" cm="1">
        <f t="array" ref="P419">IF($A419="","",IFERROR((SUMPRODUCT((TRIM(tblDados[Mandante])=$A419)*tblDados[Primeira_Ocorrencia]*tblDados[GM_M]^2)+SUMPRODUCT((TRIM(tblDados[Visitante])=$A419)*tblDados[Primeira_Ocorrencia]*tblDados[GM_V]^2))/G419-H419^2,0))</f>
        <v>2.166666666666667</v>
      </c>
      <c r="Q419" s="14">
        <f t="shared" si="135"/>
        <v>1.4719601443879746</v>
      </c>
      <c r="R419" s="1" t="str">
        <f t="shared" si="136"/>
        <v>Poisson</v>
      </c>
      <c r="S419" s="14" cm="1">
        <f t="array" ref="S419">IF($A419="","",SUMPRODUCT((TRIM(tblDados[Mandante])=$A419)*tblDados[Primeira_Ocorrencia]*tblDados[GM_M]))</f>
        <v>13</v>
      </c>
      <c r="T419" s="14" cm="1">
        <f t="array" ref="T419">IF($A419="","",SUMPRODUCT((TRIM(tblDados[Visitante])=$A419)*tblDados[Primeira_Ocorrencia]*tblDados[GM_V]))</f>
        <v>11</v>
      </c>
      <c r="U419" s="14">
        <f t="shared" si="137"/>
        <v>24</v>
      </c>
      <c r="V419" s="14">
        <f t="shared" si="126"/>
        <v>2</v>
      </c>
      <c r="W419" s="14" cm="1">
        <f t="array" ref="W419">IF($A419="","",SUMPRODUCT((TRIM(tblDados[Mandante])=$A419)*tblDados[Primeira_Ocorrencia]*tblDados[GS_M]))</f>
        <v>6</v>
      </c>
      <c r="X419" s="14" cm="1">
        <f t="array" ref="X419">IF($A419="","",SUMPRODUCT((TRIM(tblDados[Visitante])=$A419)*tblDados[Primeira_Ocorrencia]*tblDados[GS_V]))</f>
        <v>6</v>
      </c>
      <c r="Y419" s="14">
        <f t="shared" si="138"/>
        <v>12</v>
      </c>
      <c r="Z419" s="14">
        <f t="shared" si="127"/>
        <v>1</v>
      </c>
      <c r="AA419" s="14">
        <f t="shared" si="128"/>
        <v>1.8571428571428572</v>
      </c>
      <c r="AB419" s="14">
        <f t="shared" si="129"/>
        <v>0.8571428571428571</v>
      </c>
      <c r="AC419" s="14">
        <f t="shared" si="130"/>
        <v>2.2000000000000002</v>
      </c>
      <c r="AD419" s="14">
        <f t="shared" si="131"/>
        <v>1.2</v>
      </c>
    </row>
    <row r="420" spans="1:30" x14ac:dyDescent="0.3">
      <c r="A420" s="1" t="str">
        <v>Vancouver Whitecaps FC</v>
      </c>
      <c r="B420" s="13" t="str" cm="1">
        <f t="array" ref="B420">IF($A420="","",_xlfn.LET(_xlpm.p,IFERROR(INDEX(tblDados[País],MATCH($A420,TRIM(tblDados[Mandante]),0)),INDEX(tblDados[País],MATCH($A420,TRIM(tblDados[Visitante]),0))),_xlpm.l,IFERROR(INDEX(tblDados[Liga],MATCH($A420,TRIM(tblDados[Mandante]),0)),INDEX(tblDados[Liga],MATCH($A420,TRIM(tblDados[Visitante]),0))),_xlpm.p&amp;" - "&amp;_xlpm.l))</f>
        <v>USA - MLS-West</v>
      </c>
      <c r="C420" s="14">
        <f t="shared" si="132"/>
        <v>3.2</v>
      </c>
      <c r="D420" s="14">
        <f t="shared" si="133"/>
        <v>3.2857142857142856</v>
      </c>
      <c r="E420" s="15" cm="1">
        <f t="array" ref="E420">IF($A420="","",SUMPRODUCT((TRIM(tblDados[Mandante])=$A420)*tblDados[Primeira_Ocorrencia]))</f>
        <v>5</v>
      </c>
      <c r="F420" s="15" cm="1">
        <f t="array" ref="F420">IF($A420="","",SUMPRODUCT((TRIM(tblDados[Visitante])=$A420)*tblDados[Primeira_Ocorrencia]))</f>
        <v>7</v>
      </c>
      <c r="G420" s="15" cm="1">
        <f t="array" ref="G420">IF($A420="","",SUMPRODUCT((TRIM(tblDados[Mandante])=$A420)*tblDados[Primeira_Ocorrencia])+SUMPRODUCT((TRIM(tblDados[Visitante])=$A420)*tblDados[Primeira_Ocorrencia]))</f>
        <v>12</v>
      </c>
      <c r="H420" s="14">
        <f t="shared" si="134"/>
        <v>2</v>
      </c>
      <c r="I420" s="14" cm="1">
        <f t="array" ref="I420">IF($A420="","",_xlfn.LET(_xlpm.p,IFERROR(INDEX(tblDados[País],MATCH($A420,TRIM(tblDados[Mandante]),0)),INDEX(tblDados[País],MATCH($A420,TRIM(tblDados[Visitante]),0))),_xlpm.l,IFERROR(INDEX(tblDados[Liga],MATCH($A420,TRIM(tblDados[Mandante]),0)),INDEX(tblDados[Liga],MATCH($A420,TRIM(tblDados[Visitante]),0))),IFERROR(SUMIFS(Ligas!$D$2:$D$39,Ligas!$H$2:$H$39,_xlpm.p,Ligas!$I$2:$I$39,_xlpm.l),0)))</f>
        <v>3.3</v>
      </c>
      <c r="J420" s="16" cm="1">
        <f t="array" ref="J420">IF($A420="","",IFERROR((SUMPRODUCT((TRIM(tblDados[Mandante])=$A420)*tblDados[Primeira_Ocorrencia]*(tblDados[GM_M]=0))+SUMPRODUCT((TRIM(tblDados[Visitante])=$A420)*tblDados[Primeira_Ocorrencia]*(tblDados[GM_V]=0)))/G420,0))</f>
        <v>0.16666666666666666</v>
      </c>
      <c r="K420" s="16" cm="1">
        <f t="array" ref="K420">IF($A420="","",IFERROR((SUMPRODUCT((TRIM(tblDados[Mandante])=$A420)*tblDados[Primeira_Ocorrencia]*((tblDados[GM_M]+tblDados[GS_M])&gt;0.5))+SUMPRODUCT((TRIM(tblDados[Visitante])=$A420)*tblDados[Primeira_Ocorrencia]*((tblDados[GM_V]+tblDados[GS_V])&gt;0.5)))/G420,0))</f>
        <v>0.91666666666666663</v>
      </c>
      <c r="L420" s="16" cm="1">
        <f t="array" ref="L420">IF($A420="","",IFERROR((SUMPRODUCT((TRIM(tblDados[Mandante])=$A420)*tblDados[Primeira_Ocorrencia]*((tblDados[GM_M]+tblDados[GS_M])&gt;1.5))+SUMPRODUCT((TRIM(tblDados[Visitante])=$A420)*tblDados[Primeira_Ocorrencia]*((tblDados[GM_V]+tblDados[GS_V])&gt;1.5)))/G420,0))</f>
        <v>0.83333333333333337</v>
      </c>
      <c r="M420" s="16" cm="1">
        <f t="array" ref="M420">IF($A420="","",IFERROR((SUMPRODUCT((TRIM(tblDados[Mandante])=$A420)*tblDados[Primeira_Ocorrencia]*((tblDados[GM_M]+tblDados[GS_M])&gt;2.5))+SUMPRODUCT((TRIM(tblDados[Visitante])=$A420)*tblDados[Primeira_Ocorrencia]*((tblDados[GM_V]+tblDados[GS_V])&gt;2.5)))/G420,0))</f>
        <v>0.5</v>
      </c>
      <c r="N420" s="16" cm="1">
        <f t="array" ref="N420">IF($A420="","",IFERROR((SUMPRODUCT((TRIM(tblDados[Mandante])=$A420)*tblDados[Primeira_Ocorrencia]*((tblDados[GM_M]+tblDados[GS_M])&gt;3.5))+SUMPRODUCT((TRIM(tblDados[Visitante])=$A420)*tblDados[Primeira_Ocorrencia]*((tblDados[GM_V]+tblDados[GS_V])&gt;3.5)))/G420,0))</f>
        <v>0.41666666666666669</v>
      </c>
      <c r="O420" s="16" cm="1">
        <f t="array" ref="O420">IF($A420="","",IFERROR((SUMPRODUCT((TRIM(tblDados[Mandante])=$A420)*tblDados[Primeira_Ocorrencia]*(tblDados[GM_M]&gt;0)*(tblDados[GS_M]&gt;0))+SUMPRODUCT((TRIM(tblDados[Visitante])=$A420)*tblDados[Primeira_Ocorrencia]*(tblDados[GM_V]&gt;0)*(tblDados[GS_V]&gt;0)))/G420,0))</f>
        <v>0.66666666666666663</v>
      </c>
      <c r="P420" s="14" cm="1">
        <f t="array" ref="P420">IF($A420="","",IFERROR((SUMPRODUCT((TRIM(tblDados[Mandante])=$A420)*tblDados[Primeira_Ocorrencia]*tblDados[GM_M]^2)+SUMPRODUCT((TRIM(tblDados[Visitante])=$A420)*tblDados[Primeira_Ocorrencia]*tblDados[GM_V]^2))/G420-H420^2,0))</f>
        <v>1.666666666666667</v>
      </c>
      <c r="Q420" s="14">
        <f t="shared" si="135"/>
        <v>1.2909944487358058</v>
      </c>
      <c r="R420" s="1" t="str">
        <f t="shared" si="136"/>
        <v>Poisson</v>
      </c>
      <c r="S420" s="14" cm="1">
        <f t="array" ref="S420">IF($A420="","",SUMPRODUCT((TRIM(tblDados[Mandante])=$A420)*tblDados[Primeira_Ocorrencia]*tblDados[GM_M]))</f>
        <v>12</v>
      </c>
      <c r="T420" s="14" cm="1">
        <f t="array" ref="T420">IF($A420="","",SUMPRODUCT((TRIM(tblDados[Visitante])=$A420)*tblDados[Primeira_Ocorrencia]*tblDados[GM_V]))</f>
        <v>12</v>
      </c>
      <c r="U420" s="14">
        <f t="shared" si="137"/>
        <v>24</v>
      </c>
      <c r="V420" s="14">
        <f t="shared" si="126"/>
        <v>2</v>
      </c>
      <c r="W420" s="14" cm="1">
        <f t="array" ref="W420">IF($A420="","",SUMPRODUCT((TRIM(tblDados[Mandante])=$A420)*tblDados[Primeira_Ocorrencia]*tblDados[GS_M]))</f>
        <v>4</v>
      </c>
      <c r="X420" s="14" cm="1">
        <f t="array" ref="X420">IF($A420="","",SUMPRODUCT((TRIM(tblDados[Visitante])=$A420)*tblDados[Primeira_Ocorrencia]*tblDados[GS_V]))</f>
        <v>11</v>
      </c>
      <c r="Y420" s="14">
        <f t="shared" si="138"/>
        <v>15</v>
      </c>
      <c r="Z420" s="14">
        <f t="shared" si="127"/>
        <v>1.25</v>
      </c>
      <c r="AA420" s="14">
        <f t="shared" si="128"/>
        <v>2.4</v>
      </c>
      <c r="AB420" s="14">
        <f t="shared" si="129"/>
        <v>0.8</v>
      </c>
      <c r="AC420" s="14">
        <f t="shared" si="130"/>
        <v>1.7142857142857142</v>
      </c>
      <c r="AD420" s="14">
        <f t="shared" si="131"/>
        <v>1.5714285714285714</v>
      </c>
    </row>
    <row r="421" spans="1:30" x14ac:dyDescent="0.3">
      <c r="A421" s="1" t="str">
        <v>Vänersborgs FK</v>
      </c>
      <c r="B421" s="13" t="str" cm="1">
        <f t="array" ref="B421">IF($A421="","",_xlfn.LET(_xlpm.p,IFERROR(INDEX(tblDados[País],MATCH($A421,TRIM(tblDados[Mandante]),0)),INDEX(tblDados[País],MATCH($A421,TRIM(tblDados[Visitante]),0))),_xlpm.l,IFERROR(INDEX(tblDados[Liga],MATCH($A421,TRIM(tblDados[Mandante]),0)),INDEX(tblDados[Liga],MATCH($A421,TRIM(tblDados[Visitante]),0))),_xlpm.p&amp;" - "&amp;_xlpm.l))</f>
        <v>SWE - 2ª D Norra Götaland</v>
      </c>
      <c r="C421" s="14">
        <f t="shared" si="132"/>
        <v>4.833333333333333</v>
      </c>
      <c r="D421" s="14">
        <f t="shared" si="133"/>
        <v>2.5</v>
      </c>
      <c r="E421" s="15" cm="1">
        <f t="array" ref="E421">IF($A421="","",SUMPRODUCT((TRIM(tblDados[Mandante])=$A421)*tblDados[Primeira_Ocorrencia]))</f>
        <v>6</v>
      </c>
      <c r="F421" s="15" cm="1">
        <f t="array" ref="F421">IF($A421="","",SUMPRODUCT((TRIM(tblDados[Visitante])=$A421)*tblDados[Primeira_Ocorrencia]))</f>
        <v>6</v>
      </c>
      <c r="G421" s="15" cm="1">
        <f t="array" ref="G421">IF($A421="","",SUMPRODUCT((TRIM(tblDados[Mandante])=$A421)*tblDados[Primeira_Ocorrencia])+SUMPRODUCT((TRIM(tblDados[Visitante])=$A421)*tblDados[Primeira_Ocorrencia]))</f>
        <v>12</v>
      </c>
      <c r="H421" s="14">
        <f t="shared" si="134"/>
        <v>1.3333333333333333</v>
      </c>
      <c r="I421" s="14" cm="1">
        <f t="array" ref="I421">IF($A421="","",_xlfn.LET(_xlpm.p,IFERROR(INDEX(tblDados[País],MATCH($A421,TRIM(tblDados[Mandante]),0)),INDEX(tblDados[País],MATCH($A421,TRIM(tblDados[Visitante]),0))),_xlpm.l,IFERROR(INDEX(tblDados[Liga],MATCH($A421,TRIM(tblDados[Mandante]),0)),INDEX(tblDados[Liga],MATCH($A421,TRIM(tblDados[Visitante]),0))),IFERROR(SUMIFS(Ligas!$D$2:$D$39,Ligas!$H$2:$H$39,_xlpm.p,Ligas!$I$2:$I$39,_xlpm.l),0)))</f>
        <v>2.5</v>
      </c>
      <c r="J421" s="16" cm="1">
        <f t="array" ref="J421">IF($A421="","",IFERROR((SUMPRODUCT((TRIM(tblDados[Mandante])=$A421)*tblDados[Primeira_Ocorrencia]*(tblDados[GM_M]=0))+SUMPRODUCT((TRIM(tblDados[Visitante])=$A421)*tblDados[Primeira_Ocorrencia]*(tblDados[GM_V]=0)))/G421,0))</f>
        <v>0.16666666666666666</v>
      </c>
      <c r="K421" s="16" cm="1">
        <f t="array" ref="K421">IF($A421="","",IFERROR((SUMPRODUCT((TRIM(tblDados[Mandante])=$A421)*tblDados[Primeira_Ocorrencia]*((tblDados[GM_M]+tblDados[GS_M])&gt;0.5))+SUMPRODUCT((TRIM(tblDados[Visitante])=$A421)*tblDados[Primeira_Ocorrencia]*((tblDados[GM_V]+tblDados[GS_V])&gt;0.5)))/G421,0))</f>
        <v>0.91666666666666663</v>
      </c>
      <c r="L421" s="16" cm="1">
        <f t="array" ref="L421">IF($A421="","",IFERROR((SUMPRODUCT((TRIM(tblDados[Mandante])=$A421)*tblDados[Primeira_Ocorrencia]*((tblDados[GM_M]+tblDados[GS_M])&gt;1.5))+SUMPRODUCT((TRIM(tblDados[Visitante])=$A421)*tblDados[Primeira_Ocorrencia]*((tblDados[GM_V]+tblDados[GS_V])&gt;1.5)))/G421,0))</f>
        <v>0.83333333333333337</v>
      </c>
      <c r="M421" s="16" cm="1">
        <f t="array" ref="M421">IF($A421="","",IFERROR((SUMPRODUCT((TRIM(tblDados[Mandante])=$A421)*tblDados[Primeira_Ocorrencia]*((tblDados[GM_M]+tblDados[GS_M])&gt;2.5))+SUMPRODUCT((TRIM(tblDados[Visitante])=$A421)*tblDados[Primeira_Ocorrencia]*((tblDados[GM_V]+tblDados[GS_V])&gt;2.5)))/G421,0))</f>
        <v>0.75</v>
      </c>
      <c r="N421" s="16" cm="1">
        <f t="array" ref="N421">IF($A421="","",IFERROR((SUMPRODUCT((TRIM(tblDados[Mandante])=$A421)*tblDados[Primeira_Ocorrencia]*((tblDados[GM_M]+tblDados[GS_M])&gt;3.5))+SUMPRODUCT((TRIM(tblDados[Visitante])=$A421)*tblDados[Primeira_Ocorrencia]*((tblDados[GM_V]+tblDados[GS_V])&gt;3.5)))/G421,0))</f>
        <v>0.66666666666666663</v>
      </c>
      <c r="O421" s="16" cm="1">
        <f t="array" ref="O421">IF($A421="","",IFERROR((SUMPRODUCT((TRIM(tblDados[Mandante])=$A421)*tblDados[Primeira_Ocorrencia]*(tblDados[GM_M]&gt;0)*(tblDados[GS_M]&gt;0))+SUMPRODUCT((TRIM(tblDados[Visitante])=$A421)*tblDados[Primeira_Ocorrencia]*(tblDados[GM_V]&gt;0)*(tblDados[GS_V]&gt;0)))/G421,0))</f>
        <v>0.75</v>
      </c>
      <c r="P421" s="14" cm="1">
        <f t="array" ref="P421">IF($A421="","",IFERROR((SUMPRODUCT((TRIM(tblDados[Mandante])=$A421)*tblDados[Primeira_Ocorrencia]*tblDados[GM_M]^2)+SUMPRODUCT((TRIM(tblDados[Visitante])=$A421)*tblDados[Primeira_Ocorrencia]*tblDados[GM_V]^2))/G421-H421^2,0))</f>
        <v>0.72222222222222232</v>
      </c>
      <c r="Q421" s="14">
        <f t="shared" si="135"/>
        <v>0.84983658559879749</v>
      </c>
      <c r="R421" s="1" t="str">
        <f t="shared" si="136"/>
        <v>Poisson</v>
      </c>
      <c r="S421" s="14" cm="1">
        <f t="array" ref="S421">IF($A421="","",SUMPRODUCT((TRIM(tblDados[Mandante])=$A421)*tblDados[Primeira_Ocorrencia]*tblDados[GM_M]))</f>
        <v>11</v>
      </c>
      <c r="T421" s="14" cm="1">
        <f t="array" ref="T421">IF($A421="","",SUMPRODUCT((TRIM(tblDados[Visitante])=$A421)*tblDados[Primeira_Ocorrencia]*tblDados[GM_V]))</f>
        <v>5</v>
      </c>
      <c r="U421" s="14">
        <f t="shared" si="137"/>
        <v>16</v>
      </c>
      <c r="V421" s="14">
        <f t="shared" si="126"/>
        <v>1.3333333333333333</v>
      </c>
      <c r="W421" s="14" cm="1">
        <f t="array" ref="W421">IF($A421="","",SUMPRODUCT((TRIM(tblDados[Mandante])=$A421)*tblDados[Primeira_Ocorrencia]*tblDados[GS_M]))</f>
        <v>18</v>
      </c>
      <c r="X421" s="14" cm="1">
        <f t="array" ref="X421">IF($A421="","",SUMPRODUCT((TRIM(tblDados[Visitante])=$A421)*tblDados[Primeira_Ocorrencia]*tblDados[GS_V]))</f>
        <v>10</v>
      </c>
      <c r="Y421" s="14">
        <f t="shared" si="138"/>
        <v>28</v>
      </c>
      <c r="Z421" s="14">
        <f t="shared" si="127"/>
        <v>2.3333333333333335</v>
      </c>
      <c r="AA421" s="14">
        <f t="shared" si="128"/>
        <v>1.8333333333333333</v>
      </c>
      <c r="AB421" s="14">
        <f t="shared" si="129"/>
        <v>3</v>
      </c>
      <c r="AC421" s="14">
        <f t="shared" si="130"/>
        <v>0.83333333333333337</v>
      </c>
      <c r="AD421" s="14">
        <f t="shared" si="131"/>
        <v>1.6666666666666667</v>
      </c>
    </row>
    <row r="422" spans="1:30" x14ac:dyDescent="0.3">
      <c r="A422" s="1" t="str">
        <v>Vänersborgs IF</v>
      </c>
      <c r="B422" s="13" t="str" cm="1">
        <f t="array" ref="B422">IF($A422="","",_xlfn.LET(_xlpm.p,IFERROR(INDEX(tblDados[País],MATCH($A422,TRIM(tblDados[Mandante]),0)),INDEX(tblDados[País],MATCH($A422,TRIM(tblDados[Visitante]),0))),_xlpm.l,IFERROR(INDEX(tblDados[Liga],MATCH($A422,TRIM(tblDados[Mandante]),0)),INDEX(tblDados[Liga],MATCH($A422,TRIM(tblDados[Visitante]),0))),_xlpm.p&amp;" - "&amp;_xlpm.l))</f>
        <v>SWE - 2ª D Norra Götaland</v>
      </c>
      <c r="C422" s="14">
        <f t="shared" si="132"/>
        <v>3.166666666666667</v>
      </c>
      <c r="D422" s="14">
        <f t="shared" si="133"/>
        <v>4.666666666666667</v>
      </c>
      <c r="E422" s="15" cm="1">
        <f t="array" ref="E422">IF($A422="","",SUMPRODUCT((TRIM(tblDados[Mandante])=$A422)*tblDados[Primeira_Ocorrencia]))</f>
        <v>6</v>
      </c>
      <c r="F422" s="15" cm="1">
        <f t="array" ref="F422">IF($A422="","",SUMPRODUCT((TRIM(tblDados[Visitante])=$A422)*tblDados[Primeira_Ocorrencia]))</f>
        <v>6</v>
      </c>
      <c r="G422" s="15" cm="1">
        <f t="array" ref="G422">IF($A422="","",SUMPRODUCT((TRIM(tblDados[Mandante])=$A422)*tblDados[Primeira_Ocorrencia])+SUMPRODUCT((TRIM(tblDados[Visitante])=$A422)*tblDados[Primeira_Ocorrencia]))</f>
        <v>12</v>
      </c>
      <c r="H422" s="14">
        <f t="shared" si="134"/>
        <v>1.25</v>
      </c>
      <c r="I422" s="14" cm="1">
        <f t="array" ref="I422">IF($A422="","",_xlfn.LET(_xlpm.p,IFERROR(INDEX(tblDados[País],MATCH($A422,TRIM(tblDados[Mandante]),0)),INDEX(tblDados[País],MATCH($A422,TRIM(tblDados[Visitante]),0))),_xlpm.l,IFERROR(INDEX(tblDados[Liga],MATCH($A422,TRIM(tblDados[Mandante]),0)),INDEX(tblDados[Liga],MATCH($A422,TRIM(tblDados[Visitante]),0))),IFERROR(SUMIFS(Ligas!$D$2:$D$39,Ligas!$H$2:$H$39,_xlpm.p,Ligas!$I$2:$I$39,_xlpm.l),0)))</f>
        <v>2.5</v>
      </c>
      <c r="J422" s="16" cm="1">
        <f t="array" ref="J422">IF($A422="","",IFERROR((SUMPRODUCT((TRIM(tblDados[Mandante])=$A422)*tblDados[Primeira_Ocorrencia]*(tblDados[GM_M]=0))+SUMPRODUCT((TRIM(tblDados[Visitante])=$A422)*tblDados[Primeira_Ocorrencia]*(tblDados[GM_V]=0)))/G422,0))</f>
        <v>0.33333333333333331</v>
      </c>
      <c r="K422" s="16" cm="1">
        <f t="array" ref="K422">IF($A422="","",IFERROR((SUMPRODUCT((TRIM(tblDados[Mandante])=$A422)*tblDados[Primeira_Ocorrencia]*((tblDados[GM_M]+tblDados[GS_M])&gt;0.5))+SUMPRODUCT((TRIM(tblDados[Visitante])=$A422)*tblDados[Primeira_Ocorrencia]*((tblDados[GM_V]+tblDados[GS_V])&gt;0.5)))/G422,0))</f>
        <v>1</v>
      </c>
      <c r="L422" s="16" cm="1">
        <f t="array" ref="L422">IF($A422="","",IFERROR((SUMPRODUCT((TRIM(tblDados[Mandante])=$A422)*tblDados[Primeira_Ocorrencia]*((tblDados[GM_M]+tblDados[GS_M])&gt;1.5))+SUMPRODUCT((TRIM(tblDados[Visitante])=$A422)*tblDados[Primeira_Ocorrencia]*((tblDados[GM_V]+tblDados[GS_V])&gt;1.5)))/G422,0))</f>
        <v>0.83333333333333337</v>
      </c>
      <c r="M422" s="16" cm="1">
        <f t="array" ref="M422">IF($A422="","",IFERROR((SUMPRODUCT((TRIM(tblDados[Mandante])=$A422)*tblDados[Primeira_Ocorrencia]*((tblDados[GM_M]+tblDados[GS_M])&gt;2.5))+SUMPRODUCT((TRIM(tblDados[Visitante])=$A422)*tblDados[Primeira_Ocorrencia]*((tblDados[GM_V]+tblDados[GS_V])&gt;2.5)))/G422,0))</f>
        <v>0.75</v>
      </c>
      <c r="N422" s="16" cm="1">
        <f t="array" ref="N422">IF($A422="","",IFERROR((SUMPRODUCT((TRIM(tblDados[Mandante])=$A422)*tblDados[Primeira_Ocorrencia]*((tblDados[GM_M]+tblDados[GS_M])&gt;3.5))+SUMPRODUCT((TRIM(tblDados[Visitante])=$A422)*tblDados[Primeira_Ocorrencia]*((tblDados[GM_V]+tblDados[GS_V])&gt;3.5)))/G422,0))</f>
        <v>0.5</v>
      </c>
      <c r="O422" s="16" cm="1">
        <f t="array" ref="O422">IF($A422="","",IFERROR((SUMPRODUCT((TRIM(tblDados[Mandante])=$A422)*tblDados[Primeira_Ocorrencia]*(tblDados[GM_M]&gt;0)*(tblDados[GS_M]&gt;0))+SUMPRODUCT((TRIM(tblDados[Visitante])=$A422)*tblDados[Primeira_Ocorrencia]*(tblDados[GM_V]&gt;0)*(tblDados[GS_V]&gt;0)))/G422,0))</f>
        <v>0.58333333333333337</v>
      </c>
      <c r="P422" s="14" cm="1">
        <f t="array" ref="P422">IF($A422="","",IFERROR((SUMPRODUCT((TRIM(tblDados[Mandante])=$A422)*tblDados[Primeira_Ocorrencia]*tblDados[GM_M]^2)+SUMPRODUCT((TRIM(tblDados[Visitante])=$A422)*tblDados[Primeira_Ocorrencia]*tblDados[GM_V]^2))/G422-H422^2,0))</f>
        <v>1.1875</v>
      </c>
      <c r="Q422" s="14">
        <f t="shared" si="135"/>
        <v>1.0897247358851685</v>
      </c>
      <c r="R422" s="1" t="str">
        <f t="shared" si="136"/>
        <v>Poisson</v>
      </c>
      <c r="S422" s="14" cm="1">
        <f t="array" ref="S422">IF($A422="","",SUMPRODUCT((TRIM(tblDados[Mandante])=$A422)*tblDados[Primeira_Ocorrencia]*tblDados[GM_M]))</f>
        <v>7</v>
      </c>
      <c r="T422" s="14" cm="1">
        <f t="array" ref="T422">IF($A422="","",SUMPRODUCT((TRIM(tblDados[Visitante])=$A422)*tblDados[Primeira_Ocorrencia]*tblDados[GM_V]))</f>
        <v>8</v>
      </c>
      <c r="U422" s="14">
        <f t="shared" si="137"/>
        <v>15</v>
      </c>
      <c r="V422" s="14">
        <f t="shared" si="126"/>
        <v>1.25</v>
      </c>
      <c r="W422" s="14" cm="1">
        <f t="array" ref="W422">IF($A422="","",SUMPRODUCT((TRIM(tblDados[Mandante])=$A422)*tblDados[Primeira_Ocorrencia]*tblDados[GS_M]))</f>
        <v>12</v>
      </c>
      <c r="X422" s="14" cm="1">
        <f t="array" ref="X422">IF($A422="","",SUMPRODUCT((TRIM(tblDados[Visitante])=$A422)*tblDados[Primeira_Ocorrencia]*tblDados[GS_V]))</f>
        <v>20</v>
      </c>
      <c r="Y422" s="14">
        <f t="shared" si="138"/>
        <v>32</v>
      </c>
      <c r="Z422" s="14">
        <f t="shared" si="127"/>
        <v>2.6666666666666665</v>
      </c>
      <c r="AA422" s="14">
        <f t="shared" si="128"/>
        <v>1.1666666666666667</v>
      </c>
      <c r="AB422" s="14">
        <f t="shared" si="129"/>
        <v>2</v>
      </c>
      <c r="AC422" s="14">
        <f t="shared" si="130"/>
        <v>1.3333333333333333</v>
      </c>
      <c r="AD422" s="14">
        <f t="shared" si="131"/>
        <v>3.3333333333333335</v>
      </c>
    </row>
    <row r="423" spans="1:30" x14ac:dyDescent="0.3">
      <c r="A423" s="1" t="str">
        <v>Vasalunds IF</v>
      </c>
      <c r="B423" s="13" t="str" cm="1">
        <f t="array" ref="B423">IF($A423="","",_xlfn.LET(_xlpm.p,IFERROR(INDEX(tblDados[País],MATCH($A423,TRIM(tblDados[Mandante]),0)),INDEX(tblDados[País],MATCH($A423,TRIM(tblDados[Visitante]),0))),_xlpm.l,IFERROR(INDEX(tblDados[Liga],MATCH($A423,TRIM(tblDados[Mandante]),0)),INDEX(tblDados[Liga],MATCH($A423,TRIM(tblDados[Visitante]),0))),_xlpm.p&amp;" - "&amp;_xlpm.l))</f>
        <v>SWE - 1ª D Norra</v>
      </c>
      <c r="C423" s="14">
        <f t="shared" si="132"/>
        <v>2.6666666666666665</v>
      </c>
      <c r="D423" s="14">
        <f t="shared" si="133"/>
        <v>3.833333333333333</v>
      </c>
      <c r="E423" s="15" cm="1">
        <f t="array" ref="E423">IF($A423="","",SUMPRODUCT((TRIM(tblDados[Mandante])=$A423)*tblDados[Primeira_Ocorrencia]))</f>
        <v>6</v>
      </c>
      <c r="F423" s="15" cm="1">
        <f t="array" ref="F423">IF($A423="","",SUMPRODUCT((TRIM(tblDados[Visitante])=$A423)*tblDados[Primeira_Ocorrencia]))</f>
        <v>6</v>
      </c>
      <c r="G423" s="15" cm="1">
        <f t="array" ref="G423">IF($A423="","",SUMPRODUCT((TRIM(tblDados[Mandante])=$A423)*tblDados[Primeira_Ocorrencia])+SUMPRODUCT((TRIM(tblDados[Visitante])=$A423)*tblDados[Primeira_Ocorrencia]))</f>
        <v>12</v>
      </c>
      <c r="H423" s="14">
        <f t="shared" si="134"/>
        <v>1.3333333333333333</v>
      </c>
      <c r="I423" s="14" cm="1">
        <f t="array" ref="I423">IF($A423="","",_xlfn.LET(_xlpm.p,IFERROR(INDEX(tblDados[País],MATCH($A423,TRIM(tblDados[Mandante]),0)),INDEX(tblDados[País],MATCH($A423,TRIM(tblDados[Visitante]),0))),_xlpm.l,IFERROR(INDEX(tblDados[Liga],MATCH($A423,TRIM(tblDados[Mandante]),0)),INDEX(tblDados[Liga],MATCH($A423,TRIM(tblDados[Visitante]),0))),IFERROR(SUMIFS(Ligas!$D$2:$D$39,Ligas!$H$2:$H$39,_xlpm.p,Ligas!$I$2:$I$39,_xlpm.l),0)))</f>
        <v>2.5</v>
      </c>
      <c r="J423" s="16" cm="1">
        <f t="array" ref="J423">IF($A423="","",IFERROR((SUMPRODUCT((TRIM(tblDados[Mandante])=$A423)*tblDados[Primeira_Ocorrencia]*(tblDados[GM_M]=0))+SUMPRODUCT((TRIM(tblDados[Visitante])=$A423)*tblDados[Primeira_Ocorrencia]*(tblDados[GM_V]=0)))/G423,0))</f>
        <v>0.16666666666666666</v>
      </c>
      <c r="K423" s="16" cm="1">
        <f t="array" ref="K423">IF($A423="","",IFERROR((SUMPRODUCT((TRIM(tblDados[Mandante])=$A423)*tblDados[Primeira_Ocorrencia]*((tblDados[GM_M]+tblDados[GS_M])&gt;0.5))+SUMPRODUCT((TRIM(tblDados[Visitante])=$A423)*tblDados[Primeira_Ocorrencia]*((tblDados[GM_V]+tblDados[GS_V])&gt;0.5)))/G423,0))</f>
        <v>1</v>
      </c>
      <c r="L423" s="16" cm="1">
        <f t="array" ref="L423">IF($A423="","",IFERROR((SUMPRODUCT((TRIM(tblDados[Mandante])=$A423)*tblDados[Primeira_Ocorrencia]*((tblDados[GM_M]+tblDados[GS_M])&gt;1.5))+SUMPRODUCT((TRIM(tblDados[Visitante])=$A423)*tblDados[Primeira_Ocorrencia]*((tblDados[GM_V]+tblDados[GS_V])&gt;1.5)))/G423,0))</f>
        <v>0.91666666666666663</v>
      </c>
      <c r="M423" s="16" cm="1">
        <f t="array" ref="M423">IF($A423="","",IFERROR((SUMPRODUCT((TRIM(tblDados[Mandante])=$A423)*tblDados[Primeira_Ocorrencia]*((tblDados[GM_M]+tblDados[GS_M])&gt;2.5))+SUMPRODUCT((TRIM(tblDados[Visitante])=$A423)*tblDados[Primeira_Ocorrencia]*((tblDados[GM_V]+tblDados[GS_V])&gt;2.5)))/G423,0))</f>
        <v>0.66666666666666663</v>
      </c>
      <c r="N423" s="16" cm="1">
        <f t="array" ref="N423">IF($A423="","",IFERROR((SUMPRODUCT((TRIM(tblDados[Mandante])=$A423)*tblDados[Primeira_Ocorrencia]*((tblDados[GM_M]+tblDados[GS_M])&gt;3.5))+SUMPRODUCT((TRIM(tblDados[Visitante])=$A423)*tblDados[Primeira_Ocorrencia]*((tblDados[GM_V]+tblDados[GS_V])&gt;3.5)))/G423,0))</f>
        <v>0.5</v>
      </c>
      <c r="O423" s="16" cm="1">
        <f t="array" ref="O423">IF($A423="","",IFERROR((SUMPRODUCT((TRIM(tblDados[Mandante])=$A423)*tblDados[Primeira_Ocorrencia]*(tblDados[GM_M]&gt;0)*(tblDados[GS_M]&gt;0))+SUMPRODUCT((TRIM(tblDados[Visitante])=$A423)*tblDados[Primeira_Ocorrencia]*(tblDados[GM_V]&gt;0)*(tblDados[GS_V]&gt;0)))/G423,0))</f>
        <v>0.58333333333333337</v>
      </c>
      <c r="P423" s="14" cm="1">
        <f t="array" ref="P423">IF($A423="","",IFERROR((SUMPRODUCT((TRIM(tblDados[Mandante])=$A423)*tblDados[Primeira_Ocorrencia]*tblDados[GM_M]^2)+SUMPRODUCT((TRIM(tblDados[Visitante])=$A423)*tblDados[Primeira_Ocorrencia]*tblDados[GM_V]^2))/G423-H423^2,0))</f>
        <v>0.88888888888888884</v>
      </c>
      <c r="Q423" s="14">
        <f t="shared" si="135"/>
        <v>0.94280904158206336</v>
      </c>
      <c r="R423" s="1" t="str">
        <f t="shared" si="136"/>
        <v>Poisson</v>
      </c>
      <c r="S423" s="14" cm="1">
        <f t="array" ref="S423">IF($A423="","",SUMPRODUCT((TRIM(tblDados[Mandante])=$A423)*tblDados[Primeira_Ocorrencia]*tblDados[GM_M]))</f>
        <v>8</v>
      </c>
      <c r="T423" s="14" cm="1">
        <f t="array" ref="T423">IF($A423="","",SUMPRODUCT((TRIM(tblDados[Visitante])=$A423)*tblDados[Primeira_Ocorrencia]*tblDados[GM_V]))</f>
        <v>8</v>
      </c>
      <c r="U423" s="14">
        <f t="shared" si="137"/>
        <v>16</v>
      </c>
      <c r="V423" s="14">
        <f t="shared" si="126"/>
        <v>1.3333333333333333</v>
      </c>
      <c r="W423" s="14" cm="1">
        <f t="array" ref="W423">IF($A423="","",SUMPRODUCT((TRIM(tblDados[Mandante])=$A423)*tblDados[Primeira_Ocorrencia]*tblDados[GS_M]))</f>
        <v>8</v>
      </c>
      <c r="X423" s="14" cm="1">
        <f t="array" ref="X423">IF($A423="","",SUMPRODUCT((TRIM(tblDados[Visitante])=$A423)*tblDados[Primeira_Ocorrencia]*tblDados[GS_V]))</f>
        <v>15</v>
      </c>
      <c r="Y423" s="14">
        <f t="shared" si="138"/>
        <v>23</v>
      </c>
      <c r="Z423" s="14">
        <f t="shared" si="127"/>
        <v>1.9166666666666667</v>
      </c>
      <c r="AA423" s="14">
        <f t="shared" si="128"/>
        <v>1.3333333333333333</v>
      </c>
      <c r="AB423" s="14">
        <f t="shared" si="129"/>
        <v>1.3333333333333333</v>
      </c>
      <c r="AC423" s="14">
        <f t="shared" si="130"/>
        <v>1.3333333333333333</v>
      </c>
      <c r="AD423" s="14">
        <f t="shared" si="131"/>
        <v>2.5</v>
      </c>
    </row>
    <row r="424" spans="1:30" x14ac:dyDescent="0.3">
      <c r="A424" s="1" t="str">
        <v>Vasco da Gama</v>
      </c>
      <c r="B424" s="13" t="str" cm="1">
        <f t="array" ref="B424">IF($A424="","",_xlfn.LET(_xlpm.p,IFERROR(INDEX(tblDados[País],MATCH($A424,TRIM(tblDados[Mandante]),0)),INDEX(tblDados[País],MATCH($A424,TRIM(tblDados[Visitante]),0))),_xlpm.l,IFERROR(INDEX(tblDados[Liga],MATCH($A424,TRIM(tblDados[Mandante]),0)),INDEX(tblDados[Liga],MATCH($A424,TRIM(tblDados[Visitante]),0))),_xlpm.p&amp;" - "&amp;_xlpm.l))</f>
        <v>BRA - Série A</v>
      </c>
      <c r="C424" s="14">
        <f t="shared" si="132"/>
        <v>2.1666666666666665</v>
      </c>
      <c r="D424" s="14">
        <f t="shared" si="133"/>
        <v>2.5</v>
      </c>
      <c r="E424" s="15" cm="1">
        <f t="array" ref="E424">IF($A424="","",SUMPRODUCT((TRIM(tblDados[Mandante])=$A424)*tblDados[Primeira_Ocorrencia]))</f>
        <v>6</v>
      </c>
      <c r="F424" s="15" cm="1">
        <f t="array" ref="F424">IF($A424="","",SUMPRODUCT((TRIM(tblDados[Visitante])=$A424)*tblDados[Primeira_Ocorrencia]))</f>
        <v>6</v>
      </c>
      <c r="G424" s="15" cm="1">
        <f t="array" ref="G424">IF($A424="","",SUMPRODUCT((TRIM(tblDados[Mandante])=$A424)*tblDados[Primeira_Ocorrencia])+SUMPRODUCT((TRIM(tblDados[Visitante])=$A424)*tblDados[Primeira_Ocorrencia]))</f>
        <v>12</v>
      </c>
      <c r="H424" s="14">
        <f t="shared" si="134"/>
        <v>0.83333333333333337</v>
      </c>
      <c r="I424" s="14" cm="1">
        <f t="array" ref="I424">IF($A424="","",_xlfn.LET(_xlpm.p,IFERROR(INDEX(tblDados[País],MATCH($A424,TRIM(tblDados[Mandante]),0)),INDEX(tblDados[País],MATCH($A424,TRIM(tblDados[Visitante]),0))),_xlpm.l,IFERROR(INDEX(tblDados[Liga],MATCH($A424,TRIM(tblDados[Mandante]),0)),INDEX(tblDados[Liga],MATCH($A424,TRIM(tblDados[Visitante]),0))),IFERROR(SUMIFS(Ligas!$D$2:$D$39,Ligas!$H$2:$H$39,_xlpm.p,Ligas!$I$2:$I$39,_xlpm.l),0)))</f>
        <v>2.59</v>
      </c>
      <c r="J424" s="16" cm="1">
        <f t="array" ref="J424">IF($A424="","",IFERROR((SUMPRODUCT((TRIM(tblDados[Mandante])=$A424)*tblDados[Primeira_Ocorrencia]*(tblDados[GM_M]=0))+SUMPRODUCT((TRIM(tblDados[Visitante])=$A424)*tblDados[Primeira_Ocorrencia]*(tblDados[GM_V]=0)))/G424,0))</f>
        <v>0.33333333333333331</v>
      </c>
      <c r="K424" s="16" cm="1">
        <f t="array" ref="K424">IF($A424="","",IFERROR((SUMPRODUCT((TRIM(tblDados[Mandante])=$A424)*tblDados[Primeira_Ocorrencia]*((tblDados[GM_M]+tblDados[GS_M])&gt;0.5))+SUMPRODUCT((TRIM(tblDados[Visitante])=$A424)*tblDados[Primeira_Ocorrencia]*((tblDados[GM_V]+tblDados[GS_V])&gt;0.5)))/G424,0))</f>
        <v>1</v>
      </c>
      <c r="L424" s="16" cm="1">
        <f t="array" ref="L424">IF($A424="","",IFERROR((SUMPRODUCT((TRIM(tblDados[Mandante])=$A424)*tblDados[Primeira_Ocorrencia]*((tblDados[GM_M]+tblDados[GS_M])&gt;1.5))+SUMPRODUCT((TRIM(tblDados[Visitante])=$A424)*tblDados[Primeira_Ocorrencia]*((tblDados[GM_V]+tblDados[GS_V])&gt;1.5)))/G424,0))</f>
        <v>0.66666666666666663</v>
      </c>
      <c r="M424" s="16" cm="1">
        <f t="array" ref="M424">IF($A424="","",IFERROR((SUMPRODUCT((TRIM(tblDados[Mandante])=$A424)*tblDados[Primeira_Ocorrencia]*((tblDados[GM_M]+tblDados[GS_M])&gt;2.5))+SUMPRODUCT((TRIM(tblDados[Visitante])=$A424)*tblDados[Primeira_Ocorrencia]*((tblDados[GM_V]+tblDados[GS_V])&gt;2.5)))/G424,0))</f>
        <v>0.41666666666666669</v>
      </c>
      <c r="N424" s="16" cm="1">
        <f t="array" ref="N424">IF($A424="","",IFERROR((SUMPRODUCT((TRIM(tblDados[Mandante])=$A424)*tblDados[Primeira_Ocorrencia]*((tblDados[GM_M]+tblDados[GS_M])&gt;3.5))+SUMPRODUCT((TRIM(tblDados[Visitante])=$A424)*tblDados[Primeira_Ocorrencia]*((tblDados[GM_V]+tblDados[GS_V])&gt;3.5)))/G424,0))</f>
        <v>0.16666666666666666</v>
      </c>
      <c r="O424" s="16" cm="1">
        <f t="array" ref="O424">IF($A424="","",IFERROR((SUMPRODUCT((TRIM(tblDados[Mandante])=$A424)*tblDados[Primeira_Ocorrencia]*(tblDados[GM_M]&gt;0)*(tblDados[GS_M]&gt;0))+SUMPRODUCT((TRIM(tblDados[Visitante])=$A424)*tblDados[Primeira_Ocorrencia]*(tblDados[GM_V]&gt;0)*(tblDados[GS_V]&gt;0)))/G424,0))</f>
        <v>0.58333333333333337</v>
      </c>
      <c r="P424" s="14" cm="1">
        <f t="array" ref="P424">IF($A424="","",IFERROR((SUMPRODUCT((TRIM(tblDados[Mandante])=$A424)*tblDados[Primeira_Ocorrencia]*tblDados[GM_M]^2)+SUMPRODUCT((TRIM(tblDados[Visitante])=$A424)*tblDados[Primeira_Ocorrencia]*tblDados[GM_V]^2))/G424-H424^2,0))</f>
        <v>0.47222222222222221</v>
      </c>
      <c r="Q424" s="14">
        <f t="shared" si="135"/>
        <v>0.68718427093627676</v>
      </c>
      <c r="R424" s="1" t="str">
        <f t="shared" si="136"/>
        <v>Poisson</v>
      </c>
      <c r="S424" s="14" cm="1">
        <f t="array" ref="S424">IF($A424="","",SUMPRODUCT((TRIM(tblDados[Mandante])=$A424)*tblDados[Primeira_Ocorrencia]*tblDados[GM_M]))</f>
        <v>5</v>
      </c>
      <c r="T424" s="14" cm="1">
        <f t="array" ref="T424">IF($A424="","",SUMPRODUCT((TRIM(tblDados[Visitante])=$A424)*tblDados[Primeira_Ocorrencia]*tblDados[GM_V]))</f>
        <v>5</v>
      </c>
      <c r="U424" s="14">
        <f t="shared" si="137"/>
        <v>10</v>
      </c>
      <c r="V424" s="14">
        <f t="shared" si="126"/>
        <v>0.83333333333333337</v>
      </c>
      <c r="W424" s="14" cm="1">
        <f t="array" ref="W424">IF($A424="","",SUMPRODUCT((TRIM(tblDados[Mandante])=$A424)*tblDados[Primeira_Ocorrencia]*tblDados[GS_M]))</f>
        <v>8</v>
      </c>
      <c r="X424" s="14" cm="1">
        <f t="array" ref="X424">IF($A424="","",SUMPRODUCT((TRIM(tblDados[Visitante])=$A424)*tblDados[Primeira_Ocorrencia]*tblDados[GS_V]))</f>
        <v>10</v>
      </c>
      <c r="Y424" s="14">
        <f t="shared" si="138"/>
        <v>18</v>
      </c>
      <c r="Z424" s="14">
        <f t="shared" si="127"/>
        <v>1.5</v>
      </c>
      <c r="AA424" s="14">
        <f t="shared" si="128"/>
        <v>0.83333333333333337</v>
      </c>
      <c r="AB424" s="14">
        <f t="shared" si="129"/>
        <v>1.3333333333333333</v>
      </c>
      <c r="AC424" s="14">
        <f t="shared" si="130"/>
        <v>0.83333333333333337</v>
      </c>
      <c r="AD424" s="14">
        <f t="shared" si="131"/>
        <v>1.6666666666666667</v>
      </c>
    </row>
    <row r="425" spans="1:30" x14ac:dyDescent="0.3">
      <c r="A425" s="1" t="str">
        <v>Västerås SK</v>
      </c>
      <c r="B425" s="13" t="str" cm="1">
        <f t="array" ref="B425">IF($A425="","",_xlfn.LET(_xlpm.p,IFERROR(INDEX(tblDados[País],MATCH($A425,TRIM(tblDados[Mandante]),0)),INDEX(tblDados[País],MATCH($A425,TRIM(tblDados[Visitante]),0))),_xlpm.l,IFERROR(INDEX(tblDados[Liga],MATCH($A425,TRIM(tblDados[Mandante]),0)),INDEX(tblDados[Liga],MATCH($A425,TRIM(tblDados[Visitante]),0))),_xlpm.p&amp;" - "&amp;_xlpm.l))</f>
        <v>SWE - Allsvenskan</v>
      </c>
      <c r="C425" s="14">
        <f t="shared" si="132"/>
        <v>2.8333333333333335</v>
      </c>
      <c r="D425" s="14">
        <f t="shared" si="133"/>
        <v>3.5</v>
      </c>
      <c r="E425" s="15" cm="1">
        <f t="array" ref="E425">IF($A425="","",SUMPRODUCT((TRIM(tblDados[Mandante])=$A425)*tblDados[Primeira_Ocorrencia]))</f>
        <v>6</v>
      </c>
      <c r="F425" s="15" cm="1">
        <f t="array" ref="F425">IF($A425="","",SUMPRODUCT((TRIM(tblDados[Visitante])=$A425)*tblDados[Primeira_Ocorrencia]))</f>
        <v>6</v>
      </c>
      <c r="G425" s="15" cm="1">
        <f t="array" ref="G425">IF($A425="","",SUMPRODUCT((TRIM(tblDados[Mandante])=$A425)*tblDados[Primeira_Ocorrencia])+SUMPRODUCT((TRIM(tblDados[Visitante])=$A425)*tblDados[Primeira_Ocorrencia]))</f>
        <v>12</v>
      </c>
      <c r="H425" s="14">
        <f t="shared" si="134"/>
        <v>1.5</v>
      </c>
      <c r="I425" s="14" cm="1">
        <f t="array" ref="I425">IF($A425="","",_xlfn.LET(_xlpm.p,IFERROR(INDEX(tblDados[País],MATCH($A425,TRIM(tblDados[Mandante]),0)),INDEX(tblDados[País],MATCH($A425,TRIM(tblDados[Visitante]),0))),_xlpm.l,IFERROR(INDEX(tblDados[Liga],MATCH($A425,TRIM(tblDados[Mandante]),0)),INDEX(tblDados[Liga],MATCH($A425,TRIM(tblDados[Visitante]),0))),IFERROR(SUMIFS(Ligas!$D$2:$D$39,Ligas!$H$2:$H$39,_xlpm.p,Ligas!$I$2:$I$39,_xlpm.l),0)))</f>
        <v>2.5</v>
      </c>
      <c r="J425" s="16" cm="1">
        <f t="array" ref="J425">IF($A425="","",IFERROR((SUMPRODUCT((TRIM(tblDados[Mandante])=$A425)*tblDados[Primeira_Ocorrencia]*(tblDados[GM_M]=0))+SUMPRODUCT((TRIM(tblDados[Visitante])=$A425)*tblDados[Primeira_Ocorrencia]*(tblDados[GM_V]=0)))/G425,0))</f>
        <v>0.33333333333333331</v>
      </c>
      <c r="K425" s="16" cm="1">
        <f t="array" ref="K425">IF($A425="","",IFERROR((SUMPRODUCT((TRIM(tblDados[Mandante])=$A425)*tblDados[Primeira_Ocorrencia]*((tblDados[GM_M]+tblDados[GS_M])&gt;0.5))+SUMPRODUCT((TRIM(tblDados[Visitante])=$A425)*tblDados[Primeira_Ocorrencia]*((tblDados[GM_V]+tblDados[GS_V])&gt;0.5)))/G425,0))</f>
        <v>0.91666666666666663</v>
      </c>
      <c r="L425" s="16" cm="1">
        <f t="array" ref="L425">IF($A425="","",IFERROR((SUMPRODUCT((TRIM(tblDados[Mandante])=$A425)*tblDados[Primeira_Ocorrencia]*((tblDados[GM_M]+tblDados[GS_M])&gt;1.5))+SUMPRODUCT((TRIM(tblDados[Visitante])=$A425)*tblDados[Primeira_Ocorrencia]*((tblDados[GM_V]+tblDados[GS_V])&gt;1.5)))/G425,0))</f>
        <v>0.75</v>
      </c>
      <c r="M425" s="16" cm="1">
        <f t="array" ref="M425">IF($A425="","",IFERROR((SUMPRODUCT((TRIM(tblDados[Mandante])=$A425)*tblDados[Primeira_Ocorrencia]*((tblDados[GM_M]+tblDados[GS_M])&gt;2.5))+SUMPRODUCT((TRIM(tblDados[Visitante])=$A425)*tblDados[Primeira_Ocorrencia]*((tblDados[GM_V]+tblDados[GS_V])&gt;2.5)))/G425,0))</f>
        <v>0.5</v>
      </c>
      <c r="N425" s="16" cm="1">
        <f t="array" ref="N425">IF($A425="","",IFERROR((SUMPRODUCT((TRIM(tblDados[Mandante])=$A425)*tblDados[Primeira_Ocorrencia]*((tblDados[GM_M]+tblDados[GS_M])&gt;3.5))+SUMPRODUCT((TRIM(tblDados[Visitante])=$A425)*tblDados[Primeira_Ocorrencia]*((tblDados[GM_V]+tblDados[GS_V])&gt;3.5)))/G425,0))</f>
        <v>0.33333333333333331</v>
      </c>
      <c r="O425" s="16" cm="1">
        <f t="array" ref="O425">IF($A425="","",IFERROR((SUMPRODUCT((TRIM(tblDados[Mandante])=$A425)*tblDados[Primeira_Ocorrencia]*(tblDados[GM_M]&gt;0)*(tblDados[GS_M]&gt;0))+SUMPRODUCT((TRIM(tblDados[Visitante])=$A425)*tblDados[Primeira_Ocorrencia]*(tblDados[GM_V]&gt;0)*(tblDados[GS_V]&gt;0)))/G425,0))</f>
        <v>0.41666666666666669</v>
      </c>
      <c r="P425" s="14" cm="1">
        <f t="array" ref="P425">IF($A425="","",IFERROR((SUMPRODUCT((TRIM(tblDados[Mandante])=$A425)*tblDados[Primeira_Ocorrencia]*tblDados[GM_M]^2)+SUMPRODUCT((TRIM(tblDados[Visitante])=$A425)*tblDados[Primeira_Ocorrencia]*tblDados[GM_V]^2))/G425-H425^2,0))</f>
        <v>1.75</v>
      </c>
      <c r="Q425" s="14">
        <f t="shared" si="135"/>
        <v>1.3228756555322954</v>
      </c>
      <c r="R425" s="1" t="str">
        <f t="shared" si="136"/>
        <v>Poisson</v>
      </c>
      <c r="S425" s="14" cm="1">
        <f t="array" ref="S425">IF($A425="","",SUMPRODUCT((TRIM(tblDados[Mandante])=$A425)*tblDados[Primeira_Ocorrencia]*tblDados[GM_M]))</f>
        <v>10</v>
      </c>
      <c r="T425" s="14" cm="1">
        <f t="array" ref="T425">IF($A425="","",SUMPRODUCT((TRIM(tblDados[Visitante])=$A425)*tblDados[Primeira_Ocorrencia]*tblDados[GM_V]))</f>
        <v>8</v>
      </c>
      <c r="U425" s="14">
        <f t="shared" si="137"/>
        <v>18</v>
      </c>
      <c r="V425" s="14">
        <f t="shared" si="126"/>
        <v>1.5</v>
      </c>
      <c r="W425" s="14" cm="1">
        <f t="array" ref="W425">IF($A425="","",SUMPRODUCT((TRIM(tblDados[Mandante])=$A425)*tblDados[Primeira_Ocorrencia]*tblDados[GS_M]))</f>
        <v>7</v>
      </c>
      <c r="X425" s="14" cm="1">
        <f t="array" ref="X425">IF($A425="","",SUMPRODUCT((TRIM(tblDados[Visitante])=$A425)*tblDados[Primeira_Ocorrencia]*tblDados[GS_V]))</f>
        <v>13</v>
      </c>
      <c r="Y425" s="14">
        <f t="shared" si="138"/>
        <v>20</v>
      </c>
      <c r="Z425" s="14">
        <f t="shared" si="127"/>
        <v>1.6666666666666667</v>
      </c>
      <c r="AA425" s="14">
        <f t="shared" si="128"/>
        <v>1.6666666666666667</v>
      </c>
      <c r="AB425" s="14">
        <f t="shared" si="129"/>
        <v>1.1666666666666667</v>
      </c>
      <c r="AC425" s="14">
        <f t="shared" si="130"/>
        <v>1.3333333333333333</v>
      </c>
      <c r="AD425" s="14">
        <f t="shared" si="131"/>
        <v>2.1666666666666665</v>
      </c>
    </row>
    <row r="426" spans="1:30" x14ac:dyDescent="0.3">
      <c r="A426" s="1" t="str">
        <v>Västra Frölunda IF</v>
      </c>
      <c r="B426" s="13" t="str" cm="1">
        <f t="array" ref="B426">IF($A426="","",_xlfn.LET(_xlpm.p,IFERROR(INDEX(tblDados[País],MATCH($A426,TRIM(tblDados[Mandante]),0)),INDEX(tblDados[País],MATCH($A426,TRIM(tblDados[Visitante]),0))),_xlpm.l,IFERROR(INDEX(tblDados[Liga],MATCH($A426,TRIM(tblDados[Mandante]),0)),INDEX(tblDados[Liga],MATCH($A426,TRIM(tblDados[Visitante]),0))),_xlpm.p&amp;" - "&amp;_xlpm.l))</f>
        <v>SWE - 2ª D Västra Götaland</v>
      </c>
      <c r="C426" s="14">
        <f t="shared" si="132"/>
        <v>4.1428571428571432</v>
      </c>
      <c r="D426" s="14">
        <f t="shared" si="133"/>
        <v>3.4000000000000004</v>
      </c>
      <c r="E426" s="15" cm="1">
        <f t="array" ref="E426">IF($A426="","",SUMPRODUCT((TRIM(tblDados[Mandante])=$A426)*tblDados[Primeira_Ocorrencia]))</f>
        <v>7</v>
      </c>
      <c r="F426" s="15" cm="1">
        <f t="array" ref="F426">IF($A426="","",SUMPRODUCT((TRIM(tblDados[Visitante])=$A426)*tblDados[Primeira_Ocorrencia]))</f>
        <v>5</v>
      </c>
      <c r="G426" s="15" cm="1">
        <f t="array" ref="G426">IF($A426="","",SUMPRODUCT((TRIM(tblDados[Mandante])=$A426)*tblDados[Primeira_Ocorrencia])+SUMPRODUCT((TRIM(tblDados[Visitante])=$A426)*tblDados[Primeira_Ocorrencia]))</f>
        <v>12</v>
      </c>
      <c r="H426" s="14">
        <f t="shared" si="134"/>
        <v>2.3333333333333335</v>
      </c>
      <c r="I426" s="14" cm="1">
        <f t="array" ref="I426">IF($A426="","",_xlfn.LET(_xlpm.p,IFERROR(INDEX(tblDados[País],MATCH($A426,TRIM(tblDados[Mandante]),0)),INDEX(tblDados[País],MATCH($A426,TRIM(tblDados[Visitante]),0))),_xlpm.l,IFERROR(INDEX(tblDados[Liga],MATCH($A426,TRIM(tblDados[Mandante]),0)),INDEX(tblDados[Liga],MATCH($A426,TRIM(tblDados[Visitante]),0))),IFERROR(SUMIFS(Ligas!$D$2:$D$39,Ligas!$H$2:$H$39,_xlpm.p,Ligas!$I$2:$I$39,_xlpm.l),0)))</f>
        <v>2.5</v>
      </c>
      <c r="J426" s="16" cm="1">
        <f t="array" ref="J426">IF($A426="","",IFERROR((SUMPRODUCT((TRIM(tblDados[Mandante])=$A426)*tblDados[Primeira_Ocorrencia]*(tblDados[GM_M]=0))+SUMPRODUCT((TRIM(tblDados[Visitante])=$A426)*tblDados[Primeira_Ocorrencia]*(tblDados[GM_V]=0)))/G426,0))</f>
        <v>0.16666666666666666</v>
      </c>
      <c r="K426" s="16" cm="1">
        <f t="array" ref="K426">IF($A426="","",IFERROR((SUMPRODUCT((TRIM(tblDados[Mandante])=$A426)*tblDados[Primeira_Ocorrencia]*((tblDados[GM_M]+tblDados[GS_M])&gt;0.5))+SUMPRODUCT((TRIM(tblDados[Visitante])=$A426)*tblDados[Primeira_Ocorrencia]*((tblDados[GM_V]+tblDados[GS_V])&gt;0.5)))/G426,0))</f>
        <v>1</v>
      </c>
      <c r="L426" s="16" cm="1">
        <f t="array" ref="L426">IF($A426="","",IFERROR((SUMPRODUCT((TRIM(tblDados[Mandante])=$A426)*tblDados[Primeira_Ocorrencia]*((tblDados[GM_M]+tblDados[GS_M])&gt;1.5))+SUMPRODUCT((TRIM(tblDados[Visitante])=$A426)*tblDados[Primeira_Ocorrencia]*((tblDados[GM_V]+tblDados[GS_V])&gt;1.5)))/G426,0))</f>
        <v>1</v>
      </c>
      <c r="M426" s="16" cm="1">
        <f t="array" ref="M426">IF($A426="","",IFERROR((SUMPRODUCT((TRIM(tblDados[Mandante])=$A426)*tblDados[Primeira_Ocorrencia]*((tblDados[GM_M]+tblDados[GS_M])&gt;2.5))+SUMPRODUCT((TRIM(tblDados[Visitante])=$A426)*tblDados[Primeira_Ocorrencia]*((tblDados[GM_V]+tblDados[GS_V])&gt;2.5)))/G426,0))</f>
        <v>0.66666666666666663</v>
      </c>
      <c r="N426" s="16" cm="1">
        <f t="array" ref="N426">IF($A426="","",IFERROR((SUMPRODUCT((TRIM(tblDados[Mandante])=$A426)*tblDados[Primeira_Ocorrencia]*((tblDados[GM_M]+tblDados[GS_M])&gt;3.5))+SUMPRODUCT((TRIM(tblDados[Visitante])=$A426)*tblDados[Primeira_Ocorrencia]*((tblDados[GM_V]+tblDados[GS_V])&gt;3.5)))/G426,0))</f>
        <v>0.41666666666666669</v>
      </c>
      <c r="O426" s="16" cm="1">
        <f t="array" ref="O426">IF($A426="","",IFERROR((SUMPRODUCT((TRIM(tblDados[Mandante])=$A426)*tblDados[Primeira_Ocorrencia]*(tblDados[GM_M]&gt;0)*(tblDados[GS_M]&gt;0))+SUMPRODUCT((TRIM(tblDados[Visitante])=$A426)*tblDados[Primeira_Ocorrencia]*(tblDados[GM_V]&gt;0)*(tblDados[GS_V]&gt;0)))/G426,0))</f>
        <v>0.58333333333333337</v>
      </c>
      <c r="P426" s="14" cm="1">
        <f t="array" ref="P426">IF($A426="","",IFERROR((SUMPRODUCT((TRIM(tblDados[Mandante])=$A426)*tblDados[Primeira_Ocorrencia]*tblDados[GM_M]^2)+SUMPRODUCT((TRIM(tblDados[Visitante])=$A426)*tblDados[Primeira_Ocorrencia]*tblDados[GM_V]^2))/G426-H426^2,0))</f>
        <v>3.2222222222222205</v>
      </c>
      <c r="Q426" s="14">
        <f t="shared" si="135"/>
        <v>1.7950549357115009</v>
      </c>
      <c r="R426" s="1" t="str">
        <f t="shared" si="136"/>
        <v>Poisson</v>
      </c>
      <c r="S426" s="14" cm="1">
        <f t="array" ref="S426">IF($A426="","",SUMPRODUCT((TRIM(tblDados[Mandante])=$A426)*tblDados[Primeira_Ocorrencia]*tblDados[GM_M]))</f>
        <v>19</v>
      </c>
      <c r="T426" s="14" cm="1">
        <f t="array" ref="T426">IF($A426="","",SUMPRODUCT((TRIM(tblDados[Visitante])=$A426)*tblDados[Primeira_Ocorrencia]*tblDados[GM_V]))</f>
        <v>9</v>
      </c>
      <c r="U426" s="14">
        <f t="shared" si="137"/>
        <v>28</v>
      </c>
      <c r="V426" s="14">
        <f t="shared" si="126"/>
        <v>2.3333333333333335</v>
      </c>
      <c r="W426" s="14" cm="1">
        <f t="array" ref="W426">IF($A426="","",SUMPRODUCT((TRIM(tblDados[Mandante])=$A426)*tblDados[Primeira_Ocorrencia]*tblDados[GS_M]))</f>
        <v>10</v>
      </c>
      <c r="X426" s="14" cm="1">
        <f t="array" ref="X426">IF($A426="","",SUMPRODUCT((TRIM(tblDados[Visitante])=$A426)*tblDados[Primeira_Ocorrencia]*tblDados[GS_V]))</f>
        <v>8</v>
      </c>
      <c r="Y426" s="14">
        <f t="shared" si="138"/>
        <v>18</v>
      </c>
      <c r="Z426" s="14">
        <f t="shared" si="127"/>
        <v>1.5</v>
      </c>
      <c r="AA426" s="14">
        <f t="shared" si="128"/>
        <v>2.7142857142857144</v>
      </c>
      <c r="AB426" s="14">
        <f t="shared" si="129"/>
        <v>1.4285714285714286</v>
      </c>
      <c r="AC426" s="14">
        <f t="shared" si="130"/>
        <v>1.8</v>
      </c>
      <c r="AD426" s="14">
        <f t="shared" si="131"/>
        <v>1.6</v>
      </c>
    </row>
    <row r="427" spans="1:30" x14ac:dyDescent="0.3">
      <c r="A427" s="1" t="str">
        <v>Växjö Norra IF</v>
      </c>
      <c r="B427" s="13" t="str" cm="1">
        <f t="array" ref="B427">IF($A427="","",_xlfn.LET(_xlpm.p,IFERROR(INDEX(tblDados[País],MATCH($A427,TRIM(tblDados[Mandante]),0)),INDEX(tblDados[País],MATCH($A427,TRIM(tblDados[Visitante]),0))),_xlpm.l,IFERROR(INDEX(tblDados[Liga],MATCH($A427,TRIM(tblDados[Mandante]),0)),INDEX(tblDados[Liga],MATCH($A427,TRIM(tblDados[Visitante]),0))),_xlpm.p&amp;" - "&amp;_xlpm.l))</f>
        <v>SWE - 2ª D Södra Götaland</v>
      </c>
      <c r="C427" s="14">
        <f t="shared" si="132"/>
        <v>2.6</v>
      </c>
      <c r="D427" s="14">
        <f t="shared" si="133"/>
        <v>2.7142857142857144</v>
      </c>
      <c r="E427" s="15" cm="1">
        <f t="array" ref="E427">IF($A427="","",SUMPRODUCT((TRIM(tblDados[Mandante])=$A427)*tblDados[Primeira_Ocorrencia]))</f>
        <v>5</v>
      </c>
      <c r="F427" s="15" cm="1">
        <f t="array" ref="F427">IF($A427="","",SUMPRODUCT((TRIM(tblDados[Visitante])=$A427)*tblDados[Primeira_Ocorrencia]))</f>
        <v>7</v>
      </c>
      <c r="G427" s="15" cm="1">
        <f t="array" ref="G427">IF($A427="","",SUMPRODUCT((TRIM(tblDados[Mandante])=$A427)*tblDados[Primeira_Ocorrencia])+SUMPRODUCT((TRIM(tblDados[Visitante])=$A427)*tblDados[Primeira_Ocorrencia]))</f>
        <v>12</v>
      </c>
      <c r="H427" s="14">
        <f t="shared" si="134"/>
        <v>1.1666666666666667</v>
      </c>
      <c r="I427" s="14" cm="1">
        <f t="array" ref="I427">IF($A427="","",_xlfn.LET(_xlpm.p,IFERROR(INDEX(tblDados[País],MATCH($A427,TRIM(tblDados[Mandante]),0)),INDEX(tblDados[País],MATCH($A427,TRIM(tblDados[Visitante]),0))),_xlpm.l,IFERROR(INDEX(tblDados[Liga],MATCH($A427,TRIM(tblDados[Mandante]),0)),INDEX(tblDados[Liga],MATCH($A427,TRIM(tblDados[Visitante]),0))),IFERROR(SUMIFS(Ligas!$D$2:$D$39,Ligas!$H$2:$H$39,_xlpm.p,Ligas!$I$2:$I$39,_xlpm.l),0)))</f>
        <v>2.5</v>
      </c>
      <c r="J427" s="16" cm="1">
        <f t="array" ref="J427">IF($A427="","",IFERROR((SUMPRODUCT((TRIM(tblDados[Mandante])=$A427)*tblDados[Primeira_Ocorrencia]*(tblDados[GM_M]=0))+SUMPRODUCT((TRIM(tblDados[Visitante])=$A427)*tblDados[Primeira_Ocorrencia]*(tblDados[GM_V]=0)))/G427,0))</f>
        <v>0.33333333333333331</v>
      </c>
      <c r="K427" s="16" cm="1">
        <f t="array" ref="K427">IF($A427="","",IFERROR((SUMPRODUCT((TRIM(tblDados[Mandante])=$A427)*tblDados[Primeira_Ocorrencia]*((tblDados[GM_M]+tblDados[GS_M])&gt;0.5))+SUMPRODUCT((TRIM(tblDados[Visitante])=$A427)*tblDados[Primeira_Ocorrencia]*((tblDados[GM_V]+tblDados[GS_V])&gt;0.5)))/G427,0))</f>
        <v>0.91666666666666663</v>
      </c>
      <c r="L427" s="16" cm="1">
        <f t="array" ref="L427">IF($A427="","",IFERROR((SUMPRODUCT((TRIM(tblDados[Mandante])=$A427)*tblDados[Primeira_Ocorrencia]*((tblDados[GM_M]+tblDados[GS_M])&gt;1.5))+SUMPRODUCT((TRIM(tblDados[Visitante])=$A427)*tblDados[Primeira_Ocorrencia]*((tblDados[GM_V]+tblDados[GS_V])&gt;1.5)))/G427,0))</f>
        <v>0.91666666666666663</v>
      </c>
      <c r="M427" s="16" cm="1">
        <f t="array" ref="M427">IF($A427="","",IFERROR((SUMPRODUCT((TRIM(tblDados[Mandante])=$A427)*tblDados[Primeira_Ocorrencia]*((tblDados[GM_M]+tblDados[GS_M])&gt;2.5))+SUMPRODUCT((TRIM(tblDados[Visitante])=$A427)*tblDados[Primeira_Ocorrencia]*((tblDados[GM_V]+tblDados[GS_V])&gt;2.5)))/G427,0))</f>
        <v>0.5</v>
      </c>
      <c r="N427" s="16" cm="1">
        <f t="array" ref="N427">IF($A427="","",IFERROR((SUMPRODUCT((TRIM(tblDados[Mandante])=$A427)*tblDados[Primeira_Ocorrencia]*((tblDados[GM_M]+tblDados[GS_M])&gt;3.5))+SUMPRODUCT((TRIM(tblDados[Visitante])=$A427)*tblDados[Primeira_Ocorrencia]*((tblDados[GM_V]+tblDados[GS_V])&gt;3.5)))/G427,0))</f>
        <v>0.33333333333333331</v>
      </c>
      <c r="O427" s="16" cm="1">
        <f t="array" ref="O427">IF($A427="","",IFERROR((SUMPRODUCT((TRIM(tblDados[Mandante])=$A427)*tblDados[Primeira_Ocorrencia]*(tblDados[GM_M]&gt;0)*(tblDados[GS_M]&gt;0))+SUMPRODUCT((TRIM(tblDados[Visitante])=$A427)*tblDados[Primeira_Ocorrencia]*(tblDados[GM_V]&gt;0)*(tblDados[GS_V]&gt;0)))/G427,0))</f>
        <v>0.58333333333333337</v>
      </c>
      <c r="P427" s="14" cm="1">
        <f t="array" ref="P427">IF($A427="","",IFERROR((SUMPRODUCT((TRIM(tblDados[Mandante])=$A427)*tblDados[Primeira_Ocorrencia]*tblDados[GM_M]^2)+SUMPRODUCT((TRIM(tblDados[Visitante])=$A427)*tblDados[Primeira_Ocorrencia]*tblDados[GM_V]^2))/G427-H427^2,0))</f>
        <v>1.3055555555555551</v>
      </c>
      <c r="Q427" s="14">
        <f t="shared" si="135"/>
        <v>1.1426091000668406</v>
      </c>
      <c r="R427" s="1" t="str">
        <f t="shared" si="136"/>
        <v>Poisson</v>
      </c>
      <c r="S427" s="14" cm="1">
        <f t="array" ref="S427">IF($A427="","",SUMPRODUCT((TRIM(tblDados[Mandante])=$A427)*tblDados[Primeira_Ocorrencia]*tblDados[GM_M]))</f>
        <v>8</v>
      </c>
      <c r="T427" s="14" cm="1">
        <f t="array" ref="T427">IF($A427="","",SUMPRODUCT((TRIM(tblDados[Visitante])=$A427)*tblDados[Primeira_Ocorrencia]*tblDados[GM_V]))</f>
        <v>6</v>
      </c>
      <c r="U427" s="14">
        <f t="shared" si="137"/>
        <v>14</v>
      </c>
      <c r="V427" s="14">
        <f t="shared" si="126"/>
        <v>1.1666666666666667</v>
      </c>
      <c r="W427" s="14" cm="1">
        <f t="array" ref="W427">IF($A427="","",SUMPRODUCT((TRIM(tblDados[Mandante])=$A427)*tblDados[Primeira_Ocorrencia]*tblDados[GS_M]))</f>
        <v>5</v>
      </c>
      <c r="X427" s="14" cm="1">
        <f t="array" ref="X427">IF($A427="","",SUMPRODUCT((TRIM(tblDados[Visitante])=$A427)*tblDados[Primeira_Ocorrencia]*tblDados[GS_V]))</f>
        <v>13</v>
      </c>
      <c r="Y427" s="14">
        <f t="shared" si="138"/>
        <v>18</v>
      </c>
      <c r="Z427" s="14">
        <f t="shared" si="127"/>
        <v>1.5</v>
      </c>
      <c r="AA427" s="14">
        <f t="shared" si="128"/>
        <v>1.6</v>
      </c>
      <c r="AB427" s="14">
        <f t="shared" si="129"/>
        <v>1</v>
      </c>
      <c r="AC427" s="14">
        <f t="shared" si="130"/>
        <v>0.8571428571428571</v>
      </c>
      <c r="AD427" s="14">
        <f t="shared" si="131"/>
        <v>1.8571428571428572</v>
      </c>
    </row>
    <row r="428" spans="1:30" x14ac:dyDescent="0.3">
      <c r="A428" s="1" t="str">
        <v>Viking FK</v>
      </c>
      <c r="B428" s="13" t="str" cm="1">
        <f t="array" ref="B428">IF($A428="","",_xlfn.LET(_xlpm.p,IFERROR(INDEX(tblDados[País],MATCH($A428,TRIM(tblDados[Mandante]),0)),INDEX(tblDados[País],MATCH($A428,TRIM(tblDados[Visitante]),0))),_xlpm.l,IFERROR(INDEX(tblDados[Liga],MATCH($A428,TRIM(tblDados[Mandante]),0)),INDEX(tblDados[Liga],MATCH($A428,TRIM(tblDados[Visitante]),0))),_xlpm.p&amp;" - "&amp;_xlpm.l))</f>
        <v>NOR - Eliteserien</v>
      </c>
      <c r="C428" s="14">
        <f t="shared" si="132"/>
        <v>4.5999999999999996</v>
      </c>
      <c r="D428" s="14">
        <f t="shared" si="133"/>
        <v>2.4285714285714284</v>
      </c>
      <c r="E428" s="15" cm="1">
        <f t="array" ref="E428">IF($A428="","",SUMPRODUCT((TRIM(tblDados[Mandante])=$A428)*tblDados[Primeira_Ocorrencia]))</f>
        <v>5</v>
      </c>
      <c r="F428" s="15" cm="1">
        <f t="array" ref="F428">IF($A428="","",SUMPRODUCT((TRIM(tblDados[Visitante])=$A428)*tblDados[Primeira_Ocorrencia]))</f>
        <v>7</v>
      </c>
      <c r="G428" s="15" cm="1">
        <f t="array" ref="G428">IF($A428="","",SUMPRODUCT((TRIM(tblDados[Mandante])=$A428)*tblDados[Primeira_Ocorrencia])+SUMPRODUCT((TRIM(tblDados[Visitante])=$A428)*tblDados[Primeira_Ocorrencia]))</f>
        <v>12</v>
      </c>
      <c r="H428" s="14">
        <f t="shared" si="134"/>
        <v>2.3333333333333335</v>
      </c>
      <c r="I428" s="14" cm="1">
        <f t="array" ref="I428">IF($A428="","",_xlfn.LET(_xlpm.p,IFERROR(INDEX(tblDados[País],MATCH($A428,TRIM(tblDados[Mandante]),0)),INDEX(tblDados[País],MATCH($A428,TRIM(tblDados[Visitante]),0))),_xlpm.l,IFERROR(INDEX(tblDados[Liga],MATCH($A428,TRIM(tblDados[Mandante]),0)),INDEX(tblDados[Liga],MATCH($A428,TRIM(tblDados[Visitante]),0))),IFERROR(SUMIFS(Ligas!$D$2:$D$39,Ligas!$H$2:$H$39,_xlpm.p,Ligas!$I$2:$I$39,_xlpm.l),0)))</f>
        <v>2.5</v>
      </c>
      <c r="J428" s="16" cm="1">
        <f t="array" ref="J428">IF($A428="","",IFERROR((SUMPRODUCT((TRIM(tblDados[Mandante])=$A428)*tblDados[Primeira_Ocorrencia]*(tblDados[GM_M]=0))+SUMPRODUCT((TRIM(tblDados[Visitante])=$A428)*tblDados[Primeira_Ocorrencia]*(tblDados[GM_V]=0)))/G428,0))</f>
        <v>8.3333333333333329E-2</v>
      </c>
      <c r="K428" s="16" cm="1">
        <f t="array" ref="K428">IF($A428="","",IFERROR((SUMPRODUCT((TRIM(tblDados[Mandante])=$A428)*tblDados[Primeira_Ocorrencia]*((tblDados[GM_M]+tblDados[GS_M])&gt;0.5))+SUMPRODUCT((TRIM(tblDados[Visitante])=$A428)*tblDados[Primeira_Ocorrencia]*((tblDados[GM_V]+tblDados[GS_V])&gt;0.5)))/G428,0))</f>
        <v>1</v>
      </c>
      <c r="L428" s="16" cm="1">
        <f t="array" ref="L428">IF($A428="","",IFERROR((SUMPRODUCT((TRIM(tblDados[Mandante])=$A428)*tblDados[Primeira_Ocorrencia]*((tblDados[GM_M]+tblDados[GS_M])&gt;1.5))+SUMPRODUCT((TRIM(tblDados[Visitante])=$A428)*tblDados[Primeira_Ocorrencia]*((tblDados[GM_V]+tblDados[GS_V])&gt;1.5)))/G428,0))</f>
        <v>0.91666666666666663</v>
      </c>
      <c r="M428" s="16" cm="1">
        <f t="array" ref="M428">IF($A428="","",IFERROR((SUMPRODUCT((TRIM(tblDados[Mandante])=$A428)*tblDados[Primeira_Ocorrencia]*((tblDados[GM_M]+tblDados[GS_M])&gt;2.5))+SUMPRODUCT((TRIM(tblDados[Visitante])=$A428)*tblDados[Primeira_Ocorrencia]*((tblDados[GM_V]+tblDados[GS_V])&gt;2.5)))/G428,0))</f>
        <v>0.75</v>
      </c>
      <c r="N428" s="16" cm="1">
        <f t="array" ref="N428">IF($A428="","",IFERROR((SUMPRODUCT((TRIM(tblDados[Mandante])=$A428)*tblDados[Primeira_Ocorrencia]*((tblDados[GM_M]+tblDados[GS_M])&gt;3.5))+SUMPRODUCT((TRIM(tblDados[Visitante])=$A428)*tblDados[Primeira_Ocorrencia]*((tblDados[GM_V]+tblDados[GS_V])&gt;3.5)))/G428,0))</f>
        <v>0.16666666666666666</v>
      </c>
      <c r="O428" s="16" cm="1">
        <f t="array" ref="O428">IF($A428="","",IFERROR((SUMPRODUCT((TRIM(tblDados[Mandante])=$A428)*tblDados[Primeira_Ocorrencia]*(tblDados[GM_M]&gt;0)*(tblDados[GS_M]&gt;0))+SUMPRODUCT((TRIM(tblDados[Visitante])=$A428)*tblDados[Primeira_Ocorrencia]*(tblDados[GM_V]&gt;0)*(tblDados[GS_V]&gt;0)))/G428,0))</f>
        <v>0.66666666666666663</v>
      </c>
      <c r="P428" s="14" cm="1">
        <f t="array" ref="P428">IF($A428="","",IFERROR((SUMPRODUCT((TRIM(tblDados[Mandante])=$A428)*tblDados[Primeira_Ocorrencia]*tblDados[GM_M]^2)+SUMPRODUCT((TRIM(tblDados[Visitante])=$A428)*tblDados[Primeira_Ocorrencia]*tblDados[GM_V]^2))/G428-H428^2,0))</f>
        <v>1.8888888888888875</v>
      </c>
      <c r="Q428" s="14">
        <f t="shared" si="135"/>
        <v>1.3743685418725531</v>
      </c>
      <c r="R428" s="1" t="str">
        <f t="shared" si="136"/>
        <v>Poisson</v>
      </c>
      <c r="S428" s="14" cm="1">
        <f t="array" ref="S428">IF($A428="","",SUMPRODUCT((TRIM(tblDados[Mandante])=$A428)*tblDados[Primeira_Ocorrencia]*tblDados[GM_M]))</f>
        <v>16</v>
      </c>
      <c r="T428" s="14" cm="1">
        <f t="array" ref="T428">IF($A428="","",SUMPRODUCT((TRIM(tblDados[Visitante])=$A428)*tblDados[Primeira_Ocorrencia]*tblDados[GM_V]))</f>
        <v>12</v>
      </c>
      <c r="U428" s="14">
        <f t="shared" si="137"/>
        <v>28</v>
      </c>
      <c r="V428" s="14">
        <f t="shared" si="126"/>
        <v>2.3333333333333335</v>
      </c>
      <c r="W428" s="14" cm="1">
        <f t="array" ref="W428">IF($A428="","",SUMPRODUCT((TRIM(tblDados[Mandante])=$A428)*tblDados[Primeira_Ocorrencia]*tblDados[GS_M]))</f>
        <v>7</v>
      </c>
      <c r="X428" s="14" cm="1">
        <f t="array" ref="X428">IF($A428="","",SUMPRODUCT((TRIM(tblDados[Visitante])=$A428)*tblDados[Primeira_Ocorrencia]*tblDados[GS_V]))</f>
        <v>5</v>
      </c>
      <c r="Y428" s="14">
        <f t="shared" si="138"/>
        <v>12</v>
      </c>
      <c r="Z428" s="14">
        <f t="shared" si="127"/>
        <v>1</v>
      </c>
      <c r="AA428" s="14">
        <f t="shared" si="128"/>
        <v>3.2</v>
      </c>
      <c r="AB428" s="14">
        <f t="shared" si="129"/>
        <v>1.4</v>
      </c>
      <c r="AC428" s="14">
        <f t="shared" si="130"/>
        <v>1.7142857142857142</v>
      </c>
      <c r="AD428" s="14">
        <f t="shared" si="131"/>
        <v>0.7142857142857143</v>
      </c>
    </row>
    <row r="429" spans="1:30" x14ac:dyDescent="0.3">
      <c r="A429" s="1" t="str">
        <v>Vikingur Reykjavik (Víkingur Reykjavík)</v>
      </c>
      <c r="B429" s="13" t="str" cm="1">
        <f t="array" ref="B429">IF($A429="","",_xlfn.LET(_xlpm.p,IFERROR(INDEX(tblDados[País],MATCH($A429,TRIM(tblDados[Mandante]),0)),INDEX(tblDados[País],MATCH($A429,TRIM(tblDados[Visitante]),0))),_xlpm.l,IFERROR(INDEX(tblDados[Liga],MATCH($A429,TRIM(tblDados[Mandante]),0)),INDEX(tblDados[Liga],MATCH($A429,TRIM(tblDados[Visitante]),0))),_xlpm.p&amp;" - "&amp;_xlpm.l))</f>
        <v>ISL - Besta-deild karla (PL)</v>
      </c>
      <c r="C429" s="14">
        <f t="shared" si="132"/>
        <v>4.4000000000000004</v>
      </c>
      <c r="D429" s="14">
        <f t="shared" si="133"/>
        <v>4.1428571428571423</v>
      </c>
      <c r="E429" s="15" cm="1">
        <f t="array" ref="E429">IF($A429="","",SUMPRODUCT((TRIM(tblDados[Mandante])=$A429)*tblDados[Primeira_Ocorrencia]))</f>
        <v>5</v>
      </c>
      <c r="F429" s="15" cm="1">
        <f t="array" ref="F429">IF($A429="","",SUMPRODUCT((TRIM(tblDados[Visitante])=$A429)*tblDados[Primeira_Ocorrencia]))</f>
        <v>7</v>
      </c>
      <c r="G429" s="15" cm="1">
        <f t="array" ref="G429">IF($A429="","",SUMPRODUCT((TRIM(tblDados[Mandante])=$A429)*tblDados[Primeira_Ocorrencia])+SUMPRODUCT((TRIM(tblDados[Visitante])=$A429)*tblDados[Primeira_Ocorrencia]))</f>
        <v>12</v>
      </c>
      <c r="H429" s="14">
        <f t="shared" si="134"/>
        <v>3.25</v>
      </c>
      <c r="I429" s="14" cm="1">
        <f t="array" ref="I429">IF($A429="","",_xlfn.LET(_xlpm.p,IFERROR(INDEX(tblDados[País],MATCH($A429,TRIM(tblDados[Mandante]),0)),INDEX(tblDados[País],MATCH($A429,TRIM(tblDados[Visitante]),0))),_xlpm.l,IFERROR(INDEX(tblDados[Liga],MATCH($A429,TRIM(tblDados[Mandante]),0)),INDEX(tblDados[Liga],MATCH($A429,TRIM(tblDados[Visitante]),0))),IFERROR(SUMIFS(Ligas!$D$2:$D$39,Ligas!$H$2:$H$39,_xlpm.p,Ligas!$I$2:$I$39,_xlpm.l),0)))</f>
        <v>2.5</v>
      </c>
      <c r="J429" s="16" cm="1">
        <f t="array" ref="J429">IF($A429="","",IFERROR((SUMPRODUCT((TRIM(tblDados[Mandante])=$A429)*tblDados[Primeira_Ocorrencia]*(tblDados[GM_M]=0))+SUMPRODUCT((TRIM(tblDados[Visitante])=$A429)*tblDados[Primeira_Ocorrencia]*(tblDados[GM_V]=0)))/G429,0))</f>
        <v>0</v>
      </c>
      <c r="K429" s="16" cm="1">
        <f t="array" ref="K429">IF($A429="","",IFERROR((SUMPRODUCT((TRIM(tblDados[Mandante])=$A429)*tblDados[Primeira_Ocorrencia]*((tblDados[GM_M]+tblDados[GS_M])&gt;0.5))+SUMPRODUCT((TRIM(tblDados[Visitante])=$A429)*tblDados[Primeira_Ocorrencia]*((tblDados[GM_V]+tblDados[GS_V])&gt;0.5)))/G429,0))</f>
        <v>1</v>
      </c>
      <c r="L429" s="16" cm="1">
        <f t="array" ref="L429">IF($A429="","",IFERROR((SUMPRODUCT((TRIM(tblDados[Mandante])=$A429)*tblDados[Primeira_Ocorrencia]*((tblDados[GM_M]+tblDados[GS_M])&gt;1.5))+SUMPRODUCT((TRIM(tblDados[Visitante])=$A429)*tblDados[Primeira_Ocorrencia]*((tblDados[GM_V]+tblDados[GS_V])&gt;1.5)))/G429,0))</f>
        <v>1</v>
      </c>
      <c r="M429" s="16" cm="1">
        <f t="array" ref="M429">IF($A429="","",IFERROR((SUMPRODUCT((TRIM(tblDados[Mandante])=$A429)*tblDados[Primeira_Ocorrencia]*((tblDados[GM_M]+tblDados[GS_M])&gt;2.5))+SUMPRODUCT((TRIM(tblDados[Visitante])=$A429)*tblDados[Primeira_Ocorrencia]*((tblDados[GM_V]+tblDados[GS_V])&gt;2.5)))/G429,0))</f>
        <v>0.83333333333333337</v>
      </c>
      <c r="N429" s="16" cm="1">
        <f t="array" ref="N429">IF($A429="","",IFERROR((SUMPRODUCT((TRIM(tblDados[Mandante])=$A429)*tblDados[Primeira_Ocorrencia]*((tblDados[GM_M]+tblDados[GS_M])&gt;3.5))+SUMPRODUCT((TRIM(tblDados[Visitante])=$A429)*tblDados[Primeira_Ocorrencia]*((tblDados[GM_V]+tblDados[GS_V])&gt;3.5)))/G429,0))</f>
        <v>0.75</v>
      </c>
      <c r="O429" s="16" cm="1">
        <f t="array" ref="O429">IF($A429="","",IFERROR((SUMPRODUCT((TRIM(tblDados[Mandante])=$A429)*tblDados[Primeira_Ocorrencia]*(tblDados[GM_M]&gt;0)*(tblDados[GS_M]&gt;0))+SUMPRODUCT((TRIM(tblDados[Visitante])=$A429)*tblDados[Primeira_Ocorrencia]*(tblDados[GM_V]&gt;0)*(tblDados[GS_V]&gt;0)))/G429,0))</f>
        <v>0.66666666666666663</v>
      </c>
      <c r="P429" s="14" cm="1">
        <f t="array" ref="P429">IF($A429="","",IFERROR((SUMPRODUCT((TRIM(tblDados[Mandante])=$A429)*tblDados[Primeira_Ocorrencia]*tblDados[GM_M]^2)+SUMPRODUCT((TRIM(tblDados[Visitante])=$A429)*tblDados[Primeira_Ocorrencia]*tblDados[GM_V]^2))/G429-H429^2,0))</f>
        <v>2.0208333333333339</v>
      </c>
      <c r="Q429" s="14">
        <f t="shared" si="135"/>
        <v>1.4215601757693319</v>
      </c>
      <c r="R429" s="1" t="str">
        <f t="shared" si="136"/>
        <v>Poisson</v>
      </c>
      <c r="S429" s="14" cm="1">
        <f t="array" ref="S429">IF($A429="","",SUMPRODUCT((TRIM(tblDados[Mandante])=$A429)*tblDados[Primeira_Ocorrencia]*tblDados[GM_M]))</f>
        <v>17</v>
      </c>
      <c r="T429" s="14" cm="1">
        <f t="array" ref="T429">IF($A429="","",SUMPRODUCT((TRIM(tblDados[Visitante])=$A429)*tblDados[Primeira_Ocorrencia]*tblDados[GM_V]))</f>
        <v>22</v>
      </c>
      <c r="U429" s="14">
        <f t="shared" si="137"/>
        <v>39</v>
      </c>
      <c r="V429" s="14">
        <f t="shared" si="126"/>
        <v>3.25</v>
      </c>
      <c r="W429" s="14" cm="1">
        <f t="array" ref="W429">IF($A429="","",SUMPRODUCT((TRIM(tblDados[Mandante])=$A429)*tblDados[Primeira_Ocorrencia]*tblDados[GS_M]))</f>
        <v>5</v>
      </c>
      <c r="X429" s="14" cm="1">
        <f t="array" ref="X429">IF($A429="","",SUMPRODUCT((TRIM(tblDados[Visitante])=$A429)*tblDados[Primeira_Ocorrencia]*tblDados[GS_V]))</f>
        <v>7</v>
      </c>
      <c r="Y429" s="14">
        <f t="shared" si="138"/>
        <v>12</v>
      </c>
      <c r="Z429" s="14">
        <f t="shared" si="127"/>
        <v>1</v>
      </c>
      <c r="AA429" s="14">
        <f t="shared" si="128"/>
        <v>3.4</v>
      </c>
      <c r="AB429" s="14">
        <f t="shared" si="129"/>
        <v>1</v>
      </c>
      <c r="AC429" s="14">
        <f t="shared" si="130"/>
        <v>3.1428571428571428</v>
      </c>
      <c r="AD429" s="14">
        <f t="shared" si="131"/>
        <v>1</v>
      </c>
    </row>
    <row r="430" spans="1:30" x14ac:dyDescent="0.3">
      <c r="A430" s="1" t="str">
        <v>VJS</v>
      </c>
      <c r="B430" s="13" t="str" cm="1">
        <f t="array" ref="B430">IF($A430="","",_xlfn.LET(_xlpm.p,IFERROR(INDEX(tblDados[País],MATCH($A430,TRIM(tblDados[Mandante]),0)),INDEX(tblDados[País],MATCH($A430,TRIM(tblDados[Visitante]),0))),_xlpm.l,IFERROR(INDEX(tblDados[Liga],MATCH($A430,TRIM(tblDados[Mandante]),0)),INDEX(tblDados[Liga],MATCH($A430,TRIM(tblDados[Visitante]),0))),_xlpm.p&amp;" - "&amp;_xlpm.l))</f>
        <v>FIN - Ykkönen</v>
      </c>
      <c r="C430" s="14">
        <f t="shared" si="132"/>
        <v>3.2857142857142856</v>
      </c>
      <c r="D430" s="14">
        <f t="shared" si="133"/>
        <v>3.6</v>
      </c>
      <c r="E430" s="15" cm="1">
        <f t="array" ref="E430">IF($A430="","",SUMPRODUCT((TRIM(tblDados[Mandante])=$A430)*tblDados[Primeira_Ocorrencia]))</f>
        <v>7</v>
      </c>
      <c r="F430" s="15" cm="1">
        <f t="array" ref="F430">IF($A430="","",SUMPRODUCT((TRIM(tblDados[Visitante])=$A430)*tblDados[Primeira_Ocorrencia]))</f>
        <v>5</v>
      </c>
      <c r="G430" s="15" cm="1">
        <f t="array" ref="G430">IF($A430="","",SUMPRODUCT((TRIM(tblDados[Mandante])=$A430)*tblDados[Primeira_Ocorrencia])+SUMPRODUCT((TRIM(tblDados[Visitante])=$A430)*tblDados[Primeira_Ocorrencia]))</f>
        <v>12</v>
      </c>
      <c r="H430" s="14">
        <f t="shared" si="134"/>
        <v>2</v>
      </c>
      <c r="I430" s="14" cm="1">
        <f t="array" ref="I430">IF($A430="","",_xlfn.LET(_xlpm.p,IFERROR(INDEX(tblDados[País],MATCH($A430,TRIM(tblDados[Mandante]),0)),INDEX(tblDados[País],MATCH($A430,TRIM(tblDados[Visitante]),0))),_xlpm.l,IFERROR(INDEX(tblDados[Liga],MATCH($A430,TRIM(tblDados[Mandante]),0)),INDEX(tblDados[Liga],MATCH($A430,TRIM(tblDados[Visitante]),0))),IFERROR(SUMIFS(Ligas!$D$2:$D$39,Ligas!$H$2:$H$39,_xlpm.p,Ligas!$I$2:$I$39,_xlpm.l),0)))</f>
        <v>3.57</v>
      </c>
      <c r="J430" s="16" cm="1">
        <f t="array" ref="J430">IF($A430="","",IFERROR((SUMPRODUCT((TRIM(tblDados[Mandante])=$A430)*tblDados[Primeira_Ocorrencia]*(tblDados[GM_M]=0))+SUMPRODUCT((TRIM(tblDados[Visitante])=$A430)*tblDados[Primeira_Ocorrencia]*(tblDados[GM_V]=0)))/G430,0))</f>
        <v>0.25</v>
      </c>
      <c r="K430" s="16" cm="1">
        <f t="array" ref="K430">IF($A430="","",IFERROR((SUMPRODUCT((TRIM(tblDados[Mandante])=$A430)*tblDados[Primeira_Ocorrencia]*((tblDados[GM_M]+tblDados[GS_M])&gt;0.5))+SUMPRODUCT((TRIM(tblDados[Visitante])=$A430)*tblDados[Primeira_Ocorrencia]*((tblDados[GM_V]+tblDados[GS_V])&gt;0.5)))/G430,0))</f>
        <v>0.91666666666666663</v>
      </c>
      <c r="L430" s="16" cm="1">
        <f t="array" ref="L430">IF($A430="","",IFERROR((SUMPRODUCT((TRIM(tblDados[Mandante])=$A430)*tblDados[Primeira_Ocorrencia]*((tblDados[GM_M]+tblDados[GS_M])&gt;1.5))+SUMPRODUCT((TRIM(tblDados[Visitante])=$A430)*tblDados[Primeira_Ocorrencia]*((tblDados[GM_V]+tblDados[GS_V])&gt;1.5)))/G430,0))</f>
        <v>0.83333333333333337</v>
      </c>
      <c r="M430" s="16" cm="1">
        <f t="array" ref="M430">IF($A430="","",IFERROR((SUMPRODUCT((TRIM(tblDados[Mandante])=$A430)*tblDados[Primeira_Ocorrencia]*((tblDados[GM_M]+tblDados[GS_M])&gt;2.5))+SUMPRODUCT((TRIM(tblDados[Visitante])=$A430)*tblDados[Primeira_Ocorrencia]*((tblDados[GM_V]+tblDados[GS_V])&gt;2.5)))/G430,0))</f>
        <v>0.66666666666666663</v>
      </c>
      <c r="N430" s="16" cm="1">
        <f t="array" ref="N430">IF($A430="","",IFERROR((SUMPRODUCT((TRIM(tblDados[Mandante])=$A430)*tblDados[Primeira_Ocorrencia]*((tblDados[GM_M]+tblDados[GS_M])&gt;3.5))+SUMPRODUCT((TRIM(tblDados[Visitante])=$A430)*tblDados[Primeira_Ocorrencia]*((tblDados[GM_V]+tblDados[GS_V])&gt;3.5)))/G430,0))</f>
        <v>0.58333333333333337</v>
      </c>
      <c r="O430" s="16" cm="1">
        <f t="array" ref="O430">IF($A430="","",IFERROR((SUMPRODUCT((TRIM(tblDados[Mandante])=$A430)*tblDados[Primeira_Ocorrencia]*(tblDados[GM_M]&gt;0)*(tblDados[GS_M]&gt;0))+SUMPRODUCT((TRIM(tblDados[Visitante])=$A430)*tblDados[Primeira_Ocorrencia]*(tblDados[GM_V]&gt;0)*(tblDados[GS_V]&gt;0)))/G430,0))</f>
        <v>0.66666666666666663</v>
      </c>
      <c r="P430" s="14" cm="1">
        <f t="array" ref="P430">IF($A430="","",IFERROR((SUMPRODUCT((TRIM(tblDados[Mandante])=$A430)*tblDados[Primeira_Ocorrencia]*tblDados[GM_M]^2)+SUMPRODUCT((TRIM(tblDados[Visitante])=$A430)*tblDados[Primeira_Ocorrencia]*tblDados[GM_V]^2))/G430-H430^2,0))</f>
        <v>2.333333333333333</v>
      </c>
      <c r="Q430" s="14">
        <f t="shared" si="135"/>
        <v>1.5275252316519465</v>
      </c>
      <c r="R430" s="1" t="str">
        <f t="shared" si="136"/>
        <v>Poisson</v>
      </c>
      <c r="S430" s="14" cm="1">
        <f t="array" ref="S430">IF($A430="","",SUMPRODUCT((TRIM(tblDados[Mandante])=$A430)*tblDados[Primeira_Ocorrencia]*tblDados[GM_M]))</f>
        <v>14</v>
      </c>
      <c r="T430" s="14" cm="1">
        <f t="array" ref="T430">IF($A430="","",SUMPRODUCT((TRIM(tblDados[Visitante])=$A430)*tblDados[Primeira_Ocorrencia]*tblDados[GM_V]))</f>
        <v>10</v>
      </c>
      <c r="U430" s="14">
        <f t="shared" si="137"/>
        <v>24</v>
      </c>
      <c r="V430" s="14">
        <f t="shared" si="126"/>
        <v>2</v>
      </c>
      <c r="W430" s="14" cm="1">
        <f t="array" ref="W430">IF($A430="","",SUMPRODUCT((TRIM(tblDados[Mandante])=$A430)*tblDados[Primeira_Ocorrencia]*tblDados[GS_M]))</f>
        <v>9</v>
      </c>
      <c r="X430" s="14" cm="1">
        <f t="array" ref="X430">IF($A430="","",SUMPRODUCT((TRIM(tblDados[Visitante])=$A430)*tblDados[Primeira_Ocorrencia]*tblDados[GS_V]))</f>
        <v>8</v>
      </c>
      <c r="Y430" s="14">
        <f t="shared" si="138"/>
        <v>17</v>
      </c>
      <c r="Z430" s="14">
        <f t="shared" si="127"/>
        <v>1.4166666666666667</v>
      </c>
      <c r="AA430" s="14">
        <f t="shared" si="128"/>
        <v>2</v>
      </c>
      <c r="AB430" s="14">
        <f t="shared" si="129"/>
        <v>1.2857142857142858</v>
      </c>
      <c r="AC430" s="14">
        <f t="shared" si="130"/>
        <v>2</v>
      </c>
      <c r="AD430" s="14">
        <f t="shared" si="131"/>
        <v>1.6</v>
      </c>
    </row>
    <row r="431" spans="1:30" x14ac:dyDescent="0.3">
      <c r="A431" s="1" t="str">
        <v>Volsungur</v>
      </c>
      <c r="B431" s="13" t="str" cm="1">
        <f t="array" ref="B431">IF($A431="","",_xlfn.LET(_xlpm.p,IFERROR(INDEX(tblDados[País],MATCH($A431,TRIM(tblDados[Mandante]),0)),INDEX(tblDados[País],MATCH($A431,TRIM(tblDados[Visitante]),0))),_xlpm.l,IFERROR(INDEX(tblDados[Liga],MATCH($A431,TRIM(tblDados[Mandante]),0)),INDEX(tblDados[Liga],MATCH($A431,TRIM(tblDados[Visitante]),0))),_xlpm.p&amp;" - "&amp;_xlpm.l))</f>
        <v>ISL - Lengjudeildin (1ªD)</v>
      </c>
      <c r="C431" s="14">
        <f t="shared" si="132"/>
        <v>4.3333333333333339</v>
      </c>
      <c r="D431" s="14">
        <f t="shared" si="133"/>
        <v>4.3333333333333339</v>
      </c>
      <c r="E431" s="15" cm="1">
        <f t="array" ref="E431">IF($A431="","",SUMPRODUCT((TRIM(tblDados[Mandante])=$A431)*tblDados[Primeira_Ocorrencia]))</f>
        <v>6</v>
      </c>
      <c r="F431" s="15" cm="1">
        <f t="array" ref="F431">IF($A431="","",SUMPRODUCT((TRIM(tblDados[Visitante])=$A431)*tblDados[Primeira_Ocorrencia]))</f>
        <v>6</v>
      </c>
      <c r="G431" s="15" cm="1">
        <f t="array" ref="G431">IF($A431="","",SUMPRODUCT((TRIM(tblDados[Mandante])=$A431)*tblDados[Primeira_Ocorrencia])+SUMPRODUCT((TRIM(tblDados[Visitante])=$A431)*tblDados[Primeira_Ocorrencia]))</f>
        <v>12</v>
      </c>
      <c r="H431" s="14">
        <f t="shared" si="134"/>
        <v>1.75</v>
      </c>
      <c r="I431" s="14" cm="1">
        <f t="array" ref="I431">IF($A431="","",_xlfn.LET(_xlpm.p,IFERROR(INDEX(tblDados[País],MATCH($A431,TRIM(tblDados[Mandante]),0)),INDEX(tblDados[País],MATCH($A431,TRIM(tblDados[Visitante]),0))),_xlpm.l,IFERROR(INDEX(tblDados[Liga],MATCH($A431,TRIM(tblDados[Mandante]),0)),INDEX(tblDados[Liga],MATCH($A431,TRIM(tblDados[Visitante]),0))),IFERROR(SUMIFS(Ligas!$D$2:$D$39,Ligas!$H$2:$H$39,_xlpm.p,Ligas!$I$2:$I$39,_xlpm.l),0)))</f>
        <v>3.55</v>
      </c>
      <c r="J431" s="16" cm="1">
        <f t="array" ref="J431">IF($A431="","",IFERROR((SUMPRODUCT((TRIM(tblDados[Mandante])=$A431)*tblDados[Primeira_Ocorrencia]*(tblDados[GM_M]=0))+SUMPRODUCT((TRIM(tblDados[Visitante])=$A431)*tblDados[Primeira_Ocorrencia]*(tblDados[GM_V]=0)))/G431,0))</f>
        <v>0.16666666666666666</v>
      </c>
      <c r="K431" s="16" cm="1">
        <f t="array" ref="K431">IF($A431="","",IFERROR((SUMPRODUCT((TRIM(tblDados[Mandante])=$A431)*tblDados[Primeira_Ocorrencia]*((tblDados[GM_M]+tblDados[GS_M])&gt;0.5))+SUMPRODUCT((TRIM(tblDados[Visitante])=$A431)*tblDados[Primeira_Ocorrencia]*((tblDados[GM_V]+tblDados[GS_V])&gt;0.5)))/G431,0))</f>
        <v>1</v>
      </c>
      <c r="L431" s="16" cm="1">
        <f t="array" ref="L431">IF($A431="","",IFERROR((SUMPRODUCT((TRIM(tblDados[Mandante])=$A431)*tblDados[Primeira_Ocorrencia]*((tblDados[GM_M]+tblDados[GS_M])&gt;1.5))+SUMPRODUCT((TRIM(tblDados[Visitante])=$A431)*tblDados[Primeira_Ocorrencia]*((tblDados[GM_V]+tblDados[GS_V])&gt;1.5)))/G431,0))</f>
        <v>0.83333333333333337</v>
      </c>
      <c r="M431" s="16" cm="1">
        <f t="array" ref="M431">IF($A431="","",IFERROR((SUMPRODUCT((TRIM(tblDados[Mandante])=$A431)*tblDados[Primeira_Ocorrencia]*((tblDados[GM_M]+tblDados[GS_M])&gt;2.5))+SUMPRODUCT((TRIM(tblDados[Visitante])=$A431)*tblDados[Primeira_Ocorrencia]*((tblDados[GM_V]+tblDados[GS_V])&gt;2.5)))/G431,0))</f>
        <v>0.75</v>
      </c>
      <c r="N431" s="16" cm="1">
        <f t="array" ref="N431">IF($A431="","",IFERROR((SUMPRODUCT((TRIM(tblDados[Mandante])=$A431)*tblDados[Primeira_Ocorrencia]*((tblDados[GM_M]+tblDados[GS_M])&gt;3.5))+SUMPRODUCT((TRIM(tblDados[Visitante])=$A431)*tblDados[Primeira_Ocorrencia]*((tblDados[GM_V]+tblDados[GS_V])&gt;3.5)))/G431,0))</f>
        <v>0.66666666666666663</v>
      </c>
      <c r="O431" s="16" cm="1">
        <f t="array" ref="O431">IF($A431="","",IFERROR((SUMPRODUCT((TRIM(tblDados[Mandante])=$A431)*tblDados[Primeira_Ocorrencia]*(tblDados[GM_M]&gt;0)*(tblDados[GS_M]&gt;0))+SUMPRODUCT((TRIM(tblDados[Visitante])=$A431)*tblDados[Primeira_Ocorrencia]*(tblDados[GM_V]&gt;0)*(tblDados[GS_V]&gt;0)))/G431,0))</f>
        <v>0.75</v>
      </c>
      <c r="P431" s="14" cm="1">
        <f t="array" ref="P431">IF($A431="","",IFERROR((SUMPRODUCT((TRIM(tblDados[Mandante])=$A431)*tblDados[Primeira_Ocorrencia]*tblDados[GM_M]^2)+SUMPRODUCT((TRIM(tblDados[Visitante])=$A431)*tblDados[Primeira_Ocorrencia]*tblDados[GM_V]^2))/G431-H431^2,0))</f>
        <v>1.354166666666667</v>
      </c>
      <c r="Q431" s="14">
        <f t="shared" si="135"/>
        <v>1.1636866703140785</v>
      </c>
      <c r="R431" s="1" t="str">
        <f t="shared" si="136"/>
        <v>Poisson</v>
      </c>
      <c r="S431" s="14" cm="1">
        <f t="array" ref="S431">IF($A431="","",SUMPRODUCT((TRIM(tblDados[Mandante])=$A431)*tblDados[Primeira_Ocorrencia]*tblDados[GM_M]))</f>
        <v>12</v>
      </c>
      <c r="T431" s="14" cm="1">
        <f t="array" ref="T431">IF($A431="","",SUMPRODUCT((TRIM(tblDados[Visitante])=$A431)*tblDados[Primeira_Ocorrencia]*tblDados[GM_V]))</f>
        <v>9</v>
      </c>
      <c r="U431" s="14">
        <f t="shared" si="137"/>
        <v>21</v>
      </c>
      <c r="V431" s="14">
        <f t="shared" si="126"/>
        <v>1.75</v>
      </c>
      <c r="W431" s="14" cm="1">
        <f t="array" ref="W431">IF($A431="","",SUMPRODUCT((TRIM(tblDados[Mandante])=$A431)*tblDados[Primeira_Ocorrencia]*tblDados[GS_M]))</f>
        <v>14</v>
      </c>
      <c r="X431" s="14" cm="1">
        <f t="array" ref="X431">IF($A431="","",SUMPRODUCT((TRIM(tblDados[Visitante])=$A431)*tblDados[Primeira_Ocorrencia]*tblDados[GS_V]))</f>
        <v>17</v>
      </c>
      <c r="Y431" s="14">
        <f t="shared" si="138"/>
        <v>31</v>
      </c>
      <c r="Z431" s="14">
        <f t="shared" si="127"/>
        <v>2.5833333333333335</v>
      </c>
      <c r="AA431" s="14">
        <f t="shared" si="128"/>
        <v>2</v>
      </c>
      <c r="AB431" s="14">
        <f t="shared" si="129"/>
        <v>2.3333333333333335</v>
      </c>
      <c r="AC431" s="14">
        <f t="shared" si="130"/>
        <v>1.5</v>
      </c>
      <c r="AD431" s="14">
        <f t="shared" si="131"/>
        <v>2.8333333333333335</v>
      </c>
    </row>
    <row r="432" spans="1:30" x14ac:dyDescent="0.3">
      <c r="A432" s="1" t="str">
        <v>Volta Redonda</v>
      </c>
      <c r="B432" s="13" t="str" cm="1">
        <f t="array" ref="B432">IF($A432="","",_xlfn.LET(_xlpm.p,IFERROR(INDEX(tblDados[País],MATCH($A432,TRIM(tblDados[Mandante]),0)),INDEX(tblDados[País],MATCH($A432,TRIM(tblDados[Visitante]),0))),_xlpm.l,IFERROR(INDEX(tblDados[Liga],MATCH($A432,TRIM(tblDados[Mandante]),0)),INDEX(tblDados[Liga],MATCH($A432,TRIM(tblDados[Visitante]),0))),_xlpm.p&amp;" - "&amp;_xlpm.l))</f>
        <v>BRA - Série C</v>
      </c>
      <c r="C432" s="14">
        <f t="shared" si="132"/>
        <v>2.8333333333333335</v>
      </c>
      <c r="D432" s="14">
        <f t="shared" si="133"/>
        <v>1.8333333333333335</v>
      </c>
      <c r="E432" s="15" cm="1">
        <f t="array" ref="E432">IF($A432="","",SUMPRODUCT((TRIM(tblDados[Mandante])=$A432)*tblDados[Primeira_Ocorrencia]))</f>
        <v>6</v>
      </c>
      <c r="F432" s="15" cm="1">
        <f t="array" ref="F432">IF($A432="","",SUMPRODUCT((TRIM(tblDados[Visitante])=$A432)*tblDados[Primeira_Ocorrencia]))</f>
        <v>6</v>
      </c>
      <c r="G432" s="15" cm="1">
        <f t="array" ref="G432">IF($A432="","",SUMPRODUCT((TRIM(tblDados[Mandante])=$A432)*tblDados[Primeira_Ocorrencia])+SUMPRODUCT((TRIM(tblDados[Visitante])=$A432)*tblDados[Primeira_Ocorrencia]))</f>
        <v>12</v>
      </c>
      <c r="H432" s="14">
        <f t="shared" si="134"/>
        <v>0.91666666666666663</v>
      </c>
      <c r="I432" s="14" cm="1">
        <f t="array" ref="I432">IF($A432="","",_xlfn.LET(_xlpm.p,IFERROR(INDEX(tblDados[País],MATCH($A432,TRIM(tblDados[Mandante]),0)),INDEX(tblDados[País],MATCH($A432,TRIM(tblDados[Visitante]),0))),_xlpm.l,IFERROR(INDEX(tblDados[Liga],MATCH($A432,TRIM(tblDados[Mandante]),0)),INDEX(tblDados[Liga],MATCH($A432,TRIM(tblDados[Visitante]),0))),IFERROR(SUMIFS(Ligas!$D$2:$D$39,Ligas!$H$2:$H$39,_xlpm.p,Ligas!$I$2:$I$39,_xlpm.l),0)))</f>
        <v>2.09</v>
      </c>
      <c r="J432" s="16" cm="1">
        <f t="array" ref="J432">IF($A432="","",IFERROR((SUMPRODUCT((TRIM(tblDados[Mandante])=$A432)*tblDados[Primeira_Ocorrencia]*(tblDados[GM_M]=0))+SUMPRODUCT((TRIM(tblDados[Visitante])=$A432)*tblDados[Primeira_Ocorrencia]*(tblDados[GM_V]=0)))/G432,0))</f>
        <v>0.5</v>
      </c>
      <c r="K432" s="16" cm="1">
        <f t="array" ref="K432">IF($A432="","",IFERROR((SUMPRODUCT((TRIM(tblDados[Mandante])=$A432)*tblDados[Primeira_Ocorrencia]*((tblDados[GM_M]+tblDados[GS_M])&gt;0.5))+SUMPRODUCT((TRIM(tblDados[Visitante])=$A432)*tblDados[Primeira_Ocorrencia]*((tblDados[GM_V]+tblDados[GS_V])&gt;0.5)))/G432,0))</f>
        <v>0.83333333333333337</v>
      </c>
      <c r="L432" s="16" cm="1">
        <f t="array" ref="L432">IF($A432="","",IFERROR((SUMPRODUCT((TRIM(tblDados[Mandante])=$A432)*tblDados[Primeira_Ocorrencia]*((tblDados[GM_M]+tblDados[GS_M])&gt;1.5))+SUMPRODUCT((TRIM(tblDados[Visitante])=$A432)*tblDados[Primeira_Ocorrencia]*((tblDados[GM_V]+tblDados[GS_V])&gt;1.5)))/G432,0))</f>
        <v>0.75</v>
      </c>
      <c r="M432" s="16" cm="1">
        <f t="array" ref="M432">IF($A432="","",IFERROR((SUMPRODUCT((TRIM(tblDados[Mandante])=$A432)*tblDados[Primeira_Ocorrencia]*((tblDados[GM_M]+tblDados[GS_M])&gt;2.5))+SUMPRODUCT((TRIM(tblDados[Visitante])=$A432)*tblDados[Primeira_Ocorrencia]*((tblDados[GM_V]+tblDados[GS_V])&gt;2.5)))/G432,0))</f>
        <v>0.41666666666666669</v>
      </c>
      <c r="N432" s="16" cm="1">
        <f t="array" ref="N432">IF($A432="","",IFERROR((SUMPRODUCT((TRIM(tblDados[Mandante])=$A432)*tblDados[Primeira_Ocorrencia]*((tblDados[GM_M]+tblDados[GS_M])&gt;3.5))+SUMPRODUCT((TRIM(tblDados[Visitante])=$A432)*tblDados[Primeira_Ocorrencia]*((tblDados[GM_V]+tblDados[GS_V])&gt;3.5)))/G432,0))</f>
        <v>0.25</v>
      </c>
      <c r="O432" s="16" cm="1">
        <f t="array" ref="O432">IF($A432="","",IFERROR((SUMPRODUCT((TRIM(tblDados[Mandante])=$A432)*tblDados[Primeira_Ocorrencia]*(tblDados[GM_M]&gt;0)*(tblDados[GS_M]&gt;0))+SUMPRODUCT((TRIM(tblDados[Visitante])=$A432)*tblDados[Primeira_Ocorrencia]*(tblDados[GM_V]&gt;0)*(tblDados[GS_V]&gt;0)))/G432,0))</f>
        <v>0.33333333333333331</v>
      </c>
      <c r="P432" s="14" cm="1">
        <f t="array" ref="P432">IF($A432="","",IFERROR((SUMPRODUCT((TRIM(tblDados[Mandante])=$A432)*tblDados[Primeira_Ocorrencia]*tblDados[GM_M]^2)+SUMPRODUCT((TRIM(tblDados[Visitante])=$A432)*tblDados[Primeira_Ocorrencia]*tblDados[GM_V]^2))/G432-H432^2,0))</f>
        <v>1.2430555555555558</v>
      </c>
      <c r="Q432" s="14">
        <f t="shared" si="135"/>
        <v>1.1149240133549712</v>
      </c>
      <c r="R432" s="1" t="str">
        <f t="shared" si="136"/>
        <v>Poisson</v>
      </c>
      <c r="S432" s="14" cm="1">
        <f t="array" ref="S432">IF($A432="","",SUMPRODUCT((TRIM(tblDados[Mandante])=$A432)*tblDados[Primeira_Ocorrencia]*tblDados[GM_M]))</f>
        <v>10</v>
      </c>
      <c r="T432" s="14" cm="1">
        <f t="array" ref="T432">IF($A432="","",SUMPRODUCT((TRIM(tblDados[Visitante])=$A432)*tblDados[Primeira_Ocorrencia]*tblDados[GM_V]))</f>
        <v>1</v>
      </c>
      <c r="U432" s="14">
        <f t="shared" si="137"/>
        <v>11</v>
      </c>
      <c r="V432" s="14">
        <f t="shared" si="126"/>
        <v>0.91666666666666663</v>
      </c>
      <c r="W432" s="14" cm="1">
        <f t="array" ref="W432">IF($A432="","",SUMPRODUCT((TRIM(tblDados[Mandante])=$A432)*tblDados[Primeira_Ocorrencia]*tblDados[GS_M]))</f>
        <v>7</v>
      </c>
      <c r="X432" s="14" cm="1">
        <f t="array" ref="X432">IF($A432="","",SUMPRODUCT((TRIM(tblDados[Visitante])=$A432)*tblDados[Primeira_Ocorrencia]*tblDados[GS_V]))</f>
        <v>10</v>
      </c>
      <c r="Y432" s="14">
        <f t="shared" si="138"/>
        <v>17</v>
      </c>
      <c r="Z432" s="14">
        <f t="shared" si="127"/>
        <v>1.4166666666666667</v>
      </c>
      <c r="AA432" s="14">
        <f t="shared" si="128"/>
        <v>1.6666666666666667</v>
      </c>
      <c r="AB432" s="14">
        <f t="shared" si="129"/>
        <v>1.1666666666666667</v>
      </c>
      <c r="AC432" s="14">
        <f t="shared" si="130"/>
        <v>0.16666666666666666</v>
      </c>
      <c r="AD432" s="14">
        <f t="shared" si="131"/>
        <v>1.6666666666666667</v>
      </c>
    </row>
    <row r="433" spans="1:30" x14ac:dyDescent="0.3">
      <c r="A433" s="1" t="str">
        <v>VPS Vaasa</v>
      </c>
      <c r="B433" s="13" t="str" cm="1">
        <f t="array" ref="B433">IF($A433="","",_xlfn.LET(_xlpm.p,IFERROR(INDEX(tblDados[País],MATCH($A433,TRIM(tblDados[Mandante]),0)),INDEX(tblDados[País],MATCH($A433,TRIM(tblDados[Visitante]),0))),_xlpm.l,IFERROR(INDEX(tblDados[Liga],MATCH($A433,TRIM(tblDados[Mandante]),0)),INDEX(tblDados[Liga],MATCH($A433,TRIM(tblDados[Visitante]),0))),_xlpm.p&amp;" - "&amp;_xlpm.l))</f>
        <v>FIN - Veikkausliiga</v>
      </c>
      <c r="C433" s="14">
        <f t="shared" si="132"/>
        <v>2.833333333333333</v>
      </c>
      <c r="D433" s="14">
        <f t="shared" si="133"/>
        <v>2.5</v>
      </c>
      <c r="E433" s="15" cm="1">
        <f t="array" ref="E433">IF($A433="","",SUMPRODUCT((TRIM(tblDados[Mandante])=$A433)*tblDados[Primeira_Ocorrencia]))</f>
        <v>6</v>
      </c>
      <c r="F433" s="15" cm="1">
        <f t="array" ref="F433">IF($A433="","",SUMPRODUCT((TRIM(tblDados[Visitante])=$A433)*tblDados[Primeira_Ocorrencia]))</f>
        <v>6</v>
      </c>
      <c r="G433" s="15" cm="1">
        <f t="array" ref="G433">IF($A433="","",SUMPRODUCT((TRIM(tblDados[Mandante])=$A433)*tblDados[Primeira_Ocorrencia])+SUMPRODUCT((TRIM(tblDados[Visitante])=$A433)*tblDados[Primeira_Ocorrencia]))</f>
        <v>12</v>
      </c>
      <c r="H433" s="14">
        <f t="shared" si="134"/>
        <v>1.5833333333333333</v>
      </c>
      <c r="I433" s="14" cm="1">
        <f t="array" ref="I433">IF($A433="","",_xlfn.LET(_xlpm.p,IFERROR(INDEX(tblDados[País],MATCH($A433,TRIM(tblDados[Mandante]),0)),INDEX(tblDados[País],MATCH($A433,TRIM(tblDados[Visitante]),0))),_xlpm.l,IFERROR(INDEX(tblDados[Liga],MATCH($A433,TRIM(tblDados[Mandante]),0)),INDEX(tblDados[Liga],MATCH($A433,TRIM(tblDados[Visitante]),0))),IFERROR(SUMIFS(Ligas!$D$2:$D$39,Ligas!$H$2:$H$39,_xlpm.p,Ligas!$I$2:$I$39,_xlpm.l),0)))</f>
        <v>2.6</v>
      </c>
      <c r="J433" s="16" cm="1">
        <f t="array" ref="J433">IF($A433="","",IFERROR((SUMPRODUCT((TRIM(tblDados[Mandante])=$A433)*tblDados[Primeira_Ocorrencia]*(tblDados[GM_M]=0))+SUMPRODUCT((TRIM(tblDados[Visitante])=$A433)*tblDados[Primeira_Ocorrencia]*(tblDados[GM_V]=0)))/G433,0))</f>
        <v>0.16666666666666666</v>
      </c>
      <c r="K433" s="16" cm="1">
        <f t="array" ref="K433">IF($A433="","",IFERROR((SUMPRODUCT((TRIM(tblDados[Mandante])=$A433)*tblDados[Primeira_Ocorrencia]*((tblDados[GM_M]+tblDados[GS_M])&gt;0.5))+SUMPRODUCT((TRIM(tblDados[Visitante])=$A433)*tblDados[Primeira_Ocorrencia]*((tblDados[GM_V]+tblDados[GS_V])&gt;0.5)))/G433,0))</f>
        <v>1</v>
      </c>
      <c r="L433" s="16" cm="1">
        <f t="array" ref="L433">IF($A433="","",IFERROR((SUMPRODUCT((TRIM(tblDados[Mandante])=$A433)*tblDados[Primeira_Ocorrencia]*((tblDados[GM_M]+tblDados[GS_M])&gt;1.5))+SUMPRODUCT((TRIM(tblDados[Visitante])=$A433)*tblDados[Primeira_Ocorrencia]*((tblDados[GM_V]+tblDados[GS_V])&gt;1.5)))/G433,0))</f>
        <v>0.75</v>
      </c>
      <c r="M433" s="16" cm="1">
        <f t="array" ref="M433">IF($A433="","",IFERROR((SUMPRODUCT((TRIM(tblDados[Mandante])=$A433)*tblDados[Primeira_Ocorrencia]*((tblDados[GM_M]+tblDados[GS_M])&gt;2.5))+SUMPRODUCT((TRIM(tblDados[Visitante])=$A433)*tblDados[Primeira_Ocorrencia]*((tblDados[GM_V]+tblDados[GS_V])&gt;2.5)))/G433,0))</f>
        <v>0.5</v>
      </c>
      <c r="N433" s="16" cm="1">
        <f t="array" ref="N433">IF($A433="","",IFERROR((SUMPRODUCT((TRIM(tblDados[Mandante])=$A433)*tblDados[Primeira_Ocorrencia]*((tblDados[GM_M]+tblDados[GS_M])&gt;3.5))+SUMPRODUCT((TRIM(tblDados[Visitante])=$A433)*tblDados[Primeira_Ocorrencia]*((tblDados[GM_V]+tblDados[GS_V])&gt;3.5)))/G433,0))</f>
        <v>0.25</v>
      </c>
      <c r="O433" s="16" cm="1">
        <f t="array" ref="O433">IF($A433="","",IFERROR((SUMPRODUCT((TRIM(tblDados[Mandante])=$A433)*tblDados[Primeira_Ocorrencia]*(tblDados[GM_M]&gt;0)*(tblDados[GS_M]&gt;0))+SUMPRODUCT((TRIM(tblDados[Visitante])=$A433)*tblDados[Primeira_Ocorrencia]*(tblDados[GM_V]&gt;0)*(tblDados[GS_V]&gt;0)))/G433,0))</f>
        <v>0.66666666666666663</v>
      </c>
      <c r="P433" s="14" cm="1">
        <f t="array" ref="P433">IF($A433="","",IFERROR((SUMPRODUCT((TRIM(tblDados[Mandante])=$A433)*tblDados[Primeira_Ocorrencia]*tblDados[GM_M]^2)+SUMPRODUCT((TRIM(tblDados[Visitante])=$A433)*tblDados[Primeira_Ocorrencia]*tblDados[GM_V]^2))/G433-H433^2,0))</f>
        <v>2.0763888888888888</v>
      </c>
      <c r="Q433" s="14">
        <f t="shared" si="135"/>
        <v>1.4409680388158819</v>
      </c>
      <c r="R433" s="1" t="str">
        <f t="shared" si="136"/>
        <v>Poisson</v>
      </c>
      <c r="S433" s="14" cm="1">
        <f t="array" ref="S433">IF($A433="","",SUMPRODUCT((TRIM(tblDados[Mandante])=$A433)*tblDados[Primeira_Ocorrencia]*tblDados[GM_M]))</f>
        <v>13</v>
      </c>
      <c r="T433" s="14" cm="1">
        <f t="array" ref="T433">IF($A433="","",SUMPRODUCT((TRIM(tblDados[Visitante])=$A433)*tblDados[Primeira_Ocorrencia]*tblDados[GM_V]))</f>
        <v>6</v>
      </c>
      <c r="U433" s="14">
        <f t="shared" si="137"/>
        <v>19</v>
      </c>
      <c r="V433" s="14">
        <f t="shared" si="126"/>
        <v>1.5833333333333333</v>
      </c>
      <c r="W433" s="14" cm="1">
        <f t="array" ref="W433">IF($A433="","",SUMPRODUCT((TRIM(tblDados[Mandante])=$A433)*tblDados[Primeira_Ocorrencia]*tblDados[GS_M]))</f>
        <v>4</v>
      </c>
      <c r="X433" s="14" cm="1">
        <f t="array" ref="X433">IF($A433="","",SUMPRODUCT((TRIM(tblDados[Visitante])=$A433)*tblDados[Primeira_Ocorrencia]*tblDados[GS_V]))</f>
        <v>9</v>
      </c>
      <c r="Y433" s="14">
        <f t="shared" si="138"/>
        <v>13</v>
      </c>
      <c r="Z433" s="14">
        <f t="shared" si="127"/>
        <v>1.0833333333333333</v>
      </c>
      <c r="AA433" s="14">
        <f t="shared" si="128"/>
        <v>2.1666666666666665</v>
      </c>
      <c r="AB433" s="14">
        <f t="shared" si="129"/>
        <v>0.66666666666666663</v>
      </c>
      <c r="AC433" s="14">
        <f t="shared" si="130"/>
        <v>1</v>
      </c>
      <c r="AD433" s="14">
        <f t="shared" si="131"/>
        <v>1.5</v>
      </c>
    </row>
    <row r="434" spans="1:30" x14ac:dyDescent="0.3">
      <c r="A434" s="1" t="str">
        <v>Western Sydney Youth</v>
      </c>
      <c r="B434" s="13" t="str" cm="1">
        <f t="array" ref="B434">IF($A434="","",_xlfn.LET(_xlpm.p,IFERROR(INDEX(tblDados[País],MATCH($A434,TRIM(tblDados[Mandante]),0)),INDEX(tblDados[País],MATCH($A434,TRIM(tblDados[Visitante]),0))),_xlpm.l,IFERROR(INDEX(tblDados[Liga],MATCH($A434,TRIM(tblDados[Mandante]),0)),INDEX(tblDados[Liga],MATCH($A434,TRIM(tblDados[Visitante]),0))),_xlpm.p&amp;" - "&amp;_xlpm.l))</f>
        <v>AUS - NPL New South Wales</v>
      </c>
      <c r="C434" s="14">
        <f t="shared" si="132"/>
        <v>3.8571428571428568</v>
      </c>
      <c r="D434" s="14">
        <f t="shared" si="133"/>
        <v>4.2</v>
      </c>
      <c r="E434" s="15" cm="1">
        <f t="array" ref="E434">IF($A434="","",SUMPRODUCT((TRIM(tblDados[Mandante])=$A434)*tblDados[Primeira_Ocorrencia]))</f>
        <v>7</v>
      </c>
      <c r="F434" s="15" cm="1">
        <f t="array" ref="F434">IF($A434="","",SUMPRODUCT((TRIM(tblDados[Visitante])=$A434)*tblDados[Primeira_Ocorrencia]))</f>
        <v>5</v>
      </c>
      <c r="G434" s="15" cm="1">
        <f t="array" ref="G434">IF($A434="","",SUMPRODUCT((TRIM(tblDados[Mandante])=$A434)*tblDados[Primeira_Ocorrencia])+SUMPRODUCT((TRIM(tblDados[Visitante])=$A434)*tblDados[Primeira_Ocorrencia]))</f>
        <v>12</v>
      </c>
      <c r="H434" s="14">
        <f t="shared" si="134"/>
        <v>2.1666666666666665</v>
      </c>
      <c r="I434" s="14" cm="1">
        <f t="array" ref="I434">IF($A434="","",_xlfn.LET(_xlpm.p,IFERROR(INDEX(tblDados[País],MATCH($A434,TRIM(tblDados[Mandante]),0)),INDEX(tblDados[País],MATCH($A434,TRIM(tblDados[Visitante]),0))),_xlpm.l,IFERROR(INDEX(tblDados[Liga],MATCH($A434,TRIM(tblDados[Mandante]),0)),INDEX(tblDados[Liga],MATCH($A434,TRIM(tblDados[Visitante]),0))),IFERROR(SUMIFS(Ligas!$D$2:$D$39,Ligas!$H$2:$H$39,_xlpm.p,Ligas!$I$2:$I$39,_xlpm.l),0)))</f>
        <v>3.61</v>
      </c>
      <c r="J434" s="16" cm="1">
        <f t="array" ref="J434">IF($A434="","",IFERROR((SUMPRODUCT((TRIM(tblDados[Mandante])=$A434)*tblDados[Primeira_Ocorrencia]*(tblDados[GM_M]=0))+SUMPRODUCT((TRIM(tblDados[Visitante])=$A434)*tblDados[Primeira_Ocorrencia]*(tblDados[GM_V]=0)))/G434,0))</f>
        <v>0.33333333333333331</v>
      </c>
      <c r="K434" s="16" cm="1">
        <f t="array" ref="K434">IF($A434="","",IFERROR((SUMPRODUCT((TRIM(tblDados[Mandante])=$A434)*tblDados[Primeira_Ocorrencia]*((tblDados[GM_M]+tblDados[GS_M])&gt;0.5))+SUMPRODUCT((TRIM(tblDados[Visitante])=$A434)*tblDados[Primeira_Ocorrencia]*((tblDados[GM_V]+tblDados[GS_V])&gt;0.5)))/G434,0))</f>
        <v>1</v>
      </c>
      <c r="L434" s="16" cm="1">
        <f t="array" ref="L434">IF($A434="","",IFERROR((SUMPRODUCT((TRIM(tblDados[Mandante])=$A434)*tblDados[Primeira_Ocorrencia]*((tblDados[GM_M]+tblDados[GS_M])&gt;1.5))+SUMPRODUCT((TRIM(tblDados[Visitante])=$A434)*tblDados[Primeira_Ocorrencia]*((tblDados[GM_V]+tblDados[GS_V])&gt;1.5)))/G434,0))</f>
        <v>1</v>
      </c>
      <c r="M434" s="16" cm="1">
        <f t="array" ref="M434">IF($A434="","",IFERROR((SUMPRODUCT((TRIM(tblDados[Mandante])=$A434)*tblDados[Primeira_Ocorrencia]*((tblDados[GM_M]+tblDados[GS_M])&gt;2.5))+SUMPRODUCT((TRIM(tblDados[Visitante])=$A434)*tblDados[Primeira_Ocorrencia]*((tblDados[GM_V]+tblDados[GS_V])&gt;2.5)))/G434,0))</f>
        <v>0.83333333333333337</v>
      </c>
      <c r="N434" s="16" cm="1">
        <f t="array" ref="N434">IF($A434="","",IFERROR((SUMPRODUCT((TRIM(tblDados[Mandante])=$A434)*tblDados[Primeira_Ocorrencia]*((tblDados[GM_M]+tblDados[GS_M])&gt;3.5))+SUMPRODUCT((TRIM(tblDados[Visitante])=$A434)*tblDados[Primeira_Ocorrencia]*((tblDados[GM_V]+tblDados[GS_V])&gt;3.5)))/G434,0))</f>
        <v>0.41666666666666669</v>
      </c>
      <c r="O434" s="16" cm="1">
        <f t="array" ref="O434">IF($A434="","",IFERROR((SUMPRODUCT((TRIM(tblDados[Mandante])=$A434)*tblDados[Primeira_Ocorrencia]*(tblDados[GM_M]&gt;0)*(tblDados[GS_M]&gt;0))+SUMPRODUCT((TRIM(tblDados[Visitante])=$A434)*tblDados[Primeira_Ocorrencia]*(tblDados[GM_V]&gt;0)*(tblDados[GS_V]&gt;0)))/G434,0))</f>
        <v>0.41666666666666669</v>
      </c>
      <c r="P434" s="14" cm="1">
        <f t="array" ref="P434">IF($A434="","",IFERROR((SUMPRODUCT((TRIM(tblDados[Mandante])=$A434)*tblDados[Primeira_Ocorrencia]*tblDados[GM_M]^2)+SUMPRODUCT((TRIM(tblDados[Visitante])=$A434)*tblDados[Primeira_Ocorrencia]*tblDados[GM_V]^2))/G434-H434^2,0))</f>
        <v>3.9722222222222223</v>
      </c>
      <c r="Q434" s="14">
        <f t="shared" si="135"/>
        <v>1.9930434571835665</v>
      </c>
      <c r="R434" s="1" t="str">
        <f t="shared" si="136"/>
        <v>Binomial Negativa</v>
      </c>
      <c r="S434" s="14" cm="1">
        <f t="array" ref="S434">IF($A434="","",SUMPRODUCT((TRIM(tblDados[Mandante])=$A434)*tblDados[Primeira_Ocorrencia]*tblDados[GM_M]))</f>
        <v>11</v>
      </c>
      <c r="T434" s="14" cm="1">
        <f t="array" ref="T434">IF($A434="","",SUMPRODUCT((TRIM(tblDados[Visitante])=$A434)*tblDados[Primeira_Ocorrencia]*tblDados[GM_V]))</f>
        <v>15</v>
      </c>
      <c r="U434" s="14">
        <f t="shared" si="137"/>
        <v>26</v>
      </c>
      <c r="V434" s="14">
        <f t="shared" si="126"/>
        <v>2.1666666666666665</v>
      </c>
      <c r="W434" s="14" cm="1">
        <f t="array" ref="W434">IF($A434="","",SUMPRODUCT((TRIM(tblDados[Mandante])=$A434)*tblDados[Primeira_Ocorrencia]*tblDados[GS_M]))</f>
        <v>16</v>
      </c>
      <c r="X434" s="14" cm="1">
        <f t="array" ref="X434">IF($A434="","",SUMPRODUCT((TRIM(tblDados[Visitante])=$A434)*tblDados[Primeira_Ocorrencia]*tblDados[GS_V]))</f>
        <v>6</v>
      </c>
      <c r="Y434" s="14">
        <f t="shared" si="138"/>
        <v>22</v>
      </c>
      <c r="Z434" s="14">
        <f t="shared" si="127"/>
        <v>1.8333333333333333</v>
      </c>
      <c r="AA434" s="14">
        <f t="shared" si="128"/>
        <v>1.5714285714285714</v>
      </c>
      <c r="AB434" s="14">
        <f t="shared" si="129"/>
        <v>2.2857142857142856</v>
      </c>
      <c r="AC434" s="14">
        <f t="shared" si="130"/>
        <v>3</v>
      </c>
      <c r="AD434" s="14">
        <f t="shared" si="131"/>
        <v>1.2</v>
      </c>
    </row>
    <row r="435" spans="1:30" x14ac:dyDescent="0.3">
      <c r="A435" s="1" t="str">
        <v>Wollongong Wolves</v>
      </c>
      <c r="B435" s="13" t="str" cm="1">
        <f t="array" ref="B435">IF($A435="","",_xlfn.LET(_xlpm.p,IFERROR(INDEX(tblDados[País],MATCH($A435,TRIM(tblDados[Mandante]),0)),INDEX(tblDados[País],MATCH($A435,TRIM(tblDados[Visitante]),0))),_xlpm.l,IFERROR(INDEX(tblDados[Liga],MATCH($A435,TRIM(tblDados[Mandante]),0)),INDEX(tblDados[Liga],MATCH($A435,TRIM(tblDados[Visitante]),0))),_xlpm.p&amp;" - "&amp;_xlpm.l))</f>
        <v>AUS - NPL New South Wales</v>
      </c>
      <c r="C435" s="14">
        <f t="shared" si="132"/>
        <v>3.6666666666666665</v>
      </c>
      <c r="D435" s="14">
        <f t="shared" si="133"/>
        <v>2.1666666666666665</v>
      </c>
      <c r="E435" s="15" cm="1">
        <f t="array" ref="E435">IF($A435="","",SUMPRODUCT((TRIM(tblDados[Mandante])=$A435)*tblDados[Primeira_Ocorrencia]))</f>
        <v>6</v>
      </c>
      <c r="F435" s="15" cm="1">
        <f t="array" ref="F435">IF($A435="","",SUMPRODUCT((TRIM(tblDados[Visitante])=$A435)*tblDados[Primeira_Ocorrencia]))</f>
        <v>6</v>
      </c>
      <c r="G435" s="15" cm="1">
        <f t="array" ref="G435">IF($A435="","",SUMPRODUCT((TRIM(tblDados[Mandante])=$A435)*tblDados[Primeira_Ocorrencia])+SUMPRODUCT((TRIM(tblDados[Visitante])=$A435)*tblDados[Primeira_Ocorrencia]))</f>
        <v>12</v>
      </c>
      <c r="H435" s="14">
        <f t="shared" si="134"/>
        <v>1.0833333333333333</v>
      </c>
      <c r="I435" s="14" cm="1">
        <f t="array" ref="I435">IF($A435="","",_xlfn.LET(_xlpm.p,IFERROR(INDEX(tblDados[País],MATCH($A435,TRIM(tblDados[Mandante]),0)),INDEX(tblDados[País],MATCH($A435,TRIM(tblDados[Visitante]),0))),_xlpm.l,IFERROR(INDEX(tblDados[Liga],MATCH($A435,TRIM(tblDados[Mandante]),0)),INDEX(tblDados[Liga],MATCH($A435,TRIM(tblDados[Visitante]),0))),IFERROR(SUMIFS(Ligas!$D$2:$D$39,Ligas!$H$2:$H$39,_xlpm.p,Ligas!$I$2:$I$39,_xlpm.l),0)))</f>
        <v>3.61</v>
      </c>
      <c r="J435" s="16" cm="1">
        <f t="array" ref="J435">IF($A435="","",IFERROR((SUMPRODUCT((TRIM(tblDados[Mandante])=$A435)*tblDados[Primeira_Ocorrencia]*(tblDados[GM_M]=0))+SUMPRODUCT((TRIM(tblDados[Visitante])=$A435)*tblDados[Primeira_Ocorrencia]*(tblDados[GM_V]=0)))/G435,0))</f>
        <v>0.41666666666666669</v>
      </c>
      <c r="K435" s="16" cm="1">
        <f t="array" ref="K435">IF($A435="","",IFERROR((SUMPRODUCT((TRIM(tblDados[Mandante])=$A435)*tblDados[Primeira_Ocorrencia]*((tblDados[GM_M]+tblDados[GS_M])&gt;0.5))+SUMPRODUCT((TRIM(tblDados[Visitante])=$A435)*tblDados[Primeira_Ocorrencia]*((tblDados[GM_V]+tblDados[GS_V])&gt;0.5)))/G435,0))</f>
        <v>1</v>
      </c>
      <c r="L435" s="16" cm="1">
        <f t="array" ref="L435">IF($A435="","",IFERROR((SUMPRODUCT((TRIM(tblDados[Mandante])=$A435)*tblDados[Primeira_Ocorrencia]*((tblDados[GM_M]+tblDados[GS_M])&gt;1.5))+SUMPRODUCT((TRIM(tblDados[Visitante])=$A435)*tblDados[Primeira_Ocorrencia]*((tblDados[GM_V]+tblDados[GS_V])&gt;1.5)))/G435,0))</f>
        <v>0.75</v>
      </c>
      <c r="M435" s="16" cm="1">
        <f t="array" ref="M435">IF($A435="","",IFERROR((SUMPRODUCT((TRIM(tblDados[Mandante])=$A435)*tblDados[Primeira_Ocorrencia]*((tblDados[GM_M]+tblDados[GS_M])&gt;2.5))+SUMPRODUCT((TRIM(tblDados[Visitante])=$A435)*tblDados[Primeira_Ocorrencia]*((tblDados[GM_V]+tblDados[GS_V])&gt;2.5)))/G435,0))</f>
        <v>0.41666666666666669</v>
      </c>
      <c r="N435" s="16" cm="1">
        <f t="array" ref="N435">IF($A435="","",IFERROR((SUMPRODUCT((TRIM(tblDados[Mandante])=$A435)*tblDados[Primeira_Ocorrencia]*((tblDados[GM_M]+tblDados[GS_M])&gt;3.5))+SUMPRODUCT((TRIM(tblDados[Visitante])=$A435)*tblDados[Primeira_Ocorrencia]*((tblDados[GM_V]+tblDados[GS_V])&gt;3.5)))/G435,0))</f>
        <v>0.33333333333333331</v>
      </c>
      <c r="O435" s="16" cm="1">
        <f t="array" ref="O435">IF($A435="","",IFERROR((SUMPRODUCT((TRIM(tblDados[Mandante])=$A435)*tblDados[Primeira_Ocorrencia]*(tblDados[GM_M]&gt;0)*(tblDados[GS_M]&gt;0))+SUMPRODUCT((TRIM(tblDados[Visitante])=$A435)*tblDados[Primeira_Ocorrencia]*(tblDados[GM_V]&gt;0)*(tblDados[GS_V]&gt;0)))/G435,0))</f>
        <v>0.41666666666666669</v>
      </c>
      <c r="P435" s="14" cm="1">
        <f t="array" ref="P435">IF($A435="","",IFERROR((SUMPRODUCT((TRIM(tblDados[Mandante])=$A435)*tblDados[Primeira_Ocorrencia]*tblDados[GM_M]^2)+SUMPRODUCT((TRIM(tblDados[Visitante])=$A435)*tblDados[Primeira_Ocorrencia]*tblDados[GM_V]^2))/G435-H435^2,0))</f>
        <v>1.0763888888888891</v>
      </c>
      <c r="Q435" s="14">
        <f t="shared" si="135"/>
        <v>1.0374916331657278</v>
      </c>
      <c r="R435" s="1" t="str">
        <f t="shared" si="136"/>
        <v>Poisson</v>
      </c>
      <c r="S435" s="14" cm="1">
        <f t="array" ref="S435">IF($A435="","",SUMPRODUCT((TRIM(tblDados[Mandante])=$A435)*tblDados[Primeira_Ocorrencia]*tblDados[GM_M]))</f>
        <v>9</v>
      </c>
      <c r="T435" s="14" cm="1">
        <f t="array" ref="T435">IF($A435="","",SUMPRODUCT((TRIM(tblDados[Visitante])=$A435)*tblDados[Primeira_Ocorrencia]*tblDados[GM_V]))</f>
        <v>4</v>
      </c>
      <c r="U435" s="14">
        <f t="shared" si="137"/>
        <v>13</v>
      </c>
      <c r="V435" s="14">
        <f t="shared" si="126"/>
        <v>1.0833333333333333</v>
      </c>
      <c r="W435" s="14" cm="1">
        <f t="array" ref="W435">IF($A435="","",SUMPRODUCT((TRIM(tblDados[Mandante])=$A435)*tblDados[Primeira_Ocorrencia]*tblDados[GS_M]))</f>
        <v>13</v>
      </c>
      <c r="X435" s="14" cm="1">
        <f t="array" ref="X435">IF($A435="","",SUMPRODUCT((TRIM(tblDados[Visitante])=$A435)*tblDados[Primeira_Ocorrencia]*tblDados[GS_V]))</f>
        <v>9</v>
      </c>
      <c r="Y435" s="14">
        <f t="shared" si="138"/>
        <v>22</v>
      </c>
      <c r="Z435" s="14">
        <f t="shared" si="127"/>
        <v>1.8333333333333333</v>
      </c>
      <c r="AA435" s="14">
        <f t="shared" si="128"/>
        <v>1.5</v>
      </c>
      <c r="AB435" s="14">
        <f t="shared" si="129"/>
        <v>2.1666666666666665</v>
      </c>
      <c r="AC435" s="14">
        <f t="shared" si="130"/>
        <v>0.66666666666666663</v>
      </c>
      <c r="AD435" s="14">
        <f t="shared" si="131"/>
        <v>1.5</v>
      </c>
    </row>
    <row r="436" spans="1:30" x14ac:dyDescent="0.3">
      <c r="A436" s="1" t="str">
        <v>Wuhan Three Towns</v>
      </c>
      <c r="B436" s="13" t="str" cm="1">
        <f t="array" ref="B436">IF($A436="","",_xlfn.LET(_xlpm.p,IFERROR(INDEX(tblDados[País],MATCH($A436,TRIM(tblDados[Mandante]),0)),INDEX(tblDados[País],MATCH($A436,TRIM(tblDados[Visitante]),0))),_xlpm.l,IFERROR(INDEX(tblDados[Liga],MATCH($A436,TRIM(tblDados[Mandante]),0)),INDEX(tblDados[Liga],MATCH($A436,TRIM(tblDados[Visitante]),0))),_xlpm.p&amp;" - "&amp;_xlpm.l))</f>
        <v>CHN - Super League</v>
      </c>
      <c r="C436" s="14">
        <f t="shared" si="132"/>
        <v>2.5999999999999996</v>
      </c>
      <c r="D436" s="14">
        <f t="shared" si="133"/>
        <v>3.4285714285714288</v>
      </c>
      <c r="E436" s="15" cm="1">
        <f t="array" ref="E436">IF($A436="","",SUMPRODUCT((TRIM(tblDados[Mandante])=$A436)*tblDados[Primeira_Ocorrencia]))</f>
        <v>5</v>
      </c>
      <c r="F436" s="15" cm="1">
        <f t="array" ref="F436">IF($A436="","",SUMPRODUCT((TRIM(tblDados[Visitante])=$A436)*tblDados[Primeira_Ocorrencia]))</f>
        <v>7</v>
      </c>
      <c r="G436" s="15" cm="1">
        <f t="array" ref="G436">IF($A436="","",SUMPRODUCT((TRIM(tblDados[Mandante])=$A436)*tblDados[Primeira_Ocorrencia])+SUMPRODUCT((TRIM(tblDados[Visitante])=$A436)*tblDados[Primeira_Ocorrencia]))</f>
        <v>12</v>
      </c>
      <c r="H436" s="14">
        <f t="shared" si="134"/>
        <v>1.5</v>
      </c>
      <c r="I436" s="14" cm="1">
        <f t="array" ref="I436">IF($A436="","",_xlfn.LET(_xlpm.p,IFERROR(INDEX(tblDados[País],MATCH($A436,TRIM(tblDados[Mandante]),0)),INDEX(tblDados[País],MATCH($A436,TRIM(tblDados[Visitante]),0))),_xlpm.l,IFERROR(INDEX(tblDados[Liga],MATCH($A436,TRIM(tblDados[Mandante]),0)),INDEX(tblDados[Liga],MATCH($A436,TRIM(tblDados[Visitante]),0))),IFERROR(SUMIFS(Ligas!$D$2:$D$39,Ligas!$H$2:$H$39,_xlpm.p,Ligas!$I$2:$I$39,_xlpm.l),0)))</f>
        <v>2.5</v>
      </c>
      <c r="J436" s="16" cm="1">
        <f t="array" ref="J436">IF($A436="","",IFERROR((SUMPRODUCT((TRIM(tblDados[Mandante])=$A436)*tblDados[Primeira_Ocorrencia]*(tblDados[GM_M]=0))+SUMPRODUCT((TRIM(tblDados[Visitante])=$A436)*tblDados[Primeira_Ocorrencia]*(tblDados[GM_V]=0)))/G436,0))</f>
        <v>8.3333333333333329E-2</v>
      </c>
      <c r="K436" s="16" cm="1">
        <f t="array" ref="K436">IF($A436="","",IFERROR((SUMPRODUCT((TRIM(tblDados[Mandante])=$A436)*tblDados[Primeira_Ocorrencia]*((tblDados[GM_M]+tblDados[GS_M])&gt;0.5))+SUMPRODUCT((TRIM(tblDados[Visitante])=$A436)*tblDados[Primeira_Ocorrencia]*((tblDados[GM_V]+tblDados[GS_V])&gt;0.5)))/G436,0))</f>
        <v>1</v>
      </c>
      <c r="L436" s="16" cm="1">
        <f t="array" ref="L436">IF($A436="","",IFERROR((SUMPRODUCT((TRIM(tblDados[Mandante])=$A436)*tblDados[Primeira_Ocorrencia]*((tblDados[GM_M]+tblDados[GS_M])&gt;1.5))+SUMPRODUCT((TRIM(tblDados[Visitante])=$A436)*tblDados[Primeira_Ocorrencia]*((tblDados[GM_V]+tblDados[GS_V])&gt;1.5)))/G436,0))</f>
        <v>0.83333333333333337</v>
      </c>
      <c r="M436" s="16" cm="1">
        <f t="array" ref="M436">IF($A436="","",IFERROR((SUMPRODUCT((TRIM(tblDados[Mandante])=$A436)*tblDados[Primeira_Ocorrencia]*((tblDados[GM_M]+tblDados[GS_M])&gt;2.5))+SUMPRODUCT((TRIM(tblDados[Visitante])=$A436)*tblDados[Primeira_Ocorrencia]*((tblDados[GM_V]+tblDados[GS_V])&gt;2.5)))/G436,0))</f>
        <v>0.5</v>
      </c>
      <c r="N436" s="16" cm="1">
        <f t="array" ref="N436">IF($A436="","",IFERROR((SUMPRODUCT((TRIM(tblDados[Mandante])=$A436)*tblDados[Primeira_Ocorrencia]*((tblDados[GM_M]+tblDados[GS_M])&gt;3.5))+SUMPRODUCT((TRIM(tblDados[Visitante])=$A436)*tblDados[Primeira_Ocorrencia]*((tblDados[GM_V]+tblDados[GS_V])&gt;3.5)))/G436,0))</f>
        <v>0.5</v>
      </c>
      <c r="O436" s="16" cm="1">
        <f t="array" ref="O436">IF($A436="","",IFERROR((SUMPRODUCT((TRIM(tblDados[Mandante])=$A436)*tblDados[Primeira_Ocorrencia]*(tblDados[GM_M]&gt;0)*(tblDados[GS_M]&gt;0))+SUMPRODUCT((TRIM(tblDados[Visitante])=$A436)*tblDados[Primeira_Ocorrencia]*(tblDados[GM_V]&gt;0)*(tblDados[GS_V]&gt;0)))/G436,0))</f>
        <v>0.75</v>
      </c>
      <c r="P436" s="14" cm="1">
        <f t="array" ref="P436">IF($A436="","",IFERROR((SUMPRODUCT((TRIM(tblDados[Mandante])=$A436)*tblDados[Primeira_Ocorrencia]*tblDados[GM_M]^2)+SUMPRODUCT((TRIM(tblDados[Visitante])=$A436)*tblDados[Primeira_Ocorrencia]*tblDados[GM_V]^2))/G436-H436^2,0))</f>
        <v>0.58333333333333348</v>
      </c>
      <c r="Q436" s="14">
        <f t="shared" si="135"/>
        <v>0.76376261582597338</v>
      </c>
      <c r="R436" s="1" t="str">
        <f t="shared" si="136"/>
        <v>Poisson</v>
      </c>
      <c r="S436" s="14" cm="1">
        <f t="array" ref="S436">IF($A436="","",SUMPRODUCT((TRIM(tblDados[Mandante])=$A436)*tblDados[Primeira_Ocorrencia]*tblDados[GM_M]))</f>
        <v>7</v>
      </c>
      <c r="T436" s="14" cm="1">
        <f t="array" ref="T436">IF($A436="","",SUMPRODUCT((TRIM(tblDados[Visitante])=$A436)*tblDados[Primeira_Ocorrencia]*tblDados[GM_V]))</f>
        <v>11</v>
      </c>
      <c r="U436" s="14">
        <f t="shared" si="137"/>
        <v>18</v>
      </c>
      <c r="V436" s="14">
        <f t="shared" si="126"/>
        <v>1.5</v>
      </c>
      <c r="W436" s="14" cm="1">
        <f t="array" ref="W436">IF($A436="","",SUMPRODUCT((TRIM(tblDados[Mandante])=$A436)*tblDados[Primeira_Ocorrencia]*tblDados[GS_M]))</f>
        <v>6</v>
      </c>
      <c r="X436" s="14" cm="1">
        <f t="array" ref="X436">IF($A436="","",SUMPRODUCT((TRIM(tblDados[Visitante])=$A436)*tblDados[Primeira_Ocorrencia]*tblDados[GS_V]))</f>
        <v>13</v>
      </c>
      <c r="Y436" s="14">
        <f t="shared" si="138"/>
        <v>19</v>
      </c>
      <c r="Z436" s="14">
        <f t="shared" si="127"/>
        <v>1.5833333333333333</v>
      </c>
      <c r="AA436" s="14">
        <f t="shared" si="128"/>
        <v>1.4</v>
      </c>
      <c r="AB436" s="14">
        <f t="shared" si="129"/>
        <v>1.2</v>
      </c>
      <c r="AC436" s="14">
        <f t="shared" si="130"/>
        <v>1.5714285714285714</v>
      </c>
      <c r="AD436" s="14">
        <f t="shared" si="131"/>
        <v>1.8571428571428572</v>
      </c>
    </row>
    <row r="437" spans="1:30" x14ac:dyDescent="0.3">
      <c r="A437" s="1" t="str">
        <v>Wuxi Wugou</v>
      </c>
      <c r="B437" s="13" t="str" cm="1">
        <f t="array" ref="B437">IF($A437="","",_xlfn.LET(_xlpm.p,IFERROR(INDEX(tblDados[País],MATCH($A437,TRIM(tblDados[Mandante]),0)),INDEX(tblDados[País],MATCH($A437,TRIM(tblDados[Visitante]),0))),_xlpm.l,IFERROR(INDEX(tblDados[Liga],MATCH($A437,TRIM(tblDados[Mandante]),0)),INDEX(tblDados[Liga],MATCH($A437,TRIM(tblDados[Visitante]),0))),_xlpm.p&amp;" - "&amp;_xlpm.l))</f>
        <v>CHN - League One</v>
      </c>
      <c r="C437" s="14">
        <f t="shared" si="132"/>
        <v>2.25</v>
      </c>
      <c r="D437" s="14">
        <f t="shared" si="133"/>
        <v>3.125</v>
      </c>
      <c r="E437" s="15" cm="1">
        <f t="array" ref="E437">IF($A437="","",SUMPRODUCT((TRIM(tblDados[Mandante])=$A437)*tblDados[Primeira_Ocorrencia]))</f>
        <v>4</v>
      </c>
      <c r="F437" s="15" cm="1">
        <f t="array" ref="F437">IF($A437="","",SUMPRODUCT((TRIM(tblDados[Visitante])=$A437)*tblDados[Primeira_Ocorrencia]))</f>
        <v>8</v>
      </c>
      <c r="G437" s="15" cm="1">
        <f t="array" ref="G437">IF($A437="","",SUMPRODUCT((TRIM(tblDados[Mandante])=$A437)*tblDados[Primeira_Ocorrencia])+SUMPRODUCT((TRIM(tblDados[Visitante])=$A437)*tblDados[Primeira_Ocorrencia]))</f>
        <v>12</v>
      </c>
      <c r="H437" s="14">
        <f t="shared" si="134"/>
        <v>1.5833333333333333</v>
      </c>
      <c r="I437" s="14" cm="1">
        <f t="array" ref="I437">IF($A437="","",_xlfn.LET(_xlpm.p,IFERROR(INDEX(tblDados[País],MATCH($A437,TRIM(tblDados[Mandante]),0)),INDEX(tblDados[País],MATCH($A437,TRIM(tblDados[Visitante]),0))),_xlpm.l,IFERROR(INDEX(tblDados[Liga],MATCH($A437,TRIM(tblDados[Mandante]),0)),INDEX(tblDados[Liga],MATCH($A437,TRIM(tblDados[Visitante]),0))),IFERROR(SUMIFS(Ligas!$D$2:$D$39,Ligas!$H$2:$H$39,_xlpm.p,Ligas!$I$2:$I$39,_xlpm.l),0)))</f>
        <v>2.5</v>
      </c>
      <c r="J437" s="16" cm="1">
        <f t="array" ref="J437">IF($A437="","",IFERROR((SUMPRODUCT((TRIM(tblDados[Mandante])=$A437)*tblDados[Primeira_Ocorrencia]*(tblDados[GM_M]=0))+SUMPRODUCT((TRIM(tblDados[Visitante])=$A437)*tblDados[Primeira_Ocorrencia]*(tblDados[GM_V]=0)))/G437,0))</f>
        <v>0.25</v>
      </c>
      <c r="K437" s="16" cm="1">
        <f t="array" ref="K437">IF($A437="","",IFERROR((SUMPRODUCT((TRIM(tblDados[Mandante])=$A437)*tblDados[Primeira_Ocorrencia]*((tblDados[GM_M]+tblDados[GS_M])&gt;0.5))+SUMPRODUCT((TRIM(tblDados[Visitante])=$A437)*tblDados[Primeira_Ocorrencia]*((tblDados[GM_V]+tblDados[GS_V])&gt;0.5)))/G437,0))</f>
        <v>0.91666666666666663</v>
      </c>
      <c r="L437" s="16" cm="1">
        <f t="array" ref="L437">IF($A437="","",IFERROR((SUMPRODUCT((TRIM(tblDados[Mandante])=$A437)*tblDados[Primeira_Ocorrencia]*((tblDados[GM_M]+tblDados[GS_M])&gt;1.5))+SUMPRODUCT((TRIM(tblDados[Visitante])=$A437)*tblDados[Primeira_Ocorrencia]*((tblDados[GM_V]+tblDados[GS_V])&gt;1.5)))/G437,0))</f>
        <v>0.75</v>
      </c>
      <c r="M437" s="16" cm="1">
        <f t="array" ref="M437">IF($A437="","",IFERROR((SUMPRODUCT((TRIM(tblDados[Mandante])=$A437)*tblDados[Primeira_Ocorrencia]*((tblDados[GM_M]+tblDados[GS_M])&gt;2.5))+SUMPRODUCT((TRIM(tblDados[Visitante])=$A437)*tblDados[Primeira_Ocorrencia]*((tblDados[GM_V]+tblDados[GS_V])&gt;2.5)))/G437,0))</f>
        <v>0.41666666666666669</v>
      </c>
      <c r="N437" s="16" cm="1">
        <f t="array" ref="N437">IF($A437="","",IFERROR((SUMPRODUCT((TRIM(tblDados[Mandante])=$A437)*tblDados[Primeira_Ocorrencia]*((tblDados[GM_M]+tblDados[GS_M])&gt;3.5))+SUMPRODUCT((TRIM(tblDados[Visitante])=$A437)*tblDados[Primeira_Ocorrencia]*((tblDados[GM_V]+tblDados[GS_V])&gt;3.5)))/G437,0))</f>
        <v>0.33333333333333331</v>
      </c>
      <c r="O437" s="16" cm="1">
        <f t="array" ref="O437">IF($A437="","",IFERROR((SUMPRODUCT((TRIM(tblDados[Mandante])=$A437)*tblDados[Primeira_Ocorrencia]*(tblDados[GM_M]&gt;0)*(tblDados[GS_M]&gt;0))+SUMPRODUCT((TRIM(tblDados[Visitante])=$A437)*tblDados[Primeira_Ocorrencia]*(tblDados[GM_V]&gt;0)*(tblDados[GS_V]&gt;0)))/G437,0))</f>
        <v>0.66666666666666663</v>
      </c>
      <c r="P437" s="14" cm="1">
        <f t="array" ref="P437">IF($A437="","",IFERROR((SUMPRODUCT((TRIM(tblDados[Mandante])=$A437)*tblDados[Primeira_Ocorrencia]*tblDados[GM_M]^2)+SUMPRODUCT((TRIM(tblDados[Visitante])=$A437)*tblDados[Primeira_Ocorrencia]*tblDados[GM_V]^2))/G437-H437^2,0))</f>
        <v>2.0763888888888888</v>
      </c>
      <c r="Q437" s="14">
        <f t="shared" si="135"/>
        <v>1.4409680388158819</v>
      </c>
      <c r="R437" s="1" t="str">
        <f t="shared" si="136"/>
        <v>Poisson</v>
      </c>
      <c r="S437" s="14" cm="1">
        <f t="array" ref="S437">IF($A437="","",SUMPRODUCT((TRIM(tblDados[Mandante])=$A437)*tblDados[Primeira_Ocorrencia]*tblDados[GM_M]))</f>
        <v>4</v>
      </c>
      <c r="T437" s="14" cm="1">
        <f t="array" ref="T437">IF($A437="","",SUMPRODUCT((TRIM(tblDados[Visitante])=$A437)*tblDados[Primeira_Ocorrencia]*tblDados[GM_V]))</f>
        <v>15</v>
      </c>
      <c r="U437" s="14">
        <f t="shared" si="137"/>
        <v>19</v>
      </c>
      <c r="V437" s="14">
        <f t="shared" si="126"/>
        <v>1.5833333333333333</v>
      </c>
      <c r="W437" s="14" cm="1">
        <f t="array" ref="W437">IF($A437="","",SUMPRODUCT((TRIM(tblDados[Mandante])=$A437)*tblDados[Primeira_Ocorrencia]*tblDados[GS_M]))</f>
        <v>5</v>
      </c>
      <c r="X437" s="14" cm="1">
        <f t="array" ref="X437">IF($A437="","",SUMPRODUCT((TRIM(tblDados[Visitante])=$A437)*tblDados[Primeira_Ocorrencia]*tblDados[GS_V]))</f>
        <v>10</v>
      </c>
      <c r="Y437" s="14">
        <f t="shared" si="138"/>
        <v>15</v>
      </c>
      <c r="Z437" s="14">
        <f t="shared" si="127"/>
        <v>1.25</v>
      </c>
      <c r="AA437" s="14">
        <f t="shared" si="128"/>
        <v>1</v>
      </c>
      <c r="AB437" s="14">
        <f t="shared" si="129"/>
        <v>1.25</v>
      </c>
      <c r="AC437" s="14">
        <f t="shared" si="130"/>
        <v>1.875</v>
      </c>
      <c r="AD437" s="14">
        <f t="shared" si="131"/>
        <v>1.25</v>
      </c>
    </row>
    <row r="438" spans="1:30" x14ac:dyDescent="0.3">
      <c r="A438" s="1" t="str">
        <v>Yanbian Longding</v>
      </c>
      <c r="B438" s="13" t="str" cm="1">
        <f t="array" ref="B438">IF($A438="","",_xlfn.LET(_xlpm.p,IFERROR(INDEX(tblDados[País],MATCH($A438,TRIM(tblDados[Mandante]),0)),INDEX(tblDados[País],MATCH($A438,TRIM(tblDados[Visitante]),0))),_xlpm.l,IFERROR(INDEX(tblDados[Liga],MATCH($A438,TRIM(tblDados[Mandante]),0)),INDEX(tblDados[Liga],MATCH($A438,TRIM(tblDados[Visitante]),0))),_xlpm.p&amp;" - "&amp;_xlpm.l))</f>
        <v>CHN - League One</v>
      </c>
      <c r="C438" s="14">
        <f t="shared" si="132"/>
        <v>2.625</v>
      </c>
      <c r="D438" s="14">
        <f t="shared" si="133"/>
        <v>2.75</v>
      </c>
      <c r="E438" s="15" cm="1">
        <f t="array" ref="E438">IF($A438="","",SUMPRODUCT((TRIM(tblDados[Mandante])=$A438)*tblDados[Primeira_Ocorrencia]))</f>
        <v>8</v>
      </c>
      <c r="F438" s="15" cm="1">
        <f t="array" ref="F438">IF($A438="","",SUMPRODUCT((TRIM(tblDados[Visitante])=$A438)*tblDados[Primeira_Ocorrencia]))</f>
        <v>4</v>
      </c>
      <c r="G438" s="15" cm="1">
        <f t="array" ref="G438">IF($A438="","",SUMPRODUCT((TRIM(tblDados[Mandante])=$A438)*tblDados[Primeira_Ocorrencia])+SUMPRODUCT((TRIM(tblDados[Visitante])=$A438)*tblDados[Primeira_Ocorrencia]))</f>
        <v>12</v>
      </c>
      <c r="H438" s="14">
        <f t="shared" si="134"/>
        <v>1.5833333333333333</v>
      </c>
      <c r="I438" s="14" cm="1">
        <f t="array" ref="I438">IF($A438="","",_xlfn.LET(_xlpm.p,IFERROR(INDEX(tblDados[País],MATCH($A438,TRIM(tblDados[Mandante]),0)),INDEX(tblDados[País],MATCH($A438,TRIM(tblDados[Visitante]),0))),_xlpm.l,IFERROR(INDEX(tblDados[Liga],MATCH($A438,TRIM(tblDados[Mandante]),0)),INDEX(tblDados[Liga],MATCH($A438,TRIM(tblDados[Visitante]),0))),IFERROR(SUMIFS(Ligas!$D$2:$D$39,Ligas!$H$2:$H$39,_xlpm.p,Ligas!$I$2:$I$39,_xlpm.l),0)))</f>
        <v>2.5</v>
      </c>
      <c r="J438" s="16" cm="1">
        <f t="array" ref="J438">IF($A438="","",IFERROR((SUMPRODUCT((TRIM(tblDados[Mandante])=$A438)*tblDados[Primeira_Ocorrencia]*(tblDados[GM_M]=0))+SUMPRODUCT((TRIM(tblDados[Visitante])=$A438)*tblDados[Primeira_Ocorrencia]*(tblDados[GM_V]=0)))/G438,0))</f>
        <v>0.25</v>
      </c>
      <c r="K438" s="16" cm="1">
        <f t="array" ref="K438">IF($A438="","",IFERROR((SUMPRODUCT((TRIM(tblDados[Mandante])=$A438)*tblDados[Primeira_Ocorrencia]*((tblDados[GM_M]+tblDados[GS_M])&gt;0.5))+SUMPRODUCT((TRIM(tblDados[Visitante])=$A438)*tblDados[Primeira_Ocorrencia]*((tblDados[GM_V]+tblDados[GS_V])&gt;0.5)))/G438,0))</f>
        <v>0.91666666666666663</v>
      </c>
      <c r="L438" s="16" cm="1">
        <f t="array" ref="L438">IF($A438="","",IFERROR((SUMPRODUCT((TRIM(tblDados[Mandante])=$A438)*tblDados[Primeira_Ocorrencia]*((tblDados[GM_M]+tblDados[GS_M])&gt;1.5))+SUMPRODUCT((TRIM(tblDados[Visitante])=$A438)*tblDados[Primeira_Ocorrencia]*((tblDados[GM_V]+tblDados[GS_V])&gt;1.5)))/G438,0))</f>
        <v>0.83333333333333337</v>
      </c>
      <c r="M438" s="16" cm="1">
        <f t="array" ref="M438">IF($A438="","",IFERROR((SUMPRODUCT((TRIM(tblDados[Mandante])=$A438)*tblDados[Primeira_Ocorrencia]*((tblDados[GM_M]+tblDados[GS_M])&gt;2.5))+SUMPRODUCT((TRIM(tblDados[Visitante])=$A438)*tblDados[Primeira_Ocorrencia]*((tblDados[GM_V]+tblDados[GS_V])&gt;2.5)))/G438,0))</f>
        <v>0.41666666666666669</v>
      </c>
      <c r="N438" s="16" cm="1">
        <f t="array" ref="N438">IF($A438="","",IFERROR((SUMPRODUCT((TRIM(tblDados[Mandante])=$A438)*tblDados[Primeira_Ocorrencia]*((tblDados[GM_M]+tblDados[GS_M])&gt;3.5))+SUMPRODUCT((TRIM(tblDados[Visitante])=$A438)*tblDados[Primeira_Ocorrencia]*((tblDados[GM_V]+tblDados[GS_V])&gt;3.5)))/G438,0))</f>
        <v>0.25</v>
      </c>
      <c r="O438" s="16" cm="1">
        <f t="array" ref="O438">IF($A438="","",IFERROR((SUMPRODUCT((TRIM(tblDados[Mandante])=$A438)*tblDados[Primeira_Ocorrencia]*(tblDados[GM_M]&gt;0)*(tblDados[GS_M]&gt;0))+SUMPRODUCT((TRIM(tblDados[Visitante])=$A438)*tblDados[Primeira_Ocorrencia]*(tblDados[GM_V]&gt;0)*(tblDados[GS_V]&gt;0)))/G438,0))</f>
        <v>0.58333333333333337</v>
      </c>
      <c r="P438" s="14" cm="1">
        <f t="array" ref="P438">IF($A438="","",IFERROR((SUMPRODUCT((TRIM(tblDados[Mandante])=$A438)*tblDados[Primeira_Ocorrencia]*tblDados[GM_M]^2)+SUMPRODUCT((TRIM(tblDados[Visitante])=$A438)*tblDados[Primeira_Ocorrencia]*tblDados[GM_V]^2))/G438-H438^2,0))</f>
        <v>1.5763888888888888</v>
      </c>
      <c r="Q438" s="14">
        <f t="shared" si="135"/>
        <v>1.2555432644432802</v>
      </c>
      <c r="R438" s="1" t="str">
        <f t="shared" si="136"/>
        <v>Poisson</v>
      </c>
      <c r="S438" s="14" cm="1">
        <f t="array" ref="S438">IF($A438="","",SUMPRODUCT((TRIM(tblDados[Mandante])=$A438)*tblDados[Primeira_Ocorrencia]*tblDados[GM_M]))</f>
        <v>13</v>
      </c>
      <c r="T438" s="14" cm="1">
        <f t="array" ref="T438">IF($A438="","",SUMPRODUCT((TRIM(tblDados[Visitante])=$A438)*tblDados[Primeira_Ocorrencia]*tblDados[GM_V]))</f>
        <v>6</v>
      </c>
      <c r="U438" s="14">
        <f t="shared" si="137"/>
        <v>19</v>
      </c>
      <c r="V438" s="14">
        <f t="shared" si="126"/>
        <v>1.5833333333333333</v>
      </c>
      <c r="W438" s="14" cm="1">
        <f t="array" ref="W438">IF($A438="","",SUMPRODUCT((TRIM(tblDados[Mandante])=$A438)*tblDados[Primeira_Ocorrencia]*tblDados[GS_M]))</f>
        <v>8</v>
      </c>
      <c r="X438" s="14" cm="1">
        <f t="array" ref="X438">IF($A438="","",SUMPRODUCT((TRIM(tblDados[Visitante])=$A438)*tblDados[Primeira_Ocorrencia]*tblDados[GS_V]))</f>
        <v>5</v>
      </c>
      <c r="Y438" s="14">
        <f t="shared" si="138"/>
        <v>13</v>
      </c>
      <c r="Z438" s="14">
        <f t="shared" si="127"/>
        <v>1.0833333333333333</v>
      </c>
      <c r="AA438" s="14">
        <f t="shared" si="128"/>
        <v>1.625</v>
      </c>
      <c r="AB438" s="14">
        <f t="shared" si="129"/>
        <v>1</v>
      </c>
      <c r="AC438" s="14">
        <f t="shared" si="130"/>
        <v>1.5</v>
      </c>
      <c r="AD438" s="14">
        <f t="shared" si="131"/>
        <v>1.25</v>
      </c>
    </row>
    <row r="439" spans="1:30" x14ac:dyDescent="0.3">
      <c r="A439" s="1" t="str">
        <v>Ypiranga-RS</v>
      </c>
      <c r="B439" s="13" t="str" cm="1">
        <f t="array" ref="B439">IF($A439="","",_xlfn.LET(_xlpm.p,IFERROR(INDEX(tblDados[País],MATCH($A439,TRIM(tblDados[Mandante]),0)),INDEX(tblDados[País],MATCH($A439,TRIM(tblDados[Visitante]),0))),_xlpm.l,IFERROR(INDEX(tblDados[Liga],MATCH($A439,TRIM(tblDados[Mandante]),0)),INDEX(tblDados[Liga],MATCH($A439,TRIM(tblDados[Visitante]),0))),_xlpm.p&amp;" - "&amp;_xlpm.l))</f>
        <v>BRA - Série C</v>
      </c>
      <c r="C439" s="14">
        <f t="shared" si="132"/>
        <v>2.5714285714285712</v>
      </c>
      <c r="D439" s="14">
        <f t="shared" si="133"/>
        <v>2.6</v>
      </c>
      <c r="E439" s="15" cm="1">
        <f t="array" ref="E439">IF($A439="","",SUMPRODUCT((TRIM(tblDados[Mandante])=$A439)*tblDados[Primeira_Ocorrencia]))</f>
        <v>7</v>
      </c>
      <c r="F439" s="15" cm="1">
        <f t="array" ref="F439">IF($A439="","",SUMPRODUCT((TRIM(tblDados[Visitante])=$A439)*tblDados[Primeira_Ocorrencia]))</f>
        <v>5</v>
      </c>
      <c r="G439" s="15" cm="1">
        <f t="array" ref="G439">IF($A439="","",SUMPRODUCT((TRIM(tblDados[Mandante])=$A439)*tblDados[Primeira_Ocorrencia])+SUMPRODUCT((TRIM(tblDados[Visitante])=$A439)*tblDados[Primeira_Ocorrencia]))</f>
        <v>12</v>
      </c>
      <c r="H439" s="14">
        <f t="shared" si="134"/>
        <v>1.25</v>
      </c>
      <c r="I439" s="14" cm="1">
        <f t="array" ref="I439">IF($A439="","",_xlfn.LET(_xlpm.p,IFERROR(INDEX(tblDados[País],MATCH($A439,TRIM(tblDados[Mandante]),0)),INDEX(tblDados[País],MATCH($A439,TRIM(tblDados[Visitante]),0))),_xlpm.l,IFERROR(INDEX(tblDados[Liga],MATCH($A439,TRIM(tblDados[Mandante]),0)),INDEX(tblDados[Liga],MATCH($A439,TRIM(tblDados[Visitante]),0))),IFERROR(SUMIFS(Ligas!$D$2:$D$39,Ligas!$H$2:$H$39,_xlpm.p,Ligas!$I$2:$I$39,_xlpm.l),0)))</f>
        <v>2.09</v>
      </c>
      <c r="J439" s="16" cm="1">
        <f t="array" ref="J439">IF($A439="","",IFERROR((SUMPRODUCT((TRIM(tblDados[Mandante])=$A439)*tblDados[Primeira_Ocorrencia]*(tblDados[GM_M]=0))+SUMPRODUCT((TRIM(tblDados[Visitante])=$A439)*tblDados[Primeira_Ocorrencia]*(tblDados[GM_V]=0)))/G439,0))</f>
        <v>8.3333333333333329E-2</v>
      </c>
      <c r="K439" s="16" cm="1">
        <f t="array" ref="K439">IF($A439="","",IFERROR((SUMPRODUCT((TRIM(tblDados[Mandante])=$A439)*tblDados[Primeira_Ocorrencia]*((tblDados[GM_M]+tblDados[GS_M])&gt;0.5))+SUMPRODUCT((TRIM(tblDados[Visitante])=$A439)*tblDados[Primeira_Ocorrencia]*((tblDados[GM_V]+tblDados[GS_V])&gt;0.5)))/G439,0))</f>
        <v>1</v>
      </c>
      <c r="L439" s="16" cm="1">
        <f t="array" ref="L439">IF($A439="","",IFERROR((SUMPRODUCT((TRIM(tblDados[Mandante])=$A439)*tblDados[Primeira_Ocorrencia]*((tblDados[GM_M]+tblDados[GS_M])&gt;1.5))+SUMPRODUCT((TRIM(tblDados[Visitante])=$A439)*tblDados[Primeira_Ocorrencia]*((tblDados[GM_V]+tblDados[GS_V])&gt;1.5)))/G439,0))</f>
        <v>0.75</v>
      </c>
      <c r="M439" s="16" cm="1">
        <f t="array" ref="M439">IF($A439="","",IFERROR((SUMPRODUCT((TRIM(tblDados[Mandante])=$A439)*tblDados[Primeira_Ocorrencia]*((tblDados[GM_M]+tblDados[GS_M])&gt;2.5))+SUMPRODUCT((TRIM(tblDados[Visitante])=$A439)*tblDados[Primeira_Ocorrencia]*((tblDados[GM_V]+tblDados[GS_V])&gt;2.5)))/G439,0))</f>
        <v>0.5</v>
      </c>
      <c r="N439" s="16" cm="1">
        <f t="array" ref="N439">IF($A439="","",IFERROR((SUMPRODUCT((TRIM(tblDados[Mandante])=$A439)*tblDados[Primeira_Ocorrencia]*((tblDados[GM_M]+tblDados[GS_M])&gt;3.5))+SUMPRODUCT((TRIM(tblDados[Visitante])=$A439)*tblDados[Primeira_Ocorrencia]*((tblDados[GM_V]+tblDados[GS_V])&gt;3.5)))/G439,0))</f>
        <v>0.16666666666666666</v>
      </c>
      <c r="O439" s="16" cm="1">
        <f t="array" ref="O439">IF($A439="","",IFERROR((SUMPRODUCT((TRIM(tblDados[Mandante])=$A439)*tblDados[Primeira_Ocorrencia]*(tblDados[GM_M]&gt;0)*(tblDados[GS_M]&gt;0))+SUMPRODUCT((TRIM(tblDados[Visitante])=$A439)*tblDados[Primeira_Ocorrencia]*(tblDados[GM_V]&gt;0)*(tblDados[GS_V]&gt;0)))/G439,0))</f>
        <v>0.58333333333333337</v>
      </c>
      <c r="P439" s="14" cm="1">
        <f t="array" ref="P439">IF($A439="","",IFERROR((SUMPRODUCT((TRIM(tblDados[Mandante])=$A439)*tblDados[Primeira_Ocorrencia]*tblDados[GM_M]^2)+SUMPRODUCT((TRIM(tblDados[Visitante])=$A439)*tblDados[Primeira_Ocorrencia]*tblDados[GM_V]^2))/G439-H439^2,0))</f>
        <v>0.85416666666666652</v>
      </c>
      <c r="Q439" s="14">
        <f t="shared" si="135"/>
        <v>0.92421137553411803</v>
      </c>
      <c r="R439" s="1" t="str">
        <f t="shared" si="136"/>
        <v>Poisson</v>
      </c>
      <c r="S439" s="14" cm="1">
        <f t="array" ref="S439">IF($A439="","",SUMPRODUCT((TRIM(tblDados[Mandante])=$A439)*tblDados[Primeira_Ocorrencia]*tblDados[GM_M]))</f>
        <v>11</v>
      </c>
      <c r="T439" s="14" cm="1">
        <f t="array" ref="T439">IF($A439="","",SUMPRODUCT((TRIM(tblDados[Visitante])=$A439)*tblDados[Primeira_Ocorrencia]*tblDados[GM_V]))</f>
        <v>4</v>
      </c>
      <c r="U439" s="14">
        <f t="shared" si="137"/>
        <v>15</v>
      </c>
      <c r="V439" s="14">
        <f t="shared" si="126"/>
        <v>1.25</v>
      </c>
      <c r="W439" s="14" cm="1">
        <f t="array" ref="W439">IF($A439="","",SUMPRODUCT((TRIM(tblDados[Mandante])=$A439)*tblDados[Primeira_Ocorrencia]*tblDados[GS_M]))</f>
        <v>7</v>
      </c>
      <c r="X439" s="14" cm="1">
        <f t="array" ref="X439">IF($A439="","",SUMPRODUCT((TRIM(tblDados[Visitante])=$A439)*tblDados[Primeira_Ocorrencia]*tblDados[GS_V]))</f>
        <v>9</v>
      </c>
      <c r="Y439" s="14">
        <f t="shared" si="138"/>
        <v>16</v>
      </c>
      <c r="Z439" s="14">
        <f t="shared" si="127"/>
        <v>1.3333333333333333</v>
      </c>
      <c r="AA439" s="14">
        <f t="shared" si="128"/>
        <v>1.5714285714285714</v>
      </c>
      <c r="AB439" s="14">
        <f t="shared" si="129"/>
        <v>1</v>
      </c>
      <c r="AC439" s="14">
        <f t="shared" si="130"/>
        <v>0.8</v>
      </c>
      <c r="AD439" s="14">
        <f t="shared" si="131"/>
        <v>1.8</v>
      </c>
    </row>
    <row r="440" spans="1:30" x14ac:dyDescent="0.3">
      <c r="A440" s="1" t="str">
        <v>Zhejiang Professional FC</v>
      </c>
      <c r="B440" s="13" t="str" cm="1">
        <f t="array" ref="B440">IF($A440="","",_xlfn.LET(_xlpm.p,IFERROR(INDEX(tblDados[País],MATCH($A440,TRIM(tblDados[Mandante]),0)),INDEX(tblDados[País],MATCH($A440,TRIM(tblDados[Visitante]),0))),_xlpm.l,IFERROR(INDEX(tblDados[Liga],MATCH($A440,TRIM(tblDados[Mandante]),0)),INDEX(tblDados[Liga],MATCH($A440,TRIM(tblDados[Visitante]),0))),_xlpm.p&amp;" - "&amp;_xlpm.l))</f>
        <v>CHN - Super League</v>
      </c>
      <c r="C440" s="14">
        <f t="shared" si="132"/>
        <v>4.4000000000000004</v>
      </c>
      <c r="D440" s="14">
        <f t="shared" si="133"/>
        <v>3.2857142857142856</v>
      </c>
      <c r="E440" s="15" cm="1">
        <f t="array" ref="E440">IF($A440="","",SUMPRODUCT((TRIM(tblDados[Mandante])=$A440)*tblDados[Primeira_Ocorrencia]))</f>
        <v>5</v>
      </c>
      <c r="F440" s="15" cm="1">
        <f t="array" ref="F440">IF($A440="","",SUMPRODUCT((TRIM(tblDados[Visitante])=$A440)*tblDados[Primeira_Ocorrencia]))</f>
        <v>7</v>
      </c>
      <c r="G440" s="15" cm="1">
        <f t="array" ref="G440">IF($A440="","",SUMPRODUCT((TRIM(tblDados[Mandante])=$A440)*tblDados[Primeira_Ocorrencia])+SUMPRODUCT((TRIM(tblDados[Visitante])=$A440)*tblDados[Primeira_Ocorrencia]))</f>
        <v>12</v>
      </c>
      <c r="H440" s="14">
        <f t="shared" si="134"/>
        <v>1.8333333333333333</v>
      </c>
      <c r="I440" s="14" cm="1">
        <f t="array" ref="I440">IF($A440="","",_xlfn.LET(_xlpm.p,IFERROR(INDEX(tblDados[País],MATCH($A440,TRIM(tblDados[Mandante]),0)),INDEX(tblDados[País],MATCH($A440,TRIM(tblDados[Visitante]),0))),_xlpm.l,IFERROR(INDEX(tblDados[Liga],MATCH($A440,TRIM(tblDados[Mandante]),0)),INDEX(tblDados[Liga],MATCH($A440,TRIM(tblDados[Visitante]),0))),IFERROR(SUMIFS(Ligas!$D$2:$D$39,Ligas!$H$2:$H$39,_xlpm.p,Ligas!$I$2:$I$39,_xlpm.l),0)))</f>
        <v>2.5</v>
      </c>
      <c r="J440" s="16" cm="1">
        <f t="array" ref="J440">IF($A440="","",IFERROR((SUMPRODUCT((TRIM(tblDados[Mandante])=$A440)*tblDados[Primeira_Ocorrencia]*(tblDados[GM_M]=0))+SUMPRODUCT((TRIM(tblDados[Visitante])=$A440)*tblDados[Primeira_Ocorrencia]*(tblDados[GM_V]=0)))/G440,0))</f>
        <v>8.3333333333333329E-2</v>
      </c>
      <c r="K440" s="16" cm="1">
        <f t="array" ref="K440">IF($A440="","",IFERROR((SUMPRODUCT((TRIM(tblDados[Mandante])=$A440)*tblDados[Primeira_Ocorrencia]*((tblDados[GM_M]+tblDados[GS_M])&gt;0.5))+SUMPRODUCT((TRIM(tblDados[Visitante])=$A440)*tblDados[Primeira_Ocorrencia]*((tblDados[GM_V]+tblDados[GS_V])&gt;0.5)))/G440,0))</f>
        <v>1</v>
      </c>
      <c r="L440" s="16" cm="1">
        <f t="array" ref="L440">IF($A440="","",IFERROR((SUMPRODUCT((TRIM(tblDados[Mandante])=$A440)*tblDados[Primeira_Ocorrencia]*((tblDados[GM_M]+tblDados[GS_M])&gt;1.5))+SUMPRODUCT((TRIM(tblDados[Visitante])=$A440)*tblDados[Primeira_Ocorrencia]*((tblDados[GM_V]+tblDados[GS_V])&gt;1.5)))/G440,0))</f>
        <v>1</v>
      </c>
      <c r="M440" s="16" cm="1">
        <f t="array" ref="M440">IF($A440="","",IFERROR((SUMPRODUCT((TRIM(tblDados[Mandante])=$A440)*tblDados[Primeira_Ocorrencia]*((tblDados[GM_M]+tblDados[GS_M])&gt;2.5))+SUMPRODUCT((TRIM(tblDados[Visitante])=$A440)*tblDados[Primeira_Ocorrencia]*((tblDados[GM_V]+tblDados[GS_V])&gt;2.5)))/G440,0))</f>
        <v>0.75</v>
      </c>
      <c r="N440" s="16" cm="1">
        <f t="array" ref="N440">IF($A440="","",IFERROR((SUMPRODUCT((TRIM(tblDados[Mandante])=$A440)*tblDados[Primeira_Ocorrencia]*((tblDados[GM_M]+tblDados[GS_M])&gt;3.5))+SUMPRODUCT((TRIM(tblDados[Visitante])=$A440)*tblDados[Primeira_Ocorrencia]*((tblDados[GM_V]+tblDados[GS_V])&gt;3.5)))/G440,0))</f>
        <v>0.58333333333333337</v>
      </c>
      <c r="O440" s="16" cm="1">
        <f t="array" ref="O440">IF($A440="","",IFERROR((SUMPRODUCT((TRIM(tblDados[Mandante])=$A440)*tblDados[Primeira_Ocorrencia]*(tblDados[GM_M]&gt;0)*(tblDados[GS_M]&gt;0))+SUMPRODUCT((TRIM(tblDados[Visitante])=$A440)*tblDados[Primeira_Ocorrencia]*(tblDados[GM_V]&gt;0)*(tblDados[GS_V]&gt;0)))/G440,0))</f>
        <v>0.83333333333333337</v>
      </c>
      <c r="P440" s="14" cm="1">
        <f t="array" ref="P440">IF($A440="","",IFERROR((SUMPRODUCT((TRIM(tblDados[Mandante])=$A440)*tblDados[Primeira_Ocorrencia]*tblDados[GM_M]^2)+SUMPRODUCT((TRIM(tblDados[Visitante])=$A440)*tblDados[Primeira_Ocorrencia]*tblDados[GM_V]^2))/G440-H440^2,0))</f>
        <v>1.1388888888888893</v>
      </c>
      <c r="Q440" s="14">
        <f t="shared" si="135"/>
        <v>1.0671873729054751</v>
      </c>
      <c r="R440" s="1" t="str">
        <f t="shared" si="136"/>
        <v>Poisson</v>
      </c>
      <c r="S440" s="14" cm="1">
        <f t="array" ref="S440">IF($A440="","",SUMPRODUCT((TRIM(tblDados[Mandante])=$A440)*tblDados[Primeira_Ocorrencia]*tblDados[GM_M]))</f>
        <v>11</v>
      </c>
      <c r="T440" s="14" cm="1">
        <f t="array" ref="T440">IF($A440="","",SUMPRODUCT((TRIM(tblDados[Visitante])=$A440)*tblDados[Primeira_Ocorrencia]*tblDados[GM_V]))</f>
        <v>11</v>
      </c>
      <c r="U440" s="14">
        <f t="shared" si="137"/>
        <v>22</v>
      </c>
      <c r="V440" s="14">
        <f t="shared" si="126"/>
        <v>1.8333333333333333</v>
      </c>
      <c r="W440" s="14" cm="1">
        <f t="array" ref="W440">IF($A440="","",SUMPRODUCT((TRIM(tblDados[Mandante])=$A440)*tblDados[Primeira_Ocorrencia]*tblDados[GS_M]))</f>
        <v>11</v>
      </c>
      <c r="X440" s="14" cm="1">
        <f t="array" ref="X440">IF($A440="","",SUMPRODUCT((TRIM(tblDados[Visitante])=$A440)*tblDados[Primeira_Ocorrencia]*tblDados[GS_V]))</f>
        <v>12</v>
      </c>
      <c r="Y440" s="14">
        <f t="shared" si="138"/>
        <v>23</v>
      </c>
      <c r="Z440" s="14">
        <f t="shared" si="127"/>
        <v>1.9166666666666667</v>
      </c>
      <c r="AA440" s="14">
        <f t="shared" si="128"/>
        <v>2.2000000000000002</v>
      </c>
      <c r="AB440" s="14">
        <f t="shared" si="129"/>
        <v>2.2000000000000002</v>
      </c>
      <c r="AC440" s="14">
        <f t="shared" si="130"/>
        <v>1.5714285714285714</v>
      </c>
      <c r="AD440" s="14">
        <f t="shared" si="131"/>
        <v>1.7142857142857142</v>
      </c>
    </row>
    <row r="441" spans="1:30" x14ac:dyDescent="0.3">
      <c r="A441" s="1" t="str">
        <v>AIFK</v>
      </c>
      <c r="B441" s="13" t="str" cm="1">
        <f t="array" ref="B441">IF($A441="","",_xlfn.LET(_xlpm.p,IFERROR(INDEX(tblDados[País],MATCH($A441,TRIM(tblDados[Mandante]),0)),INDEX(tblDados[País],MATCH($A441,TRIM(tblDados[Visitante]),0))),_xlpm.l,IFERROR(INDEX(tblDados[Liga],MATCH($A441,TRIM(tblDados[Mandante]),0)),INDEX(tblDados[Liga],MATCH($A441,TRIM(tblDados[Visitante]),0))),_xlpm.p&amp;" - "&amp;_xlpm.l))</f>
        <v>FIN - Kakkonen B</v>
      </c>
      <c r="C441" s="14">
        <f t="shared" si="132"/>
        <v>3.25</v>
      </c>
      <c r="D441" s="14">
        <f t="shared" si="133"/>
        <v>3</v>
      </c>
      <c r="E441" s="15" cm="1">
        <f t="array" ref="E441">IF($A441="","",SUMPRODUCT((TRIM(tblDados[Mandante])=$A441)*tblDados[Primeira_Ocorrencia]))</f>
        <v>4</v>
      </c>
      <c r="F441" s="15" cm="1">
        <f t="array" ref="F441">IF($A441="","",SUMPRODUCT((TRIM(tblDados[Visitante])=$A441)*tblDados[Primeira_Ocorrencia]))</f>
        <v>7</v>
      </c>
      <c r="G441" s="15" cm="1">
        <f t="array" ref="G441">IF($A441="","",SUMPRODUCT((TRIM(tblDados[Mandante])=$A441)*tblDados[Primeira_Ocorrencia])+SUMPRODUCT((TRIM(tblDados[Visitante])=$A441)*tblDados[Primeira_Ocorrencia]))</f>
        <v>11</v>
      </c>
      <c r="H441" s="14">
        <f t="shared" si="134"/>
        <v>2.0909090909090908</v>
      </c>
      <c r="I441" s="14" cm="1">
        <f t="array" ref="I441">IF($A441="","",_xlfn.LET(_xlpm.p,IFERROR(INDEX(tblDados[País],MATCH($A441,TRIM(tblDados[Mandante]),0)),INDEX(tblDados[País],MATCH($A441,TRIM(tblDados[Visitante]),0))),_xlpm.l,IFERROR(INDEX(tblDados[Liga],MATCH($A441,TRIM(tblDados[Mandante]),0)),INDEX(tblDados[Liga],MATCH($A441,TRIM(tblDados[Visitante]),0))),IFERROR(SUMIFS(Ligas!$D$2:$D$39,Ligas!$H$2:$H$39,_xlpm.p,Ligas!$I$2:$I$39,_xlpm.l),0)))</f>
        <v>3.56</v>
      </c>
      <c r="J441" s="16" cm="1">
        <f t="array" ref="J441">IF($A441="","",IFERROR((SUMPRODUCT((TRIM(tblDados[Mandante])=$A441)*tblDados[Primeira_Ocorrencia]*(tblDados[GM_M]=0))+SUMPRODUCT((TRIM(tblDados[Visitante])=$A441)*tblDados[Primeira_Ocorrencia]*(tblDados[GM_V]=0)))/G441,0))</f>
        <v>9.0909090909090912E-2</v>
      </c>
      <c r="K441" s="16" cm="1">
        <f t="array" ref="K441">IF($A441="","",IFERROR((SUMPRODUCT((TRIM(tblDados[Mandante])=$A441)*tblDados[Primeira_Ocorrencia]*((tblDados[GM_M]+tblDados[GS_M])&gt;0.5))+SUMPRODUCT((TRIM(tblDados[Visitante])=$A441)*tblDados[Primeira_Ocorrencia]*((tblDados[GM_V]+tblDados[GS_V])&gt;0.5)))/G441,0))</f>
        <v>1</v>
      </c>
      <c r="L441" s="16" cm="1">
        <f t="array" ref="L441">IF($A441="","",IFERROR((SUMPRODUCT((TRIM(tblDados[Mandante])=$A441)*tblDados[Primeira_Ocorrencia]*((tblDados[GM_M]+tblDados[GS_M])&gt;1.5))+SUMPRODUCT((TRIM(tblDados[Visitante])=$A441)*tblDados[Primeira_Ocorrencia]*((tblDados[GM_V]+tblDados[GS_V])&gt;1.5)))/G441,0))</f>
        <v>0.81818181818181823</v>
      </c>
      <c r="M441" s="16" cm="1">
        <f t="array" ref="M441">IF($A441="","",IFERROR((SUMPRODUCT((TRIM(tblDados[Mandante])=$A441)*tblDados[Primeira_Ocorrencia]*((tblDados[GM_M]+tblDados[GS_M])&gt;2.5))+SUMPRODUCT((TRIM(tblDados[Visitante])=$A441)*tblDados[Primeira_Ocorrencia]*((tblDados[GM_V]+tblDados[GS_V])&gt;2.5)))/G441,0))</f>
        <v>0.54545454545454541</v>
      </c>
      <c r="N441" s="16" cm="1">
        <f t="array" ref="N441">IF($A441="","",IFERROR((SUMPRODUCT((TRIM(tblDados[Mandante])=$A441)*tblDados[Primeira_Ocorrencia]*((tblDados[GM_M]+tblDados[GS_M])&gt;3.5))+SUMPRODUCT((TRIM(tblDados[Visitante])=$A441)*tblDados[Primeira_Ocorrencia]*((tblDados[GM_V]+tblDados[GS_V])&gt;3.5)))/G441,0))</f>
        <v>0.27272727272727271</v>
      </c>
      <c r="O441" s="16" cm="1">
        <f t="array" ref="O441">IF($A441="","",IFERROR((SUMPRODUCT((TRIM(tblDados[Mandante])=$A441)*tblDados[Primeira_Ocorrencia]*(tblDados[GM_M]&gt;0)*(tblDados[GS_M]&gt;0))+SUMPRODUCT((TRIM(tblDados[Visitante])=$A441)*tblDados[Primeira_Ocorrencia]*(tblDados[GM_V]&gt;0)*(tblDados[GS_V]&gt;0)))/G441,0))</f>
        <v>0.81818181818181823</v>
      </c>
      <c r="P441" s="14" cm="1">
        <f t="array" ref="P441">IF($A441="","",IFERROR((SUMPRODUCT((TRIM(tblDados[Mandante])=$A441)*tblDados[Primeira_Ocorrencia]*tblDados[GM_M]^2)+SUMPRODUCT((TRIM(tblDados[Visitante])=$A441)*tblDados[Primeira_Ocorrencia]*tblDados[GM_V]^2))/G441-H441^2,0))</f>
        <v>2.6280991735537196</v>
      </c>
      <c r="Q441" s="14">
        <f t="shared" si="135"/>
        <v>1.6211413181933645</v>
      </c>
      <c r="R441" s="1" t="str">
        <f t="shared" si="136"/>
        <v>Poisson</v>
      </c>
      <c r="S441" s="14" cm="1">
        <f t="array" ref="S441">IF($A441="","",SUMPRODUCT((TRIM(tblDados[Mandante])=$A441)*tblDados[Primeira_Ocorrencia]*tblDados[GM_M]))</f>
        <v>8</v>
      </c>
      <c r="T441" s="14" cm="1">
        <f t="array" ref="T441">IF($A441="","",SUMPRODUCT((TRIM(tblDados[Visitante])=$A441)*tblDados[Primeira_Ocorrencia]*tblDados[GM_V]))</f>
        <v>15</v>
      </c>
      <c r="U441" s="14">
        <f t="shared" si="137"/>
        <v>23</v>
      </c>
      <c r="V441" s="14">
        <f t="shared" si="126"/>
        <v>2.0909090909090908</v>
      </c>
      <c r="W441" s="14" cm="1">
        <f t="array" ref="W441">IF($A441="","",SUMPRODUCT((TRIM(tblDados[Mandante])=$A441)*tblDados[Primeira_Ocorrencia]*tblDados[GS_M]))</f>
        <v>5</v>
      </c>
      <c r="X441" s="14" cm="1">
        <f t="array" ref="X441">IF($A441="","",SUMPRODUCT((TRIM(tblDados[Visitante])=$A441)*tblDados[Primeira_Ocorrencia]*tblDados[GS_V]))</f>
        <v>6</v>
      </c>
      <c r="Y441" s="14">
        <f t="shared" si="138"/>
        <v>11</v>
      </c>
      <c r="Z441" s="14">
        <f t="shared" si="127"/>
        <v>1</v>
      </c>
      <c r="AA441" s="14">
        <f t="shared" si="128"/>
        <v>2</v>
      </c>
      <c r="AB441" s="14">
        <f t="shared" si="129"/>
        <v>1.25</v>
      </c>
      <c r="AC441" s="14">
        <f t="shared" si="130"/>
        <v>2.1428571428571428</v>
      </c>
      <c r="AD441" s="14">
        <f t="shared" si="131"/>
        <v>0.8571428571428571</v>
      </c>
    </row>
    <row r="442" spans="1:30" x14ac:dyDescent="0.3">
      <c r="A442" s="1" t="str">
        <v>Croydon</v>
      </c>
      <c r="B442" s="13" t="str" cm="1">
        <f t="array" ref="B442">IF($A442="","",_xlfn.LET(_xlpm.p,IFERROR(INDEX(tblDados[País],MATCH($A442,TRIM(tblDados[Mandante]),0)),INDEX(tblDados[País],MATCH($A442,TRIM(tblDados[Visitante]),0))),_xlpm.l,IFERROR(INDEX(tblDados[Liga],MATCH($A442,TRIM(tblDados[Mandante]),0)),INDEX(tblDados[Liga],MATCH($A442,TRIM(tblDados[Visitante]),0))),_xlpm.p&amp;" - "&amp;_xlpm.l))</f>
        <v>AUS - NPL South Australia</v>
      </c>
      <c r="C442" s="14">
        <f t="shared" si="132"/>
        <v>4.0999999999999996</v>
      </c>
      <c r="D442" s="14" t="str">
        <f t="shared" si="133"/>
        <v/>
      </c>
      <c r="E442" s="15" cm="1">
        <f t="array" ref="E442">IF($A442="","",SUMPRODUCT((TRIM(tblDados[Mandante])=$A442)*tblDados[Primeira_Ocorrencia]))</f>
        <v>10</v>
      </c>
      <c r="F442" s="15" cm="1">
        <f t="array" ref="F442">IF($A442="","",SUMPRODUCT((TRIM(tblDados[Visitante])=$A442)*tblDados[Primeira_Ocorrencia]))</f>
        <v>0</v>
      </c>
      <c r="G442" s="15" cm="1">
        <f t="array" ref="G442">IF($A442="","",SUMPRODUCT((TRIM(tblDados[Mandante])=$A442)*tblDados[Primeira_Ocorrencia])+SUMPRODUCT((TRIM(tblDados[Visitante])=$A442)*tblDados[Primeira_Ocorrencia]))</f>
        <v>10</v>
      </c>
      <c r="H442" s="14">
        <f t="shared" si="134"/>
        <v>2.1</v>
      </c>
      <c r="I442" s="14" cm="1">
        <f t="array" ref="I442">IF($A442="","",_xlfn.LET(_xlpm.p,IFERROR(INDEX(tblDados[País],MATCH($A442,TRIM(tblDados[Mandante]),0)),INDEX(tblDados[País],MATCH($A442,TRIM(tblDados[Visitante]),0))),_xlpm.l,IFERROR(INDEX(tblDados[Liga],MATCH($A442,TRIM(tblDados[Mandante]),0)),INDEX(tblDados[Liga],MATCH($A442,TRIM(tblDados[Visitante]),0))),IFERROR(SUMIFS(Ligas!$D$2:$D$39,Ligas!$H$2:$H$39,_xlpm.p,Ligas!$I$2:$I$39,_xlpm.l),0)))</f>
        <v>3.49</v>
      </c>
      <c r="J442" s="16" cm="1">
        <f t="array" ref="J442">IF($A442="","",IFERROR((SUMPRODUCT((TRIM(tblDados[Mandante])=$A442)*tblDados[Primeira_Ocorrencia]*(tblDados[GM_M]=0))+SUMPRODUCT((TRIM(tblDados[Visitante])=$A442)*tblDados[Primeira_Ocorrencia]*(tblDados[GM_V]=0)))/G442,0))</f>
        <v>0.2</v>
      </c>
      <c r="K442" s="16" cm="1">
        <f t="array" ref="K442">IF($A442="","",IFERROR((SUMPRODUCT((TRIM(tblDados[Mandante])=$A442)*tblDados[Primeira_Ocorrencia]*((tblDados[GM_M]+tblDados[GS_M])&gt;0.5))+SUMPRODUCT((TRIM(tblDados[Visitante])=$A442)*tblDados[Primeira_Ocorrencia]*((tblDados[GM_V]+tblDados[GS_V])&gt;0.5)))/G442,0))</f>
        <v>1</v>
      </c>
      <c r="L442" s="16" cm="1">
        <f t="array" ref="L442">IF($A442="","",IFERROR((SUMPRODUCT((TRIM(tblDados[Mandante])=$A442)*tblDados[Primeira_Ocorrencia]*((tblDados[GM_M]+tblDados[GS_M])&gt;1.5))+SUMPRODUCT((TRIM(tblDados[Visitante])=$A442)*tblDados[Primeira_Ocorrencia]*((tblDados[GM_V]+tblDados[GS_V])&gt;1.5)))/G442,0))</f>
        <v>1</v>
      </c>
      <c r="M442" s="16" cm="1">
        <f t="array" ref="M442">IF($A442="","",IFERROR((SUMPRODUCT((TRIM(tblDados[Mandante])=$A442)*tblDados[Primeira_Ocorrencia]*((tblDados[GM_M]+tblDados[GS_M])&gt;2.5))+SUMPRODUCT((TRIM(tblDados[Visitante])=$A442)*tblDados[Primeira_Ocorrencia]*((tblDados[GM_V]+tblDados[GS_V])&gt;2.5)))/G442,0))</f>
        <v>0.9</v>
      </c>
      <c r="N442" s="16" cm="1">
        <f t="array" ref="N442">IF($A442="","",IFERROR((SUMPRODUCT((TRIM(tblDados[Mandante])=$A442)*tblDados[Primeira_Ocorrencia]*((tblDados[GM_M]+tblDados[GS_M])&gt;3.5))+SUMPRODUCT((TRIM(tblDados[Visitante])=$A442)*tblDados[Primeira_Ocorrencia]*((tblDados[GM_V]+tblDados[GS_V])&gt;3.5)))/G442,0))</f>
        <v>0.7</v>
      </c>
      <c r="O442" s="16" cm="1">
        <f t="array" ref="O442">IF($A442="","",IFERROR((SUMPRODUCT((TRIM(tblDados[Mandante])=$A442)*tblDados[Primeira_Ocorrencia]*(tblDados[GM_M]&gt;0)*(tblDados[GS_M]&gt;0))+SUMPRODUCT((TRIM(tblDados[Visitante])=$A442)*tblDados[Primeira_Ocorrencia]*(tblDados[GM_V]&gt;0)*(tblDados[GS_V]&gt;0)))/G442,0))</f>
        <v>0.7</v>
      </c>
      <c r="P442" s="14" cm="1">
        <f t="array" ref="P442">IF($A442="","",IFERROR((SUMPRODUCT((TRIM(tblDados[Mandante])=$A442)*tblDados[Primeira_Ocorrencia]*tblDados[GM_M]^2)+SUMPRODUCT((TRIM(tblDados[Visitante])=$A442)*tblDados[Primeira_Ocorrencia]*tblDados[GM_V]^2))/G442-H442^2,0))</f>
        <v>1.8899999999999997</v>
      </c>
      <c r="Q442" s="14">
        <f t="shared" si="135"/>
        <v>1.3747727084867518</v>
      </c>
      <c r="R442" s="1" t="str">
        <f t="shared" si="136"/>
        <v>Poisson</v>
      </c>
      <c r="S442" s="14" cm="1">
        <f t="array" ref="S442">IF($A442="","",SUMPRODUCT((TRIM(tblDados[Mandante])=$A442)*tblDados[Primeira_Ocorrencia]*tblDados[GM_M]))</f>
        <v>21</v>
      </c>
      <c r="T442" s="14" cm="1">
        <f t="array" ref="T442">IF($A442="","",SUMPRODUCT((TRIM(tblDados[Visitante])=$A442)*tblDados[Primeira_Ocorrencia]*tblDados[GM_V]))</f>
        <v>0</v>
      </c>
      <c r="U442" s="14">
        <f t="shared" si="137"/>
        <v>21</v>
      </c>
      <c r="V442" s="14">
        <f t="shared" si="126"/>
        <v>2.1</v>
      </c>
      <c r="W442" s="14" cm="1">
        <f t="array" ref="W442">IF($A442="","",SUMPRODUCT((TRIM(tblDados[Mandante])=$A442)*tblDados[Primeira_Ocorrencia]*tblDados[GS_M]))</f>
        <v>20</v>
      </c>
      <c r="X442" s="14" cm="1">
        <f t="array" ref="X442">IF($A442="","",SUMPRODUCT((TRIM(tblDados[Visitante])=$A442)*tblDados[Primeira_Ocorrencia]*tblDados[GS_V]))</f>
        <v>0</v>
      </c>
      <c r="Y442" s="14">
        <f t="shared" si="138"/>
        <v>20</v>
      </c>
      <c r="Z442" s="14">
        <f t="shared" si="127"/>
        <v>2</v>
      </c>
      <c r="AA442" s="14">
        <f t="shared" si="128"/>
        <v>2.1</v>
      </c>
      <c r="AB442" s="14">
        <f t="shared" si="129"/>
        <v>2</v>
      </c>
      <c r="AC442" s="14" t="str">
        <f t="shared" si="130"/>
        <v/>
      </c>
      <c r="AD442" s="14" t="str">
        <f t="shared" si="131"/>
        <v/>
      </c>
    </row>
    <row r="443" spans="1:30" x14ac:dyDescent="0.3">
      <c r="A443" s="1" t="str">
        <v>Sturt Lions</v>
      </c>
      <c r="B443" s="13" t="str" cm="1">
        <f t="array" ref="B443">IF($A443="","",_xlfn.LET(_xlpm.p,IFERROR(INDEX(tblDados[País],MATCH($A443,TRIM(tblDados[Mandante]),0)),INDEX(tblDados[País],MATCH($A443,TRIM(tblDados[Visitante]),0))),_xlpm.l,IFERROR(INDEX(tblDados[Liga],MATCH($A443,TRIM(tblDados[Mandante]),0)),INDEX(tblDados[Liga],MATCH($A443,TRIM(tblDados[Visitante]),0))),_xlpm.p&amp;" - "&amp;_xlpm.l))</f>
        <v>AUS - NPL South Australia</v>
      </c>
      <c r="C443" s="14" t="str">
        <f t="shared" si="132"/>
        <v/>
      </c>
      <c r="D443" s="14">
        <f t="shared" si="133"/>
        <v>3.3</v>
      </c>
      <c r="E443" s="15" cm="1">
        <f t="array" ref="E443">IF($A443="","",SUMPRODUCT((TRIM(tblDados[Mandante])=$A443)*tblDados[Primeira_Ocorrencia]))</f>
        <v>0</v>
      </c>
      <c r="F443" s="15" cm="1">
        <f t="array" ref="F443">IF($A443="","",SUMPRODUCT((TRIM(tblDados[Visitante])=$A443)*tblDados[Primeira_Ocorrencia]))</f>
        <v>10</v>
      </c>
      <c r="G443" s="15" cm="1">
        <f t="array" ref="G443">IF($A443="","",SUMPRODUCT((TRIM(tblDados[Mandante])=$A443)*tblDados[Primeira_Ocorrencia])+SUMPRODUCT((TRIM(tblDados[Visitante])=$A443)*tblDados[Primeira_Ocorrencia]))</f>
        <v>10</v>
      </c>
      <c r="H443" s="14">
        <f t="shared" si="134"/>
        <v>1.5</v>
      </c>
      <c r="I443" s="14" cm="1">
        <f t="array" ref="I443">IF($A443="","",_xlfn.LET(_xlpm.p,IFERROR(INDEX(tblDados[País],MATCH($A443,TRIM(tblDados[Mandante]),0)),INDEX(tblDados[País],MATCH($A443,TRIM(tblDados[Visitante]),0))),_xlpm.l,IFERROR(INDEX(tblDados[Liga],MATCH($A443,TRIM(tblDados[Mandante]),0)),INDEX(tblDados[Liga],MATCH($A443,TRIM(tblDados[Visitante]),0))),IFERROR(SUMIFS(Ligas!$D$2:$D$39,Ligas!$H$2:$H$39,_xlpm.p,Ligas!$I$2:$I$39,_xlpm.l),0)))</f>
        <v>3.49</v>
      </c>
      <c r="J443" s="16" cm="1">
        <f t="array" ref="J443">IF($A443="","",IFERROR((SUMPRODUCT((TRIM(tblDados[Mandante])=$A443)*tblDados[Primeira_Ocorrencia]*(tblDados[GM_M]=0))+SUMPRODUCT((TRIM(tblDados[Visitante])=$A443)*tblDados[Primeira_Ocorrencia]*(tblDados[GM_V]=0)))/G443,0))</f>
        <v>0.3</v>
      </c>
      <c r="K443" s="16" cm="1">
        <f t="array" ref="K443">IF($A443="","",IFERROR((SUMPRODUCT((TRIM(tblDados[Mandante])=$A443)*tblDados[Primeira_Ocorrencia]*((tblDados[GM_M]+tblDados[GS_M])&gt;0.5))+SUMPRODUCT((TRIM(tblDados[Visitante])=$A443)*tblDados[Primeira_Ocorrencia]*((tblDados[GM_V]+tblDados[GS_V])&gt;0.5)))/G443,0))</f>
        <v>0.9</v>
      </c>
      <c r="L443" s="16" cm="1">
        <f t="array" ref="L443">IF($A443="","",IFERROR((SUMPRODUCT((TRIM(tblDados[Mandante])=$A443)*tblDados[Primeira_Ocorrencia]*((tblDados[GM_M]+tblDados[GS_M])&gt;1.5))+SUMPRODUCT((TRIM(tblDados[Visitante])=$A443)*tblDados[Primeira_Ocorrencia]*((tblDados[GM_V]+tblDados[GS_V])&gt;1.5)))/G443,0))</f>
        <v>0.8</v>
      </c>
      <c r="M443" s="16" cm="1">
        <f t="array" ref="M443">IF($A443="","",IFERROR((SUMPRODUCT((TRIM(tblDados[Mandante])=$A443)*tblDados[Primeira_Ocorrencia]*((tblDados[GM_M]+tblDados[GS_M])&gt;2.5))+SUMPRODUCT((TRIM(tblDados[Visitante])=$A443)*tblDados[Primeira_Ocorrencia]*((tblDados[GM_V]+tblDados[GS_V])&gt;2.5)))/G443,0))</f>
        <v>0.7</v>
      </c>
      <c r="N443" s="16" cm="1">
        <f t="array" ref="N443">IF($A443="","",IFERROR((SUMPRODUCT((TRIM(tblDados[Mandante])=$A443)*tblDados[Primeira_Ocorrencia]*((tblDados[GM_M]+tblDados[GS_M])&gt;3.5))+SUMPRODUCT((TRIM(tblDados[Visitante])=$A443)*tblDados[Primeira_Ocorrencia]*((tblDados[GM_V]+tblDados[GS_V])&gt;3.5)))/G443,0))</f>
        <v>0.5</v>
      </c>
      <c r="O443" s="16" cm="1">
        <f t="array" ref="O443">IF($A443="","",IFERROR((SUMPRODUCT((TRIM(tblDados[Mandante])=$A443)*tblDados[Primeira_Ocorrencia]*(tblDados[GM_M]&gt;0)*(tblDados[GS_M]&gt;0))+SUMPRODUCT((TRIM(tblDados[Visitante])=$A443)*tblDados[Primeira_Ocorrencia]*(tblDados[GM_V]&gt;0)*(tblDados[GS_V]&gt;0)))/G443,0))</f>
        <v>0.6</v>
      </c>
      <c r="P443" s="14" cm="1">
        <f t="array" ref="P443">IF($A443="","",IFERROR((SUMPRODUCT((TRIM(tblDados[Mandante])=$A443)*tblDados[Primeira_Ocorrencia]*tblDados[GM_M]^2)+SUMPRODUCT((TRIM(tblDados[Visitante])=$A443)*tblDados[Primeira_Ocorrencia]*tblDados[GM_V]^2))/G443-H443^2,0))</f>
        <v>2.4500000000000002</v>
      </c>
      <c r="Q443" s="14">
        <f t="shared" si="135"/>
        <v>1.5652475842498528</v>
      </c>
      <c r="R443" s="1" t="str">
        <f t="shared" si="136"/>
        <v>Poisson</v>
      </c>
      <c r="S443" s="14" cm="1">
        <f t="array" ref="S443">IF($A443="","",SUMPRODUCT((TRIM(tblDados[Mandante])=$A443)*tblDados[Primeira_Ocorrencia]*tblDados[GM_M]))</f>
        <v>0</v>
      </c>
      <c r="T443" s="14" cm="1">
        <f t="array" ref="T443">IF($A443="","",SUMPRODUCT((TRIM(tblDados[Visitante])=$A443)*tblDados[Primeira_Ocorrencia]*tblDados[GM_V]))</f>
        <v>15</v>
      </c>
      <c r="U443" s="14">
        <f t="shared" si="137"/>
        <v>15</v>
      </c>
      <c r="V443" s="14">
        <f t="shared" si="126"/>
        <v>1.5</v>
      </c>
      <c r="W443" s="14" cm="1">
        <f t="array" ref="W443">IF($A443="","",SUMPRODUCT((TRIM(tblDados[Mandante])=$A443)*tblDados[Primeira_Ocorrencia]*tblDados[GS_M]))</f>
        <v>0</v>
      </c>
      <c r="X443" s="14" cm="1">
        <f t="array" ref="X443">IF($A443="","",SUMPRODUCT((TRIM(tblDados[Visitante])=$A443)*tblDados[Primeira_Ocorrencia]*tblDados[GS_V]))</f>
        <v>18</v>
      </c>
      <c r="Y443" s="14">
        <f t="shared" si="138"/>
        <v>18</v>
      </c>
      <c r="Z443" s="14">
        <f t="shared" si="127"/>
        <v>1.8</v>
      </c>
      <c r="AA443" s="14" t="str">
        <f t="shared" si="128"/>
        <v/>
      </c>
      <c r="AB443" s="14" t="str">
        <f t="shared" si="129"/>
        <v/>
      </c>
      <c r="AC443" s="14">
        <f t="shared" si="130"/>
        <v>1.5</v>
      </c>
      <c r="AD443" s="14">
        <f t="shared" si="131"/>
        <v>1.8</v>
      </c>
    </row>
    <row r="444" spans="1:30" x14ac:dyDescent="0.3">
      <c r="A444" s="1" t="str">
        <v>GrIFK</v>
      </c>
      <c r="B444" s="13" t="str" cm="1">
        <f t="array" ref="B444">IF($A444="","",_xlfn.LET(_xlpm.p,IFERROR(INDEX(tblDados[País],MATCH($A444,TRIM(tblDados[Mandante]),0)),INDEX(tblDados[País],MATCH($A444,TRIM(tblDados[Visitante]),0))),_xlpm.l,IFERROR(INDEX(tblDados[Liga],MATCH($A444,TRIM(tblDados[Mandante]),0)),INDEX(tblDados[Liga],MATCH($A444,TRIM(tblDados[Visitante]),0))),_xlpm.p&amp;" - "&amp;_xlpm.l))</f>
        <v>FIN - Kakkonen B</v>
      </c>
      <c r="C444" s="14">
        <f t="shared" si="132"/>
        <v>1.5</v>
      </c>
      <c r="D444" s="14">
        <f t="shared" si="133"/>
        <v>3.5714285714285712</v>
      </c>
      <c r="E444" s="15" cm="1">
        <f t="array" ref="E444">IF($A444="","",SUMPRODUCT((TRIM(tblDados[Mandante])=$A444)*tblDados[Primeira_Ocorrencia]))</f>
        <v>2</v>
      </c>
      <c r="F444" s="15" cm="1">
        <f t="array" ref="F444">IF($A444="","",SUMPRODUCT((TRIM(tblDados[Visitante])=$A444)*tblDados[Primeira_Ocorrencia]))</f>
        <v>7</v>
      </c>
      <c r="G444" s="15" cm="1">
        <f t="array" ref="G444">IF($A444="","",SUMPRODUCT((TRIM(tblDados[Mandante])=$A444)*tblDados[Primeira_Ocorrencia])+SUMPRODUCT((TRIM(tblDados[Visitante])=$A444)*tblDados[Primeira_Ocorrencia]))</f>
        <v>9</v>
      </c>
      <c r="H444" s="14">
        <f t="shared" si="134"/>
        <v>1.1111111111111112</v>
      </c>
      <c r="I444" s="14" cm="1">
        <f t="array" ref="I444">IF($A444="","",_xlfn.LET(_xlpm.p,IFERROR(INDEX(tblDados[País],MATCH($A444,TRIM(tblDados[Mandante]),0)),INDEX(tblDados[País],MATCH($A444,TRIM(tblDados[Visitante]),0))),_xlpm.l,IFERROR(INDEX(tblDados[Liga],MATCH($A444,TRIM(tblDados[Mandante]),0)),INDEX(tblDados[Liga],MATCH($A444,TRIM(tblDados[Visitante]),0))),IFERROR(SUMIFS(Ligas!$D$2:$D$39,Ligas!$H$2:$H$39,_xlpm.p,Ligas!$I$2:$I$39,_xlpm.l),0)))</f>
        <v>3.56</v>
      </c>
      <c r="J444" s="16" cm="1">
        <f t="array" ref="J444">IF($A444="","",IFERROR((SUMPRODUCT((TRIM(tblDados[Mandante])=$A444)*tblDados[Primeira_Ocorrencia]*(tblDados[GM_M]=0))+SUMPRODUCT((TRIM(tblDados[Visitante])=$A444)*tblDados[Primeira_Ocorrencia]*(tblDados[GM_V]=0)))/G444,0))</f>
        <v>0.22222222222222221</v>
      </c>
      <c r="K444" s="16" cm="1">
        <f t="array" ref="K444">IF($A444="","",IFERROR((SUMPRODUCT((TRIM(tblDados[Mandante])=$A444)*tblDados[Primeira_Ocorrencia]*((tblDados[GM_M]+tblDados[GS_M])&gt;0.5))+SUMPRODUCT((TRIM(tblDados[Visitante])=$A444)*tblDados[Primeira_Ocorrencia]*((tblDados[GM_V]+tblDados[GS_V])&gt;0.5)))/G444,0))</f>
        <v>1</v>
      </c>
      <c r="L444" s="16" cm="1">
        <f t="array" ref="L444">IF($A444="","",IFERROR((SUMPRODUCT((TRIM(tblDados[Mandante])=$A444)*tblDados[Primeira_Ocorrencia]*((tblDados[GM_M]+tblDados[GS_M])&gt;1.5))+SUMPRODUCT((TRIM(tblDados[Visitante])=$A444)*tblDados[Primeira_Ocorrencia]*((tblDados[GM_V]+tblDados[GS_V])&gt;1.5)))/G444,0))</f>
        <v>0.66666666666666663</v>
      </c>
      <c r="M444" s="16" cm="1">
        <f t="array" ref="M444">IF($A444="","",IFERROR((SUMPRODUCT((TRIM(tblDados[Mandante])=$A444)*tblDados[Primeira_Ocorrencia]*((tblDados[GM_M]+tblDados[GS_M])&gt;2.5))+SUMPRODUCT((TRIM(tblDados[Visitante])=$A444)*tblDados[Primeira_Ocorrencia]*((tblDados[GM_V]+tblDados[GS_V])&gt;2.5)))/G444,0))</f>
        <v>0.55555555555555558</v>
      </c>
      <c r="N444" s="16" cm="1">
        <f t="array" ref="N444">IF($A444="","",IFERROR((SUMPRODUCT((TRIM(tblDados[Mandante])=$A444)*tblDados[Primeira_Ocorrencia]*((tblDados[GM_M]+tblDados[GS_M])&gt;3.5))+SUMPRODUCT((TRIM(tblDados[Visitante])=$A444)*tblDados[Primeira_Ocorrencia]*((tblDados[GM_V]+tblDados[GS_V])&gt;3.5)))/G444,0))</f>
        <v>0.44444444444444442</v>
      </c>
      <c r="O444" s="16" cm="1">
        <f t="array" ref="O444">IF($A444="","",IFERROR((SUMPRODUCT((TRIM(tblDados[Mandante])=$A444)*tblDados[Primeira_Ocorrencia]*(tblDados[GM_M]&gt;0)*(tblDados[GS_M]&gt;0))+SUMPRODUCT((TRIM(tblDados[Visitante])=$A444)*tblDados[Primeira_Ocorrencia]*(tblDados[GM_V]&gt;0)*(tblDados[GS_V]&gt;0)))/G444,0))</f>
        <v>0.66666666666666663</v>
      </c>
      <c r="P444" s="14" cm="1">
        <f t="array" ref="P444">IF($A444="","",IFERROR((SUMPRODUCT((TRIM(tblDados[Mandante])=$A444)*tblDados[Primeira_Ocorrencia]*tblDados[GM_M]^2)+SUMPRODUCT((TRIM(tblDados[Visitante])=$A444)*tblDados[Primeira_Ocorrencia]*tblDados[GM_V]^2))/G444-H444^2,0))</f>
        <v>0.76543209876543195</v>
      </c>
      <c r="Q444" s="14">
        <f t="shared" si="135"/>
        <v>0.87488976377909</v>
      </c>
      <c r="R444" s="1" t="str">
        <f t="shared" si="136"/>
        <v>Poisson</v>
      </c>
      <c r="S444" s="14" cm="1">
        <f t="array" ref="S444">IF($A444="","",SUMPRODUCT((TRIM(tblDados[Mandante])=$A444)*tblDados[Primeira_Ocorrencia]*tblDados[GM_M]))</f>
        <v>1</v>
      </c>
      <c r="T444" s="14" cm="1">
        <f t="array" ref="T444">IF($A444="","",SUMPRODUCT((TRIM(tblDados[Visitante])=$A444)*tblDados[Primeira_Ocorrencia]*tblDados[GM_V]))</f>
        <v>9</v>
      </c>
      <c r="U444" s="14">
        <f t="shared" si="137"/>
        <v>10</v>
      </c>
      <c r="V444" s="14">
        <f t="shared" si="126"/>
        <v>1.1111111111111112</v>
      </c>
      <c r="W444" s="14" cm="1">
        <f t="array" ref="W444">IF($A444="","",SUMPRODUCT((TRIM(tblDados[Mandante])=$A444)*tblDados[Primeira_Ocorrencia]*tblDados[GS_M]))</f>
        <v>2</v>
      </c>
      <c r="X444" s="14" cm="1">
        <f t="array" ref="X444">IF($A444="","",SUMPRODUCT((TRIM(tblDados[Visitante])=$A444)*tblDados[Primeira_Ocorrencia]*tblDados[GS_V]))</f>
        <v>16</v>
      </c>
      <c r="Y444" s="14">
        <f t="shared" si="138"/>
        <v>18</v>
      </c>
      <c r="Z444" s="14">
        <f t="shared" si="127"/>
        <v>2</v>
      </c>
      <c r="AA444" s="14">
        <f t="shared" si="128"/>
        <v>0.5</v>
      </c>
      <c r="AB444" s="14">
        <f t="shared" si="129"/>
        <v>1</v>
      </c>
      <c r="AC444" s="14">
        <f t="shared" si="130"/>
        <v>1.2857142857142858</v>
      </c>
      <c r="AD444" s="14">
        <f t="shared" si="131"/>
        <v>2.2857142857142856</v>
      </c>
    </row>
    <row r="445" spans="1:30" x14ac:dyDescent="0.3">
      <c r="A445" s="1" t="str">
        <v>P-Iirot Rauma</v>
      </c>
      <c r="B445" s="13" t="str" cm="1">
        <f t="array" ref="B445">IF($A445="","",_xlfn.LET(_xlpm.p,IFERROR(INDEX(tblDados[País],MATCH($A445,TRIM(tblDados[Mandante]),0)),INDEX(tblDados[País],MATCH($A445,TRIM(tblDados[Visitante]),0))),_xlpm.l,IFERROR(INDEX(tblDados[Liga],MATCH($A445,TRIM(tblDados[Mandante]),0)),INDEX(tblDados[Liga],MATCH($A445,TRIM(tblDados[Visitante]),0))),_xlpm.p&amp;" - "&amp;_xlpm.l))</f>
        <v>FIN - Kakkonen B</v>
      </c>
      <c r="C445" s="14">
        <f t="shared" si="132"/>
        <v>3.5714285714285716</v>
      </c>
      <c r="D445" s="14">
        <f t="shared" si="133"/>
        <v>4.5</v>
      </c>
      <c r="E445" s="15" cm="1">
        <f t="array" ref="E445">IF($A445="","",SUMPRODUCT((TRIM(tblDados[Mandante])=$A445)*tblDados[Primeira_Ocorrencia]))</f>
        <v>7</v>
      </c>
      <c r="F445" s="15" cm="1">
        <f t="array" ref="F445">IF($A445="","",SUMPRODUCT((TRIM(tblDados[Visitante])=$A445)*tblDados[Primeira_Ocorrencia]))</f>
        <v>2</v>
      </c>
      <c r="G445" s="15" cm="1">
        <f t="array" ref="G445">IF($A445="","",SUMPRODUCT((TRIM(tblDados[Mandante])=$A445)*tblDados[Primeira_Ocorrencia])+SUMPRODUCT((TRIM(tblDados[Visitante])=$A445)*tblDados[Primeira_Ocorrencia]))</f>
        <v>9</v>
      </c>
      <c r="H445" s="14">
        <f t="shared" si="134"/>
        <v>2.4444444444444446</v>
      </c>
      <c r="I445" s="14" cm="1">
        <f t="array" ref="I445">IF($A445="","",_xlfn.LET(_xlpm.p,IFERROR(INDEX(tblDados[País],MATCH($A445,TRIM(tblDados[Mandante]),0)),INDEX(tblDados[País],MATCH($A445,TRIM(tblDados[Visitante]),0))),_xlpm.l,IFERROR(INDEX(tblDados[Liga],MATCH($A445,TRIM(tblDados[Mandante]),0)),INDEX(tblDados[Liga],MATCH($A445,TRIM(tblDados[Visitante]),0))),IFERROR(SUMIFS(Ligas!$D$2:$D$39,Ligas!$H$2:$H$39,_xlpm.p,Ligas!$I$2:$I$39,_xlpm.l),0)))</f>
        <v>3.56</v>
      </c>
      <c r="J445" s="16" cm="1">
        <f t="array" ref="J445">IF($A445="","",IFERROR((SUMPRODUCT((TRIM(tblDados[Mandante])=$A445)*tblDados[Primeira_Ocorrencia]*(tblDados[GM_M]=0))+SUMPRODUCT((TRIM(tblDados[Visitante])=$A445)*tblDados[Primeira_Ocorrencia]*(tblDados[GM_V]=0)))/G445,0))</f>
        <v>0</v>
      </c>
      <c r="K445" s="16" cm="1">
        <f t="array" ref="K445">IF($A445="","",IFERROR((SUMPRODUCT((TRIM(tblDados[Mandante])=$A445)*tblDados[Primeira_Ocorrencia]*((tblDados[GM_M]+tblDados[GS_M])&gt;0.5))+SUMPRODUCT((TRIM(tblDados[Visitante])=$A445)*tblDados[Primeira_Ocorrencia]*((tblDados[GM_V]+tblDados[GS_V])&gt;0.5)))/G445,0))</f>
        <v>1</v>
      </c>
      <c r="L445" s="16" cm="1">
        <f t="array" ref="L445">IF($A445="","",IFERROR((SUMPRODUCT((TRIM(tblDados[Mandante])=$A445)*tblDados[Primeira_Ocorrencia]*((tblDados[GM_M]+tblDados[GS_M])&gt;1.5))+SUMPRODUCT((TRIM(tblDados[Visitante])=$A445)*tblDados[Primeira_Ocorrencia]*((tblDados[GM_V]+tblDados[GS_V])&gt;1.5)))/G445,0))</f>
        <v>0.88888888888888884</v>
      </c>
      <c r="M445" s="16" cm="1">
        <f t="array" ref="M445">IF($A445="","",IFERROR((SUMPRODUCT((TRIM(tblDados[Mandante])=$A445)*tblDados[Primeira_Ocorrencia]*((tblDados[GM_M]+tblDados[GS_M])&gt;2.5))+SUMPRODUCT((TRIM(tblDados[Visitante])=$A445)*tblDados[Primeira_Ocorrencia]*((tblDados[GM_V]+tblDados[GS_V])&gt;2.5)))/G445,0))</f>
        <v>0.88888888888888884</v>
      </c>
      <c r="N445" s="16" cm="1">
        <f t="array" ref="N445">IF($A445="","",IFERROR((SUMPRODUCT((TRIM(tblDados[Mandante])=$A445)*tblDados[Primeira_Ocorrencia]*((tblDados[GM_M]+tblDados[GS_M])&gt;3.5))+SUMPRODUCT((TRIM(tblDados[Visitante])=$A445)*tblDados[Primeira_Ocorrencia]*((tblDados[GM_V]+tblDados[GS_V])&gt;3.5)))/G445,0))</f>
        <v>0.55555555555555558</v>
      </c>
      <c r="O445" s="16" cm="1">
        <f t="array" ref="O445">IF($A445="","",IFERROR((SUMPRODUCT((TRIM(tblDados[Mandante])=$A445)*tblDados[Primeira_Ocorrencia]*(tblDados[GM_M]&gt;0)*(tblDados[GS_M]&gt;0))+SUMPRODUCT((TRIM(tblDados[Visitante])=$A445)*tblDados[Primeira_Ocorrencia]*(tblDados[GM_V]&gt;0)*(tblDados[GS_V]&gt;0)))/G445,0))</f>
        <v>0.55555555555555558</v>
      </c>
      <c r="P445" s="14" cm="1">
        <f t="array" ref="P445">IF($A445="","",IFERROR((SUMPRODUCT((TRIM(tblDados[Mandante])=$A445)*tblDados[Primeira_Ocorrencia]*tblDados[GM_M]^2)+SUMPRODUCT((TRIM(tblDados[Visitante])=$A445)*tblDados[Primeira_Ocorrencia]*tblDados[GM_V]^2))/G445-H445^2,0))</f>
        <v>1.5802469135802459</v>
      </c>
      <c r="Q445" s="14">
        <f t="shared" si="135"/>
        <v>1.2570787221094175</v>
      </c>
      <c r="R445" s="1" t="str">
        <f t="shared" si="136"/>
        <v>Poisson</v>
      </c>
      <c r="S445" s="14" cm="1">
        <f t="array" ref="S445">IF($A445="","",SUMPRODUCT((TRIM(tblDados[Mandante])=$A445)*tblDados[Primeira_Ocorrencia]*tblDados[GM_M]))</f>
        <v>18</v>
      </c>
      <c r="T445" s="14" cm="1">
        <f t="array" ref="T445">IF($A445="","",SUMPRODUCT((TRIM(tblDados[Visitante])=$A445)*tblDados[Primeira_Ocorrencia]*tblDados[GM_V]))</f>
        <v>4</v>
      </c>
      <c r="U445" s="14">
        <f t="shared" si="137"/>
        <v>22</v>
      </c>
      <c r="V445" s="14">
        <f t="shared" si="126"/>
        <v>2.4444444444444446</v>
      </c>
      <c r="W445" s="14" cm="1">
        <f t="array" ref="W445">IF($A445="","",SUMPRODUCT((TRIM(tblDados[Mandante])=$A445)*tblDados[Primeira_Ocorrencia]*tblDados[GS_M]))</f>
        <v>7</v>
      </c>
      <c r="X445" s="14" cm="1">
        <f t="array" ref="X445">IF($A445="","",SUMPRODUCT((TRIM(tblDados[Visitante])=$A445)*tblDados[Primeira_Ocorrencia]*tblDados[GS_V]))</f>
        <v>5</v>
      </c>
      <c r="Y445" s="14">
        <f t="shared" si="138"/>
        <v>12</v>
      </c>
      <c r="Z445" s="14">
        <f t="shared" si="127"/>
        <v>1.3333333333333333</v>
      </c>
      <c r="AA445" s="14">
        <f t="shared" si="128"/>
        <v>2.5714285714285716</v>
      </c>
      <c r="AB445" s="14">
        <f t="shared" si="129"/>
        <v>1</v>
      </c>
      <c r="AC445" s="14">
        <f t="shared" si="130"/>
        <v>2</v>
      </c>
      <c r="AD445" s="14">
        <f t="shared" si="131"/>
        <v>2.5</v>
      </c>
    </row>
    <row r="446" spans="1:30" x14ac:dyDescent="0.3">
      <c r="A446" s="1" t="str">
        <v>Bayswater City</v>
      </c>
      <c r="B446" s="13" t="str" cm="1">
        <f t="array" ref="B446">IF($A446="","",_xlfn.LET(_xlpm.p,IFERROR(INDEX(tblDados[País],MATCH($A446,TRIM(tblDados[Mandante]),0)),INDEX(tblDados[País],MATCH($A446,TRIM(tblDados[Visitante]),0))),_xlpm.l,IFERROR(INDEX(tblDados[Liga],MATCH($A446,TRIM(tblDados[Mandante]),0)),INDEX(tblDados[Liga],MATCH($A446,TRIM(tblDados[Visitante]),0))),_xlpm.p&amp;" - "&amp;_xlpm.l))</f>
        <v>AUS - NPL Western Australia</v>
      </c>
      <c r="C446" s="14">
        <f t="shared" si="132"/>
        <v>4.375</v>
      </c>
      <c r="D446" s="14" t="str">
        <f t="shared" si="133"/>
        <v/>
      </c>
      <c r="E446" s="15" cm="1">
        <f t="array" ref="E446">IF($A446="","",SUMPRODUCT((TRIM(tblDados[Mandante])=$A446)*tblDados[Primeira_Ocorrencia]))</f>
        <v>8</v>
      </c>
      <c r="F446" s="15" cm="1">
        <f t="array" ref="F446">IF($A446="","",SUMPRODUCT((TRIM(tblDados[Visitante])=$A446)*tblDados[Primeira_Ocorrencia]))</f>
        <v>0</v>
      </c>
      <c r="G446" s="15" cm="1">
        <f t="array" ref="G446">IF($A446="","",SUMPRODUCT((TRIM(tblDados[Mandante])=$A446)*tblDados[Primeira_Ocorrencia])+SUMPRODUCT((TRIM(tblDados[Visitante])=$A446)*tblDados[Primeira_Ocorrencia]))</f>
        <v>8</v>
      </c>
      <c r="H446" s="14">
        <f t="shared" si="134"/>
        <v>3.125</v>
      </c>
      <c r="I446" s="14" cm="1">
        <f t="array" ref="I446">IF($A446="","",_xlfn.LET(_xlpm.p,IFERROR(INDEX(tblDados[País],MATCH($A446,TRIM(tblDados[Mandante]),0)),INDEX(tblDados[País],MATCH($A446,TRIM(tblDados[Visitante]),0))),_xlpm.l,IFERROR(INDEX(tblDados[Liga],MATCH($A446,TRIM(tblDados[Mandante]),0)),INDEX(tblDados[Liga],MATCH($A446,TRIM(tblDados[Visitante]),0))),IFERROR(SUMIFS(Ligas!$D$2:$D$39,Ligas!$H$2:$H$39,_xlpm.p,Ligas!$I$2:$I$39,_xlpm.l),0)))</f>
        <v>3.56</v>
      </c>
      <c r="J446" s="16" cm="1">
        <f t="array" ref="J446">IF($A446="","",IFERROR((SUMPRODUCT((TRIM(tblDados[Mandante])=$A446)*tblDados[Primeira_Ocorrencia]*(tblDados[GM_M]=0))+SUMPRODUCT((TRIM(tblDados[Visitante])=$A446)*tblDados[Primeira_Ocorrencia]*(tblDados[GM_V]=0)))/G446,0))</f>
        <v>0.125</v>
      </c>
      <c r="K446" s="16" cm="1">
        <f t="array" ref="K446">IF($A446="","",IFERROR((SUMPRODUCT((TRIM(tblDados[Mandante])=$A446)*tblDados[Primeira_Ocorrencia]*((tblDados[GM_M]+tblDados[GS_M])&gt;0.5))+SUMPRODUCT((TRIM(tblDados[Visitante])=$A446)*tblDados[Primeira_Ocorrencia]*((tblDados[GM_V]+tblDados[GS_V])&gt;0.5)))/G446,0))</f>
        <v>0.875</v>
      </c>
      <c r="L446" s="16" cm="1">
        <f t="array" ref="L446">IF($A446="","",IFERROR((SUMPRODUCT((TRIM(tblDados[Mandante])=$A446)*tblDados[Primeira_Ocorrencia]*((tblDados[GM_M]+tblDados[GS_M])&gt;1.5))+SUMPRODUCT((TRIM(tblDados[Visitante])=$A446)*tblDados[Primeira_Ocorrencia]*((tblDados[GM_V]+tblDados[GS_V])&gt;1.5)))/G446,0))</f>
        <v>0.875</v>
      </c>
      <c r="M446" s="16" cm="1">
        <f t="array" ref="M446">IF($A446="","",IFERROR((SUMPRODUCT((TRIM(tblDados[Mandante])=$A446)*tblDados[Primeira_Ocorrencia]*((tblDados[GM_M]+tblDados[GS_M])&gt;2.5))+SUMPRODUCT((TRIM(tblDados[Visitante])=$A446)*tblDados[Primeira_Ocorrencia]*((tblDados[GM_V]+tblDados[GS_V])&gt;2.5)))/G446,0))</f>
        <v>0.75</v>
      </c>
      <c r="N446" s="16" cm="1">
        <f t="array" ref="N446">IF($A446="","",IFERROR((SUMPRODUCT((TRIM(tblDados[Mandante])=$A446)*tblDados[Primeira_Ocorrencia]*((tblDados[GM_M]+tblDados[GS_M])&gt;3.5))+SUMPRODUCT((TRIM(tblDados[Visitante])=$A446)*tblDados[Primeira_Ocorrencia]*((tblDados[GM_V]+tblDados[GS_V])&gt;3.5)))/G446,0))</f>
        <v>0.625</v>
      </c>
      <c r="O446" s="16" cm="1">
        <f t="array" ref="O446">IF($A446="","",IFERROR((SUMPRODUCT((TRIM(tblDados[Mandante])=$A446)*tblDados[Primeira_Ocorrencia]*(tblDados[GM_M]&gt;0)*(tblDados[GS_M]&gt;0))+SUMPRODUCT((TRIM(tblDados[Visitante])=$A446)*tblDados[Primeira_Ocorrencia]*(tblDados[GM_V]&gt;0)*(tblDados[GS_V]&gt;0)))/G446,0))</f>
        <v>0.5</v>
      </c>
      <c r="P446" s="14" cm="1">
        <f t="array" ref="P446">IF($A446="","",IFERROR((SUMPRODUCT((TRIM(tblDados[Mandante])=$A446)*tblDados[Primeira_Ocorrencia]*tblDados[GM_M]^2)+SUMPRODUCT((TRIM(tblDados[Visitante])=$A446)*tblDados[Primeira_Ocorrencia]*tblDados[GM_V]^2))/G446-H446^2,0))</f>
        <v>3.359375</v>
      </c>
      <c r="Q446" s="14">
        <f t="shared" si="135"/>
        <v>1.8328597873268975</v>
      </c>
      <c r="R446" s="1" t="str">
        <f t="shared" si="136"/>
        <v>Poisson</v>
      </c>
      <c r="S446" s="14" cm="1">
        <f t="array" ref="S446">IF($A446="","",SUMPRODUCT((TRIM(tblDados[Mandante])=$A446)*tblDados[Primeira_Ocorrencia]*tblDados[GM_M]))</f>
        <v>25</v>
      </c>
      <c r="T446" s="14" cm="1">
        <f t="array" ref="T446">IF($A446="","",SUMPRODUCT((TRIM(tblDados[Visitante])=$A446)*tblDados[Primeira_Ocorrencia]*tblDados[GM_V]))</f>
        <v>0</v>
      </c>
      <c r="U446" s="14">
        <f t="shared" si="137"/>
        <v>25</v>
      </c>
      <c r="V446" s="14">
        <f t="shared" si="126"/>
        <v>3.125</v>
      </c>
      <c r="W446" s="14" cm="1">
        <f t="array" ref="W446">IF($A446="","",SUMPRODUCT((TRIM(tblDados[Mandante])=$A446)*tblDados[Primeira_Ocorrencia]*tblDados[GS_M]))</f>
        <v>10</v>
      </c>
      <c r="X446" s="14" cm="1">
        <f t="array" ref="X446">IF($A446="","",SUMPRODUCT((TRIM(tblDados[Visitante])=$A446)*tblDados[Primeira_Ocorrencia]*tblDados[GS_V]))</f>
        <v>0</v>
      </c>
      <c r="Y446" s="14">
        <f t="shared" si="138"/>
        <v>10</v>
      </c>
      <c r="Z446" s="14">
        <f t="shared" si="127"/>
        <v>1.25</v>
      </c>
      <c r="AA446" s="14">
        <f t="shared" si="128"/>
        <v>3.125</v>
      </c>
      <c r="AB446" s="14">
        <f t="shared" si="129"/>
        <v>1.25</v>
      </c>
      <c r="AC446" s="14" t="str">
        <f t="shared" si="130"/>
        <v/>
      </c>
      <c r="AD446" s="14" t="str">
        <f t="shared" si="131"/>
        <v/>
      </c>
    </row>
    <row r="447" spans="1:30" x14ac:dyDescent="0.3">
      <c r="A447" s="1" t="str">
        <v>Sorrento FC</v>
      </c>
      <c r="B447" s="13" t="str" cm="1">
        <f t="array" ref="B447">IF($A447="","",_xlfn.LET(_xlpm.p,IFERROR(INDEX(tblDados[País],MATCH($A447,TRIM(tblDados[Mandante]),0)),INDEX(tblDados[País],MATCH($A447,TRIM(tblDados[Visitante]),0))),_xlpm.l,IFERROR(INDEX(tblDados[Liga],MATCH($A447,TRIM(tblDados[Mandante]),0)),INDEX(tblDados[Liga],MATCH($A447,TRIM(tblDados[Visitante]),0))),_xlpm.p&amp;" - "&amp;_xlpm.l))</f>
        <v>AUS - NPL Western Australia</v>
      </c>
      <c r="C447" s="14" t="str">
        <f t="shared" si="132"/>
        <v/>
      </c>
      <c r="D447" s="14">
        <f t="shared" si="133"/>
        <v>2.25</v>
      </c>
      <c r="E447" s="15" cm="1">
        <f t="array" ref="E447">IF($A447="","",SUMPRODUCT((TRIM(tblDados[Mandante])=$A447)*tblDados[Primeira_Ocorrencia]))</f>
        <v>0</v>
      </c>
      <c r="F447" s="15" cm="1">
        <f t="array" ref="F447">IF($A447="","",SUMPRODUCT((TRIM(tblDados[Visitante])=$A447)*tblDados[Primeira_Ocorrencia]))</f>
        <v>8</v>
      </c>
      <c r="G447" s="15" cm="1">
        <f t="array" ref="G447">IF($A447="","",SUMPRODUCT((TRIM(tblDados[Mandante])=$A447)*tblDados[Primeira_Ocorrencia])+SUMPRODUCT((TRIM(tblDados[Visitante])=$A447)*tblDados[Primeira_Ocorrencia]))</f>
        <v>8</v>
      </c>
      <c r="H447" s="14">
        <f t="shared" si="134"/>
        <v>1.125</v>
      </c>
      <c r="I447" s="14" cm="1">
        <f t="array" ref="I447">IF($A447="","",_xlfn.LET(_xlpm.p,IFERROR(INDEX(tblDados[País],MATCH($A447,TRIM(tblDados[Mandante]),0)),INDEX(tblDados[País],MATCH($A447,TRIM(tblDados[Visitante]),0))),_xlpm.l,IFERROR(INDEX(tblDados[Liga],MATCH($A447,TRIM(tblDados[Mandante]),0)),INDEX(tblDados[Liga],MATCH($A447,TRIM(tblDados[Visitante]),0))),IFERROR(SUMIFS(Ligas!$D$2:$D$39,Ligas!$H$2:$H$39,_xlpm.p,Ligas!$I$2:$I$39,_xlpm.l),0)))</f>
        <v>3.56</v>
      </c>
      <c r="J447" s="16" cm="1">
        <f t="array" ref="J447">IF($A447="","",IFERROR((SUMPRODUCT((TRIM(tblDados[Mandante])=$A447)*tblDados[Primeira_Ocorrencia]*(tblDados[GM_M]=0))+SUMPRODUCT((TRIM(tblDados[Visitante])=$A447)*tblDados[Primeira_Ocorrencia]*(tblDados[GM_V]=0)))/G447,0))</f>
        <v>0.125</v>
      </c>
      <c r="K447" s="16" cm="1">
        <f t="array" ref="K447">IF($A447="","",IFERROR((SUMPRODUCT((TRIM(tblDados[Mandante])=$A447)*tblDados[Primeira_Ocorrencia]*((tblDados[GM_M]+tblDados[GS_M])&gt;0.5))+SUMPRODUCT((TRIM(tblDados[Visitante])=$A447)*tblDados[Primeira_Ocorrencia]*((tblDados[GM_V]+tblDados[GS_V])&gt;0.5)))/G447,0))</f>
        <v>1</v>
      </c>
      <c r="L447" s="16" cm="1">
        <f t="array" ref="L447">IF($A447="","",IFERROR((SUMPRODUCT((TRIM(tblDados[Mandante])=$A447)*tblDados[Primeira_Ocorrencia]*((tblDados[GM_M]+tblDados[GS_M])&gt;1.5))+SUMPRODUCT((TRIM(tblDados[Visitante])=$A447)*tblDados[Primeira_Ocorrencia]*((tblDados[GM_V]+tblDados[GS_V])&gt;1.5)))/G447,0))</f>
        <v>0.625</v>
      </c>
      <c r="M447" s="16" cm="1">
        <f t="array" ref="M447">IF($A447="","",IFERROR((SUMPRODUCT((TRIM(tblDados[Mandante])=$A447)*tblDados[Primeira_Ocorrencia]*((tblDados[GM_M]+tblDados[GS_M])&gt;2.5))+SUMPRODUCT((TRIM(tblDados[Visitante])=$A447)*tblDados[Primeira_Ocorrencia]*((tblDados[GM_V]+tblDados[GS_V])&gt;2.5)))/G447,0))</f>
        <v>0.375</v>
      </c>
      <c r="N447" s="16" cm="1">
        <f t="array" ref="N447">IF($A447="","",IFERROR((SUMPRODUCT((TRIM(tblDados[Mandante])=$A447)*tblDados[Primeira_Ocorrencia]*((tblDados[GM_M]+tblDados[GS_M])&gt;3.5))+SUMPRODUCT((TRIM(tblDados[Visitante])=$A447)*tblDados[Primeira_Ocorrencia]*((tblDados[GM_V]+tblDados[GS_V])&gt;3.5)))/G447,0))</f>
        <v>0.125</v>
      </c>
      <c r="O447" s="16" cm="1">
        <f t="array" ref="O447">IF($A447="","",IFERROR((SUMPRODUCT((TRIM(tblDados[Mandante])=$A447)*tblDados[Primeira_Ocorrencia]*(tblDados[GM_M]&gt;0)*(tblDados[GS_M]&gt;0))+SUMPRODUCT((TRIM(tblDados[Visitante])=$A447)*tblDados[Primeira_Ocorrencia]*(tblDados[GM_V]&gt;0)*(tblDados[GS_V]&gt;0)))/G447,0))</f>
        <v>0.375</v>
      </c>
      <c r="P447" s="14" cm="1">
        <f t="array" ref="P447">IF($A447="","",IFERROR((SUMPRODUCT((TRIM(tblDados[Mandante])=$A447)*tblDados[Primeira_Ocorrencia]*tblDados[GM_M]^2)+SUMPRODUCT((TRIM(tblDados[Visitante])=$A447)*tblDados[Primeira_Ocorrencia]*tblDados[GM_V]^2))/G447-H447^2,0))</f>
        <v>0.609375</v>
      </c>
      <c r="Q447" s="14">
        <f t="shared" si="135"/>
        <v>0.78062474979979979</v>
      </c>
      <c r="R447" s="1" t="str">
        <f t="shared" si="136"/>
        <v>Poisson</v>
      </c>
      <c r="S447" s="14" cm="1">
        <f t="array" ref="S447">IF($A447="","",SUMPRODUCT((TRIM(tblDados[Mandante])=$A447)*tblDados[Primeira_Ocorrencia]*tblDados[GM_M]))</f>
        <v>0</v>
      </c>
      <c r="T447" s="14" cm="1">
        <f t="array" ref="T447">IF($A447="","",SUMPRODUCT((TRIM(tblDados[Visitante])=$A447)*tblDados[Primeira_Ocorrencia]*tblDados[GM_V]))</f>
        <v>9</v>
      </c>
      <c r="U447" s="14">
        <f t="shared" si="137"/>
        <v>9</v>
      </c>
      <c r="V447" s="14">
        <f t="shared" si="126"/>
        <v>1.125</v>
      </c>
      <c r="W447" s="14" cm="1">
        <f t="array" ref="W447">IF($A447="","",SUMPRODUCT((TRIM(tblDados[Mandante])=$A447)*tblDados[Primeira_Ocorrencia]*tblDados[GS_M]))</f>
        <v>0</v>
      </c>
      <c r="X447" s="14" cm="1">
        <f t="array" ref="X447">IF($A447="","",SUMPRODUCT((TRIM(tblDados[Visitante])=$A447)*tblDados[Primeira_Ocorrencia]*tblDados[GS_V]))</f>
        <v>9</v>
      </c>
      <c r="Y447" s="14">
        <f t="shared" si="138"/>
        <v>9</v>
      </c>
      <c r="Z447" s="14">
        <f t="shared" si="127"/>
        <v>1.125</v>
      </c>
      <c r="AA447" s="14" t="str">
        <f t="shared" si="128"/>
        <v/>
      </c>
      <c r="AB447" s="14" t="str">
        <f t="shared" si="129"/>
        <v/>
      </c>
      <c r="AC447" s="14">
        <f t="shared" si="130"/>
        <v>1.125</v>
      </c>
      <c r="AD447" s="14">
        <f t="shared" si="131"/>
        <v>1.125</v>
      </c>
    </row>
    <row r="448" spans="1:30" x14ac:dyDescent="0.3">
      <c r="A448" s="1" t="str">
        <v>EPS</v>
      </c>
      <c r="B448" s="13" t="str" cm="1">
        <f t="array" ref="B448">IF($A448="","",_xlfn.LET(_xlpm.p,IFERROR(INDEX(tblDados[País],MATCH($A448,TRIM(tblDados[Mandante]),0)),INDEX(tblDados[País],MATCH($A448,TRIM(tblDados[Visitante]),0))),_xlpm.l,IFERROR(INDEX(tblDados[Liga],MATCH($A448,TRIM(tblDados[Mandante]),0)),INDEX(tblDados[Liga],MATCH($A448,TRIM(tblDados[Visitante]),0))),_xlpm.p&amp;" - "&amp;_xlpm.l))</f>
        <v>FIN - Kakkonen B</v>
      </c>
      <c r="C448" s="14">
        <f t="shared" si="132"/>
        <v>4.75</v>
      </c>
      <c r="D448" s="14">
        <f t="shared" si="133"/>
        <v>3.666666666666667</v>
      </c>
      <c r="E448" s="15" cm="1">
        <f t="array" ref="E448">IF($A448="","",SUMPRODUCT((TRIM(tblDados[Mandante])=$A448)*tblDados[Primeira_Ocorrencia]))</f>
        <v>4</v>
      </c>
      <c r="F448" s="15" cm="1">
        <f t="array" ref="F448">IF($A448="","",SUMPRODUCT((TRIM(tblDados[Visitante])=$A448)*tblDados[Primeira_Ocorrencia]))</f>
        <v>3</v>
      </c>
      <c r="G448" s="15" cm="1">
        <f t="array" ref="G448">IF($A448="","",SUMPRODUCT((TRIM(tblDados[Mandante])=$A448)*tblDados[Primeira_Ocorrencia])+SUMPRODUCT((TRIM(tblDados[Visitante])=$A448)*tblDados[Primeira_Ocorrencia]))</f>
        <v>7</v>
      </c>
      <c r="H448" s="14">
        <f t="shared" si="134"/>
        <v>2.2857142857142856</v>
      </c>
      <c r="I448" s="14" cm="1">
        <f t="array" ref="I448">IF($A448="","",_xlfn.LET(_xlpm.p,IFERROR(INDEX(tblDados[País],MATCH($A448,TRIM(tblDados[Mandante]),0)),INDEX(tblDados[País],MATCH($A448,TRIM(tblDados[Visitante]),0))),_xlpm.l,IFERROR(INDEX(tblDados[Liga],MATCH($A448,TRIM(tblDados[Mandante]),0)),INDEX(tblDados[Liga],MATCH($A448,TRIM(tblDados[Visitante]),0))),IFERROR(SUMIFS(Ligas!$D$2:$D$39,Ligas!$H$2:$H$39,_xlpm.p,Ligas!$I$2:$I$39,_xlpm.l),0)))</f>
        <v>3.56</v>
      </c>
      <c r="J448" s="16" cm="1">
        <f t="array" ref="J448">IF($A448="","",IFERROR((SUMPRODUCT((TRIM(tblDados[Mandante])=$A448)*tblDados[Primeira_Ocorrencia]*(tblDados[GM_M]=0))+SUMPRODUCT((TRIM(tblDados[Visitante])=$A448)*tblDados[Primeira_Ocorrencia]*(tblDados[GM_V]=0)))/G448,0))</f>
        <v>0</v>
      </c>
      <c r="K448" s="16" cm="1">
        <f t="array" ref="K448">IF($A448="","",IFERROR((SUMPRODUCT((TRIM(tblDados[Mandante])=$A448)*tblDados[Primeira_Ocorrencia]*((tblDados[GM_M]+tblDados[GS_M])&gt;0.5))+SUMPRODUCT((TRIM(tblDados[Visitante])=$A448)*tblDados[Primeira_Ocorrencia]*((tblDados[GM_V]+tblDados[GS_V])&gt;0.5)))/G448,0))</f>
        <v>1</v>
      </c>
      <c r="L448" s="16" cm="1">
        <f t="array" ref="L448">IF($A448="","",IFERROR((SUMPRODUCT((TRIM(tblDados[Mandante])=$A448)*tblDados[Primeira_Ocorrencia]*((tblDados[GM_M]+tblDados[GS_M])&gt;1.5))+SUMPRODUCT((TRIM(tblDados[Visitante])=$A448)*tblDados[Primeira_Ocorrencia]*((tblDados[GM_V]+tblDados[GS_V])&gt;1.5)))/G448,0))</f>
        <v>1</v>
      </c>
      <c r="M448" s="16" cm="1">
        <f t="array" ref="M448">IF($A448="","",IFERROR((SUMPRODUCT((TRIM(tblDados[Mandante])=$A448)*tblDados[Primeira_Ocorrencia]*((tblDados[GM_M]+tblDados[GS_M])&gt;2.5))+SUMPRODUCT((TRIM(tblDados[Visitante])=$A448)*tblDados[Primeira_Ocorrencia]*((tblDados[GM_V]+tblDados[GS_V])&gt;2.5)))/G448,0))</f>
        <v>0.8571428571428571</v>
      </c>
      <c r="N448" s="16" cm="1">
        <f t="array" ref="N448">IF($A448="","",IFERROR((SUMPRODUCT((TRIM(tblDados[Mandante])=$A448)*tblDados[Primeira_Ocorrencia]*((tblDados[GM_M]+tblDados[GS_M])&gt;3.5))+SUMPRODUCT((TRIM(tblDados[Visitante])=$A448)*tblDados[Primeira_Ocorrencia]*((tblDados[GM_V]+tblDados[GS_V])&gt;3.5)))/G448,0))</f>
        <v>0.5714285714285714</v>
      </c>
      <c r="O448" s="16" cm="1">
        <f t="array" ref="O448">IF($A448="","",IFERROR((SUMPRODUCT((TRIM(tblDados[Mandante])=$A448)*tblDados[Primeira_Ocorrencia]*(tblDados[GM_M]&gt;0)*(tblDados[GS_M]&gt;0))+SUMPRODUCT((TRIM(tblDados[Visitante])=$A448)*tblDados[Primeira_Ocorrencia]*(tblDados[GM_V]&gt;0)*(tblDados[GS_V]&gt;0)))/G448,0))</f>
        <v>0.8571428571428571</v>
      </c>
      <c r="P448" s="14" cm="1">
        <f t="array" ref="P448">IF($A448="","",IFERROR((SUMPRODUCT((TRIM(tblDados[Mandante])=$A448)*tblDados[Primeira_Ocorrencia]*tblDados[GM_M]^2)+SUMPRODUCT((TRIM(tblDados[Visitante])=$A448)*tblDados[Primeira_Ocorrencia]*tblDados[GM_V]^2))/G448-H448^2,0))</f>
        <v>2.7755102040816331</v>
      </c>
      <c r="Q448" s="14">
        <f t="shared" si="135"/>
        <v>1.665986255670086</v>
      </c>
      <c r="R448" s="1" t="str">
        <f t="shared" si="136"/>
        <v>Poisson</v>
      </c>
      <c r="S448" s="14" cm="1">
        <f t="array" ref="S448">IF($A448="","",SUMPRODUCT((TRIM(tblDados[Mandante])=$A448)*tblDados[Primeira_Ocorrencia]*tblDados[GM_M]))</f>
        <v>11</v>
      </c>
      <c r="T448" s="14" cm="1">
        <f t="array" ref="T448">IF($A448="","",SUMPRODUCT((TRIM(tblDados[Visitante])=$A448)*tblDados[Primeira_Ocorrencia]*tblDados[GM_V]))</f>
        <v>5</v>
      </c>
      <c r="U448" s="14">
        <f t="shared" si="137"/>
        <v>16</v>
      </c>
      <c r="V448" s="14">
        <f t="shared" si="126"/>
        <v>2.2857142857142856</v>
      </c>
      <c r="W448" s="14" cm="1">
        <f t="array" ref="W448">IF($A448="","",SUMPRODUCT((TRIM(tblDados[Mandante])=$A448)*tblDados[Primeira_Ocorrencia]*tblDados[GS_M]))</f>
        <v>8</v>
      </c>
      <c r="X448" s="14" cm="1">
        <f t="array" ref="X448">IF($A448="","",SUMPRODUCT((TRIM(tblDados[Visitante])=$A448)*tblDados[Primeira_Ocorrencia]*tblDados[GS_V]))</f>
        <v>6</v>
      </c>
      <c r="Y448" s="14">
        <f t="shared" si="138"/>
        <v>14</v>
      </c>
      <c r="Z448" s="14">
        <f t="shared" si="127"/>
        <v>2</v>
      </c>
      <c r="AA448" s="14">
        <f t="shared" si="128"/>
        <v>2.75</v>
      </c>
      <c r="AB448" s="14">
        <f t="shared" si="129"/>
        <v>2</v>
      </c>
      <c r="AC448" s="14">
        <f t="shared" si="130"/>
        <v>1.6666666666666667</v>
      </c>
      <c r="AD448" s="14">
        <f t="shared" si="131"/>
        <v>2</v>
      </c>
    </row>
    <row r="449" spans="1:30" x14ac:dyDescent="0.3">
      <c r="A449" s="1" t="str">
        <v>EBK</v>
      </c>
      <c r="B449" s="13" t="str" cm="1">
        <f t="array" ref="B449">IF($A449="","",_xlfn.LET(_xlpm.p,IFERROR(INDEX(tblDados[País],MATCH($A449,TRIM(tblDados[Mandante]),0)),INDEX(tblDados[País],MATCH($A449,TRIM(tblDados[Visitante]),0))),_xlpm.l,IFERROR(INDEX(tblDados[Liga],MATCH($A449,TRIM(tblDados[Mandante]),0)),INDEX(tblDados[Liga],MATCH($A449,TRIM(tblDados[Visitante]),0))),_xlpm.p&amp;" - "&amp;_xlpm.l))</f>
        <v>FIN - Kakkonen B</v>
      </c>
      <c r="C449" s="14">
        <f t="shared" si="132"/>
        <v>3.333333333333333</v>
      </c>
      <c r="D449" s="14">
        <f t="shared" si="133"/>
        <v>3.333333333333333</v>
      </c>
      <c r="E449" s="15" cm="1">
        <f t="array" ref="E449">IF($A449="","",SUMPRODUCT((TRIM(tblDados[Mandante])=$A449)*tblDados[Primeira_Ocorrencia]))</f>
        <v>3</v>
      </c>
      <c r="F449" s="15" cm="1">
        <f t="array" ref="F449">IF($A449="","",SUMPRODUCT((TRIM(tblDados[Visitante])=$A449)*tblDados[Primeira_Ocorrencia]))</f>
        <v>3</v>
      </c>
      <c r="G449" s="15" cm="1">
        <f t="array" ref="G449">IF($A449="","",SUMPRODUCT((TRIM(tblDados[Mandante])=$A449)*tblDados[Primeira_Ocorrencia])+SUMPRODUCT((TRIM(tblDados[Visitante])=$A449)*tblDados[Primeira_Ocorrencia]))</f>
        <v>6</v>
      </c>
      <c r="H449" s="14">
        <f t="shared" si="134"/>
        <v>0.66666666666666663</v>
      </c>
      <c r="I449" s="14" cm="1">
        <f t="array" ref="I449">IF($A449="","",_xlfn.LET(_xlpm.p,IFERROR(INDEX(tblDados[País],MATCH($A449,TRIM(tblDados[Mandante]),0)),INDEX(tblDados[País],MATCH($A449,TRIM(tblDados[Visitante]),0))),_xlpm.l,IFERROR(INDEX(tblDados[Liga],MATCH($A449,TRIM(tblDados[Mandante]),0)),INDEX(tblDados[Liga],MATCH($A449,TRIM(tblDados[Visitante]),0))),IFERROR(SUMIFS(Ligas!$D$2:$D$39,Ligas!$H$2:$H$39,_xlpm.p,Ligas!$I$2:$I$39,_xlpm.l),0)))</f>
        <v>3.56</v>
      </c>
      <c r="J449" s="16" cm="1">
        <f t="array" ref="J449">IF($A449="","",IFERROR((SUMPRODUCT((TRIM(tblDados[Mandante])=$A449)*tblDados[Primeira_Ocorrencia]*(tblDados[GM_M]=0))+SUMPRODUCT((TRIM(tblDados[Visitante])=$A449)*tblDados[Primeira_Ocorrencia]*(tblDados[GM_V]=0)))/G449,0))</f>
        <v>0.5</v>
      </c>
      <c r="K449" s="16" cm="1">
        <f t="array" ref="K449">IF($A449="","",IFERROR((SUMPRODUCT((TRIM(tblDados[Mandante])=$A449)*tblDados[Primeira_Ocorrencia]*((tblDados[GM_M]+tblDados[GS_M])&gt;0.5))+SUMPRODUCT((TRIM(tblDados[Visitante])=$A449)*tblDados[Primeira_Ocorrencia]*((tblDados[GM_V]+tblDados[GS_V])&gt;0.5)))/G449,0))</f>
        <v>1</v>
      </c>
      <c r="L449" s="16" cm="1">
        <f t="array" ref="L449">IF($A449="","",IFERROR((SUMPRODUCT((TRIM(tblDados[Mandante])=$A449)*tblDados[Primeira_Ocorrencia]*((tblDados[GM_M]+tblDados[GS_M])&gt;1.5))+SUMPRODUCT((TRIM(tblDados[Visitante])=$A449)*tblDados[Primeira_Ocorrencia]*((tblDados[GM_V]+tblDados[GS_V])&gt;1.5)))/G449,0))</f>
        <v>0.66666666666666663</v>
      </c>
      <c r="M449" s="16" cm="1">
        <f t="array" ref="M449">IF($A449="","",IFERROR((SUMPRODUCT((TRIM(tblDados[Mandante])=$A449)*tblDados[Primeira_Ocorrencia]*((tblDados[GM_M]+tblDados[GS_M])&gt;2.5))+SUMPRODUCT((TRIM(tblDados[Visitante])=$A449)*tblDados[Primeira_Ocorrencia]*((tblDados[GM_V]+tblDados[GS_V])&gt;2.5)))/G449,0))</f>
        <v>0.5</v>
      </c>
      <c r="N449" s="16" cm="1">
        <f t="array" ref="N449">IF($A449="","",IFERROR((SUMPRODUCT((TRIM(tblDados[Mandante])=$A449)*tblDados[Primeira_Ocorrencia]*((tblDados[GM_M]+tblDados[GS_M])&gt;3.5))+SUMPRODUCT((TRIM(tblDados[Visitante])=$A449)*tblDados[Primeira_Ocorrencia]*((tblDados[GM_V]+tblDados[GS_V])&gt;3.5)))/G449,0))</f>
        <v>0.5</v>
      </c>
      <c r="O449" s="16" cm="1">
        <f t="array" ref="O449">IF($A449="","",IFERROR((SUMPRODUCT((TRIM(tblDados[Mandante])=$A449)*tblDados[Primeira_Ocorrencia]*(tblDados[GM_M]&gt;0)*(tblDados[GS_M]&gt;0))+SUMPRODUCT((TRIM(tblDados[Visitante])=$A449)*tblDados[Primeira_Ocorrencia]*(tblDados[GM_V]&gt;0)*(tblDados[GS_V]&gt;0)))/G449,0))</f>
        <v>0.33333333333333331</v>
      </c>
      <c r="P449" s="14" cm="1">
        <f t="array" ref="P449">IF($A449="","",IFERROR((SUMPRODUCT((TRIM(tblDados[Mandante])=$A449)*tblDados[Primeira_Ocorrencia]*tblDados[GM_M]^2)+SUMPRODUCT((TRIM(tblDados[Visitante])=$A449)*tblDados[Primeira_Ocorrencia]*tblDados[GM_V]^2))/G449-H449^2,0))</f>
        <v>0.55555555555555558</v>
      </c>
      <c r="Q449" s="14">
        <f t="shared" si="135"/>
        <v>0.7453559924999299</v>
      </c>
      <c r="R449" s="1" t="str">
        <f t="shared" si="136"/>
        <v>Poisson</v>
      </c>
      <c r="S449" s="14" cm="1">
        <f t="array" ref="S449">IF($A449="","",SUMPRODUCT((TRIM(tblDados[Mandante])=$A449)*tblDados[Primeira_Ocorrencia]*tblDados[GM_M]))</f>
        <v>2</v>
      </c>
      <c r="T449" s="14" cm="1">
        <f t="array" ref="T449">IF($A449="","",SUMPRODUCT((TRIM(tblDados[Visitante])=$A449)*tblDados[Primeira_Ocorrencia]*tblDados[GM_V]))</f>
        <v>2</v>
      </c>
      <c r="U449" s="14">
        <f t="shared" si="137"/>
        <v>4</v>
      </c>
      <c r="V449" s="14">
        <f t="shared" si="126"/>
        <v>0.66666666666666663</v>
      </c>
      <c r="W449" s="14" cm="1">
        <f t="array" ref="W449">IF($A449="","",SUMPRODUCT((TRIM(tblDados[Mandante])=$A449)*tblDados[Primeira_Ocorrencia]*tblDados[GS_M]))</f>
        <v>8</v>
      </c>
      <c r="X449" s="14" cm="1">
        <f t="array" ref="X449">IF($A449="","",SUMPRODUCT((TRIM(tblDados[Visitante])=$A449)*tblDados[Primeira_Ocorrencia]*tblDados[GS_V]))</f>
        <v>8</v>
      </c>
      <c r="Y449" s="14">
        <f t="shared" si="138"/>
        <v>16</v>
      </c>
      <c r="Z449" s="14">
        <f t="shared" si="127"/>
        <v>2.6666666666666665</v>
      </c>
      <c r="AA449" s="14">
        <f t="shared" si="128"/>
        <v>0.66666666666666663</v>
      </c>
      <c r="AB449" s="14">
        <f t="shared" si="129"/>
        <v>2.6666666666666665</v>
      </c>
      <c r="AC449" s="14">
        <f t="shared" si="130"/>
        <v>0.66666666666666663</v>
      </c>
      <c r="AD449" s="14">
        <f t="shared" si="131"/>
        <v>2.6666666666666665</v>
      </c>
    </row>
    <row r="450" spans="1:30" x14ac:dyDescent="0.3">
      <c r="A450" s="1" t="str">
        <v>HJS</v>
      </c>
      <c r="B450" s="13" t="str" cm="1">
        <f t="array" ref="B450">IF($A450="","",_xlfn.LET(_xlpm.p,IFERROR(INDEX(tblDados[País],MATCH($A450,TRIM(tblDados[Mandante]),0)),INDEX(tblDados[País],MATCH($A450,TRIM(tblDados[Visitante]),0))),_xlpm.l,IFERROR(INDEX(tblDados[Liga],MATCH($A450,TRIM(tblDados[Mandante]),0)),INDEX(tblDados[Liga],MATCH($A450,TRIM(tblDados[Visitante]),0))),_xlpm.p&amp;" - "&amp;_xlpm.l))</f>
        <v>FIN - Kakkonen B</v>
      </c>
      <c r="C450" s="14">
        <f t="shared" si="132"/>
        <v>2.5</v>
      </c>
      <c r="D450" s="14">
        <f t="shared" si="133"/>
        <v>1.75</v>
      </c>
      <c r="E450" s="15" cm="1">
        <f t="array" ref="E450">IF($A450="","",SUMPRODUCT((TRIM(tblDados[Mandante])=$A450)*tblDados[Primeira_Ocorrencia]))</f>
        <v>2</v>
      </c>
      <c r="F450" s="15" cm="1">
        <f t="array" ref="F450">IF($A450="","",SUMPRODUCT((TRIM(tblDados[Visitante])=$A450)*tblDados[Primeira_Ocorrencia]))</f>
        <v>4</v>
      </c>
      <c r="G450" s="15" cm="1">
        <f t="array" ref="G450">IF($A450="","",SUMPRODUCT((TRIM(tblDados[Mandante])=$A450)*tblDados[Primeira_Ocorrencia])+SUMPRODUCT((TRIM(tblDados[Visitante])=$A450)*tblDados[Primeira_Ocorrencia]))</f>
        <v>6</v>
      </c>
      <c r="H450" s="14">
        <f t="shared" si="134"/>
        <v>1</v>
      </c>
      <c r="I450" s="14" cm="1">
        <f t="array" ref="I450">IF($A450="","",_xlfn.LET(_xlpm.p,IFERROR(INDEX(tblDados[País],MATCH($A450,TRIM(tblDados[Mandante]),0)),INDEX(tblDados[País],MATCH($A450,TRIM(tblDados[Visitante]),0))),_xlpm.l,IFERROR(INDEX(tblDados[Liga],MATCH($A450,TRIM(tblDados[Mandante]),0)),INDEX(tblDados[Liga],MATCH($A450,TRIM(tblDados[Visitante]),0))),IFERROR(SUMIFS(Ligas!$D$2:$D$39,Ligas!$H$2:$H$39,_xlpm.p,Ligas!$I$2:$I$39,_xlpm.l),0)))</f>
        <v>3.56</v>
      </c>
      <c r="J450" s="16" cm="1">
        <f t="array" ref="J450">IF($A450="","",IFERROR((SUMPRODUCT((TRIM(tblDados[Mandante])=$A450)*tblDados[Primeira_Ocorrencia]*(tblDados[GM_M]=0))+SUMPRODUCT((TRIM(tblDados[Visitante])=$A450)*tblDados[Primeira_Ocorrencia]*(tblDados[GM_V]=0)))/G450,0))</f>
        <v>0.33333333333333331</v>
      </c>
      <c r="K450" s="16" cm="1">
        <f t="array" ref="K450">IF($A450="","",IFERROR((SUMPRODUCT((TRIM(tblDados[Mandante])=$A450)*tblDados[Primeira_Ocorrencia]*((tblDados[GM_M]+tblDados[GS_M])&gt;0.5))+SUMPRODUCT((TRIM(tblDados[Visitante])=$A450)*tblDados[Primeira_Ocorrencia]*((tblDados[GM_V]+tblDados[GS_V])&gt;0.5)))/G450,0))</f>
        <v>0.83333333333333337</v>
      </c>
      <c r="L450" s="16" cm="1">
        <f t="array" ref="L450">IF($A450="","",IFERROR((SUMPRODUCT((TRIM(tblDados[Mandante])=$A450)*tblDados[Primeira_Ocorrencia]*((tblDados[GM_M]+tblDados[GS_M])&gt;1.5))+SUMPRODUCT((TRIM(tblDados[Visitante])=$A450)*tblDados[Primeira_Ocorrencia]*((tblDados[GM_V]+tblDados[GS_V])&gt;1.5)))/G450,0))</f>
        <v>0.83333333333333337</v>
      </c>
      <c r="M450" s="16" cm="1">
        <f t="array" ref="M450">IF($A450="","",IFERROR((SUMPRODUCT((TRIM(tblDados[Mandante])=$A450)*tblDados[Primeira_Ocorrencia]*((tblDados[GM_M]+tblDados[GS_M])&gt;2.5))+SUMPRODUCT((TRIM(tblDados[Visitante])=$A450)*tblDados[Primeira_Ocorrencia]*((tblDados[GM_V]+tblDados[GS_V])&gt;2.5)))/G450,0))</f>
        <v>0.33333333333333331</v>
      </c>
      <c r="N450" s="16" cm="1">
        <f t="array" ref="N450">IF($A450="","",IFERROR((SUMPRODUCT((TRIM(tblDados[Mandante])=$A450)*tblDados[Primeira_Ocorrencia]*((tblDados[GM_M]+tblDados[GS_M])&gt;3.5))+SUMPRODUCT((TRIM(tblDados[Visitante])=$A450)*tblDados[Primeira_Ocorrencia]*((tblDados[GM_V]+tblDados[GS_V])&gt;3.5)))/G450,0))</f>
        <v>0</v>
      </c>
      <c r="O450" s="16" cm="1">
        <f t="array" ref="O450">IF($A450="","",IFERROR((SUMPRODUCT((TRIM(tblDados[Mandante])=$A450)*tblDados[Primeira_Ocorrencia]*(tblDados[GM_M]&gt;0)*(tblDados[GS_M]&gt;0))+SUMPRODUCT((TRIM(tblDados[Visitante])=$A450)*tblDados[Primeira_Ocorrencia]*(tblDados[GM_V]&gt;0)*(tblDados[GS_V]&gt;0)))/G450,0))</f>
        <v>0.5</v>
      </c>
      <c r="P450" s="14" cm="1">
        <f t="array" ref="P450">IF($A450="","",IFERROR((SUMPRODUCT((TRIM(tblDados[Mandante])=$A450)*tblDados[Primeira_Ocorrencia]*tblDados[GM_M]^2)+SUMPRODUCT((TRIM(tblDados[Visitante])=$A450)*tblDados[Primeira_Ocorrencia]*tblDados[GM_V]^2))/G450-H450^2,0))</f>
        <v>0.66666666666666674</v>
      </c>
      <c r="Q450" s="14">
        <f t="shared" si="135"/>
        <v>0.81649658092772603</v>
      </c>
      <c r="R450" s="1" t="str">
        <f t="shared" si="136"/>
        <v>Poisson</v>
      </c>
      <c r="S450" s="14" cm="1">
        <f t="array" ref="S450">IF($A450="","",SUMPRODUCT((TRIM(tblDados[Mandante])=$A450)*tblDados[Primeira_Ocorrencia]*tblDados[GM_M]))</f>
        <v>3</v>
      </c>
      <c r="T450" s="14" cm="1">
        <f t="array" ref="T450">IF($A450="","",SUMPRODUCT((TRIM(tblDados[Visitante])=$A450)*tblDados[Primeira_Ocorrencia]*tblDados[GM_V]))</f>
        <v>3</v>
      </c>
      <c r="U450" s="14">
        <f t="shared" si="137"/>
        <v>6</v>
      </c>
      <c r="V450" s="14">
        <f t="shared" ref="V450:V513" si="139">IF($A450="","",IFERROR(U450/G450,0))</f>
        <v>1</v>
      </c>
      <c r="W450" s="14" cm="1">
        <f t="array" ref="W450">IF($A450="","",SUMPRODUCT((TRIM(tblDados[Mandante])=$A450)*tblDados[Primeira_Ocorrencia]*tblDados[GS_M]))</f>
        <v>2</v>
      </c>
      <c r="X450" s="14" cm="1">
        <f t="array" ref="X450">IF($A450="","",SUMPRODUCT((TRIM(tblDados[Visitante])=$A450)*tblDados[Primeira_Ocorrencia]*tblDados[GS_V]))</f>
        <v>4</v>
      </c>
      <c r="Y450" s="14">
        <f t="shared" si="138"/>
        <v>6</v>
      </c>
      <c r="Z450" s="14">
        <f t="shared" ref="Z450:Z513" si="140">IF($A450="","",IFERROR(Y450/G450,0))</f>
        <v>1</v>
      </c>
      <c r="AA450" s="14">
        <f t="shared" ref="AA450:AA513" si="141">IF($A450="","",IF($E450=0,"",$S450/$E450))</f>
        <v>1.5</v>
      </c>
      <c r="AB450" s="14">
        <f t="shared" ref="AB450:AB513" si="142">IF($A450="","",IF($E450=0,"",$W450/$E450))</f>
        <v>1</v>
      </c>
      <c r="AC450" s="14">
        <f t="shared" ref="AC450:AC513" si="143">IF($A450="","",IF($F450=0,"",$T450/$F450))</f>
        <v>0.75</v>
      </c>
      <c r="AD450" s="14">
        <f t="shared" ref="AD450:AD513" si="144">IF($A450="","",IF($F450=0,"",$X450/$F450))</f>
        <v>1</v>
      </c>
    </row>
    <row r="451" spans="1:30" x14ac:dyDescent="0.3">
      <c r="A451" s="1" t="str">
        <v>NJS</v>
      </c>
      <c r="B451" s="13" t="str" cm="1">
        <f t="array" ref="B451">IF($A451="","",_xlfn.LET(_xlpm.p,IFERROR(INDEX(tblDados[País],MATCH($A451,TRIM(tblDados[Mandante]),0)),INDEX(tblDados[País],MATCH($A451,TRIM(tblDados[Visitante]),0))),_xlpm.l,IFERROR(INDEX(tblDados[Liga],MATCH($A451,TRIM(tblDados[Mandante]),0)),INDEX(tblDados[Liga],MATCH($A451,TRIM(tblDados[Visitante]),0))),_xlpm.p&amp;" - "&amp;_xlpm.l))</f>
        <v>FIN - Kakkonen B</v>
      </c>
      <c r="C451" s="14">
        <f t="shared" ref="C451:C514" si="145">IF($A451="","",IF($E451=0,"",$AA451+$AB451))</f>
        <v>3.5</v>
      </c>
      <c r="D451" s="14">
        <f t="shared" ref="D451:D514" si="146">IF($A451="","",IF($F451=0,"",$AC451+$AD451))</f>
        <v>2.5</v>
      </c>
      <c r="E451" s="15" cm="1">
        <f t="array" ref="E451">IF($A451="","",SUMPRODUCT((TRIM(tblDados[Mandante])=$A451)*tblDados[Primeira_Ocorrencia]))</f>
        <v>4</v>
      </c>
      <c r="F451" s="15" cm="1">
        <f t="array" ref="F451">IF($A451="","",SUMPRODUCT((TRIM(tblDados[Visitante])=$A451)*tblDados[Primeira_Ocorrencia]))</f>
        <v>2</v>
      </c>
      <c r="G451" s="15" cm="1">
        <f t="array" ref="G451">IF($A451="","",SUMPRODUCT((TRIM(tblDados[Mandante])=$A451)*tblDados[Primeira_Ocorrencia])+SUMPRODUCT((TRIM(tblDados[Visitante])=$A451)*tblDados[Primeira_Ocorrencia]))</f>
        <v>6</v>
      </c>
      <c r="H451" s="14">
        <f t="shared" ref="H451:H514" si="147">IF($A451="","",IFERROR($U451/$G451,0))</f>
        <v>0.33333333333333331</v>
      </c>
      <c r="I451" s="14" cm="1">
        <f t="array" ref="I451">IF($A451="","",_xlfn.LET(_xlpm.p,IFERROR(INDEX(tblDados[País],MATCH($A451,TRIM(tblDados[Mandante]),0)),INDEX(tblDados[País],MATCH($A451,TRIM(tblDados[Visitante]),0))),_xlpm.l,IFERROR(INDEX(tblDados[Liga],MATCH($A451,TRIM(tblDados[Mandante]),0)),INDEX(tblDados[Liga],MATCH($A451,TRIM(tblDados[Visitante]),0))),IFERROR(SUMIFS(Ligas!$D$2:$D$39,Ligas!$H$2:$H$39,_xlpm.p,Ligas!$I$2:$I$39,_xlpm.l),0)))</f>
        <v>3.56</v>
      </c>
      <c r="J451" s="16" cm="1">
        <f t="array" ref="J451">IF($A451="","",IFERROR((SUMPRODUCT((TRIM(tblDados[Mandante])=$A451)*tblDados[Primeira_Ocorrencia]*(tblDados[GM_M]=0))+SUMPRODUCT((TRIM(tblDados[Visitante])=$A451)*tblDados[Primeira_Ocorrencia]*(tblDados[GM_V]=0)))/G451,0))</f>
        <v>0.66666666666666663</v>
      </c>
      <c r="K451" s="16" cm="1">
        <f t="array" ref="K451">IF($A451="","",IFERROR((SUMPRODUCT((TRIM(tblDados[Mandante])=$A451)*tblDados[Primeira_Ocorrencia]*((tblDados[GM_M]+tblDados[GS_M])&gt;0.5))+SUMPRODUCT((TRIM(tblDados[Visitante])=$A451)*tblDados[Primeira_Ocorrencia]*((tblDados[GM_V]+tblDados[GS_V])&gt;0.5)))/G451,0))</f>
        <v>0.83333333333333337</v>
      </c>
      <c r="L451" s="16" cm="1">
        <f t="array" ref="L451">IF($A451="","",IFERROR((SUMPRODUCT((TRIM(tblDados[Mandante])=$A451)*tblDados[Primeira_Ocorrencia]*((tblDados[GM_M]+tblDados[GS_M])&gt;1.5))+SUMPRODUCT((TRIM(tblDados[Visitante])=$A451)*tblDados[Primeira_Ocorrencia]*((tblDados[GM_V]+tblDados[GS_V])&gt;1.5)))/G451,0))</f>
        <v>0.66666666666666663</v>
      </c>
      <c r="M451" s="16" cm="1">
        <f t="array" ref="M451">IF($A451="","",IFERROR((SUMPRODUCT((TRIM(tblDados[Mandante])=$A451)*tblDados[Primeira_Ocorrencia]*((tblDados[GM_M]+tblDados[GS_M])&gt;2.5))+SUMPRODUCT((TRIM(tblDados[Visitante])=$A451)*tblDados[Primeira_Ocorrencia]*((tblDados[GM_V]+tblDados[GS_V])&gt;2.5)))/G451,0))</f>
        <v>0.5</v>
      </c>
      <c r="N451" s="16" cm="1">
        <f t="array" ref="N451">IF($A451="","",IFERROR((SUMPRODUCT((TRIM(tblDados[Mandante])=$A451)*tblDados[Primeira_Ocorrencia]*((tblDados[GM_M]+tblDados[GS_M])&gt;3.5))+SUMPRODUCT((TRIM(tblDados[Visitante])=$A451)*tblDados[Primeira_Ocorrencia]*((tblDados[GM_V]+tblDados[GS_V])&gt;3.5)))/G451,0))</f>
        <v>0.33333333333333331</v>
      </c>
      <c r="O451" s="16" cm="1">
        <f t="array" ref="O451">IF($A451="","",IFERROR((SUMPRODUCT((TRIM(tblDados[Mandante])=$A451)*tblDados[Primeira_Ocorrencia]*(tblDados[GM_M]&gt;0)*(tblDados[GS_M]&gt;0))+SUMPRODUCT((TRIM(tblDados[Visitante])=$A451)*tblDados[Primeira_Ocorrencia]*(tblDados[GM_V]&gt;0)*(tblDados[GS_V]&gt;0)))/G451,0))</f>
        <v>0.33333333333333331</v>
      </c>
      <c r="P451" s="14" cm="1">
        <f t="array" ref="P451">IF($A451="","",IFERROR((SUMPRODUCT((TRIM(tblDados[Mandante])=$A451)*tblDados[Primeira_Ocorrencia]*tblDados[GM_M]^2)+SUMPRODUCT((TRIM(tblDados[Visitante])=$A451)*tblDados[Primeira_Ocorrencia]*tblDados[GM_V]^2))/G451-H451^2,0))</f>
        <v>0.22222222222222221</v>
      </c>
      <c r="Q451" s="14">
        <f t="shared" ref="Q451:Q514" si="148">IF($A451="","",IFERROR(SQRT(MAX(P451,0)),0))</f>
        <v>0.47140452079103168</v>
      </c>
      <c r="R451" s="1" t="str">
        <f t="shared" ref="R451:R514" si="149">IF(A451="","",IF(OR(G451&lt;5,H451=0),"Amostra Insuficiente",IF(_xlfn.CHISQ.DIST.RT(G451*P451/H451,G451-1)&lt;0.05,"Binomial Negativa","Poisson")))</f>
        <v>Poisson</v>
      </c>
      <c r="S451" s="14" cm="1">
        <f t="array" ref="S451">IF($A451="","",SUMPRODUCT((TRIM(tblDados[Mandante])=$A451)*tblDados[Primeira_Ocorrencia]*tblDados[GM_M]))</f>
        <v>2</v>
      </c>
      <c r="T451" s="14" cm="1">
        <f t="array" ref="T451">IF($A451="","",SUMPRODUCT((TRIM(tblDados[Visitante])=$A451)*tblDados[Primeira_Ocorrencia]*tblDados[GM_V]))</f>
        <v>0</v>
      </c>
      <c r="U451" s="14">
        <f t="shared" ref="U451:U514" si="150">IF($A451="","",S451+T451)</f>
        <v>2</v>
      </c>
      <c r="V451" s="14">
        <f t="shared" si="139"/>
        <v>0.33333333333333331</v>
      </c>
      <c r="W451" s="14" cm="1">
        <f t="array" ref="W451">IF($A451="","",SUMPRODUCT((TRIM(tblDados[Mandante])=$A451)*tblDados[Primeira_Ocorrencia]*tblDados[GS_M]))</f>
        <v>12</v>
      </c>
      <c r="X451" s="14" cm="1">
        <f t="array" ref="X451">IF($A451="","",SUMPRODUCT((TRIM(tblDados[Visitante])=$A451)*tblDados[Primeira_Ocorrencia]*tblDados[GS_V]))</f>
        <v>5</v>
      </c>
      <c r="Y451" s="14">
        <f t="shared" ref="Y451:Y514" si="151">IF($A451="","",W451+X451)</f>
        <v>17</v>
      </c>
      <c r="Z451" s="14">
        <f t="shared" si="140"/>
        <v>2.8333333333333335</v>
      </c>
      <c r="AA451" s="14">
        <f t="shared" si="141"/>
        <v>0.5</v>
      </c>
      <c r="AB451" s="14">
        <f t="shared" si="142"/>
        <v>3</v>
      </c>
      <c r="AC451" s="14">
        <f t="shared" si="143"/>
        <v>0</v>
      </c>
      <c r="AD451" s="14">
        <f t="shared" si="144"/>
        <v>2.5</v>
      </c>
    </row>
    <row r="452" spans="1:30" x14ac:dyDescent="0.3">
      <c r="A452" s="1" t="str">
        <v>Adelaide Comets</v>
      </c>
      <c r="B452" s="13" t="str" cm="1">
        <f t="array" ref="B452">IF($A452="","",_xlfn.LET(_xlpm.p,IFERROR(INDEX(tblDados[País],MATCH($A452,TRIM(tblDados[Mandante]),0)),INDEX(tblDados[País],MATCH($A452,TRIM(tblDados[Visitante]),0))),_xlpm.l,IFERROR(INDEX(tblDados[Liga],MATCH($A452,TRIM(tblDados[Mandante]),0)),INDEX(tblDados[Liga],MATCH($A452,TRIM(tblDados[Visitante]),0))),_xlpm.p&amp;" - "&amp;_xlpm.l))</f>
        <v>AUS - NPL South Australia</v>
      </c>
      <c r="C452" s="14">
        <f t="shared" si="145"/>
        <v>2</v>
      </c>
      <c r="D452" s="14">
        <f t="shared" si="146"/>
        <v>4</v>
      </c>
      <c r="E452" s="15" cm="1">
        <f t="array" ref="E452">IF($A452="","",SUMPRODUCT((TRIM(tblDados[Mandante])=$A452)*tblDados[Primeira_Ocorrencia]))</f>
        <v>2</v>
      </c>
      <c r="F452" s="15" cm="1">
        <f t="array" ref="F452">IF($A452="","",SUMPRODUCT((TRIM(tblDados[Visitante])=$A452)*tblDados[Primeira_Ocorrencia]))</f>
        <v>1</v>
      </c>
      <c r="G452" s="15" cm="1">
        <f t="array" ref="G452">IF($A452="","",SUMPRODUCT((TRIM(tblDados[Mandante])=$A452)*tblDados[Primeira_Ocorrencia])+SUMPRODUCT((TRIM(tblDados[Visitante])=$A452)*tblDados[Primeira_Ocorrencia]))</f>
        <v>3</v>
      </c>
      <c r="H452" s="14">
        <f t="shared" si="147"/>
        <v>1.3333333333333333</v>
      </c>
      <c r="I452" s="14" cm="1">
        <f t="array" ref="I452">IF($A452="","",_xlfn.LET(_xlpm.p,IFERROR(INDEX(tblDados[País],MATCH($A452,TRIM(tblDados[Mandante]),0)),INDEX(tblDados[País],MATCH($A452,TRIM(tblDados[Visitante]),0))),_xlpm.l,IFERROR(INDEX(tblDados[Liga],MATCH($A452,TRIM(tblDados[Mandante]),0)),INDEX(tblDados[Liga],MATCH($A452,TRIM(tblDados[Visitante]),0))),IFERROR(SUMIFS(Ligas!$D$2:$D$39,Ligas!$H$2:$H$39,_xlpm.p,Ligas!$I$2:$I$39,_xlpm.l),0)))</f>
        <v>3.49</v>
      </c>
      <c r="J452" s="16" cm="1">
        <f t="array" ref="J452">IF($A452="","",IFERROR((SUMPRODUCT((TRIM(tblDados[Mandante])=$A452)*tblDados[Primeira_Ocorrencia]*(tblDados[GM_M]=0))+SUMPRODUCT((TRIM(tblDados[Visitante])=$A452)*tblDados[Primeira_Ocorrencia]*(tblDados[GM_V]=0)))/G452,0))</f>
        <v>0.33333333333333331</v>
      </c>
      <c r="K452" s="16" cm="1">
        <f t="array" ref="K452">IF($A452="","",IFERROR((SUMPRODUCT((TRIM(tblDados[Mandante])=$A452)*tblDados[Primeira_Ocorrencia]*((tblDados[GM_M]+tblDados[GS_M])&gt;0.5))+SUMPRODUCT((TRIM(tblDados[Visitante])=$A452)*tblDados[Primeira_Ocorrencia]*((tblDados[GM_V]+tblDados[GS_V])&gt;0.5)))/G452,0))</f>
        <v>1</v>
      </c>
      <c r="L452" s="16" cm="1">
        <f t="array" ref="L452">IF($A452="","",IFERROR((SUMPRODUCT((TRIM(tblDados[Mandante])=$A452)*tblDados[Primeira_Ocorrencia]*((tblDados[GM_M]+tblDados[GS_M])&gt;1.5))+SUMPRODUCT((TRIM(tblDados[Visitante])=$A452)*tblDados[Primeira_Ocorrencia]*((tblDados[GM_V]+tblDados[GS_V])&gt;1.5)))/G452,0))</f>
        <v>0.66666666666666663</v>
      </c>
      <c r="M452" s="16" cm="1">
        <f t="array" ref="M452">IF($A452="","",IFERROR((SUMPRODUCT((TRIM(tblDados[Mandante])=$A452)*tblDados[Primeira_Ocorrencia]*((tblDados[GM_M]+tblDados[GS_M])&gt;2.5))+SUMPRODUCT((TRIM(tblDados[Visitante])=$A452)*tblDados[Primeira_Ocorrencia]*((tblDados[GM_V]+tblDados[GS_V])&gt;2.5)))/G452,0))</f>
        <v>0.66666666666666663</v>
      </c>
      <c r="N452" s="16" cm="1">
        <f t="array" ref="N452">IF($A452="","",IFERROR((SUMPRODUCT((TRIM(tblDados[Mandante])=$A452)*tblDados[Primeira_Ocorrencia]*((tblDados[GM_M]+tblDados[GS_M])&gt;3.5))+SUMPRODUCT((TRIM(tblDados[Visitante])=$A452)*tblDados[Primeira_Ocorrencia]*((tblDados[GM_V]+tblDados[GS_V])&gt;3.5)))/G452,0))</f>
        <v>0.33333333333333331</v>
      </c>
      <c r="O452" s="16" cm="1">
        <f t="array" ref="O452">IF($A452="","",IFERROR((SUMPRODUCT((TRIM(tblDados[Mandante])=$A452)*tblDados[Primeira_Ocorrencia]*(tblDados[GM_M]&gt;0)*(tblDados[GS_M]&gt;0))+SUMPRODUCT((TRIM(tblDados[Visitante])=$A452)*tblDados[Primeira_Ocorrencia]*(tblDados[GM_V]&gt;0)*(tblDados[GS_V]&gt;0)))/G452,0))</f>
        <v>0.66666666666666663</v>
      </c>
      <c r="P452" s="14" cm="1">
        <f t="array" ref="P452">IF($A452="","",IFERROR((SUMPRODUCT((TRIM(tblDados[Mandante])=$A452)*tblDados[Primeira_Ocorrencia]*tblDados[GM_M]^2)+SUMPRODUCT((TRIM(tblDados[Visitante])=$A452)*tblDados[Primeira_Ocorrencia]*tblDados[GM_V]^2))/G452-H452^2,0))</f>
        <v>0.88888888888888884</v>
      </c>
      <c r="Q452" s="14">
        <f t="shared" si="148"/>
        <v>0.94280904158206336</v>
      </c>
      <c r="R452" s="1" t="str">
        <f t="shared" si="149"/>
        <v>Amostra Insuficiente</v>
      </c>
      <c r="S452" s="14" cm="1">
        <f t="array" ref="S452">IF($A452="","",SUMPRODUCT((TRIM(tblDados[Mandante])=$A452)*tblDados[Primeira_Ocorrencia]*tblDados[GM_M]))</f>
        <v>2</v>
      </c>
      <c r="T452" s="14" cm="1">
        <f t="array" ref="T452">IF($A452="","",SUMPRODUCT((TRIM(tblDados[Visitante])=$A452)*tblDados[Primeira_Ocorrencia]*tblDados[GM_V]))</f>
        <v>2</v>
      </c>
      <c r="U452" s="14">
        <f t="shared" si="150"/>
        <v>4</v>
      </c>
      <c r="V452" s="14">
        <f t="shared" si="139"/>
        <v>1.3333333333333333</v>
      </c>
      <c r="W452" s="14" cm="1">
        <f t="array" ref="W452">IF($A452="","",SUMPRODUCT((TRIM(tblDados[Mandante])=$A452)*tblDados[Primeira_Ocorrencia]*tblDados[GS_M]))</f>
        <v>2</v>
      </c>
      <c r="X452" s="14" cm="1">
        <f t="array" ref="X452">IF($A452="","",SUMPRODUCT((TRIM(tblDados[Visitante])=$A452)*tblDados[Primeira_Ocorrencia]*tblDados[GS_V]))</f>
        <v>2</v>
      </c>
      <c r="Y452" s="14">
        <f t="shared" si="151"/>
        <v>4</v>
      </c>
      <c r="Z452" s="14">
        <f t="shared" si="140"/>
        <v>1.3333333333333333</v>
      </c>
      <c r="AA452" s="14">
        <f t="shared" si="141"/>
        <v>1</v>
      </c>
      <c r="AB452" s="14">
        <f t="shared" si="142"/>
        <v>1</v>
      </c>
      <c r="AC452" s="14">
        <f t="shared" si="143"/>
        <v>2</v>
      </c>
      <c r="AD452" s="14">
        <f t="shared" si="144"/>
        <v>2</v>
      </c>
    </row>
    <row r="453" spans="1:30" x14ac:dyDescent="0.3">
      <c r="A453" s="1" t="str">
        <v>West Adelaide SC</v>
      </c>
      <c r="B453" s="13" t="str" cm="1">
        <f t="array" ref="B453">IF($A453="","",_xlfn.LET(_xlpm.p,IFERROR(INDEX(tblDados[País],MATCH($A453,TRIM(tblDados[Mandante]),0)),INDEX(tblDados[País],MATCH($A453,TRIM(tblDados[Visitante]),0))),_xlpm.l,IFERROR(INDEX(tblDados[Liga],MATCH($A453,TRIM(tblDados[Mandante]),0)),INDEX(tblDados[Liga],MATCH($A453,TRIM(tblDados[Visitante]),0))),_xlpm.p&amp;" - "&amp;_xlpm.l))</f>
        <v>AUS - NPL South Australia</v>
      </c>
      <c r="C453" s="14">
        <f t="shared" si="145"/>
        <v>0</v>
      </c>
      <c r="D453" s="14">
        <f t="shared" si="146"/>
        <v>5</v>
      </c>
      <c r="E453" s="15" cm="1">
        <f t="array" ref="E453">IF($A453="","",SUMPRODUCT((TRIM(tblDados[Mandante])=$A453)*tblDados[Primeira_Ocorrencia]))</f>
        <v>1</v>
      </c>
      <c r="F453" s="15" cm="1">
        <f t="array" ref="F453">IF($A453="","",SUMPRODUCT((TRIM(tblDados[Visitante])=$A453)*tblDados[Primeira_Ocorrencia]))</f>
        <v>2</v>
      </c>
      <c r="G453" s="15" cm="1">
        <f t="array" ref="G453">IF($A453="","",SUMPRODUCT((TRIM(tblDados[Mandante])=$A453)*tblDados[Primeira_Ocorrencia])+SUMPRODUCT((TRIM(tblDados[Visitante])=$A453)*tblDados[Primeira_Ocorrencia]))</f>
        <v>3</v>
      </c>
      <c r="H453" s="14">
        <f t="shared" si="147"/>
        <v>1</v>
      </c>
      <c r="I453" s="14" cm="1">
        <f t="array" ref="I453">IF($A453="","",_xlfn.LET(_xlpm.p,IFERROR(INDEX(tblDados[País],MATCH($A453,TRIM(tblDados[Mandante]),0)),INDEX(tblDados[País],MATCH($A453,TRIM(tblDados[Visitante]),0))),_xlpm.l,IFERROR(INDEX(tblDados[Liga],MATCH($A453,TRIM(tblDados[Mandante]),0)),INDEX(tblDados[Liga],MATCH($A453,TRIM(tblDados[Visitante]),0))),IFERROR(SUMIFS(Ligas!$D$2:$D$39,Ligas!$H$2:$H$39,_xlpm.p,Ligas!$I$2:$I$39,_xlpm.l),0)))</f>
        <v>3.49</v>
      </c>
      <c r="J453" s="16" cm="1">
        <f t="array" ref="J453">IF($A453="","",IFERROR((SUMPRODUCT((TRIM(tblDados[Mandante])=$A453)*tblDados[Primeira_Ocorrencia]*(tblDados[GM_M]=0))+SUMPRODUCT((TRIM(tblDados[Visitante])=$A453)*tblDados[Primeira_Ocorrencia]*(tblDados[GM_V]=0)))/G453,0))</f>
        <v>0.33333333333333331</v>
      </c>
      <c r="K453" s="16" cm="1">
        <f t="array" ref="K453">IF($A453="","",IFERROR((SUMPRODUCT((TRIM(tblDados[Mandante])=$A453)*tblDados[Primeira_Ocorrencia]*((tblDados[GM_M]+tblDados[GS_M])&gt;0.5))+SUMPRODUCT((TRIM(tblDados[Visitante])=$A453)*tblDados[Primeira_Ocorrencia]*((tblDados[GM_V]+tblDados[GS_V])&gt;0.5)))/G453,0))</f>
        <v>0.66666666666666663</v>
      </c>
      <c r="L453" s="16" cm="1">
        <f t="array" ref="L453">IF($A453="","",IFERROR((SUMPRODUCT((TRIM(tblDados[Mandante])=$A453)*tblDados[Primeira_Ocorrencia]*((tblDados[GM_M]+tblDados[GS_M])&gt;1.5))+SUMPRODUCT((TRIM(tblDados[Visitante])=$A453)*tblDados[Primeira_Ocorrencia]*((tblDados[GM_V]+tblDados[GS_V])&gt;1.5)))/G453,0))</f>
        <v>0.66666666666666663</v>
      </c>
      <c r="M453" s="16" cm="1">
        <f t="array" ref="M453">IF($A453="","",IFERROR((SUMPRODUCT((TRIM(tblDados[Mandante])=$A453)*tblDados[Primeira_Ocorrencia]*((tblDados[GM_M]+tblDados[GS_M])&gt;2.5))+SUMPRODUCT((TRIM(tblDados[Visitante])=$A453)*tblDados[Primeira_Ocorrencia]*((tblDados[GM_V]+tblDados[GS_V])&gt;2.5)))/G453,0))</f>
        <v>0.66666666666666663</v>
      </c>
      <c r="N453" s="16" cm="1">
        <f t="array" ref="N453">IF($A453="","",IFERROR((SUMPRODUCT((TRIM(tblDados[Mandante])=$A453)*tblDados[Primeira_Ocorrencia]*((tblDados[GM_M]+tblDados[GS_M])&gt;3.5))+SUMPRODUCT((TRIM(tblDados[Visitante])=$A453)*tblDados[Primeira_Ocorrencia]*((tblDados[GM_V]+tblDados[GS_V])&gt;3.5)))/G453,0))</f>
        <v>0.33333333333333331</v>
      </c>
      <c r="O453" s="16" cm="1">
        <f t="array" ref="O453">IF($A453="","",IFERROR((SUMPRODUCT((TRIM(tblDados[Mandante])=$A453)*tblDados[Primeira_Ocorrencia]*(tblDados[GM_M]&gt;0)*(tblDados[GS_M]&gt;0))+SUMPRODUCT((TRIM(tblDados[Visitante])=$A453)*tblDados[Primeira_Ocorrencia]*(tblDados[GM_V]&gt;0)*(tblDados[GS_V]&gt;0)))/G453,0))</f>
        <v>0.66666666666666663</v>
      </c>
      <c r="P453" s="14" cm="1">
        <f t="array" ref="P453">IF($A453="","",IFERROR((SUMPRODUCT((TRIM(tblDados[Mandante])=$A453)*tblDados[Primeira_Ocorrencia]*tblDados[GM_M]^2)+SUMPRODUCT((TRIM(tblDados[Visitante])=$A453)*tblDados[Primeira_Ocorrencia]*tblDados[GM_V]^2))/G453-H453^2,0))</f>
        <v>0.66666666666666674</v>
      </c>
      <c r="Q453" s="14">
        <f t="shared" si="148"/>
        <v>0.81649658092772603</v>
      </c>
      <c r="R453" s="1" t="str">
        <f t="shared" si="149"/>
        <v>Amostra Insuficiente</v>
      </c>
      <c r="S453" s="14" cm="1">
        <f t="array" ref="S453">IF($A453="","",SUMPRODUCT((TRIM(tblDados[Mandante])=$A453)*tblDados[Primeira_Ocorrencia]*tblDados[GM_M]))</f>
        <v>0</v>
      </c>
      <c r="T453" s="14" cm="1">
        <f t="array" ref="T453">IF($A453="","",SUMPRODUCT((TRIM(tblDados[Visitante])=$A453)*tblDados[Primeira_Ocorrencia]*tblDados[GM_V]))</f>
        <v>3</v>
      </c>
      <c r="U453" s="14">
        <f t="shared" si="150"/>
        <v>3</v>
      </c>
      <c r="V453" s="14">
        <f t="shared" si="139"/>
        <v>1</v>
      </c>
      <c r="W453" s="14" cm="1">
        <f t="array" ref="W453">IF($A453="","",SUMPRODUCT((TRIM(tblDados[Mandante])=$A453)*tblDados[Primeira_Ocorrencia]*tblDados[GS_M]))</f>
        <v>0</v>
      </c>
      <c r="X453" s="14" cm="1">
        <f t="array" ref="X453">IF($A453="","",SUMPRODUCT((TRIM(tblDados[Visitante])=$A453)*tblDados[Primeira_Ocorrencia]*tblDados[GS_V]))</f>
        <v>7</v>
      </c>
      <c r="Y453" s="14">
        <f t="shared" si="151"/>
        <v>7</v>
      </c>
      <c r="Z453" s="14">
        <f t="shared" si="140"/>
        <v>2.3333333333333335</v>
      </c>
      <c r="AA453" s="14">
        <f t="shared" si="141"/>
        <v>0</v>
      </c>
      <c r="AB453" s="14">
        <f t="shared" si="142"/>
        <v>0</v>
      </c>
      <c r="AC453" s="14">
        <f t="shared" si="143"/>
        <v>1.5</v>
      </c>
      <c r="AD453" s="14">
        <f t="shared" si="144"/>
        <v>3.5</v>
      </c>
    </row>
    <row r="454" spans="1:30" x14ac:dyDescent="0.3">
      <c r="A454" s="1" t="str">
        <v>Western Knights</v>
      </c>
      <c r="B454" s="13" t="str" cm="1">
        <f t="array" ref="B454">IF($A454="","",_xlfn.LET(_xlpm.p,IFERROR(INDEX(tblDados[País],MATCH($A454,TRIM(tblDados[Mandante]),0)),INDEX(tblDados[País],MATCH($A454,TRIM(tblDados[Visitante]),0))),_xlpm.l,IFERROR(INDEX(tblDados[Liga],MATCH($A454,TRIM(tblDados[Mandante]),0)),INDEX(tblDados[Liga],MATCH($A454,TRIM(tblDados[Visitante]),0))),_xlpm.p&amp;" - "&amp;_xlpm.l))</f>
        <v>AUS - NPL Western Australia</v>
      </c>
      <c r="C454" s="14">
        <f t="shared" si="145"/>
        <v>3</v>
      </c>
      <c r="D454" s="14">
        <f t="shared" si="146"/>
        <v>0</v>
      </c>
      <c r="E454" s="15" cm="1">
        <f t="array" ref="E454">IF($A454="","",SUMPRODUCT((TRIM(tblDados[Mandante])=$A454)*tblDados[Primeira_Ocorrencia]))</f>
        <v>2</v>
      </c>
      <c r="F454" s="15" cm="1">
        <f t="array" ref="F454">IF($A454="","",SUMPRODUCT((TRIM(tblDados[Visitante])=$A454)*tblDados[Primeira_Ocorrencia]))</f>
        <v>1</v>
      </c>
      <c r="G454" s="15" cm="1">
        <f t="array" ref="G454">IF($A454="","",SUMPRODUCT((TRIM(tblDados[Mandante])=$A454)*tblDados[Primeira_Ocorrencia])+SUMPRODUCT((TRIM(tblDados[Visitante])=$A454)*tblDados[Primeira_Ocorrencia]))</f>
        <v>3</v>
      </c>
      <c r="H454" s="14">
        <f t="shared" si="147"/>
        <v>1.3333333333333333</v>
      </c>
      <c r="I454" s="14" cm="1">
        <f t="array" ref="I454">IF($A454="","",_xlfn.LET(_xlpm.p,IFERROR(INDEX(tblDados[País],MATCH($A454,TRIM(tblDados[Mandante]),0)),INDEX(tblDados[País],MATCH($A454,TRIM(tblDados[Visitante]),0))),_xlpm.l,IFERROR(INDEX(tblDados[Liga],MATCH($A454,TRIM(tblDados[Mandante]),0)),INDEX(tblDados[Liga],MATCH($A454,TRIM(tblDados[Visitante]),0))),IFERROR(SUMIFS(Ligas!$D$2:$D$39,Ligas!$H$2:$H$39,_xlpm.p,Ligas!$I$2:$I$39,_xlpm.l),0)))</f>
        <v>3.56</v>
      </c>
      <c r="J454" s="16" cm="1">
        <f t="array" ref="J454">IF($A454="","",IFERROR((SUMPRODUCT((TRIM(tblDados[Mandante])=$A454)*tblDados[Primeira_Ocorrencia]*(tblDados[GM_M]=0))+SUMPRODUCT((TRIM(tblDados[Visitante])=$A454)*tblDados[Primeira_Ocorrencia]*(tblDados[GM_V]=0)))/G454,0))</f>
        <v>0.33333333333333331</v>
      </c>
      <c r="K454" s="16" cm="1">
        <f t="array" ref="K454">IF($A454="","",IFERROR((SUMPRODUCT((TRIM(tblDados[Mandante])=$A454)*tblDados[Primeira_Ocorrencia]*((tblDados[GM_M]+tblDados[GS_M])&gt;0.5))+SUMPRODUCT((TRIM(tblDados[Visitante])=$A454)*tblDados[Primeira_Ocorrencia]*((tblDados[GM_V]+tblDados[GS_V])&gt;0.5)))/G454,0))</f>
        <v>0.66666666666666663</v>
      </c>
      <c r="L454" s="16" cm="1">
        <f t="array" ref="L454">IF($A454="","",IFERROR((SUMPRODUCT((TRIM(tblDados[Mandante])=$A454)*tblDados[Primeira_Ocorrencia]*((tblDados[GM_M]+tblDados[GS_M])&gt;1.5))+SUMPRODUCT((TRIM(tblDados[Visitante])=$A454)*tblDados[Primeira_Ocorrencia]*((tblDados[GM_V]+tblDados[GS_V])&gt;1.5)))/G454,0))</f>
        <v>0.66666666666666663</v>
      </c>
      <c r="M454" s="16" cm="1">
        <f t="array" ref="M454">IF($A454="","",IFERROR((SUMPRODUCT((TRIM(tblDados[Mandante])=$A454)*tblDados[Primeira_Ocorrencia]*((tblDados[GM_M]+tblDados[GS_M])&gt;2.5))+SUMPRODUCT((TRIM(tblDados[Visitante])=$A454)*tblDados[Primeira_Ocorrencia]*((tblDados[GM_V]+tblDados[GS_V])&gt;2.5)))/G454,0))</f>
        <v>0.33333333333333331</v>
      </c>
      <c r="N454" s="16" cm="1">
        <f t="array" ref="N454">IF($A454="","",IFERROR((SUMPRODUCT((TRIM(tblDados[Mandante])=$A454)*tblDados[Primeira_Ocorrencia]*((tblDados[GM_M]+tblDados[GS_M])&gt;3.5))+SUMPRODUCT((TRIM(tblDados[Visitante])=$A454)*tblDados[Primeira_Ocorrencia]*((tblDados[GM_V]+tblDados[GS_V])&gt;3.5)))/G454,0))</f>
        <v>0.33333333333333331</v>
      </c>
      <c r="O454" s="16" cm="1">
        <f t="array" ref="O454">IF($A454="","",IFERROR((SUMPRODUCT((TRIM(tblDados[Mandante])=$A454)*tblDados[Primeira_Ocorrencia]*(tblDados[GM_M]&gt;0)*(tblDados[GS_M]&gt;0))+SUMPRODUCT((TRIM(tblDados[Visitante])=$A454)*tblDados[Primeira_Ocorrencia]*(tblDados[GM_V]&gt;0)*(tblDados[GS_V]&gt;0)))/G454,0))</f>
        <v>0.33333333333333331</v>
      </c>
      <c r="P454" s="14" cm="1">
        <f t="array" ref="P454">IF($A454="","",IFERROR((SUMPRODUCT((TRIM(tblDados[Mandante])=$A454)*tblDados[Primeira_Ocorrencia]*tblDados[GM_M]^2)+SUMPRODUCT((TRIM(tblDados[Visitante])=$A454)*tblDados[Primeira_Ocorrencia]*tblDados[GM_V]^2))/G454-H454^2,0))</f>
        <v>0.88888888888888884</v>
      </c>
      <c r="Q454" s="14">
        <f t="shared" si="148"/>
        <v>0.94280904158206336</v>
      </c>
      <c r="R454" s="1" t="str">
        <f t="shared" si="149"/>
        <v>Amostra Insuficiente</v>
      </c>
      <c r="S454" s="14" cm="1">
        <f t="array" ref="S454">IF($A454="","",SUMPRODUCT((TRIM(tblDados[Mandante])=$A454)*tblDados[Primeira_Ocorrencia]*tblDados[GM_M]))</f>
        <v>4</v>
      </c>
      <c r="T454" s="14" cm="1">
        <f t="array" ref="T454">IF($A454="","",SUMPRODUCT((TRIM(tblDados[Visitante])=$A454)*tblDados[Primeira_Ocorrencia]*tblDados[GM_V]))</f>
        <v>0</v>
      </c>
      <c r="U454" s="14">
        <f t="shared" si="150"/>
        <v>4</v>
      </c>
      <c r="V454" s="14">
        <f t="shared" si="139"/>
        <v>1.3333333333333333</v>
      </c>
      <c r="W454" s="14" cm="1">
        <f t="array" ref="W454">IF($A454="","",SUMPRODUCT((TRIM(tblDados[Mandante])=$A454)*tblDados[Primeira_Ocorrencia]*tblDados[GS_M]))</f>
        <v>2</v>
      </c>
      <c r="X454" s="14" cm="1">
        <f t="array" ref="X454">IF($A454="","",SUMPRODUCT((TRIM(tblDados[Visitante])=$A454)*tblDados[Primeira_Ocorrencia]*tblDados[GS_V]))</f>
        <v>0</v>
      </c>
      <c r="Y454" s="14">
        <f t="shared" si="151"/>
        <v>2</v>
      </c>
      <c r="Z454" s="14">
        <f t="shared" si="140"/>
        <v>0.66666666666666663</v>
      </c>
      <c r="AA454" s="14">
        <f t="shared" si="141"/>
        <v>2</v>
      </c>
      <c r="AB454" s="14">
        <f t="shared" si="142"/>
        <v>1</v>
      </c>
      <c r="AC454" s="14">
        <f t="shared" si="143"/>
        <v>0</v>
      </c>
      <c r="AD454" s="14">
        <f t="shared" si="144"/>
        <v>0</v>
      </c>
    </row>
    <row r="455" spans="1:30" x14ac:dyDescent="0.3">
      <c r="A455" s="1" t="str">
        <v>Adelaide City</v>
      </c>
      <c r="B455" s="13" t="str" cm="1">
        <f t="array" ref="B455">IF($A455="","",_xlfn.LET(_xlpm.p,IFERROR(INDEX(tblDados[País],MATCH($A455,TRIM(tblDados[Mandante]),0)),INDEX(tblDados[País],MATCH($A455,TRIM(tblDados[Visitante]),0))),_xlpm.l,IFERROR(INDEX(tblDados[Liga],MATCH($A455,TRIM(tblDados[Mandante]),0)),INDEX(tblDados[Liga],MATCH($A455,TRIM(tblDados[Visitante]),0))),_xlpm.p&amp;" - "&amp;_xlpm.l))</f>
        <v>AUS - NPL South Australia</v>
      </c>
      <c r="C455" s="14">
        <f t="shared" si="145"/>
        <v>5</v>
      </c>
      <c r="D455" s="14">
        <f t="shared" si="146"/>
        <v>4</v>
      </c>
      <c r="E455" s="15" cm="1">
        <f t="array" ref="E455">IF($A455="","",SUMPRODUCT((TRIM(tblDados[Mandante])=$A455)*tblDados[Primeira_Ocorrencia]))</f>
        <v>1</v>
      </c>
      <c r="F455" s="15" cm="1">
        <f t="array" ref="F455">IF($A455="","",SUMPRODUCT((TRIM(tblDados[Visitante])=$A455)*tblDados[Primeira_Ocorrencia]))</f>
        <v>1</v>
      </c>
      <c r="G455" s="15" cm="1">
        <f t="array" ref="G455">IF($A455="","",SUMPRODUCT((TRIM(tblDados[Mandante])=$A455)*tblDados[Primeira_Ocorrencia])+SUMPRODUCT((TRIM(tblDados[Visitante])=$A455)*tblDados[Primeira_Ocorrencia]))</f>
        <v>2</v>
      </c>
      <c r="H455" s="14">
        <f t="shared" si="147"/>
        <v>4</v>
      </c>
      <c r="I455" s="14" cm="1">
        <f t="array" ref="I455">IF($A455="","",_xlfn.LET(_xlpm.p,IFERROR(INDEX(tblDados[País],MATCH($A455,TRIM(tblDados[Mandante]),0)),INDEX(tblDados[País],MATCH($A455,TRIM(tblDados[Visitante]),0))),_xlpm.l,IFERROR(INDEX(tblDados[Liga],MATCH($A455,TRIM(tblDados[Mandante]),0)),INDEX(tblDados[Liga],MATCH($A455,TRIM(tblDados[Visitante]),0))),IFERROR(SUMIFS(Ligas!$D$2:$D$39,Ligas!$H$2:$H$39,_xlpm.p,Ligas!$I$2:$I$39,_xlpm.l),0)))</f>
        <v>3.49</v>
      </c>
      <c r="J455" s="16" cm="1">
        <f t="array" ref="J455">IF($A455="","",IFERROR((SUMPRODUCT((TRIM(tblDados[Mandante])=$A455)*tblDados[Primeira_Ocorrencia]*(tblDados[GM_M]=0))+SUMPRODUCT((TRIM(tblDados[Visitante])=$A455)*tblDados[Primeira_Ocorrencia]*(tblDados[GM_V]=0)))/G455,0))</f>
        <v>0</v>
      </c>
      <c r="K455" s="16" cm="1">
        <f t="array" ref="K455">IF($A455="","",IFERROR((SUMPRODUCT((TRIM(tblDados[Mandante])=$A455)*tblDados[Primeira_Ocorrencia]*((tblDados[GM_M]+tblDados[GS_M])&gt;0.5))+SUMPRODUCT((TRIM(tblDados[Visitante])=$A455)*tblDados[Primeira_Ocorrencia]*((tblDados[GM_V]+tblDados[GS_V])&gt;0.5)))/G455,0))</f>
        <v>1</v>
      </c>
      <c r="L455" s="16" cm="1">
        <f t="array" ref="L455">IF($A455="","",IFERROR((SUMPRODUCT((TRIM(tblDados[Mandante])=$A455)*tblDados[Primeira_Ocorrencia]*((tblDados[GM_M]+tblDados[GS_M])&gt;1.5))+SUMPRODUCT((TRIM(tblDados[Visitante])=$A455)*tblDados[Primeira_Ocorrencia]*((tblDados[GM_V]+tblDados[GS_V])&gt;1.5)))/G455,0))</f>
        <v>1</v>
      </c>
      <c r="M455" s="16" cm="1">
        <f t="array" ref="M455">IF($A455="","",IFERROR((SUMPRODUCT((TRIM(tblDados[Mandante])=$A455)*tblDados[Primeira_Ocorrencia]*((tblDados[GM_M]+tblDados[GS_M])&gt;2.5))+SUMPRODUCT((TRIM(tblDados[Visitante])=$A455)*tblDados[Primeira_Ocorrencia]*((tblDados[GM_V]+tblDados[GS_V])&gt;2.5)))/G455,0))</f>
        <v>1</v>
      </c>
      <c r="N455" s="16" cm="1">
        <f t="array" ref="N455">IF($A455="","",IFERROR((SUMPRODUCT((TRIM(tblDados[Mandante])=$A455)*tblDados[Primeira_Ocorrencia]*((tblDados[GM_M]+tblDados[GS_M])&gt;3.5))+SUMPRODUCT((TRIM(tblDados[Visitante])=$A455)*tblDados[Primeira_Ocorrencia]*((tblDados[GM_V]+tblDados[GS_V])&gt;3.5)))/G455,0))</f>
        <v>1</v>
      </c>
      <c r="O455" s="16" cm="1">
        <f t="array" ref="O455">IF($A455="","",IFERROR((SUMPRODUCT((TRIM(tblDados[Mandante])=$A455)*tblDados[Primeira_Ocorrencia]*(tblDados[GM_M]&gt;0)*(tblDados[GS_M]&gt;0))+SUMPRODUCT((TRIM(tblDados[Visitante])=$A455)*tblDados[Primeira_Ocorrencia]*(tblDados[GM_V]&gt;0)*(tblDados[GS_V]&gt;0)))/G455,0))</f>
        <v>0.5</v>
      </c>
      <c r="P455" s="14" cm="1">
        <f t="array" ref="P455">IF($A455="","",IFERROR((SUMPRODUCT((TRIM(tblDados[Mandante])=$A455)*tblDados[Primeira_Ocorrencia]*tblDados[GM_M]^2)+SUMPRODUCT((TRIM(tblDados[Visitante])=$A455)*tblDados[Primeira_Ocorrencia]*tblDados[GM_V]^2))/G455-H455^2,0))</f>
        <v>0</v>
      </c>
      <c r="Q455" s="14">
        <f t="shared" si="148"/>
        <v>0</v>
      </c>
      <c r="R455" s="1" t="str">
        <f t="shared" si="149"/>
        <v>Amostra Insuficiente</v>
      </c>
      <c r="S455" s="14" cm="1">
        <f t="array" ref="S455">IF($A455="","",SUMPRODUCT((TRIM(tblDados[Mandante])=$A455)*tblDados[Primeira_Ocorrencia]*tblDados[GM_M]))</f>
        <v>4</v>
      </c>
      <c r="T455" s="14" cm="1">
        <f t="array" ref="T455">IF($A455="","",SUMPRODUCT((TRIM(tblDados[Visitante])=$A455)*tblDados[Primeira_Ocorrencia]*tblDados[GM_V]))</f>
        <v>4</v>
      </c>
      <c r="U455" s="14">
        <f t="shared" si="150"/>
        <v>8</v>
      </c>
      <c r="V455" s="14">
        <f t="shared" si="139"/>
        <v>4</v>
      </c>
      <c r="W455" s="14" cm="1">
        <f t="array" ref="W455">IF($A455="","",SUMPRODUCT((TRIM(tblDados[Mandante])=$A455)*tblDados[Primeira_Ocorrencia]*tblDados[GS_M]))</f>
        <v>1</v>
      </c>
      <c r="X455" s="14" cm="1">
        <f t="array" ref="X455">IF($A455="","",SUMPRODUCT((TRIM(tblDados[Visitante])=$A455)*tblDados[Primeira_Ocorrencia]*tblDados[GS_V]))</f>
        <v>0</v>
      </c>
      <c r="Y455" s="14">
        <f t="shared" si="151"/>
        <v>1</v>
      </c>
      <c r="Z455" s="14">
        <f t="shared" si="140"/>
        <v>0.5</v>
      </c>
      <c r="AA455" s="14">
        <f t="shared" si="141"/>
        <v>4</v>
      </c>
      <c r="AB455" s="14">
        <f t="shared" si="142"/>
        <v>1</v>
      </c>
      <c r="AC455" s="14">
        <f t="shared" si="143"/>
        <v>4</v>
      </c>
      <c r="AD455" s="14">
        <f t="shared" si="144"/>
        <v>0</v>
      </c>
    </row>
    <row r="456" spans="1:30" x14ac:dyDescent="0.3">
      <c r="A456" s="1" t="str">
        <v>Adelaide United U23</v>
      </c>
      <c r="B456" s="13" t="str" cm="1">
        <f t="array" ref="B456">IF($A456="","",_xlfn.LET(_xlpm.p,IFERROR(INDEX(tblDados[País],MATCH($A456,TRIM(tblDados[Mandante]),0)),INDEX(tblDados[País],MATCH($A456,TRIM(tblDados[Visitante]),0))),_xlpm.l,IFERROR(INDEX(tblDados[Liga],MATCH($A456,TRIM(tblDados[Mandante]),0)),INDEX(tblDados[Liga],MATCH($A456,TRIM(tblDados[Visitante]),0))),_xlpm.p&amp;" - "&amp;_xlpm.l))</f>
        <v>AUS - NPL South Australia</v>
      </c>
      <c r="C456" s="14">
        <f t="shared" si="145"/>
        <v>5</v>
      </c>
      <c r="D456" s="14">
        <f t="shared" si="146"/>
        <v>3</v>
      </c>
      <c r="E456" s="15" cm="1">
        <f t="array" ref="E456">IF($A456="","",SUMPRODUCT((TRIM(tblDados[Mandante])=$A456)*tblDados[Primeira_Ocorrencia]))</f>
        <v>1</v>
      </c>
      <c r="F456" s="15" cm="1">
        <f t="array" ref="F456">IF($A456="","",SUMPRODUCT((TRIM(tblDados[Visitante])=$A456)*tblDados[Primeira_Ocorrencia]))</f>
        <v>1</v>
      </c>
      <c r="G456" s="15" cm="1">
        <f t="array" ref="G456">IF($A456="","",SUMPRODUCT((TRIM(tblDados[Mandante])=$A456)*tblDados[Primeira_Ocorrencia])+SUMPRODUCT((TRIM(tblDados[Visitante])=$A456)*tblDados[Primeira_Ocorrencia]))</f>
        <v>2</v>
      </c>
      <c r="H456" s="14">
        <f t="shared" si="147"/>
        <v>1</v>
      </c>
      <c r="I456" s="14" cm="1">
        <f t="array" ref="I456">IF($A456="","",_xlfn.LET(_xlpm.p,IFERROR(INDEX(tblDados[País],MATCH($A456,TRIM(tblDados[Mandante]),0)),INDEX(tblDados[País],MATCH($A456,TRIM(tblDados[Visitante]),0))),_xlpm.l,IFERROR(INDEX(tblDados[Liga],MATCH($A456,TRIM(tblDados[Mandante]),0)),INDEX(tblDados[Liga],MATCH($A456,TRIM(tblDados[Visitante]),0))),IFERROR(SUMIFS(Ligas!$D$2:$D$39,Ligas!$H$2:$H$39,_xlpm.p,Ligas!$I$2:$I$39,_xlpm.l),0)))</f>
        <v>3.49</v>
      </c>
      <c r="J456" s="16" cm="1">
        <f t="array" ref="J456">IF($A456="","",IFERROR((SUMPRODUCT((TRIM(tblDados[Mandante])=$A456)*tblDados[Primeira_Ocorrencia]*(tblDados[GM_M]=0))+SUMPRODUCT((TRIM(tblDados[Visitante])=$A456)*tblDados[Primeira_Ocorrencia]*(tblDados[GM_V]=0)))/G456,0))</f>
        <v>0.5</v>
      </c>
      <c r="K456" s="16" cm="1">
        <f t="array" ref="K456">IF($A456="","",IFERROR((SUMPRODUCT((TRIM(tblDados[Mandante])=$A456)*tblDados[Primeira_Ocorrencia]*((tblDados[GM_M]+tblDados[GS_M])&gt;0.5))+SUMPRODUCT((TRIM(tblDados[Visitante])=$A456)*tblDados[Primeira_Ocorrencia]*((tblDados[GM_V]+tblDados[GS_V])&gt;0.5)))/G456,0))</f>
        <v>1</v>
      </c>
      <c r="L456" s="16" cm="1">
        <f t="array" ref="L456">IF($A456="","",IFERROR((SUMPRODUCT((TRIM(tblDados[Mandante])=$A456)*tblDados[Primeira_Ocorrencia]*((tblDados[GM_M]+tblDados[GS_M])&gt;1.5))+SUMPRODUCT((TRIM(tblDados[Visitante])=$A456)*tblDados[Primeira_Ocorrencia]*((tblDados[GM_V]+tblDados[GS_V])&gt;1.5)))/G456,0))</f>
        <v>1</v>
      </c>
      <c r="M456" s="16" cm="1">
        <f t="array" ref="M456">IF($A456="","",IFERROR((SUMPRODUCT((TRIM(tblDados[Mandante])=$A456)*tblDados[Primeira_Ocorrencia]*((tblDados[GM_M]+tblDados[GS_M])&gt;2.5))+SUMPRODUCT((TRIM(tblDados[Visitante])=$A456)*tblDados[Primeira_Ocorrencia]*((tblDados[GM_V]+tblDados[GS_V])&gt;2.5)))/G456,0))</f>
        <v>1</v>
      </c>
      <c r="N456" s="16" cm="1">
        <f t="array" ref="N456">IF($A456="","",IFERROR((SUMPRODUCT((TRIM(tblDados[Mandante])=$A456)*tblDados[Primeira_Ocorrencia]*((tblDados[GM_M]+tblDados[GS_M])&gt;3.5))+SUMPRODUCT((TRIM(tblDados[Visitante])=$A456)*tblDados[Primeira_Ocorrencia]*((tblDados[GM_V]+tblDados[GS_V])&gt;3.5)))/G456,0))</f>
        <v>0.5</v>
      </c>
      <c r="O456" s="16" cm="1">
        <f t="array" ref="O456">IF($A456="","",IFERROR((SUMPRODUCT((TRIM(tblDados[Mandante])=$A456)*tblDados[Primeira_Ocorrencia]*(tblDados[GM_M]&gt;0)*(tblDados[GS_M]&gt;0))+SUMPRODUCT((TRIM(tblDados[Visitante])=$A456)*tblDados[Primeira_Ocorrencia]*(tblDados[GM_V]&gt;0)*(tblDados[GS_V]&gt;0)))/G456,0))</f>
        <v>0.5</v>
      </c>
      <c r="P456" s="14" cm="1">
        <f t="array" ref="P456">IF($A456="","",IFERROR((SUMPRODUCT((TRIM(tblDados[Mandante])=$A456)*tblDados[Primeira_Ocorrencia]*tblDados[GM_M]^2)+SUMPRODUCT((TRIM(tblDados[Visitante])=$A456)*tblDados[Primeira_Ocorrencia]*tblDados[GM_V]^2))/G456-H456^2,0))</f>
        <v>1</v>
      </c>
      <c r="Q456" s="14">
        <f t="shared" si="148"/>
        <v>1</v>
      </c>
      <c r="R456" s="1" t="str">
        <f t="shared" si="149"/>
        <v>Amostra Insuficiente</v>
      </c>
      <c r="S456" s="14" cm="1">
        <f t="array" ref="S456">IF($A456="","",SUMPRODUCT((TRIM(tblDados[Mandante])=$A456)*tblDados[Primeira_Ocorrencia]*tblDados[GM_M]))</f>
        <v>2</v>
      </c>
      <c r="T456" s="14" cm="1">
        <f t="array" ref="T456">IF($A456="","",SUMPRODUCT((TRIM(tblDados[Visitante])=$A456)*tblDados[Primeira_Ocorrencia]*tblDados[GM_V]))</f>
        <v>0</v>
      </c>
      <c r="U456" s="14">
        <f t="shared" si="150"/>
        <v>2</v>
      </c>
      <c r="V456" s="14">
        <f t="shared" si="139"/>
        <v>1</v>
      </c>
      <c r="W456" s="14" cm="1">
        <f t="array" ref="W456">IF($A456="","",SUMPRODUCT((TRIM(tblDados[Mandante])=$A456)*tblDados[Primeira_Ocorrencia]*tblDados[GS_M]))</f>
        <v>3</v>
      </c>
      <c r="X456" s="14" cm="1">
        <f t="array" ref="X456">IF($A456="","",SUMPRODUCT((TRIM(tblDados[Visitante])=$A456)*tblDados[Primeira_Ocorrencia]*tblDados[GS_V]))</f>
        <v>3</v>
      </c>
      <c r="Y456" s="14">
        <f t="shared" si="151"/>
        <v>6</v>
      </c>
      <c r="Z456" s="14">
        <f t="shared" si="140"/>
        <v>3</v>
      </c>
      <c r="AA456" s="14">
        <f t="shared" si="141"/>
        <v>2</v>
      </c>
      <c r="AB456" s="14">
        <f t="shared" si="142"/>
        <v>3</v>
      </c>
      <c r="AC456" s="14">
        <f t="shared" si="143"/>
        <v>0</v>
      </c>
      <c r="AD456" s="14">
        <f t="shared" si="144"/>
        <v>3</v>
      </c>
    </row>
    <row r="457" spans="1:30" x14ac:dyDescent="0.3">
      <c r="A457" s="1" t="str">
        <v>Armadale</v>
      </c>
      <c r="B457" s="13" t="str" cm="1">
        <f t="array" ref="B457">IF($A457="","",_xlfn.LET(_xlpm.p,IFERROR(INDEX(tblDados[País],MATCH($A457,TRIM(tblDados[Mandante]),0)),INDEX(tblDados[País],MATCH($A457,TRIM(tblDados[Visitante]),0))),_xlpm.l,IFERROR(INDEX(tblDados[Liga],MATCH($A457,TRIM(tblDados[Mandante]),0)),INDEX(tblDados[Liga],MATCH($A457,TRIM(tblDados[Visitante]),0))),_xlpm.p&amp;" - "&amp;_xlpm.l))</f>
        <v>AUS - NPL Western Australia</v>
      </c>
      <c r="C457" s="14">
        <f t="shared" si="145"/>
        <v>2</v>
      </c>
      <c r="D457" s="14">
        <f t="shared" si="146"/>
        <v>2</v>
      </c>
      <c r="E457" s="15" cm="1">
        <f t="array" ref="E457">IF($A457="","",SUMPRODUCT((TRIM(tblDados[Mandante])=$A457)*tblDados[Primeira_Ocorrencia]))</f>
        <v>1</v>
      </c>
      <c r="F457" s="15" cm="1">
        <f t="array" ref="F457">IF($A457="","",SUMPRODUCT((TRIM(tblDados[Visitante])=$A457)*tblDados[Primeira_Ocorrencia]))</f>
        <v>1</v>
      </c>
      <c r="G457" s="15" cm="1">
        <f t="array" ref="G457">IF($A457="","",SUMPRODUCT((TRIM(tblDados[Mandante])=$A457)*tblDados[Primeira_Ocorrencia])+SUMPRODUCT((TRIM(tblDados[Visitante])=$A457)*tblDados[Primeira_Ocorrencia]))</f>
        <v>2</v>
      </c>
      <c r="H457" s="14">
        <f t="shared" si="147"/>
        <v>0.5</v>
      </c>
      <c r="I457" s="14" cm="1">
        <f t="array" ref="I457">IF($A457="","",_xlfn.LET(_xlpm.p,IFERROR(INDEX(tblDados[País],MATCH($A457,TRIM(tblDados[Mandante]),0)),INDEX(tblDados[País],MATCH($A457,TRIM(tblDados[Visitante]),0))),_xlpm.l,IFERROR(INDEX(tblDados[Liga],MATCH($A457,TRIM(tblDados[Mandante]),0)),INDEX(tblDados[Liga],MATCH($A457,TRIM(tblDados[Visitante]),0))),IFERROR(SUMIFS(Ligas!$D$2:$D$39,Ligas!$H$2:$H$39,_xlpm.p,Ligas!$I$2:$I$39,_xlpm.l),0)))</f>
        <v>3.56</v>
      </c>
      <c r="J457" s="16" cm="1">
        <f t="array" ref="J457">IF($A457="","",IFERROR((SUMPRODUCT((TRIM(tblDados[Mandante])=$A457)*tblDados[Primeira_Ocorrencia]*(tblDados[GM_M]=0))+SUMPRODUCT((TRIM(tblDados[Visitante])=$A457)*tblDados[Primeira_Ocorrencia]*(tblDados[GM_V]=0)))/G457,0))</f>
        <v>0.5</v>
      </c>
      <c r="K457" s="16" cm="1">
        <f t="array" ref="K457">IF($A457="","",IFERROR((SUMPRODUCT((TRIM(tblDados[Mandante])=$A457)*tblDados[Primeira_Ocorrencia]*((tblDados[GM_M]+tblDados[GS_M])&gt;0.5))+SUMPRODUCT((TRIM(tblDados[Visitante])=$A457)*tblDados[Primeira_Ocorrencia]*((tblDados[GM_V]+tblDados[GS_V])&gt;0.5)))/G457,0))</f>
        <v>1</v>
      </c>
      <c r="L457" s="16" cm="1">
        <f t="array" ref="L457">IF($A457="","",IFERROR((SUMPRODUCT((TRIM(tblDados[Mandante])=$A457)*tblDados[Primeira_Ocorrencia]*((tblDados[GM_M]+tblDados[GS_M])&gt;1.5))+SUMPRODUCT((TRIM(tblDados[Visitante])=$A457)*tblDados[Primeira_Ocorrencia]*((tblDados[GM_V]+tblDados[GS_V])&gt;1.5)))/G457,0))</f>
        <v>1</v>
      </c>
      <c r="M457" s="16" cm="1">
        <f t="array" ref="M457">IF($A457="","",IFERROR((SUMPRODUCT((TRIM(tblDados[Mandante])=$A457)*tblDados[Primeira_Ocorrencia]*((tblDados[GM_M]+tblDados[GS_M])&gt;2.5))+SUMPRODUCT((TRIM(tblDados[Visitante])=$A457)*tblDados[Primeira_Ocorrencia]*((tblDados[GM_V]+tblDados[GS_V])&gt;2.5)))/G457,0))</f>
        <v>0</v>
      </c>
      <c r="N457" s="16" cm="1">
        <f t="array" ref="N457">IF($A457="","",IFERROR((SUMPRODUCT((TRIM(tblDados[Mandante])=$A457)*tblDados[Primeira_Ocorrencia]*((tblDados[GM_M]+tblDados[GS_M])&gt;3.5))+SUMPRODUCT((TRIM(tblDados[Visitante])=$A457)*tblDados[Primeira_Ocorrencia]*((tblDados[GM_V]+tblDados[GS_V])&gt;3.5)))/G457,0))</f>
        <v>0</v>
      </c>
      <c r="O457" s="16" cm="1">
        <f t="array" ref="O457">IF($A457="","",IFERROR((SUMPRODUCT((TRIM(tblDados[Mandante])=$A457)*tblDados[Primeira_Ocorrencia]*(tblDados[GM_M]&gt;0)*(tblDados[GS_M]&gt;0))+SUMPRODUCT((TRIM(tblDados[Visitante])=$A457)*tblDados[Primeira_Ocorrencia]*(tblDados[GM_V]&gt;0)*(tblDados[GS_V]&gt;0)))/G457,0))</f>
        <v>0.5</v>
      </c>
      <c r="P457" s="14" cm="1">
        <f t="array" ref="P457">IF($A457="","",IFERROR((SUMPRODUCT((TRIM(tblDados[Mandante])=$A457)*tblDados[Primeira_Ocorrencia]*tblDados[GM_M]^2)+SUMPRODUCT((TRIM(tblDados[Visitante])=$A457)*tblDados[Primeira_Ocorrencia]*tblDados[GM_V]^2))/G457-H457^2,0))</f>
        <v>0.25</v>
      </c>
      <c r="Q457" s="14">
        <f t="shared" si="148"/>
        <v>0.5</v>
      </c>
      <c r="R457" s="1" t="str">
        <f t="shared" si="149"/>
        <v>Amostra Insuficiente</v>
      </c>
      <c r="S457" s="14" cm="1">
        <f t="array" ref="S457">IF($A457="","",SUMPRODUCT((TRIM(tblDados[Mandante])=$A457)*tblDados[Primeira_Ocorrencia]*tblDados[GM_M]))</f>
        <v>1</v>
      </c>
      <c r="T457" s="14" cm="1">
        <f t="array" ref="T457">IF($A457="","",SUMPRODUCT((TRIM(tblDados[Visitante])=$A457)*tblDados[Primeira_Ocorrencia]*tblDados[GM_V]))</f>
        <v>0</v>
      </c>
      <c r="U457" s="14">
        <f t="shared" si="150"/>
        <v>1</v>
      </c>
      <c r="V457" s="14">
        <f t="shared" si="139"/>
        <v>0.5</v>
      </c>
      <c r="W457" s="14" cm="1">
        <f t="array" ref="W457">IF($A457="","",SUMPRODUCT((TRIM(tblDados[Mandante])=$A457)*tblDados[Primeira_Ocorrencia]*tblDados[GS_M]))</f>
        <v>1</v>
      </c>
      <c r="X457" s="14" cm="1">
        <f t="array" ref="X457">IF($A457="","",SUMPRODUCT((TRIM(tblDados[Visitante])=$A457)*tblDados[Primeira_Ocorrencia]*tblDados[GS_V]))</f>
        <v>2</v>
      </c>
      <c r="Y457" s="14">
        <f t="shared" si="151"/>
        <v>3</v>
      </c>
      <c r="Z457" s="14">
        <f t="shared" si="140"/>
        <v>1.5</v>
      </c>
      <c r="AA457" s="14">
        <f t="shared" si="141"/>
        <v>1</v>
      </c>
      <c r="AB457" s="14">
        <f t="shared" si="142"/>
        <v>1</v>
      </c>
      <c r="AC457" s="14">
        <f t="shared" si="143"/>
        <v>0</v>
      </c>
      <c r="AD457" s="14">
        <f t="shared" si="144"/>
        <v>2</v>
      </c>
    </row>
    <row r="458" spans="1:30" x14ac:dyDescent="0.3">
      <c r="A458" s="1" t="str">
        <v>Balcatta</v>
      </c>
      <c r="B458" s="13" t="str" cm="1">
        <f t="array" ref="B458">IF($A458="","",_xlfn.LET(_xlpm.p,IFERROR(INDEX(tblDados[País],MATCH($A458,TRIM(tblDados[Mandante]),0)),INDEX(tblDados[País],MATCH($A458,TRIM(tblDados[Visitante]),0))),_xlpm.l,IFERROR(INDEX(tblDados[Liga],MATCH($A458,TRIM(tblDados[Mandante]),0)),INDEX(tblDados[Liga],MATCH($A458,TRIM(tblDados[Visitante]),0))),_xlpm.p&amp;" - "&amp;_xlpm.l))</f>
        <v>AUS - NPL Western Australia</v>
      </c>
      <c r="C458" s="14">
        <f t="shared" si="145"/>
        <v>3</v>
      </c>
      <c r="D458" s="14">
        <f t="shared" si="146"/>
        <v>7</v>
      </c>
      <c r="E458" s="15" cm="1">
        <f t="array" ref="E458">IF($A458="","",SUMPRODUCT((TRIM(tblDados[Mandante])=$A458)*tblDados[Primeira_Ocorrencia]))</f>
        <v>1</v>
      </c>
      <c r="F458" s="15" cm="1">
        <f t="array" ref="F458">IF($A458="","",SUMPRODUCT((TRIM(tblDados[Visitante])=$A458)*tblDados[Primeira_Ocorrencia]))</f>
        <v>1</v>
      </c>
      <c r="G458" s="15" cm="1">
        <f t="array" ref="G458">IF($A458="","",SUMPRODUCT((TRIM(tblDados[Mandante])=$A458)*tblDados[Primeira_Ocorrencia])+SUMPRODUCT((TRIM(tblDados[Visitante])=$A458)*tblDados[Primeira_Ocorrencia]))</f>
        <v>2</v>
      </c>
      <c r="H458" s="14">
        <f t="shared" si="147"/>
        <v>0</v>
      </c>
      <c r="I458" s="14" cm="1">
        <f t="array" ref="I458">IF($A458="","",_xlfn.LET(_xlpm.p,IFERROR(INDEX(tblDados[País],MATCH($A458,TRIM(tblDados[Mandante]),0)),INDEX(tblDados[País],MATCH($A458,TRIM(tblDados[Visitante]),0))),_xlpm.l,IFERROR(INDEX(tblDados[Liga],MATCH($A458,TRIM(tblDados[Mandante]),0)),INDEX(tblDados[Liga],MATCH($A458,TRIM(tblDados[Visitante]),0))),IFERROR(SUMIFS(Ligas!$D$2:$D$39,Ligas!$H$2:$H$39,_xlpm.p,Ligas!$I$2:$I$39,_xlpm.l),0)))</f>
        <v>3.56</v>
      </c>
      <c r="J458" s="16" cm="1">
        <f t="array" ref="J458">IF($A458="","",IFERROR((SUMPRODUCT((TRIM(tblDados[Mandante])=$A458)*tblDados[Primeira_Ocorrencia]*(tblDados[GM_M]=0))+SUMPRODUCT((TRIM(tblDados[Visitante])=$A458)*tblDados[Primeira_Ocorrencia]*(tblDados[GM_V]=0)))/G458,0))</f>
        <v>1</v>
      </c>
      <c r="K458" s="16" cm="1">
        <f t="array" ref="K458">IF($A458="","",IFERROR((SUMPRODUCT((TRIM(tblDados[Mandante])=$A458)*tblDados[Primeira_Ocorrencia]*((tblDados[GM_M]+tblDados[GS_M])&gt;0.5))+SUMPRODUCT((TRIM(tblDados[Visitante])=$A458)*tblDados[Primeira_Ocorrencia]*((tblDados[GM_V]+tblDados[GS_V])&gt;0.5)))/G458,0))</f>
        <v>1</v>
      </c>
      <c r="L458" s="16" cm="1">
        <f t="array" ref="L458">IF($A458="","",IFERROR((SUMPRODUCT((TRIM(tblDados[Mandante])=$A458)*tblDados[Primeira_Ocorrencia]*((tblDados[GM_M]+tblDados[GS_M])&gt;1.5))+SUMPRODUCT((TRIM(tblDados[Visitante])=$A458)*tblDados[Primeira_Ocorrencia]*((tblDados[GM_V]+tblDados[GS_V])&gt;1.5)))/G458,0))</f>
        <v>1</v>
      </c>
      <c r="M458" s="16" cm="1">
        <f t="array" ref="M458">IF($A458="","",IFERROR((SUMPRODUCT((TRIM(tblDados[Mandante])=$A458)*tblDados[Primeira_Ocorrencia]*((tblDados[GM_M]+tblDados[GS_M])&gt;2.5))+SUMPRODUCT((TRIM(tblDados[Visitante])=$A458)*tblDados[Primeira_Ocorrencia]*((tblDados[GM_V]+tblDados[GS_V])&gt;2.5)))/G458,0))</f>
        <v>1</v>
      </c>
      <c r="N458" s="16" cm="1">
        <f t="array" ref="N458">IF($A458="","",IFERROR((SUMPRODUCT((TRIM(tblDados[Mandante])=$A458)*tblDados[Primeira_Ocorrencia]*((tblDados[GM_M]+tblDados[GS_M])&gt;3.5))+SUMPRODUCT((TRIM(tblDados[Visitante])=$A458)*tblDados[Primeira_Ocorrencia]*((tblDados[GM_V]+tblDados[GS_V])&gt;3.5)))/G458,0))</f>
        <v>0.5</v>
      </c>
      <c r="O458" s="16" cm="1">
        <f t="array" ref="O458">IF($A458="","",IFERROR((SUMPRODUCT((TRIM(tblDados[Mandante])=$A458)*tblDados[Primeira_Ocorrencia]*(tblDados[GM_M]&gt;0)*(tblDados[GS_M]&gt;0))+SUMPRODUCT((TRIM(tblDados[Visitante])=$A458)*tblDados[Primeira_Ocorrencia]*(tblDados[GM_V]&gt;0)*(tblDados[GS_V]&gt;0)))/G458,0))</f>
        <v>0</v>
      </c>
      <c r="P458" s="14" cm="1">
        <f t="array" ref="P458">IF($A458="","",IFERROR((SUMPRODUCT((TRIM(tblDados[Mandante])=$A458)*tblDados[Primeira_Ocorrencia]*tblDados[GM_M]^2)+SUMPRODUCT((TRIM(tblDados[Visitante])=$A458)*tblDados[Primeira_Ocorrencia]*tblDados[GM_V]^2))/G458-H458^2,0))</f>
        <v>0</v>
      </c>
      <c r="Q458" s="14">
        <f t="shared" si="148"/>
        <v>0</v>
      </c>
      <c r="R458" s="1" t="str">
        <f t="shared" si="149"/>
        <v>Amostra Insuficiente</v>
      </c>
      <c r="S458" s="14" cm="1">
        <f t="array" ref="S458">IF($A458="","",SUMPRODUCT((TRIM(tblDados[Mandante])=$A458)*tblDados[Primeira_Ocorrencia]*tblDados[GM_M]))</f>
        <v>0</v>
      </c>
      <c r="T458" s="14" cm="1">
        <f t="array" ref="T458">IF($A458="","",SUMPRODUCT((TRIM(tblDados[Visitante])=$A458)*tblDados[Primeira_Ocorrencia]*tblDados[GM_V]))</f>
        <v>0</v>
      </c>
      <c r="U458" s="14">
        <f t="shared" si="150"/>
        <v>0</v>
      </c>
      <c r="V458" s="14">
        <f t="shared" si="139"/>
        <v>0</v>
      </c>
      <c r="W458" s="14" cm="1">
        <f t="array" ref="W458">IF($A458="","",SUMPRODUCT((TRIM(tblDados[Mandante])=$A458)*tblDados[Primeira_Ocorrencia]*tblDados[GS_M]))</f>
        <v>3</v>
      </c>
      <c r="X458" s="14" cm="1">
        <f t="array" ref="X458">IF($A458="","",SUMPRODUCT((TRIM(tblDados[Visitante])=$A458)*tblDados[Primeira_Ocorrencia]*tblDados[GS_V]))</f>
        <v>7</v>
      </c>
      <c r="Y458" s="14">
        <f t="shared" si="151"/>
        <v>10</v>
      </c>
      <c r="Z458" s="14">
        <f t="shared" si="140"/>
        <v>5</v>
      </c>
      <c r="AA458" s="14">
        <f t="shared" si="141"/>
        <v>0</v>
      </c>
      <c r="AB458" s="14">
        <f t="shared" si="142"/>
        <v>3</v>
      </c>
      <c r="AC458" s="14">
        <f t="shared" si="143"/>
        <v>0</v>
      </c>
      <c r="AD458" s="14">
        <f t="shared" si="144"/>
        <v>7</v>
      </c>
    </row>
    <row r="459" spans="1:30" x14ac:dyDescent="0.3">
      <c r="A459" s="1" t="str">
        <v>Campbelltown City</v>
      </c>
      <c r="B459" s="13" t="str" cm="1">
        <f t="array" ref="B459">IF($A459="","",_xlfn.LET(_xlpm.p,IFERROR(INDEX(tblDados[País],MATCH($A459,TRIM(tblDados[Mandante]),0)),INDEX(tblDados[País],MATCH($A459,TRIM(tblDados[Visitante]),0))),_xlpm.l,IFERROR(INDEX(tblDados[Liga],MATCH($A459,TRIM(tblDados[Mandante]),0)),INDEX(tblDados[Liga],MATCH($A459,TRIM(tblDados[Visitante]),0))),_xlpm.p&amp;" - "&amp;_xlpm.l))</f>
        <v>AUS - NPL South Australia</v>
      </c>
      <c r="C459" s="14">
        <f t="shared" si="145"/>
        <v>2</v>
      </c>
      <c r="D459" s="14">
        <f t="shared" si="146"/>
        <v>4</v>
      </c>
      <c r="E459" s="15" cm="1">
        <f t="array" ref="E459">IF($A459="","",SUMPRODUCT((TRIM(tblDados[Mandante])=$A459)*tblDados[Primeira_Ocorrencia]))</f>
        <v>1</v>
      </c>
      <c r="F459" s="15" cm="1">
        <f t="array" ref="F459">IF($A459="","",SUMPRODUCT((TRIM(tblDados[Visitante])=$A459)*tblDados[Primeira_Ocorrencia]))</f>
        <v>1</v>
      </c>
      <c r="G459" s="15" cm="1">
        <f t="array" ref="G459">IF($A459="","",SUMPRODUCT((TRIM(tblDados[Mandante])=$A459)*tblDados[Primeira_Ocorrencia])+SUMPRODUCT((TRIM(tblDados[Visitante])=$A459)*tblDados[Primeira_Ocorrencia]))</f>
        <v>2</v>
      </c>
      <c r="H459" s="14">
        <f t="shared" si="147"/>
        <v>2</v>
      </c>
      <c r="I459" s="14" cm="1">
        <f t="array" ref="I459">IF($A459="","",_xlfn.LET(_xlpm.p,IFERROR(INDEX(tblDados[País],MATCH($A459,TRIM(tblDados[Mandante]),0)),INDEX(tblDados[País],MATCH($A459,TRIM(tblDados[Visitante]),0))),_xlpm.l,IFERROR(INDEX(tblDados[Liga],MATCH($A459,TRIM(tblDados[Mandante]),0)),INDEX(tblDados[Liga],MATCH($A459,TRIM(tblDados[Visitante]),0))),IFERROR(SUMIFS(Ligas!$D$2:$D$39,Ligas!$H$2:$H$39,_xlpm.p,Ligas!$I$2:$I$39,_xlpm.l),0)))</f>
        <v>3.49</v>
      </c>
      <c r="J459" s="16" cm="1">
        <f t="array" ref="J459">IF($A459="","",IFERROR((SUMPRODUCT((TRIM(tblDados[Mandante])=$A459)*tblDados[Primeira_Ocorrencia]*(tblDados[GM_M]=0))+SUMPRODUCT((TRIM(tblDados[Visitante])=$A459)*tblDados[Primeira_Ocorrencia]*(tblDados[GM_V]=0)))/G459,0))</f>
        <v>0</v>
      </c>
      <c r="K459" s="16" cm="1">
        <f t="array" ref="K459">IF($A459="","",IFERROR((SUMPRODUCT((TRIM(tblDados[Mandante])=$A459)*tblDados[Primeira_Ocorrencia]*((tblDados[GM_M]+tblDados[GS_M])&gt;0.5))+SUMPRODUCT((TRIM(tblDados[Visitante])=$A459)*tblDados[Primeira_Ocorrencia]*((tblDados[GM_V]+tblDados[GS_V])&gt;0.5)))/G459,0))</f>
        <v>1</v>
      </c>
      <c r="L459" s="16" cm="1">
        <f t="array" ref="L459">IF($A459="","",IFERROR((SUMPRODUCT((TRIM(tblDados[Mandante])=$A459)*tblDados[Primeira_Ocorrencia]*((tblDados[GM_M]+tblDados[GS_M])&gt;1.5))+SUMPRODUCT((TRIM(tblDados[Visitante])=$A459)*tblDados[Primeira_Ocorrencia]*((tblDados[GM_V]+tblDados[GS_V])&gt;1.5)))/G459,0))</f>
        <v>1</v>
      </c>
      <c r="M459" s="16" cm="1">
        <f t="array" ref="M459">IF($A459="","",IFERROR((SUMPRODUCT((TRIM(tblDados[Mandante])=$A459)*tblDados[Primeira_Ocorrencia]*((tblDados[GM_M]+tblDados[GS_M])&gt;2.5))+SUMPRODUCT((TRIM(tblDados[Visitante])=$A459)*tblDados[Primeira_Ocorrencia]*((tblDados[GM_V]+tblDados[GS_V])&gt;2.5)))/G459,0))</f>
        <v>0.5</v>
      </c>
      <c r="N459" s="16" cm="1">
        <f t="array" ref="N459">IF($A459="","",IFERROR((SUMPRODUCT((TRIM(tblDados[Mandante])=$A459)*tblDados[Primeira_Ocorrencia]*((tblDados[GM_M]+tblDados[GS_M])&gt;3.5))+SUMPRODUCT((TRIM(tblDados[Visitante])=$A459)*tblDados[Primeira_Ocorrencia]*((tblDados[GM_V]+tblDados[GS_V])&gt;3.5)))/G459,0))</f>
        <v>0.5</v>
      </c>
      <c r="O459" s="16" cm="1">
        <f t="array" ref="O459">IF($A459="","",IFERROR((SUMPRODUCT((TRIM(tblDados[Mandante])=$A459)*tblDados[Primeira_Ocorrencia]*(tblDados[GM_M]&gt;0)*(tblDados[GS_M]&gt;0))+SUMPRODUCT((TRIM(tblDados[Visitante])=$A459)*tblDados[Primeira_Ocorrencia]*(tblDados[GM_V]&gt;0)*(tblDados[GS_V]&gt;0)))/G459,0))</f>
        <v>0.5</v>
      </c>
      <c r="P459" s="14" cm="1">
        <f t="array" ref="P459">IF($A459="","",IFERROR((SUMPRODUCT((TRIM(tblDados[Mandante])=$A459)*tblDados[Primeira_Ocorrencia]*tblDados[GM_M]^2)+SUMPRODUCT((TRIM(tblDados[Visitante])=$A459)*tblDados[Primeira_Ocorrencia]*tblDados[GM_V]^2))/G459-H459^2,0))</f>
        <v>0</v>
      </c>
      <c r="Q459" s="14">
        <f t="shared" si="148"/>
        <v>0</v>
      </c>
      <c r="R459" s="1" t="str">
        <f t="shared" si="149"/>
        <v>Amostra Insuficiente</v>
      </c>
      <c r="S459" s="14" cm="1">
        <f t="array" ref="S459">IF($A459="","",SUMPRODUCT((TRIM(tblDados[Mandante])=$A459)*tblDados[Primeira_Ocorrencia]*tblDados[GM_M]))</f>
        <v>2</v>
      </c>
      <c r="T459" s="14" cm="1">
        <f t="array" ref="T459">IF($A459="","",SUMPRODUCT((TRIM(tblDados[Visitante])=$A459)*tblDados[Primeira_Ocorrencia]*tblDados[GM_V]))</f>
        <v>2</v>
      </c>
      <c r="U459" s="14">
        <f t="shared" si="150"/>
        <v>4</v>
      </c>
      <c r="V459" s="14">
        <f t="shared" si="139"/>
        <v>2</v>
      </c>
      <c r="W459" s="14" cm="1">
        <f t="array" ref="W459">IF($A459="","",SUMPRODUCT((TRIM(tblDados[Mandante])=$A459)*tblDados[Primeira_Ocorrencia]*tblDados[GS_M]))</f>
        <v>0</v>
      </c>
      <c r="X459" s="14" cm="1">
        <f t="array" ref="X459">IF($A459="","",SUMPRODUCT((TRIM(tblDados[Visitante])=$A459)*tblDados[Primeira_Ocorrencia]*tblDados[GS_V]))</f>
        <v>2</v>
      </c>
      <c r="Y459" s="14">
        <f t="shared" si="151"/>
        <v>2</v>
      </c>
      <c r="Z459" s="14">
        <f t="shared" si="140"/>
        <v>1</v>
      </c>
      <c r="AA459" s="14">
        <f t="shared" si="141"/>
        <v>2</v>
      </c>
      <c r="AB459" s="14">
        <f t="shared" si="142"/>
        <v>0</v>
      </c>
      <c r="AC459" s="14">
        <f t="shared" si="143"/>
        <v>2</v>
      </c>
      <c r="AD459" s="14">
        <f t="shared" si="144"/>
        <v>2</v>
      </c>
    </row>
    <row r="460" spans="1:30" x14ac:dyDescent="0.3">
      <c r="A460" s="1" t="str">
        <v>Dianella White Eagle</v>
      </c>
      <c r="B460" s="13" t="str" cm="1">
        <f t="array" ref="B460">IF($A460="","",_xlfn.LET(_xlpm.p,IFERROR(INDEX(tblDados[País],MATCH($A460,TRIM(tblDados[Mandante]),0)),INDEX(tblDados[País],MATCH($A460,TRIM(tblDados[Visitante]),0))),_xlpm.l,IFERROR(INDEX(tblDados[Liga],MATCH($A460,TRIM(tblDados[Mandante]),0)),INDEX(tblDados[Liga],MATCH($A460,TRIM(tblDados[Visitante]),0))),_xlpm.p&amp;" - "&amp;_xlpm.l))</f>
        <v>AUS - NPL Western Australia</v>
      </c>
      <c r="C460" s="14">
        <f t="shared" si="145"/>
        <v>3</v>
      </c>
      <c r="D460" s="14">
        <f t="shared" si="146"/>
        <v>7</v>
      </c>
      <c r="E460" s="15" cm="1">
        <f t="array" ref="E460">IF($A460="","",SUMPRODUCT((TRIM(tblDados[Mandante])=$A460)*tblDados[Primeira_Ocorrencia]))</f>
        <v>1</v>
      </c>
      <c r="F460" s="15" cm="1">
        <f t="array" ref="F460">IF($A460="","",SUMPRODUCT((TRIM(tblDados[Visitante])=$A460)*tblDados[Primeira_Ocorrencia]))</f>
        <v>1</v>
      </c>
      <c r="G460" s="15" cm="1">
        <f t="array" ref="G460">IF($A460="","",SUMPRODUCT((TRIM(tblDados[Mandante])=$A460)*tblDados[Primeira_Ocorrencia])+SUMPRODUCT((TRIM(tblDados[Visitante])=$A460)*tblDados[Primeira_Ocorrencia]))</f>
        <v>2</v>
      </c>
      <c r="H460" s="14">
        <f t="shared" si="147"/>
        <v>2.5</v>
      </c>
      <c r="I460" s="14" cm="1">
        <f t="array" ref="I460">IF($A460="","",_xlfn.LET(_xlpm.p,IFERROR(INDEX(tblDados[País],MATCH($A460,TRIM(tblDados[Mandante]),0)),INDEX(tblDados[País],MATCH($A460,TRIM(tblDados[Visitante]),0))),_xlpm.l,IFERROR(INDEX(tblDados[Liga],MATCH($A460,TRIM(tblDados[Mandante]),0)),INDEX(tblDados[Liga],MATCH($A460,TRIM(tblDados[Visitante]),0))),IFERROR(SUMIFS(Ligas!$D$2:$D$39,Ligas!$H$2:$H$39,_xlpm.p,Ligas!$I$2:$I$39,_xlpm.l),0)))</f>
        <v>3.56</v>
      </c>
      <c r="J460" s="16" cm="1">
        <f t="array" ref="J460">IF($A460="","",IFERROR((SUMPRODUCT((TRIM(tblDados[Mandante])=$A460)*tblDados[Primeira_Ocorrencia]*(tblDados[GM_M]=0))+SUMPRODUCT((TRIM(tblDados[Visitante])=$A460)*tblDados[Primeira_Ocorrencia]*(tblDados[GM_V]=0)))/G460,0))</f>
        <v>0</v>
      </c>
      <c r="K460" s="16" cm="1">
        <f t="array" ref="K460">IF($A460="","",IFERROR((SUMPRODUCT((TRIM(tblDados[Mandante])=$A460)*tblDados[Primeira_Ocorrencia]*((tblDados[GM_M]+tblDados[GS_M])&gt;0.5))+SUMPRODUCT((TRIM(tblDados[Visitante])=$A460)*tblDados[Primeira_Ocorrencia]*((tblDados[GM_V]+tblDados[GS_V])&gt;0.5)))/G460,0))</f>
        <v>1</v>
      </c>
      <c r="L460" s="16" cm="1">
        <f t="array" ref="L460">IF($A460="","",IFERROR((SUMPRODUCT((TRIM(tblDados[Mandante])=$A460)*tblDados[Primeira_Ocorrencia]*((tblDados[GM_M]+tblDados[GS_M])&gt;1.5))+SUMPRODUCT((TRIM(tblDados[Visitante])=$A460)*tblDados[Primeira_Ocorrencia]*((tblDados[GM_V]+tblDados[GS_V])&gt;1.5)))/G460,0))</f>
        <v>1</v>
      </c>
      <c r="M460" s="16" cm="1">
        <f t="array" ref="M460">IF($A460="","",IFERROR((SUMPRODUCT((TRIM(tblDados[Mandante])=$A460)*tblDados[Primeira_Ocorrencia]*((tblDados[GM_M]+tblDados[GS_M])&gt;2.5))+SUMPRODUCT((TRIM(tblDados[Visitante])=$A460)*tblDados[Primeira_Ocorrencia]*((tblDados[GM_V]+tblDados[GS_V])&gt;2.5)))/G460,0))</f>
        <v>1</v>
      </c>
      <c r="N460" s="16" cm="1">
        <f t="array" ref="N460">IF($A460="","",IFERROR((SUMPRODUCT((TRIM(tblDados[Mandante])=$A460)*tblDados[Primeira_Ocorrencia]*((tblDados[GM_M]+tblDados[GS_M])&gt;3.5))+SUMPRODUCT((TRIM(tblDados[Visitante])=$A460)*tblDados[Primeira_Ocorrencia]*((tblDados[GM_V]+tblDados[GS_V])&gt;3.5)))/G460,0))</f>
        <v>0.5</v>
      </c>
      <c r="O460" s="16" cm="1">
        <f t="array" ref="O460">IF($A460="","",IFERROR((SUMPRODUCT((TRIM(tblDados[Mandante])=$A460)*tblDados[Primeira_Ocorrencia]*(tblDados[GM_M]&gt;0)*(tblDados[GS_M]&gt;0))+SUMPRODUCT((TRIM(tblDados[Visitante])=$A460)*tblDados[Primeira_Ocorrencia]*(tblDados[GM_V]&gt;0)*(tblDados[GS_V]&gt;0)))/G460,0))</f>
        <v>1</v>
      </c>
      <c r="P460" s="14" cm="1">
        <f t="array" ref="P460">IF($A460="","",IFERROR((SUMPRODUCT((TRIM(tblDados[Mandante])=$A460)*tblDados[Primeira_Ocorrencia]*tblDados[GM_M]^2)+SUMPRODUCT((TRIM(tblDados[Visitante])=$A460)*tblDados[Primeira_Ocorrencia]*tblDados[GM_V]^2))/G460-H460^2,0))</f>
        <v>0.25</v>
      </c>
      <c r="Q460" s="14">
        <f t="shared" si="148"/>
        <v>0.5</v>
      </c>
      <c r="R460" s="1" t="str">
        <f t="shared" si="149"/>
        <v>Amostra Insuficiente</v>
      </c>
      <c r="S460" s="14" cm="1">
        <f t="array" ref="S460">IF($A460="","",SUMPRODUCT((TRIM(tblDados[Mandante])=$A460)*tblDados[Primeira_Ocorrencia]*tblDados[GM_M]))</f>
        <v>2</v>
      </c>
      <c r="T460" s="14" cm="1">
        <f t="array" ref="T460">IF($A460="","",SUMPRODUCT((TRIM(tblDados[Visitante])=$A460)*tblDados[Primeira_Ocorrencia]*tblDados[GM_V]))</f>
        <v>3</v>
      </c>
      <c r="U460" s="14">
        <f t="shared" si="150"/>
        <v>5</v>
      </c>
      <c r="V460" s="14">
        <f t="shared" si="139"/>
        <v>2.5</v>
      </c>
      <c r="W460" s="14" cm="1">
        <f t="array" ref="W460">IF($A460="","",SUMPRODUCT((TRIM(tblDados[Mandante])=$A460)*tblDados[Primeira_Ocorrencia]*tblDados[GS_M]))</f>
        <v>1</v>
      </c>
      <c r="X460" s="14" cm="1">
        <f t="array" ref="X460">IF($A460="","",SUMPRODUCT((TRIM(tblDados[Visitante])=$A460)*tblDados[Primeira_Ocorrencia]*tblDados[GS_V]))</f>
        <v>4</v>
      </c>
      <c r="Y460" s="14">
        <f t="shared" si="151"/>
        <v>5</v>
      </c>
      <c r="Z460" s="14">
        <f t="shared" si="140"/>
        <v>2.5</v>
      </c>
      <c r="AA460" s="14">
        <f t="shared" si="141"/>
        <v>2</v>
      </c>
      <c r="AB460" s="14">
        <f t="shared" si="142"/>
        <v>1</v>
      </c>
      <c r="AC460" s="14">
        <f t="shared" si="143"/>
        <v>3</v>
      </c>
      <c r="AD460" s="14">
        <f t="shared" si="144"/>
        <v>4</v>
      </c>
    </row>
    <row r="461" spans="1:30" x14ac:dyDescent="0.3">
      <c r="A461" s="1" t="str">
        <v>FK Beograd</v>
      </c>
      <c r="B461" s="13" t="str" cm="1">
        <f t="array" ref="B461">IF($A461="","",_xlfn.LET(_xlpm.p,IFERROR(INDEX(tblDados[País],MATCH($A461,TRIM(tblDados[Mandante]),0)),INDEX(tblDados[País],MATCH($A461,TRIM(tblDados[Visitante]),0))),_xlpm.l,IFERROR(INDEX(tblDados[Liga],MATCH($A461,TRIM(tblDados[Mandante]),0)),INDEX(tblDados[Liga],MATCH($A461,TRIM(tblDados[Visitante]),0))),_xlpm.p&amp;" - "&amp;_xlpm.l))</f>
        <v>AUS - NPL South Australia</v>
      </c>
      <c r="C461" s="14">
        <f t="shared" si="145"/>
        <v>4</v>
      </c>
      <c r="D461" s="14">
        <f t="shared" si="146"/>
        <v>2</v>
      </c>
      <c r="E461" s="15" cm="1">
        <f t="array" ref="E461">IF($A461="","",SUMPRODUCT((TRIM(tblDados[Mandante])=$A461)*tblDados[Primeira_Ocorrencia]))</f>
        <v>1</v>
      </c>
      <c r="F461" s="15" cm="1">
        <f t="array" ref="F461">IF($A461="","",SUMPRODUCT((TRIM(tblDados[Visitante])=$A461)*tblDados[Primeira_Ocorrencia]))</f>
        <v>1</v>
      </c>
      <c r="G461" s="15" cm="1">
        <f t="array" ref="G461">IF($A461="","",SUMPRODUCT((TRIM(tblDados[Mandante])=$A461)*tblDados[Primeira_Ocorrencia])+SUMPRODUCT((TRIM(tblDados[Visitante])=$A461)*tblDados[Primeira_Ocorrencia]))</f>
        <v>2</v>
      </c>
      <c r="H461" s="14">
        <f t="shared" si="147"/>
        <v>1.5</v>
      </c>
      <c r="I461" s="14" cm="1">
        <f t="array" ref="I461">IF($A461="","",_xlfn.LET(_xlpm.p,IFERROR(INDEX(tblDados[País],MATCH($A461,TRIM(tblDados[Mandante]),0)),INDEX(tblDados[País],MATCH($A461,TRIM(tblDados[Visitante]),0))),_xlpm.l,IFERROR(INDEX(tblDados[Liga],MATCH($A461,TRIM(tblDados[Mandante]),0)),INDEX(tblDados[Liga],MATCH($A461,TRIM(tblDados[Visitante]),0))),IFERROR(SUMIFS(Ligas!$D$2:$D$39,Ligas!$H$2:$H$39,_xlpm.p,Ligas!$I$2:$I$39,_xlpm.l),0)))</f>
        <v>3.49</v>
      </c>
      <c r="J461" s="16" cm="1">
        <f t="array" ref="J461">IF($A461="","",IFERROR((SUMPRODUCT((TRIM(tblDados[Mandante])=$A461)*tblDados[Primeira_Ocorrencia]*(tblDados[GM_M]=0))+SUMPRODUCT((TRIM(tblDados[Visitante])=$A461)*tblDados[Primeira_Ocorrencia]*(tblDados[GM_V]=0)))/G461,0))</f>
        <v>0</v>
      </c>
      <c r="K461" s="16" cm="1">
        <f t="array" ref="K461">IF($A461="","",IFERROR((SUMPRODUCT((TRIM(tblDados[Mandante])=$A461)*tblDados[Primeira_Ocorrencia]*((tblDados[GM_M]+tblDados[GS_M])&gt;0.5))+SUMPRODUCT((TRIM(tblDados[Visitante])=$A461)*tblDados[Primeira_Ocorrencia]*((tblDados[GM_V]+tblDados[GS_V])&gt;0.5)))/G461,0))</f>
        <v>1</v>
      </c>
      <c r="L461" s="16" cm="1">
        <f t="array" ref="L461">IF($A461="","",IFERROR((SUMPRODUCT((TRIM(tblDados[Mandante])=$A461)*tblDados[Primeira_Ocorrencia]*((tblDados[GM_M]+tblDados[GS_M])&gt;1.5))+SUMPRODUCT((TRIM(tblDados[Visitante])=$A461)*tblDados[Primeira_Ocorrencia]*((tblDados[GM_V]+tblDados[GS_V])&gt;1.5)))/G461,0))</f>
        <v>1</v>
      </c>
      <c r="M461" s="16" cm="1">
        <f t="array" ref="M461">IF($A461="","",IFERROR((SUMPRODUCT((TRIM(tblDados[Mandante])=$A461)*tblDados[Primeira_Ocorrencia]*((tblDados[GM_M]+tblDados[GS_M])&gt;2.5))+SUMPRODUCT((TRIM(tblDados[Visitante])=$A461)*tblDados[Primeira_Ocorrencia]*((tblDados[GM_V]+tblDados[GS_V])&gt;2.5)))/G461,0))</f>
        <v>0.5</v>
      </c>
      <c r="N461" s="16" cm="1">
        <f t="array" ref="N461">IF($A461="","",IFERROR((SUMPRODUCT((TRIM(tblDados[Mandante])=$A461)*tblDados[Primeira_Ocorrencia]*((tblDados[GM_M]+tblDados[GS_M])&gt;3.5))+SUMPRODUCT((TRIM(tblDados[Visitante])=$A461)*tblDados[Primeira_Ocorrencia]*((tblDados[GM_V]+tblDados[GS_V])&gt;3.5)))/G461,0))</f>
        <v>0.5</v>
      </c>
      <c r="O461" s="16" cm="1">
        <f t="array" ref="O461">IF($A461="","",IFERROR((SUMPRODUCT((TRIM(tblDados[Mandante])=$A461)*tblDados[Primeira_Ocorrencia]*(tblDados[GM_M]&gt;0)*(tblDados[GS_M]&gt;0))+SUMPRODUCT((TRIM(tblDados[Visitante])=$A461)*tblDados[Primeira_Ocorrencia]*(tblDados[GM_V]&gt;0)*(tblDados[GS_V]&gt;0)))/G461,0))</f>
        <v>0.5</v>
      </c>
      <c r="P461" s="14" cm="1">
        <f t="array" ref="P461">IF($A461="","",IFERROR((SUMPRODUCT((TRIM(tblDados[Mandante])=$A461)*tblDados[Primeira_Ocorrencia]*tblDados[GM_M]^2)+SUMPRODUCT((TRIM(tblDados[Visitante])=$A461)*tblDados[Primeira_Ocorrencia]*tblDados[GM_V]^2))/G461-H461^2,0))</f>
        <v>0.25</v>
      </c>
      <c r="Q461" s="14">
        <f t="shared" si="148"/>
        <v>0.5</v>
      </c>
      <c r="R461" s="1" t="str">
        <f t="shared" si="149"/>
        <v>Amostra Insuficiente</v>
      </c>
      <c r="S461" s="14" cm="1">
        <f t="array" ref="S461">IF($A461="","",SUMPRODUCT((TRIM(tblDados[Mandante])=$A461)*tblDados[Primeira_Ocorrencia]*tblDados[GM_M]))</f>
        <v>1</v>
      </c>
      <c r="T461" s="14" cm="1">
        <f t="array" ref="T461">IF($A461="","",SUMPRODUCT((TRIM(tblDados[Visitante])=$A461)*tblDados[Primeira_Ocorrencia]*tblDados[GM_V]))</f>
        <v>2</v>
      </c>
      <c r="U461" s="14">
        <f t="shared" si="150"/>
        <v>3</v>
      </c>
      <c r="V461" s="14">
        <f t="shared" si="139"/>
        <v>1.5</v>
      </c>
      <c r="W461" s="14" cm="1">
        <f t="array" ref="W461">IF($A461="","",SUMPRODUCT((TRIM(tblDados[Mandante])=$A461)*tblDados[Primeira_Ocorrencia]*tblDados[GS_M]))</f>
        <v>3</v>
      </c>
      <c r="X461" s="14" cm="1">
        <f t="array" ref="X461">IF($A461="","",SUMPRODUCT((TRIM(tblDados[Visitante])=$A461)*tblDados[Primeira_Ocorrencia]*tblDados[GS_V]))</f>
        <v>0</v>
      </c>
      <c r="Y461" s="14">
        <f t="shared" si="151"/>
        <v>3</v>
      </c>
      <c r="Z461" s="14">
        <f t="shared" si="140"/>
        <v>1.5</v>
      </c>
      <c r="AA461" s="14">
        <f t="shared" si="141"/>
        <v>1</v>
      </c>
      <c r="AB461" s="14">
        <f t="shared" si="142"/>
        <v>3</v>
      </c>
      <c r="AC461" s="14">
        <f t="shared" si="143"/>
        <v>2</v>
      </c>
      <c r="AD461" s="14">
        <f t="shared" si="144"/>
        <v>0</v>
      </c>
    </row>
    <row r="462" spans="1:30" x14ac:dyDescent="0.3">
      <c r="A462" s="1" t="str">
        <v>Fremantle City</v>
      </c>
      <c r="B462" s="13" t="str" cm="1">
        <f t="array" ref="B462">IF($A462="","",_xlfn.LET(_xlpm.p,IFERROR(INDEX(tblDados[País],MATCH($A462,TRIM(tblDados[Mandante]),0)),INDEX(tblDados[País],MATCH($A462,TRIM(tblDados[Visitante]),0))),_xlpm.l,IFERROR(INDEX(tblDados[Liga],MATCH($A462,TRIM(tblDados[Mandante]),0)),INDEX(tblDados[Liga],MATCH($A462,TRIM(tblDados[Visitante]),0))),_xlpm.p&amp;" - "&amp;_xlpm.l))</f>
        <v>AUS - NPL Western Australia</v>
      </c>
      <c r="C462" s="14">
        <f t="shared" si="145"/>
        <v>1</v>
      </c>
      <c r="D462" s="14">
        <f t="shared" si="146"/>
        <v>6</v>
      </c>
      <c r="E462" s="15" cm="1">
        <f t="array" ref="E462">IF($A462="","",SUMPRODUCT((TRIM(tblDados[Mandante])=$A462)*tblDados[Primeira_Ocorrencia]))</f>
        <v>1</v>
      </c>
      <c r="F462" s="15" cm="1">
        <f t="array" ref="F462">IF($A462="","",SUMPRODUCT((TRIM(tblDados[Visitante])=$A462)*tblDados[Primeira_Ocorrencia]))</f>
        <v>1</v>
      </c>
      <c r="G462" s="15" cm="1">
        <f t="array" ref="G462">IF($A462="","",SUMPRODUCT((TRIM(tblDados[Mandante])=$A462)*tblDados[Primeira_Ocorrencia])+SUMPRODUCT((TRIM(tblDados[Visitante])=$A462)*tblDados[Primeira_Ocorrencia]))</f>
        <v>2</v>
      </c>
      <c r="H462" s="14">
        <f t="shared" si="147"/>
        <v>1.5</v>
      </c>
      <c r="I462" s="14" cm="1">
        <f t="array" ref="I462">IF($A462="","",_xlfn.LET(_xlpm.p,IFERROR(INDEX(tblDados[País],MATCH($A462,TRIM(tblDados[Mandante]),0)),INDEX(tblDados[País],MATCH($A462,TRIM(tblDados[Visitante]),0))),_xlpm.l,IFERROR(INDEX(tblDados[Liga],MATCH($A462,TRIM(tblDados[Mandante]),0)),INDEX(tblDados[Liga],MATCH($A462,TRIM(tblDados[Visitante]),0))),IFERROR(SUMIFS(Ligas!$D$2:$D$39,Ligas!$H$2:$H$39,_xlpm.p,Ligas!$I$2:$I$39,_xlpm.l),0)))</f>
        <v>3.56</v>
      </c>
      <c r="J462" s="16" cm="1">
        <f t="array" ref="J462">IF($A462="","",IFERROR((SUMPRODUCT((TRIM(tblDados[Mandante])=$A462)*tblDados[Primeira_Ocorrencia]*(tblDados[GM_M]=0))+SUMPRODUCT((TRIM(tblDados[Visitante])=$A462)*tblDados[Primeira_Ocorrencia]*(tblDados[GM_V]=0)))/G462,0))</f>
        <v>0.5</v>
      </c>
      <c r="K462" s="16" cm="1">
        <f t="array" ref="K462">IF($A462="","",IFERROR((SUMPRODUCT((TRIM(tblDados[Mandante])=$A462)*tblDados[Primeira_Ocorrencia]*((tblDados[GM_M]+tblDados[GS_M])&gt;0.5))+SUMPRODUCT((TRIM(tblDados[Visitante])=$A462)*tblDados[Primeira_Ocorrencia]*((tblDados[GM_V]+tblDados[GS_V])&gt;0.5)))/G462,0))</f>
        <v>1</v>
      </c>
      <c r="L462" s="16" cm="1">
        <f t="array" ref="L462">IF($A462="","",IFERROR((SUMPRODUCT((TRIM(tblDados[Mandante])=$A462)*tblDados[Primeira_Ocorrencia]*((tblDados[GM_M]+tblDados[GS_M])&gt;1.5))+SUMPRODUCT((TRIM(tblDados[Visitante])=$A462)*tblDados[Primeira_Ocorrencia]*((tblDados[GM_V]+tblDados[GS_V])&gt;1.5)))/G462,0))</f>
        <v>0.5</v>
      </c>
      <c r="M462" s="16" cm="1">
        <f t="array" ref="M462">IF($A462="","",IFERROR((SUMPRODUCT((TRIM(tblDados[Mandante])=$A462)*tblDados[Primeira_Ocorrencia]*((tblDados[GM_M]+tblDados[GS_M])&gt;2.5))+SUMPRODUCT((TRIM(tblDados[Visitante])=$A462)*tblDados[Primeira_Ocorrencia]*((tblDados[GM_V]+tblDados[GS_V])&gt;2.5)))/G462,0))</f>
        <v>0.5</v>
      </c>
      <c r="N462" s="16" cm="1">
        <f t="array" ref="N462">IF($A462="","",IFERROR((SUMPRODUCT((TRIM(tblDados[Mandante])=$A462)*tblDados[Primeira_Ocorrencia]*((tblDados[GM_M]+tblDados[GS_M])&gt;3.5))+SUMPRODUCT((TRIM(tblDados[Visitante])=$A462)*tblDados[Primeira_Ocorrencia]*((tblDados[GM_V]+tblDados[GS_V])&gt;3.5)))/G462,0))</f>
        <v>0.5</v>
      </c>
      <c r="O462" s="16" cm="1">
        <f t="array" ref="O462">IF($A462="","",IFERROR((SUMPRODUCT((TRIM(tblDados[Mandante])=$A462)*tblDados[Primeira_Ocorrencia]*(tblDados[GM_M]&gt;0)*(tblDados[GS_M]&gt;0))+SUMPRODUCT((TRIM(tblDados[Visitante])=$A462)*tblDados[Primeira_Ocorrencia]*(tblDados[GM_V]&gt;0)*(tblDados[GS_V]&gt;0)))/G462,0))</f>
        <v>0.5</v>
      </c>
      <c r="P462" s="14" cm="1">
        <f t="array" ref="P462">IF($A462="","",IFERROR((SUMPRODUCT((TRIM(tblDados[Mandante])=$A462)*tblDados[Primeira_Ocorrencia]*tblDados[GM_M]^2)+SUMPRODUCT((TRIM(tblDados[Visitante])=$A462)*tblDados[Primeira_Ocorrencia]*tblDados[GM_V]^2))/G462-H462^2,0))</f>
        <v>2.25</v>
      </c>
      <c r="Q462" s="14">
        <f t="shared" si="148"/>
        <v>1.5</v>
      </c>
      <c r="R462" s="1" t="str">
        <f t="shared" si="149"/>
        <v>Amostra Insuficiente</v>
      </c>
      <c r="S462" s="14" cm="1">
        <f t="array" ref="S462">IF($A462="","",SUMPRODUCT((TRIM(tblDados[Mandante])=$A462)*tblDados[Primeira_Ocorrencia]*tblDados[GM_M]))</f>
        <v>0</v>
      </c>
      <c r="T462" s="14" cm="1">
        <f t="array" ref="T462">IF($A462="","",SUMPRODUCT((TRIM(tblDados[Visitante])=$A462)*tblDados[Primeira_Ocorrencia]*tblDados[GM_V]))</f>
        <v>3</v>
      </c>
      <c r="U462" s="14">
        <f t="shared" si="150"/>
        <v>3</v>
      </c>
      <c r="V462" s="14">
        <f t="shared" si="139"/>
        <v>1.5</v>
      </c>
      <c r="W462" s="14" cm="1">
        <f t="array" ref="W462">IF($A462="","",SUMPRODUCT((TRIM(tblDados[Mandante])=$A462)*tblDados[Primeira_Ocorrencia]*tblDados[GS_M]))</f>
        <v>1</v>
      </c>
      <c r="X462" s="14" cm="1">
        <f t="array" ref="X462">IF($A462="","",SUMPRODUCT((TRIM(tblDados[Visitante])=$A462)*tblDados[Primeira_Ocorrencia]*tblDados[GS_V]))</f>
        <v>3</v>
      </c>
      <c r="Y462" s="14">
        <f t="shared" si="151"/>
        <v>4</v>
      </c>
      <c r="Z462" s="14">
        <f t="shared" si="140"/>
        <v>2</v>
      </c>
      <c r="AA462" s="14">
        <f t="shared" si="141"/>
        <v>0</v>
      </c>
      <c r="AB462" s="14">
        <f t="shared" si="142"/>
        <v>1</v>
      </c>
      <c r="AC462" s="14">
        <f t="shared" si="143"/>
        <v>3</v>
      </c>
      <c r="AD462" s="14">
        <f t="shared" si="144"/>
        <v>3</v>
      </c>
    </row>
    <row r="463" spans="1:30" x14ac:dyDescent="0.3">
      <c r="A463" s="1" t="str">
        <v>NE Metrostars</v>
      </c>
      <c r="B463" s="13" t="str" cm="1">
        <f t="array" ref="B463">IF($A463="","",_xlfn.LET(_xlpm.p,IFERROR(INDEX(tblDados[País],MATCH($A463,TRIM(tblDados[Mandante]),0)),INDEX(tblDados[País],MATCH($A463,TRIM(tblDados[Visitante]),0))),_xlpm.l,IFERROR(INDEX(tblDados[Liga],MATCH($A463,TRIM(tblDados[Mandante]),0)),INDEX(tblDados[Liga],MATCH($A463,TRIM(tblDados[Visitante]),0))),_xlpm.p&amp;" - "&amp;_xlpm.l))</f>
        <v>AUS - NPL South Australia</v>
      </c>
      <c r="C463" s="14">
        <f t="shared" si="145"/>
        <v>1</v>
      </c>
      <c r="D463" s="14">
        <f t="shared" si="146"/>
        <v>5</v>
      </c>
      <c r="E463" s="15" cm="1">
        <f t="array" ref="E463">IF($A463="","",SUMPRODUCT((TRIM(tblDados[Mandante])=$A463)*tblDados[Primeira_Ocorrencia]))</f>
        <v>1</v>
      </c>
      <c r="F463" s="15" cm="1">
        <f t="array" ref="F463">IF($A463="","",SUMPRODUCT((TRIM(tblDados[Visitante])=$A463)*tblDados[Primeira_Ocorrencia]))</f>
        <v>1</v>
      </c>
      <c r="G463" s="15" cm="1">
        <f t="array" ref="G463">IF($A463="","",SUMPRODUCT((TRIM(tblDados[Mandante])=$A463)*tblDados[Primeira_Ocorrencia])+SUMPRODUCT((TRIM(tblDados[Visitante])=$A463)*tblDados[Primeira_Ocorrencia]))</f>
        <v>2</v>
      </c>
      <c r="H463" s="14">
        <f t="shared" si="147"/>
        <v>2</v>
      </c>
      <c r="I463" s="14" cm="1">
        <f t="array" ref="I463">IF($A463="","",_xlfn.LET(_xlpm.p,IFERROR(INDEX(tblDados[País],MATCH($A463,TRIM(tblDados[Mandante]),0)),INDEX(tblDados[País],MATCH($A463,TRIM(tblDados[Visitante]),0))),_xlpm.l,IFERROR(INDEX(tblDados[Liga],MATCH($A463,TRIM(tblDados[Mandante]),0)),INDEX(tblDados[Liga],MATCH($A463,TRIM(tblDados[Visitante]),0))),IFERROR(SUMIFS(Ligas!$D$2:$D$39,Ligas!$H$2:$H$39,_xlpm.p,Ligas!$I$2:$I$39,_xlpm.l),0)))</f>
        <v>3.49</v>
      </c>
      <c r="J463" s="16" cm="1">
        <f t="array" ref="J463">IF($A463="","",IFERROR((SUMPRODUCT((TRIM(tblDados[Mandante])=$A463)*tblDados[Primeira_Ocorrencia]*(tblDados[GM_M]=0))+SUMPRODUCT((TRIM(tblDados[Visitante])=$A463)*tblDados[Primeira_Ocorrencia]*(tblDados[GM_V]=0)))/G463,0))</f>
        <v>0</v>
      </c>
      <c r="K463" s="16" cm="1">
        <f t="array" ref="K463">IF($A463="","",IFERROR((SUMPRODUCT((TRIM(tblDados[Mandante])=$A463)*tblDados[Primeira_Ocorrencia]*((tblDados[GM_M]+tblDados[GS_M])&gt;0.5))+SUMPRODUCT((TRIM(tblDados[Visitante])=$A463)*tblDados[Primeira_Ocorrencia]*((tblDados[GM_V]+tblDados[GS_V])&gt;0.5)))/G463,0))</f>
        <v>1</v>
      </c>
      <c r="L463" s="16" cm="1">
        <f t="array" ref="L463">IF($A463="","",IFERROR((SUMPRODUCT((TRIM(tblDados[Mandante])=$A463)*tblDados[Primeira_Ocorrencia]*((tblDados[GM_M]+tblDados[GS_M])&gt;1.5))+SUMPRODUCT((TRIM(tblDados[Visitante])=$A463)*tblDados[Primeira_Ocorrencia]*((tblDados[GM_V]+tblDados[GS_V])&gt;1.5)))/G463,0))</f>
        <v>0.5</v>
      </c>
      <c r="M463" s="16" cm="1">
        <f t="array" ref="M463">IF($A463="","",IFERROR((SUMPRODUCT((TRIM(tblDados[Mandante])=$A463)*tblDados[Primeira_Ocorrencia]*((tblDados[GM_M]+tblDados[GS_M])&gt;2.5))+SUMPRODUCT((TRIM(tblDados[Visitante])=$A463)*tblDados[Primeira_Ocorrencia]*((tblDados[GM_V]+tblDados[GS_V])&gt;2.5)))/G463,0))</f>
        <v>0.5</v>
      </c>
      <c r="N463" s="16" cm="1">
        <f t="array" ref="N463">IF($A463="","",IFERROR((SUMPRODUCT((TRIM(tblDados[Mandante])=$A463)*tblDados[Primeira_Ocorrencia]*((tblDados[GM_M]+tblDados[GS_M])&gt;3.5))+SUMPRODUCT((TRIM(tblDados[Visitante])=$A463)*tblDados[Primeira_Ocorrencia]*((tblDados[GM_V]+tblDados[GS_V])&gt;3.5)))/G463,0))</f>
        <v>0.5</v>
      </c>
      <c r="O463" s="16" cm="1">
        <f t="array" ref="O463">IF($A463="","",IFERROR((SUMPRODUCT((TRIM(tblDados[Mandante])=$A463)*tblDados[Primeira_Ocorrencia]*(tblDados[GM_M]&gt;0)*(tblDados[GS_M]&gt;0))+SUMPRODUCT((TRIM(tblDados[Visitante])=$A463)*tblDados[Primeira_Ocorrencia]*(tblDados[GM_V]&gt;0)*(tblDados[GS_V]&gt;0)))/G463,0))</f>
        <v>0.5</v>
      </c>
      <c r="P463" s="14" cm="1">
        <f t="array" ref="P463">IF($A463="","",IFERROR((SUMPRODUCT((TRIM(tblDados[Mandante])=$A463)*tblDados[Primeira_Ocorrencia]*tblDados[GM_M]^2)+SUMPRODUCT((TRIM(tblDados[Visitante])=$A463)*tblDados[Primeira_Ocorrencia]*tblDados[GM_V]^2))/G463-H463^2,0))</f>
        <v>1</v>
      </c>
      <c r="Q463" s="14">
        <f t="shared" si="148"/>
        <v>1</v>
      </c>
      <c r="R463" s="1" t="str">
        <f t="shared" si="149"/>
        <v>Amostra Insuficiente</v>
      </c>
      <c r="S463" s="14" cm="1">
        <f t="array" ref="S463">IF($A463="","",SUMPRODUCT((TRIM(tblDados[Mandante])=$A463)*tblDados[Primeira_Ocorrencia]*tblDados[GM_M]))</f>
        <v>1</v>
      </c>
      <c r="T463" s="14" cm="1">
        <f t="array" ref="T463">IF($A463="","",SUMPRODUCT((TRIM(tblDados[Visitante])=$A463)*tblDados[Primeira_Ocorrencia]*tblDados[GM_V]))</f>
        <v>3</v>
      </c>
      <c r="U463" s="14">
        <f t="shared" si="150"/>
        <v>4</v>
      </c>
      <c r="V463" s="14">
        <f t="shared" si="139"/>
        <v>2</v>
      </c>
      <c r="W463" s="14" cm="1">
        <f t="array" ref="W463">IF($A463="","",SUMPRODUCT((TRIM(tblDados[Mandante])=$A463)*tblDados[Primeira_Ocorrencia]*tblDados[GS_M]))</f>
        <v>0</v>
      </c>
      <c r="X463" s="14" cm="1">
        <f t="array" ref="X463">IF($A463="","",SUMPRODUCT((TRIM(tblDados[Visitante])=$A463)*tblDados[Primeira_Ocorrencia]*tblDados[GS_V]))</f>
        <v>2</v>
      </c>
      <c r="Y463" s="14">
        <f t="shared" si="151"/>
        <v>2</v>
      </c>
      <c r="Z463" s="14">
        <f t="shared" si="140"/>
        <v>1</v>
      </c>
      <c r="AA463" s="14">
        <f t="shared" si="141"/>
        <v>1</v>
      </c>
      <c r="AB463" s="14">
        <f t="shared" si="142"/>
        <v>0</v>
      </c>
      <c r="AC463" s="14">
        <f t="shared" si="143"/>
        <v>3</v>
      </c>
      <c r="AD463" s="14">
        <f t="shared" si="144"/>
        <v>2</v>
      </c>
    </row>
    <row r="464" spans="1:30" x14ac:dyDescent="0.3">
      <c r="A464" s="1" t="str">
        <v>Para</v>
      </c>
      <c r="B464" s="13" t="str" cm="1">
        <f t="array" ref="B464">IF($A464="","",_xlfn.LET(_xlpm.p,IFERROR(INDEX(tblDados[País],MATCH($A464,TRIM(tblDados[Mandante]),0)),INDEX(tblDados[País],MATCH($A464,TRIM(tblDados[Visitante]),0))),_xlpm.l,IFERROR(INDEX(tblDados[Liga],MATCH($A464,TRIM(tblDados[Mandante]),0)),INDEX(tblDados[Liga],MATCH($A464,TRIM(tblDados[Visitante]),0))),_xlpm.p&amp;" - "&amp;_xlpm.l))</f>
        <v>AUS - NPL South Australia</v>
      </c>
      <c r="C464" s="14">
        <f t="shared" si="145"/>
        <v>5</v>
      </c>
      <c r="D464" s="14">
        <f t="shared" si="146"/>
        <v>5</v>
      </c>
      <c r="E464" s="15" cm="1">
        <f t="array" ref="E464">IF($A464="","",SUMPRODUCT((TRIM(tblDados[Mandante])=$A464)*tblDados[Primeira_Ocorrencia]))</f>
        <v>1</v>
      </c>
      <c r="F464" s="15" cm="1">
        <f t="array" ref="F464">IF($A464="","",SUMPRODUCT((TRIM(tblDados[Visitante])=$A464)*tblDados[Primeira_Ocorrencia]))</f>
        <v>1</v>
      </c>
      <c r="G464" s="15" cm="1">
        <f t="array" ref="G464">IF($A464="","",SUMPRODUCT((TRIM(tblDados[Mandante])=$A464)*tblDados[Primeira_Ocorrencia])+SUMPRODUCT((TRIM(tblDados[Visitante])=$A464)*tblDados[Primeira_Ocorrencia]))</f>
        <v>2</v>
      </c>
      <c r="H464" s="14">
        <f t="shared" si="147"/>
        <v>1</v>
      </c>
      <c r="I464" s="14" cm="1">
        <f t="array" ref="I464">IF($A464="","",_xlfn.LET(_xlpm.p,IFERROR(INDEX(tblDados[País],MATCH($A464,TRIM(tblDados[Mandante]),0)),INDEX(tblDados[País],MATCH($A464,TRIM(tblDados[Visitante]),0))),_xlpm.l,IFERROR(INDEX(tblDados[Liga],MATCH($A464,TRIM(tblDados[Mandante]),0)),INDEX(tblDados[Liga],MATCH($A464,TRIM(tblDados[Visitante]),0))),IFERROR(SUMIFS(Ligas!$D$2:$D$39,Ligas!$H$2:$H$39,_xlpm.p,Ligas!$I$2:$I$39,_xlpm.l),0)))</f>
        <v>3.49</v>
      </c>
      <c r="J464" s="16" cm="1">
        <f t="array" ref="J464">IF($A464="","",IFERROR((SUMPRODUCT((TRIM(tblDados[Mandante])=$A464)*tblDados[Primeira_Ocorrencia]*(tblDados[GM_M]=0))+SUMPRODUCT((TRIM(tblDados[Visitante])=$A464)*tblDados[Primeira_Ocorrencia]*(tblDados[GM_V]=0)))/G464,0))</f>
        <v>0.5</v>
      </c>
      <c r="K464" s="16" cm="1">
        <f t="array" ref="K464">IF($A464="","",IFERROR((SUMPRODUCT((TRIM(tblDados[Mandante])=$A464)*tblDados[Primeira_Ocorrencia]*((tblDados[GM_M]+tblDados[GS_M])&gt;0.5))+SUMPRODUCT((TRIM(tblDados[Visitante])=$A464)*tblDados[Primeira_Ocorrencia]*((tblDados[GM_V]+tblDados[GS_V])&gt;0.5)))/G464,0))</f>
        <v>1</v>
      </c>
      <c r="L464" s="16" cm="1">
        <f t="array" ref="L464">IF($A464="","",IFERROR((SUMPRODUCT((TRIM(tblDados[Mandante])=$A464)*tblDados[Primeira_Ocorrencia]*((tblDados[GM_M]+tblDados[GS_M])&gt;1.5))+SUMPRODUCT((TRIM(tblDados[Visitante])=$A464)*tblDados[Primeira_Ocorrencia]*((tblDados[GM_V]+tblDados[GS_V])&gt;1.5)))/G464,0))</f>
        <v>1</v>
      </c>
      <c r="M464" s="16" cm="1">
        <f t="array" ref="M464">IF($A464="","",IFERROR((SUMPRODUCT((TRIM(tblDados[Mandante])=$A464)*tblDados[Primeira_Ocorrencia]*((tblDados[GM_M]+tblDados[GS_M])&gt;2.5))+SUMPRODUCT((TRIM(tblDados[Visitante])=$A464)*tblDados[Primeira_Ocorrencia]*((tblDados[GM_V]+tblDados[GS_V])&gt;2.5)))/G464,0))</f>
        <v>1</v>
      </c>
      <c r="N464" s="16" cm="1">
        <f t="array" ref="N464">IF($A464="","",IFERROR((SUMPRODUCT((TRIM(tblDados[Mandante])=$A464)*tblDados[Primeira_Ocorrencia]*((tblDados[GM_M]+tblDados[GS_M])&gt;3.5))+SUMPRODUCT((TRIM(tblDados[Visitante])=$A464)*tblDados[Primeira_Ocorrencia]*((tblDados[GM_V]+tblDados[GS_V])&gt;3.5)))/G464,0))</f>
        <v>1</v>
      </c>
      <c r="O464" s="16" cm="1">
        <f t="array" ref="O464">IF($A464="","",IFERROR((SUMPRODUCT((TRIM(tblDados[Mandante])=$A464)*tblDados[Primeira_Ocorrencia]*(tblDados[GM_M]&gt;0)*(tblDados[GS_M]&gt;0))+SUMPRODUCT((TRIM(tblDados[Visitante])=$A464)*tblDados[Primeira_Ocorrencia]*(tblDados[GM_V]&gt;0)*(tblDados[GS_V]&gt;0)))/G464,0))</f>
        <v>0.5</v>
      </c>
      <c r="P464" s="14" cm="1">
        <f t="array" ref="P464">IF($A464="","",IFERROR((SUMPRODUCT((TRIM(tblDados[Mandante])=$A464)*tblDados[Primeira_Ocorrencia]*tblDados[GM_M]^2)+SUMPRODUCT((TRIM(tblDados[Visitante])=$A464)*tblDados[Primeira_Ocorrencia]*tblDados[GM_V]^2))/G464-H464^2,0))</f>
        <v>1</v>
      </c>
      <c r="Q464" s="14">
        <f t="shared" si="148"/>
        <v>1</v>
      </c>
      <c r="R464" s="1" t="str">
        <f t="shared" si="149"/>
        <v>Amostra Insuficiente</v>
      </c>
      <c r="S464" s="14" cm="1">
        <f t="array" ref="S464">IF($A464="","",SUMPRODUCT((TRIM(tblDados[Mandante])=$A464)*tblDados[Primeira_Ocorrencia]*tblDados[GM_M]))</f>
        <v>0</v>
      </c>
      <c r="T464" s="14" cm="1">
        <f t="array" ref="T464">IF($A464="","",SUMPRODUCT((TRIM(tblDados[Visitante])=$A464)*tblDados[Primeira_Ocorrencia]*tblDados[GM_V]))</f>
        <v>2</v>
      </c>
      <c r="U464" s="14">
        <f t="shared" si="150"/>
        <v>2</v>
      </c>
      <c r="V464" s="14">
        <f t="shared" si="139"/>
        <v>1</v>
      </c>
      <c r="W464" s="14" cm="1">
        <f t="array" ref="W464">IF($A464="","",SUMPRODUCT((TRIM(tblDados[Mandante])=$A464)*tblDados[Primeira_Ocorrencia]*tblDados[GS_M]))</f>
        <v>5</v>
      </c>
      <c r="X464" s="14" cm="1">
        <f t="array" ref="X464">IF($A464="","",SUMPRODUCT((TRIM(tblDados[Visitante])=$A464)*tblDados[Primeira_Ocorrencia]*tblDados[GS_V]))</f>
        <v>3</v>
      </c>
      <c r="Y464" s="14">
        <f t="shared" si="151"/>
        <v>8</v>
      </c>
      <c r="Z464" s="14">
        <f t="shared" si="140"/>
        <v>4</v>
      </c>
      <c r="AA464" s="14">
        <f t="shared" si="141"/>
        <v>0</v>
      </c>
      <c r="AB464" s="14">
        <f t="shared" si="142"/>
        <v>5</v>
      </c>
      <c r="AC464" s="14">
        <f t="shared" si="143"/>
        <v>2</v>
      </c>
      <c r="AD464" s="14">
        <f t="shared" si="144"/>
        <v>3</v>
      </c>
    </row>
    <row r="465" spans="1:30" x14ac:dyDescent="0.3">
      <c r="A465" s="1" t="str">
        <v>Perth Glory U23</v>
      </c>
      <c r="B465" s="13" t="str" cm="1">
        <f t="array" ref="B465">IF($A465="","",_xlfn.LET(_xlpm.p,IFERROR(INDEX(tblDados[País],MATCH($A465,TRIM(tblDados[Mandante]),0)),INDEX(tblDados[País],MATCH($A465,TRIM(tblDados[Visitante]),0))),_xlpm.l,IFERROR(INDEX(tblDados[Liga],MATCH($A465,TRIM(tblDados[Mandante]),0)),INDEX(tblDados[Liga],MATCH($A465,TRIM(tblDados[Visitante]),0))),_xlpm.p&amp;" - "&amp;_xlpm.l))</f>
        <v>AUS - NPL Western Australia</v>
      </c>
      <c r="C465" s="14">
        <f t="shared" si="145"/>
        <v>1</v>
      </c>
      <c r="D465" s="14">
        <f t="shared" si="146"/>
        <v>4</v>
      </c>
      <c r="E465" s="15" cm="1">
        <f t="array" ref="E465">IF($A465="","",SUMPRODUCT((TRIM(tblDados[Mandante])=$A465)*tblDados[Primeira_Ocorrencia]))</f>
        <v>1</v>
      </c>
      <c r="F465" s="15" cm="1">
        <f t="array" ref="F465">IF($A465="","",SUMPRODUCT((TRIM(tblDados[Visitante])=$A465)*tblDados[Primeira_Ocorrencia]))</f>
        <v>1</v>
      </c>
      <c r="G465" s="15" cm="1">
        <f t="array" ref="G465">IF($A465="","",SUMPRODUCT((TRIM(tblDados[Mandante])=$A465)*tblDados[Primeira_Ocorrencia])+SUMPRODUCT((TRIM(tblDados[Visitante])=$A465)*tblDados[Primeira_Ocorrencia]))</f>
        <v>2</v>
      </c>
      <c r="H465" s="14">
        <f t="shared" si="147"/>
        <v>1</v>
      </c>
      <c r="I465" s="14" cm="1">
        <f t="array" ref="I465">IF($A465="","",_xlfn.LET(_xlpm.p,IFERROR(INDEX(tblDados[País],MATCH($A465,TRIM(tblDados[Mandante]),0)),INDEX(tblDados[País],MATCH($A465,TRIM(tblDados[Visitante]),0))),_xlpm.l,IFERROR(INDEX(tblDados[Liga],MATCH($A465,TRIM(tblDados[Mandante]),0)),INDEX(tblDados[Liga],MATCH($A465,TRIM(tblDados[Visitante]),0))),IFERROR(SUMIFS(Ligas!$D$2:$D$39,Ligas!$H$2:$H$39,_xlpm.p,Ligas!$I$2:$I$39,_xlpm.l),0)))</f>
        <v>3.56</v>
      </c>
      <c r="J465" s="16" cm="1">
        <f t="array" ref="J465">IF($A465="","",IFERROR((SUMPRODUCT((TRIM(tblDados[Mandante])=$A465)*tblDados[Primeira_Ocorrencia]*(tblDados[GM_M]=0))+SUMPRODUCT((TRIM(tblDados[Visitante])=$A465)*tblDados[Primeira_Ocorrencia]*(tblDados[GM_V]=0)))/G465,0))</f>
        <v>0.5</v>
      </c>
      <c r="K465" s="16" cm="1">
        <f t="array" ref="K465">IF($A465="","",IFERROR((SUMPRODUCT((TRIM(tblDados[Mandante])=$A465)*tblDados[Primeira_Ocorrencia]*((tblDados[GM_M]+tblDados[GS_M])&gt;0.5))+SUMPRODUCT((TRIM(tblDados[Visitante])=$A465)*tblDados[Primeira_Ocorrencia]*((tblDados[GM_V]+tblDados[GS_V])&gt;0.5)))/G465,0))</f>
        <v>1</v>
      </c>
      <c r="L465" s="16" cm="1">
        <f t="array" ref="L465">IF($A465="","",IFERROR((SUMPRODUCT((TRIM(tblDados[Mandante])=$A465)*tblDados[Primeira_Ocorrencia]*((tblDados[GM_M]+tblDados[GS_M])&gt;1.5))+SUMPRODUCT((TRIM(tblDados[Visitante])=$A465)*tblDados[Primeira_Ocorrencia]*((tblDados[GM_V]+tblDados[GS_V])&gt;1.5)))/G465,0))</f>
        <v>0.5</v>
      </c>
      <c r="M465" s="16" cm="1">
        <f t="array" ref="M465">IF($A465="","",IFERROR((SUMPRODUCT((TRIM(tblDados[Mandante])=$A465)*tblDados[Primeira_Ocorrencia]*((tblDados[GM_M]+tblDados[GS_M])&gt;2.5))+SUMPRODUCT((TRIM(tblDados[Visitante])=$A465)*tblDados[Primeira_Ocorrencia]*((tblDados[GM_V]+tblDados[GS_V])&gt;2.5)))/G465,0))</f>
        <v>0.5</v>
      </c>
      <c r="N465" s="16" cm="1">
        <f t="array" ref="N465">IF($A465="","",IFERROR((SUMPRODUCT((TRIM(tblDados[Mandante])=$A465)*tblDados[Primeira_Ocorrencia]*((tblDados[GM_M]+tblDados[GS_M])&gt;3.5))+SUMPRODUCT((TRIM(tblDados[Visitante])=$A465)*tblDados[Primeira_Ocorrencia]*((tblDados[GM_V]+tblDados[GS_V])&gt;3.5)))/G465,0))</f>
        <v>0.5</v>
      </c>
      <c r="O465" s="16" cm="1">
        <f t="array" ref="O465">IF($A465="","",IFERROR((SUMPRODUCT((TRIM(tblDados[Mandante])=$A465)*tblDados[Primeira_Ocorrencia]*(tblDados[GM_M]&gt;0)*(tblDados[GS_M]&gt;0))+SUMPRODUCT((TRIM(tblDados[Visitante])=$A465)*tblDados[Primeira_Ocorrencia]*(tblDados[GM_V]&gt;0)*(tblDados[GS_V]&gt;0)))/G465,0))</f>
        <v>0.5</v>
      </c>
      <c r="P465" s="14" cm="1">
        <f t="array" ref="P465">IF($A465="","",IFERROR((SUMPRODUCT((TRIM(tblDados[Mandante])=$A465)*tblDados[Primeira_Ocorrencia]*tblDados[GM_M]^2)+SUMPRODUCT((TRIM(tblDados[Visitante])=$A465)*tblDados[Primeira_Ocorrencia]*tblDados[GM_V]^2))/G465-H465^2,0))</f>
        <v>1</v>
      </c>
      <c r="Q465" s="14">
        <f t="shared" si="148"/>
        <v>1</v>
      </c>
      <c r="R465" s="1" t="str">
        <f t="shared" si="149"/>
        <v>Amostra Insuficiente</v>
      </c>
      <c r="S465" s="14" cm="1">
        <f t="array" ref="S465">IF($A465="","",SUMPRODUCT((TRIM(tblDados[Mandante])=$A465)*tblDados[Primeira_Ocorrencia]*tblDados[GM_M]))</f>
        <v>0</v>
      </c>
      <c r="T465" s="14" cm="1">
        <f t="array" ref="T465">IF($A465="","",SUMPRODUCT((TRIM(tblDados[Visitante])=$A465)*tblDados[Primeira_Ocorrencia]*tblDados[GM_V]))</f>
        <v>2</v>
      </c>
      <c r="U465" s="14">
        <f t="shared" si="150"/>
        <v>2</v>
      </c>
      <c r="V465" s="14">
        <f t="shared" si="139"/>
        <v>1</v>
      </c>
      <c r="W465" s="14" cm="1">
        <f t="array" ref="W465">IF($A465="","",SUMPRODUCT((TRIM(tblDados[Mandante])=$A465)*tblDados[Primeira_Ocorrencia]*tblDados[GS_M]))</f>
        <v>1</v>
      </c>
      <c r="X465" s="14" cm="1">
        <f t="array" ref="X465">IF($A465="","",SUMPRODUCT((TRIM(tblDados[Visitante])=$A465)*tblDados[Primeira_Ocorrencia]*tblDados[GS_V]))</f>
        <v>2</v>
      </c>
      <c r="Y465" s="14">
        <f t="shared" si="151"/>
        <v>3</v>
      </c>
      <c r="Z465" s="14">
        <f t="shared" si="140"/>
        <v>1.5</v>
      </c>
      <c r="AA465" s="14">
        <f t="shared" si="141"/>
        <v>0</v>
      </c>
      <c r="AB465" s="14">
        <f t="shared" si="142"/>
        <v>1</v>
      </c>
      <c r="AC465" s="14">
        <f t="shared" si="143"/>
        <v>2</v>
      </c>
      <c r="AD465" s="14">
        <f t="shared" si="144"/>
        <v>2</v>
      </c>
    </row>
    <row r="466" spans="1:30" x14ac:dyDescent="0.3">
      <c r="A466" s="1" t="str">
        <v>Perth RedStar</v>
      </c>
      <c r="B466" s="13" t="str" cm="1">
        <f t="array" ref="B466">IF($A466="","",_xlfn.LET(_xlpm.p,IFERROR(INDEX(tblDados[País],MATCH($A466,TRIM(tblDados[Mandante]),0)),INDEX(tblDados[País],MATCH($A466,TRIM(tblDados[Visitante]),0))),_xlpm.l,IFERROR(INDEX(tblDados[Liga],MATCH($A466,TRIM(tblDados[Mandante]),0)),INDEX(tblDados[Liga],MATCH($A466,TRIM(tblDados[Visitante]),0))),_xlpm.p&amp;" - "&amp;_xlpm.l))</f>
        <v>AUS - NPL Western Australia</v>
      </c>
      <c r="C466" s="14">
        <f t="shared" si="145"/>
        <v>5</v>
      </c>
      <c r="D466" s="14">
        <f t="shared" si="146"/>
        <v>3</v>
      </c>
      <c r="E466" s="15" cm="1">
        <f t="array" ref="E466">IF($A466="","",SUMPRODUCT((TRIM(tblDados[Mandante])=$A466)*tblDados[Primeira_Ocorrencia]))</f>
        <v>1</v>
      </c>
      <c r="F466" s="15" cm="1">
        <f t="array" ref="F466">IF($A466="","",SUMPRODUCT((TRIM(tblDados[Visitante])=$A466)*tblDados[Primeira_Ocorrencia]))</f>
        <v>1</v>
      </c>
      <c r="G466" s="15" cm="1">
        <f t="array" ref="G466">IF($A466="","",SUMPRODUCT((TRIM(tblDados[Mandante])=$A466)*tblDados[Primeira_Ocorrencia])+SUMPRODUCT((TRIM(tblDados[Visitante])=$A466)*tblDados[Primeira_Ocorrencia]))</f>
        <v>2</v>
      </c>
      <c r="H466" s="14">
        <f t="shared" si="147"/>
        <v>2</v>
      </c>
      <c r="I466" s="14" cm="1">
        <f t="array" ref="I466">IF($A466="","",_xlfn.LET(_xlpm.p,IFERROR(INDEX(tblDados[País],MATCH($A466,TRIM(tblDados[Mandante]),0)),INDEX(tblDados[País],MATCH($A466,TRIM(tblDados[Visitante]),0))),_xlpm.l,IFERROR(INDEX(tblDados[Liga],MATCH($A466,TRIM(tblDados[Mandante]),0)),INDEX(tblDados[Liga],MATCH($A466,TRIM(tblDados[Visitante]),0))),IFERROR(SUMIFS(Ligas!$D$2:$D$39,Ligas!$H$2:$H$39,_xlpm.p,Ligas!$I$2:$I$39,_xlpm.l),0)))</f>
        <v>3.56</v>
      </c>
      <c r="J466" s="16" cm="1">
        <f t="array" ref="J466">IF($A466="","",IFERROR((SUMPRODUCT((TRIM(tblDados[Mandante])=$A466)*tblDados[Primeira_Ocorrencia]*(tblDados[GM_M]=0))+SUMPRODUCT((TRIM(tblDados[Visitante])=$A466)*tblDados[Primeira_Ocorrencia]*(tblDados[GM_V]=0)))/G466,0))</f>
        <v>0.5</v>
      </c>
      <c r="K466" s="16" cm="1">
        <f t="array" ref="K466">IF($A466="","",IFERROR((SUMPRODUCT((TRIM(tblDados[Mandante])=$A466)*tblDados[Primeira_Ocorrencia]*((tblDados[GM_M]+tblDados[GS_M])&gt;0.5))+SUMPRODUCT((TRIM(tblDados[Visitante])=$A466)*tblDados[Primeira_Ocorrencia]*((tblDados[GM_V]+tblDados[GS_V])&gt;0.5)))/G466,0))</f>
        <v>1</v>
      </c>
      <c r="L466" s="16" cm="1">
        <f t="array" ref="L466">IF($A466="","",IFERROR((SUMPRODUCT((TRIM(tblDados[Mandante])=$A466)*tblDados[Primeira_Ocorrencia]*((tblDados[GM_M]+tblDados[GS_M])&gt;1.5))+SUMPRODUCT((TRIM(tblDados[Visitante])=$A466)*tblDados[Primeira_Ocorrencia]*((tblDados[GM_V]+tblDados[GS_V])&gt;1.5)))/G466,0))</f>
        <v>1</v>
      </c>
      <c r="M466" s="16" cm="1">
        <f t="array" ref="M466">IF($A466="","",IFERROR((SUMPRODUCT((TRIM(tblDados[Mandante])=$A466)*tblDados[Primeira_Ocorrencia]*((tblDados[GM_M]+tblDados[GS_M])&gt;2.5))+SUMPRODUCT((TRIM(tblDados[Visitante])=$A466)*tblDados[Primeira_Ocorrencia]*((tblDados[GM_V]+tblDados[GS_V])&gt;2.5)))/G466,0))</f>
        <v>1</v>
      </c>
      <c r="N466" s="16" cm="1">
        <f t="array" ref="N466">IF($A466="","",IFERROR((SUMPRODUCT((TRIM(tblDados[Mandante])=$A466)*tblDados[Primeira_Ocorrencia]*((tblDados[GM_M]+tblDados[GS_M])&gt;3.5))+SUMPRODUCT((TRIM(tblDados[Visitante])=$A466)*tblDados[Primeira_Ocorrencia]*((tblDados[GM_V]+tblDados[GS_V])&gt;3.5)))/G466,0))</f>
        <v>0.5</v>
      </c>
      <c r="O466" s="16" cm="1">
        <f t="array" ref="O466">IF($A466="","",IFERROR((SUMPRODUCT((TRIM(tblDados[Mandante])=$A466)*tblDados[Primeira_Ocorrencia]*(tblDados[GM_M]&gt;0)*(tblDados[GS_M]&gt;0))+SUMPRODUCT((TRIM(tblDados[Visitante])=$A466)*tblDados[Primeira_Ocorrencia]*(tblDados[GM_V]&gt;0)*(tblDados[GS_V]&gt;0)))/G466,0))</f>
        <v>0.5</v>
      </c>
      <c r="P466" s="14" cm="1">
        <f t="array" ref="P466">IF($A466="","",IFERROR((SUMPRODUCT((TRIM(tblDados[Mandante])=$A466)*tblDados[Primeira_Ocorrencia]*tblDados[GM_M]^2)+SUMPRODUCT((TRIM(tblDados[Visitante])=$A466)*tblDados[Primeira_Ocorrencia]*tblDados[GM_V]^2))/G466-H466^2,0))</f>
        <v>4</v>
      </c>
      <c r="Q466" s="14">
        <f t="shared" si="148"/>
        <v>2</v>
      </c>
      <c r="R466" s="1" t="str">
        <f t="shared" si="149"/>
        <v>Amostra Insuficiente</v>
      </c>
      <c r="S466" s="14" cm="1">
        <f t="array" ref="S466">IF($A466="","",SUMPRODUCT((TRIM(tblDados[Mandante])=$A466)*tblDados[Primeira_Ocorrencia]*tblDados[GM_M]))</f>
        <v>4</v>
      </c>
      <c r="T466" s="14" cm="1">
        <f t="array" ref="T466">IF($A466="","",SUMPRODUCT((TRIM(tblDados[Visitante])=$A466)*tblDados[Primeira_Ocorrencia]*tblDados[GM_V]))</f>
        <v>0</v>
      </c>
      <c r="U466" s="14">
        <f t="shared" si="150"/>
        <v>4</v>
      </c>
      <c r="V466" s="14">
        <f t="shared" si="139"/>
        <v>2</v>
      </c>
      <c r="W466" s="14" cm="1">
        <f t="array" ref="W466">IF($A466="","",SUMPRODUCT((TRIM(tblDados[Mandante])=$A466)*tblDados[Primeira_Ocorrencia]*tblDados[GS_M]))</f>
        <v>1</v>
      </c>
      <c r="X466" s="14" cm="1">
        <f t="array" ref="X466">IF($A466="","",SUMPRODUCT((TRIM(tblDados[Visitante])=$A466)*tblDados[Primeira_Ocorrencia]*tblDados[GS_V]))</f>
        <v>3</v>
      </c>
      <c r="Y466" s="14">
        <f t="shared" si="151"/>
        <v>4</v>
      </c>
      <c r="Z466" s="14">
        <f t="shared" si="140"/>
        <v>2</v>
      </c>
      <c r="AA466" s="14">
        <f t="shared" si="141"/>
        <v>4</v>
      </c>
      <c r="AB466" s="14">
        <f t="shared" si="142"/>
        <v>1</v>
      </c>
      <c r="AC466" s="14">
        <f t="shared" si="143"/>
        <v>0</v>
      </c>
      <c r="AD466" s="14">
        <f t="shared" si="144"/>
        <v>3</v>
      </c>
    </row>
    <row r="467" spans="1:30" x14ac:dyDescent="0.3">
      <c r="A467" s="1" t="str">
        <v>Playford Patriots</v>
      </c>
      <c r="B467" s="13" t="str" cm="1">
        <f t="array" ref="B467">IF($A467="","",_xlfn.LET(_xlpm.p,IFERROR(INDEX(tblDados[País],MATCH($A467,TRIM(tblDados[Mandante]),0)),INDEX(tblDados[País],MATCH($A467,TRIM(tblDados[Visitante]),0))),_xlpm.l,IFERROR(INDEX(tblDados[Liga],MATCH($A467,TRIM(tblDados[Mandante]),0)),INDEX(tblDados[Liga],MATCH($A467,TRIM(tblDados[Visitante]),0))),_xlpm.p&amp;" - "&amp;_xlpm.l))</f>
        <v>AUS - NPL South Australia</v>
      </c>
      <c r="C467" s="14">
        <f t="shared" si="145"/>
        <v>3</v>
      </c>
      <c r="D467" s="14">
        <f t="shared" si="146"/>
        <v>5</v>
      </c>
      <c r="E467" s="15" cm="1">
        <f t="array" ref="E467">IF($A467="","",SUMPRODUCT((TRIM(tblDados[Mandante])=$A467)*tblDados[Primeira_Ocorrencia]))</f>
        <v>1</v>
      </c>
      <c r="F467" s="15" cm="1">
        <f t="array" ref="F467">IF($A467="","",SUMPRODUCT((TRIM(tblDados[Visitante])=$A467)*tblDados[Primeira_Ocorrencia]))</f>
        <v>1</v>
      </c>
      <c r="G467" s="15" cm="1">
        <f t="array" ref="G467">IF($A467="","",SUMPRODUCT((TRIM(tblDados[Mandante])=$A467)*tblDados[Primeira_Ocorrencia])+SUMPRODUCT((TRIM(tblDados[Visitante])=$A467)*tblDados[Primeira_Ocorrencia]))</f>
        <v>2</v>
      </c>
      <c r="H467" s="14">
        <f t="shared" si="147"/>
        <v>1.5</v>
      </c>
      <c r="I467" s="14" cm="1">
        <f t="array" ref="I467">IF($A467="","",_xlfn.LET(_xlpm.p,IFERROR(INDEX(tblDados[País],MATCH($A467,TRIM(tblDados[Mandante]),0)),INDEX(tblDados[País],MATCH($A467,TRIM(tblDados[Visitante]),0))),_xlpm.l,IFERROR(INDEX(tblDados[Liga],MATCH($A467,TRIM(tblDados[Mandante]),0)),INDEX(tblDados[Liga],MATCH($A467,TRIM(tblDados[Visitante]),0))),IFERROR(SUMIFS(Ligas!$D$2:$D$39,Ligas!$H$2:$H$39,_xlpm.p,Ligas!$I$2:$I$39,_xlpm.l),0)))</f>
        <v>3.49</v>
      </c>
      <c r="J467" s="16" cm="1">
        <f t="array" ref="J467">IF($A467="","",IFERROR((SUMPRODUCT((TRIM(tblDados[Mandante])=$A467)*tblDados[Primeira_Ocorrencia]*(tblDados[GM_M]=0))+SUMPRODUCT((TRIM(tblDados[Visitante])=$A467)*tblDados[Primeira_Ocorrencia]*(tblDados[GM_V]=0)))/G467,0))</f>
        <v>0</v>
      </c>
      <c r="K467" s="16" cm="1">
        <f t="array" ref="K467">IF($A467="","",IFERROR((SUMPRODUCT((TRIM(tblDados[Mandante])=$A467)*tblDados[Primeira_Ocorrencia]*((tblDados[GM_M]+tblDados[GS_M])&gt;0.5))+SUMPRODUCT((TRIM(tblDados[Visitante])=$A467)*tblDados[Primeira_Ocorrencia]*((tblDados[GM_V]+tblDados[GS_V])&gt;0.5)))/G467,0))</f>
        <v>1</v>
      </c>
      <c r="L467" s="16" cm="1">
        <f t="array" ref="L467">IF($A467="","",IFERROR((SUMPRODUCT((TRIM(tblDados[Mandante])=$A467)*tblDados[Primeira_Ocorrencia]*((tblDados[GM_M]+tblDados[GS_M])&gt;1.5))+SUMPRODUCT((TRIM(tblDados[Visitante])=$A467)*tblDados[Primeira_Ocorrencia]*((tblDados[GM_V]+tblDados[GS_V])&gt;1.5)))/G467,0))</f>
        <v>1</v>
      </c>
      <c r="M467" s="16" cm="1">
        <f t="array" ref="M467">IF($A467="","",IFERROR((SUMPRODUCT((TRIM(tblDados[Mandante])=$A467)*tblDados[Primeira_Ocorrencia]*((tblDados[GM_M]+tblDados[GS_M])&gt;2.5))+SUMPRODUCT((TRIM(tblDados[Visitante])=$A467)*tblDados[Primeira_Ocorrencia]*((tblDados[GM_V]+tblDados[GS_V])&gt;2.5)))/G467,0))</f>
        <v>1</v>
      </c>
      <c r="N467" s="16" cm="1">
        <f t="array" ref="N467">IF($A467="","",IFERROR((SUMPRODUCT((TRIM(tblDados[Mandante])=$A467)*tblDados[Primeira_Ocorrencia]*((tblDados[GM_M]+tblDados[GS_M])&gt;3.5))+SUMPRODUCT((TRIM(tblDados[Visitante])=$A467)*tblDados[Primeira_Ocorrencia]*((tblDados[GM_V]+tblDados[GS_V])&gt;3.5)))/G467,0))</f>
        <v>0.5</v>
      </c>
      <c r="O467" s="16" cm="1">
        <f t="array" ref="O467">IF($A467="","",IFERROR((SUMPRODUCT((TRIM(tblDados[Mandante])=$A467)*tblDados[Primeira_Ocorrencia]*(tblDados[GM_M]&gt;0)*(tblDados[GS_M]&gt;0))+SUMPRODUCT((TRIM(tblDados[Visitante])=$A467)*tblDados[Primeira_Ocorrencia]*(tblDados[GM_V]&gt;0)*(tblDados[GS_V]&gt;0)))/G467,0))</f>
        <v>1</v>
      </c>
      <c r="P467" s="14" cm="1">
        <f t="array" ref="P467">IF($A467="","",IFERROR((SUMPRODUCT((TRIM(tblDados[Mandante])=$A467)*tblDados[Primeira_Ocorrencia]*tblDados[GM_M]^2)+SUMPRODUCT((TRIM(tblDados[Visitante])=$A467)*tblDados[Primeira_Ocorrencia]*tblDados[GM_V]^2))/G467-H467^2,0))</f>
        <v>0.25</v>
      </c>
      <c r="Q467" s="14">
        <f t="shared" si="148"/>
        <v>0.5</v>
      </c>
      <c r="R467" s="1" t="str">
        <f t="shared" si="149"/>
        <v>Amostra Insuficiente</v>
      </c>
      <c r="S467" s="14" cm="1">
        <f t="array" ref="S467">IF($A467="","",SUMPRODUCT((TRIM(tblDados[Mandante])=$A467)*tblDados[Primeira_Ocorrencia]*tblDados[GM_M]))</f>
        <v>2</v>
      </c>
      <c r="T467" s="14" cm="1">
        <f t="array" ref="T467">IF($A467="","",SUMPRODUCT((TRIM(tblDados[Visitante])=$A467)*tblDados[Primeira_Ocorrencia]*tblDados[GM_V]))</f>
        <v>1</v>
      </c>
      <c r="U467" s="14">
        <f t="shared" si="150"/>
        <v>3</v>
      </c>
      <c r="V467" s="14">
        <f t="shared" si="139"/>
        <v>1.5</v>
      </c>
      <c r="W467" s="14" cm="1">
        <f t="array" ref="W467">IF($A467="","",SUMPRODUCT((TRIM(tblDados[Mandante])=$A467)*tblDados[Primeira_Ocorrencia]*tblDados[GS_M]))</f>
        <v>1</v>
      </c>
      <c r="X467" s="14" cm="1">
        <f t="array" ref="X467">IF($A467="","",SUMPRODUCT((TRIM(tblDados[Visitante])=$A467)*tblDados[Primeira_Ocorrencia]*tblDados[GS_V]))</f>
        <v>4</v>
      </c>
      <c r="Y467" s="14">
        <f t="shared" si="151"/>
        <v>5</v>
      </c>
      <c r="Z467" s="14">
        <f t="shared" si="140"/>
        <v>2.5</v>
      </c>
      <c r="AA467" s="14">
        <f t="shared" si="141"/>
        <v>2</v>
      </c>
      <c r="AB467" s="14">
        <f t="shared" si="142"/>
        <v>1</v>
      </c>
      <c r="AC467" s="14">
        <f t="shared" si="143"/>
        <v>1</v>
      </c>
      <c r="AD467" s="14">
        <f t="shared" si="144"/>
        <v>4</v>
      </c>
    </row>
    <row r="468" spans="1:30" x14ac:dyDescent="0.3">
      <c r="A468" s="1" t="str">
        <v>West Torrens</v>
      </c>
      <c r="B468" s="13" t="str" cm="1">
        <f t="array" ref="B468">IF($A468="","",_xlfn.LET(_xlpm.p,IFERROR(INDEX(tblDados[País],MATCH($A468,TRIM(tblDados[Mandante]),0)),INDEX(tblDados[País],MATCH($A468,TRIM(tblDados[Visitante]),0))),_xlpm.l,IFERROR(INDEX(tblDados[Liga],MATCH($A468,TRIM(tblDados[Mandante]),0)),INDEX(tblDados[Liga],MATCH($A468,TRIM(tblDados[Visitante]),0))),_xlpm.p&amp;" - "&amp;_xlpm.l))</f>
        <v>AUS - NPL South Australia</v>
      </c>
      <c r="C468" s="14">
        <f t="shared" si="145"/>
        <v>5</v>
      </c>
      <c r="D468" s="14">
        <f t="shared" si="146"/>
        <v>6</v>
      </c>
      <c r="E468" s="15" cm="1">
        <f t="array" ref="E468">IF($A468="","",SUMPRODUCT((TRIM(tblDados[Mandante])=$A468)*tblDados[Primeira_Ocorrencia]))</f>
        <v>1</v>
      </c>
      <c r="F468" s="15" cm="1">
        <f t="array" ref="F468">IF($A468="","",SUMPRODUCT((TRIM(tblDados[Visitante])=$A468)*tblDados[Primeira_Ocorrencia]))</f>
        <v>1</v>
      </c>
      <c r="G468" s="15" cm="1">
        <f t="array" ref="G468">IF($A468="","",SUMPRODUCT((TRIM(tblDados[Mandante])=$A468)*tblDados[Primeira_Ocorrencia])+SUMPRODUCT((TRIM(tblDados[Visitante])=$A468)*tblDados[Primeira_Ocorrencia]))</f>
        <v>2</v>
      </c>
      <c r="H468" s="14">
        <f t="shared" si="147"/>
        <v>3</v>
      </c>
      <c r="I468" s="14" cm="1">
        <f t="array" ref="I468">IF($A468="","",_xlfn.LET(_xlpm.p,IFERROR(INDEX(tblDados[País],MATCH($A468,TRIM(tblDados[Mandante]),0)),INDEX(tblDados[País],MATCH($A468,TRIM(tblDados[Visitante]),0))),_xlpm.l,IFERROR(INDEX(tblDados[Liga],MATCH($A468,TRIM(tblDados[Mandante]),0)),INDEX(tblDados[Liga],MATCH($A468,TRIM(tblDados[Visitante]),0))),IFERROR(SUMIFS(Ligas!$D$2:$D$39,Ligas!$H$2:$H$39,_xlpm.p,Ligas!$I$2:$I$39,_xlpm.l),0)))</f>
        <v>3.49</v>
      </c>
      <c r="J468" s="16" cm="1">
        <f t="array" ref="J468">IF($A468="","",IFERROR((SUMPRODUCT((TRIM(tblDados[Mandante])=$A468)*tblDados[Primeira_Ocorrencia]*(tblDados[GM_M]=0))+SUMPRODUCT((TRIM(tblDados[Visitante])=$A468)*tblDados[Primeira_Ocorrencia]*(tblDados[GM_V]=0)))/G468,0))</f>
        <v>0</v>
      </c>
      <c r="K468" s="16" cm="1">
        <f t="array" ref="K468">IF($A468="","",IFERROR((SUMPRODUCT((TRIM(tblDados[Mandante])=$A468)*tblDados[Primeira_Ocorrencia]*((tblDados[GM_M]+tblDados[GS_M])&gt;0.5))+SUMPRODUCT((TRIM(tblDados[Visitante])=$A468)*tblDados[Primeira_Ocorrencia]*((tblDados[GM_V]+tblDados[GS_V])&gt;0.5)))/G468,0))</f>
        <v>1</v>
      </c>
      <c r="L468" s="16" cm="1">
        <f t="array" ref="L468">IF($A468="","",IFERROR((SUMPRODUCT((TRIM(tblDados[Mandante])=$A468)*tblDados[Primeira_Ocorrencia]*((tblDados[GM_M]+tblDados[GS_M])&gt;1.5))+SUMPRODUCT((TRIM(tblDados[Visitante])=$A468)*tblDados[Primeira_Ocorrencia]*((tblDados[GM_V]+tblDados[GS_V])&gt;1.5)))/G468,0))</f>
        <v>1</v>
      </c>
      <c r="M468" s="16" cm="1">
        <f t="array" ref="M468">IF($A468="","",IFERROR((SUMPRODUCT((TRIM(tblDados[Mandante])=$A468)*tblDados[Primeira_Ocorrencia]*((tblDados[GM_M]+tblDados[GS_M])&gt;2.5))+SUMPRODUCT((TRIM(tblDados[Visitante])=$A468)*tblDados[Primeira_Ocorrencia]*((tblDados[GM_V]+tblDados[GS_V])&gt;2.5)))/G468,0))</f>
        <v>1</v>
      </c>
      <c r="N468" s="16" cm="1">
        <f t="array" ref="N468">IF($A468="","",IFERROR((SUMPRODUCT((TRIM(tblDados[Mandante])=$A468)*tblDados[Primeira_Ocorrencia]*((tblDados[GM_M]+tblDados[GS_M])&gt;3.5))+SUMPRODUCT((TRIM(tblDados[Visitante])=$A468)*tblDados[Primeira_Ocorrencia]*((tblDados[GM_V]+tblDados[GS_V])&gt;3.5)))/G468,0))</f>
        <v>1</v>
      </c>
      <c r="O468" s="16" cm="1">
        <f t="array" ref="O468">IF($A468="","",IFERROR((SUMPRODUCT((TRIM(tblDados[Mandante])=$A468)*tblDados[Primeira_Ocorrencia]*(tblDados[GM_M]&gt;0)*(tblDados[GS_M]&gt;0))+SUMPRODUCT((TRIM(tblDados[Visitante])=$A468)*tblDados[Primeira_Ocorrencia]*(tblDados[GM_V]&gt;0)*(tblDados[GS_V]&gt;0)))/G468,0))</f>
        <v>1</v>
      </c>
      <c r="P468" s="14" cm="1">
        <f t="array" ref="P468">IF($A468="","",IFERROR((SUMPRODUCT((TRIM(tblDados[Mandante])=$A468)*tblDados[Primeira_Ocorrencia]*tblDados[GM_M]^2)+SUMPRODUCT((TRIM(tblDados[Visitante])=$A468)*tblDados[Primeira_Ocorrencia]*tblDados[GM_V]^2))/G468-H468^2,0))</f>
        <v>1</v>
      </c>
      <c r="Q468" s="14">
        <f t="shared" si="148"/>
        <v>1</v>
      </c>
      <c r="R468" s="1" t="str">
        <f t="shared" si="149"/>
        <v>Amostra Insuficiente</v>
      </c>
      <c r="S468" s="14" cm="1">
        <f t="array" ref="S468">IF($A468="","",SUMPRODUCT((TRIM(tblDados[Mandante])=$A468)*tblDados[Primeira_Ocorrencia]*tblDados[GM_M]))</f>
        <v>4</v>
      </c>
      <c r="T468" s="14" cm="1">
        <f t="array" ref="T468">IF($A468="","",SUMPRODUCT((TRIM(tblDados[Visitante])=$A468)*tblDados[Primeira_Ocorrencia]*tblDados[GM_V]))</f>
        <v>2</v>
      </c>
      <c r="U468" s="14">
        <f t="shared" si="150"/>
        <v>6</v>
      </c>
      <c r="V468" s="14">
        <f t="shared" si="139"/>
        <v>3</v>
      </c>
      <c r="W468" s="14" cm="1">
        <f t="array" ref="W468">IF($A468="","",SUMPRODUCT((TRIM(tblDados[Mandante])=$A468)*tblDados[Primeira_Ocorrencia]*tblDados[GS_M]))</f>
        <v>1</v>
      </c>
      <c r="X468" s="14" cm="1">
        <f t="array" ref="X468">IF($A468="","",SUMPRODUCT((TRIM(tblDados[Visitante])=$A468)*tblDados[Primeira_Ocorrencia]*tblDados[GS_V]))</f>
        <v>4</v>
      </c>
      <c r="Y468" s="14">
        <f t="shared" si="151"/>
        <v>5</v>
      </c>
      <c r="Z468" s="14">
        <f t="shared" si="140"/>
        <v>2.5</v>
      </c>
      <c r="AA468" s="14">
        <f t="shared" si="141"/>
        <v>4</v>
      </c>
      <c r="AB468" s="14">
        <f t="shared" si="142"/>
        <v>1</v>
      </c>
      <c r="AC468" s="14">
        <f t="shared" si="143"/>
        <v>2</v>
      </c>
      <c r="AD468" s="14">
        <f t="shared" si="144"/>
        <v>4</v>
      </c>
    </row>
    <row r="469" spans="1:30" x14ac:dyDescent="0.3">
      <c r="A469" s="1" t="str">
        <v>Argentinos Jrs</v>
      </c>
      <c r="B469" s="13" t="str" cm="1">
        <f t="array" ref="B469">IF($A469="","",_xlfn.LET(_xlpm.p,IFERROR(INDEX(tblDados[País],MATCH($A469,TRIM(tblDados[Mandante]),0)),INDEX(tblDados[País],MATCH($A469,TRIM(tblDados[Visitante]),0))),_xlpm.l,IFERROR(INDEX(tblDados[Liga],MATCH($A469,TRIM(tblDados[Mandante]),0)),INDEX(tblDados[Liga],MATCH($A469,TRIM(tblDados[Visitante]),0))),_xlpm.p&amp;" - "&amp;_xlpm.l))</f>
        <v>ARG - Primera Nacional</v>
      </c>
      <c r="C469" s="14">
        <f t="shared" si="145"/>
        <v>3</v>
      </c>
      <c r="D469" s="14" t="str">
        <f t="shared" si="146"/>
        <v/>
      </c>
      <c r="E469" s="15" cm="1">
        <f t="array" ref="E469">IF($A469="","",SUMPRODUCT((TRIM(tblDados[Mandante])=$A469)*tblDados[Primeira_Ocorrencia]))</f>
        <v>1</v>
      </c>
      <c r="F469" s="15" cm="1">
        <f t="array" ref="F469">IF($A469="","",SUMPRODUCT((TRIM(tblDados[Visitante])=$A469)*tblDados[Primeira_Ocorrencia]))</f>
        <v>0</v>
      </c>
      <c r="G469" s="15" cm="1">
        <f t="array" ref="G469">IF($A469="","",SUMPRODUCT((TRIM(tblDados[Mandante])=$A469)*tblDados[Primeira_Ocorrencia])+SUMPRODUCT((TRIM(tblDados[Visitante])=$A469)*tblDados[Primeira_Ocorrencia]))</f>
        <v>1</v>
      </c>
      <c r="H469" s="14">
        <f t="shared" si="147"/>
        <v>3</v>
      </c>
      <c r="I469" s="14" cm="1">
        <f t="array" ref="I469">IF($A469="","",_xlfn.LET(_xlpm.p,IFERROR(INDEX(tblDados[País],MATCH($A469,TRIM(tblDados[Mandante]),0)),INDEX(tblDados[País],MATCH($A469,TRIM(tblDados[Visitante]),0))),_xlpm.l,IFERROR(INDEX(tblDados[Liga],MATCH($A469,TRIM(tblDados[Mandante]),0)),INDEX(tblDados[Liga],MATCH($A469,TRIM(tblDados[Visitante]),0))),IFERROR(SUMIFS(Ligas!$D$2:$D$39,Ligas!$H$2:$H$39,_xlpm.p,Ligas!$I$2:$I$39,_xlpm.l),0)))</f>
        <v>1.92</v>
      </c>
      <c r="J469" s="16" cm="1">
        <f t="array" ref="J469">IF($A469="","",IFERROR((SUMPRODUCT((TRIM(tblDados[Mandante])=$A469)*tblDados[Primeira_Ocorrencia]*(tblDados[GM_M]=0))+SUMPRODUCT((TRIM(tblDados[Visitante])=$A469)*tblDados[Primeira_Ocorrencia]*(tblDados[GM_V]=0)))/G469,0))</f>
        <v>0</v>
      </c>
      <c r="K469" s="16" cm="1">
        <f t="array" ref="K469">IF($A469="","",IFERROR((SUMPRODUCT((TRIM(tblDados[Mandante])=$A469)*tblDados[Primeira_Ocorrencia]*((tblDados[GM_M]+tblDados[GS_M])&gt;0.5))+SUMPRODUCT((TRIM(tblDados[Visitante])=$A469)*tblDados[Primeira_Ocorrencia]*((tblDados[GM_V]+tblDados[GS_V])&gt;0.5)))/G469,0))</f>
        <v>1</v>
      </c>
      <c r="L469" s="16" cm="1">
        <f t="array" ref="L469">IF($A469="","",IFERROR((SUMPRODUCT((TRIM(tblDados[Mandante])=$A469)*tblDados[Primeira_Ocorrencia]*((tblDados[GM_M]+tblDados[GS_M])&gt;1.5))+SUMPRODUCT((TRIM(tblDados[Visitante])=$A469)*tblDados[Primeira_Ocorrencia]*((tblDados[GM_V]+tblDados[GS_V])&gt;1.5)))/G469,0))</f>
        <v>1</v>
      </c>
      <c r="M469" s="16" cm="1">
        <f t="array" ref="M469">IF($A469="","",IFERROR((SUMPRODUCT((TRIM(tblDados[Mandante])=$A469)*tblDados[Primeira_Ocorrencia]*((tblDados[GM_M]+tblDados[GS_M])&gt;2.5))+SUMPRODUCT((TRIM(tblDados[Visitante])=$A469)*tblDados[Primeira_Ocorrencia]*((tblDados[GM_V]+tblDados[GS_V])&gt;2.5)))/G469,0))</f>
        <v>1</v>
      </c>
      <c r="N469" s="16" cm="1">
        <f t="array" ref="N469">IF($A469="","",IFERROR((SUMPRODUCT((TRIM(tblDados[Mandante])=$A469)*tblDados[Primeira_Ocorrencia]*((tblDados[GM_M]+tblDados[GS_M])&gt;3.5))+SUMPRODUCT((TRIM(tblDados[Visitante])=$A469)*tblDados[Primeira_Ocorrencia]*((tblDados[GM_V]+tblDados[GS_V])&gt;3.5)))/G469,0))</f>
        <v>0</v>
      </c>
      <c r="O469" s="16" cm="1">
        <f t="array" ref="O469">IF($A469="","",IFERROR((SUMPRODUCT((TRIM(tblDados[Mandante])=$A469)*tblDados[Primeira_Ocorrencia]*(tblDados[GM_M]&gt;0)*(tblDados[GS_M]&gt;0))+SUMPRODUCT((TRIM(tblDados[Visitante])=$A469)*tblDados[Primeira_Ocorrencia]*(tblDados[GM_V]&gt;0)*(tblDados[GS_V]&gt;0)))/G469,0))</f>
        <v>0</v>
      </c>
      <c r="P469" s="14" cm="1">
        <f t="array" ref="P469">IF($A469="","",IFERROR((SUMPRODUCT((TRIM(tblDados[Mandante])=$A469)*tblDados[Primeira_Ocorrencia]*tblDados[GM_M]^2)+SUMPRODUCT((TRIM(tblDados[Visitante])=$A469)*tblDados[Primeira_Ocorrencia]*tblDados[GM_V]^2))/G469-H469^2,0))</f>
        <v>0</v>
      </c>
      <c r="Q469" s="14">
        <f t="shared" si="148"/>
        <v>0</v>
      </c>
      <c r="R469" s="1" t="str">
        <f t="shared" si="149"/>
        <v>Amostra Insuficiente</v>
      </c>
      <c r="S469" s="14" cm="1">
        <f t="array" ref="S469">IF($A469="","",SUMPRODUCT((TRIM(tblDados[Mandante])=$A469)*tblDados[Primeira_Ocorrencia]*tblDados[GM_M]))</f>
        <v>3</v>
      </c>
      <c r="T469" s="14" cm="1">
        <f t="array" ref="T469">IF($A469="","",SUMPRODUCT((TRIM(tblDados[Visitante])=$A469)*tblDados[Primeira_Ocorrencia]*tblDados[GM_V]))</f>
        <v>0</v>
      </c>
      <c r="U469" s="14">
        <f t="shared" si="150"/>
        <v>3</v>
      </c>
      <c r="V469" s="14">
        <f t="shared" si="139"/>
        <v>3</v>
      </c>
      <c r="W469" s="14" cm="1">
        <f t="array" ref="W469">IF($A469="","",SUMPRODUCT((TRIM(tblDados[Mandante])=$A469)*tblDados[Primeira_Ocorrencia]*tblDados[GS_M]))</f>
        <v>0</v>
      </c>
      <c r="X469" s="14" cm="1">
        <f t="array" ref="X469">IF($A469="","",SUMPRODUCT((TRIM(tblDados[Visitante])=$A469)*tblDados[Primeira_Ocorrencia]*tblDados[GS_V]))</f>
        <v>0</v>
      </c>
      <c r="Y469" s="14">
        <f t="shared" si="151"/>
        <v>0</v>
      </c>
      <c r="Z469" s="14">
        <f t="shared" si="140"/>
        <v>0</v>
      </c>
      <c r="AA469" s="14">
        <f t="shared" si="141"/>
        <v>3</v>
      </c>
      <c r="AB469" s="14">
        <f t="shared" si="142"/>
        <v>0</v>
      </c>
      <c r="AC469" s="14" t="str">
        <f t="shared" si="143"/>
        <v/>
      </c>
      <c r="AD469" s="14" t="str">
        <f t="shared" si="144"/>
        <v/>
      </c>
    </row>
    <row r="470" spans="1:30" x14ac:dyDescent="0.3">
      <c r="A470" s="1" t="str">
        <v>Chivas Guadalajara</v>
      </c>
      <c r="B470" s="13" t="str" cm="1">
        <f t="array" ref="B470">IF($A470="","",_xlfn.LET(_xlpm.p,IFERROR(INDEX(tblDados[País],MATCH($A470,TRIM(tblDados[Mandante]),0)),INDEX(tblDados[País],MATCH($A470,TRIM(tblDados[Visitante]),0))),_xlpm.l,IFERROR(INDEX(tblDados[Liga],MATCH($A470,TRIM(tblDados[Mandante]),0)),INDEX(tblDados[Liga],MATCH($A470,TRIM(tblDados[Visitante]),0))),_xlpm.p&amp;" - "&amp;_xlpm.l))</f>
        <v>MEX - Liga MX</v>
      </c>
      <c r="C470" s="14" t="str">
        <f t="shared" si="145"/>
        <v/>
      </c>
      <c r="D470" s="14">
        <f t="shared" si="146"/>
        <v>2</v>
      </c>
      <c r="E470" s="15" cm="1">
        <f t="array" ref="E470">IF($A470="","",SUMPRODUCT((TRIM(tblDados[Mandante])=$A470)*tblDados[Primeira_Ocorrencia]))</f>
        <v>0</v>
      </c>
      <c r="F470" s="15" cm="1">
        <f t="array" ref="F470">IF($A470="","",SUMPRODUCT((TRIM(tblDados[Visitante])=$A470)*tblDados[Primeira_Ocorrencia]))</f>
        <v>1</v>
      </c>
      <c r="G470" s="15" cm="1">
        <f t="array" ref="G470">IF($A470="","",SUMPRODUCT((TRIM(tblDados[Mandante])=$A470)*tblDados[Primeira_Ocorrencia])+SUMPRODUCT((TRIM(tblDados[Visitante])=$A470)*tblDados[Primeira_Ocorrencia]))</f>
        <v>1</v>
      </c>
      <c r="H470" s="14">
        <f t="shared" si="147"/>
        <v>1</v>
      </c>
      <c r="I470" s="14" cm="1">
        <f t="array" ref="I470">IF($A470="","",_xlfn.LET(_xlpm.p,IFERROR(INDEX(tblDados[País],MATCH($A470,TRIM(tblDados[Mandante]),0)),INDEX(tblDados[País],MATCH($A470,TRIM(tblDados[Visitante]),0))),_xlpm.l,IFERROR(INDEX(tblDados[Liga],MATCH($A470,TRIM(tblDados[Mandante]),0)),INDEX(tblDados[Liga],MATCH($A470,TRIM(tblDados[Visitante]),0))),IFERROR(SUMIFS(Ligas!$D$2:$D$39,Ligas!$H$2:$H$39,_xlpm.p,Ligas!$I$2:$I$39,_xlpm.l),0)))</f>
        <v>3.91</v>
      </c>
      <c r="J470" s="16" cm="1">
        <f t="array" ref="J470">IF($A470="","",IFERROR((SUMPRODUCT((TRIM(tblDados[Mandante])=$A470)*tblDados[Primeira_Ocorrencia]*(tblDados[GM_M]=0))+SUMPRODUCT((TRIM(tblDados[Visitante])=$A470)*tblDados[Primeira_Ocorrencia]*(tblDados[GM_V]=0)))/G470,0))</f>
        <v>0</v>
      </c>
      <c r="K470" s="16" cm="1">
        <f t="array" ref="K470">IF($A470="","",IFERROR((SUMPRODUCT((TRIM(tblDados[Mandante])=$A470)*tblDados[Primeira_Ocorrencia]*((tblDados[GM_M]+tblDados[GS_M])&gt;0.5))+SUMPRODUCT((TRIM(tblDados[Visitante])=$A470)*tblDados[Primeira_Ocorrencia]*((tblDados[GM_V]+tblDados[GS_V])&gt;0.5)))/G470,0))</f>
        <v>1</v>
      </c>
      <c r="L470" s="16" cm="1">
        <f t="array" ref="L470">IF($A470="","",IFERROR((SUMPRODUCT((TRIM(tblDados[Mandante])=$A470)*tblDados[Primeira_Ocorrencia]*((tblDados[GM_M]+tblDados[GS_M])&gt;1.5))+SUMPRODUCT((TRIM(tblDados[Visitante])=$A470)*tblDados[Primeira_Ocorrencia]*((tblDados[GM_V]+tblDados[GS_V])&gt;1.5)))/G470,0))</f>
        <v>1</v>
      </c>
      <c r="M470" s="16" cm="1">
        <f t="array" ref="M470">IF($A470="","",IFERROR((SUMPRODUCT((TRIM(tblDados[Mandante])=$A470)*tblDados[Primeira_Ocorrencia]*((tblDados[GM_M]+tblDados[GS_M])&gt;2.5))+SUMPRODUCT((TRIM(tblDados[Visitante])=$A470)*tblDados[Primeira_Ocorrencia]*((tblDados[GM_V]+tblDados[GS_V])&gt;2.5)))/G470,0))</f>
        <v>0</v>
      </c>
      <c r="N470" s="16" cm="1">
        <f t="array" ref="N470">IF($A470="","",IFERROR((SUMPRODUCT((TRIM(tblDados[Mandante])=$A470)*tblDados[Primeira_Ocorrencia]*((tblDados[GM_M]+tblDados[GS_M])&gt;3.5))+SUMPRODUCT((TRIM(tblDados[Visitante])=$A470)*tblDados[Primeira_Ocorrencia]*((tblDados[GM_V]+tblDados[GS_V])&gt;3.5)))/G470,0))</f>
        <v>0</v>
      </c>
      <c r="O470" s="16" cm="1">
        <f t="array" ref="O470">IF($A470="","",IFERROR((SUMPRODUCT((TRIM(tblDados[Mandante])=$A470)*tblDados[Primeira_Ocorrencia]*(tblDados[GM_M]&gt;0)*(tblDados[GS_M]&gt;0))+SUMPRODUCT((TRIM(tblDados[Visitante])=$A470)*tblDados[Primeira_Ocorrencia]*(tblDados[GM_V]&gt;0)*(tblDados[GS_V]&gt;0)))/G470,0))</f>
        <v>1</v>
      </c>
      <c r="P470" s="14" cm="1">
        <f t="array" ref="P470">IF($A470="","",IFERROR((SUMPRODUCT((TRIM(tblDados[Mandante])=$A470)*tblDados[Primeira_Ocorrencia]*tblDados[GM_M]^2)+SUMPRODUCT((TRIM(tblDados[Visitante])=$A470)*tblDados[Primeira_Ocorrencia]*tblDados[GM_V]^2))/G470-H470^2,0))</f>
        <v>0</v>
      </c>
      <c r="Q470" s="14">
        <f t="shared" si="148"/>
        <v>0</v>
      </c>
      <c r="R470" s="1" t="str">
        <f t="shared" si="149"/>
        <v>Amostra Insuficiente</v>
      </c>
      <c r="S470" s="14" cm="1">
        <f t="array" ref="S470">IF($A470="","",SUMPRODUCT((TRIM(tblDados[Mandante])=$A470)*tblDados[Primeira_Ocorrencia]*tblDados[GM_M]))</f>
        <v>0</v>
      </c>
      <c r="T470" s="14" cm="1">
        <f t="array" ref="T470">IF($A470="","",SUMPRODUCT((TRIM(tblDados[Visitante])=$A470)*tblDados[Primeira_Ocorrencia]*tblDados[GM_V]))</f>
        <v>1</v>
      </c>
      <c r="U470" s="14">
        <f t="shared" si="150"/>
        <v>1</v>
      </c>
      <c r="V470" s="14">
        <f t="shared" si="139"/>
        <v>1</v>
      </c>
      <c r="W470" s="14" cm="1">
        <f t="array" ref="W470">IF($A470="","",SUMPRODUCT((TRIM(tblDados[Mandante])=$A470)*tblDados[Primeira_Ocorrencia]*tblDados[GS_M]))</f>
        <v>0</v>
      </c>
      <c r="X470" s="14" cm="1">
        <f t="array" ref="X470">IF($A470="","",SUMPRODUCT((TRIM(tblDados[Visitante])=$A470)*tblDados[Primeira_Ocorrencia]*tblDados[GS_V]))</f>
        <v>1</v>
      </c>
      <c r="Y470" s="14">
        <f t="shared" si="151"/>
        <v>1</v>
      </c>
      <c r="Z470" s="14">
        <f t="shared" si="140"/>
        <v>1</v>
      </c>
      <c r="AA470" s="14" t="str">
        <f t="shared" si="141"/>
        <v/>
      </c>
      <c r="AB470" s="14" t="str">
        <f t="shared" si="142"/>
        <v/>
      </c>
      <c r="AC470" s="14">
        <f t="shared" si="143"/>
        <v>1</v>
      </c>
      <c r="AD470" s="14">
        <f t="shared" si="144"/>
        <v>1</v>
      </c>
    </row>
    <row r="471" spans="1:30" x14ac:dyDescent="0.3">
      <c r="A471" s="1" t="str">
        <v>Club León</v>
      </c>
      <c r="B471" s="13" t="str" cm="1">
        <f t="array" ref="B471">IF($A471="","",_xlfn.LET(_xlpm.p,IFERROR(INDEX(tblDados[País],MATCH($A471,TRIM(tblDados[Mandante]),0)),INDEX(tblDados[País],MATCH($A471,TRIM(tblDados[Visitante]),0))),_xlpm.l,IFERROR(INDEX(tblDados[Liga],MATCH($A471,TRIM(tblDados[Mandante]),0)),INDEX(tblDados[Liga],MATCH($A471,TRIM(tblDados[Visitante]),0))),_xlpm.p&amp;" - "&amp;_xlpm.l))</f>
        <v>MEX - Liga MX</v>
      </c>
      <c r="C471" s="14">
        <f t="shared" si="145"/>
        <v>1</v>
      </c>
      <c r="D471" s="14" t="str">
        <f t="shared" si="146"/>
        <v/>
      </c>
      <c r="E471" s="15" cm="1">
        <f t="array" ref="E471">IF($A471="","",SUMPRODUCT((TRIM(tblDados[Mandante])=$A471)*tblDados[Primeira_Ocorrencia]))</f>
        <v>1</v>
      </c>
      <c r="F471" s="15" cm="1">
        <f t="array" ref="F471">IF($A471="","",SUMPRODUCT((TRIM(tblDados[Visitante])=$A471)*tblDados[Primeira_Ocorrencia]))</f>
        <v>0</v>
      </c>
      <c r="G471" s="15" cm="1">
        <f t="array" ref="G471">IF($A471="","",SUMPRODUCT((TRIM(tblDados[Mandante])=$A471)*tblDados[Primeira_Ocorrencia])+SUMPRODUCT((TRIM(tblDados[Visitante])=$A471)*tblDados[Primeira_Ocorrencia]))</f>
        <v>1</v>
      </c>
      <c r="H471" s="14">
        <f t="shared" si="147"/>
        <v>1</v>
      </c>
      <c r="I471" s="14" cm="1">
        <f t="array" ref="I471">IF($A471="","",_xlfn.LET(_xlpm.p,IFERROR(INDEX(tblDados[País],MATCH($A471,TRIM(tblDados[Mandante]),0)),INDEX(tblDados[País],MATCH($A471,TRIM(tblDados[Visitante]),0))),_xlpm.l,IFERROR(INDEX(tblDados[Liga],MATCH($A471,TRIM(tblDados[Mandante]),0)),INDEX(tblDados[Liga],MATCH($A471,TRIM(tblDados[Visitante]),0))),IFERROR(SUMIFS(Ligas!$D$2:$D$39,Ligas!$H$2:$H$39,_xlpm.p,Ligas!$I$2:$I$39,_xlpm.l),0)))</f>
        <v>3.91</v>
      </c>
      <c r="J471" s="16" cm="1">
        <f t="array" ref="J471">IF($A471="","",IFERROR((SUMPRODUCT((TRIM(tblDados[Mandante])=$A471)*tblDados[Primeira_Ocorrencia]*(tblDados[GM_M]=0))+SUMPRODUCT((TRIM(tblDados[Visitante])=$A471)*tblDados[Primeira_Ocorrencia]*(tblDados[GM_V]=0)))/G471,0))</f>
        <v>0</v>
      </c>
      <c r="K471" s="16" cm="1">
        <f t="array" ref="K471">IF($A471="","",IFERROR((SUMPRODUCT((TRIM(tblDados[Mandante])=$A471)*tblDados[Primeira_Ocorrencia]*((tblDados[GM_M]+tblDados[GS_M])&gt;0.5))+SUMPRODUCT((TRIM(tblDados[Visitante])=$A471)*tblDados[Primeira_Ocorrencia]*((tblDados[GM_V]+tblDados[GS_V])&gt;0.5)))/G471,0))</f>
        <v>1</v>
      </c>
      <c r="L471" s="16" cm="1">
        <f t="array" ref="L471">IF($A471="","",IFERROR((SUMPRODUCT((TRIM(tblDados[Mandante])=$A471)*tblDados[Primeira_Ocorrencia]*((tblDados[GM_M]+tblDados[GS_M])&gt;1.5))+SUMPRODUCT((TRIM(tblDados[Visitante])=$A471)*tblDados[Primeira_Ocorrencia]*((tblDados[GM_V]+tblDados[GS_V])&gt;1.5)))/G471,0))</f>
        <v>0</v>
      </c>
      <c r="M471" s="16" cm="1">
        <f t="array" ref="M471">IF($A471="","",IFERROR((SUMPRODUCT((TRIM(tblDados[Mandante])=$A471)*tblDados[Primeira_Ocorrencia]*((tblDados[GM_M]+tblDados[GS_M])&gt;2.5))+SUMPRODUCT((TRIM(tblDados[Visitante])=$A471)*tblDados[Primeira_Ocorrencia]*((tblDados[GM_V]+tblDados[GS_V])&gt;2.5)))/G471,0))</f>
        <v>0</v>
      </c>
      <c r="N471" s="16" cm="1">
        <f t="array" ref="N471">IF($A471="","",IFERROR((SUMPRODUCT((TRIM(tblDados[Mandante])=$A471)*tblDados[Primeira_Ocorrencia]*((tblDados[GM_M]+tblDados[GS_M])&gt;3.5))+SUMPRODUCT((TRIM(tblDados[Visitante])=$A471)*tblDados[Primeira_Ocorrencia]*((tblDados[GM_V]+tblDados[GS_V])&gt;3.5)))/G471,0))</f>
        <v>0</v>
      </c>
      <c r="O471" s="16" cm="1">
        <f t="array" ref="O471">IF($A471="","",IFERROR((SUMPRODUCT((TRIM(tblDados[Mandante])=$A471)*tblDados[Primeira_Ocorrencia]*(tblDados[GM_M]&gt;0)*(tblDados[GS_M]&gt;0))+SUMPRODUCT((TRIM(tblDados[Visitante])=$A471)*tblDados[Primeira_Ocorrencia]*(tblDados[GM_V]&gt;0)*(tblDados[GS_V]&gt;0)))/G471,0))</f>
        <v>0</v>
      </c>
      <c r="P471" s="14" cm="1">
        <f t="array" ref="P471">IF($A471="","",IFERROR((SUMPRODUCT((TRIM(tblDados[Mandante])=$A471)*tblDados[Primeira_Ocorrencia]*tblDados[GM_M]^2)+SUMPRODUCT((TRIM(tblDados[Visitante])=$A471)*tblDados[Primeira_Ocorrencia]*tblDados[GM_V]^2))/G471-H471^2,0))</f>
        <v>0</v>
      </c>
      <c r="Q471" s="14">
        <f t="shared" si="148"/>
        <v>0</v>
      </c>
      <c r="R471" s="1" t="str">
        <f t="shared" si="149"/>
        <v>Amostra Insuficiente</v>
      </c>
      <c r="S471" s="14" cm="1">
        <f t="array" ref="S471">IF($A471="","",SUMPRODUCT((TRIM(tblDados[Mandante])=$A471)*tblDados[Primeira_Ocorrencia]*tblDados[GM_M]))</f>
        <v>1</v>
      </c>
      <c r="T471" s="14" cm="1">
        <f t="array" ref="T471">IF($A471="","",SUMPRODUCT((TRIM(tblDados[Visitante])=$A471)*tblDados[Primeira_Ocorrencia]*tblDados[GM_V]))</f>
        <v>0</v>
      </c>
      <c r="U471" s="14">
        <f t="shared" si="150"/>
        <v>1</v>
      </c>
      <c r="V471" s="14">
        <f t="shared" si="139"/>
        <v>1</v>
      </c>
      <c r="W471" s="14" cm="1">
        <f t="array" ref="W471">IF($A471="","",SUMPRODUCT((TRIM(tblDados[Mandante])=$A471)*tblDados[Primeira_Ocorrencia]*tblDados[GS_M]))</f>
        <v>0</v>
      </c>
      <c r="X471" s="14" cm="1">
        <f t="array" ref="X471">IF($A471="","",SUMPRODUCT((TRIM(tblDados[Visitante])=$A471)*tblDados[Primeira_Ocorrencia]*tblDados[GS_V]))</f>
        <v>0</v>
      </c>
      <c r="Y471" s="14">
        <f t="shared" si="151"/>
        <v>0</v>
      </c>
      <c r="Z471" s="14">
        <f t="shared" si="140"/>
        <v>0</v>
      </c>
      <c r="AA471" s="14">
        <f t="shared" si="141"/>
        <v>1</v>
      </c>
      <c r="AB471" s="14">
        <f t="shared" si="142"/>
        <v>0</v>
      </c>
      <c r="AC471" s="14" t="str">
        <f t="shared" si="143"/>
        <v/>
      </c>
      <c r="AD471" s="14" t="str">
        <f t="shared" si="144"/>
        <v/>
      </c>
    </row>
    <row r="472" spans="1:30" x14ac:dyDescent="0.3">
      <c r="A472" s="1" t="str">
        <v>Defensa y Justicia</v>
      </c>
      <c r="B472" s="13" t="str" cm="1">
        <f t="array" ref="B472">IF($A472="","",_xlfn.LET(_xlpm.p,IFERROR(INDEX(tblDados[País],MATCH($A472,TRIM(tblDados[Mandante]),0)),INDEX(tblDados[País],MATCH($A472,TRIM(tblDados[Visitante]),0))),_xlpm.l,IFERROR(INDEX(tblDados[Liga],MATCH($A472,TRIM(tblDados[Mandante]),0)),INDEX(tblDados[Liga],MATCH($A472,TRIM(tblDados[Visitante]),0))),_xlpm.p&amp;" - "&amp;_xlpm.l))</f>
        <v>ARG - Liga Profesional</v>
      </c>
      <c r="C472" s="14">
        <f t="shared" si="145"/>
        <v>3</v>
      </c>
      <c r="D472" s="14" t="str">
        <f t="shared" si="146"/>
        <v/>
      </c>
      <c r="E472" s="15" cm="1">
        <f t="array" ref="E472">IF($A472="","",SUMPRODUCT((TRIM(tblDados[Mandante])=$A472)*tblDados[Primeira_Ocorrencia]))</f>
        <v>1</v>
      </c>
      <c r="F472" s="15" cm="1">
        <f t="array" ref="F472">IF($A472="","",SUMPRODUCT((TRIM(tblDados[Visitante])=$A472)*tblDados[Primeira_Ocorrencia]))</f>
        <v>0</v>
      </c>
      <c r="G472" s="15" cm="1">
        <f t="array" ref="G472">IF($A472="","",SUMPRODUCT((TRIM(tblDados[Mandante])=$A472)*tblDados[Primeira_Ocorrencia])+SUMPRODUCT((TRIM(tblDados[Visitante])=$A472)*tblDados[Primeira_Ocorrencia]))</f>
        <v>1</v>
      </c>
      <c r="H472" s="14">
        <f t="shared" si="147"/>
        <v>2</v>
      </c>
      <c r="I472" s="14" cm="1">
        <f t="array" ref="I472">IF($A472="","",_xlfn.LET(_xlpm.p,IFERROR(INDEX(tblDados[País],MATCH($A472,TRIM(tblDados[Mandante]),0)),INDEX(tblDados[País],MATCH($A472,TRIM(tblDados[Visitante]),0))),_xlpm.l,IFERROR(INDEX(tblDados[Liga],MATCH($A472,TRIM(tblDados[Mandante]),0)),INDEX(tblDados[Liga],MATCH($A472,TRIM(tblDados[Visitante]),0))),IFERROR(SUMIFS(Ligas!$D$2:$D$39,Ligas!$H$2:$H$39,_xlpm.p,Ligas!$I$2:$I$39,_xlpm.l),0)))</f>
        <v>2.0499999999999998</v>
      </c>
      <c r="J472" s="16" cm="1">
        <f t="array" ref="J472">IF($A472="","",IFERROR((SUMPRODUCT((TRIM(tblDados[Mandante])=$A472)*tblDados[Primeira_Ocorrencia]*(tblDados[GM_M]=0))+SUMPRODUCT((TRIM(tblDados[Visitante])=$A472)*tblDados[Primeira_Ocorrencia]*(tblDados[GM_V]=0)))/G472,0))</f>
        <v>0</v>
      </c>
      <c r="K472" s="16" cm="1">
        <f t="array" ref="K472">IF($A472="","",IFERROR((SUMPRODUCT((TRIM(tblDados[Mandante])=$A472)*tblDados[Primeira_Ocorrencia]*((tblDados[GM_M]+tblDados[GS_M])&gt;0.5))+SUMPRODUCT((TRIM(tblDados[Visitante])=$A472)*tblDados[Primeira_Ocorrencia]*((tblDados[GM_V]+tblDados[GS_V])&gt;0.5)))/G472,0))</f>
        <v>1</v>
      </c>
      <c r="L472" s="16" cm="1">
        <f t="array" ref="L472">IF($A472="","",IFERROR((SUMPRODUCT((TRIM(tblDados[Mandante])=$A472)*tblDados[Primeira_Ocorrencia]*((tblDados[GM_M]+tblDados[GS_M])&gt;1.5))+SUMPRODUCT((TRIM(tblDados[Visitante])=$A472)*tblDados[Primeira_Ocorrencia]*((tblDados[GM_V]+tblDados[GS_V])&gt;1.5)))/G472,0))</f>
        <v>1</v>
      </c>
      <c r="M472" s="16" cm="1">
        <f t="array" ref="M472">IF($A472="","",IFERROR((SUMPRODUCT((TRIM(tblDados[Mandante])=$A472)*tblDados[Primeira_Ocorrencia]*((tblDados[GM_M]+tblDados[GS_M])&gt;2.5))+SUMPRODUCT((TRIM(tblDados[Visitante])=$A472)*tblDados[Primeira_Ocorrencia]*((tblDados[GM_V]+tblDados[GS_V])&gt;2.5)))/G472,0))</f>
        <v>1</v>
      </c>
      <c r="N472" s="16" cm="1">
        <f t="array" ref="N472">IF($A472="","",IFERROR((SUMPRODUCT((TRIM(tblDados[Mandante])=$A472)*tblDados[Primeira_Ocorrencia]*((tblDados[GM_M]+tblDados[GS_M])&gt;3.5))+SUMPRODUCT((TRIM(tblDados[Visitante])=$A472)*tblDados[Primeira_Ocorrencia]*((tblDados[GM_V]+tblDados[GS_V])&gt;3.5)))/G472,0))</f>
        <v>0</v>
      </c>
      <c r="O472" s="16" cm="1">
        <f t="array" ref="O472">IF($A472="","",IFERROR((SUMPRODUCT((TRIM(tblDados[Mandante])=$A472)*tblDados[Primeira_Ocorrencia]*(tblDados[GM_M]&gt;0)*(tblDados[GS_M]&gt;0))+SUMPRODUCT((TRIM(tblDados[Visitante])=$A472)*tblDados[Primeira_Ocorrencia]*(tblDados[GM_V]&gt;0)*(tblDados[GS_V]&gt;0)))/G472,0))</f>
        <v>1</v>
      </c>
      <c r="P472" s="14" cm="1">
        <f t="array" ref="P472">IF($A472="","",IFERROR((SUMPRODUCT((TRIM(tblDados[Mandante])=$A472)*tblDados[Primeira_Ocorrencia]*tblDados[GM_M]^2)+SUMPRODUCT((TRIM(tblDados[Visitante])=$A472)*tblDados[Primeira_Ocorrencia]*tblDados[GM_V]^2))/G472-H472^2,0))</f>
        <v>0</v>
      </c>
      <c r="Q472" s="14">
        <f t="shared" si="148"/>
        <v>0</v>
      </c>
      <c r="R472" s="1" t="str">
        <f t="shared" si="149"/>
        <v>Amostra Insuficiente</v>
      </c>
      <c r="S472" s="14" cm="1">
        <f t="array" ref="S472">IF($A472="","",SUMPRODUCT((TRIM(tblDados[Mandante])=$A472)*tblDados[Primeira_Ocorrencia]*tblDados[GM_M]))</f>
        <v>2</v>
      </c>
      <c r="T472" s="14" cm="1">
        <f t="array" ref="T472">IF($A472="","",SUMPRODUCT((TRIM(tblDados[Visitante])=$A472)*tblDados[Primeira_Ocorrencia]*tblDados[GM_V]))</f>
        <v>0</v>
      </c>
      <c r="U472" s="14">
        <f t="shared" si="150"/>
        <v>2</v>
      </c>
      <c r="V472" s="14">
        <f t="shared" si="139"/>
        <v>2</v>
      </c>
      <c r="W472" s="14" cm="1">
        <f t="array" ref="W472">IF($A472="","",SUMPRODUCT((TRIM(tblDados[Mandante])=$A472)*tblDados[Primeira_Ocorrencia]*tblDados[GS_M]))</f>
        <v>1</v>
      </c>
      <c r="X472" s="14" cm="1">
        <f t="array" ref="X472">IF($A472="","",SUMPRODUCT((TRIM(tblDados[Visitante])=$A472)*tblDados[Primeira_Ocorrencia]*tblDados[GS_V]))</f>
        <v>0</v>
      </c>
      <c r="Y472" s="14">
        <f t="shared" si="151"/>
        <v>1</v>
      </c>
      <c r="Z472" s="14">
        <f t="shared" si="140"/>
        <v>1</v>
      </c>
      <c r="AA472" s="14">
        <f t="shared" si="141"/>
        <v>2</v>
      </c>
      <c r="AB472" s="14">
        <f t="shared" si="142"/>
        <v>1</v>
      </c>
      <c r="AC472" s="14" t="str">
        <f t="shared" si="143"/>
        <v/>
      </c>
      <c r="AD472" s="14" t="str">
        <f t="shared" si="144"/>
        <v/>
      </c>
    </row>
    <row r="473" spans="1:30" x14ac:dyDescent="0.3">
      <c r="A473" s="1" t="str">
        <v>Deportivo Riestra</v>
      </c>
      <c r="B473" s="13" t="str" cm="1">
        <f t="array" ref="B473">IF($A473="","",_xlfn.LET(_xlpm.p,IFERROR(INDEX(tblDados[País],MATCH($A473,TRIM(tblDados[Mandante]),0)),INDEX(tblDados[País],MATCH($A473,TRIM(tblDados[Visitante]),0))),_xlpm.l,IFERROR(INDEX(tblDados[Liga],MATCH($A473,TRIM(tblDados[Mandante]),0)),INDEX(tblDados[Liga],MATCH($A473,TRIM(tblDados[Visitante]),0))),_xlpm.p&amp;" - "&amp;_xlpm.l))</f>
        <v>ARG - Liga Profesional</v>
      </c>
      <c r="C473" s="14" t="str">
        <f t="shared" si="145"/>
        <v/>
      </c>
      <c r="D473" s="14">
        <f t="shared" si="146"/>
        <v>3</v>
      </c>
      <c r="E473" s="15" cm="1">
        <f t="array" ref="E473">IF($A473="","",SUMPRODUCT((TRIM(tblDados[Mandante])=$A473)*tblDados[Primeira_Ocorrencia]))</f>
        <v>0</v>
      </c>
      <c r="F473" s="15" cm="1">
        <f t="array" ref="F473">IF($A473="","",SUMPRODUCT((TRIM(tblDados[Visitante])=$A473)*tblDados[Primeira_Ocorrencia]))</f>
        <v>1</v>
      </c>
      <c r="G473" s="15" cm="1">
        <f t="array" ref="G473">IF($A473="","",SUMPRODUCT((TRIM(tblDados[Mandante])=$A473)*tblDados[Primeira_Ocorrencia])+SUMPRODUCT((TRIM(tblDados[Visitante])=$A473)*tblDados[Primeira_Ocorrencia]))</f>
        <v>1</v>
      </c>
      <c r="H473" s="14">
        <f t="shared" si="147"/>
        <v>1</v>
      </c>
      <c r="I473" s="14" cm="1">
        <f t="array" ref="I473">IF($A473="","",_xlfn.LET(_xlpm.p,IFERROR(INDEX(tblDados[País],MATCH($A473,TRIM(tblDados[Mandante]),0)),INDEX(tblDados[País],MATCH($A473,TRIM(tblDados[Visitante]),0))),_xlpm.l,IFERROR(INDEX(tblDados[Liga],MATCH($A473,TRIM(tblDados[Mandante]),0)),INDEX(tblDados[Liga],MATCH($A473,TRIM(tblDados[Visitante]),0))),IFERROR(SUMIFS(Ligas!$D$2:$D$39,Ligas!$H$2:$H$39,_xlpm.p,Ligas!$I$2:$I$39,_xlpm.l),0)))</f>
        <v>2.0499999999999998</v>
      </c>
      <c r="J473" s="16" cm="1">
        <f t="array" ref="J473">IF($A473="","",IFERROR((SUMPRODUCT((TRIM(tblDados[Mandante])=$A473)*tblDados[Primeira_Ocorrencia]*(tblDados[GM_M]=0))+SUMPRODUCT((TRIM(tblDados[Visitante])=$A473)*tblDados[Primeira_Ocorrencia]*(tblDados[GM_V]=0)))/G473,0))</f>
        <v>0</v>
      </c>
      <c r="K473" s="16" cm="1">
        <f t="array" ref="K473">IF($A473="","",IFERROR((SUMPRODUCT((TRIM(tblDados[Mandante])=$A473)*tblDados[Primeira_Ocorrencia]*((tblDados[GM_M]+tblDados[GS_M])&gt;0.5))+SUMPRODUCT((TRIM(tblDados[Visitante])=$A473)*tblDados[Primeira_Ocorrencia]*((tblDados[GM_V]+tblDados[GS_V])&gt;0.5)))/G473,0))</f>
        <v>1</v>
      </c>
      <c r="L473" s="16" cm="1">
        <f t="array" ref="L473">IF($A473="","",IFERROR((SUMPRODUCT((TRIM(tblDados[Mandante])=$A473)*tblDados[Primeira_Ocorrencia]*((tblDados[GM_M]+tblDados[GS_M])&gt;1.5))+SUMPRODUCT((TRIM(tblDados[Visitante])=$A473)*tblDados[Primeira_Ocorrencia]*((tblDados[GM_V]+tblDados[GS_V])&gt;1.5)))/G473,0))</f>
        <v>1</v>
      </c>
      <c r="M473" s="16" cm="1">
        <f t="array" ref="M473">IF($A473="","",IFERROR((SUMPRODUCT((TRIM(tblDados[Mandante])=$A473)*tblDados[Primeira_Ocorrencia]*((tblDados[GM_M]+tblDados[GS_M])&gt;2.5))+SUMPRODUCT((TRIM(tblDados[Visitante])=$A473)*tblDados[Primeira_Ocorrencia]*((tblDados[GM_V]+tblDados[GS_V])&gt;2.5)))/G473,0))</f>
        <v>1</v>
      </c>
      <c r="N473" s="16" cm="1">
        <f t="array" ref="N473">IF($A473="","",IFERROR((SUMPRODUCT((TRIM(tblDados[Mandante])=$A473)*tblDados[Primeira_Ocorrencia]*((tblDados[GM_M]+tblDados[GS_M])&gt;3.5))+SUMPRODUCT((TRIM(tblDados[Visitante])=$A473)*tblDados[Primeira_Ocorrencia]*((tblDados[GM_V]+tblDados[GS_V])&gt;3.5)))/G473,0))</f>
        <v>0</v>
      </c>
      <c r="O473" s="16" cm="1">
        <f t="array" ref="O473">IF($A473="","",IFERROR((SUMPRODUCT((TRIM(tblDados[Mandante])=$A473)*tblDados[Primeira_Ocorrencia]*(tblDados[GM_M]&gt;0)*(tblDados[GS_M]&gt;0))+SUMPRODUCT((TRIM(tblDados[Visitante])=$A473)*tblDados[Primeira_Ocorrencia]*(tblDados[GM_V]&gt;0)*(tblDados[GS_V]&gt;0)))/G473,0))</f>
        <v>1</v>
      </c>
      <c r="P473" s="14" cm="1">
        <f t="array" ref="P473">IF($A473="","",IFERROR((SUMPRODUCT((TRIM(tblDados[Mandante])=$A473)*tblDados[Primeira_Ocorrencia]*tblDados[GM_M]^2)+SUMPRODUCT((TRIM(tblDados[Visitante])=$A473)*tblDados[Primeira_Ocorrencia]*tblDados[GM_V]^2))/G473-H473^2,0))</f>
        <v>0</v>
      </c>
      <c r="Q473" s="14">
        <f t="shared" si="148"/>
        <v>0</v>
      </c>
      <c r="R473" s="1" t="str">
        <f t="shared" si="149"/>
        <v>Amostra Insuficiente</v>
      </c>
      <c r="S473" s="14" cm="1">
        <f t="array" ref="S473">IF($A473="","",SUMPRODUCT((TRIM(tblDados[Mandante])=$A473)*tblDados[Primeira_Ocorrencia]*tblDados[GM_M]))</f>
        <v>0</v>
      </c>
      <c r="T473" s="14" cm="1">
        <f t="array" ref="T473">IF($A473="","",SUMPRODUCT((TRIM(tblDados[Visitante])=$A473)*tblDados[Primeira_Ocorrencia]*tblDados[GM_V]))</f>
        <v>1</v>
      </c>
      <c r="U473" s="14">
        <f t="shared" si="150"/>
        <v>1</v>
      </c>
      <c r="V473" s="14">
        <f t="shared" si="139"/>
        <v>1</v>
      </c>
      <c r="W473" s="14" cm="1">
        <f t="array" ref="W473">IF($A473="","",SUMPRODUCT((TRIM(tblDados[Mandante])=$A473)*tblDados[Primeira_Ocorrencia]*tblDados[GS_M]))</f>
        <v>0</v>
      </c>
      <c r="X473" s="14" cm="1">
        <f t="array" ref="X473">IF($A473="","",SUMPRODUCT((TRIM(tblDados[Visitante])=$A473)*tblDados[Primeira_Ocorrencia]*tblDados[GS_V]))</f>
        <v>2</v>
      </c>
      <c r="Y473" s="14">
        <f t="shared" si="151"/>
        <v>2</v>
      </c>
      <c r="Z473" s="14">
        <f t="shared" si="140"/>
        <v>2</v>
      </c>
      <c r="AA473" s="14" t="str">
        <f t="shared" si="141"/>
        <v/>
      </c>
      <c r="AB473" s="14" t="str">
        <f t="shared" si="142"/>
        <v/>
      </c>
      <c r="AC473" s="14">
        <f t="shared" si="143"/>
        <v>1</v>
      </c>
      <c r="AD473" s="14">
        <f t="shared" si="144"/>
        <v>2</v>
      </c>
    </row>
    <row r="474" spans="1:30" x14ac:dyDescent="0.3">
      <c r="A474" s="1" t="str">
        <v>Estudiantes Rio Cuarto</v>
      </c>
      <c r="B474" s="13" t="str" cm="1">
        <f t="array" ref="B474">IF($A474="","",_xlfn.LET(_xlpm.p,IFERROR(INDEX(tblDados[País],MATCH($A474,TRIM(tblDados[Mandante]),0)),INDEX(tblDados[País],MATCH($A474,TRIM(tblDados[Visitante]),0))),_xlpm.l,IFERROR(INDEX(tblDados[Liga],MATCH($A474,TRIM(tblDados[Mandante]),0)),INDEX(tblDados[Liga],MATCH($A474,TRIM(tblDados[Visitante]),0))),_xlpm.p&amp;" - "&amp;_xlpm.l))</f>
        <v>ARG - Primera Nacional</v>
      </c>
      <c r="C474" s="14" t="str">
        <f t="shared" si="145"/>
        <v/>
      </c>
      <c r="D474" s="14">
        <f t="shared" si="146"/>
        <v>3</v>
      </c>
      <c r="E474" s="15" cm="1">
        <f t="array" ref="E474">IF($A474="","",SUMPRODUCT((TRIM(tblDados[Mandante])=$A474)*tblDados[Primeira_Ocorrencia]))</f>
        <v>0</v>
      </c>
      <c r="F474" s="15" cm="1">
        <f t="array" ref="F474">IF($A474="","",SUMPRODUCT((TRIM(tblDados[Visitante])=$A474)*tblDados[Primeira_Ocorrencia]))</f>
        <v>1</v>
      </c>
      <c r="G474" s="15" cm="1">
        <f t="array" ref="G474">IF($A474="","",SUMPRODUCT((TRIM(tblDados[Mandante])=$A474)*tblDados[Primeira_Ocorrencia])+SUMPRODUCT((TRIM(tblDados[Visitante])=$A474)*tblDados[Primeira_Ocorrencia]))</f>
        <v>1</v>
      </c>
      <c r="H474" s="14">
        <f t="shared" si="147"/>
        <v>0</v>
      </c>
      <c r="I474" s="14" cm="1">
        <f t="array" ref="I474">IF($A474="","",_xlfn.LET(_xlpm.p,IFERROR(INDEX(tblDados[País],MATCH($A474,TRIM(tblDados[Mandante]),0)),INDEX(tblDados[País],MATCH($A474,TRIM(tblDados[Visitante]),0))),_xlpm.l,IFERROR(INDEX(tblDados[Liga],MATCH($A474,TRIM(tblDados[Mandante]),0)),INDEX(tblDados[Liga],MATCH($A474,TRIM(tblDados[Visitante]),0))),IFERROR(SUMIFS(Ligas!$D$2:$D$39,Ligas!$H$2:$H$39,_xlpm.p,Ligas!$I$2:$I$39,_xlpm.l),0)))</f>
        <v>1.92</v>
      </c>
      <c r="J474" s="16" cm="1">
        <f t="array" ref="J474">IF($A474="","",IFERROR((SUMPRODUCT((TRIM(tblDados[Mandante])=$A474)*tblDados[Primeira_Ocorrencia]*(tblDados[GM_M]=0))+SUMPRODUCT((TRIM(tblDados[Visitante])=$A474)*tblDados[Primeira_Ocorrencia]*(tblDados[GM_V]=0)))/G474,0))</f>
        <v>1</v>
      </c>
      <c r="K474" s="16" cm="1">
        <f t="array" ref="K474">IF($A474="","",IFERROR((SUMPRODUCT((TRIM(tblDados[Mandante])=$A474)*tblDados[Primeira_Ocorrencia]*((tblDados[GM_M]+tblDados[GS_M])&gt;0.5))+SUMPRODUCT((TRIM(tblDados[Visitante])=$A474)*tblDados[Primeira_Ocorrencia]*((tblDados[GM_V]+tblDados[GS_V])&gt;0.5)))/G474,0))</f>
        <v>1</v>
      </c>
      <c r="L474" s="16" cm="1">
        <f t="array" ref="L474">IF($A474="","",IFERROR((SUMPRODUCT((TRIM(tblDados[Mandante])=$A474)*tblDados[Primeira_Ocorrencia]*((tblDados[GM_M]+tblDados[GS_M])&gt;1.5))+SUMPRODUCT((TRIM(tblDados[Visitante])=$A474)*tblDados[Primeira_Ocorrencia]*((tblDados[GM_V]+tblDados[GS_V])&gt;1.5)))/G474,0))</f>
        <v>1</v>
      </c>
      <c r="M474" s="16" cm="1">
        <f t="array" ref="M474">IF($A474="","",IFERROR((SUMPRODUCT((TRIM(tblDados[Mandante])=$A474)*tblDados[Primeira_Ocorrencia]*((tblDados[GM_M]+tblDados[GS_M])&gt;2.5))+SUMPRODUCT((TRIM(tblDados[Visitante])=$A474)*tblDados[Primeira_Ocorrencia]*((tblDados[GM_V]+tblDados[GS_V])&gt;2.5)))/G474,0))</f>
        <v>1</v>
      </c>
      <c r="N474" s="16" cm="1">
        <f t="array" ref="N474">IF($A474="","",IFERROR((SUMPRODUCT((TRIM(tblDados[Mandante])=$A474)*tblDados[Primeira_Ocorrencia]*((tblDados[GM_M]+tblDados[GS_M])&gt;3.5))+SUMPRODUCT((TRIM(tblDados[Visitante])=$A474)*tblDados[Primeira_Ocorrencia]*((tblDados[GM_V]+tblDados[GS_V])&gt;3.5)))/G474,0))</f>
        <v>0</v>
      </c>
      <c r="O474" s="16" cm="1">
        <f t="array" ref="O474">IF($A474="","",IFERROR((SUMPRODUCT((TRIM(tblDados[Mandante])=$A474)*tblDados[Primeira_Ocorrencia]*(tblDados[GM_M]&gt;0)*(tblDados[GS_M]&gt;0))+SUMPRODUCT((TRIM(tblDados[Visitante])=$A474)*tblDados[Primeira_Ocorrencia]*(tblDados[GM_V]&gt;0)*(tblDados[GS_V]&gt;0)))/G474,0))</f>
        <v>0</v>
      </c>
      <c r="P474" s="14" cm="1">
        <f t="array" ref="P474">IF($A474="","",IFERROR((SUMPRODUCT((TRIM(tblDados[Mandante])=$A474)*tblDados[Primeira_Ocorrencia]*tblDados[GM_M]^2)+SUMPRODUCT((TRIM(tblDados[Visitante])=$A474)*tblDados[Primeira_Ocorrencia]*tblDados[GM_V]^2))/G474-H474^2,0))</f>
        <v>0</v>
      </c>
      <c r="Q474" s="14">
        <f t="shared" si="148"/>
        <v>0</v>
      </c>
      <c r="R474" s="1" t="str">
        <f t="shared" si="149"/>
        <v>Amostra Insuficiente</v>
      </c>
      <c r="S474" s="14" cm="1">
        <f t="array" ref="S474">IF($A474="","",SUMPRODUCT((TRIM(tblDados[Mandante])=$A474)*tblDados[Primeira_Ocorrencia]*tblDados[GM_M]))</f>
        <v>0</v>
      </c>
      <c r="T474" s="14" cm="1">
        <f t="array" ref="T474">IF($A474="","",SUMPRODUCT((TRIM(tblDados[Visitante])=$A474)*tblDados[Primeira_Ocorrencia]*tblDados[GM_V]))</f>
        <v>0</v>
      </c>
      <c r="U474" s="14">
        <f t="shared" si="150"/>
        <v>0</v>
      </c>
      <c r="V474" s="14">
        <f t="shared" si="139"/>
        <v>0</v>
      </c>
      <c r="W474" s="14" cm="1">
        <f t="array" ref="W474">IF($A474="","",SUMPRODUCT((TRIM(tblDados[Mandante])=$A474)*tblDados[Primeira_Ocorrencia]*tblDados[GS_M]))</f>
        <v>0</v>
      </c>
      <c r="X474" s="14" cm="1">
        <f t="array" ref="X474">IF($A474="","",SUMPRODUCT((TRIM(tblDados[Visitante])=$A474)*tblDados[Primeira_Ocorrencia]*tblDados[GS_V]))</f>
        <v>3</v>
      </c>
      <c r="Y474" s="14">
        <f t="shared" si="151"/>
        <v>3</v>
      </c>
      <c r="Z474" s="14">
        <f t="shared" si="140"/>
        <v>3</v>
      </c>
      <c r="AA474" s="14" t="str">
        <f t="shared" si="141"/>
        <v/>
      </c>
      <c r="AB474" s="14" t="str">
        <f t="shared" si="142"/>
        <v/>
      </c>
      <c r="AC474" s="14">
        <f t="shared" si="143"/>
        <v>0</v>
      </c>
      <c r="AD474" s="14">
        <f t="shared" si="144"/>
        <v>3</v>
      </c>
    </row>
    <row r="475" spans="1:30" x14ac:dyDescent="0.3">
      <c r="A475" s="1" t="str">
        <v>Gimnasia LP</v>
      </c>
      <c r="B475" s="13" t="str" cm="1">
        <f t="array" ref="B475">IF($A475="","",_xlfn.LET(_xlpm.p,IFERROR(INDEX(tblDados[País],MATCH($A475,TRIM(tblDados[Mandante]),0)),INDEX(tblDados[País],MATCH($A475,TRIM(tblDados[Visitante]),0))),_xlpm.l,IFERROR(INDEX(tblDados[Liga],MATCH($A475,TRIM(tblDados[Mandante]),0)),INDEX(tblDados[Liga],MATCH($A475,TRIM(tblDados[Visitante]),0))),_xlpm.p&amp;" - "&amp;_xlpm.l))</f>
        <v>ARG - Liga Profesional</v>
      </c>
      <c r="C475" s="14">
        <f t="shared" si="145"/>
        <v>1</v>
      </c>
      <c r="D475" s="14" t="str">
        <f t="shared" si="146"/>
        <v/>
      </c>
      <c r="E475" s="15" cm="1">
        <f t="array" ref="E475">IF($A475="","",SUMPRODUCT((TRIM(tblDados[Mandante])=$A475)*tblDados[Primeira_Ocorrencia]))</f>
        <v>1</v>
      </c>
      <c r="F475" s="15" cm="1">
        <f t="array" ref="F475">IF($A475="","",SUMPRODUCT((TRIM(tblDados[Visitante])=$A475)*tblDados[Primeira_Ocorrencia]))</f>
        <v>0</v>
      </c>
      <c r="G475" s="15" cm="1">
        <f t="array" ref="G475">IF($A475="","",SUMPRODUCT((TRIM(tblDados[Mandante])=$A475)*tblDados[Primeira_Ocorrencia])+SUMPRODUCT((TRIM(tblDados[Visitante])=$A475)*tblDados[Primeira_Ocorrencia]))</f>
        <v>1</v>
      </c>
      <c r="H475" s="14">
        <f t="shared" si="147"/>
        <v>1</v>
      </c>
      <c r="I475" s="14" cm="1">
        <f t="array" ref="I475">IF($A475="","",_xlfn.LET(_xlpm.p,IFERROR(INDEX(tblDados[País],MATCH($A475,TRIM(tblDados[Mandante]),0)),INDEX(tblDados[País],MATCH($A475,TRIM(tblDados[Visitante]),0))),_xlpm.l,IFERROR(INDEX(tblDados[Liga],MATCH($A475,TRIM(tblDados[Mandante]),0)),INDEX(tblDados[Liga],MATCH($A475,TRIM(tblDados[Visitante]),0))),IFERROR(SUMIFS(Ligas!$D$2:$D$39,Ligas!$H$2:$H$39,_xlpm.p,Ligas!$I$2:$I$39,_xlpm.l),0)))</f>
        <v>2.0499999999999998</v>
      </c>
      <c r="J475" s="16" cm="1">
        <f t="array" ref="J475">IF($A475="","",IFERROR((SUMPRODUCT((TRIM(tblDados[Mandante])=$A475)*tblDados[Primeira_Ocorrencia]*(tblDados[GM_M]=0))+SUMPRODUCT((TRIM(tblDados[Visitante])=$A475)*tblDados[Primeira_Ocorrencia]*(tblDados[GM_V]=0)))/G475,0))</f>
        <v>0</v>
      </c>
      <c r="K475" s="16" cm="1">
        <f t="array" ref="K475">IF($A475="","",IFERROR((SUMPRODUCT((TRIM(tblDados[Mandante])=$A475)*tblDados[Primeira_Ocorrencia]*((tblDados[GM_M]+tblDados[GS_M])&gt;0.5))+SUMPRODUCT((TRIM(tblDados[Visitante])=$A475)*tblDados[Primeira_Ocorrencia]*((tblDados[GM_V]+tblDados[GS_V])&gt;0.5)))/G475,0))</f>
        <v>1</v>
      </c>
      <c r="L475" s="16" cm="1">
        <f t="array" ref="L475">IF($A475="","",IFERROR((SUMPRODUCT((TRIM(tblDados[Mandante])=$A475)*tblDados[Primeira_Ocorrencia]*((tblDados[GM_M]+tblDados[GS_M])&gt;1.5))+SUMPRODUCT((TRIM(tblDados[Visitante])=$A475)*tblDados[Primeira_Ocorrencia]*((tblDados[GM_V]+tblDados[GS_V])&gt;1.5)))/G475,0))</f>
        <v>0</v>
      </c>
      <c r="M475" s="16" cm="1">
        <f t="array" ref="M475">IF($A475="","",IFERROR((SUMPRODUCT((TRIM(tblDados[Mandante])=$A475)*tblDados[Primeira_Ocorrencia]*((tblDados[GM_M]+tblDados[GS_M])&gt;2.5))+SUMPRODUCT((TRIM(tblDados[Visitante])=$A475)*tblDados[Primeira_Ocorrencia]*((tblDados[GM_V]+tblDados[GS_V])&gt;2.5)))/G475,0))</f>
        <v>0</v>
      </c>
      <c r="N475" s="16" cm="1">
        <f t="array" ref="N475">IF($A475="","",IFERROR((SUMPRODUCT((TRIM(tblDados[Mandante])=$A475)*tblDados[Primeira_Ocorrencia]*((tblDados[GM_M]+tblDados[GS_M])&gt;3.5))+SUMPRODUCT((TRIM(tblDados[Visitante])=$A475)*tblDados[Primeira_Ocorrencia]*((tblDados[GM_V]+tblDados[GS_V])&gt;3.5)))/G475,0))</f>
        <v>0</v>
      </c>
      <c r="O475" s="16" cm="1">
        <f t="array" ref="O475">IF($A475="","",IFERROR((SUMPRODUCT((TRIM(tblDados[Mandante])=$A475)*tblDados[Primeira_Ocorrencia]*(tblDados[GM_M]&gt;0)*(tblDados[GS_M]&gt;0))+SUMPRODUCT((TRIM(tblDados[Visitante])=$A475)*tblDados[Primeira_Ocorrencia]*(tblDados[GM_V]&gt;0)*(tblDados[GS_V]&gt;0)))/G475,0))</f>
        <v>0</v>
      </c>
      <c r="P475" s="14" cm="1">
        <f t="array" ref="P475">IF($A475="","",IFERROR((SUMPRODUCT((TRIM(tblDados[Mandante])=$A475)*tblDados[Primeira_Ocorrencia]*tblDados[GM_M]^2)+SUMPRODUCT((TRIM(tblDados[Visitante])=$A475)*tblDados[Primeira_Ocorrencia]*tblDados[GM_V]^2))/G475-H475^2,0))</f>
        <v>0</v>
      </c>
      <c r="Q475" s="14">
        <f t="shared" si="148"/>
        <v>0</v>
      </c>
      <c r="R475" s="1" t="str">
        <f t="shared" si="149"/>
        <v>Amostra Insuficiente</v>
      </c>
      <c r="S475" s="14" cm="1">
        <f t="array" ref="S475">IF($A475="","",SUMPRODUCT((TRIM(tblDados[Mandante])=$A475)*tblDados[Primeira_Ocorrencia]*tblDados[GM_M]))</f>
        <v>1</v>
      </c>
      <c r="T475" s="14" cm="1">
        <f t="array" ref="T475">IF($A475="","",SUMPRODUCT((TRIM(tblDados[Visitante])=$A475)*tblDados[Primeira_Ocorrencia]*tblDados[GM_V]))</f>
        <v>0</v>
      </c>
      <c r="U475" s="14">
        <f t="shared" si="150"/>
        <v>1</v>
      </c>
      <c r="V475" s="14">
        <f t="shared" si="139"/>
        <v>1</v>
      </c>
      <c r="W475" s="14" cm="1">
        <f t="array" ref="W475">IF($A475="","",SUMPRODUCT((TRIM(tblDados[Mandante])=$A475)*tblDados[Primeira_Ocorrencia]*tblDados[GS_M]))</f>
        <v>0</v>
      </c>
      <c r="X475" s="14" cm="1">
        <f t="array" ref="X475">IF($A475="","",SUMPRODUCT((TRIM(tblDados[Visitante])=$A475)*tblDados[Primeira_Ocorrencia]*tblDados[GS_V]))</f>
        <v>0</v>
      </c>
      <c r="Y475" s="14">
        <f t="shared" si="151"/>
        <v>0</v>
      </c>
      <c r="Z475" s="14">
        <f t="shared" si="140"/>
        <v>0</v>
      </c>
      <c r="AA475" s="14">
        <f t="shared" si="141"/>
        <v>1</v>
      </c>
      <c r="AB475" s="14">
        <f t="shared" si="142"/>
        <v>0</v>
      </c>
      <c r="AC475" s="14" t="str">
        <f t="shared" si="143"/>
        <v/>
      </c>
      <c r="AD475" s="14" t="str">
        <f t="shared" si="144"/>
        <v/>
      </c>
    </row>
    <row r="476" spans="1:30" x14ac:dyDescent="0.3">
      <c r="A476" s="1" t="str">
        <v>Huracán</v>
      </c>
      <c r="B476" s="13" t="str" cm="1">
        <f t="array" ref="B476">IF($A476="","",_xlfn.LET(_xlpm.p,IFERROR(INDEX(tblDados[País],MATCH($A476,TRIM(tblDados[Mandante]),0)),INDEX(tblDados[País],MATCH($A476,TRIM(tblDados[Visitante]),0))),_xlpm.l,IFERROR(INDEX(tblDados[Liga],MATCH($A476,TRIM(tblDados[Mandante]),0)),INDEX(tblDados[Liga],MATCH($A476,TRIM(tblDados[Visitante]),0))),_xlpm.p&amp;" - "&amp;_xlpm.l))</f>
        <v>ARG - Liga Profesional</v>
      </c>
      <c r="C476" s="14" t="str">
        <f t="shared" si="145"/>
        <v/>
      </c>
      <c r="D476" s="14">
        <f t="shared" si="146"/>
        <v>3</v>
      </c>
      <c r="E476" s="15" cm="1">
        <f t="array" ref="E476">IF($A476="","",SUMPRODUCT((TRIM(tblDados[Mandante])=$A476)*tblDados[Primeira_Ocorrencia]))</f>
        <v>0</v>
      </c>
      <c r="F476" s="15" cm="1">
        <f t="array" ref="F476">IF($A476="","",SUMPRODUCT((TRIM(tblDados[Visitante])=$A476)*tblDados[Primeira_Ocorrencia]))</f>
        <v>1</v>
      </c>
      <c r="G476" s="15" cm="1">
        <f t="array" ref="G476">IF($A476="","",SUMPRODUCT((TRIM(tblDados[Mandante])=$A476)*tblDados[Primeira_Ocorrencia])+SUMPRODUCT((TRIM(tblDados[Visitante])=$A476)*tblDados[Primeira_Ocorrencia]))</f>
        <v>1</v>
      </c>
      <c r="H476" s="14">
        <f t="shared" si="147"/>
        <v>1</v>
      </c>
      <c r="I476" s="14" cm="1">
        <f t="array" ref="I476">IF($A476="","",_xlfn.LET(_xlpm.p,IFERROR(INDEX(tblDados[País],MATCH($A476,TRIM(tblDados[Mandante]),0)),INDEX(tblDados[País],MATCH($A476,TRIM(tblDados[Visitante]),0))),_xlpm.l,IFERROR(INDEX(tblDados[Liga],MATCH($A476,TRIM(tblDados[Mandante]),0)),INDEX(tblDados[Liga],MATCH($A476,TRIM(tblDados[Visitante]),0))),IFERROR(SUMIFS(Ligas!$D$2:$D$39,Ligas!$H$2:$H$39,_xlpm.p,Ligas!$I$2:$I$39,_xlpm.l),0)))</f>
        <v>2.0499999999999998</v>
      </c>
      <c r="J476" s="16" cm="1">
        <f t="array" ref="J476">IF($A476="","",IFERROR((SUMPRODUCT((TRIM(tblDados[Mandante])=$A476)*tblDados[Primeira_Ocorrencia]*(tblDados[GM_M]=0))+SUMPRODUCT((TRIM(tblDados[Visitante])=$A476)*tblDados[Primeira_Ocorrencia]*(tblDados[GM_V]=0)))/G476,0))</f>
        <v>0</v>
      </c>
      <c r="K476" s="16" cm="1">
        <f t="array" ref="K476">IF($A476="","",IFERROR((SUMPRODUCT((TRIM(tblDados[Mandante])=$A476)*tblDados[Primeira_Ocorrencia]*((tblDados[GM_M]+tblDados[GS_M])&gt;0.5))+SUMPRODUCT((TRIM(tblDados[Visitante])=$A476)*tblDados[Primeira_Ocorrencia]*((tblDados[GM_V]+tblDados[GS_V])&gt;0.5)))/G476,0))</f>
        <v>1</v>
      </c>
      <c r="L476" s="16" cm="1">
        <f t="array" ref="L476">IF($A476="","",IFERROR((SUMPRODUCT((TRIM(tblDados[Mandante])=$A476)*tblDados[Primeira_Ocorrencia]*((tblDados[GM_M]+tblDados[GS_M])&gt;1.5))+SUMPRODUCT((TRIM(tblDados[Visitante])=$A476)*tblDados[Primeira_Ocorrencia]*((tblDados[GM_V]+tblDados[GS_V])&gt;1.5)))/G476,0))</f>
        <v>1</v>
      </c>
      <c r="M476" s="16" cm="1">
        <f t="array" ref="M476">IF($A476="","",IFERROR((SUMPRODUCT((TRIM(tblDados[Mandante])=$A476)*tblDados[Primeira_Ocorrencia]*((tblDados[GM_M]+tblDados[GS_M])&gt;2.5))+SUMPRODUCT((TRIM(tblDados[Visitante])=$A476)*tblDados[Primeira_Ocorrencia]*((tblDados[GM_V]+tblDados[GS_V])&gt;2.5)))/G476,0))</f>
        <v>1</v>
      </c>
      <c r="N476" s="16" cm="1">
        <f t="array" ref="N476">IF($A476="","",IFERROR((SUMPRODUCT((TRIM(tblDados[Mandante])=$A476)*tblDados[Primeira_Ocorrencia]*((tblDados[GM_M]+tblDados[GS_M])&gt;3.5))+SUMPRODUCT((TRIM(tblDados[Visitante])=$A476)*tblDados[Primeira_Ocorrencia]*((tblDados[GM_V]+tblDados[GS_V])&gt;3.5)))/G476,0))</f>
        <v>0</v>
      </c>
      <c r="O476" s="16" cm="1">
        <f t="array" ref="O476">IF($A476="","",IFERROR((SUMPRODUCT((TRIM(tblDados[Mandante])=$A476)*tblDados[Primeira_Ocorrencia]*(tblDados[GM_M]&gt;0)*(tblDados[GS_M]&gt;0))+SUMPRODUCT((TRIM(tblDados[Visitante])=$A476)*tblDados[Primeira_Ocorrencia]*(tblDados[GM_V]&gt;0)*(tblDados[GS_V]&gt;0)))/G476,0))</f>
        <v>1</v>
      </c>
      <c r="P476" s="14" cm="1">
        <f t="array" ref="P476">IF($A476="","",IFERROR((SUMPRODUCT((TRIM(tblDados[Mandante])=$A476)*tblDados[Primeira_Ocorrencia]*tblDados[GM_M]^2)+SUMPRODUCT((TRIM(tblDados[Visitante])=$A476)*tblDados[Primeira_Ocorrencia]*tblDados[GM_V]^2))/G476-H476^2,0))</f>
        <v>0</v>
      </c>
      <c r="Q476" s="14">
        <f t="shared" si="148"/>
        <v>0</v>
      </c>
      <c r="R476" s="1" t="str">
        <f t="shared" si="149"/>
        <v>Amostra Insuficiente</v>
      </c>
      <c r="S476" s="14" cm="1">
        <f t="array" ref="S476">IF($A476="","",SUMPRODUCT((TRIM(tblDados[Mandante])=$A476)*tblDados[Primeira_Ocorrencia]*tblDados[GM_M]))</f>
        <v>0</v>
      </c>
      <c r="T476" s="14" cm="1">
        <f t="array" ref="T476">IF($A476="","",SUMPRODUCT((TRIM(tblDados[Visitante])=$A476)*tblDados[Primeira_Ocorrencia]*tblDados[GM_V]))</f>
        <v>1</v>
      </c>
      <c r="U476" s="14">
        <f t="shared" si="150"/>
        <v>1</v>
      </c>
      <c r="V476" s="14">
        <f t="shared" si="139"/>
        <v>1</v>
      </c>
      <c r="W476" s="14" cm="1">
        <f t="array" ref="W476">IF($A476="","",SUMPRODUCT((TRIM(tblDados[Mandante])=$A476)*tblDados[Primeira_Ocorrencia]*tblDados[GS_M]))</f>
        <v>0</v>
      </c>
      <c r="X476" s="14" cm="1">
        <f t="array" ref="X476">IF($A476="","",SUMPRODUCT((TRIM(tblDados[Visitante])=$A476)*tblDados[Primeira_Ocorrencia]*tblDados[GS_V]))</f>
        <v>2</v>
      </c>
      <c r="Y476" s="14">
        <f t="shared" si="151"/>
        <v>2</v>
      </c>
      <c r="Z476" s="14">
        <f t="shared" si="140"/>
        <v>2</v>
      </c>
      <c r="AA476" s="14" t="str">
        <f t="shared" si="141"/>
        <v/>
      </c>
      <c r="AB476" s="14" t="str">
        <f t="shared" si="142"/>
        <v/>
      </c>
      <c r="AC476" s="14">
        <f t="shared" si="143"/>
        <v>1</v>
      </c>
      <c r="AD476" s="14">
        <f t="shared" si="144"/>
        <v>2</v>
      </c>
    </row>
    <row r="477" spans="1:30" x14ac:dyDescent="0.3">
      <c r="A477" s="1" t="str">
        <v>Independiente Rivadavia</v>
      </c>
      <c r="B477" s="13" t="str" cm="1">
        <f t="array" ref="B477">IF($A477="","",_xlfn.LET(_xlpm.p,IFERROR(INDEX(tblDados[País],MATCH($A477,TRIM(tblDados[Mandante]),0)),INDEX(tblDados[País],MATCH($A477,TRIM(tblDados[Visitante]),0))),_xlpm.l,IFERROR(INDEX(tblDados[Liga],MATCH($A477,TRIM(tblDados[Mandante]),0)),INDEX(tblDados[Liga],MATCH($A477,TRIM(tblDados[Visitante]),0))),_xlpm.p&amp;" - "&amp;_xlpm.l))</f>
        <v>ARG - Liga Profesional</v>
      </c>
      <c r="C477" s="14">
        <f t="shared" si="145"/>
        <v>3</v>
      </c>
      <c r="D477" s="14" t="str">
        <f t="shared" si="146"/>
        <v/>
      </c>
      <c r="E477" s="15" cm="1">
        <f t="array" ref="E477">IF($A477="","",SUMPRODUCT((TRIM(tblDados[Mandante])=$A477)*tblDados[Primeira_Ocorrencia]))</f>
        <v>1</v>
      </c>
      <c r="F477" s="15" cm="1">
        <f t="array" ref="F477">IF($A477="","",SUMPRODUCT((TRIM(tblDados[Visitante])=$A477)*tblDados[Primeira_Ocorrencia]))</f>
        <v>0</v>
      </c>
      <c r="G477" s="15" cm="1">
        <f t="array" ref="G477">IF($A477="","",SUMPRODUCT((TRIM(tblDados[Mandante])=$A477)*tblDados[Primeira_Ocorrencia])+SUMPRODUCT((TRIM(tblDados[Visitante])=$A477)*tblDados[Primeira_Ocorrencia]))</f>
        <v>1</v>
      </c>
      <c r="H477" s="14">
        <f t="shared" si="147"/>
        <v>2</v>
      </c>
      <c r="I477" s="14" cm="1">
        <f t="array" ref="I477">IF($A477="","",_xlfn.LET(_xlpm.p,IFERROR(INDEX(tblDados[País],MATCH($A477,TRIM(tblDados[Mandante]),0)),INDEX(tblDados[País],MATCH($A477,TRIM(tblDados[Visitante]),0))),_xlpm.l,IFERROR(INDEX(tblDados[Liga],MATCH($A477,TRIM(tblDados[Mandante]),0)),INDEX(tblDados[Liga],MATCH($A477,TRIM(tblDados[Visitante]),0))),IFERROR(SUMIFS(Ligas!$D$2:$D$39,Ligas!$H$2:$H$39,_xlpm.p,Ligas!$I$2:$I$39,_xlpm.l),0)))</f>
        <v>2.0499999999999998</v>
      </c>
      <c r="J477" s="16" cm="1">
        <f t="array" ref="J477">IF($A477="","",IFERROR((SUMPRODUCT((TRIM(tblDados[Mandante])=$A477)*tblDados[Primeira_Ocorrencia]*(tblDados[GM_M]=0))+SUMPRODUCT((TRIM(tblDados[Visitante])=$A477)*tblDados[Primeira_Ocorrencia]*(tblDados[GM_V]=0)))/G477,0))</f>
        <v>0</v>
      </c>
      <c r="K477" s="16" cm="1">
        <f t="array" ref="K477">IF($A477="","",IFERROR((SUMPRODUCT((TRIM(tblDados[Mandante])=$A477)*tblDados[Primeira_Ocorrencia]*((tblDados[GM_M]+tblDados[GS_M])&gt;0.5))+SUMPRODUCT((TRIM(tblDados[Visitante])=$A477)*tblDados[Primeira_Ocorrencia]*((tblDados[GM_V]+tblDados[GS_V])&gt;0.5)))/G477,0))</f>
        <v>1</v>
      </c>
      <c r="L477" s="16" cm="1">
        <f t="array" ref="L477">IF($A477="","",IFERROR((SUMPRODUCT((TRIM(tblDados[Mandante])=$A477)*tblDados[Primeira_Ocorrencia]*((tblDados[GM_M]+tblDados[GS_M])&gt;1.5))+SUMPRODUCT((TRIM(tblDados[Visitante])=$A477)*tblDados[Primeira_Ocorrencia]*((tblDados[GM_V]+tblDados[GS_V])&gt;1.5)))/G477,0))</f>
        <v>1</v>
      </c>
      <c r="M477" s="16" cm="1">
        <f t="array" ref="M477">IF($A477="","",IFERROR((SUMPRODUCT((TRIM(tblDados[Mandante])=$A477)*tblDados[Primeira_Ocorrencia]*((tblDados[GM_M]+tblDados[GS_M])&gt;2.5))+SUMPRODUCT((TRIM(tblDados[Visitante])=$A477)*tblDados[Primeira_Ocorrencia]*((tblDados[GM_V]+tblDados[GS_V])&gt;2.5)))/G477,0))</f>
        <v>1</v>
      </c>
      <c r="N477" s="16" cm="1">
        <f t="array" ref="N477">IF($A477="","",IFERROR((SUMPRODUCT((TRIM(tblDados[Mandante])=$A477)*tblDados[Primeira_Ocorrencia]*((tblDados[GM_M]+tblDados[GS_M])&gt;3.5))+SUMPRODUCT((TRIM(tblDados[Visitante])=$A477)*tblDados[Primeira_Ocorrencia]*((tblDados[GM_V]+tblDados[GS_V])&gt;3.5)))/G477,0))</f>
        <v>0</v>
      </c>
      <c r="O477" s="16" cm="1">
        <f t="array" ref="O477">IF($A477="","",IFERROR((SUMPRODUCT((TRIM(tblDados[Mandante])=$A477)*tblDados[Primeira_Ocorrencia]*(tblDados[GM_M]&gt;0)*(tblDados[GS_M]&gt;0))+SUMPRODUCT((TRIM(tblDados[Visitante])=$A477)*tblDados[Primeira_Ocorrencia]*(tblDados[GM_V]&gt;0)*(tblDados[GS_V]&gt;0)))/G477,0))</f>
        <v>1</v>
      </c>
      <c r="P477" s="14" cm="1">
        <f t="array" ref="P477">IF($A477="","",IFERROR((SUMPRODUCT((TRIM(tblDados[Mandante])=$A477)*tblDados[Primeira_Ocorrencia]*tblDados[GM_M]^2)+SUMPRODUCT((TRIM(tblDados[Visitante])=$A477)*tblDados[Primeira_Ocorrencia]*tblDados[GM_V]^2))/G477-H477^2,0))</f>
        <v>0</v>
      </c>
      <c r="Q477" s="14">
        <f t="shared" si="148"/>
        <v>0</v>
      </c>
      <c r="R477" s="1" t="str">
        <f t="shared" si="149"/>
        <v>Amostra Insuficiente</v>
      </c>
      <c r="S477" s="14" cm="1">
        <f t="array" ref="S477">IF($A477="","",SUMPRODUCT((TRIM(tblDados[Mandante])=$A477)*tblDados[Primeira_Ocorrencia]*tblDados[GM_M]))</f>
        <v>2</v>
      </c>
      <c r="T477" s="14" cm="1">
        <f t="array" ref="T477">IF($A477="","",SUMPRODUCT((TRIM(tblDados[Visitante])=$A477)*tblDados[Primeira_Ocorrencia]*tblDados[GM_V]))</f>
        <v>0</v>
      </c>
      <c r="U477" s="14">
        <f t="shared" si="150"/>
        <v>2</v>
      </c>
      <c r="V477" s="14">
        <f t="shared" si="139"/>
        <v>2</v>
      </c>
      <c r="W477" s="14" cm="1">
        <f t="array" ref="W477">IF($A477="","",SUMPRODUCT((TRIM(tblDados[Mandante])=$A477)*tblDados[Primeira_Ocorrencia]*tblDados[GS_M]))</f>
        <v>1</v>
      </c>
      <c r="X477" s="14" cm="1">
        <f t="array" ref="X477">IF($A477="","",SUMPRODUCT((TRIM(tblDados[Visitante])=$A477)*tblDados[Primeira_Ocorrencia]*tblDados[GS_V]))</f>
        <v>0</v>
      </c>
      <c r="Y477" s="14">
        <f t="shared" si="151"/>
        <v>1</v>
      </c>
      <c r="Z477" s="14">
        <f t="shared" si="140"/>
        <v>1</v>
      </c>
      <c r="AA477" s="14">
        <f t="shared" si="141"/>
        <v>2</v>
      </c>
      <c r="AB477" s="14">
        <f t="shared" si="142"/>
        <v>1</v>
      </c>
      <c r="AC477" s="14" t="str">
        <f t="shared" si="143"/>
        <v/>
      </c>
      <c r="AD477" s="14" t="str">
        <f t="shared" si="144"/>
        <v/>
      </c>
    </row>
    <row r="478" spans="1:30" x14ac:dyDescent="0.3">
      <c r="A478" s="1" t="str">
        <v>Instituto Córdoba</v>
      </c>
      <c r="B478" s="13" t="str" cm="1">
        <f t="array" ref="B478">IF($A478="","",_xlfn.LET(_xlpm.p,IFERROR(INDEX(tblDados[País],MATCH($A478,TRIM(tblDados[Mandante]),0)),INDEX(tblDados[País],MATCH($A478,TRIM(tblDados[Visitante]),0))),_xlpm.l,IFERROR(INDEX(tblDados[Liga],MATCH($A478,TRIM(tblDados[Mandante]),0)),INDEX(tblDados[Liga],MATCH($A478,TRIM(tblDados[Visitante]),0))),_xlpm.p&amp;" - "&amp;_xlpm.l))</f>
        <v>ARG - Liga Profesional</v>
      </c>
      <c r="C478" s="14">
        <f t="shared" si="145"/>
        <v>3</v>
      </c>
      <c r="D478" s="14" t="str">
        <f t="shared" si="146"/>
        <v/>
      </c>
      <c r="E478" s="15" cm="1">
        <f t="array" ref="E478">IF($A478="","",SUMPRODUCT((TRIM(tblDados[Mandante])=$A478)*tblDados[Primeira_Ocorrencia]))</f>
        <v>1</v>
      </c>
      <c r="F478" s="15" cm="1">
        <f t="array" ref="F478">IF($A478="","",SUMPRODUCT((TRIM(tblDados[Visitante])=$A478)*tblDados[Primeira_Ocorrencia]))</f>
        <v>0</v>
      </c>
      <c r="G478" s="15" cm="1">
        <f t="array" ref="G478">IF($A478="","",SUMPRODUCT((TRIM(tblDados[Mandante])=$A478)*tblDados[Primeira_Ocorrencia])+SUMPRODUCT((TRIM(tblDados[Visitante])=$A478)*tblDados[Primeira_Ocorrencia]))</f>
        <v>1</v>
      </c>
      <c r="H478" s="14">
        <f t="shared" si="147"/>
        <v>2</v>
      </c>
      <c r="I478" s="14" cm="1">
        <f t="array" ref="I478">IF($A478="","",_xlfn.LET(_xlpm.p,IFERROR(INDEX(tblDados[País],MATCH($A478,TRIM(tblDados[Mandante]),0)),INDEX(tblDados[País],MATCH($A478,TRIM(tblDados[Visitante]),0))),_xlpm.l,IFERROR(INDEX(tblDados[Liga],MATCH($A478,TRIM(tblDados[Mandante]),0)),INDEX(tblDados[Liga],MATCH($A478,TRIM(tblDados[Visitante]),0))),IFERROR(SUMIFS(Ligas!$D$2:$D$39,Ligas!$H$2:$H$39,_xlpm.p,Ligas!$I$2:$I$39,_xlpm.l),0)))</f>
        <v>2.0499999999999998</v>
      </c>
      <c r="J478" s="16" cm="1">
        <f t="array" ref="J478">IF($A478="","",IFERROR((SUMPRODUCT((TRIM(tblDados[Mandante])=$A478)*tblDados[Primeira_Ocorrencia]*(tblDados[GM_M]=0))+SUMPRODUCT((TRIM(tblDados[Visitante])=$A478)*tblDados[Primeira_Ocorrencia]*(tblDados[GM_V]=0)))/G478,0))</f>
        <v>0</v>
      </c>
      <c r="K478" s="16" cm="1">
        <f t="array" ref="K478">IF($A478="","",IFERROR((SUMPRODUCT((TRIM(tblDados[Mandante])=$A478)*tblDados[Primeira_Ocorrencia]*((tblDados[GM_M]+tblDados[GS_M])&gt;0.5))+SUMPRODUCT((TRIM(tblDados[Visitante])=$A478)*tblDados[Primeira_Ocorrencia]*((tblDados[GM_V]+tblDados[GS_V])&gt;0.5)))/G478,0))</f>
        <v>1</v>
      </c>
      <c r="L478" s="16" cm="1">
        <f t="array" ref="L478">IF($A478="","",IFERROR((SUMPRODUCT((TRIM(tblDados[Mandante])=$A478)*tblDados[Primeira_Ocorrencia]*((tblDados[GM_M]+tblDados[GS_M])&gt;1.5))+SUMPRODUCT((TRIM(tblDados[Visitante])=$A478)*tblDados[Primeira_Ocorrencia]*((tblDados[GM_V]+tblDados[GS_V])&gt;1.5)))/G478,0))</f>
        <v>1</v>
      </c>
      <c r="M478" s="16" cm="1">
        <f t="array" ref="M478">IF($A478="","",IFERROR((SUMPRODUCT((TRIM(tblDados[Mandante])=$A478)*tblDados[Primeira_Ocorrencia]*((tblDados[GM_M]+tblDados[GS_M])&gt;2.5))+SUMPRODUCT((TRIM(tblDados[Visitante])=$A478)*tblDados[Primeira_Ocorrencia]*((tblDados[GM_V]+tblDados[GS_V])&gt;2.5)))/G478,0))</f>
        <v>1</v>
      </c>
      <c r="N478" s="16" cm="1">
        <f t="array" ref="N478">IF($A478="","",IFERROR((SUMPRODUCT((TRIM(tblDados[Mandante])=$A478)*tblDados[Primeira_Ocorrencia]*((tblDados[GM_M]+tblDados[GS_M])&gt;3.5))+SUMPRODUCT((TRIM(tblDados[Visitante])=$A478)*tblDados[Primeira_Ocorrencia]*((tblDados[GM_V]+tblDados[GS_V])&gt;3.5)))/G478,0))</f>
        <v>0</v>
      </c>
      <c r="O478" s="16" cm="1">
        <f t="array" ref="O478">IF($A478="","",IFERROR((SUMPRODUCT((TRIM(tblDados[Mandante])=$A478)*tblDados[Primeira_Ocorrencia]*(tblDados[GM_M]&gt;0)*(tblDados[GS_M]&gt;0))+SUMPRODUCT((TRIM(tblDados[Visitante])=$A478)*tblDados[Primeira_Ocorrencia]*(tblDados[GM_V]&gt;0)*(tblDados[GS_V]&gt;0)))/G478,0))</f>
        <v>1</v>
      </c>
      <c r="P478" s="14" cm="1">
        <f t="array" ref="P478">IF($A478="","",IFERROR((SUMPRODUCT((TRIM(tblDados[Mandante])=$A478)*tblDados[Primeira_Ocorrencia]*tblDados[GM_M]^2)+SUMPRODUCT((TRIM(tblDados[Visitante])=$A478)*tblDados[Primeira_Ocorrencia]*tblDados[GM_V]^2))/G478-H478^2,0))</f>
        <v>0</v>
      </c>
      <c r="Q478" s="14">
        <f t="shared" si="148"/>
        <v>0</v>
      </c>
      <c r="R478" s="1" t="str">
        <f t="shared" si="149"/>
        <v>Amostra Insuficiente</v>
      </c>
      <c r="S478" s="14" cm="1">
        <f t="array" ref="S478">IF($A478="","",SUMPRODUCT((TRIM(tblDados[Mandante])=$A478)*tblDados[Primeira_Ocorrencia]*tblDados[GM_M]))</f>
        <v>2</v>
      </c>
      <c r="T478" s="14" cm="1">
        <f t="array" ref="T478">IF($A478="","",SUMPRODUCT((TRIM(tblDados[Visitante])=$A478)*tblDados[Primeira_Ocorrencia]*tblDados[GM_V]))</f>
        <v>0</v>
      </c>
      <c r="U478" s="14">
        <f t="shared" si="150"/>
        <v>2</v>
      </c>
      <c r="V478" s="14">
        <f t="shared" si="139"/>
        <v>2</v>
      </c>
      <c r="W478" s="14" cm="1">
        <f t="array" ref="W478">IF($A478="","",SUMPRODUCT((TRIM(tblDados[Mandante])=$A478)*tblDados[Primeira_Ocorrencia]*tblDados[GS_M]))</f>
        <v>1</v>
      </c>
      <c r="X478" s="14" cm="1">
        <f t="array" ref="X478">IF($A478="","",SUMPRODUCT((TRIM(tblDados[Visitante])=$A478)*tblDados[Primeira_Ocorrencia]*tblDados[GS_V]))</f>
        <v>0</v>
      </c>
      <c r="Y478" s="14">
        <f t="shared" si="151"/>
        <v>1</v>
      </c>
      <c r="Z478" s="14">
        <f t="shared" si="140"/>
        <v>1</v>
      </c>
      <c r="AA478" s="14">
        <f t="shared" si="141"/>
        <v>2</v>
      </c>
      <c r="AB478" s="14">
        <f t="shared" si="142"/>
        <v>1</v>
      </c>
      <c r="AC478" s="14" t="str">
        <f t="shared" si="143"/>
        <v/>
      </c>
      <c r="AD478" s="14" t="str">
        <f t="shared" si="144"/>
        <v/>
      </c>
    </row>
    <row r="479" spans="1:30" x14ac:dyDescent="0.3">
      <c r="A479" s="1" t="str">
        <v>Lions FC</v>
      </c>
      <c r="B479" s="13" t="str" cm="1">
        <f t="array" ref="B479">IF($A479="","",_xlfn.LET(_xlpm.p,IFERROR(INDEX(tblDados[País],MATCH($A479,TRIM(tblDados[Mandante]),0)),INDEX(tblDados[País],MATCH($A479,TRIM(tblDados[Visitante]),0))),_xlpm.l,IFERROR(INDEX(tblDados[Liga],MATCH($A479,TRIM(tblDados[Mandante]),0)),INDEX(tblDados[Liga],MATCH($A479,TRIM(tblDados[Visitante]),0))),_xlpm.p&amp;" - "&amp;_xlpm.l))</f>
        <v>AUS - NPL Queensland</v>
      </c>
      <c r="C479" s="14">
        <f t="shared" si="145"/>
        <v>6</v>
      </c>
      <c r="D479" s="14" t="str">
        <f t="shared" si="146"/>
        <v/>
      </c>
      <c r="E479" s="15" cm="1">
        <f t="array" ref="E479">IF($A479="","",SUMPRODUCT((TRIM(tblDados[Mandante])=$A479)*tblDados[Primeira_Ocorrencia]))</f>
        <v>1</v>
      </c>
      <c r="F479" s="15" cm="1">
        <f t="array" ref="F479">IF($A479="","",SUMPRODUCT((TRIM(tblDados[Visitante])=$A479)*tblDados[Primeira_Ocorrencia]))</f>
        <v>0</v>
      </c>
      <c r="G479" s="15" cm="1">
        <f t="array" ref="G479">IF($A479="","",SUMPRODUCT((TRIM(tblDados[Mandante])=$A479)*tblDados[Primeira_Ocorrencia])+SUMPRODUCT((TRIM(tblDados[Visitante])=$A479)*tblDados[Primeira_Ocorrencia]))</f>
        <v>1</v>
      </c>
      <c r="H479" s="14">
        <f t="shared" si="147"/>
        <v>4</v>
      </c>
      <c r="I479" s="14" cm="1">
        <f t="array" ref="I479">IF($A479="","",_xlfn.LET(_xlpm.p,IFERROR(INDEX(tblDados[País],MATCH($A479,TRIM(tblDados[Mandante]),0)),INDEX(tblDados[País],MATCH($A479,TRIM(tblDados[Visitante]),0))),_xlpm.l,IFERROR(INDEX(tblDados[Liga],MATCH($A479,TRIM(tblDados[Mandante]),0)),INDEX(tblDados[Liga],MATCH($A479,TRIM(tblDados[Visitante]),0))),IFERROR(SUMIFS(Ligas!$D$2:$D$39,Ligas!$H$2:$H$39,_xlpm.p,Ligas!$I$2:$I$39,_xlpm.l),0)))</f>
        <v>3.76</v>
      </c>
      <c r="J479" s="16" cm="1">
        <f t="array" ref="J479">IF($A479="","",IFERROR((SUMPRODUCT((TRIM(tblDados[Mandante])=$A479)*tblDados[Primeira_Ocorrencia]*(tblDados[GM_M]=0))+SUMPRODUCT((TRIM(tblDados[Visitante])=$A479)*tblDados[Primeira_Ocorrencia]*(tblDados[GM_V]=0)))/G479,0))</f>
        <v>0</v>
      </c>
      <c r="K479" s="16" cm="1">
        <f t="array" ref="K479">IF($A479="","",IFERROR((SUMPRODUCT((TRIM(tblDados[Mandante])=$A479)*tblDados[Primeira_Ocorrencia]*((tblDados[GM_M]+tblDados[GS_M])&gt;0.5))+SUMPRODUCT((TRIM(tblDados[Visitante])=$A479)*tblDados[Primeira_Ocorrencia]*((tblDados[GM_V]+tblDados[GS_V])&gt;0.5)))/G479,0))</f>
        <v>1</v>
      </c>
      <c r="L479" s="16" cm="1">
        <f t="array" ref="L479">IF($A479="","",IFERROR((SUMPRODUCT((TRIM(tblDados[Mandante])=$A479)*tblDados[Primeira_Ocorrencia]*((tblDados[GM_M]+tblDados[GS_M])&gt;1.5))+SUMPRODUCT((TRIM(tblDados[Visitante])=$A479)*tblDados[Primeira_Ocorrencia]*((tblDados[GM_V]+tblDados[GS_V])&gt;1.5)))/G479,0))</f>
        <v>1</v>
      </c>
      <c r="M479" s="16" cm="1">
        <f t="array" ref="M479">IF($A479="","",IFERROR((SUMPRODUCT((TRIM(tblDados[Mandante])=$A479)*tblDados[Primeira_Ocorrencia]*((tblDados[GM_M]+tblDados[GS_M])&gt;2.5))+SUMPRODUCT((TRIM(tblDados[Visitante])=$A479)*tblDados[Primeira_Ocorrencia]*((tblDados[GM_V]+tblDados[GS_V])&gt;2.5)))/G479,0))</f>
        <v>1</v>
      </c>
      <c r="N479" s="16" cm="1">
        <f t="array" ref="N479">IF($A479="","",IFERROR((SUMPRODUCT((TRIM(tblDados[Mandante])=$A479)*tblDados[Primeira_Ocorrencia]*((tblDados[GM_M]+tblDados[GS_M])&gt;3.5))+SUMPRODUCT((TRIM(tblDados[Visitante])=$A479)*tblDados[Primeira_Ocorrencia]*((tblDados[GM_V]+tblDados[GS_V])&gt;3.5)))/G479,0))</f>
        <v>1</v>
      </c>
      <c r="O479" s="16" cm="1">
        <f t="array" ref="O479">IF($A479="","",IFERROR((SUMPRODUCT((TRIM(tblDados[Mandante])=$A479)*tblDados[Primeira_Ocorrencia]*(tblDados[GM_M]&gt;0)*(tblDados[GS_M]&gt;0))+SUMPRODUCT((TRIM(tblDados[Visitante])=$A479)*tblDados[Primeira_Ocorrencia]*(tblDados[GM_V]&gt;0)*(tblDados[GS_V]&gt;0)))/G479,0))</f>
        <v>1</v>
      </c>
      <c r="P479" s="14" cm="1">
        <f t="array" ref="P479">IF($A479="","",IFERROR((SUMPRODUCT((TRIM(tblDados[Mandante])=$A479)*tblDados[Primeira_Ocorrencia]*tblDados[GM_M]^2)+SUMPRODUCT((TRIM(tblDados[Visitante])=$A479)*tblDados[Primeira_Ocorrencia]*tblDados[GM_V]^2))/G479-H479^2,0))</f>
        <v>0</v>
      </c>
      <c r="Q479" s="14">
        <f t="shared" si="148"/>
        <v>0</v>
      </c>
      <c r="R479" s="1" t="str">
        <f t="shared" si="149"/>
        <v>Amostra Insuficiente</v>
      </c>
      <c r="S479" s="14" cm="1">
        <f t="array" ref="S479">IF($A479="","",SUMPRODUCT((TRIM(tblDados[Mandante])=$A479)*tblDados[Primeira_Ocorrencia]*tblDados[GM_M]))</f>
        <v>4</v>
      </c>
      <c r="T479" s="14" cm="1">
        <f t="array" ref="T479">IF($A479="","",SUMPRODUCT((TRIM(tblDados[Visitante])=$A479)*tblDados[Primeira_Ocorrencia]*tblDados[GM_V]))</f>
        <v>0</v>
      </c>
      <c r="U479" s="14">
        <f t="shared" si="150"/>
        <v>4</v>
      </c>
      <c r="V479" s="14">
        <f t="shared" si="139"/>
        <v>4</v>
      </c>
      <c r="W479" s="14" cm="1">
        <f t="array" ref="W479">IF($A479="","",SUMPRODUCT((TRIM(tblDados[Mandante])=$A479)*tblDados[Primeira_Ocorrencia]*tblDados[GS_M]))</f>
        <v>2</v>
      </c>
      <c r="X479" s="14" cm="1">
        <f t="array" ref="X479">IF($A479="","",SUMPRODUCT((TRIM(tblDados[Visitante])=$A479)*tblDados[Primeira_Ocorrencia]*tblDados[GS_V]))</f>
        <v>0</v>
      </c>
      <c r="Y479" s="14">
        <f t="shared" si="151"/>
        <v>2</v>
      </c>
      <c r="Z479" s="14">
        <f t="shared" si="140"/>
        <v>2</v>
      </c>
      <c r="AA479" s="14">
        <f t="shared" si="141"/>
        <v>4</v>
      </c>
      <c r="AB479" s="14">
        <f t="shared" si="142"/>
        <v>2</v>
      </c>
      <c r="AC479" s="14" t="str">
        <f t="shared" si="143"/>
        <v/>
      </c>
      <c r="AD479" s="14" t="str">
        <f t="shared" si="144"/>
        <v/>
      </c>
    </row>
    <row r="480" spans="1:30" x14ac:dyDescent="0.3">
      <c r="A480" s="1" t="str">
        <v>M. Wanderers</v>
      </c>
      <c r="B480" s="13" t="str" cm="1">
        <f t="array" ref="B480">IF($A480="","",_xlfn.LET(_xlpm.p,IFERROR(INDEX(tblDados[País],MATCH($A480,TRIM(tblDados[Mandante]),0)),INDEX(tblDados[País],MATCH($A480,TRIM(tblDados[Visitante]),0))),_xlpm.l,IFERROR(INDEX(tblDados[Liga],MATCH($A480,TRIM(tblDados[Mandante]),0)),INDEX(tblDados[Liga],MATCH($A480,TRIM(tblDados[Visitante]),0))),_xlpm.p&amp;" - "&amp;_xlpm.l))</f>
        <v>URU - Liga AUF</v>
      </c>
      <c r="C480" s="14" t="str">
        <f t="shared" si="145"/>
        <v/>
      </c>
      <c r="D480" s="14">
        <f t="shared" si="146"/>
        <v>2</v>
      </c>
      <c r="E480" s="15" cm="1">
        <f t="array" ref="E480">IF($A480="","",SUMPRODUCT((TRIM(tblDados[Mandante])=$A480)*tblDados[Primeira_Ocorrencia]))</f>
        <v>0</v>
      </c>
      <c r="F480" s="15" cm="1">
        <f t="array" ref="F480">IF($A480="","",SUMPRODUCT((TRIM(tblDados[Visitante])=$A480)*tblDados[Primeira_Ocorrencia]))</f>
        <v>1</v>
      </c>
      <c r="G480" s="15" cm="1">
        <f t="array" ref="G480">IF($A480="","",SUMPRODUCT((TRIM(tblDados[Mandante])=$A480)*tblDados[Primeira_Ocorrencia])+SUMPRODUCT((TRIM(tblDados[Visitante])=$A480)*tblDados[Primeira_Ocorrencia]))</f>
        <v>1</v>
      </c>
      <c r="H480" s="14">
        <f t="shared" si="147"/>
        <v>2</v>
      </c>
      <c r="I480" s="14" cm="1">
        <f t="array" ref="I480">IF($A480="","",_xlfn.LET(_xlpm.p,IFERROR(INDEX(tblDados[País],MATCH($A480,TRIM(tblDados[Mandante]),0)),INDEX(tblDados[País],MATCH($A480,TRIM(tblDados[Visitante]),0))),_xlpm.l,IFERROR(INDEX(tblDados[Liga],MATCH($A480,TRIM(tblDados[Mandante]),0)),INDEX(tblDados[Liga],MATCH($A480,TRIM(tblDados[Visitante]),0))),IFERROR(SUMIFS(Ligas!$D$2:$D$39,Ligas!$H$2:$H$39,_xlpm.p,Ligas!$I$2:$I$39,_xlpm.l),0)))</f>
        <v>2.5</v>
      </c>
      <c r="J480" s="16" cm="1">
        <f t="array" ref="J480">IF($A480="","",IFERROR((SUMPRODUCT((TRIM(tblDados[Mandante])=$A480)*tblDados[Primeira_Ocorrencia]*(tblDados[GM_M]=0))+SUMPRODUCT((TRIM(tblDados[Visitante])=$A480)*tblDados[Primeira_Ocorrencia]*(tblDados[GM_V]=0)))/G480,0))</f>
        <v>0</v>
      </c>
      <c r="K480" s="16" cm="1">
        <f t="array" ref="K480">IF($A480="","",IFERROR((SUMPRODUCT((TRIM(tblDados[Mandante])=$A480)*tblDados[Primeira_Ocorrencia]*((tblDados[GM_M]+tblDados[GS_M])&gt;0.5))+SUMPRODUCT((TRIM(tblDados[Visitante])=$A480)*tblDados[Primeira_Ocorrencia]*((tblDados[GM_V]+tblDados[GS_V])&gt;0.5)))/G480,0))</f>
        <v>1</v>
      </c>
      <c r="L480" s="16" cm="1">
        <f t="array" ref="L480">IF($A480="","",IFERROR((SUMPRODUCT((TRIM(tblDados[Mandante])=$A480)*tblDados[Primeira_Ocorrencia]*((tblDados[GM_M]+tblDados[GS_M])&gt;1.5))+SUMPRODUCT((TRIM(tblDados[Visitante])=$A480)*tblDados[Primeira_Ocorrencia]*((tblDados[GM_V]+tblDados[GS_V])&gt;1.5)))/G480,0))</f>
        <v>1</v>
      </c>
      <c r="M480" s="16" cm="1">
        <f t="array" ref="M480">IF($A480="","",IFERROR((SUMPRODUCT((TRIM(tblDados[Mandante])=$A480)*tblDados[Primeira_Ocorrencia]*((tblDados[GM_M]+tblDados[GS_M])&gt;2.5))+SUMPRODUCT((TRIM(tblDados[Visitante])=$A480)*tblDados[Primeira_Ocorrencia]*((tblDados[GM_V]+tblDados[GS_V])&gt;2.5)))/G480,0))</f>
        <v>0</v>
      </c>
      <c r="N480" s="16" cm="1">
        <f t="array" ref="N480">IF($A480="","",IFERROR((SUMPRODUCT((TRIM(tblDados[Mandante])=$A480)*tblDados[Primeira_Ocorrencia]*((tblDados[GM_M]+tblDados[GS_M])&gt;3.5))+SUMPRODUCT((TRIM(tblDados[Visitante])=$A480)*tblDados[Primeira_Ocorrencia]*((tblDados[GM_V]+tblDados[GS_V])&gt;3.5)))/G480,0))</f>
        <v>0</v>
      </c>
      <c r="O480" s="16" cm="1">
        <f t="array" ref="O480">IF($A480="","",IFERROR((SUMPRODUCT((TRIM(tblDados[Mandante])=$A480)*tblDados[Primeira_Ocorrencia]*(tblDados[GM_M]&gt;0)*(tblDados[GS_M]&gt;0))+SUMPRODUCT((TRIM(tblDados[Visitante])=$A480)*tblDados[Primeira_Ocorrencia]*(tblDados[GM_V]&gt;0)*(tblDados[GS_V]&gt;0)))/G480,0))</f>
        <v>0</v>
      </c>
      <c r="P480" s="14" cm="1">
        <f t="array" ref="P480">IF($A480="","",IFERROR((SUMPRODUCT((TRIM(tblDados[Mandante])=$A480)*tblDados[Primeira_Ocorrencia]*tblDados[GM_M]^2)+SUMPRODUCT((TRIM(tblDados[Visitante])=$A480)*tblDados[Primeira_Ocorrencia]*tblDados[GM_V]^2))/G480-H480^2,0))</f>
        <v>0</v>
      </c>
      <c r="Q480" s="14">
        <f t="shared" si="148"/>
        <v>0</v>
      </c>
      <c r="R480" s="1" t="str">
        <f t="shared" si="149"/>
        <v>Amostra Insuficiente</v>
      </c>
      <c r="S480" s="14" cm="1">
        <f t="array" ref="S480">IF($A480="","",SUMPRODUCT((TRIM(tblDados[Mandante])=$A480)*tblDados[Primeira_Ocorrencia]*tblDados[GM_M]))</f>
        <v>0</v>
      </c>
      <c r="T480" s="14" cm="1">
        <f t="array" ref="T480">IF($A480="","",SUMPRODUCT((TRIM(tblDados[Visitante])=$A480)*tblDados[Primeira_Ocorrencia]*tblDados[GM_V]))</f>
        <v>2</v>
      </c>
      <c r="U480" s="14">
        <f t="shared" si="150"/>
        <v>2</v>
      </c>
      <c r="V480" s="14">
        <f t="shared" si="139"/>
        <v>2</v>
      </c>
      <c r="W480" s="14" cm="1">
        <f t="array" ref="W480">IF($A480="","",SUMPRODUCT((TRIM(tblDados[Mandante])=$A480)*tblDados[Primeira_Ocorrencia]*tblDados[GS_M]))</f>
        <v>0</v>
      </c>
      <c r="X480" s="14" cm="1">
        <f t="array" ref="X480">IF($A480="","",SUMPRODUCT((TRIM(tblDados[Visitante])=$A480)*tblDados[Primeira_Ocorrencia]*tblDados[GS_V]))</f>
        <v>0</v>
      </c>
      <c r="Y480" s="14">
        <f t="shared" si="151"/>
        <v>0</v>
      </c>
      <c r="Z480" s="14">
        <f t="shared" si="140"/>
        <v>0</v>
      </c>
      <c r="AA480" s="14" t="str">
        <f t="shared" si="141"/>
        <v/>
      </c>
      <c r="AB480" s="14" t="str">
        <f t="shared" si="142"/>
        <v/>
      </c>
      <c r="AC480" s="14">
        <f t="shared" si="143"/>
        <v>2</v>
      </c>
      <c r="AD480" s="14">
        <f t="shared" si="144"/>
        <v>0</v>
      </c>
    </row>
    <row r="481" spans="1:30" x14ac:dyDescent="0.3">
      <c r="A481" s="1" t="str">
        <v>MetroStars</v>
      </c>
      <c r="B481" s="13" t="str" cm="1">
        <f t="array" ref="B481">IF($A481="","",_xlfn.LET(_xlpm.p,IFERROR(INDEX(tblDados[País],MATCH($A481,TRIM(tblDados[Mandante]),0)),INDEX(tblDados[País],MATCH($A481,TRIM(tblDados[Visitante]),0))),_xlpm.l,IFERROR(INDEX(tblDados[Liga],MATCH($A481,TRIM(tblDados[Mandante]),0)),INDEX(tblDados[Liga],MATCH($A481,TRIM(tblDados[Visitante]),0))),_xlpm.p&amp;" - "&amp;_xlpm.l))</f>
        <v>AUS - NPL South Australia</v>
      </c>
      <c r="C481" s="14" t="str">
        <f t="shared" si="145"/>
        <v/>
      </c>
      <c r="D481" s="14">
        <f t="shared" si="146"/>
        <v>1</v>
      </c>
      <c r="E481" s="15" cm="1">
        <f t="array" ref="E481">IF($A481="","",SUMPRODUCT((TRIM(tblDados[Mandante])=$A481)*tblDados[Primeira_Ocorrencia]))</f>
        <v>0</v>
      </c>
      <c r="F481" s="15" cm="1">
        <f t="array" ref="F481">IF($A481="","",SUMPRODUCT((TRIM(tblDados[Visitante])=$A481)*tblDados[Primeira_Ocorrencia]))</f>
        <v>1</v>
      </c>
      <c r="G481" s="15" cm="1">
        <f t="array" ref="G481">IF($A481="","",SUMPRODUCT((TRIM(tblDados[Mandante])=$A481)*tblDados[Primeira_Ocorrencia])+SUMPRODUCT((TRIM(tblDados[Visitante])=$A481)*tblDados[Primeira_Ocorrencia]))</f>
        <v>1</v>
      </c>
      <c r="H481" s="14">
        <f t="shared" si="147"/>
        <v>1</v>
      </c>
      <c r="I481" s="14" cm="1">
        <f t="array" ref="I481">IF($A481="","",_xlfn.LET(_xlpm.p,IFERROR(INDEX(tblDados[País],MATCH($A481,TRIM(tblDados[Mandante]),0)),INDEX(tblDados[País],MATCH($A481,TRIM(tblDados[Visitante]),0))),_xlpm.l,IFERROR(INDEX(tblDados[Liga],MATCH($A481,TRIM(tblDados[Mandante]),0)),INDEX(tblDados[Liga],MATCH($A481,TRIM(tblDados[Visitante]),0))),IFERROR(SUMIFS(Ligas!$D$2:$D$39,Ligas!$H$2:$H$39,_xlpm.p,Ligas!$I$2:$I$39,_xlpm.l),0)))</f>
        <v>3.49</v>
      </c>
      <c r="J481" s="16" cm="1">
        <f t="array" ref="J481">IF($A481="","",IFERROR((SUMPRODUCT((TRIM(tblDados[Mandante])=$A481)*tblDados[Primeira_Ocorrencia]*(tblDados[GM_M]=0))+SUMPRODUCT((TRIM(tblDados[Visitante])=$A481)*tblDados[Primeira_Ocorrencia]*(tblDados[GM_V]=0)))/G481,0))</f>
        <v>0</v>
      </c>
      <c r="K481" s="16" cm="1">
        <f t="array" ref="K481">IF($A481="","",IFERROR((SUMPRODUCT((TRIM(tblDados[Mandante])=$A481)*tblDados[Primeira_Ocorrencia]*((tblDados[GM_M]+tblDados[GS_M])&gt;0.5))+SUMPRODUCT((TRIM(tblDados[Visitante])=$A481)*tblDados[Primeira_Ocorrencia]*((tblDados[GM_V]+tblDados[GS_V])&gt;0.5)))/G481,0))</f>
        <v>1</v>
      </c>
      <c r="L481" s="16" cm="1">
        <f t="array" ref="L481">IF($A481="","",IFERROR((SUMPRODUCT((TRIM(tblDados[Mandante])=$A481)*tblDados[Primeira_Ocorrencia]*((tblDados[GM_M]+tblDados[GS_M])&gt;1.5))+SUMPRODUCT((TRIM(tblDados[Visitante])=$A481)*tblDados[Primeira_Ocorrencia]*((tblDados[GM_V]+tblDados[GS_V])&gt;1.5)))/G481,0))</f>
        <v>0</v>
      </c>
      <c r="M481" s="16" cm="1">
        <f t="array" ref="M481">IF($A481="","",IFERROR((SUMPRODUCT((TRIM(tblDados[Mandante])=$A481)*tblDados[Primeira_Ocorrencia]*((tblDados[GM_M]+tblDados[GS_M])&gt;2.5))+SUMPRODUCT((TRIM(tblDados[Visitante])=$A481)*tblDados[Primeira_Ocorrencia]*((tblDados[GM_V]+tblDados[GS_V])&gt;2.5)))/G481,0))</f>
        <v>0</v>
      </c>
      <c r="N481" s="16" cm="1">
        <f t="array" ref="N481">IF($A481="","",IFERROR((SUMPRODUCT((TRIM(tblDados[Mandante])=$A481)*tblDados[Primeira_Ocorrencia]*((tblDados[GM_M]+tblDados[GS_M])&gt;3.5))+SUMPRODUCT((TRIM(tblDados[Visitante])=$A481)*tblDados[Primeira_Ocorrencia]*((tblDados[GM_V]+tblDados[GS_V])&gt;3.5)))/G481,0))</f>
        <v>0</v>
      </c>
      <c r="O481" s="16" cm="1">
        <f t="array" ref="O481">IF($A481="","",IFERROR((SUMPRODUCT((TRIM(tblDados[Mandante])=$A481)*tblDados[Primeira_Ocorrencia]*(tblDados[GM_M]&gt;0)*(tblDados[GS_M]&gt;0))+SUMPRODUCT((TRIM(tblDados[Visitante])=$A481)*tblDados[Primeira_Ocorrencia]*(tblDados[GM_V]&gt;0)*(tblDados[GS_V]&gt;0)))/G481,0))</f>
        <v>0</v>
      </c>
      <c r="P481" s="14" cm="1">
        <f t="array" ref="P481">IF($A481="","",IFERROR((SUMPRODUCT((TRIM(tblDados[Mandante])=$A481)*tblDados[Primeira_Ocorrencia]*tblDados[GM_M]^2)+SUMPRODUCT((TRIM(tblDados[Visitante])=$A481)*tblDados[Primeira_Ocorrencia]*tblDados[GM_V]^2))/G481-H481^2,0))</f>
        <v>0</v>
      </c>
      <c r="Q481" s="14">
        <f t="shared" si="148"/>
        <v>0</v>
      </c>
      <c r="R481" s="1" t="str">
        <f t="shared" si="149"/>
        <v>Amostra Insuficiente</v>
      </c>
      <c r="S481" s="14" cm="1">
        <f t="array" ref="S481">IF($A481="","",SUMPRODUCT((TRIM(tblDados[Mandante])=$A481)*tblDados[Primeira_Ocorrencia]*tblDados[GM_M]))</f>
        <v>0</v>
      </c>
      <c r="T481" s="14" cm="1">
        <f t="array" ref="T481">IF($A481="","",SUMPRODUCT((TRIM(tblDados[Visitante])=$A481)*tblDados[Primeira_Ocorrencia]*tblDados[GM_V]))</f>
        <v>1</v>
      </c>
      <c r="U481" s="14">
        <f t="shared" si="150"/>
        <v>1</v>
      </c>
      <c r="V481" s="14">
        <f t="shared" si="139"/>
        <v>1</v>
      </c>
      <c r="W481" s="14" cm="1">
        <f t="array" ref="W481">IF($A481="","",SUMPRODUCT((TRIM(tblDados[Mandante])=$A481)*tblDados[Primeira_Ocorrencia]*tblDados[GS_M]))</f>
        <v>0</v>
      </c>
      <c r="X481" s="14" cm="1">
        <f t="array" ref="X481">IF($A481="","",SUMPRODUCT((TRIM(tblDados[Visitante])=$A481)*tblDados[Primeira_Ocorrencia]*tblDados[GS_V]))</f>
        <v>0</v>
      </c>
      <c r="Y481" s="14">
        <f t="shared" si="151"/>
        <v>0</v>
      </c>
      <c r="Z481" s="14">
        <f t="shared" si="140"/>
        <v>0</v>
      </c>
      <c r="AA481" s="14" t="str">
        <f t="shared" si="141"/>
        <v/>
      </c>
      <c r="AB481" s="14" t="str">
        <f t="shared" si="142"/>
        <v/>
      </c>
      <c r="AC481" s="14">
        <f t="shared" si="143"/>
        <v>1</v>
      </c>
      <c r="AD481" s="14">
        <f t="shared" si="144"/>
        <v>0</v>
      </c>
    </row>
    <row r="482" spans="1:30" x14ac:dyDescent="0.3">
      <c r="A482" s="1" t="str">
        <v>Montevideo City Torque</v>
      </c>
      <c r="B482" s="13" t="str" cm="1">
        <f t="array" ref="B482">IF($A482="","",_xlfn.LET(_xlpm.p,IFERROR(INDEX(tblDados[País],MATCH($A482,TRIM(tblDados[Mandante]),0)),INDEX(tblDados[País],MATCH($A482,TRIM(tblDados[Visitante]),0))),_xlpm.l,IFERROR(INDEX(tblDados[Liga],MATCH($A482,TRIM(tblDados[Mandante]),0)),INDEX(tblDados[Liga],MATCH($A482,TRIM(tblDados[Visitante]),0))),_xlpm.p&amp;" - "&amp;_xlpm.l))</f>
        <v>URU - Liga AUF</v>
      </c>
      <c r="C482" s="14">
        <f t="shared" si="145"/>
        <v>2</v>
      </c>
      <c r="D482" s="14" t="str">
        <f t="shared" si="146"/>
        <v/>
      </c>
      <c r="E482" s="15" cm="1">
        <f t="array" ref="E482">IF($A482="","",SUMPRODUCT((TRIM(tblDados[Mandante])=$A482)*tblDados[Primeira_Ocorrencia]))</f>
        <v>1</v>
      </c>
      <c r="F482" s="15" cm="1">
        <f t="array" ref="F482">IF($A482="","",SUMPRODUCT((TRIM(tblDados[Visitante])=$A482)*tblDados[Primeira_Ocorrencia]))</f>
        <v>0</v>
      </c>
      <c r="G482" s="15" cm="1">
        <f t="array" ref="G482">IF($A482="","",SUMPRODUCT((TRIM(tblDados[Mandante])=$A482)*tblDados[Primeira_Ocorrencia])+SUMPRODUCT((TRIM(tblDados[Visitante])=$A482)*tblDados[Primeira_Ocorrencia]))</f>
        <v>1</v>
      </c>
      <c r="H482" s="14">
        <f t="shared" si="147"/>
        <v>0</v>
      </c>
      <c r="I482" s="14" cm="1">
        <f t="array" ref="I482">IF($A482="","",_xlfn.LET(_xlpm.p,IFERROR(INDEX(tblDados[País],MATCH($A482,TRIM(tblDados[Mandante]),0)),INDEX(tblDados[País],MATCH($A482,TRIM(tblDados[Visitante]),0))),_xlpm.l,IFERROR(INDEX(tblDados[Liga],MATCH($A482,TRIM(tblDados[Mandante]),0)),INDEX(tblDados[Liga],MATCH($A482,TRIM(tblDados[Visitante]),0))),IFERROR(SUMIFS(Ligas!$D$2:$D$39,Ligas!$H$2:$H$39,_xlpm.p,Ligas!$I$2:$I$39,_xlpm.l),0)))</f>
        <v>2.5</v>
      </c>
      <c r="J482" s="16" cm="1">
        <f t="array" ref="J482">IF($A482="","",IFERROR((SUMPRODUCT((TRIM(tblDados[Mandante])=$A482)*tblDados[Primeira_Ocorrencia]*(tblDados[GM_M]=0))+SUMPRODUCT((TRIM(tblDados[Visitante])=$A482)*tblDados[Primeira_Ocorrencia]*(tblDados[GM_V]=0)))/G482,0))</f>
        <v>1</v>
      </c>
      <c r="K482" s="16" cm="1">
        <f t="array" ref="K482">IF($A482="","",IFERROR((SUMPRODUCT((TRIM(tblDados[Mandante])=$A482)*tblDados[Primeira_Ocorrencia]*((tblDados[GM_M]+tblDados[GS_M])&gt;0.5))+SUMPRODUCT((TRIM(tblDados[Visitante])=$A482)*tblDados[Primeira_Ocorrencia]*((tblDados[GM_V]+tblDados[GS_V])&gt;0.5)))/G482,0))</f>
        <v>1</v>
      </c>
      <c r="L482" s="16" cm="1">
        <f t="array" ref="L482">IF($A482="","",IFERROR((SUMPRODUCT((TRIM(tblDados[Mandante])=$A482)*tblDados[Primeira_Ocorrencia]*((tblDados[GM_M]+tblDados[GS_M])&gt;1.5))+SUMPRODUCT((TRIM(tblDados[Visitante])=$A482)*tblDados[Primeira_Ocorrencia]*((tblDados[GM_V]+tblDados[GS_V])&gt;1.5)))/G482,0))</f>
        <v>1</v>
      </c>
      <c r="M482" s="16" cm="1">
        <f t="array" ref="M482">IF($A482="","",IFERROR((SUMPRODUCT((TRIM(tblDados[Mandante])=$A482)*tblDados[Primeira_Ocorrencia]*((tblDados[GM_M]+tblDados[GS_M])&gt;2.5))+SUMPRODUCT((TRIM(tblDados[Visitante])=$A482)*tblDados[Primeira_Ocorrencia]*((tblDados[GM_V]+tblDados[GS_V])&gt;2.5)))/G482,0))</f>
        <v>0</v>
      </c>
      <c r="N482" s="16" cm="1">
        <f t="array" ref="N482">IF($A482="","",IFERROR((SUMPRODUCT((TRIM(tblDados[Mandante])=$A482)*tblDados[Primeira_Ocorrencia]*((tblDados[GM_M]+tblDados[GS_M])&gt;3.5))+SUMPRODUCT((TRIM(tblDados[Visitante])=$A482)*tblDados[Primeira_Ocorrencia]*((tblDados[GM_V]+tblDados[GS_V])&gt;3.5)))/G482,0))</f>
        <v>0</v>
      </c>
      <c r="O482" s="16" cm="1">
        <f t="array" ref="O482">IF($A482="","",IFERROR((SUMPRODUCT((TRIM(tblDados[Mandante])=$A482)*tblDados[Primeira_Ocorrencia]*(tblDados[GM_M]&gt;0)*(tblDados[GS_M]&gt;0))+SUMPRODUCT((TRIM(tblDados[Visitante])=$A482)*tblDados[Primeira_Ocorrencia]*(tblDados[GM_V]&gt;0)*(tblDados[GS_V]&gt;0)))/G482,0))</f>
        <v>0</v>
      </c>
      <c r="P482" s="14" cm="1">
        <f t="array" ref="P482">IF($A482="","",IFERROR((SUMPRODUCT((TRIM(tblDados[Mandante])=$A482)*tblDados[Primeira_Ocorrencia]*tblDados[GM_M]^2)+SUMPRODUCT((TRIM(tblDados[Visitante])=$A482)*tblDados[Primeira_Ocorrencia]*tblDados[GM_V]^2))/G482-H482^2,0))</f>
        <v>0</v>
      </c>
      <c r="Q482" s="14">
        <f t="shared" si="148"/>
        <v>0</v>
      </c>
      <c r="R482" s="1" t="str">
        <f t="shared" si="149"/>
        <v>Amostra Insuficiente</v>
      </c>
      <c r="S482" s="14" cm="1">
        <f t="array" ref="S482">IF($A482="","",SUMPRODUCT((TRIM(tblDados[Mandante])=$A482)*tblDados[Primeira_Ocorrencia]*tblDados[GM_M]))</f>
        <v>0</v>
      </c>
      <c r="T482" s="14" cm="1">
        <f t="array" ref="T482">IF($A482="","",SUMPRODUCT((TRIM(tblDados[Visitante])=$A482)*tblDados[Primeira_Ocorrencia]*tblDados[GM_V]))</f>
        <v>0</v>
      </c>
      <c r="U482" s="14">
        <f t="shared" si="150"/>
        <v>0</v>
      </c>
      <c r="V482" s="14">
        <f t="shared" si="139"/>
        <v>0</v>
      </c>
      <c r="W482" s="14" cm="1">
        <f t="array" ref="W482">IF($A482="","",SUMPRODUCT((TRIM(tblDados[Mandante])=$A482)*tblDados[Primeira_Ocorrencia]*tblDados[GS_M]))</f>
        <v>2</v>
      </c>
      <c r="X482" s="14" cm="1">
        <f t="array" ref="X482">IF($A482="","",SUMPRODUCT((TRIM(tblDados[Visitante])=$A482)*tblDados[Primeira_Ocorrencia]*tblDados[GS_V]))</f>
        <v>0</v>
      </c>
      <c r="Y482" s="14">
        <f t="shared" si="151"/>
        <v>2</v>
      </c>
      <c r="Z482" s="14">
        <f t="shared" si="140"/>
        <v>2</v>
      </c>
      <c r="AA482" s="14">
        <f t="shared" si="141"/>
        <v>0</v>
      </c>
      <c r="AB482" s="14">
        <f t="shared" si="142"/>
        <v>2</v>
      </c>
      <c r="AC482" s="14" t="str">
        <f t="shared" si="143"/>
        <v/>
      </c>
      <c r="AD482" s="14" t="str">
        <f t="shared" si="144"/>
        <v/>
      </c>
    </row>
    <row r="483" spans="1:30" x14ac:dyDescent="0.3">
      <c r="A483" s="1" t="str">
        <v>Olympic Kingsway</v>
      </c>
      <c r="B483" s="13" t="str" cm="1">
        <f t="array" ref="B483">IF($A483="","",_xlfn.LET(_xlpm.p,IFERROR(INDEX(tblDados[País],MATCH($A483,TRIM(tblDados[Mandante]),0)),INDEX(tblDados[País],MATCH($A483,TRIM(tblDados[Visitante]),0))),_xlpm.l,IFERROR(INDEX(tblDados[Liga],MATCH($A483,TRIM(tblDados[Mandante]),0)),INDEX(tblDados[Liga],MATCH($A483,TRIM(tblDados[Visitante]),0))),_xlpm.p&amp;" - "&amp;_xlpm.l))</f>
        <v>AUS - NPL Western Australia</v>
      </c>
      <c r="C483" s="14" t="str">
        <f t="shared" si="145"/>
        <v/>
      </c>
      <c r="D483" s="14">
        <f t="shared" si="146"/>
        <v>5</v>
      </c>
      <c r="E483" s="15" cm="1">
        <f t="array" ref="E483">IF($A483="","",SUMPRODUCT((TRIM(tblDados[Mandante])=$A483)*tblDados[Primeira_Ocorrencia]))</f>
        <v>0</v>
      </c>
      <c r="F483" s="15" cm="1">
        <f t="array" ref="F483">IF($A483="","",SUMPRODUCT((TRIM(tblDados[Visitante])=$A483)*tblDados[Primeira_Ocorrencia]))</f>
        <v>1</v>
      </c>
      <c r="G483" s="15" cm="1">
        <f t="array" ref="G483">IF($A483="","",SUMPRODUCT((TRIM(tblDados[Mandante])=$A483)*tblDados[Primeira_Ocorrencia])+SUMPRODUCT((TRIM(tblDados[Visitante])=$A483)*tblDados[Primeira_Ocorrencia]))</f>
        <v>1</v>
      </c>
      <c r="H483" s="14">
        <f t="shared" si="147"/>
        <v>2</v>
      </c>
      <c r="I483" s="14" cm="1">
        <f t="array" ref="I483">IF($A483="","",_xlfn.LET(_xlpm.p,IFERROR(INDEX(tblDados[País],MATCH($A483,TRIM(tblDados[Mandante]),0)),INDEX(tblDados[País],MATCH($A483,TRIM(tblDados[Visitante]),0))),_xlpm.l,IFERROR(INDEX(tblDados[Liga],MATCH($A483,TRIM(tblDados[Mandante]),0)),INDEX(tblDados[Liga],MATCH($A483,TRIM(tblDados[Visitante]),0))),IFERROR(SUMIFS(Ligas!$D$2:$D$39,Ligas!$H$2:$H$39,_xlpm.p,Ligas!$I$2:$I$39,_xlpm.l),0)))</f>
        <v>3.56</v>
      </c>
      <c r="J483" s="16" cm="1">
        <f t="array" ref="J483">IF($A483="","",IFERROR((SUMPRODUCT((TRIM(tblDados[Mandante])=$A483)*tblDados[Primeira_Ocorrencia]*(tblDados[GM_M]=0))+SUMPRODUCT((TRIM(tblDados[Visitante])=$A483)*tblDados[Primeira_Ocorrencia]*(tblDados[GM_V]=0)))/G483,0))</f>
        <v>0</v>
      </c>
      <c r="K483" s="16" cm="1">
        <f t="array" ref="K483">IF($A483="","",IFERROR((SUMPRODUCT((TRIM(tblDados[Mandante])=$A483)*tblDados[Primeira_Ocorrencia]*((tblDados[GM_M]+tblDados[GS_M])&gt;0.5))+SUMPRODUCT((TRIM(tblDados[Visitante])=$A483)*tblDados[Primeira_Ocorrencia]*((tblDados[GM_V]+tblDados[GS_V])&gt;0.5)))/G483,0))</f>
        <v>1</v>
      </c>
      <c r="L483" s="16" cm="1">
        <f t="array" ref="L483">IF($A483="","",IFERROR((SUMPRODUCT((TRIM(tblDados[Mandante])=$A483)*tblDados[Primeira_Ocorrencia]*((tblDados[GM_M]+tblDados[GS_M])&gt;1.5))+SUMPRODUCT((TRIM(tblDados[Visitante])=$A483)*tblDados[Primeira_Ocorrencia]*((tblDados[GM_V]+tblDados[GS_V])&gt;1.5)))/G483,0))</f>
        <v>1</v>
      </c>
      <c r="M483" s="16" cm="1">
        <f t="array" ref="M483">IF($A483="","",IFERROR((SUMPRODUCT((TRIM(tblDados[Mandante])=$A483)*tblDados[Primeira_Ocorrencia]*((tblDados[GM_M]+tblDados[GS_M])&gt;2.5))+SUMPRODUCT((TRIM(tblDados[Visitante])=$A483)*tblDados[Primeira_Ocorrencia]*((tblDados[GM_V]+tblDados[GS_V])&gt;2.5)))/G483,0))</f>
        <v>1</v>
      </c>
      <c r="N483" s="16" cm="1">
        <f t="array" ref="N483">IF($A483="","",IFERROR((SUMPRODUCT((TRIM(tblDados[Mandante])=$A483)*tblDados[Primeira_Ocorrencia]*((tblDados[GM_M]+tblDados[GS_M])&gt;3.5))+SUMPRODUCT((TRIM(tblDados[Visitante])=$A483)*tblDados[Primeira_Ocorrencia]*((tblDados[GM_V]+tblDados[GS_V])&gt;3.5)))/G483,0))</f>
        <v>1</v>
      </c>
      <c r="O483" s="16" cm="1">
        <f t="array" ref="O483">IF($A483="","",IFERROR((SUMPRODUCT((TRIM(tblDados[Mandante])=$A483)*tblDados[Primeira_Ocorrencia]*(tblDados[GM_M]&gt;0)*(tblDados[GS_M]&gt;0))+SUMPRODUCT((TRIM(tblDados[Visitante])=$A483)*tblDados[Primeira_Ocorrencia]*(tblDados[GM_V]&gt;0)*(tblDados[GS_V]&gt;0)))/G483,0))</f>
        <v>1</v>
      </c>
      <c r="P483" s="14" cm="1">
        <f t="array" ref="P483">IF($A483="","",IFERROR((SUMPRODUCT((TRIM(tblDados[Mandante])=$A483)*tblDados[Primeira_Ocorrencia]*tblDados[GM_M]^2)+SUMPRODUCT((TRIM(tblDados[Visitante])=$A483)*tblDados[Primeira_Ocorrencia]*tblDados[GM_V]^2))/G483-H483^2,0))</f>
        <v>0</v>
      </c>
      <c r="Q483" s="14">
        <f t="shared" si="148"/>
        <v>0</v>
      </c>
      <c r="R483" s="1" t="str">
        <f t="shared" si="149"/>
        <v>Amostra Insuficiente</v>
      </c>
      <c r="S483" s="14" cm="1">
        <f t="array" ref="S483">IF($A483="","",SUMPRODUCT((TRIM(tblDados[Mandante])=$A483)*tblDados[Primeira_Ocorrencia]*tblDados[GM_M]))</f>
        <v>0</v>
      </c>
      <c r="T483" s="14" cm="1">
        <f t="array" ref="T483">IF($A483="","",SUMPRODUCT((TRIM(tblDados[Visitante])=$A483)*tblDados[Primeira_Ocorrencia]*tblDados[GM_V]))</f>
        <v>2</v>
      </c>
      <c r="U483" s="14">
        <f t="shared" si="150"/>
        <v>2</v>
      </c>
      <c r="V483" s="14">
        <f t="shared" si="139"/>
        <v>2</v>
      </c>
      <c r="W483" s="14" cm="1">
        <f t="array" ref="W483">IF($A483="","",SUMPRODUCT((TRIM(tblDados[Mandante])=$A483)*tblDados[Primeira_Ocorrencia]*tblDados[GS_M]))</f>
        <v>0</v>
      </c>
      <c r="X483" s="14" cm="1">
        <f t="array" ref="X483">IF($A483="","",SUMPRODUCT((TRIM(tblDados[Visitante])=$A483)*tblDados[Primeira_Ocorrencia]*tblDados[GS_V]))</f>
        <v>3</v>
      </c>
      <c r="Y483" s="14">
        <f t="shared" si="151"/>
        <v>3</v>
      </c>
      <c r="Z483" s="14">
        <f t="shared" si="140"/>
        <v>3</v>
      </c>
      <c r="AA483" s="14" t="str">
        <f t="shared" si="141"/>
        <v/>
      </c>
      <c r="AB483" s="14" t="str">
        <f t="shared" si="142"/>
        <v/>
      </c>
      <c r="AC483" s="14">
        <f t="shared" si="143"/>
        <v>2</v>
      </c>
      <c r="AD483" s="14">
        <f t="shared" si="144"/>
        <v>3</v>
      </c>
    </row>
    <row r="484" spans="1:30" x14ac:dyDescent="0.3">
      <c r="A484" s="1" t="str">
        <v>Pachuca</v>
      </c>
      <c r="B484" s="13" t="str" cm="1">
        <f t="array" ref="B484">IF($A484="","",_xlfn.LET(_xlpm.p,IFERROR(INDEX(tblDados[País],MATCH($A484,TRIM(tblDados[Mandante]),0)),INDEX(tblDados[País],MATCH($A484,TRIM(tblDados[Visitante]),0))),_xlpm.l,IFERROR(INDEX(tblDados[Liga],MATCH($A484,TRIM(tblDados[Mandante]),0)),INDEX(tblDados[Liga],MATCH($A484,TRIM(tblDados[Visitante]),0))),_xlpm.p&amp;" - "&amp;_xlpm.l))</f>
        <v>MEX - Liga MX</v>
      </c>
      <c r="C484" s="14" t="str">
        <f t="shared" si="145"/>
        <v/>
      </c>
      <c r="D484" s="14">
        <f t="shared" si="146"/>
        <v>1</v>
      </c>
      <c r="E484" s="15" cm="1">
        <f t="array" ref="E484">IF($A484="","",SUMPRODUCT((TRIM(tblDados[Mandante])=$A484)*tblDados[Primeira_Ocorrencia]))</f>
        <v>0</v>
      </c>
      <c r="F484" s="15" cm="1">
        <f t="array" ref="F484">IF($A484="","",SUMPRODUCT((TRIM(tblDados[Visitante])=$A484)*tblDados[Primeira_Ocorrencia]))</f>
        <v>1</v>
      </c>
      <c r="G484" s="15" cm="1">
        <f t="array" ref="G484">IF($A484="","",SUMPRODUCT((TRIM(tblDados[Mandante])=$A484)*tblDados[Primeira_Ocorrencia])+SUMPRODUCT((TRIM(tblDados[Visitante])=$A484)*tblDados[Primeira_Ocorrencia]))</f>
        <v>1</v>
      </c>
      <c r="H484" s="14">
        <f t="shared" si="147"/>
        <v>0</v>
      </c>
      <c r="I484" s="14" cm="1">
        <f t="array" ref="I484">IF($A484="","",_xlfn.LET(_xlpm.p,IFERROR(INDEX(tblDados[País],MATCH($A484,TRIM(tblDados[Mandante]),0)),INDEX(tblDados[País],MATCH($A484,TRIM(tblDados[Visitante]),0))),_xlpm.l,IFERROR(INDEX(tblDados[Liga],MATCH($A484,TRIM(tblDados[Mandante]),0)),INDEX(tblDados[Liga],MATCH($A484,TRIM(tblDados[Visitante]),0))),IFERROR(SUMIFS(Ligas!$D$2:$D$39,Ligas!$H$2:$H$39,_xlpm.p,Ligas!$I$2:$I$39,_xlpm.l),0)))</f>
        <v>3.91</v>
      </c>
      <c r="J484" s="16" cm="1">
        <f t="array" ref="J484">IF($A484="","",IFERROR((SUMPRODUCT((TRIM(tblDados[Mandante])=$A484)*tblDados[Primeira_Ocorrencia]*(tblDados[GM_M]=0))+SUMPRODUCT((TRIM(tblDados[Visitante])=$A484)*tblDados[Primeira_Ocorrencia]*(tblDados[GM_V]=0)))/G484,0))</f>
        <v>1</v>
      </c>
      <c r="K484" s="16" cm="1">
        <f t="array" ref="K484">IF($A484="","",IFERROR((SUMPRODUCT((TRIM(tblDados[Mandante])=$A484)*tblDados[Primeira_Ocorrencia]*((tblDados[GM_M]+tblDados[GS_M])&gt;0.5))+SUMPRODUCT((TRIM(tblDados[Visitante])=$A484)*tblDados[Primeira_Ocorrencia]*((tblDados[GM_V]+tblDados[GS_V])&gt;0.5)))/G484,0))</f>
        <v>1</v>
      </c>
      <c r="L484" s="16" cm="1">
        <f t="array" ref="L484">IF($A484="","",IFERROR((SUMPRODUCT((TRIM(tblDados[Mandante])=$A484)*tblDados[Primeira_Ocorrencia]*((tblDados[GM_M]+tblDados[GS_M])&gt;1.5))+SUMPRODUCT((TRIM(tblDados[Visitante])=$A484)*tblDados[Primeira_Ocorrencia]*((tblDados[GM_V]+tblDados[GS_V])&gt;1.5)))/G484,0))</f>
        <v>0</v>
      </c>
      <c r="M484" s="16" cm="1">
        <f t="array" ref="M484">IF($A484="","",IFERROR((SUMPRODUCT((TRIM(tblDados[Mandante])=$A484)*tblDados[Primeira_Ocorrencia]*((tblDados[GM_M]+tblDados[GS_M])&gt;2.5))+SUMPRODUCT((TRIM(tblDados[Visitante])=$A484)*tblDados[Primeira_Ocorrencia]*((tblDados[GM_V]+tblDados[GS_V])&gt;2.5)))/G484,0))</f>
        <v>0</v>
      </c>
      <c r="N484" s="16" cm="1">
        <f t="array" ref="N484">IF($A484="","",IFERROR((SUMPRODUCT((TRIM(tblDados[Mandante])=$A484)*tblDados[Primeira_Ocorrencia]*((tblDados[GM_M]+tblDados[GS_M])&gt;3.5))+SUMPRODUCT((TRIM(tblDados[Visitante])=$A484)*tblDados[Primeira_Ocorrencia]*((tblDados[GM_V]+tblDados[GS_V])&gt;3.5)))/G484,0))</f>
        <v>0</v>
      </c>
      <c r="O484" s="16" cm="1">
        <f t="array" ref="O484">IF($A484="","",IFERROR((SUMPRODUCT((TRIM(tblDados[Mandante])=$A484)*tblDados[Primeira_Ocorrencia]*(tblDados[GM_M]&gt;0)*(tblDados[GS_M]&gt;0))+SUMPRODUCT((TRIM(tblDados[Visitante])=$A484)*tblDados[Primeira_Ocorrencia]*(tblDados[GM_V]&gt;0)*(tblDados[GS_V]&gt;0)))/G484,0))</f>
        <v>0</v>
      </c>
      <c r="P484" s="14" cm="1">
        <f t="array" ref="P484">IF($A484="","",IFERROR((SUMPRODUCT((TRIM(tblDados[Mandante])=$A484)*tblDados[Primeira_Ocorrencia]*tblDados[GM_M]^2)+SUMPRODUCT((TRIM(tblDados[Visitante])=$A484)*tblDados[Primeira_Ocorrencia]*tblDados[GM_V]^2))/G484-H484^2,0))</f>
        <v>0</v>
      </c>
      <c r="Q484" s="14">
        <f t="shared" si="148"/>
        <v>0</v>
      </c>
      <c r="R484" s="1" t="str">
        <f t="shared" si="149"/>
        <v>Amostra Insuficiente</v>
      </c>
      <c r="S484" s="14" cm="1">
        <f t="array" ref="S484">IF($A484="","",SUMPRODUCT((TRIM(tblDados[Mandante])=$A484)*tblDados[Primeira_Ocorrencia]*tblDados[GM_M]))</f>
        <v>0</v>
      </c>
      <c r="T484" s="14" cm="1">
        <f t="array" ref="T484">IF($A484="","",SUMPRODUCT((TRIM(tblDados[Visitante])=$A484)*tblDados[Primeira_Ocorrencia]*tblDados[GM_V]))</f>
        <v>0</v>
      </c>
      <c r="U484" s="14">
        <f t="shared" si="150"/>
        <v>0</v>
      </c>
      <c r="V484" s="14">
        <f t="shared" si="139"/>
        <v>0</v>
      </c>
      <c r="W484" s="14" cm="1">
        <f t="array" ref="W484">IF($A484="","",SUMPRODUCT((TRIM(tblDados[Mandante])=$A484)*tblDados[Primeira_Ocorrencia]*tblDados[GS_M]))</f>
        <v>0</v>
      </c>
      <c r="X484" s="14" cm="1">
        <f t="array" ref="X484">IF($A484="","",SUMPRODUCT((TRIM(tblDados[Visitante])=$A484)*tblDados[Primeira_Ocorrencia]*tblDados[GS_V]))</f>
        <v>1</v>
      </c>
      <c r="Y484" s="14">
        <f t="shared" si="151"/>
        <v>1</v>
      </c>
      <c r="Z484" s="14">
        <f t="shared" si="140"/>
        <v>1</v>
      </c>
      <c r="AA484" s="14" t="str">
        <f t="shared" si="141"/>
        <v/>
      </c>
      <c r="AB484" s="14" t="str">
        <f t="shared" si="142"/>
        <v/>
      </c>
      <c r="AC484" s="14">
        <f t="shared" si="143"/>
        <v>0</v>
      </c>
      <c r="AD484" s="14">
        <f t="shared" si="144"/>
        <v>1</v>
      </c>
    </row>
    <row r="485" spans="1:30" x14ac:dyDescent="0.3">
      <c r="A485" s="1" t="str">
        <v>Perth Azzurri</v>
      </c>
      <c r="B485" s="13" t="str" cm="1">
        <f t="array" ref="B485">IF($A485="","",_xlfn.LET(_xlpm.p,IFERROR(INDEX(tblDados[País],MATCH($A485,TRIM(tblDados[Mandante]),0)),INDEX(tblDados[País],MATCH($A485,TRIM(tblDados[Visitante]),0))),_xlpm.l,IFERROR(INDEX(tblDados[Liga],MATCH($A485,TRIM(tblDados[Mandante]),0)),INDEX(tblDados[Liga],MATCH($A485,TRIM(tblDados[Visitante]),0))),_xlpm.p&amp;" - "&amp;_xlpm.l))</f>
        <v>AUS - NPL Western Australia</v>
      </c>
      <c r="C485" s="14" t="str">
        <f t="shared" si="145"/>
        <v/>
      </c>
      <c r="D485" s="14">
        <f t="shared" si="146"/>
        <v>5</v>
      </c>
      <c r="E485" s="15" cm="1">
        <f t="array" ref="E485">IF($A485="","",SUMPRODUCT((TRIM(tblDados[Mandante])=$A485)*tblDados[Primeira_Ocorrencia]))</f>
        <v>0</v>
      </c>
      <c r="F485" s="15" cm="1">
        <f t="array" ref="F485">IF($A485="","",SUMPRODUCT((TRIM(tblDados[Visitante])=$A485)*tblDados[Primeira_Ocorrencia]))</f>
        <v>1</v>
      </c>
      <c r="G485" s="15" cm="1">
        <f t="array" ref="G485">IF($A485="","",SUMPRODUCT((TRIM(tblDados[Mandante])=$A485)*tblDados[Primeira_Ocorrencia])+SUMPRODUCT((TRIM(tblDados[Visitante])=$A485)*tblDados[Primeira_Ocorrencia]))</f>
        <v>1</v>
      </c>
      <c r="H485" s="14">
        <f t="shared" si="147"/>
        <v>2</v>
      </c>
      <c r="I485" s="14" cm="1">
        <f t="array" ref="I485">IF($A485="","",_xlfn.LET(_xlpm.p,IFERROR(INDEX(tblDados[País],MATCH($A485,TRIM(tblDados[Mandante]),0)),INDEX(tblDados[País],MATCH($A485,TRIM(tblDados[Visitante]),0))),_xlpm.l,IFERROR(INDEX(tblDados[Liga],MATCH($A485,TRIM(tblDados[Mandante]),0)),INDEX(tblDados[Liga],MATCH($A485,TRIM(tblDados[Visitante]),0))),IFERROR(SUMIFS(Ligas!$D$2:$D$39,Ligas!$H$2:$H$39,_xlpm.p,Ligas!$I$2:$I$39,_xlpm.l),0)))</f>
        <v>3.56</v>
      </c>
      <c r="J485" s="16" cm="1">
        <f t="array" ref="J485">IF($A485="","",IFERROR((SUMPRODUCT((TRIM(tblDados[Mandante])=$A485)*tblDados[Primeira_Ocorrencia]*(tblDados[GM_M]=0))+SUMPRODUCT((TRIM(tblDados[Visitante])=$A485)*tblDados[Primeira_Ocorrencia]*(tblDados[GM_V]=0)))/G485,0))</f>
        <v>0</v>
      </c>
      <c r="K485" s="16" cm="1">
        <f t="array" ref="K485">IF($A485="","",IFERROR((SUMPRODUCT((TRIM(tblDados[Mandante])=$A485)*tblDados[Primeira_Ocorrencia]*((tblDados[GM_M]+tblDados[GS_M])&gt;0.5))+SUMPRODUCT((TRIM(tblDados[Visitante])=$A485)*tblDados[Primeira_Ocorrencia]*((tblDados[GM_V]+tblDados[GS_V])&gt;0.5)))/G485,0))</f>
        <v>1</v>
      </c>
      <c r="L485" s="16" cm="1">
        <f t="array" ref="L485">IF($A485="","",IFERROR((SUMPRODUCT((TRIM(tblDados[Mandante])=$A485)*tblDados[Primeira_Ocorrencia]*((tblDados[GM_M]+tblDados[GS_M])&gt;1.5))+SUMPRODUCT((TRIM(tblDados[Visitante])=$A485)*tblDados[Primeira_Ocorrencia]*((tblDados[GM_V]+tblDados[GS_V])&gt;1.5)))/G485,0))</f>
        <v>1</v>
      </c>
      <c r="M485" s="16" cm="1">
        <f t="array" ref="M485">IF($A485="","",IFERROR((SUMPRODUCT((TRIM(tblDados[Mandante])=$A485)*tblDados[Primeira_Ocorrencia]*((tblDados[GM_M]+tblDados[GS_M])&gt;2.5))+SUMPRODUCT((TRIM(tblDados[Visitante])=$A485)*tblDados[Primeira_Ocorrencia]*((tblDados[GM_V]+tblDados[GS_V])&gt;2.5)))/G485,0))</f>
        <v>1</v>
      </c>
      <c r="N485" s="16" cm="1">
        <f t="array" ref="N485">IF($A485="","",IFERROR((SUMPRODUCT((TRIM(tblDados[Mandante])=$A485)*tblDados[Primeira_Ocorrencia]*((tblDados[GM_M]+tblDados[GS_M])&gt;3.5))+SUMPRODUCT((TRIM(tblDados[Visitante])=$A485)*tblDados[Primeira_Ocorrencia]*((tblDados[GM_V]+tblDados[GS_V])&gt;3.5)))/G485,0))</f>
        <v>1</v>
      </c>
      <c r="O485" s="16" cm="1">
        <f t="array" ref="O485">IF($A485="","",IFERROR((SUMPRODUCT((TRIM(tblDados[Mandante])=$A485)*tblDados[Primeira_Ocorrencia]*(tblDados[GM_M]&gt;0)*(tblDados[GS_M]&gt;0))+SUMPRODUCT((TRIM(tblDados[Visitante])=$A485)*tblDados[Primeira_Ocorrencia]*(tblDados[GM_V]&gt;0)*(tblDados[GS_V]&gt;0)))/G485,0))</f>
        <v>1</v>
      </c>
      <c r="P485" s="14" cm="1">
        <f t="array" ref="P485">IF($A485="","",IFERROR((SUMPRODUCT((TRIM(tblDados[Mandante])=$A485)*tblDados[Primeira_Ocorrencia]*tblDados[GM_M]^2)+SUMPRODUCT((TRIM(tblDados[Visitante])=$A485)*tblDados[Primeira_Ocorrencia]*tblDados[GM_V]^2))/G485-H485^2,0))</f>
        <v>0</v>
      </c>
      <c r="Q485" s="14">
        <f t="shared" si="148"/>
        <v>0</v>
      </c>
      <c r="R485" s="1" t="str">
        <f t="shared" si="149"/>
        <v>Amostra Insuficiente</v>
      </c>
      <c r="S485" s="14" cm="1">
        <f t="array" ref="S485">IF($A485="","",SUMPRODUCT((TRIM(tblDados[Mandante])=$A485)*tblDados[Primeira_Ocorrencia]*tblDados[GM_M]))</f>
        <v>0</v>
      </c>
      <c r="T485" s="14" cm="1">
        <f t="array" ref="T485">IF($A485="","",SUMPRODUCT((TRIM(tblDados[Visitante])=$A485)*tblDados[Primeira_Ocorrencia]*tblDados[GM_V]))</f>
        <v>2</v>
      </c>
      <c r="U485" s="14">
        <f t="shared" si="150"/>
        <v>2</v>
      </c>
      <c r="V485" s="14">
        <f t="shared" si="139"/>
        <v>2</v>
      </c>
      <c r="W485" s="14" cm="1">
        <f t="array" ref="W485">IF($A485="","",SUMPRODUCT((TRIM(tblDados[Mandante])=$A485)*tblDados[Primeira_Ocorrencia]*tblDados[GS_M]))</f>
        <v>0</v>
      </c>
      <c r="X485" s="14" cm="1">
        <f t="array" ref="X485">IF($A485="","",SUMPRODUCT((TRIM(tblDados[Visitante])=$A485)*tblDados[Primeira_Ocorrencia]*tblDados[GS_V]))</f>
        <v>3</v>
      </c>
      <c r="Y485" s="14">
        <f t="shared" si="151"/>
        <v>3</v>
      </c>
      <c r="Z485" s="14">
        <f t="shared" si="140"/>
        <v>3</v>
      </c>
      <c r="AA485" s="14" t="str">
        <f t="shared" si="141"/>
        <v/>
      </c>
      <c r="AB485" s="14" t="str">
        <f t="shared" si="142"/>
        <v/>
      </c>
      <c r="AC485" s="14">
        <f t="shared" si="143"/>
        <v>2</v>
      </c>
      <c r="AD485" s="14">
        <f t="shared" si="144"/>
        <v>3</v>
      </c>
    </row>
    <row r="486" spans="1:30" x14ac:dyDescent="0.3">
      <c r="A486" s="1" t="str">
        <v>Platense</v>
      </c>
      <c r="B486" s="13" t="str" cm="1">
        <f t="array" ref="B486">IF($A486="","",_xlfn.LET(_xlpm.p,IFERROR(INDEX(tblDados[País],MATCH($A486,TRIM(tblDados[Mandante]),0)),INDEX(tblDados[País],MATCH($A486,TRIM(tblDados[Visitante]),0))),_xlpm.l,IFERROR(INDEX(tblDados[Liga],MATCH($A486,TRIM(tblDados[Mandante]),0)),INDEX(tblDados[Liga],MATCH($A486,TRIM(tblDados[Visitante]),0))),_xlpm.p&amp;" - "&amp;_xlpm.l))</f>
        <v>ARG - Liga Profesional</v>
      </c>
      <c r="C486" s="14" t="str">
        <f t="shared" si="145"/>
        <v/>
      </c>
      <c r="D486" s="14">
        <f t="shared" si="146"/>
        <v>3</v>
      </c>
      <c r="E486" s="15" cm="1">
        <f t="array" ref="E486">IF($A486="","",SUMPRODUCT((TRIM(tblDados[Mandante])=$A486)*tblDados[Primeira_Ocorrencia]))</f>
        <v>0</v>
      </c>
      <c r="F486" s="15" cm="1">
        <f t="array" ref="F486">IF($A486="","",SUMPRODUCT((TRIM(tblDados[Visitante])=$A486)*tblDados[Primeira_Ocorrencia]))</f>
        <v>1</v>
      </c>
      <c r="G486" s="15" cm="1">
        <f t="array" ref="G486">IF($A486="","",SUMPRODUCT((TRIM(tblDados[Mandante])=$A486)*tblDados[Primeira_Ocorrencia])+SUMPRODUCT((TRIM(tblDados[Visitante])=$A486)*tblDados[Primeira_Ocorrencia]))</f>
        <v>1</v>
      </c>
      <c r="H486" s="14">
        <f t="shared" si="147"/>
        <v>1</v>
      </c>
      <c r="I486" s="14" cm="1">
        <f t="array" ref="I486">IF($A486="","",_xlfn.LET(_xlpm.p,IFERROR(INDEX(tblDados[País],MATCH($A486,TRIM(tblDados[Mandante]),0)),INDEX(tblDados[País],MATCH($A486,TRIM(tblDados[Visitante]),0))),_xlpm.l,IFERROR(INDEX(tblDados[Liga],MATCH($A486,TRIM(tblDados[Mandante]),0)),INDEX(tblDados[Liga],MATCH($A486,TRIM(tblDados[Visitante]),0))),IFERROR(SUMIFS(Ligas!$D$2:$D$39,Ligas!$H$2:$H$39,_xlpm.p,Ligas!$I$2:$I$39,_xlpm.l),0)))</f>
        <v>2.0499999999999998</v>
      </c>
      <c r="J486" s="16" cm="1">
        <f t="array" ref="J486">IF($A486="","",IFERROR((SUMPRODUCT((TRIM(tblDados[Mandante])=$A486)*tblDados[Primeira_Ocorrencia]*(tblDados[GM_M]=0))+SUMPRODUCT((TRIM(tblDados[Visitante])=$A486)*tblDados[Primeira_Ocorrencia]*(tblDados[GM_V]=0)))/G486,0))</f>
        <v>0</v>
      </c>
      <c r="K486" s="16" cm="1">
        <f t="array" ref="K486">IF($A486="","",IFERROR((SUMPRODUCT((TRIM(tblDados[Mandante])=$A486)*tblDados[Primeira_Ocorrencia]*((tblDados[GM_M]+tblDados[GS_M])&gt;0.5))+SUMPRODUCT((TRIM(tblDados[Visitante])=$A486)*tblDados[Primeira_Ocorrencia]*((tblDados[GM_V]+tblDados[GS_V])&gt;0.5)))/G486,0))</f>
        <v>1</v>
      </c>
      <c r="L486" s="16" cm="1">
        <f t="array" ref="L486">IF($A486="","",IFERROR((SUMPRODUCT((TRIM(tblDados[Mandante])=$A486)*tblDados[Primeira_Ocorrencia]*((tblDados[GM_M]+tblDados[GS_M])&gt;1.5))+SUMPRODUCT((TRIM(tblDados[Visitante])=$A486)*tblDados[Primeira_Ocorrencia]*((tblDados[GM_V]+tblDados[GS_V])&gt;1.5)))/G486,0))</f>
        <v>1</v>
      </c>
      <c r="M486" s="16" cm="1">
        <f t="array" ref="M486">IF($A486="","",IFERROR((SUMPRODUCT((TRIM(tblDados[Mandante])=$A486)*tblDados[Primeira_Ocorrencia]*((tblDados[GM_M]+tblDados[GS_M])&gt;2.5))+SUMPRODUCT((TRIM(tblDados[Visitante])=$A486)*tblDados[Primeira_Ocorrencia]*((tblDados[GM_V]+tblDados[GS_V])&gt;2.5)))/G486,0))</f>
        <v>1</v>
      </c>
      <c r="N486" s="16" cm="1">
        <f t="array" ref="N486">IF($A486="","",IFERROR((SUMPRODUCT((TRIM(tblDados[Mandante])=$A486)*tblDados[Primeira_Ocorrencia]*((tblDados[GM_M]+tblDados[GS_M])&gt;3.5))+SUMPRODUCT((TRIM(tblDados[Visitante])=$A486)*tblDados[Primeira_Ocorrencia]*((tblDados[GM_V]+tblDados[GS_V])&gt;3.5)))/G486,0))</f>
        <v>0</v>
      </c>
      <c r="O486" s="16" cm="1">
        <f t="array" ref="O486">IF($A486="","",IFERROR((SUMPRODUCT((TRIM(tblDados[Mandante])=$A486)*tblDados[Primeira_Ocorrencia]*(tblDados[GM_M]&gt;0)*(tblDados[GS_M]&gt;0))+SUMPRODUCT((TRIM(tblDados[Visitante])=$A486)*tblDados[Primeira_Ocorrencia]*(tblDados[GM_V]&gt;0)*(tblDados[GS_V]&gt;0)))/G486,0))</f>
        <v>1</v>
      </c>
      <c r="P486" s="14" cm="1">
        <f t="array" ref="P486">IF($A486="","",IFERROR((SUMPRODUCT((TRIM(tblDados[Mandante])=$A486)*tblDados[Primeira_Ocorrencia]*tblDados[GM_M]^2)+SUMPRODUCT((TRIM(tblDados[Visitante])=$A486)*tblDados[Primeira_Ocorrencia]*tblDados[GM_V]^2))/G486-H486^2,0))</f>
        <v>0</v>
      </c>
      <c r="Q486" s="14">
        <f t="shared" si="148"/>
        <v>0</v>
      </c>
      <c r="R486" s="1" t="str">
        <f t="shared" si="149"/>
        <v>Amostra Insuficiente</v>
      </c>
      <c r="S486" s="14" cm="1">
        <f t="array" ref="S486">IF($A486="","",SUMPRODUCT((TRIM(tblDados[Mandante])=$A486)*tblDados[Primeira_Ocorrencia]*tblDados[GM_M]))</f>
        <v>0</v>
      </c>
      <c r="T486" s="14" cm="1">
        <f t="array" ref="T486">IF($A486="","",SUMPRODUCT((TRIM(tblDados[Visitante])=$A486)*tblDados[Primeira_Ocorrencia]*tblDados[GM_V]))</f>
        <v>1</v>
      </c>
      <c r="U486" s="14">
        <f t="shared" si="150"/>
        <v>1</v>
      </c>
      <c r="V486" s="14">
        <f t="shared" si="139"/>
        <v>1</v>
      </c>
      <c r="W486" s="14" cm="1">
        <f t="array" ref="W486">IF($A486="","",SUMPRODUCT((TRIM(tblDados[Mandante])=$A486)*tblDados[Primeira_Ocorrencia]*tblDados[GS_M]))</f>
        <v>0</v>
      </c>
      <c r="X486" s="14" cm="1">
        <f t="array" ref="X486">IF($A486="","",SUMPRODUCT((TRIM(tblDados[Visitante])=$A486)*tblDados[Primeira_Ocorrencia]*tblDados[GS_V]))</f>
        <v>2</v>
      </c>
      <c r="Y486" s="14">
        <f t="shared" si="151"/>
        <v>2</v>
      </c>
      <c r="Z486" s="14">
        <f t="shared" si="140"/>
        <v>2</v>
      </c>
      <c r="AA486" s="14" t="str">
        <f t="shared" si="141"/>
        <v/>
      </c>
      <c r="AB486" s="14" t="str">
        <f t="shared" si="142"/>
        <v/>
      </c>
      <c r="AC486" s="14">
        <f t="shared" si="143"/>
        <v>1</v>
      </c>
      <c r="AD486" s="14">
        <f t="shared" si="144"/>
        <v>2</v>
      </c>
    </row>
    <row r="487" spans="1:30" x14ac:dyDescent="0.3">
      <c r="A487" s="1" t="str">
        <v>Puebla</v>
      </c>
      <c r="B487" s="13" t="str" cm="1">
        <f t="array" ref="B487">IF($A487="","",_xlfn.LET(_xlpm.p,IFERROR(INDEX(tblDados[País],MATCH($A487,TRIM(tblDados[Mandante]),0)),INDEX(tblDados[País],MATCH($A487,TRIM(tblDados[Visitante]),0))),_xlpm.l,IFERROR(INDEX(tblDados[Liga],MATCH($A487,TRIM(tblDados[Mandante]),0)),INDEX(tblDados[Liga],MATCH($A487,TRIM(tblDados[Visitante]),0))),_xlpm.p&amp;" - "&amp;_xlpm.l))</f>
        <v>MEX - Liga MX</v>
      </c>
      <c r="C487" s="14">
        <f t="shared" si="145"/>
        <v>2</v>
      </c>
      <c r="D487" s="14" t="str">
        <f t="shared" si="146"/>
        <v/>
      </c>
      <c r="E487" s="15" cm="1">
        <f t="array" ref="E487">IF($A487="","",SUMPRODUCT((TRIM(tblDados[Mandante])=$A487)*tblDados[Primeira_Ocorrencia]))</f>
        <v>1</v>
      </c>
      <c r="F487" s="15" cm="1">
        <f t="array" ref="F487">IF($A487="","",SUMPRODUCT((TRIM(tblDados[Visitante])=$A487)*tblDados[Primeira_Ocorrencia]))</f>
        <v>0</v>
      </c>
      <c r="G487" s="15" cm="1">
        <f t="array" ref="G487">IF($A487="","",SUMPRODUCT((TRIM(tblDados[Mandante])=$A487)*tblDados[Primeira_Ocorrencia])+SUMPRODUCT((TRIM(tblDados[Visitante])=$A487)*tblDados[Primeira_Ocorrencia]))</f>
        <v>1</v>
      </c>
      <c r="H487" s="14">
        <f t="shared" si="147"/>
        <v>1</v>
      </c>
      <c r="I487" s="14" cm="1">
        <f t="array" ref="I487">IF($A487="","",_xlfn.LET(_xlpm.p,IFERROR(INDEX(tblDados[País],MATCH($A487,TRIM(tblDados[Mandante]),0)),INDEX(tblDados[País],MATCH($A487,TRIM(tblDados[Visitante]),0))),_xlpm.l,IFERROR(INDEX(tblDados[Liga],MATCH($A487,TRIM(tblDados[Mandante]),0)),INDEX(tblDados[Liga],MATCH($A487,TRIM(tblDados[Visitante]),0))),IFERROR(SUMIFS(Ligas!$D$2:$D$39,Ligas!$H$2:$H$39,_xlpm.p,Ligas!$I$2:$I$39,_xlpm.l),0)))</f>
        <v>3.91</v>
      </c>
      <c r="J487" s="16" cm="1">
        <f t="array" ref="J487">IF($A487="","",IFERROR((SUMPRODUCT((TRIM(tblDados[Mandante])=$A487)*tblDados[Primeira_Ocorrencia]*(tblDados[GM_M]=0))+SUMPRODUCT((TRIM(tblDados[Visitante])=$A487)*tblDados[Primeira_Ocorrencia]*(tblDados[GM_V]=0)))/G487,0))</f>
        <v>0</v>
      </c>
      <c r="K487" s="16" cm="1">
        <f t="array" ref="K487">IF($A487="","",IFERROR((SUMPRODUCT((TRIM(tblDados[Mandante])=$A487)*tblDados[Primeira_Ocorrencia]*((tblDados[GM_M]+tblDados[GS_M])&gt;0.5))+SUMPRODUCT((TRIM(tblDados[Visitante])=$A487)*tblDados[Primeira_Ocorrencia]*((tblDados[GM_V]+tblDados[GS_V])&gt;0.5)))/G487,0))</f>
        <v>1</v>
      </c>
      <c r="L487" s="16" cm="1">
        <f t="array" ref="L487">IF($A487="","",IFERROR((SUMPRODUCT((TRIM(tblDados[Mandante])=$A487)*tblDados[Primeira_Ocorrencia]*((tblDados[GM_M]+tblDados[GS_M])&gt;1.5))+SUMPRODUCT((TRIM(tblDados[Visitante])=$A487)*tblDados[Primeira_Ocorrencia]*((tblDados[GM_V]+tblDados[GS_V])&gt;1.5)))/G487,0))</f>
        <v>1</v>
      </c>
      <c r="M487" s="16" cm="1">
        <f t="array" ref="M487">IF($A487="","",IFERROR((SUMPRODUCT((TRIM(tblDados[Mandante])=$A487)*tblDados[Primeira_Ocorrencia]*((tblDados[GM_M]+tblDados[GS_M])&gt;2.5))+SUMPRODUCT((TRIM(tblDados[Visitante])=$A487)*tblDados[Primeira_Ocorrencia]*((tblDados[GM_V]+tblDados[GS_V])&gt;2.5)))/G487,0))</f>
        <v>0</v>
      </c>
      <c r="N487" s="16" cm="1">
        <f t="array" ref="N487">IF($A487="","",IFERROR((SUMPRODUCT((TRIM(tblDados[Mandante])=$A487)*tblDados[Primeira_Ocorrencia]*((tblDados[GM_M]+tblDados[GS_M])&gt;3.5))+SUMPRODUCT((TRIM(tblDados[Visitante])=$A487)*tblDados[Primeira_Ocorrencia]*((tblDados[GM_V]+tblDados[GS_V])&gt;3.5)))/G487,0))</f>
        <v>0</v>
      </c>
      <c r="O487" s="16" cm="1">
        <f t="array" ref="O487">IF($A487="","",IFERROR((SUMPRODUCT((TRIM(tblDados[Mandante])=$A487)*tblDados[Primeira_Ocorrencia]*(tblDados[GM_M]&gt;0)*(tblDados[GS_M]&gt;0))+SUMPRODUCT((TRIM(tblDados[Visitante])=$A487)*tblDados[Primeira_Ocorrencia]*(tblDados[GM_V]&gt;0)*(tblDados[GS_V]&gt;0)))/G487,0))</f>
        <v>1</v>
      </c>
      <c r="P487" s="14" cm="1">
        <f t="array" ref="P487">IF($A487="","",IFERROR((SUMPRODUCT((TRIM(tblDados[Mandante])=$A487)*tblDados[Primeira_Ocorrencia]*tblDados[GM_M]^2)+SUMPRODUCT((TRIM(tblDados[Visitante])=$A487)*tblDados[Primeira_Ocorrencia]*tblDados[GM_V]^2))/G487-H487^2,0))</f>
        <v>0</v>
      </c>
      <c r="Q487" s="14">
        <f t="shared" si="148"/>
        <v>0</v>
      </c>
      <c r="R487" s="1" t="str">
        <f t="shared" si="149"/>
        <v>Amostra Insuficiente</v>
      </c>
      <c r="S487" s="14" cm="1">
        <f t="array" ref="S487">IF($A487="","",SUMPRODUCT((TRIM(tblDados[Mandante])=$A487)*tblDados[Primeira_Ocorrencia]*tblDados[GM_M]))</f>
        <v>1</v>
      </c>
      <c r="T487" s="14" cm="1">
        <f t="array" ref="T487">IF($A487="","",SUMPRODUCT((TRIM(tblDados[Visitante])=$A487)*tblDados[Primeira_Ocorrencia]*tblDados[GM_V]))</f>
        <v>0</v>
      </c>
      <c r="U487" s="14">
        <f t="shared" si="150"/>
        <v>1</v>
      </c>
      <c r="V487" s="14">
        <f t="shared" si="139"/>
        <v>1</v>
      </c>
      <c r="W487" s="14" cm="1">
        <f t="array" ref="W487">IF($A487="","",SUMPRODUCT((TRIM(tblDados[Mandante])=$A487)*tblDados[Primeira_Ocorrencia]*tblDados[GS_M]))</f>
        <v>1</v>
      </c>
      <c r="X487" s="14" cm="1">
        <f t="array" ref="X487">IF($A487="","",SUMPRODUCT((TRIM(tblDados[Visitante])=$A487)*tblDados[Primeira_Ocorrencia]*tblDados[GS_V]))</f>
        <v>0</v>
      </c>
      <c r="Y487" s="14">
        <f t="shared" si="151"/>
        <v>1</v>
      </c>
      <c r="Z487" s="14">
        <f t="shared" si="140"/>
        <v>1</v>
      </c>
      <c r="AA487" s="14">
        <f t="shared" si="141"/>
        <v>1</v>
      </c>
      <c r="AB487" s="14">
        <f t="shared" si="142"/>
        <v>1</v>
      </c>
      <c r="AC487" s="14" t="str">
        <f t="shared" si="143"/>
        <v/>
      </c>
      <c r="AD487" s="14" t="str">
        <f t="shared" si="144"/>
        <v/>
      </c>
    </row>
    <row r="488" spans="1:30" x14ac:dyDescent="0.3">
      <c r="A488" s="1" t="str">
        <v>Racing Club</v>
      </c>
      <c r="B488" s="13" t="str" cm="1">
        <f t="array" ref="B488">IF($A488="","",_xlfn.LET(_xlpm.p,IFERROR(INDEX(tblDados[País],MATCH($A488,TRIM(tblDados[Mandante]),0)),INDEX(tblDados[País],MATCH($A488,TRIM(tblDados[Visitante]),0))),_xlpm.l,IFERROR(INDEX(tblDados[Liga],MATCH($A488,TRIM(tblDados[Mandante]),0)),INDEX(tblDados[Liga],MATCH($A488,TRIM(tblDados[Visitante]),0))),_xlpm.p&amp;" - "&amp;_xlpm.l))</f>
        <v>ARG - Primera Nacional</v>
      </c>
      <c r="C488" s="14" t="str">
        <f t="shared" si="145"/>
        <v/>
      </c>
      <c r="D488" s="14">
        <f t="shared" si="146"/>
        <v>0</v>
      </c>
      <c r="E488" s="15" cm="1">
        <f t="array" ref="E488">IF($A488="","",SUMPRODUCT((TRIM(tblDados[Mandante])=$A488)*tblDados[Primeira_Ocorrencia]))</f>
        <v>0</v>
      </c>
      <c r="F488" s="15" cm="1">
        <f t="array" ref="F488">IF($A488="","",SUMPRODUCT((TRIM(tblDados[Visitante])=$A488)*tblDados[Primeira_Ocorrencia]))</f>
        <v>1</v>
      </c>
      <c r="G488" s="15" cm="1">
        <f t="array" ref="G488">IF($A488="","",SUMPRODUCT((TRIM(tblDados[Mandante])=$A488)*tblDados[Primeira_Ocorrencia])+SUMPRODUCT((TRIM(tblDados[Visitante])=$A488)*tblDados[Primeira_Ocorrencia]))</f>
        <v>1</v>
      </c>
      <c r="H488" s="14">
        <f t="shared" si="147"/>
        <v>0</v>
      </c>
      <c r="I488" s="14" cm="1">
        <f t="array" ref="I488">IF($A488="","",_xlfn.LET(_xlpm.p,IFERROR(INDEX(tblDados[País],MATCH($A488,TRIM(tblDados[Mandante]),0)),INDEX(tblDados[País],MATCH($A488,TRIM(tblDados[Visitante]),0))),_xlpm.l,IFERROR(INDEX(tblDados[Liga],MATCH($A488,TRIM(tblDados[Mandante]),0)),INDEX(tblDados[Liga],MATCH($A488,TRIM(tblDados[Visitante]),0))),IFERROR(SUMIFS(Ligas!$D$2:$D$39,Ligas!$H$2:$H$39,_xlpm.p,Ligas!$I$2:$I$39,_xlpm.l),0)))</f>
        <v>1.92</v>
      </c>
      <c r="J488" s="16" cm="1">
        <f t="array" ref="J488">IF($A488="","",IFERROR((SUMPRODUCT((TRIM(tblDados[Mandante])=$A488)*tblDados[Primeira_Ocorrencia]*(tblDados[GM_M]=0))+SUMPRODUCT((TRIM(tblDados[Visitante])=$A488)*tblDados[Primeira_Ocorrencia]*(tblDados[GM_V]=0)))/G488,0))</f>
        <v>1</v>
      </c>
      <c r="K488" s="16" cm="1">
        <f t="array" ref="K488">IF($A488="","",IFERROR((SUMPRODUCT((TRIM(tblDados[Mandante])=$A488)*tblDados[Primeira_Ocorrencia]*((tblDados[GM_M]+tblDados[GS_M])&gt;0.5))+SUMPRODUCT((TRIM(tblDados[Visitante])=$A488)*tblDados[Primeira_Ocorrencia]*((tblDados[GM_V]+tblDados[GS_V])&gt;0.5)))/G488,0))</f>
        <v>0</v>
      </c>
      <c r="L488" s="16" cm="1">
        <f t="array" ref="L488">IF($A488="","",IFERROR((SUMPRODUCT((TRIM(tblDados[Mandante])=$A488)*tblDados[Primeira_Ocorrencia]*((tblDados[GM_M]+tblDados[GS_M])&gt;1.5))+SUMPRODUCT((TRIM(tblDados[Visitante])=$A488)*tblDados[Primeira_Ocorrencia]*((tblDados[GM_V]+tblDados[GS_V])&gt;1.5)))/G488,0))</f>
        <v>0</v>
      </c>
      <c r="M488" s="16" cm="1">
        <f t="array" ref="M488">IF($A488="","",IFERROR((SUMPRODUCT((TRIM(tblDados[Mandante])=$A488)*tblDados[Primeira_Ocorrencia]*((tblDados[GM_M]+tblDados[GS_M])&gt;2.5))+SUMPRODUCT((TRIM(tblDados[Visitante])=$A488)*tblDados[Primeira_Ocorrencia]*((tblDados[GM_V]+tblDados[GS_V])&gt;2.5)))/G488,0))</f>
        <v>0</v>
      </c>
      <c r="N488" s="16" cm="1">
        <f t="array" ref="N488">IF($A488="","",IFERROR((SUMPRODUCT((TRIM(tblDados[Mandante])=$A488)*tblDados[Primeira_Ocorrencia]*((tblDados[GM_M]+tblDados[GS_M])&gt;3.5))+SUMPRODUCT((TRIM(tblDados[Visitante])=$A488)*tblDados[Primeira_Ocorrencia]*((tblDados[GM_V]+tblDados[GS_V])&gt;3.5)))/G488,0))</f>
        <v>0</v>
      </c>
      <c r="O488" s="16" cm="1">
        <f t="array" ref="O488">IF($A488="","",IFERROR((SUMPRODUCT((TRIM(tblDados[Mandante])=$A488)*tblDados[Primeira_Ocorrencia]*(tblDados[GM_M]&gt;0)*(tblDados[GS_M]&gt;0))+SUMPRODUCT((TRIM(tblDados[Visitante])=$A488)*tblDados[Primeira_Ocorrencia]*(tblDados[GM_V]&gt;0)*(tblDados[GS_V]&gt;0)))/G488,0))</f>
        <v>0</v>
      </c>
      <c r="P488" s="14" cm="1">
        <f t="array" ref="P488">IF($A488="","",IFERROR((SUMPRODUCT((TRIM(tblDados[Mandante])=$A488)*tblDados[Primeira_Ocorrencia]*tblDados[GM_M]^2)+SUMPRODUCT((TRIM(tblDados[Visitante])=$A488)*tblDados[Primeira_Ocorrencia]*tblDados[GM_V]^2))/G488-H488^2,0))</f>
        <v>0</v>
      </c>
      <c r="Q488" s="14">
        <f t="shared" si="148"/>
        <v>0</v>
      </c>
      <c r="R488" s="1" t="str">
        <f t="shared" si="149"/>
        <v>Amostra Insuficiente</v>
      </c>
      <c r="S488" s="14" cm="1">
        <f t="array" ref="S488">IF($A488="","",SUMPRODUCT((TRIM(tblDados[Mandante])=$A488)*tblDados[Primeira_Ocorrencia]*tblDados[GM_M]))</f>
        <v>0</v>
      </c>
      <c r="T488" s="14" cm="1">
        <f t="array" ref="T488">IF($A488="","",SUMPRODUCT((TRIM(tblDados[Visitante])=$A488)*tblDados[Primeira_Ocorrencia]*tblDados[GM_V]))</f>
        <v>0</v>
      </c>
      <c r="U488" s="14">
        <f t="shared" si="150"/>
        <v>0</v>
      </c>
      <c r="V488" s="14">
        <f t="shared" si="139"/>
        <v>0</v>
      </c>
      <c r="W488" s="14" cm="1">
        <f t="array" ref="W488">IF($A488="","",SUMPRODUCT((TRIM(tblDados[Mandante])=$A488)*tblDados[Primeira_Ocorrencia]*tblDados[GS_M]))</f>
        <v>0</v>
      </c>
      <c r="X488" s="14" cm="1">
        <f t="array" ref="X488">IF($A488="","",SUMPRODUCT((TRIM(tblDados[Visitante])=$A488)*tblDados[Primeira_Ocorrencia]*tblDados[GS_V]))</f>
        <v>0</v>
      </c>
      <c r="Y488" s="14">
        <f t="shared" si="151"/>
        <v>0</v>
      </c>
      <c r="Z488" s="14">
        <f t="shared" si="140"/>
        <v>0</v>
      </c>
      <c r="AA488" s="14" t="str">
        <f t="shared" si="141"/>
        <v/>
      </c>
      <c r="AB488" s="14" t="str">
        <f t="shared" si="142"/>
        <v/>
      </c>
      <c r="AC488" s="14">
        <f t="shared" si="143"/>
        <v>0</v>
      </c>
      <c r="AD488" s="14">
        <f t="shared" si="144"/>
        <v>0</v>
      </c>
    </row>
    <row r="489" spans="1:30" x14ac:dyDescent="0.3">
      <c r="A489" s="1" t="str">
        <v>River Plate</v>
      </c>
      <c r="B489" s="13" t="str" cm="1">
        <f t="array" ref="B489">IF($A489="","",_xlfn.LET(_xlpm.p,IFERROR(INDEX(tblDados[País],MATCH($A489,TRIM(tblDados[Mandante]),0)),INDEX(tblDados[País],MATCH($A489,TRIM(tblDados[Visitante]),0))),_xlpm.l,IFERROR(INDEX(tblDados[Liga],MATCH($A489,TRIM(tblDados[Mandante]),0)),INDEX(tblDados[Liga],MATCH($A489,TRIM(tblDados[Visitante]),0))),_xlpm.p&amp;" - "&amp;_xlpm.l))</f>
        <v>ARG - Liga Profesional</v>
      </c>
      <c r="C489" s="14" t="str">
        <f t="shared" si="145"/>
        <v/>
      </c>
      <c r="D489" s="14">
        <f t="shared" si="146"/>
        <v>1</v>
      </c>
      <c r="E489" s="15" cm="1">
        <f t="array" ref="E489">IF($A489="","",SUMPRODUCT((TRIM(tblDados[Mandante])=$A489)*tblDados[Primeira_Ocorrencia]))</f>
        <v>0</v>
      </c>
      <c r="F489" s="15" cm="1">
        <f t="array" ref="F489">IF($A489="","",SUMPRODUCT((TRIM(tblDados[Visitante])=$A489)*tblDados[Primeira_Ocorrencia]))</f>
        <v>1</v>
      </c>
      <c r="G489" s="15" cm="1">
        <f t="array" ref="G489">IF($A489="","",SUMPRODUCT((TRIM(tblDados[Mandante])=$A489)*tblDados[Primeira_Ocorrencia])+SUMPRODUCT((TRIM(tblDados[Visitante])=$A489)*tblDados[Primeira_Ocorrencia]))</f>
        <v>1</v>
      </c>
      <c r="H489" s="14">
        <f t="shared" si="147"/>
        <v>0</v>
      </c>
      <c r="I489" s="14" cm="1">
        <f t="array" ref="I489">IF($A489="","",_xlfn.LET(_xlpm.p,IFERROR(INDEX(tblDados[País],MATCH($A489,TRIM(tblDados[Mandante]),0)),INDEX(tblDados[País],MATCH($A489,TRIM(tblDados[Visitante]),0))),_xlpm.l,IFERROR(INDEX(tblDados[Liga],MATCH($A489,TRIM(tblDados[Mandante]),0)),INDEX(tblDados[Liga],MATCH($A489,TRIM(tblDados[Visitante]),0))),IFERROR(SUMIFS(Ligas!$D$2:$D$39,Ligas!$H$2:$H$39,_xlpm.p,Ligas!$I$2:$I$39,_xlpm.l),0)))</f>
        <v>2.0499999999999998</v>
      </c>
      <c r="J489" s="16" cm="1">
        <f t="array" ref="J489">IF($A489="","",IFERROR((SUMPRODUCT((TRIM(tblDados[Mandante])=$A489)*tblDados[Primeira_Ocorrencia]*(tblDados[GM_M]=0))+SUMPRODUCT((TRIM(tblDados[Visitante])=$A489)*tblDados[Primeira_Ocorrencia]*(tblDados[GM_V]=0)))/G489,0))</f>
        <v>1</v>
      </c>
      <c r="K489" s="16" cm="1">
        <f t="array" ref="K489">IF($A489="","",IFERROR((SUMPRODUCT((TRIM(tblDados[Mandante])=$A489)*tblDados[Primeira_Ocorrencia]*((tblDados[GM_M]+tblDados[GS_M])&gt;0.5))+SUMPRODUCT((TRIM(tblDados[Visitante])=$A489)*tblDados[Primeira_Ocorrencia]*((tblDados[GM_V]+tblDados[GS_V])&gt;0.5)))/G489,0))</f>
        <v>1</v>
      </c>
      <c r="L489" s="16" cm="1">
        <f t="array" ref="L489">IF($A489="","",IFERROR((SUMPRODUCT((TRIM(tblDados[Mandante])=$A489)*tblDados[Primeira_Ocorrencia]*((tblDados[GM_M]+tblDados[GS_M])&gt;1.5))+SUMPRODUCT((TRIM(tblDados[Visitante])=$A489)*tblDados[Primeira_Ocorrencia]*((tblDados[GM_V]+tblDados[GS_V])&gt;1.5)))/G489,0))</f>
        <v>0</v>
      </c>
      <c r="M489" s="16" cm="1">
        <f t="array" ref="M489">IF($A489="","",IFERROR((SUMPRODUCT((TRIM(tblDados[Mandante])=$A489)*tblDados[Primeira_Ocorrencia]*((tblDados[GM_M]+tblDados[GS_M])&gt;2.5))+SUMPRODUCT((TRIM(tblDados[Visitante])=$A489)*tblDados[Primeira_Ocorrencia]*((tblDados[GM_V]+tblDados[GS_V])&gt;2.5)))/G489,0))</f>
        <v>0</v>
      </c>
      <c r="N489" s="16" cm="1">
        <f t="array" ref="N489">IF($A489="","",IFERROR((SUMPRODUCT((TRIM(tblDados[Mandante])=$A489)*tblDados[Primeira_Ocorrencia]*((tblDados[GM_M]+tblDados[GS_M])&gt;3.5))+SUMPRODUCT((TRIM(tblDados[Visitante])=$A489)*tblDados[Primeira_Ocorrencia]*((tblDados[GM_V]+tblDados[GS_V])&gt;3.5)))/G489,0))</f>
        <v>0</v>
      </c>
      <c r="O489" s="16" cm="1">
        <f t="array" ref="O489">IF($A489="","",IFERROR((SUMPRODUCT((TRIM(tblDados[Mandante])=$A489)*tblDados[Primeira_Ocorrencia]*(tblDados[GM_M]&gt;0)*(tblDados[GS_M]&gt;0))+SUMPRODUCT((TRIM(tblDados[Visitante])=$A489)*tblDados[Primeira_Ocorrencia]*(tblDados[GM_V]&gt;0)*(tblDados[GS_V]&gt;0)))/G489,0))</f>
        <v>0</v>
      </c>
      <c r="P489" s="14" cm="1">
        <f t="array" ref="P489">IF($A489="","",IFERROR((SUMPRODUCT((TRIM(tblDados[Mandante])=$A489)*tblDados[Primeira_Ocorrencia]*tblDados[GM_M]^2)+SUMPRODUCT((TRIM(tblDados[Visitante])=$A489)*tblDados[Primeira_Ocorrencia]*tblDados[GM_V]^2))/G489-H489^2,0))</f>
        <v>0</v>
      </c>
      <c r="Q489" s="14">
        <f t="shared" si="148"/>
        <v>0</v>
      </c>
      <c r="R489" s="1" t="str">
        <f t="shared" si="149"/>
        <v>Amostra Insuficiente</v>
      </c>
      <c r="S489" s="14" cm="1">
        <f t="array" ref="S489">IF($A489="","",SUMPRODUCT((TRIM(tblDados[Mandante])=$A489)*tblDados[Primeira_Ocorrencia]*tblDados[GM_M]))</f>
        <v>0</v>
      </c>
      <c r="T489" s="14" cm="1">
        <f t="array" ref="T489">IF($A489="","",SUMPRODUCT((TRIM(tblDados[Visitante])=$A489)*tblDados[Primeira_Ocorrencia]*tblDados[GM_V]))</f>
        <v>0</v>
      </c>
      <c r="U489" s="14">
        <f t="shared" si="150"/>
        <v>0</v>
      </c>
      <c r="V489" s="14">
        <f t="shared" si="139"/>
        <v>0</v>
      </c>
      <c r="W489" s="14" cm="1">
        <f t="array" ref="W489">IF($A489="","",SUMPRODUCT((TRIM(tblDados[Mandante])=$A489)*tblDados[Primeira_Ocorrencia]*tblDados[GS_M]))</f>
        <v>0</v>
      </c>
      <c r="X489" s="14" cm="1">
        <f t="array" ref="X489">IF($A489="","",SUMPRODUCT((TRIM(tblDados[Visitante])=$A489)*tblDados[Primeira_Ocorrencia]*tblDados[GS_V]))</f>
        <v>1</v>
      </c>
      <c r="Y489" s="14">
        <f t="shared" si="151"/>
        <v>1</v>
      </c>
      <c r="Z489" s="14">
        <f t="shared" si="140"/>
        <v>1</v>
      </c>
      <c r="AA489" s="14" t="str">
        <f t="shared" si="141"/>
        <v/>
      </c>
      <c r="AB489" s="14" t="str">
        <f t="shared" si="142"/>
        <v/>
      </c>
      <c r="AC489" s="14">
        <f t="shared" si="143"/>
        <v>0</v>
      </c>
      <c r="AD489" s="14">
        <f t="shared" si="144"/>
        <v>1</v>
      </c>
    </row>
    <row r="490" spans="1:30" x14ac:dyDescent="0.3">
      <c r="A490" s="1" t="str">
        <v>Rosario Central</v>
      </c>
      <c r="B490" s="13" t="str" cm="1">
        <f t="array" ref="B490">IF($A490="","",_xlfn.LET(_xlpm.p,IFERROR(INDEX(tblDados[País],MATCH($A490,TRIM(tblDados[Mandante]),0)),INDEX(tblDados[País],MATCH($A490,TRIM(tblDados[Visitante]),0))),_xlpm.l,IFERROR(INDEX(tblDados[Liga],MATCH($A490,TRIM(tblDados[Mandante]),0)),INDEX(tblDados[Liga],MATCH($A490,TRIM(tblDados[Visitante]),0))),_xlpm.p&amp;" - "&amp;_xlpm.l))</f>
        <v>ARG - Primera Nacional</v>
      </c>
      <c r="C490" s="14">
        <f t="shared" si="145"/>
        <v>0</v>
      </c>
      <c r="D490" s="14" t="str">
        <f t="shared" si="146"/>
        <v/>
      </c>
      <c r="E490" s="15" cm="1">
        <f t="array" ref="E490">IF($A490="","",SUMPRODUCT((TRIM(tblDados[Mandante])=$A490)*tblDados[Primeira_Ocorrencia]))</f>
        <v>1</v>
      </c>
      <c r="F490" s="15" cm="1">
        <f t="array" ref="F490">IF($A490="","",SUMPRODUCT((TRIM(tblDados[Visitante])=$A490)*tblDados[Primeira_Ocorrencia]))</f>
        <v>0</v>
      </c>
      <c r="G490" s="15" cm="1">
        <f t="array" ref="G490">IF($A490="","",SUMPRODUCT((TRIM(tblDados[Mandante])=$A490)*tblDados[Primeira_Ocorrencia])+SUMPRODUCT((TRIM(tblDados[Visitante])=$A490)*tblDados[Primeira_Ocorrencia]))</f>
        <v>1</v>
      </c>
      <c r="H490" s="14">
        <f t="shared" si="147"/>
        <v>0</v>
      </c>
      <c r="I490" s="14" cm="1">
        <f t="array" ref="I490">IF($A490="","",_xlfn.LET(_xlpm.p,IFERROR(INDEX(tblDados[País],MATCH($A490,TRIM(tblDados[Mandante]),0)),INDEX(tblDados[País],MATCH($A490,TRIM(tblDados[Visitante]),0))),_xlpm.l,IFERROR(INDEX(tblDados[Liga],MATCH($A490,TRIM(tblDados[Mandante]),0)),INDEX(tblDados[Liga],MATCH($A490,TRIM(tblDados[Visitante]),0))),IFERROR(SUMIFS(Ligas!$D$2:$D$39,Ligas!$H$2:$H$39,_xlpm.p,Ligas!$I$2:$I$39,_xlpm.l),0)))</f>
        <v>1.92</v>
      </c>
      <c r="J490" s="16" cm="1">
        <f t="array" ref="J490">IF($A490="","",IFERROR((SUMPRODUCT((TRIM(tblDados[Mandante])=$A490)*tblDados[Primeira_Ocorrencia]*(tblDados[GM_M]=0))+SUMPRODUCT((TRIM(tblDados[Visitante])=$A490)*tblDados[Primeira_Ocorrencia]*(tblDados[GM_V]=0)))/G490,0))</f>
        <v>1</v>
      </c>
      <c r="K490" s="16" cm="1">
        <f t="array" ref="K490">IF($A490="","",IFERROR((SUMPRODUCT((TRIM(tblDados[Mandante])=$A490)*tblDados[Primeira_Ocorrencia]*((tblDados[GM_M]+tblDados[GS_M])&gt;0.5))+SUMPRODUCT((TRIM(tblDados[Visitante])=$A490)*tblDados[Primeira_Ocorrencia]*((tblDados[GM_V]+tblDados[GS_V])&gt;0.5)))/G490,0))</f>
        <v>0</v>
      </c>
      <c r="L490" s="16" cm="1">
        <f t="array" ref="L490">IF($A490="","",IFERROR((SUMPRODUCT((TRIM(tblDados[Mandante])=$A490)*tblDados[Primeira_Ocorrencia]*((tblDados[GM_M]+tblDados[GS_M])&gt;1.5))+SUMPRODUCT((TRIM(tblDados[Visitante])=$A490)*tblDados[Primeira_Ocorrencia]*((tblDados[GM_V]+tblDados[GS_V])&gt;1.5)))/G490,0))</f>
        <v>0</v>
      </c>
      <c r="M490" s="16" cm="1">
        <f t="array" ref="M490">IF($A490="","",IFERROR((SUMPRODUCT((TRIM(tblDados[Mandante])=$A490)*tblDados[Primeira_Ocorrencia]*((tblDados[GM_M]+tblDados[GS_M])&gt;2.5))+SUMPRODUCT((TRIM(tblDados[Visitante])=$A490)*tblDados[Primeira_Ocorrencia]*((tblDados[GM_V]+tblDados[GS_V])&gt;2.5)))/G490,0))</f>
        <v>0</v>
      </c>
      <c r="N490" s="16" cm="1">
        <f t="array" ref="N490">IF($A490="","",IFERROR((SUMPRODUCT((TRIM(tblDados[Mandante])=$A490)*tblDados[Primeira_Ocorrencia]*((tblDados[GM_M]+tblDados[GS_M])&gt;3.5))+SUMPRODUCT((TRIM(tblDados[Visitante])=$A490)*tblDados[Primeira_Ocorrencia]*((tblDados[GM_V]+tblDados[GS_V])&gt;3.5)))/G490,0))</f>
        <v>0</v>
      </c>
      <c r="O490" s="16" cm="1">
        <f t="array" ref="O490">IF($A490="","",IFERROR((SUMPRODUCT((TRIM(tblDados[Mandante])=$A490)*tblDados[Primeira_Ocorrencia]*(tblDados[GM_M]&gt;0)*(tblDados[GS_M]&gt;0))+SUMPRODUCT((TRIM(tblDados[Visitante])=$A490)*tblDados[Primeira_Ocorrencia]*(tblDados[GM_V]&gt;0)*(tblDados[GS_V]&gt;0)))/G490,0))</f>
        <v>0</v>
      </c>
      <c r="P490" s="14" cm="1">
        <f t="array" ref="P490">IF($A490="","",IFERROR((SUMPRODUCT((TRIM(tblDados[Mandante])=$A490)*tblDados[Primeira_Ocorrencia]*tblDados[GM_M]^2)+SUMPRODUCT((TRIM(tblDados[Visitante])=$A490)*tblDados[Primeira_Ocorrencia]*tblDados[GM_V]^2))/G490-H490^2,0))</f>
        <v>0</v>
      </c>
      <c r="Q490" s="14">
        <f t="shared" si="148"/>
        <v>0</v>
      </c>
      <c r="R490" s="1" t="str">
        <f t="shared" si="149"/>
        <v>Amostra Insuficiente</v>
      </c>
      <c r="S490" s="14" cm="1">
        <f t="array" ref="S490">IF($A490="","",SUMPRODUCT((TRIM(tblDados[Mandante])=$A490)*tblDados[Primeira_Ocorrencia]*tblDados[GM_M]))</f>
        <v>0</v>
      </c>
      <c r="T490" s="14" cm="1">
        <f t="array" ref="T490">IF($A490="","",SUMPRODUCT((TRIM(tblDados[Visitante])=$A490)*tblDados[Primeira_Ocorrencia]*tblDados[GM_V]))</f>
        <v>0</v>
      </c>
      <c r="U490" s="14">
        <f t="shared" si="150"/>
        <v>0</v>
      </c>
      <c r="V490" s="14">
        <f t="shared" si="139"/>
        <v>0</v>
      </c>
      <c r="W490" s="14" cm="1">
        <f t="array" ref="W490">IF($A490="","",SUMPRODUCT((TRIM(tblDados[Mandante])=$A490)*tblDados[Primeira_Ocorrencia]*tblDados[GS_M]))</f>
        <v>0</v>
      </c>
      <c r="X490" s="14" cm="1">
        <f t="array" ref="X490">IF($A490="","",SUMPRODUCT((TRIM(tblDados[Visitante])=$A490)*tblDados[Primeira_Ocorrencia]*tblDados[GS_V]))</f>
        <v>0</v>
      </c>
      <c r="Y490" s="14">
        <f t="shared" si="151"/>
        <v>0</v>
      </c>
      <c r="Z490" s="14">
        <f t="shared" si="140"/>
        <v>0</v>
      </c>
      <c r="AA490" s="14">
        <f t="shared" si="141"/>
        <v>0</v>
      </c>
      <c r="AB490" s="14">
        <f t="shared" si="142"/>
        <v>0</v>
      </c>
      <c r="AC490" s="14" t="str">
        <f t="shared" si="143"/>
        <v/>
      </c>
      <c r="AD490" s="14" t="str">
        <f t="shared" si="144"/>
        <v/>
      </c>
    </row>
    <row r="491" spans="1:30" x14ac:dyDescent="0.3">
      <c r="A491" s="1" t="str">
        <v>Stirling Macedonia</v>
      </c>
      <c r="B491" s="13" t="str" cm="1">
        <f t="array" ref="B491">IF($A491="","",_xlfn.LET(_xlpm.p,IFERROR(INDEX(tblDados[País],MATCH($A491,TRIM(tblDados[Mandante]),0)),INDEX(tblDados[País],MATCH($A491,TRIM(tblDados[Visitante]),0))),_xlpm.l,IFERROR(INDEX(tblDados[Liga],MATCH($A491,TRIM(tblDados[Mandante]),0)),INDEX(tblDados[Liga],MATCH($A491,TRIM(tblDados[Visitante]),0))),_xlpm.p&amp;" - "&amp;_xlpm.l))</f>
        <v>AUS - NPL Western Australia</v>
      </c>
      <c r="C491" s="14">
        <f t="shared" si="145"/>
        <v>1</v>
      </c>
      <c r="D491" s="14" t="str">
        <f t="shared" si="146"/>
        <v/>
      </c>
      <c r="E491" s="15" cm="1">
        <f t="array" ref="E491">IF($A491="","",SUMPRODUCT((TRIM(tblDados[Mandante])=$A491)*tblDados[Primeira_Ocorrencia]))</f>
        <v>1</v>
      </c>
      <c r="F491" s="15" cm="1">
        <f t="array" ref="F491">IF($A491="","",SUMPRODUCT((TRIM(tblDados[Visitante])=$A491)*tblDados[Primeira_Ocorrencia]))</f>
        <v>0</v>
      </c>
      <c r="G491" s="15" cm="1">
        <f t="array" ref="G491">IF($A491="","",SUMPRODUCT((TRIM(tblDados[Mandante])=$A491)*tblDados[Primeira_Ocorrencia])+SUMPRODUCT((TRIM(tblDados[Visitante])=$A491)*tblDados[Primeira_Ocorrencia]))</f>
        <v>1</v>
      </c>
      <c r="H491" s="14">
        <f t="shared" si="147"/>
        <v>0</v>
      </c>
      <c r="I491" s="14" cm="1">
        <f t="array" ref="I491">IF($A491="","",_xlfn.LET(_xlpm.p,IFERROR(INDEX(tblDados[País],MATCH($A491,TRIM(tblDados[Mandante]),0)),INDEX(tblDados[País],MATCH($A491,TRIM(tblDados[Visitante]),0))),_xlpm.l,IFERROR(INDEX(tblDados[Liga],MATCH($A491,TRIM(tblDados[Mandante]),0)),INDEX(tblDados[Liga],MATCH($A491,TRIM(tblDados[Visitante]),0))),IFERROR(SUMIFS(Ligas!$D$2:$D$39,Ligas!$H$2:$H$39,_xlpm.p,Ligas!$I$2:$I$39,_xlpm.l),0)))</f>
        <v>3.56</v>
      </c>
      <c r="J491" s="16" cm="1">
        <f t="array" ref="J491">IF($A491="","",IFERROR((SUMPRODUCT((TRIM(tblDados[Mandante])=$A491)*tblDados[Primeira_Ocorrencia]*(tblDados[GM_M]=0))+SUMPRODUCT((TRIM(tblDados[Visitante])=$A491)*tblDados[Primeira_Ocorrencia]*(tblDados[GM_V]=0)))/G491,0))</f>
        <v>1</v>
      </c>
      <c r="K491" s="16" cm="1">
        <f t="array" ref="K491">IF($A491="","",IFERROR((SUMPRODUCT((TRIM(tblDados[Mandante])=$A491)*tblDados[Primeira_Ocorrencia]*((tblDados[GM_M]+tblDados[GS_M])&gt;0.5))+SUMPRODUCT((TRIM(tblDados[Visitante])=$A491)*tblDados[Primeira_Ocorrencia]*((tblDados[GM_V]+tblDados[GS_V])&gt;0.5)))/G491,0))</f>
        <v>1</v>
      </c>
      <c r="L491" s="16" cm="1">
        <f t="array" ref="L491">IF($A491="","",IFERROR((SUMPRODUCT((TRIM(tblDados[Mandante])=$A491)*tblDados[Primeira_Ocorrencia]*((tblDados[GM_M]+tblDados[GS_M])&gt;1.5))+SUMPRODUCT((TRIM(tblDados[Visitante])=$A491)*tblDados[Primeira_Ocorrencia]*((tblDados[GM_V]+tblDados[GS_V])&gt;1.5)))/G491,0))</f>
        <v>0</v>
      </c>
      <c r="M491" s="16" cm="1">
        <f t="array" ref="M491">IF($A491="","",IFERROR((SUMPRODUCT((TRIM(tblDados[Mandante])=$A491)*tblDados[Primeira_Ocorrencia]*((tblDados[GM_M]+tblDados[GS_M])&gt;2.5))+SUMPRODUCT((TRIM(tblDados[Visitante])=$A491)*tblDados[Primeira_Ocorrencia]*((tblDados[GM_V]+tblDados[GS_V])&gt;2.5)))/G491,0))</f>
        <v>0</v>
      </c>
      <c r="N491" s="16" cm="1">
        <f t="array" ref="N491">IF($A491="","",IFERROR((SUMPRODUCT((TRIM(tblDados[Mandante])=$A491)*tblDados[Primeira_Ocorrencia]*((tblDados[GM_M]+tblDados[GS_M])&gt;3.5))+SUMPRODUCT((TRIM(tblDados[Visitante])=$A491)*tblDados[Primeira_Ocorrencia]*((tblDados[GM_V]+tblDados[GS_V])&gt;3.5)))/G491,0))</f>
        <v>0</v>
      </c>
      <c r="O491" s="16" cm="1">
        <f t="array" ref="O491">IF($A491="","",IFERROR((SUMPRODUCT((TRIM(tblDados[Mandante])=$A491)*tblDados[Primeira_Ocorrencia]*(tblDados[GM_M]&gt;0)*(tblDados[GS_M]&gt;0))+SUMPRODUCT((TRIM(tblDados[Visitante])=$A491)*tblDados[Primeira_Ocorrencia]*(tblDados[GM_V]&gt;0)*(tblDados[GS_V]&gt;0)))/G491,0))</f>
        <v>0</v>
      </c>
      <c r="P491" s="14" cm="1">
        <f t="array" ref="P491">IF($A491="","",IFERROR((SUMPRODUCT((TRIM(tblDados[Mandante])=$A491)*tblDados[Primeira_Ocorrencia]*tblDados[GM_M]^2)+SUMPRODUCT((TRIM(tblDados[Visitante])=$A491)*tblDados[Primeira_Ocorrencia]*tblDados[GM_V]^2))/G491-H491^2,0))</f>
        <v>0</v>
      </c>
      <c r="Q491" s="14">
        <f t="shared" si="148"/>
        <v>0</v>
      </c>
      <c r="R491" s="1" t="str">
        <f t="shared" si="149"/>
        <v>Amostra Insuficiente</v>
      </c>
      <c r="S491" s="14" cm="1">
        <f t="array" ref="S491">IF($A491="","",SUMPRODUCT((TRIM(tblDados[Mandante])=$A491)*tblDados[Primeira_Ocorrencia]*tblDados[GM_M]))</f>
        <v>0</v>
      </c>
      <c r="T491" s="14" cm="1">
        <f t="array" ref="T491">IF($A491="","",SUMPRODUCT((TRIM(tblDados[Visitante])=$A491)*tblDados[Primeira_Ocorrencia]*tblDados[GM_V]))</f>
        <v>0</v>
      </c>
      <c r="U491" s="14">
        <f t="shared" si="150"/>
        <v>0</v>
      </c>
      <c r="V491" s="14">
        <f t="shared" si="139"/>
        <v>0</v>
      </c>
      <c r="W491" s="14" cm="1">
        <f t="array" ref="W491">IF($A491="","",SUMPRODUCT((TRIM(tblDados[Mandante])=$A491)*tblDados[Primeira_Ocorrencia]*tblDados[GS_M]))</f>
        <v>1</v>
      </c>
      <c r="X491" s="14" cm="1">
        <f t="array" ref="X491">IF($A491="","",SUMPRODUCT((TRIM(tblDados[Visitante])=$A491)*tblDados[Primeira_Ocorrencia]*tblDados[GS_V]))</f>
        <v>0</v>
      </c>
      <c r="Y491" s="14">
        <f t="shared" si="151"/>
        <v>1</v>
      </c>
      <c r="Z491" s="14">
        <f t="shared" si="140"/>
        <v>1</v>
      </c>
      <c r="AA491" s="14">
        <f t="shared" si="141"/>
        <v>0</v>
      </c>
      <c r="AB491" s="14">
        <f t="shared" si="142"/>
        <v>1</v>
      </c>
      <c r="AC491" s="14" t="str">
        <f t="shared" si="143"/>
        <v/>
      </c>
      <c r="AD491" s="14" t="str">
        <f t="shared" si="144"/>
        <v/>
      </c>
    </row>
    <row r="492" spans="1:30" x14ac:dyDescent="0.3">
      <c r="A492" s="1" t="str">
        <v>West Torrens Birkalla</v>
      </c>
      <c r="B492" s="13" t="str" cm="1">
        <f t="array" ref="B492">IF($A492="","",_xlfn.LET(_xlpm.p,IFERROR(INDEX(tblDados[País],MATCH($A492,TRIM(tblDados[Mandante]),0)),INDEX(tblDados[País],MATCH($A492,TRIM(tblDados[Visitante]),0))),_xlpm.l,IFERROR(INDEX(tblDados[Liga],MATCH($A492,TRIM(tblDados[Mandante]),0)),INDEX(tblDados[Liga],MATCH($A492,TRIM(tblDados[Visitante]),0))),_xlpm.p&amp;" - "&amp;_xlpm.l))</f>
        <v>AUS - NPL South Australia</v>
      </c>
      <c r="C492" s="14">
        <f t="shared" si="145"/>
        <v>7</v>
      </c>
      <c r="D492" s="14" t="str">
        <f t="shared" si="146"/>
        <v/>
      </c>
      <c r="E492" s="15" cm="1">
        <f t="array" ref="E492">IF($A492="","",SUMPRODUCT((TRIM(tblDados[Mandante])=$A492)*tblDados[Primeira_Ocorrencia]))</f>
        <v>1</v>
      </c>
      <c r="F492" s="15" cm="1">
        <f t="array" ref="F492">IF($A492="","",SUMPRODUCT((TRIM(tblDados[Visitante])=$A492)*tblDados[Primeira_Ocorrencia]))</f>
        <v>0</v>
      </c>
      <c r="G492" s="15" cm="1">
        <f t="array" ref="G492">IF($A492="","",SUMPRODUCT((TRIM(tblDados[Mandante])=$A492)*tblDados[Primeira_Ocorrencia])+SUMPRODUCT((TRIM(tblDados[Visitante])=$A492)*tblDados[Primeira_Ocorrencia]))</f>
        <v>1</v>
      </c>
      <c r="H492" s="14">
        <f t="shared" si="147"/>
        <v>6</v>
      </c>
      <c r="I492" s="14" cm="1">
        <f t="array" ref="I492">IF($A492="","",_xlfn.LET(_xlpm.p,IFERROR(INDEX(tblDados[País],MATCH($A492,TRIM(tblDados[Mandante]),0)),INDEX(tblDados[País],MATCH($A492,TRIM(tblDados[Visitante]),0))),_xlpm.l,IFERROR(INDEX(tblDados[Liga],MATCH($A492,TRIM(tblDados[Mandante]),0)),INDEX(tblDados[Liga],MATCH($A492,TRIM(tblDados[Visitante]),0))),IFERROR(SUMIFS(Ligas!$D$2:$D$39,Ligas!$H$2:$H$39,_xlpm.p,Ligas!$I$2:$I$39,_xlpm.l),0)))</f>
        <v>3.49</v>
      </c>
      <c r="J492" s="16" cm="1">
        <f t="array" ref="J492">IF($A492="","",IFERROR((SUMPRODUCT((TRIM(tblDados[Mandante])=$A492)*tblDados[Primeira_Ocorrencia]*(tblDados[GM_M]=0))+SUMPRODUCT((TRIM(tblDados[Visitante])=$A492)*tblDados[Primeira_Ocorrencia]*(tblDados[GM_V]=0)))/G492,0))</f>
        <v>0</v>
      </c>
      <c r="K492" s="16" cm="1">
        <f t="array" ref="K492">IF($A492="","",IFERROR((SUMPRODUCT((TRIM(tblDados[Mandante])=$A492)*tblDados[Primeira_Ocorrencia]*((tblDados[GM_M]+tblDados[GS_M])&gt;0.5))+SUMPRODUCT((TRIM(tblDados[Visitante])=$A492)*tblDados[Primeira_Ocorrencia]*((tblDados[GM_V]+tblDados[GS_V])&gt;0.5)))/G492,0))</f>
        <v>1</v>
      </c>
      <c r="L492" s="16" cm="1">
        <f t="array" ref="L492">IF($A492="","",IFERROR((SUMPRODUCT((TRIM(tblDados[Mandante])=$A492)*tblDados[Primeira_Ocorrencia]*((tblDados[GM_M]+tblDados[GS_M])&gt;1.5))+SUMPRODUCT((TRIM(tblDados[Visitante])=$A492)*tblDados[Primeira_Ocorrencia]*((tblDados[GM_V]+tblDados[GS_V])&gt;1.5)))/G492,0))</f>
        <v>1</v>
      </c>
      <c r="M492" s="16" cm="1">
        <f t="array" ref="M492">IF($A492="","",IFERROR((SUMPRODUCT((TRIM(tblDados[Mandante])=$A492)*tblDados[Primeira_Ocorrencia]*((tblDados[GM_M]+tblDados[GS_M])&gt;2.5))+SUMPRODUCT((TRIM(tblDados[Visitante])=$A492)*tblDados[Primeira_Ocorrencia]*((tblDados[GM_V]+tblDados[GS_V])&gt;2.5)))/G492,0))</f>
        <v>1</v>
      </c>
      <c r="N492" s="16" cm="1">
        <f t="array" ref="N492">IF($A492="","",IFERROR((SUMPRODUCT((TRIM(tblDados[Mandante])=$A492)*tblDados[Primeira_Ocorrencia]*((tblDados[GM_M]+tblDados[GS_M])&gt;3.5))+SUMPRODUCT((TRIM(tblDados[Visitante])=$A492)*tblDados[Primeira_Ocorrencia]*((tblDados[GM_V]+tblDados[GS_V])&gt;3.5)))/G492,0))</f>
        <v>1</v>
      </c>
      <c r="O492" s="16" cm="1">
        <f t="array" ref="O492">IF($A492="","",IFERROR((SUMPRODUCT((TRIM(tblDados[Mandante])=$A492)*tblDados[Primeira_Ocorrencia]*(tblDados[GM_M]&gt;0)*(tblDados[GS_M]&gt;0))+SUMPRODUCT((TRIM(tblDados[Visitante])=$A492)*tblDados[Primeira_Ocorrencia]*(tblDados[GM_V]&gt;0)*(tblDados[GS_V]&gt;0)))/G492,0))</f>
        <v>1</v>
      </c>
      <c r="P492" s="14" cm="1">
        <f t="array" ref="P492">IF($A492="","",IFERROR((SUMPRODUCT((TRIM(tblDados[Mandante])=$A492)*tblDados[Primeira_Ocorrencia]*tblDados[GM_M]^2)+SUMPRODUCT((TRIM(tblDados[Visitante])=$A492)*tblDados[Primeira_Ocorrencia]*tblDados[GM_V]^2))/G492-H492^2,0))</f>
        <v>0</v>
      </c>
      <c r="Q492" s="14">
        <f t="shared" si="148"/>
        <v>0</v>
      </c>
      <c r="R492" s="1" t="str">
        <f t="shared" si="149"/>
        <v>Amostra Insuficiente</v>
      </c>
      <c r="S492" s="14" cm="1">
        <f t="array" ref="S492">IF($A492="","",SUMPRODUCT((TRIM(tblDados[Mandante])=$A492)*tblDados[Primeira_Ocorrencia]*tblDados[GM_M]))</f>
        <v>6</v>
      </c>
      <c r="T492" s="14" cm="1">
        <f t="array" ref="T492">IF($A492="","",SUMPRODUCT((TRIM(tblDados[Visitante])=$A492)*tblDados[Primeira_Ocorrencia]*tblDados[GM_V]))</f>
        <v>0</v>
      </c>
      <c r="U492" s="14">
        <f t="shared" si="150"/>
        <v>6</v>
      </c>
      <c r="V492" s="14">
        <f t="shared" si="139"/>
        <v>6</v>
      </c>
      <c r="W492" s="14" cm="1">
        <f t="array" ref="W492">IF($A492="","",SUMPRODUCT((TRIM(tblDados[Mandante])=$A492)*tblDados[Primeira_Ocorrencia]*tblDados[GS_M]))</f>
        <v>1</v>
      </c>
      <c r="X492" s="14" cm="1">
        <f t="array" ref="X492">IF($A492="","",SUMPRODUCT((TRIM(tblDados[Visitante])=$A492)*tblDados[Primeira_Ocorrencia]*tblDados[GS_V]))</f>
        <v>0</v>
      </c>
      <c r="Y492" s="14">
        <f t="shared" si="151"/>
        <v>1</v>
      </c>
      <c r="Z492" s="14">
        <f t="shared" si="140"/>
        <v>1</v>
      </c>
      <c r="AA492" s="14">
        <f t="shared" si="141"/>
        <v>6</v>
      </c>
      <c r="AB492" s="14">
        <f t="shared" si="142"/>
        <v>1</v>
      </c>
      <c r="AC492" s="14" t="str">
        <f t="shared" si="143"/>
        <v/>
      </c>
      <c r="AD492" s="14" t="str">
        <f t="shared" si="144"/>
        <v/>
      </c>
    </row>
    <row r="493" spans="1:30" x14ac:dyDescent="0.3">
      <c r="B493" s="13" t="str" cm="1">
        <f t="array" ref="B493">IF($A493="","",_xlfn.LET(_xlpm.p,IFERROR(INDEX(tblDados[País],MATCH($A493,TRIM(tblDados[Mandante]),0)),INDEX(tblDados[País],MATCH($A493,TRIM(tblDados[Visitante]),0))),_xlpm.l,IFERROR(INDEX(tblDados[Liga],MATCH($A493,TRIM(tblDados[Mandante]),0)),INDEX(tblDados[Liga],MATCH($A493,TRIM(tblDados[Visitante]),0))),_xlpm.p&amp;" - "&amp;_xlpm.l))</f>
        <v/>
      </c>
      <c r="C493" s="14" t="str">
        <f t="shared" si="145"/>
        <v/>
      </c>
      <c r="D493" s="14" t="str">
        <f t="shared" si="146"/>
        <v/>
      </c>
      <c r="E493" s="15" t="str" cm="1">
        <f t="array" ref="E493">IF($A493="","",SUMPRODUCT((TRIM(tblDados[Mandante])=$A493)*tblDados[Primeira_Ocorrencia]))</f>
        <v/>
      </c>
      <c r="F493" s="15" t="str" cm="1">
        <f t="array" ref="F493">IF($A493="","",SUMPRODUCT((TRIM(tblDados[Visitante])=$A493)*tblDados[Primeira_Ocorrencia]))</f>
        <v/>
      </c>
      <c r="G493" s="15" t="str" cm="1">
        <f t="array" ref="G493">IF($A493="","",SUMPRODUCT((TRIM(tblDados[Mandante])=$A493)*tblDados[Primeira_Ocorrencia])+SUMPRODUCT((TRIM(tblDados[Visitante])=$A493)*tblDados[Primeira_Ocorrencia]))</f>
        <v/>
      </c>
      <c r="H493" s="14" t="str">
        <f t="shared" si="147"/>
        <v/>
      </c>
      <c r="I493" s="14" t="str" cm="1">
        <f t="array" ref="I493">IF($A493="","",_xlfn.LET(_xlpm.p,IFERROR(INDEX(tblDados[País],MATCH($A493,TRIM(tblDados[Mandante]),0)),INDEX(tblDados[País],MATCH($A493,TRIM(tblDados[Visitante]),0))),_xlpm.l,IFERROR(INDEX(tblDados[Liga],MATCH($A493,TRIM(tblDados[Mandante]),0)),INDEX(tblDados[Liga],MATCH($A493,TRIM(tblDados[Visitante]),0))),IFERROR(SUMIFS(Ligas!$D$2:$D$39,Ligas!$H$2:$H$39,_xlpm.p,Ligas!$I$2:$I$39,_xlpm.l),0)))</f>
        <v/>
      </c>
      <c r="J493" s="16" t="str" cm="1">
        <f t="array" ref="J493">IF($A493="","",IFERROR((SUMPRODUCT((TRIM(tblDados[Mandante])=$A493)*tblDados[Primeira_Ocorrencia]*(tblDados[GM_M]=0))+SUMPRODUCT((TRIM(tblDados[Visitante])=$A493)*tblDados[Primeira_Ocorrencia]*(tblDados[GM_V]=0)))/G493,0))</f>
        <v/>
      </c>
      <c r="K493" s="16" t="str" cm="1">
        <f t="array" ref="K493">IF($A493="","",IFERROR((SUMPRODUCT((TRIM(tblDados[Mandante])=$A493)*tblDados[Primeira_Ocorrencia]*((tblDados[GM_M]+tblDados[GS_M])&gt;0.5))+SUMPRODUCT((TRIM(tblDados[Visitante])=$A493)*tblDados[Primeira_Ocorrencia]*((tblDados[GM_V]+tblDados[GS_V])&gt;0.5)))/G493,0))</f>
        <v/>
      </c>
      <c r="L493" s="16" t="str" cm="1">
        <f t="array" ref="L493">IF($A493="","",IFERROR((SUMPRODUCT((TRIM(tblDados[Mandante])=$A493)*tblDados[Primeira_Ocorrencia]*((tblDados[GM_M]+tblDados[GS_M])&gt;1.5))+SUMPRODUCT((TRIM(tblDados[Visitante])=$A493)*tblDados[Primeira_Ocorrencia]*((tblDados[GM_V]+tblDados[GS_V])&gt;1.5)))/G493,0))</f>
        <v/>
      </c>
      <c r="M493" s="16" t="str" cm="1">
        <f t="array" ref="M493">IF($A493="","",IFERROR((SUMPRODUCT((TRIM(tblDados[Mandante])=$A493)*tblDados[Primeira_Ocorrencia]*((tblDados[GM_M]+tblDados[GS_M])&gt;2.5))+SUMPRODUCT((TRIM(tblDados[Visitante])=$A493)*tblDados[Primeira_Ocorrencia]*((tblDados[GM_V]+tblDados[GS_V])&gt;2.5)))/G493,0))</f>
        <v/>
      </c>
      <c r="N493" s="16" t="str" cm="1">
        <f t="array" ref="N493">IF($A493="","",IFERROR((SUMPRODUCT((TRIM(tblDados[Mandante])=$A493)*tblDados[Primeira_Ocorrencia]*((tblDados[GM_M]+tblDados[GS_M])&gt;3.5))+SUMPRODUCT((TRIM(tblDados[Visitante])=$A493)*tblDados[Primeira_Ocorrencia]*((tblDados[GM_V]+tblDados[GS_V])&gt;3.5)))/G493,0))</f>
        <v/>
      </c>
      <c r="O493" s="16" t="str" cm="1">
        <f t="array" ref="O493">IF($A493="","",IFERROR((SUMPRODUCT((TRIM(tblDados[Mandante])=$A493)*tblDados[Primeira_Ocorrencia]*(tblDados[GM_M]&gt;0)*(tblDados[GS_M]&gt;0))+SUMPRODUCT((TRIM(tblDados[Visitante])=$A493)*tblDados[Primeira_Ocorrencia]*(tblDados[GM_V]&gt;0)*(tblDados[GS_V]&gt;0)))/G493,0))</f>
        <v/>
      </c>
      <c r="P493" s="14" t="str" cm="1">
        <f t="array" ref="P493">IF($A493="","",IFERROR((SUMPRODUCT((TRIM(tblDados[Mandante])=$A493)*tblDados[Primeira_Ocorrencia]*tblDados[GM_M]^2)+SUMPRODUCT((TRIM(tblDados[Visitante])=$A493)*tblDados[Primeira_Ocorrencia]*tblDados[GM_V]^2))/G493-H493^2,0))</f>
        <v/>
      </c>
      <c r="Q493" s="14" t="str">
        <f t="shared" si="148"/>
        <v/>
      </c>
      <c r="R493" s="1" t="str">
        <f t="shared" si="149"/>
        <v/>
      </c>
      <c r="S493" s="14" t="str" cm="1">
        <f t="array" ref="S493">IF($A493="","",SUMPRODUCT((TRIM(tblDados[Mandante])=$A493)*tblDados[Primeira_Ocorrencia]*tblDados[GM_M]))</f>
        <v/>
      </c>
      <c r="T493" s="14" t="str" cm="1">
        <f t="array" ref="T493">IF($A493="","",SUMPRODUCT((TRIM(tblDados[Visitante])=$A493)*tblDados[Primeira_Ocorrencia]*tblDados[GM_V]))</f>
        <v/>
      </c>
      <c r="U493" s="14" t="str">
        <f t="shared" si="150"/>
        <v/>
      </c>
      <c r="V493" s="14" t="str">
        <f t="shared" si="139"/>
        <v/>
      </c>
      <c r="W493" s="14" t="str" cm="1">
        <f t="array" ref="W493">IF($A493="","",SUMPRODUCT((TRIM(tblDados[Mandante])=$A493)*tblDados[Primeira_Ocorrencia]*tblDados[GS_M]))</f>
        <v/>
      </c>
      <c r="X493" s="14" t="str" cm="1">
        <f t="array" ref="X493">IF($A493="","",SUMPRODUCT((TRIM(tblDados[Visitante])=$A493)*tblDados[Primeira_Ocorrencia]*tblDados[GS_V]))</f>
        <v/>
      </c>
      <c r="Y493" s="14" t="str">
        <f t="shared" si="151"/>
        <v/>
      </c>
      <c r="Z493" s="14" t="str">
        <f t="shared" si="140"/>
        <v/>
      </c>
      <c r="AA493" s="14" t="str">
        <f t="shared" si="141"/>
        <v/>
      </c>
      <c r="AB493" s="14" t="str">
        <f t="shared" si="142"/>
        <v/>
      </c>
      <c r="AC493" s="14" t="str">
        <f t="shared" si="143"/>
        <v/>
      </c>
      <c r="AD493" s="14" t="str">
        <f t="shared" si="144"/>
        <v/>
      </c>
    </row>
    <row r="494" spans="1:30" x14ac:dyDescent="0.3">
      <c r="B494" s="13" t="str" cm="1">
        <f t="array" ref="B494">IF($A494="","",_xlfn.LET(_xlpm.p,IFERROR(INDEX(tblDados[País],MATCH($A494,TRIM(tblDados[Mandante]),0)),INDEX(tblDados[País],MATCH($A494,TRIM(tblDados[Visitante]),0))),_xlpm.l,IFERROR(INDEX(tblDados[Liga],MATCH($A494,TRIM(tblDados[Mandante]),0)),INDEX(tblDados[Liga],MATCH($A494,TRIM(tblDados[Visitante]),0))),_xlpm.p&amp;" - "&amp;_xlpm.l))</f>
        <v/>
      </c>
      <c r="C494" s="14" t="str">
        <f t="shared" si="145"/>
        <v/>
      </c>
      <c r="D494" s="14" t="str">
        <f t="shared" si="146"/>
        <v/>
      </c>
      <c r="E494" s="15" t="str" cm="1">
        <f t="array" ref="E494">IF($A494="","",SUMPRODUCT((TRIM(tblDados[Mandante])=$A494)*tblDados[Primeira_Ocorrencia]))</f>
        <v/>
      </c>
      <c r="F494" s="15" t="str" cm="1">
        <f t="array" ref="F494">IF($A494="","",SUMPRODUCT((TRIM(tblDados[Visitante])=$A494)*tblDados[Primeira_Ocorrencia]))</f>
        <v/>
      </c>
      <c r="G494" s="15" t="str" cm="1">
        <f t="array" ref="G494">IF($A494="","",SUMPRODUCT((TRIM(tblDados[Mandante])=$A494)*tblDados[Primeira_Ocorrencia])+SUMPRODUCT((TRIM(tblDados[Visitante])=$A494)*tblDados[Primeira_Ocorrencia]))</f>
        <v/>
      </c>
      <c r="H494" s="14" t="str">
        <f t="shared" si="147"/>
        <v/>
      </c>
      <c r="I494" s="14" t="str" cm="1">
        <f t="array" ref="I494">IF($A494="","",_xlfn.LET(_xlpm.p,IFERROR(INDEX(tblDados[País],MATCH($A494,TRIM(tblDados[Mandante]),0)),INDEX(tblDados[País],MATCH($A494,TRIM(tblDados[Visitante]),0))),_xlpm.l,IFERROR(INDEX(tblDados[Liga],MATCH($A494,TRIM(tblDados[Mandante]),0)),INDEX(tblDados[Liga],MATCH($A494,TRIM(tblDados[Visitante]),0))),IFERROR(SUMIFS(Ligas!$D$2:$D$39,Ligas!$H$2:$H$39,_xlpm.p,Ligas!$I$2:$I$39,_xlpm.l),0)))</f>
        <v/>
      </c>
      <c r="J494" s="16" t="str" cm="1">
        <f t="array" ref="J494">IF($A494="","",IFERROR((SUMPRODUCT((TRIM(tblDados[Mandante])=$A494)*tblDados[Primeira_Ocorrencia]*(tblDados[GM_M]=0))+SUMPRODUCT((TRIM(tblDados[Visitante])=$A494)*tblDados[Primeira_Ocorrencia]*(tblDados[GM_V]=0)))/G494,0))</f>
        <v/>
      </c>
      <c r="K494" s="16" t="str" cm="1">
        <f t="array" ref="K494">IF($A494="","",IFERROR((SUMPRODUCT((TRIM(tblDados[Mandante])=$A494)*tblDados[Primeira_Ocorrencia]*((tblDados[GM_M]+tblDados[GS_M])&gt;0.5))+SUMPRODUCT((TRIM(tblDados[Visitante])=$A494)*tblDados[Primeira_Ocorrencia]*((tblDados[GM_V]+tblDados[GS_V])&gt;0.5)))/G494,0))</f>
        <v/>
      </c>
      <c r="L494" s="16" t="str" cm="1">
        <f t="array" ref="L494">IF($A494="","",IFERROR((SUMPRODUCT((TRIM(tblDados[Mandante])=$A494)*tblDados[Primeira_Ocorrencia]*((tblDados[GM_M]+tblDados[GS_M])&gt;1.5))+SUMPRODUCT((TRIM(tblDados[Visitante])=$A494)*tblDados[Primeira_Ocorrencia]*((tblDados[GM_V]+tblDados[GS_V])&gt;1.5)))/G494,0))</f>
        <v/>
      </c>
      <c r="M494" s="16" t="str" cm="1">
        <f t="array" ref="M494">IF($A494="","",IFERROR((SUMPRODUCT((TRIM(tblDados[Mandante])=$A494)*tblDados[Primeira_Ocorrencia]*((tblDados[GM_M]+tblDados[GS_M])&gt;2.5))+SUMPRODUCT((TRIM(tblDados[Visitante])=$A494)*tblDados[Primeira_Ocorrencia]*((tblDados[GM_V]+tblDados[GS_V])&gt;2.5)))/G494,0))</f>
        <v/>
      </c>
      <c r="N494" s="16" t="str" cm="1">
        <f t="array" ref="N494">IF($A494="","",IFERROR((SUMPRODUCT((TRIM(tblDados[Mandante])=$A494)*tblDados[Primeira_Ocorrencia]*((tblDados[GM_M]+tblDados[GS_M])&gt;3.5))+SUMPRODUCT((TRIM(tblDados[Visitante])=$A494)*tblDados[Primeira_Ocorrencia]*((tblDados[GM_V]+tblDados[GS_V])&gt;3.5)))/G494,0))</f>
        <v/>
      </c>
      <c r="O494" s="16" t="str" cm="1">
        <f t="array" ref="O494">IF($A494="","",IFERROR((SUMPRODUCT((TRIM(tblDados[Mandante])=$A494)*tblDados[Primeira_Ocorrencia]*(tblDados[GM_M]&gt;0)*(tblDados[GS_M]&gt;0))+SUMPRODUCT((TRIM(tblDados[Visitante])=$A494)*tblDados[Primeira_Ocorrencia]*(tblDados[GM_V]&gt;0)*(tblDados[GS_V]&gt;0)))/G494,0))</f>
        <v/>
      </c>
      <c r="P494" s="14" t="str" cm="1">
        <f t="array" ref="P494">IF($A494="","",IFERROR((SUMPRODUCT((TRIM(tblDados[Mandante])=$A494)*tblDados[Primeira_Ocorrencia]*tblDados[GM_M]^2)+SUMPRODUCT((TRIM(tblDados[Visitante])=$A494)*tblDados[Primeira_Ocorrencia]*tblDados[GM_V]^2))/G494-H494^2,0))</f>
        <v/>
      </c>
      <c r="Q494" s="14" t="str">
        <f t="shared" si="148"/>
        <v/>
      </c>
      <c r="R494" s="1" t="str">
        <f t="shared" si="149"/>
        <v/>
      </c>
      <c r="S494" s="14" t="str" cm="1">
        <f t="array" ref="S494">IF($A494="","",SUMPRODUCT((TRIM(tblDados[Mandante])=$A494)*tblDados[Primeira_Ocorrencia]*tblDados[GM_M]))</f>
        <v/>
      </c>
      <c r="T494" s="14" t="str" cm="1">
        <f t="array" ref="T494">IF($A494="","",SUMPRODUCT((TRIM(tblDados[Visitante])=$A494)*tblDados[Primeira_Ocorrencia]*tblDados[GM_V]))</f>
        <v/>
      </c>
      <c r="U494" s="14" t="str">
        <f t="shared" si="150"/>
        <v/>
      </c>
      <c r="V494" s="14" t="str">
        <f t="shared" si="139"/>
        <v/>
      </c>
      <c r="W494" s="14" t="str" cm="1">
        <f t="array" ref="W494">IF($A494="","",SUMPRODUCT((TRIM(tblDados[Mandante])=$A494)*tblDados[Primeira_Ocorrencia]*tblDados[GS_M]))</f>
        <v/>
      </c>
      <c r="X494" s="14" t="str" cm="1">
        <f t="array" ref="X494">IF($A494="","",SUMPRODUCT((TRIM(tblDados[Visitante])=$A494)*tblDados[Primeira_Ocorrencia]*tblDados[GS_V]))</f>
        <v/>
      </c>
      <c r="Y494" s="14" t="str">
        <f t="shared" si="151"/>
        <v/>
      </c>
      <c r="Z494" s="14" t="str">
        <f t="shared" si="140"/>
        <v/>
      </c>
      <c r="AA494" s="14" t="str">
        <f t="shared" si="141"/>
        <v/>
      </c>
      <c r="AB494" s="14" t="str">
        <f t="shared" si="142"/>
        <v/>
      </c>
      <c r="AC494" s="14" t="str">
        <f t="shared" si="143"/>
        <v/>
      </c>
      <c r="AD494" s="14" t="str">
        <f t="shared" si="144"/>
        <v/>
      </c>
    </row>
    <row r="495" spans="1:30" x14ac:dyDescent="0.3">
      <c r="B495" s="13" t="str" cm="1">
        <f t="array" ref="B495">IF($A495="","",_xlfn.LET(_xlpm.p,IFERROR(INDEX(tblDados[País],MATCH($A495,TRIM(tblDados[Mandante]),0)),INDEX(tblDados[País],MATCH($A495,TRIM(tblDados[Visitante]),0))),_xlpm.l,IFERROR(INDEX(tblDados[Liga],MATCH($A495,TRIM(tblDados[Mandante]),0)),INDEX(tblDados[Liga],MATCH($A495,TRIM(tblDados[Visitante]),0))),_xlpm.p&amp;" - "&amp;_xlpm.l))</f>
        <v/>
      </c>
      <c r="C495" s="14" t="str">
        <f t="shared" si="145"/>
        <v/>
      </c>
      <c r="D495" s="14" t="str">
        <f t="shared" si="146"/>
        <v/>
      </c>
      <c r="E495" s="15" t="str" cm="1">
        <f t="array" ref="E495">IF($A495="","",SUMPRODUCT((TRIM(tblDados[Mandante])=$A495)*tblDados[Primeira_Ocorrencia]))</f>
        <v/>
      </c>
      <c r="F495" s="15" t="str" cm="1">
        <f t="array" ref="F495">IF($A495="","",SUMPRODUCT((TRIM(tblDados[Visitante])=$A495)*tblDados[Primeira_Ocorrencia]))</f>
        <v/>
      </c>
      <c r="G495" s="15" t="str" cm="1">
        <f t="array" ref="G495">IF($A495="","",SUMPRODUCT((TRIM(tblDados[Mandante])=$A495)*tblDados[Primeira_Ocorrencia])+SUMPRODUCT((TRIM(tblDados[Visitante])=$A495)*tblDados[Primeira_Ocorrencia]))</f>
        <v/>
      </c>
      <c r="H495" s="14" t="str">
        <f t="shared" si="147"/>
        <v/>
      </c>
      <c r="I495" s="14" t="str" cm="1">
        <f t="array" ref="I495">IF($A495="","",_xlfn.LET(_xlpm.p,IFERROR(INDEX(tblDados[País],MATCH($A495,TRIM(tblDados[Mandante]),0)),INDEX(tblDados[País],MATCH($A495,TRIM(tblDados[Visitante]),0))),_xlpm.l,IFERROR(INDEX(tblDados[Liga],MATCH($A495,TRIM(tblDados[Mandante]),0)),INDEX(tblDados[Liga],MATCH($A495,TRIM(tblDados[Visitante]),0))),IFERROR(SUMIFS(Ligas!$D$2:$D$39,Ligas!$H$2:$H$39,_xlpm.p,Ligas!$I$2:$I$39,_xlpm.l),0)))</f>
        <v/>
      </c>
      <c r="J495" s="16" t="str" cm="1">
        <f t="array" ref="J495">IF($A495="","",IFERROR((SUMPRODUCT((TRIM(tblDados[Mandante])=$A495)*tblDados[Primeira_Ocorrencia]*(tblDados[GM_M]=0))+SUMPRODUCT((TRIM(tblDados[Visitante])=$A495)*tblDados[Primeira_Ocorrencia]*(tblDados[GM_V]=0)))/G495,0))</f>
        <v/>
      </c>
      <c r="K495" s="16" t="str" cm="1">
        <f t="array" ref="K495">IF($A495="","",IFERROR((SUMPRODUCT((TRIM(tblDados[Mandante])=$A495)*tblDados[Primeira_Ocorrencia]*((tblDados[GM_M]+tblDados[GS_M])&gt;0.5))+SUMPRODUCT((TRIM(tblDados[Visitante])=$A495)*tblDados[Primeira_Ocorrencia]*((tblDados[GM_V]+tblDados[GS_V])&gt;0.5)))/G495,0))</f>
        <v/>
      </c>
      <c r="L495" s="16" t="str" cm="1">
        <f t="array" ref="L495">IF($A495="","",IFERROR((SUMPRODUCT((TRIM(tblDados[Mandante])=$A495)*tblDados[Primeira_Ocorrencia]*((tblDados[GM_M]+tblDados[GS_M])&gt;1.5))+SUMPRODUCT((TRIM(tblDados[Visitante])=$A495)*tblDados[Primeira_Ocorrencia]*((tblDados[GM_V]+tblDados[GS_V])&gt;1.5)))/G495,0))</f>
        <v/>
      </c>
      <c r="M495" s="16" t="str" cm="1">
        <f t="array" ref="M495">IF($A495="","",IFERROR((SUMPRODUCT((TRIM(tblDados[Mandante])=$A495)*tblDados[Primeira_Ocorrencia]*((tblDados[GM_M]+tblDados[GS_M])&gt;2.5))+SUMPRODUCT((TRIM(tblDados[Visitante])=$A495)*tblDados[Primeira_Ocorrencia]*((tblDados[GM_V]+tblDados[GS_V])&gt;2.5)))/G495,0))</f>
        <v/>
      </c>
      <c r="N495" s="16" t="str" cm="1">
        <f t="array" ref="N495">IF($A495="","",IFERROR((SUMPRODUCT((TRIM(tblDados[Mandante])=$A495)*tblDados[Primeira_Ocorrencia]*((tblDados[GM_M]+tblDados[GS_M])&gt;3.5))+SUMPRODUCT((TRIM(tblDados[Visitante])=$A495)*tblDados[Primeira_Ocorrencia]*((tblDados[GM_V]+tblDados[GS_V])&gt;3.5)))/G495,0))</f>
        <v/>
      </c>
      <c r="O495" s="16" t="str" cm="1">
        <f t="array" ref="O495">IF($A495="","",IFERROR((SUMPRODUCT((TRIM(tblDados[Mandante])=$A495)*tblDados[Primeira_Ocorrencia]*(tblDados[GM_M]&gt;0)*(tblDados[GS_M]&gt;0))+SUMPRODUCT((TRIM(tblDados[Visitante])=$A495)*tblDados[Primeira_Ocorrencia]*(tblDados[GM_V]&gt;0)*(tblDados[GS_V]&gt;0)))/G495,0))</f>
        <v/>
      </c>
      <c r="P495" s="14" t="str" cm="1">
        <f t="array" ref="P495">IF($A495="","",IFERROR((SUMPRODUCT((TRIM(tblDados[Mandante])=$A495)*tblDados[Primeira_Ocorrencia]*tblDados[GM_M]^2)+SUMPRODUCT((TRIM(tblDados[Visitante])=$A495)*tblDados[Primeira_Ocorrencia]*tblDados[GM_V]^2))/G495-H495^2,0))</f>
        <v/>
      </c>
      <c r="Q495" s="14" t="str">
        <f t="shared" si="148"/>
        <v/>
      </c>
      <c r="R495" s="1" t="str">
        <f t="shared" si="149"/>
        <v/>
      </c>
      <c r="S495" s="14" t="str" cm="1">
        <f t="array" ref="S495">IF($A495="","",SUMPRODUCT((TRIM(tblDados[Mandante])=$A495)*tblDados[Primeira_Ocorrencia]*tblDados[GM_M]))</f>
        <v/>
      </c>
      <c r="T495" s="14" t="str" cm="1">
        <f t="array" ref="T495">IF($A495="","",SUMPRODUCT((TRIM(tblDados[Visitante])=$A495)*tblDados[Primeira_Ocorrencia]*tblDados[GM_V]))</f>
        <v/>
      </c>
      <c r="U495" s="14" t="str">
        <f t="shared" si="150"/>
        <v/>
      </c>
      <c r="V495" s="14" t="str">
        <f t="shared" si="139"/>
        <v/>
      </c>
      <c r="W495" s="14" t="str" cm="1">
        <f t="array" ref="W495">IF($A495="","",SUMPRODUCT((TRIM(tblDados[Mandante])=$A495)*tblDados[Primeira_Ocorrencia]*tblDados[GS_M]))</f>
        <v/>
      </c>
      <c r="X495" s="14" t="str" cm="1">
        <f t="array" ref="X495">IF($A495="","",SUMPRODUCT((TRIM(tblDados[Visitante])=$A495)*tblDados[Primeira_Ocorrencia]*tblDados[GS_V]))</f>
        <v/>
      </c>
      <c r="Y495" s="14" t="str">
        <f t="shared" si="151"/>
        <v/>
      </c>
      <c r="Z495" s="14" t="str">
        <f t="shared" si="140"/>
        <v/>
      </c>
      <c r="AA495" s="14" t="str">
        <f t="shared" si="141"/>
        <v/>
      </c>
      <c r="AB495" s="14" t="str">
        <f t="shared" si="142"/>
        <v/>
      </c>
      <c r="AC495" s="14" t="str">
        <f t="shared" si="143"/>
        <v/>
      </c>
      <c r="AD495" s="14" t="str">
        <f t="shared" si="144"/>
        <v/>
      </c>
    </row>
    <row r="496" spans="1:30" x14ac:dyDescent="0.3">
      <c r="B496" s="13" t="str" cm="1">
        <f t="array" ref="B496">IF($A496="","",_xlfn.LET(_xlpm.p,IFERROR(INDEX(tblDados[País],MATCH($A496,TRIM(tblDados[Mandante]),0)),INDEX(tblDados[País],MATCH($A496,TRIM(tblDados[Visitante]),0))),_xlpm.l,IFERROR(INDEX(tblDados[Liga],MATCH($A496,TRIM(tblDados[Mandante]),0)),INDEX(tblDados[Liga],MATCH($A496,TRIM(tblDados[Visitante]),0))),_xlpm.p&amp;" - "&amp;_xlpm.l))</f>
        <v/>
      </c>
      <c r="C496" s="14" t="str">
        <f t="shared" si="145"/>
        <v/>
      </c>
      <c r="D496" s="14" t="str">
        <f t="shared" si="146"/>
        <v/>
      </c>
      <c r="E496" s="15" t="str" cm="1">
        <f t="array" ref="E496">IF($A496="","",SUMPRODUCT((TRIM(tblDados[Mandante])=$A496)*tblDados[Primeira_Ocorrencia]))</f>
        <v/>
      </c>
      <c r="F496" s="15" t="str" cm="1">
        <f t="array" ref="F496">IF($A496="","",SUMPRODUCT((TRIM(tblDados[Visitante])=$A496)*tblDados[Primeira_Ocorrencia]))</f>
        <v/>
      </c>
      <c r="G496" s="15" t="str" cm="1">
        <f t="array" ref="G496">IF($A496="","",SUMPRODUCT((TRIM(tblDados[Mandante])=$A496)*tblDados[Primeira_Ocorrencia])+SUMPRODUCT((TRIM(tblDados[Visitante])=$A496)*tblDados[Primeira_Ocorrencia]))</f>
        <v/>
      </c>
      <c r="H496" s="14" t="str">
        <f t="shared" si="147"/>
        <v/>
      </c>
      <c r="I496" s="14" t="str" cm="1">
        <f t="array" ref="I496">IF($A496="","",_xlfn.LET(_xlpm.p,IFERROR(INDEX(tblDados[País],MATCH($A496,TRIM(tblDados[Mandante]),0)),INDEX(tblDados[País],MATCH($A496,TRIM(tblDados[Visitante]),0))),_xlpm.l,IFERROR(INDEX(tblDados[Liga],MATCH($A496,TRIM(tblDados[Mandante]),0)),INDEX(tblDados[Liga],MATCH($A496,TRIM(tblDados[Visitante]),0))),IFERROR(SUMIFS(Ligas!$D$2:$D$39,Ligas!$H$2:$H$39,_xlpm.p,Ligas!$I$2:$I$39,_xlpm.l),0)))</f>
        <v/>
      </c>
      <c r="J496" s="16" t="str" cm="1">
        <f t="array" ref="J496">IF($A496="","",IFERROR((SUMPRODUCT((TRIM(tblDados[Mandante])=$A496)*tblDados[Primeira_Ocorrencia]*(tblDados[GM_M]=0))+SUMPRODUCT((TRIM(tblDados[Visitante])=$A496)*tblDados[Primeira_Ocorrencia]*(tblDados[GM_V]=0)))/G496,0))</f>
        <v/>
      </c>
      <c r="K496" s="16" t="str" cm="1">
        <f t="array" ref="K496">IF($A496="","",IFERROR((SUMPRODUCT((TRIM(tblDados[Mandante])=$A496)*tblDados[Primeira_Ocorrencia]*((tblDados[GM_M]+tblDados[GS_M])&gt;0.5))+SUMPRODUCT((TRIM(tblDados[Visitante])=$A496)*tblDados[Primeira_Ocorrencia]*((tblDados[GM_V]+tblDados[GS_V])&gt;0.5)))/G496,0))</f>
        <v/>
      </c>
      <c r="L496" s="16" t="str" cm="1">
        <f t="array" ref="L496">IF($A496="","",IFERROR((SUMPRODUCT((TRIM(tblDados[Mandante])=$A496)*tblDados[Primeira_Ocorrencia]*((tblDados[GM_M]+tblDados[GS_M])&gt;1.5))+SUMPRODUCT((TRIM(tblDados[Visitante])=$A496)*tblDados[Primeira_Ocorrencia]*((tblDados[GM_V]+tblDados[GS_V])&gt;1.5)))/G496,0))</f>
        <v/>
      </c>
      <c r="M496" s="16" t="str" cm="1">
        <f t="array" ref="M496">IF($A496="","",IFERROR((SUMPRODUCT((TRIM(tblDados[Mandante])=$A496)*tblDados[Primeira_Ocorrencia]*((tblDados[GM_M]+tblDados[GS_M])&gt;2.5))+SUMPRODUCT((TRIM(tblDados[Visitante])=$A496)*tblDados[Primeira_Ocorrencia]*((tblDados[GM_V]+tblDados[GS_V])&gt;2.5)))/G496,0))</f>
        <v/>
      </c>
      <c r="N496" s="16" t="str" cm="1">
        <f t="array" ref="N496">IF($A496="","",IFERROR((SUMPRODUCT((TRIM(tblDados[Mandante])=$A496)*tblDados[Primeira_Ocorrencia]*((tblDados[GM_M]+tblDados[GS_M])&gt;3.5))+SUMPRODUCT((TRIM(tblDados[Visitante])=$A496)*tblDados[Primeira_Ocorrencia]*((tblDados[GM_V]+tblDados[GS_V])&gt;3.5)))/G496,0))</f>
        <v/>
      </c>
      <c r="O496" s="16" t="str" cm="1">
        <f t="array" ref="O496">IF($A496="","",IFERROR((SUMPRODUCT((TRIM(tblDados[Mandante])=$A496)*tblDados[Primeira_Ocorrencia]*(tblDados[GM_M]&gt;0)*(tblDados[GS_M]&gt;0))+SUMPRODUCT((TRIM(tblDados[Visitante])=$A496)*tblDados[Primeira_Ocorrencia]*(tblDados[GM_V]&gt;0)*(tblDados[GS_V]&gt;0)))/G496,0))</f>
        <v/>
      </c>
      <c r="P496" s="14" t="str" cm="1">
        <f t="array" ref="P496">IF($A496="","",IFERROR((SUMPRODUCT((TRIM(tblDados[Mandante])=$A496)*tblDados[Primeira_Ocorrencia]*tblDados[GM_M]^2)+SUMPRODUCT((TRIM(tblDados[Visitante])=$A496)*tblDados[Primeira_Ocorrencia]*tblDados[GM_V]^2))/G496-H496^2,0))</f>
        <v/>
      </c>
      <c r="Q496" s="14" t="str">
        <f t="shared" si="148"/>
        <v/>
      </c>
      <c r="R496" s="1" t="str">
        <f t="shared" si="149"/>
        <v/>
      </c>
      <c r="S496" s="14" t="str" cm="1">
        <f t="array" ref="S496">IF($A496="","",SUMPRODUCT((TRIM(tblDados[Mandante])=$A496)*tblDados[Primeira_Ocorrencia]*tblDados[GM_M]))</f>
        <v/>
      </c>
      <c r="T496" s="14" t="str" cm="1">
        <f t="array" ref="T496">IF($A496="","",SUMPRODUCT((TRIM(tblDados[Visitante])=$A496)*tblDados[Primeira_Ocorrencia]*tblDados[GM_V]))</f>
        <v/>
      </c>
      <c r="U496" s="14" t="str">
        <f t="shared" si="150"/>
        <v/>
      </c>
      <c r="V496" s="14" t="str">
        <f t="shared" si="139"/>
        <v/>
      </c>
      <c r="W496" s="14" t="str" cm="1">
        <f t="array" ref="W496">IF($A496="","",SUMPRODUCT((TRIM(tblDados[Mandante])=$A496)*tblDados[Primeira_Ocorrencia]*tblDados[GS_M]))</f>
        <v/>
      </c>
      <c r="X496" s="14" t="str" cm="1">
        <f t="array" ref="X496">IF($A496="","",SUMPRODUCT((TRIM(tblDados[Visitante])=$A496)*tblDados[Primeira_Ocorrencia]*tblDados[GS_V]))</f>
        <v/>
      </c>
      <c r="Y496" s="14" t="str">
        <f t="shared" si="151"/>
        <v/>
      </c>
      <c r="Z496" s="14" t="str">
        <f t="shared" si="140"/>
        <v/>
      </c>
      <c r="AA496" s="14" t="str">
        <f t="shared" si="141"/>
        <v/>
      </c>
      <c r="AB496" s="14" t="str">
        <f t="shared" si="142"/>
        <v/>
      </c>
      <c r="AC496" s="14" t="str">
        <f t="shared" si="143"/>
        <v/>
      </c>
      <c r="AD496" s="14" t="str">
        <f t="shared" si="144"/>
        <v/>
      </c>
    </row>
    <row r="497" spans="2:30" x14ac:dyDescent="0.3">
      <c r="B497" s="13" t="str" cm="1">
        <f t="array" ref="B497">IF($A497="","",_xlfn.LET(_xlpm.p,IFERROR(INDEX(tblDados[País],MATCH($A497,TRIM(tblDados[Mandante]),0)),INDEX(tblDados[País],MATCH($A497,TRIM(tblDados[Visitante]),0))),_xlpm.l,IFERROR(INDEX(tblDados[Liga],MATCH($A497,TRIM(tblDados[Mandante]),0)),INDEX(tblDados[Liga],MATCH($A497,TRIM(tblDados[Visitante]),0))),_xlpm.p&amp;" - "&amp;_xlpm.l))</f>
        <v/>
      </c>
      <c r="C497" s="14" t="str">
        <f t="shared" si="145"/>
        <v/>
      </c>
      <c r="D497" s="14" t="str">
        <f t="shared" si="146"/>
        <v/>
      </c>
      <c r="E497" s="15" t="str" cm="1">
        <f t="array" ref="E497">IF($A497="","",SUMPRODUCT((TRIM(tblDados[Mandante])=$A497)*tblDados[Primeira_Ocorrencia]))</f>
        <v/>
      </c>
      <c r="F497" s="15" t="str" cm="1">
        <f t="array" ref="F497">IF($A497="","",SUMPRODUCT((TRIM(tblDados[Visitante])=$A497)*tblDados[Primeira_Ocorrencia]))</f>
        <v/>
      </c>
      <c r="G497" s="15" t="str" cm="1">
        <f t="array" ref="G497">IF($A497="","",SUMPRODUCT((TRIM(tblDados[Mandante])=$A497)*tblDados[Primeira_Ocorrencia])+SUMPRODUCT((TRIM(tblDados[Visitante])=$A497)*tblDados[Primeira_Ocorrencia]))</f>
        <v/>
      </c>
      <c r="H497" s="14" t="str">
        <f t="shared" si="147"/>
        <v/>
      </c>
      <c r="I497" s="14" t="str" cm="1">
        <f t="array" ref="I497">IF($A497="","",_xlfn.LET(_xlpm.p,IFERROR(INDEX(tblDados[País],MATCH($A497,TRIM(tblDados[Mandante]),0)),INDEX(tblDados[País],MATCH($A497,TRIM(tblDados[Visitante]),0))),_xlpm.l,IFERROR(INDEX(tblDados[Liga],MATCH($A497,TRIM(tblDados[Mandante]),0)),INDEX(tblDados[Liga],MATCH($A497,TRIM(tblDados[Visitante]),0))),IFERROR(SUMIFS(Ligas!$D$2:$D$39,Ligas!$H$2:$H$39,_xlpm.p,Ligas!$I$2:$I$39,_xlpm.l),0)))</f>
        <v/>
      </c>
      <c r="J497" s="16" t="str" cm="1">
        <f t="array" ref="J497">IF($A497="","",IFERROR((SUMPRODUCT((TRIM(tblDados[Mandante])=$A497)*tblDados[Primeira_Ocorrencia]*(tblDados[GM_M]=0))+SUMPRODUCT((TRIM(tblDados[Visitante])=$A497)*tblDados[Primeira_Ocorrencia]*(tblDados[GM_V]=0)))/G497,0))</f>
        <v/>
      </c>
      <c r="K497" s="16" t="str" cm="1">
        <f t="array" ref="K497">IF($A497="","",IFERROR((SUMPRODUCT((TRIM(tblDados[Mandante])=$A497)*tblDados[Primeira_Ocorrencia]*((tblDados[GM_M]+tblDados[GS_M])&gt;0.5))+SUMPRODUCT((TRIM(tblDados[Visitante])=$A497)*tblDados[Primeira_Ocorrencia]*((tblDados[GM_V]+tblDados[GS_V])&gt;0.5)))/G497,0))</f>
        <v/>
      </c>
      <c r="L497" s="16" t="str" cm="1">
        <f t="array" ref="L497">IF($A497="","",IFERROR((SUMPRODUCT((TRIM(tblDados[Mandante])=$A497)*tblDados[Primeira_Ocorrencia]*((tblDados[GM_M]+tblDados[GS_M])&gt;1.5))+SUMPRODUCT((TRIM(tblDados[Visitante])=$A497)*tblDados[Primeira_Ocorrencia]*((tblDados[GM_V]+tblDados[GS_V])&gt;1.5)))/G497,0))</f>
        <v/>
      </c>
      <c r="M497" s="16" t="str" cm="1">
        <f t="array" ref="M497">IF($A497="","",IFERROR((SUMPRODUCT((TRIM(tblDados[Mandante])=$A497)*tblDados[Primeira_Ocorrencia]*((tblDados[GM_M]+tblDados[GS_M])&gt;2.5))+SUMPRODUCT((TRIM(tblDados[Visitante])=$A497)*tblDados[Primeira_Ocorrencia]*((tblDados[GM_V]+tblDados[GS_V])&gt;2.5)))/G497,0))</f>
        <v/>
      </c>
      <c r="N497" s="16" t="str" cm="1">
        <f t="array" ref="N497">IF($A497="","",IFERROR((SUMPRODUCT((TRIM(tblDados[Mandante])=$A497)*tblDados[Primeira_Ocorrencia]*((tblDados[GM_M]+tblDados[GS_M])&gt;3.5))+SUMPRODUCT((TRIM(tblDados[Visitante])=$A497)*tblDados[Primeira_Ocorrencia]*((tblDados[GM_V]+tblDados[GS_V])&gt;3.5)))/G497,0))</f>
        <v/>
      </c>
      <c r="O497" s="16" t="str" cm="1">
        <f t="array" ref="O497">IF($A497="","",IFERROR((SUMPRODUCT((TRIM(tblDados[Mandante])=$A497)*tblDados[Primeira_Ocorrencia]*(tblDados[GM_M]&gt;0)*(tblDados[GS_M]&gt;0))+SUMPRODUCT((TRIM(tblDados[Visitante])=$A497)*tblDados[Primeira_Ocorrencia]*(tblDados[GM_V]&gt;0)*(tblDados[GS_V]&gt;0)))/G497,0))</f>
        <v/>
      </c>
      <c r="P497" s="14" t="str" cm="1">
        <f t="array" ref="P497">IF($A497="","",IFERROR((SUMPRODUCT((TRIM(tblDados[Mandante])=$A497)*tblDados[Primeira_Ocorrencia]*tblDados[GM_M]^2)+SUMPRODUCT((TRIM(tblDados[Visitante])=$A497)*tblDados[Primeira_Ocorrencia]*tblDados[GM_V]^2))/G497-H497^2,0))</f>
        <v/>
      </c>
      <c r="Q497" s="14" t="str">
        <f t="shared" si="148"/>
        <v/>
      </c>
      <c r="R497" s="1" t="str">
        <f t="shared" si="149"/>
        <v/>
      </c>
      <c r="S497" s="14" t="str" cm="1">
        <f t="array" ref="S497">IF($A497="","",SUMPRODUCT((TRIM(tblDados[Mandante])=$A497)*tblDados[Primeira_Ocorrencia]*tblDados[GM_M]))</f>
        <v/>
      </c>
      <c r="T497" s="14" t="str" cm="1">
        <f t="array" ref="T497">IF($A497="","",SUMPRODUCT((TRIM(tblDados[Visitante])=$A497)*tblDados[Primeira_Ocorrencia]*tblDados[GM_V]))</f>
        <v/>
      </c>
      <c r="U497" s="14" t="str">
        <f t="shared" si="150"/>
        <v/>
      </c>
      <c r="V497" s="14" t="str">
        <f t="shared" si="139"/>
        <v/>
      </c>
      <c r="W497" s="14" t="str" cm="1">
        <f t="array" ref="W497">IF($A497="","",SUMPRODUCT((TRIM(tblDados[Mandante])=$A497)*tblDados[Primeira_Ocorrencia]*tblDados[GS_M]))</f>
        <v/>
      </c>
      <c r="X497" s="14" t="str" cm="1">
        <f t="array" ref="X497">IF($A497="","",SUMPRODUCT((TRIM(tblDados[Visitante])=$A497)*tblDados[Primeira_Ocorrencia]*tblDados[GS_V]))</f>
        <v/>
      </c>
      <c r="Y497" s="14" t="str">
        <f t="shared" si="151"/>
        <v/>
      </c>
      <c r="Z497" s="14" t="str">
        <f t="shared" si="140"/>
        <v/>
      </c>
      <c r="AA497" s="14" t="str">
        <f t="shared" si="141"/>
        <v/>
      </c>
      <c r="AB497" s="14" t="str">
        <f t="shared" si="142"/>
        <v/>
      </c>
      <c r="AC497" s="14" t="str">
        <f t="shared" si="143"/>
        <v/>
      </c>
      <c r="AD497" s="14" t="str">
        <f t="shared" si="144"/>
        <v/>
      </c>
    </row>
    <row r="498" spans="2:30" x14ac:dyDescent="0.3">
      <c r="B498" s="13" t="str" cm="1">
        <f t="array" ref="B498">IF($A498="","",_xlfn.LET(_xlpm.p,IFERROR(INDEX(tblDados[País],MATCH($A498,TRIM(tblDados[Mandante]),0)),INDEX(tblDados[País],MATCH($A498,TRIM(tblDados[Visitante]),0))),_xlpm.l,IFERROR(INDEX(tblDados[Liga],MATCH($A498,TRIM(tblDados[Mandante]),0)),INDEX(tblDados[Liga],MATCH($A498,TRIM(tblDados[Visitante]),0))),_xlpm.p&amp;" - "&amp;_xlpm.l))</f>
        <v/>
      </c>
      <c r="C498" s="14" t="str">
        <f t="shared" si="145"/>
        <v/>
      </c>
      <c r="D498" s="14" t="str">
        <f t="shared" si="146"/>
        <v/>
      </c>
      <c r="E498" s="15" t="str" cm="1">
        <f t="array" ref="E498">IF($A498="","",SUMPRODUCT((TRIM(tblDados[Mandante])=$A498)*tblDados[Primeira_Ocorrencia]))</f>
        <v/>
      </c>
      <c r="F498" s="15" t="str" cm="1">
        <f t="array" ref="F498">IF($A498="","",SUMPRODUCT((TRIM(tblDados[Visitante])=$A498)*tblDados[Primeira_Ocorrencia]))</f>
        <v/>
      </c>
      <c r="G498" s="15" t="str" cm="1">
        <f t="array" ref="G498">IF($A498="","",SUMPRODUCT((TRIM(tblDados[Mandante])=$A498)*tblDados[Primeira_Ocorrencia])+SUMPRODUCT((TRIM(tblDados[Visitante])=$A498)*tblDados[Primeira_Ocorrencia]))</f>
        <v/>
      </c>
      <c r="H498" s="14" t="str">
        <f t="shared" si="147"/>
        <v/>
      </c>
      <c r="I498" s="14" t="str" cm="1">
        <f t="array" ref="I498">IF($A498="","",_xlfn.LET(_xlpm.p,IFERROR(INDEX(tblDados[País],MATCH($A498,TRIM(tblDados[Mandante]),0)),INDEX(tblDados[País],MATCH($A498,TRIM(tblDados[Visitante]),0))),_xlpm.l,IFERROR(INDEX(tblDados[Liga],MATCH($A498,TRIM(tblDados[Mandante]),0)),INDEX(tblDados[Liga],MATCH($A498,TRIM(tblDados[Visitante]),0))),IFERROR(SUMIFS(Ligas!$D$2:$D$39,Ligas!$H$2:$H$39,_xlpm.p,Ligas!$I$2:$I$39,_xlpm.l),0)))</f>
        <v/>
      </c>
      <c r="J498" s="16" t="str" cm="1">
        <f t="array" ref="J498">IF($A498="","",IFERROR((SUMPRODUCT((TRIM(tblDados[Mandante])=$A498)*tblDados[Primeira_Ocorrencia]*(tblDados[GM_M]=0))+SUMPRODUCT((TRIM(tblDados[Visitante])=$A498)*tblDados[Primeira_Ocorrencia]*(tblDados[GM_V]=0)))/G498,0))</f>
        <v/>
      </c>
      <c r="K498" s="16" t="str" cm="1">
        <f t="array" ref="K498">IF($A498="","",IFERROR((SUMPRODUCT((TRIM(tblDados[Mandante])=$A498)*tblDados[Primeira_Ocorrencia]*((tblDados[GM_M]+tblDados[GS_M])&gt;0.5))+SUMPRODUCT((TRIM(tblDados[Visitante])=$A498)*tblDados[Primeira_Ocorrencia]*((tblDados[GM_V]+tblDados[GS_V])&gt;0.5)))/G498,0))</f>
        <v/>
      </c>
      <c r="L498" s="16" t="str" cm="1">
        <f t="array" ref="L498">IF($A498="","",IFERROR((SUMPRODUCT((TRIM(tblDados[Mandante])=$A498)*tblDados[Primeira_Ocorrencia]*((tblDados[GM_M]+tblDados[GS_M])&gt;1.5))+SUMPRODUCT((TRIM(tblDados[Visitante])=$A498)*tblDados[Primeira_Ocorrencia]*((tblDados[GM_V]+tblDados[GS_V])&gt;1.5)))/G498,0))</f>
        <v/>
      </c>
      <c r="M498" s="16" t="str" cm="1">
        <f t="array" ref="M498">IF($A498="","",IFERROR((SUMPRODUCT((TRIM(tblDados[Mandante])=$A498)*tblDados[Primeira_Ocorrencia]*((tblDados[GM_M]+tblDados[GS_M])&gt;2.5))+SUMPRODUCT((TRIM(tblDados[Visitante])=$A498)*tblDados[Primeira_Ocorrencia]*((tblDados[GM_V]+tblDados[GS_V])&gt;2.5)))/G498,0))</f>
        <v/>
      </c>
      <c r="N498" s="16" t="str" cm="1">
        <f t="array" ref="N498">IF($A498="","",IFERROR((SUMPRODUCT((TRIM(tblDados[Mandante])=$A498)*tblDados[Primeira_Ocorrencia]*((tblDados[GM_M]+tblDados[GS_M])&gt;3.5))+SUMPRODUCT((TRIM(tblDados[Visitante])=$A498)*tblDados[Primeira_Ocorrencia]*((tblDados[GM_V]+tblDados[GS_V])&gt;3.5)))/G498,0))</f>
        <v/>
      </c>
      <c r="O498" s="16" t="str" cm="1">
        <f t="array" ref="O498">IF($A498="","",IFERROR((SUMPRODUCT((TRIM(tblDados[Mandante])=$A498)*tblDados[Primeira_Ocorrencia]*(tblDados[GM_M]&gt;0)*(tblDados[GS_M]&gt;0))+SUMPRODUCT((TRIM(tblDados[Visitante])=$A498)*tblDados[Primeira_Ocorrencia]*(tblDados[GM_V]&gt;0)*(tblDados[GS_V]&gt;0)))/G498,0))</f>
        <v/>
      </c>
      <c r="P498" s="14" t="str" cm="1">
        <f t="array" ref="P498">IF($A498="","",IFERROR((SUMPRODUCT((TRIM(tblDados[Mandante])=$A498)*tblDados[Primeira_Ocorrencia]*tblDados[GM_M]^2)+SUMPRODUCT((TRIM(tblDados[Visitante])=$A498)*tblDados[Primeira_Ocorrencia]*tblDados[GM_V]^2))/G498-H498^2,0))</f>
        <v/>
      </c>
      <c r="Q498" s="14" t="str">
        <f t="shared" si="148"/>
        <v/>
      </c>
      <c r="R498" s="1" t="str">
        <f t="shared" si="149"/>
        <v/>
      </c>
      <c r="S498" s="14" t="str" cm="1">
        <f t="array" ref="S498">IF($A498="","",SUMPRODUCT((TRIM(tblDados[Mandante])=$A498)*tblDados[Primeira_Ocorrencia]*tblDados[GM_M]))</f>
        <v/>
      </c>
      <c r="T498" s="14" t="str" cm="1">
        <f t="array" ref="T498">IF($A498="","",SUMPRODUCT((TRIM(tblDados[Visitante])=$A498)*tblDados[Primeira_Ocorrencia]*tblDados[GM_V]))</f>
        <v/>
      </c>
      <c r="U498" s="14" t="str">
        <f t="shared" si="150"/>
        <v/>
      </c>
      <c r="V498" s="14" t="str">
        <f t="shared" si="139"/>
        <v/>
      </c>
      <c r="W498" s="14" t="str" cm="1">
        <f t="array" ref="W498">IF($A498="","",SUMPRODUCT((TRIM(tblDados[Mandante])=$A498)*tblDados[Primeira_Ocorrencia]*tblDados[GS_M]))</f>
        <v/>
      </c>
      <c r="X498" s="14" t="str" cm="1">
        <f t="array" ref="X498">IF($A498="","",SUMPRODUCT((TRIM(tblDados[Visitante])=$A498)*tblDados[Primeira_Ocorrencia]*tblDados[GS_V]))</f>
        <v/>
      </c>
      <c r="Y498" s="14" t="str">
        <f t="shared" si="151"/>
        <v/>
      </c>
      <c r="Z498" s="14" t="str">
        <f t="shared" si="140"/>
        <v/>
      </c>
      <c r="AA498" s="14" t="str">
        <f t="shared" si="141"/>
        <v/>
      </c>
      <c r="AB498" s="14" t="str">
        <f t="shared" si="142"/>
        <v/>
      </c>
      <c r="AC498" s="14" t="str">
        <f t="shared" si="143"/>
        <v/>
      </c>
      <c r="AD498" s="14" t="str">
        <f t="shared" si="144"/>
        <v/>
      </c>
    </row>
    <row r="499" spans="2:30" x14ac:dyDescent="0.3">
      <c r="B499" s="13" t="str" cm="1">
        <f t="array" ref="B499">IF($A499="","",_xlfn.LET(_xlpm.p,IFERROR(INDEX(tblDados[País],MATCH($A499,TRIM(tblDados[Mandante]),0)),INDEX(tblDados[País],MATCH($A499,TRIM(tblDados[Visitante]),0))),_xlpm.l,IFERROR(INDEX(tblDados[Liga],MATCH($A499,TRIM(tblDados[Mandante]),0)),INDEX(tblDados[Liga],MATCH($A499,TRIM(tblDados[Visitante]),0))),_xlpm.p&amp;" - "&amp;_xlpm.l))</f>
        <v/>
      </c>
      <c r="C499" s="14" t="str">
        <f t="shared" si="145"/>
        <v/>
      </c>
      <c r="D499" s="14" t="str">
        <f t="shared" si="146"/>
        <v/>
      </c>
      <c r="E499" s="15" t="str" cm="1">
        <f t="array" ref="E499">IF($A499="","",SUMPRODUCT((TRIM(tblDados[Mandante])=$A499)*tblDados[Primeira_Ocorrencia]))</f>
        <v/>
      </c>
      <c r="F499" s="15" t="str" cm="1">
        <f t="array" ref="F499">IF($A499="","",SUMPRODUCT((TRIM(tblDados[Visitante])=$A499)*tblDados[Primeira_Ocorrencia]))</f>
        <v/>
      </c>
      <c r="G499" s="15" t="str" cm="1">
        <f t="array" ref="G499">IF($A499="","",SUMPRODUCT((TRIM(tblDados[Mandante])=$A499)*tblDados[Primeira_Ocorrencia])+SUMPRODUCT((TRIM(tblDados[Visitante])=$A499)*tblDados[Primeira_Ocorrencia]))</f>
        <v/>
      </c>
      <c r="H499" s="14" t="str">
        <f t="shared" si="147"/>
        <v/>
      </c>
      <c r="I499" s="14" t="str" cm="1">
        <f t="array" ref="I499">IF($A499="","",_xlfn.LET(_xlpm.p,IFERROR(INDEX(tblDados[País],MATCH($A499,TRIM(tblDados[Mandante]),0)),INDEX(tblDados[País],MATCH($A499,TRIM(tblDados[Visitante]),0))),_xlpm.l,IFERROR(INDEX(tblDados[Liga],MATCH($A499,TRIM(tblDados[Mandante]),0)),INDEX(tblDados[Liga],MATCH($A499,TRIM(tblDados[Visitante]),0))),IFERROR(SUMIFS(Ligas!$D$2:$D$39,Ligas!$H$2:$H$39,_xlpm.p,Ligas!$I$2:$I$39,_xlpm.l),0)))</f>
        <v/>
      </c>
      <c r="J499" s="16" t="str" cm="1">
        <f t="array" ref="J499">IF($A499="","",IFERROR((SUMPRODUCT((TRIM(tblDados[Mandante])=$A499)*tblDados[Primeira_Ocorrencia]*(tblDados[GM_M]=0))+SUMPRODUCT((TRIM(tblDados[Visitante])=$A499)*tblDados[Primeira_Ocorrencia]*(tblDados[GM_V]=0)))/G499,0))</f>
        <v/>
      </c>
      <c r="K499" s="16" t="str" cm="1">
        <f t="array" ref="K499">IF($A499="","",IFERROR((SUMPRODUCT((TRIM(tblDados[Mandante])=$A499)*tblDados[Primeira_Ocorrencia]*((tblDados[GM_M]+tblDados[GS_M])&gt;0.5))+SUMPRODUCT((TRIM(tblDados[Visitante])=$A499)*tblDados[Primeira_Ocorrencia]*((tblDados[GM_V]+tblDados[GS_V])&gt;0.5)))/G499,0))</f>
        <v/>
      </c>
      <c r="L499" s="16" t="str" cm="1">
        <f t="array" ref="L499">IF($A499="","",IFERROR((SUMPRODUCT((TRIM(tblDados[Mandante])=$A499)*tblDados[Primeira_Ocorrencia]*((tblDados[GM_M]+tblDados[GS_M])&gt;1.5))+SUMPRODUCT((TRIM(tblDados[Visitante])=$A499)*tblDados[Primeira_Ocorrencia]*((tblDados[GM_V]+tblDados[GS_V])&gt;1.5)))/G499,0))</f>
        <v/>
      </c>
      <c r="M499" s="16" t="str" cm="1">
        <f t="array" ref="M499">IF($A499="","",IFERROR((SUMPRODUCT((TRIM(tblDados[Mandante])=$A499)*tblDados[Primeira_Ocorrencia]*((tblDados[GM_M]+tblDados[GS_M])&gt;2.5))+SUMPRODUCT((TRIM(tblDados[Visitante])=$A499)*tblDados[Primeira_Ocorrencia]*((tblDados[GM_V]+tblDados[GS_V])&gt;2.5)))/G499,0))</f>
        <v/>
      </c>
      <c r="N499" s="16" t="str" cm="1">
        <f t="array" ref="N499">IF($A499="","",IFERROR((SUMPRODUCT((TRIM(tblDados[Mandante])=$A499)*tblDados[Primeira_Ocorrencia]*((tblDados[GM_M]+tblDados[GS_M])&gt;3.5))+SUMPRODUCT((TRIM(tblDados[Visitante])=$A499)*tblDados[Primeira_Ocorrencia]*((tblDados[GM_V]+tblDados[GS_V])&gt;3.5)))/G499,0))</f>
        <v/>
      </c>
      <c r="O499" s="16" t="str" cm="1">
        <f t="array" ref="O499">IF($A499="","",IFERROR((SUMPRODUCT((TRIM(tblDados[Mandante])=$A499)*tblDados[Primeira_Ocorrencia]*(tblDados[GM_M]&gt;0)*(tblDados[GS_M]&gt;0))+SUMPRODUCT((TRIM(tblDados[Visitante])=$A499)*tblDados[Primeira_Ocorrencia]*(tblDados[GM_V]&gt;0)*(tblDados[GS_V]&gt;0)))/G499,0))</f>
        <v/>
      </c>
      <c r="P499" s="14" t="str" cm="1">
        <f t="array" ref="P499">IF($A499="","",IFERROR((SUMPRODUCT((TRIM(tblDados[Mandante])=$A499)*tblDados[Primeira_Ocorrencia]*tblDados[GM_M]^2)+SUMPRODUCT((TRIM(tblDados[Visitante])=$A499)*tblDados[Primeira_Ocorrencia]*tblDados[GM_V]^2))/G499-H499^2,0))</f>
        <v/>
      </c>
      <c r="Q499" s="14" t="str">
        <f t="shared" si="148"/>
        <v/>
      </c>
      <c r="R499" s="1" t="str">
        <f t="shared" si="149"/>
        <v/>
      </c>
      <c r="S499" s="14" t="str" cm="1">
        <f t="array" ref="S499">IF($A499="","",SUMPRODUCT((TRIM(tblDados[Mandante])=$A499)*tblDados[Primeira_Ocorrencia]*tblDados[GM_M]))</f>
        <v/>
      </c>
      <c r="T499" s="14" t="str" cm="1">
        <f t="array" ref="T499">IF($A499="","",SUMPRODUCT((TRIM(tblDados[Visitante])=$A499)*tblDados[Primeira_Ocorrencia]*tblDados[GM_V]))</f>
        <v/>
      </c>
      <c r="U499" s="14" t="str">
        <f t="shared" si="150"/>
        <v/>
      </c>
      <c r="V499" s="14" t="str">
        <f t="shared" si="139"/>
        <v/>
      </c>
      <c r="W499" s="14" t="str" cm="1">
        <f t="array" ref="W499">IF($A499="","",SUMPRODUCT((TRIM(tblDados[Mandante])=$A499)*tblDados[Primeira_Ocorrencia]*tblDados[GS_M]))</f>
        <v/>
      </c>
      <c r="X499" s="14" t="str" cm="1">
        <f t="array" ref="X499">IF($A499="","",SUMPRODUCT((TRIM(tblDados[Visitante])=$A499)*tblDados[Primeira_Ocorrencia]*tblDados[GS_V]))</f>
        <v/>
      </c>
      <c r="Y499" s="14" t="str">
        <f t="shared" si="151"/>
        <v/>
      </c>
      <c r="Z499" s="14" t="str">
        <f t="shared" si="140"/>
        <v/>
      </c>
      <c r="AA499" s="14" t="str">
        <f t="shared" si="141"/>
        <v/>
      </c>
      <c r="AB499" s="14" t="str">
        <f t="shared" si="142"/>
        <v/>
      </c>
      <c r="AC499" s="14" t="str">
        <f t="shared" si="143"/>
        <v/>
      </c>
      <c r="AD499" s="14" t="str">
        <f t="shared" si="144"/>
        <v/>
      </c>
    </row>
    <row r="500" spans="2:30" x14ac:dyDescent="0.3">
      <c r="B500" s="13" t="str" cm="1">
        <f t="array" ref="B500">IF($A500="","",_xlfn.LET(_xlpm.p,IFERROR(INDEX(tblDados[País],MATCH($A500,TRIM(tblDados[Mandante]),0)),INDEX(tblDados[País],MATCH($A500,TRIM(tblDados[Visitante]),0))),_xlpm.l,IFERROR(INDEX(tblDados[Liga],MATCH($A500,TRIM(tblDados[Mandante]),0)),INDEX(tblDados[Liga],MATCH($A500,TRIM(tblDados[Visitante]),0))),_xlpm.p&amp;" - "&amp;_xlpm.l))</f>
        <v/>
      </c>
      <c r="C500" s="14" t="str">
        <f t="shared" si="145"/>
        <v/>
      </c>
      <c r="D500" s="14" t="str">
        <f t="shared" si="146"/>
        <v/>
      </c>
      <c r="E500" s="15" t="str" cm="1">
        <f t="array" ref="E500">IF($A500="","",SUMPRODUCT((TRIM(tblDados[Mandante])=$A500)*tblDados[Primeira_Ocorrencia]))</f>
        <v/>
      </c>
      <c r="F500" s="15" t="str" cm="1">
        <f t="array" ref="F500">IF($A500="","",SUMPRODUCT((TRIM(tblDados[Visitante])=$A500)*tblDados[Primeira_Ocorrencia]))</f>
        <v/>
      </c>
      <c r="G500" s="15" t="str" cm="1">
        <f t="array" ref="G500">IF($A500="","",SUMPRODUCT((TRIM(tblDados[Mandante])=$A500)*tblDados[Primeira_Ocorrencia])+SUMPRODUCT((TRIM(tblDados[Visitante])=$A500)*tblDados[Primeira_Ocorrencia]))</f>
        <v/>
      </c>
      <c r="H500" s="14" t="str">
        <f t="shared" si="147"/>
        <v/>
      </c>
      <c r="I500" s="14" t="str" cm="1">
        <f t="array" ref="I500">IF($A500="","",_xlfn.LET(_xlpm.p,IFERROR(INDEX(tblDados[País],MATCH($A500,TRIM(tblDados[Mandante]),0)),INDEX(tblDados[País],MATCH($A500,TRIM(tblDados[Visitante]),0))),_xlpm.l,IFERROR(INDEX(tblDados[Liga],MATCH($A500,TRIM(tblDados[Mandante]),0)),INDEX(tblDados[Liga],MATCH($A500,TRIM(tblDados[Visitante]),0))),IFERROR(SUMIFS(Ligas!$D$2:$D$39,Ligas!$H$2:$H$39,_xlpm.p,Ligas!$I$2:$I$39,_xlpm.l),0)))</f>
        <v/>
      </c>
      <c r="J500" s="16" t="str" cm="1">
        <f t="array" ref="J500">IF($A500="","",IFERROR((SUMPRODUCT((TRIM(tblDados[Mandante])=$A500)*tblDados[Primeira_Ocorrencia]*(tblDados[GM_M]=0))+SUMPRODUCT((TRIM(tblDados[Visitante])=$A500)*tblDados[Primeira_Ocorrencia]*(tblDados[GM_V]=0)))/G500,0))</f>
        <v/>
      </c>
      <c r="K500" s="16" t="str" cm="1">
        <f t="array" ref="K500">IF($A500="","",IFERROR((SUMPRODUCT((TRIM(tblDados[Mandante])=$A500)*tblDados[Primeira_Ocorrencia]*((tblDados[GM_M]+tblDados[GS_M])&gt;0.5))+SUMPRODUCT((TRIM(tblDados[Visitante])=$A500)*tblDados[Primeira_Ocorrencia]*((tblDados[GM_V]+tblDados[GS_V])&gt;0.5)))/G500,0))</f>
        <v/>
      </c>
      <c r="L500" s="16" t="str" cm="1">
        <f t="array" ref="L500">IF($A500="","",IFERROR((SUMPRODUCT((TRIM(tblDados[Mandante])=$A500)*tblDados[Primeira_Ocorrencia]*((tblDados[GM_M]+tblDados[GS_M])&gt;1.5))+SUMPRODUCT((TRIM(tblDados[Visitante])=$A500)*tblDados[Primeira_Ocorrencia]*((tblDados[GM_V]+tblDados[GS_V])&gt;1.5)))/G500,0))</f>
        <v/>
      </c>
      <c r="M500" s="16" t="str" cm="1">
        <f t="array" ref="M500">IF($A500="","",IFERROR((SUMPRODUCT((TRIM(tblDados[Mandante])=$A500)*tblDados[Primeira_Ocorrencia]*((tblDados[GM_M]+tblDados[GS_M])&gt;2.5))+SUMPRODUCT((TRIM(tblDados[Visitante])=$A500)*tblDados[Primeira_Ocorrencia]*((tblDados[GM_V]+tblDados[GS_V])&gt;2.5)))/G500,0))</f>
        <v/>
      </c>
      <c r="N500" s="16" t="str" cm="1">
        <f t="array" ref="N500">IF($A500="","",IFERROR((SUMPRODUCT((TRIM(tblDados[Mandante])=$A500)*tblDados[Primeira_Ocorrencia]*((tblDados[GM_M]+tblDados[GS_M])&gt;3.5))+SUMPRODUCT((TRIM(tblDados[Visitante])=$A500)*tblDados[Primeira_Ocorrencia]*((tblDados[GM_V]+tblDados[GS_V])&gt;3.5)))/G500,0))</f>
        <v/>
      </c>
      <c r="O500" s="16" t="str" cm="1">
        <f t="array" ref="O500">IF($A500="","",IFERROR((SUMPRODUCT((TRIM(tblDados[Mandante])=$A500)*tblDados[Primeira_Ocorrencia]*(tblDados[GM_M]&gt;0)*(tblDados[GS_M]&gt;0))+SUMPRODUCT((TRIM(tblDados[Visitante])=$A500)*tblDados[Primeira_Ocorrencia]*(tblDados[GM_V]&gt;0)*(tblDados[GS_V]&gt;0)))/G500,0))</f>
        <v/>
      </c>
      <c r="P500" s="14" t="str" cm="1">
        <f t="array" ref="P500">IF($A500="","",IFERROR((SUMPRODUCT((TRIM(tblDados[Mandante])=$A500)*tblDados[Primeira_Ocorrencia]*tblDados[GM_M]^2)+SUMPRODUCT((TRIM(tblDados[Visitante])=$A500)*tblDados[Primeira_Ocorrencia]*tblDados[GM_V]^2))/G500-H500^2,0))</f>
        <v/>
      </c>
      <c r="Q500" s="14" t="str">
        <f t="shared" si="148"/>
        <v/>
      </c>
      <c r="R500" s="1" t="str">
        <f t="shared" si="149"/>
        <v/>
      </c>
      <c r="S500" s="14" t="str" cm="1">
        <f t="array" ref="S500">IF($A500="","",SUMPRODUCT((TRIM(tblDados[Mandante])=$A500)*tblDados[Primeira_Ocorrencia]*tblDados[GM_M]))</f>
        <v/>
      </c>
      <c r="T500" s="14" t="str" cm="1">
        <f t="array" ref="T500">IF($A500="","",SUMPRODUCT((TRIM(tblDados[Visitante])=$A500)*tblDados[Primeira_Ocorrencia]*tblDados[GM_V]))</f>
        <v/>
      </c>
      <c r="U500" s="14" t="str">
        <f t="shared" si="150"/>
        <v/>
      </c>
      <c r="V500" s="14" t="str">
        <f t="shared" si="139"/>
        <v/>
      </c>
      <c r="W500" s="14" t="str" cm="1">
        <f t="array" ref="W500">IF($A500="","",SUMPRODUCT((TRIM(tblDados[Mandante])=$A500)*tblDados[Primeira_Ocorrencia]*tblDados[GS_M]))</f>
        <v/>
      </c>
      <c r="X500" s="14" t="str" cm="1">
        <f t="array" ref="X500">IF($A500="","",SUMPRODUCT((TRIM(tblDados[Visitante])=$A500)*tblDados[Primeira_Ocorrencia]*tblDados[GS_V]))</f>
        <v/>
      </c>
      <c r="Y500" s="14" t="str">
        <f t="shared" si="151"/>
        <v/>
      </c>
      <c r="Z500" s="14" t="str">
        <f t="shared" si="140"/>
        <v/>
      </c>
      <c r="AA500" s="14" t="str">
        <f t="shared" si="141"/>
        <v/>
      </c>
      <c r="AB500" s="14" t="str">
        <f t="shared" si="142"/>
        <v/>
      </c>
      <c r="AC500" s="14" t="str">
        <f t="shared" si="143"/>
        <v/>
      </c>
      <c r="AD500" s="14" t="str">
        <f t="shared" si="144"/>
        <v/>
      </c>
    </row>
    <row r="501" spans="2:30" x14ac:dyDescent="0.3">
      <c r="B501" s="13" t="str" cm="1">
        <f t="array" ref="B501">IF($A501="","",_xlfn.LET(_xlpm.p,IFERROR(INDEX(tblDados[País],MATCH($A501,TRIM(tblDados[Mandante]),0)),INDEX(tblDados[País],MATCH($A501,TRIM(tblDados[Visitante]),0))),_xlpm.l,IFERROR(INDEX(tblDados[Liga],MATCH($A501,TRIM(tblDados[Mandante]),0)),INDEX(tblDados[Liga],MATCH($A501,TRIM(tblDados[Visitante]),0))),_xlpm.p&amp;" - "&amp;_xlpm.l))</f>
        <v/>
      </c>
      <c r="C501" s="14" t="str">
        <f t="shared" si="145"/>
        <v/>
      </c>
      <c r="D501" s="14" t="str">
        <f t="shared" si="146"/>
        <v/>
      </c>
      <c r="E501" s="15" t="str" cm="1">
        <f t="array" ref="E501">IF($A501="","",SUMPRODUCT((TRIM(tblDados[Mandante])=$A501)*tblDados[Primeira_Ocorrencia]))</f>
        <v/>
      </c>
      <c r="F501" s="15" t="str" cm="1">
        <f t="array" ref="F501">IF($A501="","",SUMPRODUCT((TRIM(tblDados[Visitante])=$A501)*tblDados[Primeira_Ocorrencia]))</f>
        <v/>
      </c>
      <c r="G501" s="15" t="str" cm="1">
        <f t="array" ref="G501">IF($A501="","",SUMPRODUCT((TRIM(tblDados[Mandante])=$A501)*tblDados[Primeira_Ocorrencia])+SUMPRODUCT((TRIM(tblDados[Visitante])=$A501)*tblDados[Primeira_Ocorrencia]))</f>
        <v/>
      </c>
      <c r="H501" s="14" t="str">
        <f t="shared" si="147"/>
        <v/>
      </c>
      <c r="I501" s="14" t="str" cm="1">
        <f t="array" ref="I501">IF($A501="","",_xlfn.LET(_xlpm.p,IFERROR(INDEX(tblDados[País],MATCH($A501,TRIM(tblDados[Mandante]),0)),INDEX(tblDados[País],MATCH($A501,TRIM(tblDados[Visitante]),0))),_xlpm.l,IFERROR(INDEX(tblDados[Liga],MATCH($A501,TRIM(tblDados[Mandante]),0)),INDEX(tblDados[Liga],MATCH($A501,TRIM(tblDados[Visitante]),0))),IFERROR(SUMIFS(Ligas!$D$2:$D$39,Ligas!$H$2:$H$39,_xlpm.p,Ligas!$I$2:$I$39,_xlpm.l),0)))</f>
        <v/>
      </c>
      <c r="J501" s="16" t="str" cm="1">
        <f t="array" ref="J501">IF($A501="","",IFERROR((SUMPRODUCT((TRIM(tblDados[Mandante])=$A501)*tblDados[Primeira_Ocorrencia]*(tblDados[GM_M]=0))+SUMPRODUCT((TRIM(tblDados[Visitante])=$A501)*tblDados[Primeira_Ocorrencia]*(tblDados[GM_V]=0)))/G501,0))</f>
        <v/>
      </c>
      <c r="K501" s="16" t="str" cm="1">
        <f t="array" ref="K501">IF($A501="","",IFERROR((SUMPRODUCT((TRIM(tblDados[Mandante])=$A501)*tblDados[Primeira_Ocorrencia]*((tblDados[GM_M]+tblDados[GS_M])&gt;0.5))+SUMPRODUCT((TRIM(tblDados[Visitante])=$A501)*tblDados[Primeira_Ocorrencia]*((tblDados[GM_V]+tblDados[GS_V])&gt;0.5)))/G501,0))</f>
        <v/>
      </c>
      <c r="L501" s="16" t="str" cm="1">
        <f t="array" ref="L501">IF($A501="","",IFERROR((SUMPRODUCT((TRIM(tblDados[Mandante])=$A501)*tblDados[Primeira_Ocorrencia]*((tblDados[GM_M]+tblDados[GS_M])&gt;1.5))+SUMPRODUCT((TRIM(tblDados[Visitante])=$A501)*tblDados[Primeira_Ocorrencia]*((tblDados[GM_V]+tblDados[GS_V])&gt;1.5)))/G501,0))</f>
        <v/>
      </c>
      <c r="M501" s="16" t="str" cm="1">
        <f t="array" ref="M501">IF($A501="","",IFERROR((SUMPRODUCT((TRIM(tblDados[Mandante])=$A501)*tblDados[Primeira_Ocorrencia]*((tblDados[GM_M]+tblDados[GS_M])&gt;2.5))+SUMPRODUCT((TRIM(tblDados[Visitante])=$A501)*tblDados[Primeira_Ocorrencia]*((tblDados[GM_V]+tblDados[GS_V])&gt;2.5)))/G501,0))</f>
        <v/>
      </c>
      <c r="N501" s="16" t="str" cm="1">
        <f t="array" ref="N501">IF($A501="","",IFERROR((SUMPRODUCT((TRIM(tblDados[Mandante])=$A501)*tblDados[Primeira_Ocorrencia]*((tblDados[GM_M]+tblDados[GS_M])&gt;3.5))+SUMPRODUCT((TRIM(tblDados[Visitante])=$A501)*tblDados[Primeira_Ocorrencia]*((tblDados[GM_V]+tblDados[GS_V])&gt;3.5)))/G501,0))</f>
        <v/>
      </c>
      <c r="O501" s="16" t="str" cm="1">
        <f t="array" ref="O501">IF($A501="","",IFERROR((SUMPRODUCT((TRIM(tblDados[Mandante])=$A501)*tblDados[Primeira_Ocorrencia]*(tblDados[GM_M]&gt;0)*(tblDados[GS_M]&gt;0))+SUMPRODUCT((TRIM(tblDados[Visitante])=$A501)*tblDados[Primeira_Ocorrencia]*(tblDados[GM_V]&gt;0)*(tblDados[GS_V]&gt;0)))/G501,0))</f>
        <v/>
      </c>
      <c r="P501" s="14" t="str" cm="1">
        <f t="array" ref="P501">IF($A501="","",IFERROR((SUMPRODUCT((TRIM(tblDados[Mandante])=$A501)*tblDados[Primeira_Ocorrencia]*tblDados[GM_M]^2)+SUMPRODUCT((TRIM(tblDados[Visitante])=$A501)*tblDados[Primeira_Ocorrencia]*tblDados[GM_V]^2))/G501-H501^2,0))</f>
        <v/>
      </c>
      <c r="Q501" s="14" t="str">
        <f t="shared" si="148"/>
        <v/>
      </c>
      <c r="R501" s="1" t="str">
        <f t="shared" si="149"/>
        <v/>
      </c>
      <c r="S501" s="14" t="str" cm="1">
        <f t="array" ref="S501">IF($A501="","",SUMPRODUCT((TRIM(tblDados[Mandante])=$A501)*tblDados[Primeira_Ocorrencia]*tblDados[GM_M]))</f>
        <v/>
      </c>
      <c r="T501" s="14" t="str" cm="1">
        <f t="array" ref="T501">IF($A501="","",SUMPRODUCT((TRIM(tblDados[Visitante])=$A501)*tblDados[Primeira_Ocorrencia]*tblDados[GM_V]))</f>
        <v/>
      </c>
      <c r="U501" s="14" t="str">
        <f t="shared" si="150"/>
        <v/>
      </c>
      <c r="V501" s="14" t="str">
        <f t="shared" si="139"/>
        <v/>
      </c>
      <c r="W501" s="14" t="str" cm="1">
        <f t="array" ref="W501">IF($A501="","",SUMPRODUCT((TRIM(tblDados[Mandante])=$A501)*tblDados[Primeira_Ocorrencia]*tblDados[GS_M]))</f>
        <v/>
      </c>
      <c r="X501" s="14" t="str" cm="1">
        <f t="array" ref="X501">IF($A501="","",SUMPRODUCT((TRIM(tblDados[Visitante])=$A501)*tblDados[Primeira_Ocorrencia]*tblDados[GS_V]))</f>
        <v/>
      </c>
      <c r="Y501" s="14" t="str">
        <f t="shared" si="151"/>
        <v/>
      </c>
      <c r="Z501" s="14" t="str">
        <f t="shared" si="140"/>
        <v/>
      </c>
      <c r="AA501" s="14" t="str">
        <f t="shared" si="141"/>
        <v/>
      </c>
      <c r="AB501" s="14" t="str">
        <f t="shared" si="142"/>
        <v/>
      </c>
      <c r="AC501" s="14" t="str">
        <f t="shared" si="143"/>
        <v/>
      </c>
      <c r="AD501" s="14" t="str">
        <f t="shared" si="144"/>
        <v/>
      </c>
    </row>
    <row r="502" spans="2:30" x14ac:dyDescent="0.3">
      <c r="B502" s="13" t="str" cm="1">
        <f t="array" ref="B502">IF($A502="","",_xlfn.LET(_xlpm.p,IFERROR(INDEX(tblDados[País],MATCH($A502,TRIM(tblDados[Mandante]),0)),INDEX(tblDados[País],MATCH($A502,TRIM(tblDados[Visitante]),0))),_xlpm.l,IFERROR(INDEX(tblDados[Liga],MATCH($A502,TRIM(tblDados[Mandante]),0)),INDEX(tblDados[Liga],MATCH($A502,TRIM(tblDados[Visitante]),0))),_xlpm.p&amp;" - "&amp;_xlpm.l))</f>
        <v/>
      </c>
      <c r="C502" s="14" t="str">
        <f t="shared" si="145"/>
        <v/>
      </c>
      <c r="D502" s="14" t="str">
        <f t="shared" si="146"/>
        <v/>
      </c>
      <c r="E502" s="15" t="str" cm="1">
        <f t="array" ref="E502">IF($A502="","",SUMPRODUCT((TRIM(tblDados[Mandante])=$A502)*tblDados[Primeira_Ocorrencia]))</f>
        <v/>
      </c>
      <c r="F502" s="15" t="str" cm="1">
        <f t="array" ref="F502">IF($A502="","",SUMPRODUCT((TRIM(tblDados[Visitante])=$A502)*tblDados[Primeira_Ocorrencia]))</f>
        <v/>
      </c>
      <c r="G502" s="15" t="str" cm="1">
        <f t="array" ref="G502">IF($A502="","",SUMPRODUCT((TRIM(tblDados[Mandante])=$A502)*tblDados[Primeira_Ocorrencia])+SUMPRODUCT((TRIM(tblDados[Visitante])=$A502)*tblDados[Primeira_Ocorrencia]))</f>
        <v/>
      </c>
      <c r="H502" s="14" t="str">
        <f t="shared" si="147"/>
        <v/>
      </c>
      <c r="I502" s="14" t="str" cm="1">
        <f t="array" ref="I502">IF($A502="","",_xlfn.LET(_xlpm.p,IFERROR(INDEX(tblDados[País],MATCH($A502,TRIM(tblDados[Mandante]),0)),INDEX(tblDados[País],MATCH($A502,TRIM(tblDados[Visitante]),0))),_xlpm.l,IFERROR(INDEX(tblDados[Liga],MATCH($A502,TRIM(tblDados[Mandante]),0)),INDEX(tblDados[Liga],MATCH($A502,TRIM(tblDados[Visitante]),0))),IFERROR(SUMIFS(Ligas!$D$2:$D$39,Ligas!$H$2:$H$39,_xlpm.p,Ligas!$I$2:$I$39,_xlpm.l),0)))</f>
        <v/>
      </c>
      <c r="J502" s="16" t="str" cm="1">
        <f t="array" ref="J502">IF($A502="","",IFERROR((SUMPRODUCT((TRIM(tblDados[Mandante])=$A502)*tblDados[Primeira_Ocorrencia]*(tblDados[GM_M]=0))+SUMPRODUCT((TRIM(tblDados[Visitante])=$A502)*tblDados[Primeira_Ocorrencia]*(tblDados[GM_V]=0)))/G502,0))</f>
        <v/>
      </c>
      <c r="K502" s="16" t="str" cm="1">
        <f t="array" ref="K502">IF($A502="","",IFERROR((SUMPRODUCT((TRIM(tblDados[Mandante])=$A502)*tblDados[Primeira_Ocorrencia]*((tblDados[GM_M]+tblDados[GS_M])&gt;0.5))+SUMPRODUCT((TRIM(tblDados[Visitante])=$A502)*tblDados[Primeira_Ocorrencia]*((tblDados[GM_V]+tblDados[GS_V])&gt;0.5)))/G502,0))</f>
        <v/>
      </c>
      <c r="L502" s="16" t="str" cm="1">
        <f t="array" ref="L502">IF($A502="","",IFERROR((SUMPRODUCT((TRIM(tblDados[Mandante])=$A502)*tblDados[Primeira_Ocorrencia]*((tblDados[GM_M]+tblDados[GS_M])&gt;1.5))+SUMPRODUCT((TRIM(tblDados[Visitante])=$A502)*tblDados[Primeira_Ocorrencia]*((tblDados[GM_V]+tblDados[GS_V])&gt;1.5)))/G502,0))</f>
        <v/>
      </c>
      <c r="M502" s="16" t="str" cm="1">
        <f t="array" ref="M502">IF($A502="","",IFERROR((SUMPRODUCT((TRIM(tblDados[Mandante])=$A502)*tblDados[Primeira_Ocorrencia]*((tblDados[GM_M]+tblDados[GS_M])&gt;2.5))+SUMPRODUCT((TRIM(tblDados[Visitante])=$A502)*tblDados[Primeira_Ocorrencia]*((tblDados[GM_V]+tblDados[GS_V])&gt;2.5)))/G502,0))</f>
        <v/>
      </c>
      <c r="N502" s="16" t="str" cm="1">
        <f t="array" ref="N502">IF($A502="","",IFERROR((SUMPRODUCT((TRIM(tblDados[Mandante])=$A502)*tblDados[Primeira_Ocorrencia]*((tblDados[GM_M]+tblDados[GS_M])&gt;3.5))+SUMPRODUCT((TRIM(tblDados[Visitante])=$A502)*tblDados[Primeira_Ocorrencia]*((tblDados[GM_V]+tblDados[GS_V])&gt;3.5)))/G502,0))</f>
        <v/>
      </c>
      <c r="O502" s="16" t="str" cm="1">
        <f t="array" ref="O502">IF($A502="","",IFERROR((SUMPRODUCT((TRIM(tblDados[Mandante])=$A502)*tblDados[Primeira_Ocorrencia]*(tblDados[GM_M]&gt;0)*(tblDados[GS_M]&gt;0))+SUMPRODUCT((TRIM(tblDados[Visitante])=$A502)*tblDados[Primeira_Ocorrencia]*(tblDados[GM_V]&gt;0)*(tblDados[GS_V]&gt;0)))/G502,0))</f>
        <v/>
      </c>
      <c r="P502" s="14" t="str" cm="1">
        <f t="array" ref="P502">IF($A502="","",IFERROR((SUMPRODUCT((TRIM(tblDados[Mandante])=$A502)*tblDados[Primeira_Ocorrencia]*tblDados[GM_M]^2)+SUMPRODUCT((TRIM(tblDados[Visitante])=$A502)*tblDados[Primeira_Ocorrencia]*tblDados[GM_V]^2))/G502-H502^2,0))</f>
        <v/>
      </c>
      <c r="Q502" s="14" t="str">
        <f t="shared" si="148"/>
        <v/>
      </c>
      <c r="R502" s="1" t="str">
        <f t="shared" si="149"/>
        <v/>
      </c>
      <c r="S502" s="14" t="str" cm="1">
        <f t="array" ref="S502">IF($A502="","",SUMPRODUCT((TRIM(tblDados[Mandante])=$A502)*tblDados[Primeira_Ocorrencia]*tblDados[GM_M]))</f>
        <v/>
      </c>
      <c r="T502" s="14" t="str" cm="1">
        <f t="array" ref="T502">IF($A502="","",SUMPRODUCT((TRIM(tblDados[Visitante])=$A502)*tblDados[Primeira_Ocorrencia]*tblDados[GM_V]))</f>
        <v/>
      </c>
      <c r="U502" s="14" t="str">
        <f t="shared" si="150"/>
        <v/>
      </c>
      <c r="V502" s="14" t="str">
        <f t="shared" si="139"/>
        <v/>
      </c>
      <c r="W502" s="14" t="str" cm="1">
        <f t="array" ref="W502">IF($A502="","",SUMPRODUCT((TRIM(tblDados[Mandante])=$A502)*tblDados[Primeira_Ocorrencia]*tblDados[GS_M]))</f>
        <v/>
      </c>
      <c r="X502" s="14" t="str" cm="1">
        <f t="array" ref="X502">IF($A502="","",SUMPRODUCT((TRIM(tblDados[Visitante])=$A502)*tblDados[Primeira_Ocorrencia]*tblDados[GS_V]))</f>
        <v/>
      </c>
      <c r="Y502" s="14" t="str">
        <f t="shared" si="151"/>
        <v/>
      </c>
      <c r="Z502" s="14" t="str">
        <f t="shared" si="140"/>
        <v/>
      </c>
      <c r="AA502" s="14" t="str">
        <f t="shared" si="141"/>
        <v/>
      </c>
      <c r="AB502" s="14" t="str">
        <f t="shared" si="142"/>
        <v/>
      </c>
      <c r="AC502" s="14" t="str">
        <f t="shared" si="143"/>
        <v/>
      </c>
      <c r="AD502" s="14" t="str">
        <f t="shared" si="144"/>
        <v/>
      </c>
    </row>
    <row r="503" spans="2:30" x14ac:dyDescent="0.3">
      <c r="B503" s="13" t="str" cm="1">
        <f t="array" ref="B503">IF($A503="","",_xlfn.LET(_xlpm.p,IFERROR(INDEX(tblDados[País],MATCH($A503,TRIM(tblDados[Mandante]),0)),INDEX(tblDados[País],MATCH($A503,TRIM(tblDados[Visitante]),0))),_xlpm.l,IFERROR(INDEX(tblDados[Liga],MATCH($A503,TRIM(tblDados[Mandante]),0)),INDEX(tblDados[Liga],MATCH($A503,TRIM(tblDados[Visitante]),0))),_xlpm.p&amp;" - "&amp;_xlpm.l))</f>
        <v/>
      </c>
      <c r="C503" s="14" t="str">
        <f t="shared" si="145"/>
        <v/>
      </c>
      <c r="D503" s="14" t="str">
        <f t="shared" si="146"/>
        <v/>
      </c>
      <c r="E503" s="15" t="str" cm="1">
        <f t="array" ref="E503">IF($A503="","",SUMPRODUCT((TRIM(tblDados[Mandante])=$A503)*tblDados[Primeira_Ocorrencia]))</f>
        <v/>
      </c>
      <c r="F503" s="15" t="str" cm="1">
        <f t="array" ref="F503">IF($A503="","",SUMPRODUCT((TRIM(tblDados[Visitante])=$A503)*tblDados[Primeira_Ocorrencia]))</f>
        <v/>
      </c>
      <c r="G503" s="15" t="str" cm="1">
        <f t="array" ref="G503">IF($A503="","",SUMPRODUCT((TRIM(tblDados[Mandante])=$A503)*tblDados[Primeira_Ocorrencia])+SUMPRODUCT((TRIM(tblDados[Visitante])=$A503)*tblDados[Primeira_Ocorrencia]))</f>
        <v/>
      </c>
      <c r="H503" s="14" t="str">
        <f t="shared" si="147"/>
        <v/>
      </c>
      <c r="I503" s="14" t="str" cm="1">
        <f t="array" ref="I503">IF($A503="","",_xlfn.LET(_xlpm.p,IFERROR(INDEX(tblDados[País],MATCH($A503,TRIM(tblDados[Mandante]),0)),INDEX(tblDados[País],MATCH($A503,TRIM(tblDados[Visitante]),0))),_xlpm.l,IFERROR(INDEX(tblDados[Liga],MATCH($A503,TRIM(tblDados[Mandante]),0)),INDEX(tblDados[Liga],MATCH($A503,TRIM(tblDados[Visitante]),0))),IFERROR(SUMIFS(Ligas!$D$2:$D$39,Ligas!$H$2:$H$39,_xlpm.p,Ligas!$I$2:$I$39,_xlpm.l),0)))</f>
        <v/>
      </c>
      <c r="J503" s="16" t="str" cm="1">
        <f t="array" ref="J503">IF($A503="","",IFERROR((SUMPRODUCT((TRIM(tblDados[Mandante])=$A503)*tblDados[Primeira_Ocorrencia]*(tblDados[GM_M]=0))+SUMPRODUCT((TRIM(tblDados[Visitante])=$A503)*tblDados[Primeira_Ocorrencia]*(tblDados[GM_V]=0)))/G503,0))</f>
        <v/>
      </c>
      <c r="K503" s="16" t="str" cm="1">
        <f t="array" ref="K503">IF($A503="","",IFERROR((SUMPRODUCT((TRIM(tblDados[Mandante])=$A503)*tblDados[Primeira_Ocorrencia]*((tblDados[GM_M]+tblDados[GS_M])&gt;0.5))+SUMPRODUCT((TRIM(tblDados[Visitante])=$A503)*tblDados[Primeira_Ocorrencia]*((tblDados[GM_V]+tblDados[GS_V])&gt;0.5)))/G503,0))</f>
        <v/>
      </c>
      <c r="L503" s="16" t="str" cm="1">
        <f t="array" ref="L503">IF($A503="","",IFERROR((SUMPRODUCT((TRIM(tblDados[Mandante])=$A503)*tblDados[Primeira_Ocorrencia]*((tblDados[GM_M]+tblDados[GS_M])&gt;1.5))+SUMPRODUCT((TRIM(tblDados[Visitante])=$A503)*tblDados[Primeira_Ocorrencia]*((tblDados[GM_V]+tblDados[GS_V])&gt;1.5)))/G503,0))</f>
        <v/>
      </c>
      <c r="M503" s="16" t="str" cm="1">
        <f t="array" ref="M503">IF($A503="","",IFERROR((SUMPRODUCT((TRIM(tblDados[Mandante])=$A503)*tblDados[Primeira_Ocorrencia]*((tblDados[GM_M]+tblDados[GS_M])&gt;2.5))+SUMPRODUCT((TRIM(tblDados[Visitante])=$A503)*tblDados[Primeira_Ocorrencia]*((tblDados[GM_V]+tblDados[GS_V])&gt;2.5)))/G503,0))</f>
        <v/>
      </c>
      <c r="N503" s="16" t="str" cm="1">
        <f t="array" ref="N503">IF($A503="","",IFERROR((SUMPRODUCT((TRIM(tblDados[Mandante])=$A503)*tblDados[Primeira_Ocorrencia]*((tblDados[GM_M]+tblDados[GS_M])&gt;3.5))+SUMPRODUCT((TRIM(tblDados[Visitante])=$A503)*tblDados[Primeira_Ocorrencia]*((tblDados[GM_V]+tblDados[GS_V])&gt;3.5)))/G503,0))</f>
        <v/>
      </c>
      <c r="O503" s="16" t="str" cm="1">
        <f t="array" ref="O503">IF($A503="","",IFERROR((SUMPRODUCT((TRIM(tblDados[Mandante])=$A503)*tblDados[Primeira_Ocorrencia]*(tblDados[GM_M]&gt;0)*(tblDados[GS_M]&gt;0))+SUMPRODUCT((TRIM(tblDados[Visitante])=$A503)*tblDados[Primeira_Ocorrencia]*(tblDados[GM_V]&gt;0)*(tblDados[GS_V]&gt;0)))/G503,0))</f>
        <v/>
      </c>
      <c r="P503" s="14" t="str" cm="1">
        <f t="array" ref="P503">IF($A503="","",IFERROR((SUMPRODUCT((TRIM(tblDados[Mandante])=$A503)*tblDados[Primeira_Ocorrencia]*tblDados[GM_M]^2)+SUMPRODUCT((TRIM(tblDados[Visitante])=$A503)*tblDados[Primeira_Ocorrencia]*tblDados[GM_V]^2))/G503-H503^2,0))</f>
        <v/>
      </c>
      <c r="Q503" s="14" t="str">
        <f t="shared" si="148"/>
        <v/>
      </c>
      <c r="R503" s="1" t="str">
        <f t="shared" si="149"/>
        <v/>
      </c>
      <c r="S503" s="14" t="str" cm="1">
        <f t="array" ref="S503">IF($A503="","",SUMPRODUCT((TRIM(tblDados[Mandante])=$A503)*tblDados[Primeira_Ocorrencia]*tblDados[GM_M]))</f>
        <v/>
      </c>
      <c r="T503" s="14" t="str" cm="1">
        <f t="array" ref="T503">IF($A503="","",SUMPRODUCT((TRIM(tblDados[Visitante])=$A503)*tblDados[Primeira_Ocorrencia]*tblDados[GM_V]))</f>
        <v/>
      </c>
      <c r="U503" s="14" t="str">
        <f t="shared" si="150"/>
        <v/>
      </c>
      <c r="V503" s="14" t="str">
        <f t="shared" si="139"/>
        <v/>
      </c>
      <c r="W503" s="14" t="str" cm="1">
        <f t="array" ref="W503">IF($A503="","",SUMPRODUCT((TRIM(tblDados[Mandante])=$A503)*tblDados[Primeira_Ocorrencia]*tblDados[GS_M]))</f>
        <v/>
      </c>
      <c r="X503" s="14" t="str" cm="1">
        <f t="array" ref="X503">IF($A503="","",SUMPRODUCT((TRIM(tblDados[Visitante])=$A503)*tblDados[Primeira_Ocorrencia]*tblDados[GS_V]))</f>
        <v/>
      </c>
      <c r="Y503" s="14" t="str">
        <f t="shared" si="151"/>
        <v/>
      </c>
      <c r="Z503" s="14" t="str">
        <f t="shared" si="140"/>
        <v/>
      </c>
      <c r="AA503" s="14" t="str">
        <f t="shared" si="141"/>
        <v/>
      </c>
      <c r="AB503" s="14" t="str">
        <f t="shared" si="142"/>
        <v/>
      </c>
      <c r="AC503" s="14" t="str">
        <f t="shared" si="143"/>
        <v/>
      </c>
      <c r="AD503" s="14" t="str">
        <f t="shared" si="144"/>
        <v/>
      </c>
    </row>
    <row r="504" spans="2:30" x14ac:dyDescent="0.3">
      <c r="B504" s="13" t="str" cm="1">
        <f t="array" ref="B504">IF($A504="","",_xlfn.LET(_xlpm.p,IFERROR(INDEX(tblDados[País],MATCH($A504,TRIM(tblDados[Mandante]),0)),INDEX(tblDados[País],MATCH($A504,TRIM(tblDados[Visitante]),0))),_xlpm.l,IFERROR(INDEX(tblDados[Liga],MATCH($A504,TRIM(tblDados[Mandante]),0)),INDEX(tblDados[Liga],MATCH($A504,TRIM(tblDados[Visitante]),0))),_xlpm.p&amp;" - "&amp;_xlpm.l))</f>
        <v/>
      </c>
      <c r="C504" s="14" t="str">
        <f t="shared" si="145"/>
        <v/>
      </c>
      <c r="D504" s="14" t="str">
        <f t="shared" si="146"/>
        <v/>
      </c>
      <c r="E504" s="15" t="str" cm="1">
        <f t="array" ref="E504">IF($A504="","",SUMPRODUCT((TRIM(tblDados[Mandante])=$A504)*tblDados[Primeira_Ocorrencia]))</f>
        <v/>
      </c>
      <c r="F504" s="15" t="str" cm="1">
        <f t="array" ref="F504">IF($A504="","",SUMPRODUCT((TRIM(tblDados[Visitante])=$A504)*tblDados[Primeira_Ocorrencia]))</f>
        <v/>
      </c>
      <c r="G504" s="15" t="str" cm="1">
        <f t="array" ref="G504">IF($A504="","",SUMPRODUCT((TRIM(tblDados[Mandante])=$A504)*tblDados[Primeira_Ocorrencia])+SUMPRODUCT((TRIM(tblDados[Visitante])=$A504)*tblDados[Primeira_Ocorrencia]))</f>
        <v/>
      </c>
      <c r="H504" s="14" t="str">
        <f t="shared" si="147"/>
        <v/>
      </c>
      <c r="I504" s="14" t="str" cm="1">
        <f t="array" ref="I504">IF($A504="","",_xlfn.LET(_xlpm.p,IFERROR(INDEX(tblDados[País],MATCH($A504,TRIM(tblDados[Mandante]),0)),INDEX(tblDados[País],MATCH($A504,TRIM(tblDados[Visitante]),0))),_xlpm.l,IFERROR(INDEX(tblDados[Liga],MATCH($A504,TRIM(tblDados[Mandante]),0)),INDEX(tblDados[Liga],MATCH($A504,TRIM(tblDados[Visitante]),0))),IFERROR(SUMIFS(Ligas!$D$2:$D$39,Ligas!$H$2:$H$39,_xlpm.p,Ligas!$I$2:$I$39,_xlpm.l),0)))</f>
        <v/>
      </c>
      <c r="J504" s="16" t="str" cm="1">
        <f t="array" ref="J504">IF($A504="","",IFERROR((SUMPRODUCT((TRIM(tblDados[Mandante])=$A504)*tblDados[Primeira_Ocorrencia]*(tblDados[GM_M]=0))+SUMPRODUCT((TRIM(tblDados[Visitante])=$A504)*tblDados[Primeira_Ocorrencia]*(tblDados[GM_V]=0)))/G504,0))</f>
        <v/>
      </c>
      <c r="K504" s="16" t="str" cm="1">
        <f t="array" ref="K504">IF($A504="","",IFERROR((SUMPRODUCT((TRIM(tblDados[Mandante])=$A504)*tblDados[Primeira_Ocorrencia]*((tblDados[GM_M]+tblDados[GS_M])&gt;0.5))+SUMPRODUCT((TRIM(tblDados[Visitante])=$A504)*tblDados[Primeira_Ocorrencia]*((tblDados[GM_V]+tblDados[GS_V])&gt;0.5)))/G504,0))</f>
        <v/>
      </c>
      <c r="L504" s="16" t="str" cm="1">
        <f t="array" ref="L504">IF($A504="","",IFERROR((SUMPRODUCT((TRIM(tblDados[Mandante])=$A504)*tblDados[Primeira_Ocorrencia]*((tblDados[GM_M]+tblDados[GS_M])&gt;1.5))+SUMPRODUCT((TRIM(tblDados[Visitante])=$A504)*tblDados[Primeira_Ocorrencia]*((tblDados[GM_V]+tblDados[GS_V])&gt;1.5)))/G504,0))</f>
        <v/>
      </c>
      <c r="M504" s="16" t="str" cm="1">
        <f t="array" ref="M504">IF($A504="","",IFERROR((SUMPRODUCT((TRIM(tblDados[Mandante])=$A504)*tblDados[Primeira_Ocorrencia]*((tblDados[GM_M]+tblDados[GS_M])&gt;2.5))+SUMPRODUCT((TRIM(tblDados[Visitante])=$A504)*tblDados[Primeira_Ocorrencia]*((tblDados[GM_V]+tblDados[GS_V])&gt;2.5)))/G504,0))</f>
        <v/>
      </c>
      <c r="N504" s="16" t="str" cm="1">
        <f t="array" ref="N504">IF($A504="","",IFERROR((SUMPRODUCT((TRIM(tblDados[Mandante])=$A504)*tblDados[Primeira_Ocorrencia]*((tblDados[GM_M]+tblDados[GS_M])&gt;3.5))+SUMPRODUCT((TRIM(tblDados[Visitante])=$A504)*tblDados[Primeira_Ocorrencia]*((tblDados[GM_V]+tblDados[GS_V])&gt;3.5)))/G504,0))</f>
        <v/>
      </c>
      <c r="O504" s="16" t="str" cm="1">
        <f t="array" ref="O504">IF($A504="","",IFERROR((SUMPRODUCT((TRIM(tblDados[Mandante])=$A504)*tblDados[Primeira_Ocorrencia]*(tblDados[GM_M]&gt;0)*(tblDados[GS_M]&gt;0))+SUMPRODUCT((TRIM(tblDados[Visitante])=$A504)*tblDados[Primeira_Ocorrencia]*(tblDados[GM_V]&gt;0)*(tblDados[GS_V]&gt;0)))/G504,0))</f>
        <v/>
      </c>
      <c r="P504" s="14" t="str" cm="1">
        <f t="array" ref="P504">IF($A504="","",IFERROR((SUMPRODUCT((TRIM(tblDados[Mandante])=$A504)*tblDados[Primeira_Ocorrencia]*tblDados[GM_M]^2)+SUMPRODUCT((TRIM(tblDados[Visitante])=$A504)*tblDados[Primeira_Ocorrencia]*tblDados[GM_V]^2))/G504-H504^2,0))</f>
        <v/>
      </c>
      <c r="Q504" s="14" t="str">
        <f t="shared" si="148"/>
        <v/>
      </c>
      <c r="R504" s="1" t="str">
        <f t="shared" si="149"/>
        <v/>
      </c>
      <c r="S504" s="14" t="str" cm="1">
        <f t="array" ref="S504">IF($A504="","",SUMPRODUCT((TRIM(tblDados[Mandante])=$A504)*tblDados[Primeira_Ocorrencia]*tblDados[GM_M]))</f>
        <v/>
      </c>
      <c r="T504" s="14" t="str" cm="1">
        <f t="array" ref="T504">IF($A504="","",SUMPRODUCT((TRIM(tblDados[Visitante])=$A504)*tblDados[Primeira_Ocorrencia]*tblDados[GM_V]))</f>
        <v/>
      </c>
      <c r="U504" s="14" t="str">
        <f t="shared" si="150"/>
        <v/>
      </c>
      <c r="V504" s="14" t="str">
        <f t="shared" si="139"/>
        <v/>
      </c>
      <c r="W504" s="14" t="str" cm="1">
        <f t="array" ref="W504">IF($A504="","",SUMPRODUCT((TRIM(tblDados[Mandante])=$A504)*tblDados[Primeira_Ocorrencia]*tblDados[GS_M]))</f>
        <v/>
      </c>
      <c r="X504" s="14" t="str" cm="1">
        <f t="array" ref="X504">IF($A504="","",SUMPRODUCT((TRIM(tblDados[Visitante])=$A504)*tblDados[Primeira_Ocorrencia]*tblDados[GS_V]))</f>
        <v/>
      </c>
      <c r="Y504" s="14" t="str">
        <f t="shared" si="151"/>
        <v/>
      </c>
      <c r="Z504" s="14" t="str">
        <f t="shared" si="140"/>
        <v/>
      </c>
      <c r="AA504" s="14" t="str">
        <f t="shared" si="141"/>
        <v/>
      </c>
      <c r="AB504" s="14" t="str">
        <f t="shared" si="142"/>
        <v/>
      </c>
      <c r="AC504" s="14" t="str">
        <f t="shared" si="143"/>
        <v/>
      </c>
      <c r="AD504" s="14" t="str">
        <f t="shared" si="144"/>
        <v/>
      </c>
    </row>
    <row r="505" spans="2:30" x14ac:dyDescent="0.3">
      <c r="B505" s="13" t="str" cm="1">
        <f t="array" ref="B505">IF($A505="","",_xlfn.LET(_xlpm.p,IFERROR(INDEX(tblDados[País],MATCH($A505,TRIM(tblDados[Mandante]),0)),INDEX(tblDados[País],MATCH($A505,TRIM(tblDados[Visitante]),0))),_xlpm.l,IFERROR(INDEX(tblDados[Liga],MATCH($A505,TRIM(tblDados[Mandante]),0)),INDEX(tblDados[Liga],MATCH($A505,TRIM(tblDados[Visitante]),0))),_xlpm.p&amp;" - "&amp;_xlpm.l))</f>
        <v/>
      </c>
      <c r="C505" s="14" t="str">
        <f t="shared" si="145"/>
        <v/>
      </c>
      <c r="D505" s="14" t="str">
        <f t="shared" si="146"/>
        <v/>
      </c>
      <c r="E505" s="15" t="str" cm="1">
        <f t="array" ref="E505">IF($A505="","",SUMPRODUCT((TRIM(tblDados[Mandante])=$A505)*tblDados[Primeira_Ocorrencia]))</f>
        <v/>
      </c>
      <c r="F505" s="15" t="str" cm="1">
        <f t="array" ref="F505">IF($A505="","",SUMPRODUCT((TRIM(tblDados[Visitante])=$A505)*tblDados[Primeira_Ocorrencia]))</f>
        <v/>
      </c>
      <c r="G505" s="15" t="str" cm="1">
        <f t="array" ref="G505">IF($A505="","",SUMPRODUCT((TRIM(tblDados[Mandante])=$A505)*tblDados[Primeira_Ocorrencia])+SUMPRODUCT((TRIM(tblDados[Visitante])=$A505)*tblDados[Primeira_Ocorrencia]))</f>
        <v/>
      </c>
      <c r="H505" s="14" t="str">
        <f t="shared" si="147"/>
        <v/>
      </c>
      <c r="I505" s="14" t="str" cm="1">
        <f t="array" ref="I505">IF($A505="","",_xlfn.LET(_xlpm.p,IFERROR(INDEX(tblDados[País],MATCH($A505,TRIM(tblDados[Mandante]),0)),INDEX(tblDados[País],MATCH($A505,TRIM(tblDados[Visitante]),0))),_xlpm.l,IFERROR(INDEX(tblDados[Liga],MATCH($A505,TRIM(tblDados[Mandante]),0)),INDEX(tblDados[Liga],MATCH($A505,TRIM(tblDados[Visitante]),0))),IFERROR(SUMIFS(Ligas!$D$2:$D$39,Ligas!$H$2:$H$39,_xlpm.p,Ligas!$I$2:$I$39,_xlpm.l),0)))</f>
        <v/>
      </c>
      <c r="J505" s="16" t="str" cm="1">
        <f t="array" ref="J505">IF($A505="","",IFERROR((SUMPRODUCT((TRIM(tblDados[Mandante])=$A505)*tblDados[Primeira_Ocorrencia]*(tblDados[GM_M]=0))+SUMPRODUCT((TRIM(tblDados[Visitante])=$A505)*tblDados[Primeira_Ocorrencia]*(tblDados[GM_V]=0)))/G505,0))</f>
        <v/>
      </c>
      <c r="K505" s="16" t="str" cm="1">
        <f t="array" ref="K505">IF($A505="","",IFERROR((SUMPRODUCT((TRIM(tblDados[Mandante])=$A505)*tblDados[Primeira_Ocorrencia]*((tblDados[GM_M]+tblDados[GS_M])&gt;0.5))+SUMPRODUCT((TRIM(tblDados[Visitante])=$A505)*tblDados[Primeira_Ocorrencia]*((tblDados[GM_V]+tblDados[GS_V])&gt;0.5)))/G505,0))</f>
        <v/>
      </c>
      <c r="L505" s="16" t="str" cm="1">
        <f t="array" ref="L505">IF($A505="","",IFERROR((SUMPRODUCT((TRIM(tblDados[Mandante])=$A505)*tblDados[Primeira_Ocorrencia]*((tblDados[GM_M]+tblDados[GS_M])&gt;1.5))+SUMPRODUCT((TRIM(tblDados[Visitante])=$A505)*tblDados[Primeira_Ocorrencia]*((tblDados[GM_V]+tblDados[GS_V])&gt;1.5)))/G505,0))</f>
        <v/>
      </c>
      <c r="M505" s="16" t="str" cm="1">
        <f t="array" ref="M505">IF($A505="","",IFERROR((SUMPRODUCT((TRIM(tblDados[Mandante])=$A505)*tblDados[Primeira_Ocorrencia]*((tblDados[GM_M]+tblDados[GS_M])&gt;2.5))+SUMPRODUCT((TRIM(tblDados[Visitante])=$A505)*tblDados[Primeira_Ocorrencia]*((tblDados[GM_V]+tblDados[GS_V])&gt;2.5)))/G505,0))</f>
        <v/>
      </c>
      <c r="N505" s="16" t="str" cm="1">
        <f t="array" ref="N505">IF($A505="","",IFERROR((SUMPRODUCT((TRIM(tblDados[Mandante])=$A505)*tblDados[Primeira_Ocorrencia]*((tblDados[GM_M]+tblDados[GS_M])&gt;3.5))+SUMPRODUCT((TRIM(tblDados[Visitante])=$A505)*tblDados[Primeira_Ocorrencia]*((tblDados[GM_V]+tblDados[GS_V])&gt;3.5)))/G505,0))</f>
        <v/>
      </c>
      <c r="O505" s="16" t="str" cm="1">
        <f t="array" ref="O505">IF($A505="","",IFERROR((SUMPRODUCT((TRIM(tblDados[Mandante])=$A505)*tblDados[Primeira_Ocorrencia]*(tblDados[GM_M]&gt;0)*(tblDados[GS_M]&gt;0))+SUMPRODUCT((TRIM(tblDados[Visitante])=$A505)*tblDados[Primeira_Ocorrencia]*(tblDados[GM_V]&gt;0)*(tblDados[GS_V]&gt;0)))/G505,0))</f>
        <v/>
      </c>
      <c r="P505" s="14" t="str" cm="1">
        <f t="array" ref="P505">IF($A505="","",IFERROR((SUMPRODUCT((TRIM(tblDados[Mandante])=$A505)*tblDados[Primeira_Ocorrencia]*tblDados[GM_M]^2)+SUMPRODUCT((TRIM(tblDados[Visitante])=$A505)*tblDados[Primeira_Ocorrencia]*tblDados[GM_V]^2))/G505-H505^2,0))</f>
        <v/>
      </c>
      <c r="Q505" s="14" t="str">
        <f t="shared" si="148"/>
        <v/>
      </c>
      <c r="R505" s="1" t="str">
        <f t="shared" si="149"/>
        <v/>
      </c>
      <c r="S505" s="14" t="str" cm="1">
        <f t="array" ref="S505">IF($A505="","",SUMPRODUCT((TRIM(tblDados[Mandante])=$A505)*tblDados[Primeira_Ocorrencia]*tblDados[GM_M]))</f>
        <v/>
      </c>
      <c r="T505" s="14" t="str" cm="1">
        <f t="array" ref="T505">IF($A505="","",SUMPRODUCT((TRIM(tblDados[Visitante])=$A505)*tblDados[Primeira_Ocorrencia]*tblDados[GM_V]))</f>
        <v/>
      </c>
      <c r="U505" s="14" t="str">
        <f t="shared" si="150"/>
        <v/>
      </c>
      <c r="V505" s="14" t="str">
        <f t="shared" si="139"/>
        <v/>
      </c>
      <c r="W505" s="14" t="str" cm="1">
        <f t="array" ref="W505">IF($A505="","",SUMPRODUCT((TRIM(tblDados[Mandante])=$A505)*tblDados[Primeira_Ocorrencia]*tblDados[GS_M]))</f>
        <v/>
      </c>
      <c r="X505" s="14" t="str" cm="1">
        <f t="array" ref="X505">IF($A505="","",SUMPRODUCT((TRIM(tblDados[Visitante])=$A505)*tblDados[Primeira_Ocorrencia]*tblDados[GS_V]))</f>
        <v/>
      </c>
      <c r="Y505" s="14" t="str">
        <f t="shared" si="151"/>
        <v/>
      </c>
      <c r="Z505" s="14" t="str">
        <f t="shared" si="140"/>
        <v/>
      </c>
      <c r="AA505" s="14" t="str">
        <f t="shared" si="141"/>
        <v/>
      </c>
      <c r="AB505" s="14" t="str">
        <f t="shared" si="142"/>
        <v/>
      </c>
      <c r="AC505" s="14" t="str">
        <f t="shared" si="143"/>
        <v/>
      </c>
      <c r="AD505" s="14" t="str">
        <f t="shared" si="144"/>
        <v/>
      </c>
    </row>
    <row r="506" spans="2:30" x14ac:dyDescent="0.3">
      <c r="B506" s="13" t="str" cm="1">
        <f t="array" ref="B506">IF($A506="","",_xlfn.LET(_xlpm.p,IFERROR(INDEX(tblDados[País],MATCH($A506,TRIM(tblDados[Mandante]),0)),INDEX(tblDados[País],MATCH($A506,TRIM(tblDados[Visitante]),0))),_xlpm.l,IFERROR(INDEX(tblDados[Liga],MATCH($A506,TRIM(tblDados[Mandante]),0)),INDEX(tblDados[Liga],MATCH($A506,TRIM(tblDados[Visitante]),0))),_xlpm.p&amp;" - "&amp;_xlpm.l))</f>
        <v/>
      </c>
      <c r="C506" s="14" t="str">
        <f t="shared" si="145"/>
        <v/>
      </c>
      <c r="D506" s="14" t="str">
        <f t="shared" si="146"/>
        <v/>
      </c>
      <c r="E506" s="15" t="str" cm="1">
        <f t="array" ref="E506">IF($A506="","",SUMPRODUCT((TRIM(tblDados[Mandante])=$A506)*tblDados[Primeira_Ocorrencia]))</f>
        <v/>
      </c>
      <c r="F506" s="15" t="str" cm="1">
        <f t="array" ref="F506">IF($A506="","",SUMPRODUCT((TRIM(tblDados[Visitante])=$A506)*tblDados[Primeira_Ocorrencia]))</f>
        <v/>
      </c>
      <c r="G506" s="15" t="str" cm="1">
        <f t="array" ref="G506">IF($A506="","",SUMPRODUCT((TRIM(tblDados[Mandante])=$A506)*tblDados[Primeira_Ocorrencia])+SUMPRODUCT((TRIM(tblDados[Visitante])=$A506)*tblDados[Primeira_Ocorrencia]))</f>
        <v/>
      </c>
      <c r="H506" s="14" t="str">
        <f t="shared" si="147"/>
        <v/>
      </c>
      <c r="I506" s="14" t="str" cm="1">
        <f t="array" ref="I506">IF($A506="","",_xlfn.LET(_xlpm.p,IFERROR(INDEX(tblDados[País],MATCH($A506,TRIM(tblDados[Mandante]),0)),INDEX(tblDados[País],MATCH($A506,TRIM(tblDados[Visitante]),0))),_xlpm.l,IFERROR(INDEX(tblDados[Liga],MATCH($A506,TRIM(tblDados[Mandante]),0)),INDEX(tblDados[Liga],MATCH($A506,TRIM(tblDados[Visitante]),0))),IFERROR(SUMIFS(Ligas!$D$2:$D$39,Ligas!$H$2:$H$39,_xlpm.p,Ligas!$I$2:$I$39,_xlpm.l),0)))</f>
        <v/>
      </c>
      <c r="J506" s="16" t="str" cm="1">
        <f t="array" ref="J506">IF($A506="","",IFERROR((SUMPRODUCT((TRIM(tblDados[Mandante])=$A506)*tblDados[Primeira_Ocorrencia]*(tblDados[GM_M]=0))+SUMPRODUCT((TRIM(tblDados[Visitante])=$A506)*tblDados[Primeira_Ocorrencia]*(tblDados[GM_V]=0)))/G506,0))</f>
        <v/>
      </c>
      <c r="K506" s="16" t="str" cm="1">
        <f t="array" ref="K506">IF($A506="","",IFERROR((SUMPRODUCT((TRIM(tblDados[Mandante])=$A506)*tblDados[Primeira_Ocorrencia]*((tblDados[GM_M]+tblDados[GS_M])&gt;0.5))+SUMPRODUCT((TRIM(tblDados[Visitante])=$A506)*tblDados[Primeira_Ocorrencia]*((tblDados[GM_V]+tblDados[GS_V])&gt;0.5)))/G506,0))</f>
        <v/>
      </c>
      <c r="L506" s="16" t="str" cm="1">
        <f t="array" ref="L506">IF($A506="","",IFERROR((SUMPRODUCT((TRIM(tblDados[Mandante])=$A506)*tblDados[Primeira_Ocorrencia]*((tblDados[GM_M]+tblDados[GS_M])&gt;1.5))+SUMPRODUCT((TRIM(tblDados[Visitante])=$A506)*tblDados[Primeira_Ocorrencia]*((tblDados[GM_V]+tblDados[GS_V])&gt;1.5)))/G506,0))</f>
        <v/>
      </c>
      <c r="M506" s="16" t="str" cm="1">
        <f t="array" ref="M506">IF($A506="","",IFERROR((SUMPRODUCT((TRIM(tblDados[Mandante])=$A506)*tblDados[Primeira_Ocorrencia]*((tblDados[GM_M]+tblDados[GS_M])&gt;2.5))+SUMPRODUCT((TRIM(tblDados[Visitante])=$A506)*tblDados[Primeira_Ocorrencia]*((tblDados[GM_V]+tblDados[GS_V])&gt;2.5)))/G506,0))</f>
        <v/>
      </c>
      <c r="N506" s="16" t="str" cm="1">
        <f t="array" ref="N506">IF($A506="","",IFERROR((SUMPRODUCT((TRIM(tblDados[Mandante])=$A506)*tblDados[Primeira_Ocorrencia]*((tblDados[GM_M]+tblDados[GS_M])&gt;3.5))+SUMPRODUCT((TRIM(tblDados[Visitante])=$A506)*tblDados[Primeira_Ocorrencia]*((tblDados[GM_V]+tblDados[GS_V])&gt;3.5)))/G506,0))</f>
        <v/>
      </c>
      <c r="O506" s="16" t="str" cm="1">
        <f t="array" ref="O506">IF($A506="","",IFERROR((SUMPRODUCT((TRIM(tblDados[Mandante])=$A506)*tblDados[Primeira_Ocorrencia]*(tblDados[GM_M]&gt;0)*(tblDados[GS_M]&gt;0))+SUMPRODUCT((TRIM(tblDados[Visitante])=$A506)*tblDados[Primeira_Ocorrencia]*(tblDados[GM_V]&gt;0)*(tblDados[GS_V]&gt;0)))/G506,0))</f>
        <v/>
      </c>
      <c r="P506" s="14" t="str" cm="1">
        <f t="array" ref="P506">IF($A506="","",IFERROR((SUMPRODUCT((TRIM(tblDados[Mandante])=$A506)*tblDados[Primeira_Ocorrencia]*tblDados[GM_M]^2)+SUMPRODUCT((TRIM(tblDados[Visitante])=$A506)*tblDados[Primeira_Ocorrencia]*tblDados[GM_V]^2))/G506-H506^2,0))</f>
        <v/>
      </c>
      <c r="Q506" s="14" t="str">
        <f t="shared" si="148"/>
        <v/>
      </c>
      <c r="R506" s="1" t="str">
        <f t="shared" si="149"/>
        <v/>
      </c>
      <c r="S506" s="14" t="str" cm="1">
        <f t="array" ref="S506">IF($A506="","",SUMPRODUCT((TRIM(tblDados[Mandante])=$A506)*tblDados[Primeira_Ocorrencia]*tblDados[GM_M]))</f>
        <v/>
      </c>
      <c r="T506" s="14" t="str" cm="1">
        <f t="array" ref="T506">IF($A506="","",SUMPRODUCT((TRIM(tblDados[Visitante])=$A506)*tblDados[Primeira_Ocorrencia]*tblDados[GM_V]))</f>
        <v/>
      </c>
      <c r="U506" s="14" t="str">
        <f t="shared" si="150"/>
        <v/>
      </c>
      <c r="V506" s="14" t="str">
        <f t="shared" si="139"/>
        <v/>
      </c>
      <c r="W506" s="14" t="str" cm="1">
        <f t="array" ref="W506">IF($A506="","",SUMPRODUCT((TRIM(tblDados[Mandante])=$A506)*tblDados[Primeira_Ocorrencia]*tblDados[GS_M]))</f>
        <v/>
      </c>
      <c r="X506" s="14" t="str" cm="1">
        <f t="array" ref="X506">IF($A506="","",SUMPRODUCT((TRIM(tblDados[Visitante])=$A506)*tblDados[Primeira_Ocorrencia]*tblDados[GS_V]))</f>
        <v/>
      </c>
      <c r="Y506" s="14" t="str">
        <f t="shared" si="151"/>
        <v/>
      </c>
      <c r="Z506" s="14" t="str">
        <f t="shared" si="140"/>
        <v/>
      </c>
      <c r="AA506" s="14" t="str">
        <f t="shared" si="141"/>
        <v/>
      </c>
      <c r="AB506" s="14" t="str">
        <f t="shared" si="142"/>
        <v/>
      </c>
      <c r="AC506" s="14" t="str">
        <f t="shared" si="143"/>
        <v/>
      </c>
      <c r="AD506" s="14" t="str">
        <f t="shared" si="144"/>
        <v/>
      </c>
    </row>
    <row r="507" spans="2:30" x14ac:dyDescent="0.3">
      <c r="B507" s="13" t="str" cm="1">
        <f t="array" ref="B507">IF($A507="","",_xlfn.LET(_xlpm.p,IFERROR(INDEX(tblDados[País],MATCH($A507,TRIM(tblDados[Mandante]),0)),INDEX(tblDados[País],MATCH($A507,TRIM(tblDados[Visitante]),0))),_xlpm.l,IFERROR(INDEX(tblDados[Liga],MATCH($A507,TRIM(tblDados[Mandante]),0)),INDEX(tblDados[Liga],MATCH($A507,TRIM(tblDados[Visitante]),0))),_xlpm.p&amp;" - "&amp;_xlpm.l))</f>
        <v/>
      </c>
      <c r="C507" s="14" t="str">
        <f t="shared" si="145"/>
        <v/>
      </c>
      <c r="D507" s="14" t="str">
        <f t="shared" si="146"/>
        <v/>
      </c>
      <c r="E507" s="15" t="str" cm="1">
        <f t="array" ref="E507">IF($A507="","",SUMPRODUCT((TRIM(tblDados[Mandante])=$A507)*tblDados[Primeira_Ocorrencia]))</f>
        <v/>
      </c>
      <c r="F507" s="15" t="str" cm="1">
        <f t="array" ref="F507">IF($A507="","",SUMPRODUCT((TRIM(tblDados[Visitante])=$A507)*tblDados[Primeira_Ocorrencia]))</f>
        <v/>
      </c>
      <c r="G507" s="15" t="str" cm="1">
        <f t="array" ref="G507">IF($A507="","",SUMPRODUCT((TRIM(tblDados[Mandante])=$A507)*tblDados[Primeira_Ocorrencia])+SUMPRODUCT((TRIM(tblDados[Visitante])=$A507)*tblDados[Primeira_Ocorrencia]))</f>
        <v/>
      </c>
      <c r="H507" s="14" t="str">
        <f t="shared" si="147"/>
        <v/>
      </c>
      <c r="I507" s="14" t="str" cm="1">
        <f t="array" ref="I507">IF($A507="","",_xlfn.LET(_xlpm.p,IFERROR(INDEX(tblDados[País],MATCH($A507,TRIM(tblDados[Mandante]),0)),INDEX(tblDados[País],MATCH($A507,TRIM(tblDados[Visitante]),0))),_xlpm.l,IFERROR(INDEX(tblDados[Liga],MATCH($A507,TRIM(tblDados[Mandante]),0)),INDEX(tblDados[Liga],MATCH($A507,TRIM(tblDados[Visitante]),0))),IFERROR(SUMIFS(Ligas!$D$2:$D$39,Ligas!$H$2:$H$39,_xlpm.p,Ligas!$I$2:$I$39,_xlpm.l),0)))</f>
        <v/>
      </c>
      <c r="J507" s="16" t="str" cm="1">
        <f t="array" ref="J507">IF($A507="","",IFERROR((SUMPRODUCT((TRIM(tblDados[Mandante])=$A507)*tblDados[Primeira_Ocorrencia]*(tblDados[GM_M]=0))+SUMPRODUCT((TRIM(tblDados[Visitante])=$A507)*tblDados[Primeira_Ocorrencia]*(tblDados[GM_V]=0)))/G507,0))</f>
        <v/>
      </c>
      <c r="K507" s="16" t="str" cm="1">
        <f t="array" ref="K507">IF($A507="","",IFERROR((SUMPRODUCT((TRIM(tblDados[Mandante])=$A507)*tblDados[Primeira_Ocorrencia]*((tblDados[GM_M]+tblDados[GS_M])&gt;0.5))+SUMPRODUCT((TRIM(tblDados[Visitante])=$A507)*tblDados[Primeira_Ocorrencia]*((tblDados[GM_V]+tblDados[GS_V])&gt;0.5)))/G507,0))</f>
        <v/>
      </c>
      <c r="L507" s="16" t="str" cm="1">
        <f t="array" ref="L507">IF($A507="","",IFERROR((SUMPRODUCT((TRIM(tblDados[Mandante])=$A507)*tblDados[Primeira_Ocorrencia]*((tblDados[GM_M]+tblDados[GS_M])&gt;1.5))+SUMPRODUCT((TRIM(tblDados[Visitante])=$A507)*tblDados[Primeira_Ocorrencia]*((tblDados[GM_V]+tblDados[GS_V])&gt;1.5)))/G507,0))</f>
        <v/>
      </c>
      <c r="M507" s="16" t="str" cm="1">
        <f t="array" ref="M507">IF($A507="","",IFERROR((SUMPRODUCT((TRIM(tblDados[Mandante])=$A507)*tblDados[Primeira_Ocorrencia]*((tblDados[GM_M]+tblDados[GS_M])&gt;2.5))+SUMPRODUCT((TRIM(tblDados[Visitante])=$A507)*tblDados[Primeira_Ocorrencia]*((tblDados[GM_V]+tblDados[GS_V])&gt;2.5)))/G507,0))</f>
        <v/>
      </c>
      <c r="N507" s="16" t="str" cm="1">
        <f t="array" ref="N507">IF($A507="","",IFERROR((SUMPRODUCT((TRIM(tblDados[Mandante])=$A507)*tblDados[Primeira_Ocorrencia]*((tblDados[GM_M]+tblDados[GS_M])&gt;3.5))+SUMPRODUCT((TRIM(tblDados[Visitante])=$A507)*tblDados[Primeira_Ocorrencia]*((tblDados[GM_V]+tblDados[GS_V])&gt;3.5)))/G507,0))</f>
        <v/>
      </c>
      <c r="O507" s="16" t="str" cm="1">
        <f t="array" ref="O507">IF($A507="","",IFERROR((SUMPRODUCT((TRIM(tblDados[Mandante])=$A507)*tblDados[Primeira_Ocorrencia]*(tblDados[GM_M]&gt;0)*(tblDados[GS_M]&gt;0))+SUMPRODUCT((TRIM(tblDados[Visitante])=$A507)*tblDados[Primeira_Ocorrencia]*(tblDados[GM_V]&gt;0)*(tblDados[GS_V]&gt;0)))/G507,0))</f>
        <v/>
      </c>
      <c r="P507" s="14" t="str" cm="1">
        <f t="array" ref="P507">IF($A507="","",IFERROR((SUMPRODUCT((TRIM(tblDados[Mandante])=$A507)*tblDados[Primeira_Ocorrencia]*tblDados[GM_M]^2)+SUMPRODUCT((TRIM(tblDados[Visitante])=$A507)*tblDados[Primeira_Ocorrencia]*tblDados[GM_V]^2))/G507-H507^2,0))</f>
        <v/>
      </c>
      <c r="Q507" s="14" t="str">
        <f t="shared" si="148"/>
        <v/>
      </c>
      <c r="R507" s="1" t="str">
        <f t="shared" si="149"/>
        <v/>
      </c>
      <c r="S507" s="14" t="str" cm="1">
        <f t="array" ref="S507">IF($A507="","",SUMPRODUCT((TRIM(tblDados[Mandante])=$A507)*tblDados[Primeira_Ocorrencia]*tblDados[GM_M]))</f>
        <v/>
      </c>
      <c r="T507" s="14" t="str" cm="1">
        <f t="array" ref="T507">IF($A507="","",SUMPRODUCT((TRIM(tblDados[Visitante])=$A507)*tblDados[Primeira_Ocorrencia]*tblDados[GM_V]))</f>
        <v/>
      </c>
      <c r="U507" s="14" t="str">
        <f t="shared" si="150"/>
        <v/>
      </c>
      <c r="V507" s="14" t="str">
        <f t="shared" si="139"/>
        <v/>
      </c>
      <c r="W507" s="14" t="str" cm="1">
        <f t="array" ref="W507">IF($A507="","",SUMPRODUCT((TRIM(tblDados[Mandante])=$A507)*tblDados[Primeira_Ocorrencia]*tblDados[GS_M]))</f>
        <v/>
      </c>
      <c r="X507" s="14" t="str" cm="1">
        <f t="array" ref="X507">IF($A507="","",SUMPRODUCT((TRIM(tblDados[Visitante])=$A507)*tblDados[Primeira_Ocorrencia]*tblDados[GS_V]))</f>
        <v/>
      </c>
      <c r="Y507" s="14" t="str">
        <f t="shared" si="151"/>
        <v/>
      </c>
      <c r="Z507" s="14" t="str">
        <f t="shared" si="140"/>
        <v/>
      </c>
      <c r="AA507" s="14" t="str">
        <f t="shared" si="141"/>
        <v/>
      </c>
      <c r="AB507" s="14" t="str">
        <f t="shared" si="142"/>
        <v/>
      </c>
      <c r="AC507" s="14" t="str">
        <f t="shared" si="143"/>
        <v/>
      </c>
      <c r="AD507" s="14" t="str">
        <f t="shared" si="144"/>
        <v/>
      </c>
    </row>
    <row r="508" spans="2:30" x14ac:dyDescent="0.3">
      <c r="B508" s="13" t="str" cm="1">
        <f t="array" ref="B508">IF($A508="","",_xlfn.LET(_xlpm.p,IFERROR(INDEX(tblDados[País],MATCH($A508,TRIM(tblDados[Mandante]),0)),INDEX(tblDados[País],MATCH($A508,TRIM(tblDados[Visitante]),0))),_xlpm.l,IFERROR(INDEX(tblDados[Liga],MATCH($A508,TRIM(tblDados[Mandante]),0)),INDEX(tblDados[Liga],MATCH($A508,TRIM(tblDados[Visitante]),0))),_xlpm.p&amp;" - "&amp;_xlpm.l))</f>
        <v/>
      </c>
      <c r="C508" s="14" t="str">
        <f t="shared" si="145"/>
        <v/>
      </c>
      <c r="D508" s="14" t="str">
        <f t="shared" si="146"/>
        <v/>
      </c>
      <c r="E508" s="15" t="str" cm="1">
        <f t="array" ref="E508">IF($A508="","",SUMPRODUCT((TRIM(tblDados[Mandante])=$A508)*tblDados[Primeira_Ocorrencia]))</f>
        <v/>
      </c>
      <c r="F508" s="15" t="str" cm="1">
        <f t="array" ref="F508">IF($A508="","",SUMPRODUCT((TRIM(tblDados[Visitante])=$A508)*tblDados[Primeira_Ocorrencia]))</f>
        <v/>
      </c>
      <c r="G508" s="15" t="str" cm="1">
        <f t="array" ref="G508">IF($A508="","",SUMPRODUCT((TRIM(tblDados[Mandante])=$A508)*tblDados[Primeira_Ocorrencia])+SUMPRODUCT((TRIM(tblDados[Visitante])=$A508)*tblDados[Primeira_Ocorrencia]))</f>
        <v/>
      </c>
      <c r="H508" s="14" t="str">
        <f t="shared" si="147"/>
        <v/>
      </c>
      <c r="I508" s="14" t="str" cm="1">
        <f t="array" ref="I508">IF($A508="","",_xlfn.LET(_xlpm.p,IFERROR(INDEX(tblDados[País],MATCH($A508,TRIM(tblDados[Mandante]),0)),INDEX(tblDados[País],MATCH($A508,TRIM(tblDados[Visitante]),0))),_xlpm.l,IFERROR(INDEX(tblDados[Liga],MATCH($A508,TRIM(tblDados[Mandante]),0)),INDEX(tblDados[Liga],MATCH($A508,TRIM(tblDados[Visitante]),0))),IFERROR(SUMIFS(Ligas!$D$2:$D$39,Ligas!$H$2:$H$39,_xlpm.p,Ligas!$I$2:$I$39,_xlpm.l),0)))</f>
        <v/>
      </c>
      <c r="J508" s="16" t="str" cm="1">
        <f t="array" ref="J508">IF($A508="","",IFERROR((SUMPRODUCT((TRIM(tblDados[Mandante])=$A508)*tblDados[Primeira_Ocorrencia]*(tblDados[GM_M]=0))+SUMPRODUCT((TRIM(tblDados[Visitante])=$A508)*tblDados[Primeira_Ocorrencia]*(tblDados[GM_V]=0)))/G508,0))</f>
        <v/>
      </c>
      <c r="K508" s="16" t="str" cm="1">
        <f t="array" ref="K508">IF($A508="","",IFERROR((SUMPRODUCT((TRIM(tblDados[Mandante])=$A508)*tblDados[Primeira_Ocorrencia]*((tblDados[GM_M]+tblDados[GS_M])&gt;0.5))+SUMPRODUCT((TRIM(tblDados[Visitante])=$A508)*tblDados[Primeira_Ocorrencia]*((tblDados[GM_V]+tblDados[GS_V])&gt;0.5)))/G508,0))</f>
        <v/>
      </c>
      <c r="L508" s="16" t="str" cm="1">
        <f t="array" ref="L508">IF($A508="","",IFERROR((SUMPRODUCT((TRIM(tblDados[Mandante])=$A508)*tblDados[Primeira_Ocorrencia]*((tblDados[GM_M]+tblDados[GS_M])&gt;1.5))+SUMPRODUCT((TRIM(tblDados[Visitante])=$A508)*tblDados[Primeira_Ocorrencia]*((tblDados[GM_V]+tblDados[GS_V])&gt;1.5)))/G508,0))</f>
        <v/>
      </c>
      <c r="M508" s="16" t="str" cm="1">
        <f t="array" ref="M508">IF($A508="","",IFERROR((SUMPRODUCT((TRIM(tblDados[Mandante])=$A508)*tblDados[Primeira_Ocorrencia]*((tblDados[GM_M]+tblDados[GS_M])&gt;2.5))+SUMPRODUCT((TRIM(tblDados[Visitante])=$A508)*tblDados[Primeira_Ocorrencia]*((tblDados[GM_V]+tblDados[GS_V])&gt;2.5)))/G508,0))</f>
        <v/>
      </c>
      <c r="N508" s="16" t="str" cm="1">
        <f t="array" ref="N508">IF($A508="","",IFERROR((SUMPRODUCT((TRIM(tblDados[Mandante])=$A508)*tblDados[Primeira_Ocorrencia]*((tblDados[GM_M]+tblDados[GS_M])&gt;3.5))+SUMPRODUCT((TRIM(tblDados[Visitante])=$A508)*tblDados[Primeira_Ocorrencia]*((tblDados[GM_V]+tblDados[GS_V])&gt;3.5)))/G508,0))</f>
        <v/>
      </c>
      <c r="O508" s="16" t="str" cm="1">
        <f t="array" ref="O508">IF($A508="","",IFERROR((SUMPRODUCT((TRIM(tblDados[Mandante])=$A508)*tblDados[Primeira_Ocorrencia]*(tblDados[GM_M]&gt;0)*(tblDados[GS_M]&gt;0))+SUMPRODUCT((TRIM(tblDados[Visitante])=$A508)*tblDados[Primeira_Ocorrencia]*(tblDados[GM_V]&gt;0)*(tblDados[GS_V]&gt;0)))/G508,0))</f>
        <v/>
      </c>
      <c r="P508" s="14" t="str" cm="1">
        <f t="array" ref="P508">IF($A508="","",IFERROR((SUMPRODUCT((TRIM(tblDados[Mandante])=$A508)*tblDados[Primeira_Ocorrencia]*tblDados[GM_M]^2)+SUMPRODUCT((TRIM(tblDados[Visitante])=$A508)*tblDados[Primeira_Ocorrencia]*tblDados[GM_V]^2))/G508-H508^2,0))</f>
        <v/>
      </c>
      <c r="Q508" s="14" t="str">
        <f t="shared" si="148"/>
        <v/>
      </c>
      <c r="R508" s="1" t="str">
        <f t="shared" si="149"/>
        <v/>
      </c>
      <c r="S508" s="14" t="str" cm="1">
        <f t="array" ref="S508">IF($A508="","",SUMPRODUCT((TRIM(tblDados[Mandante])=$A508)*tblDados[Primeira_Ocorrencia]*tblDados[GM_M]))</f>
        <v/>
      </c>
      <c r="T508" s="14" t="str" cm="1">
        <f t="array" ref="T508">IF($A508="","",SUMPRODUCT((TRIM(tblDados[Visitante])=$A508)*tblDados[Primeira_Ocorrencia]*tblDados[GM_V]))</f>
        <v/>
      </c>
      <c r="U508" s="14" t="str">
        <f t="shared" si="150"/>
        <v/>
      </c>
      <c r="V508" s="14" t="str">
        <f t="shared" si="139"/>
        <v/>
      </c>
      <c r="W508" s="14" t="str" cm="1">
        <f t="array" ref="W508">IF($A508="","",SUMPRODUCT((TRIM(tblDados[Mandante])=$A508)*tblDados[Primeira_Ocorrencia]*tblDados[GS_M]))</f>
        <v/>
      </c>
      <c r="X508" s="14" t="str" cm="1">
        <f t="array" ref="X508">IF($A508="","",SUMPRODUCT((TRIM(tblDados[Visitante])=$A508)*tblDados[Primeira_Ocorrencia]*tblDados[GS_V]))</f>
        <v/>
      </c>
      <c r="Y508" s="14" t="str">
        <f t="shared" si="151"/>
        <v/>
      </c>
      <c r="Z508" s="14" t="str">
        <f t="shared" si="140"/>
        <v/>
      </c>
      <c r="AA508" s="14" t="str">
        <f t="shared" si="141"/>
        <v/>
      </c>
      <c r="AB508" s="14" t="str">
        <f t="shared" si="142"/>
        <v/>
      </c>
      <c r="AC508" s="14" t="str">
        <f t="shared" si="143"/>
        <v/>
      </c>
      <c r="AD508" s="14" t="str">
        <f t="shared" si="144"/>
        <v/>
      </c>
    </row>
    <row r="509" spans="2:30" x14ac:dyDescent="0.3">
      <c r="B509" s="13" t="str" cm="1">
        <f t="array" ref="B509">IF($A509="","",_xlfn.LET(_xlpm.p,IFERROR(INDEX(tblDados[País],MATCH($A509,TRIM(tblDados[Mandante]),0)),INDEX(tblDados[País],MATCH($A509,TRIM(tblDados[Visitante]),0))),_xlpm.l,IFERROR(INDEX(tblDados[Liga],MATCH($A509,TRIM(tblDados[Mandante]),0)),INDEX(tblDados[Liga],MATCH($A509,TRIM(tblDados[Visitante]),0))),_xlpm.p&amp;" - "&amp;_xlpm.l))</f>
        <v/>
      </c>
      <c r="C509" s="14" t="str">
        <f t="shared" si="145"/>
        <v/>
      </c>
      <c r="D509" s="14" t="str">
        <f t="shared" si="146"/>
        <v/>
      </c>
      <c r="E509" s="15" t="str" cm="1">
        <f t="array" ref="E509">IF($A509="","",SUMPRODUCT((TRIM(tblDados[Mandante])=$A509)*tblDados[Primeira_Ocorrencia]))</f>
        <v/>
      </c>
      <c r="F509" s="15" t="str" cm="1">
        <f t="array" ref="F509">IF($A509="","",SUMPRODUCT((TRIM(tblDados[Visitante])=$A509)*tblDados[Primeira_Ocorrencia]))</f>
        <v/>
      </c>
      <c r="G509" s="15" t="str" cm="1">
        <f t="array" ref="G509">IF($A509="","",SUMPRODUCT((TRIM(tblDados[Mandante])=$A509)*tblDados[Primeira_Ocorrencia])+SUMPRODUCT((TRIM(tblDados[Visitante])=$A509)*tblDados[Primeira_Ocorrencia]))</f>
        <v/>
      </c>
      <c r="H509" s="14" t="str">
        <f t="shared" si="147"/>
        <v/>
      </c>
      <c r="I509" s="14" t="str" cm="1">
        <f t="array" ref="I509">IF($A509="","",_xlfn.LET(_xlpm.p,IFERROR(INDEX(tblDados[País],MATCH($A509,TRIM(tblDados[Mandante]),0)),INDEX(tblDados[País],MATCH($A509,TRIM(tblDados[Visitante]),0))),_xlpm.l,IFERROR(INDEX(tblDados[Liga],MATCH($A509,TRIM(tblDados[Mandante]),0)),INDEX(tblDados[Liga],MATCH($A509,TRIM(tblDados[Visitante]),0))),IFERROR(SUMIFS(Ligas!$D$2:$D$39,Ligas!$H$2:$H$39,_xlpm.p,Ligas!$I$2:$I$39,_xlpm.l),0)))</f>
        <v/>
      </c>
      <c r="J509" s="16" t="str" cm="1">
        <f t="array" ref="J509">IF($A509="","",IFERROR((SUMPRODUCT((TRIM(tblDados[Mandante])=$A509)*tblDados[Primeira_Ocorrencia]*(tblDados[GM_M]=0))+SUMPRODUCT((TRIM(tblDados[Visitante])=$A509)*tblDados[Primeira_Ocorrencia]*(tblDados[GM_V]=0)))/G509,0))</f>
        <v/>
      </c>
      <c r="K509" s="16" t="str" cm="1">
        <f t="array" ref="K509">IF($A509="","",IFERROR((SUMPRODUCT((TRIM(tblDados[Mandante])=$A509)*tblDados[Primeira_Ocorrencia]*((tblDados[GM_M]+tblDados[GS_M])&gt;0.5))+SUMPRODUCT((TRIM(tblDados[Visitante])=$A509)*tblDados[Primeira_Ocorrencia]*((tblDados[GM_V]+tblDados[GS_V])&gt;0.5)))/G509,0))</f>
        <v/>
      </c>
      <c r="L509" s="16" t="str" cm="1">
        <f t="array" ref="L509">IF($A509="","",IFERROR((SUMPRODUCT((TRIM(tblDados[Mandante])=$A509)*tblDados[Primeira_Ocorrencia]*((tblDados[GM_M]+tblDados[GS_M])&gt;1.5))+SUMPRODUCT((TRIM(tblDados[Visitante])=$A509)*tblDados[Primeira_Ocorrencia]*((tblDados[GM_V]+tblDados[GS_V])&gt;1.5)))/G509,0))</f>
        <v/>
      </c>
      <c r="M509" s="16" t="str" cm="1">
        <f t="array" ref="M509">IF($A509="","",IFERROR((SUMPRODUCT((TRIM(tblDados[Mandante])=$A509)*tblDados[Primeira_Ocorrencia]*((tblDados[GM_M]+tblDados[GS_M])&gt;2.5))+SUMPRODUCT((TRIM(tblDados[Visitante])=$A509)*tblDados[Primeira_Ocorrencia]*((tblDados[GM_V]+tblDados[GS_V])&gt;2.5)))/G509,0))</f>
        <v/>
      </c>
      <c r="N509" s="16" t="str" cm="1">
        <f t="array" ref="N509">IF($A509="","",IFERROR((SUMPRODUCT((TRIM(tblDados[Mandante])=$A509)*tblDados[Primeira_Ocorrencia]*((tblDados[GM_M]+tblDados[GS_M])&gt;3.5))+SUMPRODUCT((TRIM(tblDados[Visitante])=$A509)*tblDados[Primeira_Ocorrencia]*((tblDados[GM_V]+tblDados[GS_V])&gt;3.5)))/G509,0))</f>
        <v/>
      </c>
      <c r="O509" s="16" t="str" cm="1">
        <f t="array" ref="O509">IF($A509="","",IFERROR((SUMPRODUCT((TRIM(tblDados[Mandante])=$A509)*tblDados[Primeira_Ocorrencia]*(tblDados[GM_M]&gt;0)*(tblDados[GS_M]&gt;0))+SUMPRODUCT((TRIM(tblDados[Visitante])=$A509)*tblDados[Primeira_Ocorrencia]*(tblDados[GM_V]&gt;0)*(tblDados[GS_V]&gt;0)))/G509,0))</f>
        <v/>
      </c>
      <c r="P509" s="14" t="str" cm="1">
        <f t="array" ref="P509">IF($A509="","",IFERROR((SUMPRODUCT((TRIM(tblDados[Mandante])=$A509)*tblDados[Primeira_Ocorrencia]*tblDados[GM_M]^2)+SUMPRODUCT((TRIM(tblDados[Visitante])=$A509)*tblDados[Primeira_Ocorrencia]*tblDados[GM_V]^2))/G509-H509^2,0))</f>
        <v/>
      </c>
      <c r="Q509" s="14" t="str">
        <f t="shared" si="148"/>
        <v/>
      </c>
      <c r="R509" s="1" t="str">
        <f t="shared" si="149"/>
        <v/>
      </c>
      <c r="S509" s="14" t="str" cm="1">
        <f t="array" ref="S509">IF($A509="","",SUMPRODUCT((TRIM(tblDados[Mandante])=$A509)*tblDados[Primeira_Ocorrencia]*tblDados[GM_M]))</f>
        <v/>
      </c>
      <c r="T509" s="14" t="str" cm="1">
        <f t="array" ref="T509">IF($A509="","",SUMPRODUCT((TRIM(tblDados[Visitante])=$A509)*tblDados[Primeira_Ocorrencia]*tblDados[GM_V]))</f>
        <v/>
      </c>
      <c r="U509" s="14" t="str">
        <f t="shared" si="150"/>
        <v/>
      </c>
      <c r="V509" s="14" t="str">
        <f t="shared" si="139"/>
        <v/>
      </c>
      <c r="W509" s="14" t="str" cm="1">
        <f t="array" ref="W509">IF($A509="","",SUMPRODUCT((TRIM(tblDados[Mandante])=$A509)*tblDados[Primeira_Ocorrencia]*tblDados[GS_M]))</f>
        <v/>
      </c>
      <c r="X509" s="14" t="str" cm="1">
        <f t="array" ref="X509">IF($A509="","",SUMPRODUCT((TRIM(tblDados[Visitante])=$A509)*tblDados[Primeira_Ocorrencia]*tblDados[GS_V]))</f>
        <v/>
      </c>
      <c r="Y509" s="14" t="str">
        <f t="shared" si="151"/>
        <v/>
      </c>
      <c r="Z509" s="14" t="str">
        <f t="shared" si="140"/>
        <v/>
      </c>
      <c r="AA509" s="14" t="str">
        <f t="shared" si="141"/>
        <v/>
      </c>
      <c r="AB509" s="14" t="str">
        <f t="shared" si="142"/>
        <v/>
      </c>
      <c r="AC509" s="14" t="str">
        <f t="shared" si="143"/>
        <v/>
      </c>
      <c r="AD509" s="14" t="str">
        <f t="shared" si="144"/>
        <v/>
      </c>
    </row>
    <row r="510" spans="2:30" x14ac:dyDescent="0.3">
      <c r="B510" s="13" t="str" cm="1">
        <f t="array" ref="B510">IF($A510="","",_xlfn.LET(_xlpm.p,IFERROR(INDEX(tblDados[País],MATCH($A510,TRIM(tblDados[Mandante]),0)),INDEX(tblDados[País],MATCH($A510,TRIM(tblDados[Visitante]),0))),_xlpm.l,IFERROR(INDEX(tblDados[Liga],MATCH($A510,TRIM(tblDados[Mandante]),0)),INDEX(tblDados[Liga],MATCH($A510,TRIM(tblDados[Visitante]),0))),_xlpm.p&amp;" - "&amp;_xlpm.l))</f>
        <v/>
      </c>
      <c r="C510" s="14" t="str">
        <f t="shared" si="145"/>
        <v/>
      </c>
      <c r="D510" s="14" t="str">
        <f t="shared" si="146"/>
        <v/>
      </c>
      <c r="E510" s="15" t="str" cm="1">
        <f t="array" ref="E510">IF($A510="","",SUMPRODUCT((TRIM(tblDados[Mandante])=$A510)*tblDados[Primeira_Ocorrencia]))</f>
        <v/>
      </c>
      <c r="F510" s="15" t="str" cm="1">
        <f t="array" ref="F510">IF($A510="","",SUMPRODUCT((TRIM(tblDados[Visitante])=$A510)*tblDados[Primeira_Ocorrencia]))</f>
        <v/>
      </c>
      <c r="G510" s="15" t="str" cm="1">
        <f t="array" ref="G510">IF($A510="","",SUMPRODUCT((TRIM(tblDados[Mandante])=$A510)*tblDados[Primeira_Ocorrencia])+SUMPRODUCT((TRIM(tblDados[Visitante])=$A510)*tblDados[Primeira_Ocorrencia]))</f>
        <v/>
      </c>
      <c r="H510" s="14" t="str">
        <f t="shared" si="147"/>
        <v/>
      </c>
      <c r="I510" s="14" t="str" cm="1">
        <f t="array" ref="I510">IF($A510="","",_xlfn.LET(_xlpm.p,IFERROR(INDEX(tblDados[País],MATCH($A510,TRIM(tblDados[Mandante]),0)),INDEX(tblDados[País],MATCH($A510,TRIM(tblDados[Visitante]),0))),_xlpm.l,IFERROR(INDEX(tblDados[Liga],MATCH($A510,TRIM(tblDados[Mandante]),0)),INDEX(tblDados[Liga],MATCH($A510,TRIM(tblDados[Visitante]),0))),IFERROR(SUMIFS(Ligas!$D$2:$D$39,Ligas!$H$2:$H$39,_xlpm.p,Ligas!$I$2:$I$39,_xlpm.l),0)))</f>
        <v/>
      </c>
      <c r="J510" s="16" t="str" cm="1">
        <f t="array" ref="J510">IF($A510="","",IFERROR((SUMPRODUCT((TRIM(tblDados[Mandante])=$A510)*tblDados[Primeira_Ocorrencia]*(tblDados[GM_M]=0))+SUMPRODUCT((TRIM(tblDados[Visitante])=$A510)*tblDados[Primeira_Ocorrencia]*(tblDados[GM_V]=0)))/G510,0))</f>
        <v/>
      </c>
      <c r="K510" s="16" t="str" cm="1">
        <f t="array" ref="K510">IF($A510="","",IFERROR((SUMPRODUCT((TRIM(tblDados[Mandante])=$A510)*tblDados[Primeira_Ocorrencia]*((tblDados[GM_M]+tblDados[GS_M])&gt;0.5))+SUMPRODUCT((TRIM(tblDados[Visitante])=$A510)*tblDados[Primeira_Ocorrencia]*((tblDados[GM_V]+tblDados[GS_V])&gt;0.5)))/G510,0))</f>
        <v/>
      </c>
      <c r="L510" s="16" t="str" cm="1">
        <f t="array" ref="L510">IF($A510="","",IFERROR((SUMPRODUCT((TRIM(tblDados[Mandante])=$A510)*tblDados[Primeira_Ocorrencia]*((tblDados[GM_M]+tblDados[GS_M])&gt;1.5))+SUMPRODUCT((TRIM(tblDados[Visitante])=$A510)*tblDados[Primeira_Ocorrencia]*((tblDados[GM_V]+tblDados[GS_V])&gt;1.5)))/G510,0))</f>
        <v/>
      </c>
      <c r="M510" s="16" t="str" cm="1">
        <f t="array" ref="M510">IF($A510="","",IFERROR((SUMPRODUCT((TRIM(tblDados[Mandante])=$A510)*tblDados[Primeira_Ocorrencia]*((tblDados[GM_M]+tblDados[GS_M])&gt;2.5))+SUMPRODUCT((TRIM(tblDados[Visitante])=$A510)*tblDados[Primeira_Ocorrencia]*((tblDados[GM_V]+tblDados[GS_V])&gt;2.5)))/G510,0))</f>
        <v/>
      </c>
      <c r="N510" s="16" t="str" cm="1">
        <f t="array" ref="N510">IF($A510="","",IFERROR((SUMPRODUCT((TRIM(tblDados[Mandante])=$A510)*tblDados[Primeira_Ocorrencia]*((tblDados[GM_M]+tblDados[GS_M])&gt;3.5))+SUMPRODUCT((TRIM(tblDados[Visitante])=$A510)*tblDados[Primeira_Ocorrencia]*((tblDados[GM_V]+tblDados[GS_V])&gt;3.5)))/G510,0))</f>
        <v/>
      </c>
      <c r="O510" s="16" t="str" cm="1">
        <f t="array" ref="O510">IF($A510="","",IFERROR((SUMPRODUCT((TRIM(tblDados[Mandante])=$A510)*tblDados[Primeira_Ocorrencia]*(tblDados[GM_M]&gt;0)*(tblDados[GS_M]&gt;0))+SUMPRODUCT((TRIM(tblDados[Visitante])=$A510)*tblDados[Primeira_Ocorrencia]*(tblDados[GM_V]&gt;0)*(tblDados[GS_V]&gt;0)))/G510,0))</f>
        <v/>
      </c>
      <c r="P510" s="14" t="str" cm="1">
        <f t="array" ref="P510">IF($A510="","",IFERROR((SUMPRODUCT((TRIM(tblDados[Mandante])=$A510)*tblDados[Primeira_Ocorrencia]*tblDados[GM_M]^2)+SUMPRODUCT((TRIM(tblDados[Visitante])=$A510)*tblDados[Primeira_Ocorrencia]*tblDados[GM_V]^2))/G510-H510^2,0))</f>
        <v/>
      </c>
      <c r="Q510" s="14" t="str">
        <f t="shared" si="148"/>
        <v/>
      </c>
      <c r="R510" s="1" t="str">
        <f t="shared" si="149"/>
        <v/>
      </c>
      <c r="S510" s="14" t="str" cm="1">
        <f t="array" ref="S510">IF($A510="","",SUMPRODUCT((TRIM(tblDados[Mandante])=$A510)*tblDados[Primeira_Ocorrencia]*tblDados[GM_M]))</f>
        <v/>
      </c>
      <c r="T510" s="14" t="str" cm="1">
        <f t="array" ref="T510">IF($A510="","",SUMPRODUCT((TRIM(tblDados[Visitante])=$A510)*tblDados[Primeira_Ocorrencia]*tblDados[GM_V]))</f>
        <v/>
      </c>
      <c r="U510" s="14" t="str">
        <f t="shared" si="150"/>
        <v/>
      </c>
      <c r="V510" s="14" t="str">
        <f t="shared" si="139"/>
        <v/>
      </c>
      <c r="W510" s="14" t="str" cm="1">
        <f t="array" ref="W510">IF($A510="","",SUMPRODUCT((TRIM(tblDados[Mandante])=$A510)*tblDados[Primeira_Ocorrencia]*tblDados[GS_M]))</f>
        <v/>
      </c>
      <c r="X510" s="14" t="str" cm="1">
        <f t="array" ref="X510">IF($A510="","",SUMPRODUCT((TRIM(tblDados[Visitante])=$A510)*tblDados[Primeira_Ocorrencia]*tblDados[GS_V]))</f>
        <v/>
      </c>
      <c r="Y510" s="14" t="str">
        <f t="shared" si="151"/>
        <v/>
      </c>
      <c r="Z510" s="14" t="str">
        <f t="shared" si="140"/>
        <v/>
      </c>
      <c r="AA510" s="14" t="str">
        <f t="shared" si="141"/>
        <v/>
      </c>
      <c r="AB510" s="14" t="str">
        <f t="shared" si="142"/>
        <v/>
      </c>
      <c r="AC510" s="14" t="str">
        <f t="shared" si="143"/>
        <v/>
      </c>
      <c r="AD510" s="14" t="str">
        <f t="shared" si="144"/>
        <v/>
      </c>
    </row>
    <row r="511" spans="2:30" x14ac:dyDescent="0.3">
      <c r="B511" s="13" t="str" cm="1">
        <f t="array" ref="B511">IF($A511="","",_xlfn.LET(_xlpm.p,IFERROR(INDEX(tblDados[País],MATCH($A511,TRIM(tblDados[Mandante]),0)),INDEX(tblDados[País],MATCH($A511,TRIM(tblDados[Visitante]),0))),_xlpm.l,IFERROR(INDEX(tblDados[Liga],MATCH($A511,TRIM(tblDados[Mandante]),0)),INDEX(tblDados[Liga],MATCH($A511,TRIM(tblDados[Visitante]),0))),_xlpm.p&amp;" - "&amp;_xlpm.l))</f>
        <v/>
      </c>
      <c r="C511" s="14" t="str">
        <f t="shared" si="145"/>
        <v/>
      </c>
      <c r="D511" s="14" t="str">
        <f t="shared" si="146"/>
        <v/>
      </c>
      <c r="E511" s="15" t="str" cm="1">
        <f t="array" ref="E511">IF($A511="","",SUMPRODUCT((TRIM(tblDados[Mandante])=$A511)*tblDados[Primeira_Ocorrencia]))</f>
        <v/>
      </c>
      <c r="F511" s="15" t="str" cm="1">
        <f t="array" ref="F511">IF($A511="","",SUMPRODUCT((TRIM(tblDados[Visitante])=$A511)*tblDados[Primeira_Ocorrencia]))</f>
        <v/>
      </c>
      <c r="G511" s="15" t="str" cm="1">
        <f t="array" ref="G511">IF($A511="","",SUMPRODUCT((TRIM(tblDados[Mandante])=$A511)*tblDados[Primeira_Ocorrencia])+SUMPRODUCT((TRIM(tblDados[Visitante])=$A511)*tblDados[Primeira_Ocorrencia]))</f>
        <v/>
      </c>
      <c r="H511" s="14" t="str">
        <f t="shared" si="147"/>
        <v/>
      </c>
      <c r="I511" s="14" t="str" cm="1">
        <f t="array" ref="I511">IF($A511="","",_xlfn.LET(_xlpm.p,IFERROR(INDEX(tblDados[País],MATCH($A511,TRIM(tblDados[Mandante]),0)),INDEX(tblDados[País],MATCH($A511,TRIM(tblDados[Visitante]),0))),_xlpm.l,IFERROR(INDEX(tblDados[Liga],MATCH($A511,TRIM(tblDados[Mandante]),0)),INDEX(tblDados[Liga],MATCH($A511,TRIM(tblDados[Visitante]),0))),IFERROR(SUMIFS(Ligas!$D$2:$D$39,Ligas!$H$2:$H$39,_xlpm.p,Ligas!$I$2:$I$39,_xlpm.l),0)))</f>
        <v/>
      </c>
      <c r="J511" s="16" t="str" cm="1">
        <f t="array" ref="J511">IF($A511="","",IFERROR((SUMPRODUCT((TRIM(tblDados[Mandante])=$A511)*tblDados[Primeira_Ocorrencia]*(tblDados[GM_M]=0))+SUMPRODUCT((TRIM(tblDados[Visitante])=$A511)*tblDados[Primeira_Ocorrencia]*(tblDados[GM_V]=0)))/G511,0))</f>
        <v/>
      </c>
      <c r="K511" s="16" t="str" cm="1">
        <f t="array" ref="K511">IF($A511="","",IFERROR((SUMPRODUCT((TRIM(tblDados[Mandante])=$A511)*tblDados[Primeira_Ocorrencia]*((tblDados[GM_M]+tblDados[GS_M])&gt;0.5))+SUMPRODUCT((TRIM(tblDados[Visitante])=$A511)*tblDados[Primeira_Ocorrencia]*((tblDados[GM_V]+tblDados[GS_V])&gt;0.5)))/G511,0))</f>
        <v/>
      </c>
      <c r="L511" s="16" t="str" cm="1">
        <f t="array" ref="L511">IF($A511="","",IFERROR((SUMPRODUCT((TRIM(tblDados[Mandante])=$A511)*tblDados[Primeira_Ocorrencia]*((tblDados[GM_M]+tblDados[GS_M])&gt;1.5))+SUMPRODUCT((TRIM(tblDados[Visitante])=$A511)*tblDados[Primeira_Ocorrencia]*((tblDados[GM_V]+tblDados[GS_V])&gt;1.5)))/G511,0))</f>
        <v/>
      </c>
      <c r="M511" s="16" t="str" cm="1">
        <f t="array" ref="M511">IF($A511="","",IFERROR((SUMPRODUCT((TRIM(tblDados[Mandante])=$A511)*tblDados[Primeira_Ocorrencia]*((tblDados[GM_M]+tblDados[GS_M])&gt;2.5))+SUMPRODUCT((TRIM(tblDados[Visitante])=$A511)*tblDados[Primeira_Ocorrencia]*((tblDados[GM_V]+tblDados[GS_V])&gt;2.5)))/G511,0))</f>
        <v/>
      </c>
      <c r="N511" s="16" t="str" cm="1">
        <f t="array" ref="N511">IF($A511="","",IFERROR((SUMPRODUCT((TRIM(tblDados[Mandante])=$A511)*tblDados[Primeira_Ocorrencia]*((tblDados[GM_M]+tblDados[GS_M])&gt;3.5))+SUMPRODUCT((TRIM(tblDados[Visitante])=$A511)*tblDados[Primeira_Ocorrencia]*((tblDados[GM_V]+tblDados[GS_V])&gt;3.5)))/G511,0))</f>
        <v/>
      </c>
      <c r="O511" s="16" t="str" cm="1">
        <f t="array" ref="O511">IF($A511="","",IFERROR((SUMPRODUCT((TRIM(tblDados[Mandante])=$A511)*tblDados[Primeira_Ocorrencia]*(tblDados[GM_M]&gt;0)*(tblDados[GS_M]&gt;0))+SUMPRODUCT((TRIM(tblDados[Visitante])=$A511)*tblDados[Primeira_Ocorrencia]*(tblDados[GM_V]&gt;0)*(tblDados[GS_V]&gt;0)))/G511,0))</f>
        <v/>
      </c>
      <c r="P511" s="14" t="str" cm="1">
        <f t="array" ref="P511">IF($A511="","",IFERROR((SUMPRODUCT((TRIM(tblDados[Mandante])=$A511)*tblDados[Primeira_Ocorrencia]*tblDados[GM_M]^2)+SUMPRODUCT((TRIM(tblDados[Visitante])=$A511)*tblDados[Primeira_Ocorrencia]*tblDados[GM_V]^2))/G511-H511^2,0))</f>
        <v/>
      </c>
      <c r="Q511" s="14" t="str">
        <f t="shared" si="148"/>
        <v/>
      </c>
      <c r="R511" s="1" t="str">
        <f t="shared" si="149"/>
        <v/>
      </c>
      <c r="S511" s="14" t="str" cm="1">
        <f t="array" ref="S511">IF($A511="","",SUMPRODUCT((TRIM(tblDados[Mandante])=$A511)*tblDados[Primeira_Ocorrencia]*tblDados[GM_M]))</f>
        <v/>
      </c>
      <c r="T511" s="14" t="str" cm="1">
        <f t="array" ref="T511">IF($A511="","",SUMPRODUCT((TRIM(tblDados[Visitante])=$A511)*tblDados[Primeira_Ocorrencia]*tblDados[GM_V]))</f>
        <v/>
      </c>
      <c r="U511" s="14" t="str">
        <f t="shared" si="150"/>
        <v/>
      </c>
      <c r="V511" s="14" t="str">
        <f t="shared" si="139"/>
        <v/>
      </c>
      <c r="W511" s="14" t="str" cm="1">
        <f t="array" ref="W511">IF($A511="","",SUMPRODUCT((TRIM(tblDados[Mandante])=$A511)*tblDados[Primeira_Ocorrencia]*tblDados[GS_M]))</f>
        <v/>
      </c>
      <c r="X511" s="14" t="str" cm="1">
        <f t="array" ref="X511">IF($A511="","",SUMPRODUCT((TRIM(tblDados[Visitante])=$A511)*tblDados[Primeira_Ocorrencia]*tblDados[GS_V]))</f>
        <v/>
      </c>
      <c r="Y511" s="14" t="str">
        <f t="shared" si="151"/>
        <v/>
      </c>
      <c r="Z511" s="14" t="str">
        <f t="shared" si="140"/>
        <v/>
      </c>
      <c r="AA511" s="14" t="str">
        <f t="shared" si="141"/>
        <v/>
      </c>
      <c r="AB511" s="14" t="str">
        <f t="shared" si="142"/>
        <v/>
      </c>
      <c r="AC511" s="14" t="str">
        <f t="shared" si="143"/>
        <v/>
      </c>
      <c r="AD511" s="14" t="str">
        <f t="shared" si="144"/>
        <v/>
      </c>
    </row>
    <row r="512" spans="2:30" x14ac:dyDescent="0.3">
      <c r="B512" s="13" t="str" cm="1">
        <f t="array" ref="B512">IF($A512="","",_xlfn.LET(_xlpm.p,IFERROR(INDEX(tblDados[País],MATCH($A512,TRIM(tblDados[Mandante]),0)),INDEX(tblDados[País],MATCH($A512,TRIM(tblDados[Visitante]),0))),_xlpm.l,IFERROR(INDEX(tblDados[Liga],MATCH($A512,TRIM(tblDados[Mandante]),0)),INDEX(tblDados[Liga],MATCH($A512,TRIM(tblDados[Visitante]),0))),_xlpm.p&amp;" - "&amp;_xlpm.l))</f>
        <v/>
      </c>
      <c r="C512" s="14" t="str">
        <f t="shared" si="145"/>
        <v/>
      </c>
      <c r="D512" s="14" t="str">
        <f t="shared" si="146"/>
        <v/>
      </c>
      <c r="E512" s="15" t="str" cm="1">
        <f t="array" ref="E512">IF($A512="","",SUMPRODUCT((TRIM(tblDados[Mandante])=$A512)*tblDados[Primeira_Ocorrencia]))</f>
        <v/>
      </c>
      <c r="F512" s="15" t="str" cm="1">
        <f t="array" ref="F512">IF($A512="","",SUMPRODUCT((TRIM(tblDados[Visitante])=$A512)*tblDados[Primeira_Ocorrencia]))</f>
        <v/>
      </c>
      <c r="G512" s="15" t="str" cm="1">
        <f t="array" ref="G512">IF($A512="","",SUMPRODUCT((TRIM(tblDados[Mandante])=$A512)*tblDados[Primeira_Ocorrencia])+SUMPRODUCT((TRIM(tblDados[Visitante])=$A512)*tblDados[Primeira_Ocorrencia]))</f>
        <v/>
      </c>
      <c r="H512" s="14" t="str">
        <f t="shared" si="147"/>
        <v/>
      </c>
      <c r="I512" s="14" t="str" cm="1">
        <f t="array" ref="I512">IF($A512="","",_xlfn.LET(_xlpm.p,IFERROR(INDEX(tblDados[País],MATCH($A512,TRIM(tblDados[Mandante]),0)),INDEX(tblDados[País],MATCH($A512,TRIM(tblDados[Visitante]),0))),_xlpm.l,IFERROR(INDEX(tblDados[Liga],MATCH($A512,TRIM(tblDados[Mandante]),0)),INDEX(tblDados[Liga],MATCH($A512,TRIM(tblDados[Visitante]),0))),IFERROR(SUMIFS(Ligas!$D$2:$D$39,Ligas!$H$2:$H$39,_xlpm.p,Ligas!$I$2:$I$39,_xlpm.l),0)))</f>
        <v/>
      </c>
      <c r="J512" s="16" t="str" cm="1">
        <f t="array" ref="J512">IF($A512="","",IFERROR((SUMPRODUCT((TRIM(tblDados[Mandante])=$A512)*tblDados[Primeira_Ocorrencia]*(tblDados[GM_M]=0))+SUMPRODUCT((TRIM(tblDados[Visitante])=$A512)*tblDados[Primeira_Ocorrencia]*(tblDados[GM_V]=0)))/G512,0))</f>
        <v/>
      </c>
      <c r="K512" s="16" t="str" cm="1">
        <f t="array" ref="K512">IF($A512="","",IFERROR((SUMPRODUCT((TRIM(tblDados[Mandante])=$A512)*tblDados[Primeira_Ocorrencia]*((tblDados[GM_M]+tblDados[GS_M])&gt;0.5))+SUMPRODUCT((TRIM(tblDados[Visitante])=$A512)*tblDados[Primeira_Ocorrencia]*((tblDados[GM_V]+tblDados[GS_V])&gt;0.5)))/G512,0))</f>
        <v/>
      </c>
      <c r="L512" s="16" t="str" cm="1">
        <f t="array" ref="L512">IF($A512="","",IFERROR((SUMPRODUCT((TRIM(tblDados[Mandante])=$A512)*tblDados[Primeira_Ocorrencia]*((tblDados[GM_M]+tblDados[GS_M])&gt;1.5))+SUMPRODUCT((TRIM(tblDados[Visitante])=$A512)*tblDados[Primeira_Ocorrencia]*((tblDados[GM_V]+tblDados[GS_V])&gt;1.5)))/G512,0))</f>
        <v/>
      </c>
      <c r="M512" s="16" t="str" cm="1">
        <f t="array" ref="M512">IF($A512="","",IFERROR((SUMPRODUCT((TRIM(tblDados[Mandante])=$A512)*tblDados[Primeira_Ocorrencia]*((tblDados[GM_M]+tblDados[GS_M])&gt;2.5))+SUMPRODUCT((TRIM(tblDados[Visitante])=$A512)*tblDados[Primeira_Ocorrencia]*((tblDados[GM_V]+tblDados[GS_V])&gt;2.5)))/G512,0))</f>
        <v/>
      </c>
      <c r="N512" s="16" t="str" cm="1">
        <f t="array" ref="N512">IF($A512="","",IFERROR((SUMPRODUCT((TRIM(tblDados[Mandante])=$A512)*tblDados[Primeira_Ocorrencia]*((tblDados[GM_M]+tblDados[GS_M])&gt;3.5))+SUMPRODUCT((TRIM(tblDados[Visitante])=$A512)*tblDados[Primeira_Ocorrencia]*((tblDados[GM_V]+tblDados[GS_V])&gt;3.5)))/G512,0))</f>
        <v/>
      </c>
      <c r="O512" s="16" t="str" cm="1">
        <f t="array" ref="O512">IF($A512="","",IFERROR((SUMPRODUCT((TRIM(tblDados[Mandante])=$A512)*tblDados[Primeira_Ocorrencia]*(tblDados[GM_M]&gt;0)*(tblDados[GS_M]&gt;0))+SUMPRODUCT((TRIM(tblDados[Visitante])=$A512)*tblDados[Primeira_Ocorrencia]*(tblDados[GM_V]&gt;0)*(tblDados[GS_V]&gt;0)))/G512,0))</f>
        <v/>
      </c>
      <c r="P512" s="14" t="str" cm="1">
        <f t="array" ref="P512">IF($A512="","",IFERROR((SUMPRODUCT((TRIM(tblDados[Mandante])=$A512)*tblDados[Primeira_Ocorrencia]*tblDados[GM_M]^2)+SUMPRODUCT((TRIM(tblDados[Visitante])=$A512)*tblDados[Primeira_Ocorrencia]*tblDados[GM_V]^2))/G512-H512^2,0))</f>
        <v/>
      </c>
      <c r="Q512" s="14" t="str">
        <f t="shared" si="148"/>
        <v/>
      </c>
      <c r="R512" s="1" t="str">
        <f t="shared" si="149"/>
        <v/>
      </c>
      <c r="S512" s="14" t="str" cm="1">
        <f t="array" ref="S512">IF($A512="","",SUMPRODUCT((TRIM(tblDados[Mandante])=$A512)*tblDados[Primeira_Ocorrencia]*tblDados[GM_M]))</f>
        <v/>
      </c>
      <c r="T512" s="14" t="str" cm="1">
        <f t="array" ref="T512">IF($A512="","",SUMPRODUCT((TRIM(tblDados[Visitante])=$A512)*tblDados[Primeira_Ocorrencia]*tblDados[GM_V]))</f>
        <v/>
      </c>
      <c r="U512" s="14" t="str">
        <f t="shared" si="150"/>
        <v/>
      </c>
      <c r="V512" s="14" t="str">
        <f t="shared" si="139"/>
        <v/>
      </c>
      <c r="W512" s="14" t="str" cm="1">
        <f t="array" ref="W512">IF($A512="","",SUMPRODUCT((TRIM(tblDados[Mandante])=$A512)*tblDados[Primeira_Ocorrencia]*tblDados[GS_M]))</f>
        <v/>
      </c>
      <c r="X512" s="14" t="str" cm="1">
        <f t="array" ref="X512">IF($A512="","",SUMPRODUCT((TRIM(tblDados[Visitante])=$A512)*tblDados[Primeira_Ocorrencia]*tblDados[GS_V]))</f>
        <v/>
      </c>
      <c r="Y512" s="14" t="str">
        <f t="shared" si="151"/>
        <v/>
      </c>
      <c r="Z512" s="14" t="str">
        <f t="shared" si="140"/>
        <v/>
      </c>
      <c r="AA512" s="14" t="str">
        <f t="shared" si="141"/>
        <v/>
      </c>
      <c r="AB512" s="14" t="str">
        <f t="shared" si="142"/>
        <v/>
      </c>
      <c r="AC512" s="14" t="str">
        <f t="shared" si="143"/>
        <v/>
      </c>
      <c r="AD512" s="14" t="str">
        <f t="shared" si="144"/>
        <v/>
      </c>
    </row>
    <row r="513" spans="2:30" x14ac:dyDescent="0.3">
      <c r="B513" s="13" t="str" cm="1">
        <f t="array" ref="B513">IF($A513="","",_xlfn.LET(_xlpm.p,IFERROR(INDEX(tblDados[País],MATCH($A513,TRIM(tblDados[Mandante]),0)),INDEX(tblDados[País],MATCH($A513,TRIM(tblDados[Visitante]),0))),_xlpm.l,IFERROR(INDEX(tblDados[Liga],MATCH($A513,TRIM(tblDados[Mandante]),0)),INDEX(tblDados[Liga],MATCH($A513,TRIM(tblDados[Visitante]),0))),_xlpm.p&amp;" - "&amp;_xlpm.l))</f>
        <v/>
      </c>
      <c r="C513" s="14" t="str">
        <f t="shared" si="145"/>
        <v/>
      </c>
      <c r="D513" s="14" t="str">
        <f t="shared" si="146"/>
        <v/>
      </c>
      <c r="E513" s="15" t="str" cm="1">
        <f t="array" ref="E513">IF($A513="","",SUMPRODUCT((TRIM(tblDados[Mandante])=$A513)*tblDados[Primeira_Ocorrencia]))</f>
        <v/>
      </c>
      <c r="F513" s="15" t="str" cm="1">
        <f t="array" ref="F513">IF($A513="","",SUMPRODUCT((TRIM(tblDados[Visitante])=$A513)*tblDados[Primeira_Ocorrencia]))</f>
        <v/>
      </c>
      <c r="G513" s="15" t="str" cm="1">
        <f t="array" ref="G513">IF($A513="","",SUMPRODUCT((TRIM(tblDados[Mandante])=$A513)*tblDados[Primeira_Ocorrencia])+SUMPRODUCT((TRIM(tblDados[Visitante])=$A513)*tblDados[Primeira_Ocorrencia]))</f>
        <v/>
      </c>
      <c r="H513" s="14" t="str">
        <f t="shared" si="147"/>
        <v/>
      </c>
      <c r="I513" s="14" t="str" cm="1">
        <f t="array" ref="I513">IF($A513="","",_xlfn.LET(_xlpm.p,IFERROR(INDEX(tblDados[País],MATCH($A513,TRIM(tblDados[Mandante]),0)),INDEX(tblDados[País],MATCH($A513,TRIM(tblDados[Visitante]),0))),_xlpm.l,IFERROR(INDEX(tblDados[Liga],MATCH($A513,TRIM(tblDados[Mandante]),0)),INDEX(tblDados[Liga],MATCH($A513,TRIM(tblDados[Visitante]),0))),IFERROR(SUMIFS(Ligas!$D$2:$D$39,Ligas!$H$2:$H$39,_xlpm.p,Ligas!$I$2:$I$39,_xlpm.l),0)))</f>
        <v/>
      </c>
      <c r="J513" s="16" t="str" cm="1">
        <f t="array" ref="J513">IF($A513="","",IFERROR((SUMPRODUCT((TRIM(tblDados[Mandante])=$A513)*tblDados[Primeira_Ocorrencia]*(tblDados[GM_M]=0))+SUMPRODUCT((TRIM(tblDados[Visitante])=$A513)*tblDados[Primeira_Ocorrencia]*(tblDados[GM_V]=0)))/G513,0))</f>
        <v/>
      </c>
      <c r="K513" s="16" t="str" cm="1">
        <f t="array" ref="K513">IF($A513="","",IFERROR((SUMPRODUCT((TRIM(tblDados[Mandante])=$A513)*tblDados[Primeira_Ocorrencia]*((tblDados[GM_M]+tblDados[GS_M])&gt;0.5))+SUMPRODUCT((TRIM(tblDados[Visitante])=$A513)*tblDados[Primeira_Ocorrencia]*((tblDados[GM_V]+tblDados[GS_V])&gt;0.5)))/G513,0))</f>
        <v/>
      </c>
      <c r="L513" s="16" t="str" cm="1">
        <f t="array" ref="L513">IF($A513="","",IFERROR((SUMPRODUCT((TRIM(tblDados[Mandante])=$A513)*tblDados[Primeira_Ocorrencia]*((tblDados[GM_M]+tblDados[GS_M])&gt;1.5))+SUMPRODUCT((TRIM(tblDados[Visitante])=$A513)*tblDados[Primeira_Ocorrencia]*((tblDados[GM_V]+tblDados[GS_V])&gt;1.5)))/G513,0))</f>
        <v/>
      </c>
      <c r="M513" s="16" t="str" cm="1">
        <f t="array" ref="M513">IF($A513="","",IFERROR((SUMPRODUCT((TRIM(tblDados[Mandante])=$A513)*tblDados[Primeira_Ocorrencia]*((tblDados[GM_M]+tblDados[GS_M])&gt;2.5))+SUMPRODUCT((TRIM(tblDados[Visitante])=$A513)*tblDados[Primeira_Ocorrencia]*((tblDados[GM_V]+tblDados[GS_V])&gt;2.5)))/G513,0))</f>
        <v/>
      </c>
      <c r="N513" s="16" t="str" cm="1">
        <f t="array" ref="N513">IF($A513="","",IFERROR((SUMPRODUCT((TRIM(tblDados[Mandante])=$A513)*tblDados[Primeira_Ocorrencia]*((tblDados[GM_M]+tblDados[GS_M])&gt;3.5))+SUMPRODUCT((TRIM(tblDados[Visitante])=$A513)*tblDados[Primeira_Ocorrencia]*((tblDados[GM_V]+tblDados[GS_V])&gt;3.5)))/G513,0))</f>
        <v/>
      </c>
      <c r="O513" s="16" t="str" cm="1">
        <f t="array" ref="O513">IF($A513="","",IFERROR((SUMPRODUCT((TRIM(tblDados[Mandante])=$A513)*tblDados[Primeira_Ocorrencia]*(tblDados[GM_M]&gt;0)*(tblDados[GS_M]&gt;0))+SUMPRODUCT((TRIM(tblDados[Visitante])=$A513)*tblDados[Primeira_Ocorrencia]*(tblDados[GM_V]&gt;0)*(tblDados[GS_V]&gt;0)))/G513,0))</f>
        <v/>
      </c>
      <c r="P513" s="14" t="str" cm="1">
        <f t="array" ref="P513">IF($A513="","",IFERROR((SUMPRODUCT((TRIM(tblDados[Mandante])=$A513)*tblDados[Primeira_Ocorrencia]*tblDados[GM_M]^2)+SUMPRODUCT((TRIM(tblDados[Visitante])=$A513)*tblDados[Primeira_Ocorrencia]*tblDados[GM_V]^2))/G513-H513^2,0))</f>
        <v/>
      </c>
      <c r="Q513" s="14" t="str">
        <f t="shared" si="148"/>
        <v/>
      </c>
      <c r="R513" s="1" t="str">
        <f t="shared" si="149"/>
        <v/>
      </c>
      <c r="S513" s="14" t="str" cm="1">
        <f t="array" ref="S513">IF($A513="","",SUMPRODUCT((TRIM(tblDados[Mandante])=$A513)*tblDados[Primeira_Ocorrencia]*tblDados[GM_M]))</f>
        <v/>
      </c>
      <c r="T513" s="14" t="str" cm="1">
        <f t="array" ref="T513">IF($A513="","",SUMPRODUCT((TRIM(tblDados[Visitante])=$A513)*tblDados[Primeira_Ocorrencia]*tblDados[GM_V]))</f>
        <v/>
      </c>
      <c r="U513" s="14" t="str">
        <f t="shared" si="150"/>
        <v/>
      </c>
      <c r="V513" s="14" t="str">
        <f t="shared" si="139"/>
        <v/>
      </c>
      <c r="W513" s="14" t="str" cm="1">
        <f t="array" ref="W513">IF($A513="","",SUMPRODUCT((TRIM(tblDados[Mandante])=$A513)*tblDados[Primeira_Ocorrencia]*tblDados[GS_M]))</f>
        <v/>
      </c>
      <c r="X513" s="14" t="str" cm="1">
        <f t="array" ref="X513">IF($A513="","",SUMPRODUCT((TRIM(tblDados[Visitante])=$A513)*tblDados[Primeira_Ocorrencia]*tblDados[GS_V]))</f>
        <v/>
      </c>
      <c r="Y513" s="14" t="str">
        <f t="shared" si="151"/>
        <v/>
      </c>
      <c r="Z513" s="14" t="str">
        <f t="shared" si="140"/>
        <v/>
      </c>
      <c r="AA513" s="14" t="str">
        <f t="shared" si="141"/>
        <v/>
      </c>
      <c r="AB513" s="14" t="str">
        <f t="shared" si="142"/>
        <v/>
      </c>
      <c r="AC513" s="14" t="str">
        <f t="shared" si="143"/>
        <v/>
      </c>
      <c r="AD513" s="14" t="str">
        <f t="shared" si="144"/>
        <v/>
      </c>
    </row>
    <row r="514" spans="2:30" x14ac:dyDescent="0.3">
      <c r="B514" s="13" t="str" cm="1">
        <f t="array" ref="B514">IF($A514="","",_xlfn.LET(_xlpm.p,IFERROR(INDEX(tblDados[País],MATCH($A514,TRIM(tblDados[Mandante]),0)),INDEX(tblDados[País],MATCH($A514,TRIM(tblDados[Visitante]),0))),_xlpm.l,IFERROR(INDEX(tblDados[Liga],MATCH($A514,TRIM(tblDados[Mandante]),0)),INDEX(tblDados[Liga],MATCH($A514,TRIM(tblDados[Visitante]),0))),_xlpm.p&amp;" - "&amp;_xlpm.l))</f>
        <v/>
      </c>
      <c r="C514" s="14" t="str">
        <f t="shared" si="145"/>
        <v/>
      </c>
      <c r="D514" s="14" t="str">
        <f t="shared" si="146"/>
        <v/>
      </c>
      <c r="E514" s="15" t="str" cm="1">
        <f t="array" ref="E514">IF($A514="","",SUMPRODUCT((TRIM(tblDados[Mandante])=$A514)*tblDados[Primeira_Ocorrencia]))</f>
        <v/>
      </c>
      <c r="F514" s="15" t="str" cm="1">
        <f t="array" ref="F514">IF($A514="","",SUMPRODUCT((TRIM(tblDados[Visitante])=$A514)*tblDados[Primeira_Ocorrencia]))</f>
        <v/>
      </c>
      <c r="G514" s="15" t="str" cm="1">
        <f t="array" ref="G514">IF($A514="","",SUMPRODUCT((TRIM(tblDados[Mandante])=$A514)*tblDados[Primeira_Ocorrencia])+SUMPRODUCT((TRIM(tblDados[Visitante])=$A514)*tblDados[Primeira_Ocorrencia]))</f>
        <v/>
      </c>
      <c r="H514" s="14" t="str">
        <f t="shared" si="147"/>
        <v/>
      </c>
      <c r="I514" s="14" t="str" cm="1">
        <f t="array" ref="I514">IF($A514="","",_xlfn.LET(_xlpm.p,IFERROR(INDEX(tblDados[País],MATCH($A514,TRIM(tblDados[Mandante]),0)),INDEX(tblDados[País],MATCH($A514,TRIM(tblDados[Visitante]),0))),_xlpm.l,IFERROR(INDEX(tblDados[Liga],MATCH($A514,TRIM(tblDados[Mandante]),0)),INDEX(tblDados[Liga],MATCH($A514,TRIM(tblDados[Visitante]),0))),IFERROR(SUMIFS(Ligas!$D$2:$D$39,Ligas!$H$2:$H$39,_xlpm.p,Ligas!$I$2:$I$39,_xlpm.l),0)))</f>
        <v/>
      </c>
      <c r="J514" s="16" t="str" cm="1">
        <f t="array" ref="J514">IF($A514="","",IFERROR((SUMPRODUCT((TRIM(tblDados[Mandante])=$A514)*tblDados[Primeira_Ocorrencia]*(tblDados[GM_M]=0))+SUMPRODUCT((TRIM(tblDados[Visitante])=$A514)*tblDados[Primeira_Ocorrencia]*(tblDados[GM_V]=0)))/G514,0))</f>
        <v/>
      </c>
      <c r="K514" s="16" t="str" cm="1">
        <f t="array" ref="K514">IF($A514="","",IFERROR((SUMPRODUCT((TRIM(tblDados[Mandante])=$A514)*tblDados[Primeira_Ocorrencia]*((tblDados[GM_M]+tblDados[GS_M])&gt;0.5))+SUMPRODUCT((TRIM(tblDados[Visitante])=$A514)*tblDados[Primeira_Ocorrencia]*((tblDados[GM_V]+tblDados[GS_V])&gt;0.5)))/G514,0))</f>
        <v/>
      </c>
      <c r="L514" s="16" t="str" cm="1">
        <f t="array" ref="L514">IF($A514="","",IFERROR((SUMPRODUCT((TRIM(tblDados[Mandante])=$A514)*tblDados[Primeira_Ocorrencia]*((tblDados[GM_M]+tblDados[GS_M])&gt;1.5))+SUMPRODUCT((TRIM(tblDados[Visitante])=$A514)*tblDados[Primeira_Ocorrencia]*((tblDados[GM_V]+tblDados[GS_V])&gt;1.5)))/G514,0))</f>
        <v/>
      </c>
      <c r="M514" s="16" t="str" cm="1">
        <f t="array" ref="M514">IF($A514="","",IFERROR((SUMPRODUCT((TRIM(tblDados[Mandante])=$A514)*tblDados[Primeira_Ocorrencia]*((tblDados[GM_M]+tblDados[GS_M])&gt;2.5))+SUMPRODUCT((TRIM(tblDados[Visitante])=$A514)*tblDados[Primeira_Ocorrencia]*((tblDados[GM_V]+tblDados[GS_V])&gt;2.5)))/G514,0))</f>
        <v/>
      </c>
      <c r="N514" s="16" t="str" cm="1">
        <f t="array" ref="N514">IF($A514="","",IFERROR((SUMPRODUCT((TRIM(tblDados[Mandante])=$A514)*tblDados[Primeira_Ocorrencia]*((tblDados[GM_M]+tblDados[GS_M])&gt;3.5))+SUMPRODUCT((TRIM(tblDados[Visitante])=$A514)*tblDados[Primeira_Ocorrencia]*((tblDados[GM_V]+tblDados[GS_V])&gt;3.5)))/G514,0))</f>
        <v/>
      </c>
      <c r="O514" s="16" t="str" cm="1">
        <f t="array" ref="O514">IF($A514="","",IFERROR((SUMPRODUCT((TRIM(tblDados[Mandante])=$A514)*tblDados[Primeira_Ocorrencia]*(tblDados[GM_M]&gt;0)*(tblDados[GS_M]&gt;0))+SUMPRODUCT((TRIM(tblDados[Visitante])=$A514)*tblDados[Primeira_Ocorrencia]*(tblDados[GM_V]&gt;0)*(tblDados[GS_V]&gt;0)))/G514,0))</f>
        <v/>
      </c>
      <c r="P514" s="14" t="str" cm="1">
        <f t="array" ref="P514">IF($A514="","",IFERROR((SUMPRODUCT((TRIM(tblDados[Mandante])=$A514)*tblDados[Primeira_Ocorrencia]*tblDados[GM_M]^2)+SUMPRODUCT((TRIM(tblDados[Visitante])=$A514)*tblDados[Primeira_Ocorrencia]*tblDados[GM_V]^2))/G514-H514^2,0))</f>
        <v/>
      </c>
      <c r="Q514" s="14" t="str">
        <f t="shared" si="148"/>
        <v/>
      </c>
      <c r="R514" s="1" t="str">
        <f t="shared" si="149"/>
        <v/>
      </c>
      <c r="S514" s="14" t="str" cm="1">
        <f t="array" ref="S514">IF($A514="","",SUMPRODUCT((TRIM(tblDados[Mandante])=$A514)*tblDados[Primeira_Ocorrencia]*tblDados[GM_M]))</f>
        <v/>
      </c>
      <c r="T514" s="14" t="str" cm="1">
        <f t="array" ref="T514">IF($A514="","",SUMPRODUCT((TRIM(tblDados[Visitante])=$A514)*tblDados[Primeira_Ocorrencia]*tblDados[GM_V]))</f>
        <v/>
      </c>
      <c r="U514" s="14" t="str">
        <f t="shared" si="150"/>
        <v/>
      </c>
      <c r="V514" s="14" t="str">
        <f t="shared" ref="V514:V577" si="152">IF($A514="","",IFERROR(U514/G514,0))</f>
        <v/>
      </c>
      <c r="W514" s="14" t="str" cm="1">
        <f t="array" ref="W514">IF($A514="","",SUMPRODUCT((TRIM(tblDados[Mandante])=$A514)*tblDados[Primeira_Ocorrencia]*tblDados[GS_M]))</f>
        <v/>
      </c>
      <c r="X514" s="14" t="str" cm="1">
        <f t="array" ref="X514">IF($A514="","",SUMPRODUCT((TRIM(tblDados[Visitante])=$A514)*tblDados[Primeira_Ocorrencia]*tblDados[GS_V]))</f>
        <v/>
      </c>
      <c r="Y514" s="14" t="str">
        <f t="shared" si="151"/>
        <v/>
      </c>
      <c r="Z514" s="14" t="str">
        <f t="shared" ref="Z514:Z577" si="153">IF($A514="","",IFERROR(Y514/G514,0))</f>
        <v/>
      </c>
      <c r="AA514" s="14" t="str">
        <f t="shared" ref="AA514:AA577" si="154">IF($A514="","",IF($E514=0,"",$S514/$E514))</f>
        <v/>
      </c>
      <c r="AB514" s="14" t="str">
        <f t="shared" ref="AB514:AB577" si="155">IF($A514="","",IF($E514=0,"",$W514/$E514))</f>
        <v/>
      </c>
      <c r="AC514" s="14" t="str">
        <f t="shared" ref="AC514:AC577" si="156">IF($A514="","",IF($F514=0,"",$T514/$F514))</f>
        <v/>
      </c>
      <c r="AD514" s="14" t="str">
        <f t="shared" ref="AD514:AD577" si="157">IF($A514="","",IF($F514=0,"",$X514/$F514))</f>
        <v/>
      </c>
    </row>
    <row r="515" spans="2:30" x14ac:dyDescent="0.3">
      <c r="B515" s="13" t="str" cm="1">
        <f t="array" ref="B515">IF($A515="","",_xlfn.LET(_xlpm.p,IFERROR(INDEX(tblDados[País],MATCH($A515,TRIM(tblDados[Mandante]),0)),INDEX(tblDados[País],MATCH($A515,TRIM(tblDados[Visitante]),0))),_xlpm.l,IFERROR(INDEX(tblDados[Liga],MATCH($A515,TRIM(tblDados[Mandante]),0)),INDEX(tblDados[Liga],MATCH($A515,TRIM(tblDados[Visitante]),0))),_xlpm.p&amp;" - "&amp;_xlpm.l))</f>
        <v/>
      </c>
      <c r="C515" s="14" t="str">
        <f t="shared" ref="C515:C578" si="158">IF($A515="","",IF($E515=0,"",$AA515+$AB515))</f>
        <v/>
      </c>
      <c r="D515" s="14" t="str">
        <f t="shared" ref="D515:D578" si="159">IF($A515="","",IF($F515=0,"",$AC515+$AD515))</f>
        <v/>
      </c>
      <c r="E515" s="15" t="str" cm="1">
        <f t="array" ref="E515">IF($A515="","",SUMPRODUCT((TRIM(tblDados[Mandante])=$A515)*tblDados[Primeira_Ocorrencia]))</f>
        <v/>
      </c>
      <c r="F515" s="15" t="str" cm="1">
        <f t="array" ref="F515">IF($A515="","",SUMPRODUCT((TRIM(tblDados[Visitante])=$A515)*tblDados[Primeira_Ocorrencia]))</f>
        <v/>
      </c>
      <c r="G515" s="15" t="str" cm="1">
        <f t="array" ref="G515">IF($A515="","",SUMPRODUCT((TRIM(tblDados[Mandante])=$A515)*tblDados[Primeira_Ocorrencia])+SUMPRODUCT((TRIM(tblDados[Visitante])=$A515)*tblDados[Primeira_Ocorrencia]))</f>
        <v/>
      </c>
      <c r="H515" s="14" t="str">
        <f t="shared" ref="H515:H578" si="160">IF($A515="","",IFERROR($U515/$G515,0))</f>
        <v/>
      </c>
      <c r="I515" s="14" t="str" cm="1">
        <f t="array" ref="I515">IF($A515="","",_xlfn.LET(_xlpm.p,IFERROR(INDEX(tblDados[País],MATCH($A515,TRIM(tblDados[Mandante]),0)),INDEX(tblDados[País],MATCH($A515,TRIM(tblDados[Visitante]),0))),_xlpm.l,IFERROR(INDEX(tblDados[Liga],MATCH($A515,TRIM(tblDados[Mandante]),0)),INDEX(tblDados[Liga],MATCH($A515,TRIM(tblDados[Visitante]),0))),IFERROR(SUMIFS(Ligas!$D$2:$D$39,Ligas!$H$2:$H$39,_xlpm.p,Ligas!$I$2:$I$39,_xlpm.l),0)))</f>
        <v/>
      </c>
      <c r="J515" s="16" t="str" cm="1">
        <f t="array" ref="J515">IF($A515="","",IFERROR((SUMPRODUCT((TRIM(tblDados[Mandante])=$A515)*tblDados[Primeira_Ocorrencia]*(tblDados[GM_M]=0))+SUMPRODUCT((TRIM(tblDados[Visitante])=$A515)*tblDados[Primeira_Ocorrencia]*(tblDados[GM_V]=0)))/G515,0))</f>
        <v/>
      </c>
      <c r="K515" s="16" t="str" cm="1">
        <f t="array" ref="K515">IF($A515="","",IFERROR((SUMPRODUCT((TRIM(tblDados[Mandante])=$A515)*tblDados[Primeira_Ocorrencia]*((tblDados[GM_M]+tblDados[GS_M])&gt;0.5))+SUMPRODUCT((TRIM(tblDados[Visitante])=$A515)*tblDados[Primeira_Ocorrencia]*((tblDados[GM_V]+tblDados[GS_V])&gt;0.5)))/G515,0))</f>
        <v/>
      </c>
      <c r="L515" s="16" t="str" cm="1">
        <f t="array" ref="L515">IF($A515="","",IFERROR((SUMPRODUCT((TRIM(tblDados[Mandante])=$A515)*tblDados[Primeira_Ocorrencia]*((tblDados[GM_M]+tblDados[GS_M])&gt;1.5))+SUMPRODUCT((TRIM(tblDados[Visitante])=$A515)*tblDados[Primeira_Ocorrencia]*((tblDados[GM_V]+tblDados[GS_V])&gt;1.5)))/G515,0))</f>
        <v/>
      </c>
      <c r="M515" s="16" t="str" cm="1">
        <f t="array" ref="M515">IF($A515="","",IFERROR((SUMPRODUCT((TRIM(tblDados[Mandante])=$A515)*tblDados[Primeira_Ocorrencia]*((tblDados[GM_M]+tblDados[GS_M])&gt;2.5))+SUMPRODUCT((TRIM(tblDados[Visitante])=$A515)*tblDados[Primeira_Ocorrencia]*((tblDados[GM_V]+tblDados[GS_V])&gt;2.5)))/G515,0))</f>
        <v/>
      </c>
      <c r="N515" s="16" t="str" cm="1">
        <f t="array" ref="N515">IF($A515="","",IFERROR((SUMPRODUCT((TRIM(tblDados[Mandante])=$A515)*tblDados[Primeira_Ocorrencia]*((tblDados[GM_M]+tblDados[GS_M])&gt;3.5))+SUMPRODUCT((TRIM(tblDados[Visitante])=$A515)*tblDados[Primeira_Ocorrencia]*((tblDados[GM_V]+tblDados[GS_V])&gt;3.5)))/G515,0))</f>
        <v/>
      </c>
      <c r="O515" s="16" t="str" cm="1">
        <f t="array" ref="O515">IF($A515="","",IFERROR((SUMPRODUCT((TRIM(tblDados[Mandante])=$A515)*tblDados[Primeira_Ocorrencia]*(tblDados[GM_M]&gt;0)*(tblDados[GS_M]&gt;0))+SUMPRODUCT((TRIM(tblDados[Visitante])=$A515)*tblDados[Primeira_Ocorrencia]*(tblDados[GM_V]&gt;0)*(tblDados[GS_V]&gt;0)))/G515,0))</f>
        <v/>
      </c>
      <c r="P515" s="14" t="str" cm="1">
        <f t="array" ref="P515">IF($A515="","",IFERROR((SUMPRODUCT((TRIM(tblDados[Mandante])=$A515)*tblDados[Primeira_Ocorrencia]*tblDados[GM_M]^2)+SUMPRODUCT((TRIM(tblDados[Visitante])=$A515)*tblDados[Primeira_Ocorrencia]*tblDados[GM_V]^2))/G515-H515^2,0))</f>
        <v/>
      </c>
      <c r="Q515" s="14" t="str">
        <f t="shared" ref="Q515:Q578" si="161">IF($A515="","",IFERROR(SQRT(MAX(P515,0)),0))</f>
        <v/>
      </c>
      <c r="R515" s="1" t="str">
        <f t="shared" ref="R515:R578" si="162">IF(A515="","",IF(OR(G515&lt;5,H515=0),"Amostra Insuficiente",IF(_xlfn.CHISQ.DIST.RT(G515*P515/H515,G515-1)&lt;0.05,"Binomial Negativa","Poisson")))</f>
        <v/>
      </c>
      <c r="S515" s="14" t="str" cm="1">
        <f t="array" ref="S515">IF($A515="","",SUMPRODUCT((TRIM(tblDados[Mandante])=$A515)*tblDados[Primeira_Ocorrencia]*tblDados[GM_M]))</f>
        <v/>
      </c>
      <c r="T515" s="14" t="str" cm="1">
        <f t="array" ref="T515">IF($A515="","",SUMPRODUCT((TRIM(tblDados[Visitante])=$A515)*tblDados[Primeira_Ocorrencia]*tblDados[GM_V]))</f>
        <v/>
      </c>
      <c r="U515" s="14" t="str">
        <f t="shared" ref="U515:U578" si="163">IF($A515="","",S515+T515)</f>
        <v/>
      </c>
      <c r="V515" s="14" t="str">
        <f t="shared" si="152"/>
        <v/>
      </c>
      <c r="W515" s="14" t="str" cm="1">
        <f t="array" ref="W515">IF($A515="","",SUMPRODUCT((TRIM(tblDados[Mandante])=$A515)*tblDados[Primeira_Ocorrencia]*tblDados[GS_M]))</f>
        <v/>
      </c>
      <c r="X515" s="14" t="str" cm="1">
        <f t="array" ref="X515">IF($A515="","",SUMPRODUCT((TRIM(tblDados[Visitante])=$A515)*tblDados[Primeira_Ocorrencia]*tblDados[GS_V]))</f>
        <v/>
      </c>
      <c r="Y515" s="14" t="str">
        <f t="shared" ref="Y515:Y578" si="164">IF($A515="","",W515+X515)</f>
        <v/>
      </c>
      <c r="Z515" s="14" t="str">
        <f t="shared" si="153"/>
        <v/>
      </c>
      <c r="AA515" s="14" t="str">
        <f t="shared" si="154"/>
        <v/>
      </c>
      <c r="AB515" s="14" t="str">
        <f t="shared" si="155"/>
        <v/>
      </c>
      <c r="AC515" s="14" t="str">
        <f t="shared" si="156"/>
        <v/>
      </c>
      <c r="AD515" s="14" t="str">
        <f t="shared" si="157"/>
        <v/>
      </c>
    </row>
    <row r="516" spans="2:30" x14ac:dyDescent="0.3">
      <c r="B516" s="13" t="str" cm="1">
        <f t="array" ref="B516">IF($A516="","",_xlfn.LET(_xlpm.p,IFERROR(INDEX(tblDados[País],MATCH($A516,TRIM(tblDados[Mandante]),0)),INDEX(tblDados[País],MATCH($A516,TRIM(tblDados[Visitante]),0))),_xlpm.l,IFERROR(INDEX(tblDados[Liga],MATCH($A516,TRIM(tblDados[Mandante]),0)),INDEX(tblDados[Liga],MATCH($A516,TRIM(tblDados[Visitante]),0))),_xlpm.p&amp;" - "&amp;_xlpm.l))</f>
        <v/>
      </c>
      <c r="C516" s="14" t="str">
        <f t="shared" si="158"/>
        <v/>
      </c>
      <c r="D516" s="14" t="str">
        <f t="shared" si="159"/>
        <v/>
      </c>
      <c r="E516" s="15" t="str" cm="1">
        <f t="array" ref="E516">IF($A516="","",SUMPRODUCT((TRIM(tblDados[Mandante])=$A516)*tblDados[Primeira_Ocorrencia]))</f>
        <v/>
      </c>
      <c r="F516" s="15" t="str" cm="1">
        <f t="array" ref="F516">IF($A516="","",SUMPRODUCT((TRIM(tblDados[Visitante])=$A516)*tblDados[Primeira_Ocorrencia]))</f>
        <v/>
      </c>
      <c r="G516" s="15" t="str" cm="1">
        <f t="array" ref="G516">IF($A516="","",SUMPRODUCT((TRIM(tblDados[Mandante])=$A516)*tblDados[Primeira_Ocorrencia])+SUMPRODUCT((TRIM(tblDados[Visitante])=$A516)*tblDados[Primeira_Ocorrencia]))</f>
        <v/>
      </c>
      <c r="H516" s="14" t="str">
        <f t="shared" si="160"/>
        <v/>
      </c>
      <c r="I516" s="14" t="str" cm="1">
        <f t="array" ref="I516">IF($A516="","",_xlfn.LET(_xlpm.p,IFERROR(INDEX(tblDados[País],MATCH($A516,TRIM(tblDados[Mandante]),0)),INDEX(tblDados[País],MATCH($A516,TRIM(tblDados[Visitante]),0))),_xlpm.l,IFERROR(INDEX(tblDados[Liga],MATCH($A516,TRIM(tblDados[Mandante]),0)),INDEX(tblDados[Liga],MATCH($A516,TRIM(tblDados[Visitante]),0))),IFERROR(SUMIFS(Ligas!$D$2:$D$39,Ligas!$H$2:$H$39,_xlpm.p,Ligas!$I$2:$I$39,_xlpm.l),0)))</f>
        <v/>
      </c>
      <c r="J516" s="16" t="str" cm="1">
        <f t="array" ref="J516">IF($A516="","",IFERROR((SUMPRODUCT((TRIM(tblDados[Mandante])=$A516)*tblDados[Primeira_Ocorrencia]*(tblDados[GM_M]=0))+SUMPRODUCT((TRIM(tblDados[Visitante])=$A516)*tblDados[Primeira_Ocorrencia]*(tblDados[GM_V]=0)))/G516,0))</f>
        <v/>
      </c>
      <c r="K516" s="16" t="str" cm="1">
        <f t="array" ref="K516">IF($A516="","",IFERROR((SUMPRODUCT((TRIM(tblDados[Mandante])=$A516)*tblDados[Primeira_Ocorrencia]*((tblDados[GM_M]+tblDados[GS_M])&gt;0.5))+SUMPRODUCT((TRIM(tblDados[Visitante])=$A516)*tblDados[Primeira_Ocorrencia]*((tblDados[GM_V]+tblDados[GS_V])&gt;0.5)))/G516,0))</f>
        <v/>
      </c>
      <c r="L516" s="16" t="str" cm="1">
        <f t="array" ref="L516">IF($A516="","",IFERROR((SUMPRODUCT((TRIM(tblDados[Mandante])=$A516)*tblDados[Primeira_Ocorrencia]*((tblDados[GM_M]+tblDados[GS_M])&gt;1.5))+SUMPRODUCT((TRIM(tblDados[Visitante])=$A516)*tblDados[Primeira_Ocorrencia]*((tblDados[GM_V]+tblDados[GS_V])&gt;1.5)))/G516,0))</f>
        <v/>
      </c>
      <c r="M516" s="16" t="str" cm="1">
        <f t="array" ref="M516">IF($A516="","",IFERROR((SUMPRODUCT((TRIM(tblDados[Mandante])=$A516)*tblDados[Primeira_Ocorrencia]*((tblDados[GM_M]+tblDados[GS_M])&gt;2.5))+SUMPRODUCT((TRIM(tblDados[Visitante])=$A516)*tblDados[Primeira_Ocorrencia]*((tblDados[GM_V]+tblDados[GS_V])&gt;2.5)))/G516,0))</f>
        <v/>
      </c>
      <c r="N516" s="16" t="str" cm="1">
        <f t="array" ref="N516">IF($A516="","",IFERROR((SUMPRODUCT((TRIM(tblDados[Mandante])=$A516)*tblDados[Primeira_Ocorrencia]*((tblDados[GM_M]+tblDados[GS_M])&gt;3.5))+SUMPRODUCT((TRIM(tblDados[Visitante])=$A516)*tblDados[Primeira_Ocorrencia]*((tblDados[GM_V]+tblDados[GS_V])&gt;3.5)))/G516,0))</f>
        <v/>
      </c>
      <c r="O516" s="16" t="str" cm="1">
        <f t="array" ref="O516">IF($A516="","",IFERROR((SUMPRODUCT((TRIM(tblDados[Mandante])=$A516)*tblDados[Primeira_Ocorrencia]*(tblDados[GM_M]&gt;0)*(tblDados[GS_M]&gt;0))+SUMPRODUCT((TRIM(tblDados[Visitante])=$A516)*tblDados[Primeira_Ocorrencia]*(tblDados[GM_V]&gt;0)*(tblDados[GS_V]&gt;0)))/G516,0))</f>
        <v/>
      </c>
      <c r="P516" s="14" t="str" cm="1">
        <f t="array" ref="P516">IF($A516="","",IFERROR((SUMPRODUCT((TRIM(tblDados[Mandante])=$A516)*tblDados[Primeira_Ocorrencia]*tblDados[GM_M]^2)+SUMPRODUCT((TRIM(tblDados[Visitante])=$A516)*tblDados[Primeira_Ocorrencia]*tblDados[GM_V]^2))/G516-H516^2,0))</f>
        <v/>
      </c>
      <c r="Q516" s="14" t="str">
        <f t="shared" si="161"/>
        <v/>
      </c>
      <c r="R516" s="1" t="str">
        <f t="shared" si="162"/>
        <v/>
      </c>
      <c r="S516" s="14" t="str" cm="1">
        <f t="array" ref="S516">IF($A516="","",SUMPRODUCT((TRIM(tblDados[Mandante])=$A516)*tblDados[Primeira_Ocorrencia]*tblDados[GM_M]))</f>
        <v/>
      </c>
      <c r="T516" s="14" t="str" cm="1">
        <f t="array" ref="T516">IF($A516="","",SUMPRODUCT((TRIM(tblDados[Visitante])=$A516)*tblDados[Primeira_Ocorrencia]*tblDados[GM_V]))</f>
        <v/>
      </c>
      <c r="U516" s="14" t="str">
        <f t="shared" si="163"/>
        <v/>
      </c>
      <c r="V516" s="14" t="str">
        <f t="shared" si="152"/>
        <v/>
      </c>
      <c r="W516" s="14" t="str" cm="1">
        <f t="array" ref="W516">IF($A516="","",SUMPRODUCT((TRIM(tblDados[Mandante])=$A516)*tblDados[Primeira_Ocorrencia]*tblDados[GS_M]))</f>
        <v/>
      </c>
      <c r="X516" s="14" t="str" cm="1">
        <f t="array" ref="X516">IF($A516="","",SUMPRODUCT((TRIM(tblDados[Visitante])=$A516)*tblDados[Primeira_Ocorrencia]*tblDados[GS_V]))</f>
        <v/>
      </c>
      <c r="Y516" s="14" t="str">
        <f t="shared" si="164"/>
        <v/>
      </c>
      <c r="Z516" s="14" t="str">
        <f t="shared" si="153"/>
        <v/>
      </c>
      <c r="AA516" s="14" t="str">
        <f t="shared" si="154"/>
        <v/>
      </c>
      <c r="AB516" s="14" t="str">
        <f t="shared" si="155"/>
        <v/>
      </c>
      <c r="AC516" s="14" t="str">
        <f t="shared" si="156"/>
        <v/>
      </c>
      <c r="AD516" s="14" t="str">
        <f t="shared" si="157"/>
        <v/>
      </c>
    </row>
    <row r="517" spans="2:30" x14ac:dyDescent="0.3">
      <c r="B517" s="13" t="str" cm="1">
        <f t="array" ref="B517">IF($A517="","",_xlfn.LET(_xlpm.p,IFERROR(INDEX(tblDados[País],MATCH($A517,TRIM(tblDados[Mandante]),0)),INDEX(tblDados[País],MATCH($A517,TRIM(tblDados[Visitante]),0))),_xlpm.l,IFERROR(INDEX(tblDados[Liga],MATCH($A517,TRIM(tblDados[Mandante]),0)),INDEX(tblDados[Liga],MATCH($A517,TRIM(tblDados[Visitante]),0))),_xlpm.p&amp;" - "&amp;_xlpm.l))</f>
        <v/>
      </c>
      <c r="C517" s="14" t="str">
        <f t="shared" si="158"/>
        <v/>
      </c>
      <c r="D517" s="14" t="str">
        <f t="shared" si="159"/>
        <v/>
      </c>
      <c r="E517" s="15" t="str" cm="1">
        <f t="array" ref="E517">IF($A517="","",SUMPRODUCT((TRIM(tblDados[Mandante])=$A517)*tblDados[Primeira_Ocorrencia]))</f>
        <v/>
      </c>
      <c r="F517" s="15" t="str" cm="1">
        <f t="array" ref="F517">IF($A517="","",SUMPRODUCT((TRIM(tblDados[Visitante])=$A517)*tblDados[Primeira_Ocorrencia]))</f>
        <v/>
      </c>
      <c r="G517" s="15" t="str" cm="1">
        <f t="array" ref="G517">IF($A517="","",SUMPRODUCT((TRIM(tblDados[Mandante])=$A517)*tblDados[Primeira_Ocorrencia])+SUMPRODUCT((TRIM(tblDados[Visitante])=$A517)*tblDados[Primeira_Ocorrencia]))</f>
        <v/>
      </c>
      <c r="H517" s="14" t="str">
        <f t="shared" si="160"/>
        <v/>
      </c>
      <c r="I517" s="14" t="str" cm="1">
        <f t="array" ref="I517">IF($A517="","",_xlfn.LET(_xlpm.p,IFERROR(INDEX(tblDados[País],MATCH($A517,TRIM(tblDados[Mandante]),0)),INDEX(tblDados[País],MATCH($A517,TRIM(tblDados[Visitante]),0))),_xlpm.l,IFERROR(INDEX(tblDados[Liga],MATCH($A517,TRIM(tblDados[Mandante]),0)),INDEX(tblDados[Liga],MATCH($A517,TRIM(tblDados[Visitante]),0))),IFERROR(SUMIFS(Ligas!$D$2:$D$39,Ligas!$H$2:$H$39,_xlpm.p,Ligas!$I$2:$I$39,_xlpm.l),0)))</f>
        <v/>
      </c>
      <c r="J517" s="16" t="str" cm="1">
        <f t="array" ref="J517">IF($A517="","",IFERROR((SUMPRODUCT((TRIM(tblDados[Mandante])=$A517)*tblDados[Primeira_Ocorrencia]*(tblDados[GM_M]=0))+SUMPRODUCT((TRIM(tblDados[Visitante])=$A517)*tblDados[Primeira_Ocorrencia]*(tblDados[GM_V]=0)))/G517,0))</f>
        <v/>
      </c>
      <c r="K517" s="16" t="str" cm="1">
        <f t="array" ref="K517">IF($A517="","",IFERROR((SUMPRODUCT((TRIM(tblDados[Mandante])=$A517)*tblDados[Primeira_Ocorrencia]*((tblDados[GM_M]+tblDados[GS_M])&gt;0.5))+SUMPRODUCT((TRIM(tblDados[Visitante])=$A517)*tblDados[Primeira_Ocorrencia]*((tblDados[GM_V]+tblDados[GS_V])&gt;0.5)))/G517,0))</f>
        <v/>
      </c>
      <c r="L517" s="16" t="str" cm="1">
        <f t="array" ref="L517">IF($A517="","",IFERROR((SUMPRODUCT((TRIM(tblDados[Mandante])=$A517)*tblDados[Primeira_Ocorrencia]*((tblDados[GM_M]+tblDados[GS_M])&gt;1.5))+SUMPRODUCT((TRIM(tblDados[Visitante])=$A517)*tblDados[Primeira_Ocorrencia]*((tblDados[GM_V]+tblDados[GS_V])&gt;1.5)))/G517,0))</f>
        <v/>
      </c>
      <c r="M517" s="16" t="str" cm="1">
        <f t="array" ref="M517">IF($A517="","",IFERROR((SUMPRODUCT((TRIM(tblDados[Mandante])=$A517)*tblDados[Primeira_Ocorrencia]*((tblDados[GM_M]+tblDados[GS_M])&gt;2.5))+SUMPRODUCT((TRIM(tblDados[Visitante])=$A517)*tblDados[Primeira_Ocorrencia]*((tblDados[GM_V]+tblDados[GS_V])&gt;2.5)))/G517,0))</f>
        <v/>
      </c>
      <c r="N517" s="16" t="str" cm="1">
        <f t="array" ref="N517">IF($A517="","",IFERROR((SUMPRODUCT((TRIM(tblDados[Mandante])=$A517)*tblDados[Primeira_Ocorrencia]*((tblDados[GM_M]+tblDados[GS_M])&gt;3.5))+SUMPRODUCT((TRIM(tblDados[Visitante])=$A517)*tblDados[Primeira_Ocorrencia]*((tblDados[GM_V]+tblDados[GS_V])&gt;3.5)))/G517,0))</f>
        <v/>
      </c>
      <c r="O517" s="16" t="str" cm="1">
        <f t="array" ref="O517">IF($A517="","",IFERROR((SUMPRODUCT((TRIM(tblDados[Mandante])=$A517)*tblDados[Primeira_Ocorrencia]*(tblDados[GM_M]&gt;0)*(tblDados[GS_M]&gt;0))+SUMPRODUCT((TRIM(tblDados[Visitante])=$A517)*tblDados[Primeira_Ocorrencia]*(tblDados[GM_V]&gt;0)*(tblDados[GS_V]&gt;0)))/G517,0))</f>
        <v/>
      </c>
      <c r="P517" s="14" t="str" cm="1">
        <f t="array" ref="P517">IF($A517="","",IFERROR((SUMPRODUCT((TRIM(tblDados[Mandante])=$A517)*tblDados[Primeira_Ocorrencia]*tblDados[GM_M]^2)+SUMPRODUCT((TRIM(tblDados[Visitante])=$A517)*tblDados[Primeira_Ocorrencia]*tblDados[GM_V]^2))/G517-H517^2,0))</f>
        <v/>
      </c>
      <c r="Q517" s="14" t="str">
        <f t="shared" si="161"/>
        <v/>
      </c>
      <c r="R517" s="1" t="str">
        <f t="shared" si="162"/>
        <v/>
      </c>
      <c r="S517" s="14" t="str" cm="1">
        <f t="array" ref="S517">IF($A517="","",SUMPRODUCT((TRIM(tblDados[Mandante])=$A517)*tblDados[Primeira_Ocorrencia]*tblDados[GM_M]))</f>
        <v/>
      </c>
      <c r="T517" s="14" t="str" cm="1">
        <f t="array" ref="T517">IF($A517="","",SUMPRODUCT((TRIM(tblDados[Visitante])=$A517)*tblDados[Primeira_Ocorrencia]*tblDados[GM_V]))</f>
        <v/>
      </c>
      <c r="U517" s="14" t="str">
        <f t="shared" si="163"/>
        <v/>
      </c>
      <c r="V517" s="14" t="str">
        <f t="shared" si="152"/>
        <v/>
      </c>
      <c r="W517" s="14" t="str" cm="1">
        <f t="array" ref="W517">IF($A517="","",SUMPRODUCT((TRIM(tblDados[Mandante])=$A517)*tblDados[Primeira_Ocorrencia]*tblDados[GS_M]))</f>
        <v/>
      </c>
      <c r="X517" s="14" t="str" cm="1">
        <f t="array" ref="X517">IF($A517="","",SUMPRODUCT((TRIM(tblDados[Visitante])=$A517)*tblDados[Primeira_Ocorrencia]*tblDados[GS_V]))</f>
        <v/>
      </c>
      <c r="Y517" s="14" t="str">
        <f t="shared" si="164"/>
        <v/>
      </c>
      <c r="Z517" s="14" t="str">
        <f t="shared" si="153"/>
        <v/>
      </c>
      <c r="AA517" s="14" t="str">
        <f t="shared" si="154"/>
        <v/>
      </c>
      <c r="AB517" s="14" t="str">
        <f t="shared" si="155"/>
        <v/>
      </c>
      <c r="AC517" s="14" t="str">
        <f t="shared" si="156"/>
        <v/>
      </c>
      <c r="AD517" s="14" t="str">
        <f t="shared" si="157"/>
        <v/>
      </c>
    </row>
    <row r="518" spans="2:30" x14ac:dyDescent="0.3">
      <c r="B518" s="13" t="str" cm="1">
        <f t="array" ref="B518">IF($A518="","",_xlfn.LET(_xlpm.p,IFERROR(INDEX(tblDados[País],MATCH($A518,TRIM(tblDados[Mandante]),0)),INDEX(tblDados[País],MATCH($A518,TRIM(tblDados[Visitante]),0))),_xlpm.l,IFERROR(INDEX(tblDados[Liga],MATCH($A518,TRIM(tblDados[Mandante]),0)),INDEX(tblDados[Liga],MATCH($A518,TRIM(tblDados[Visitante]),0))),_xlpm.p&amp;" - "&amp;_xlpm.l))</f>
        <v/>
      </c>
      <c r="C518" s="14" t="str">
        <f t="shared" si="158"/>
        <v/>
      </c>
      <c r="D518" s="14" t="str">
        <f t="shared" si="159"/>
        <v/>
      </c>
      <c r="E518" s="15" t="str" cm="1">
        <f t="array" ref="E518">IF($A518="","",SUMPRODUCT((TRIM(tblDados[Mandante])=$A518)*tblDados[Primeira_Ocorrencia]))</f>
        <v/>
      </c>
      <c r="F518" s="15" t="str" cm="1">
        <f t="array" ref="F518">IF($A518="","",SUMPRODUCT((TRIM(tblDados[Visitante])=$A518)*tblDados[Primeira_Ocorrencia]))</f>
        <v/>
      </c>
      <c r="G518" s="15" t="str" cm="1">
        <f t="array" ref="G518">IF($A518="","",SUMPRODUCT((TRIM(tblDados[Mandante])=$A518)*tblDados[Primeira_Ocorrencia])+SUMPRODUCT((TRIM(tblDados[Visitante])=$A518)*tblDados[Primeira_Ocorrencia]))</f>
        <v/>
      </c>
      <c r="H518" s="14" t="str">
        <f t="shared" si="160"/>
        <v/>
      </c>
      <c r="I518" s="14" t="str" cm="1">
        <f t="array" ref="I518">IF($A518="","",_xlfn.LET(_xlpm.p,IFERROR(INDEX(tblDados[País],MATCH($A518,TRIM(tblDados[Mandante]),0)),INDEX(tblDados[País],MATCH($A518,TRIM(tblDados[Visitante]),0))),_xlpm.l,IFERROR(INDEX(tblDados[Liga],MATCH($A518,TRIM(tblDados[Mandante]),0)),INDEX(tblDados[Liga],MATCH($A518,TRIM(tblDados[Visitante]),0))),IFERROR(SUMIFS(Ligas!$D$2:$D$39,Ligas!$H$2:$H$39,_xlpm.p,Ligas!$I$2:$I$39,_xlpm.l),0)))</f>
        <v/>
      </c>
      <c r="J518" s="16" t="str" cm="1">
        <f t="array" ref="J518">IF($A518="","",IFERROR((SUMPRODUCT((TRIM(tblDados[Mandante])=$A518)*tblDados[Primeira_Ocorrencia]*(tblDados[GM_M]=0))+SUMPRODUCT((TRIM(tblDados[Visitante])=$A518)*tblDados[Primeira_Ocorrencia]*(tblDados[GM_V]=0)))/G518,0))</f>
        <v/>
      </c>
      <c r="K518" s="16" t="str" cm="1">
        <f t="array" ref="K518">IF($A518="","",IFERROR((SUMPRODUCT((TRIM(tblDados[Mandante])=$A518)*tblDados[Primeira_Ocorrencia]*((tblDados[GM_M]+tblDados[GS_M])&gt;0.5))+SUMPRODUCT((TRIM(tblDados[Visitante])=$A518)*tblDados[Primeira_Ocorrencia]*((tblDados[GM_V]+tblDados[GS_V])&gt;0.5)))/G518,0))</f>
        <v/>
      </c>
      <c r="L518" s="16" t="str" cm="1">
        <f t="array" ref="L518">IF($A518="","",IFERROR((SUMPRODUCT((TRIM(tblDados[Mandante])=$A518)*tblDados[Primeira_Ocorrencia]*((tblDados[GM_M]+tblDados[GS_M])&gt;1.5))+SUMPRODUCT((TRIM(tblDados[Visitante])=$A518)*tblDados[Primeira_Ocorrencia]*((tblDados[GM_V]+tblDados[GS_V])&gt;1.5)))/G518,0))</f>
        <v/>
      </c>
      <c r="M518" s="16" t="str" cm="1">
        <f t="array" ref="M518">IF($A518="","",IFERROR((SUMPRODUCT((TRIM(tblDados[Mandante])=$A518)*tblDados[Primeira_Ocorrencia]*((tblDados[GM_M]+tblDados[GS_M])&gt;2.5))+SUMPRODUCT((TRIM(tblDados[Visitante])=$A518)*tblDados[Primeira_Ocorrencia]*((tblDados[GM_V]+tblDados[GS_V])&gt;2.5)))/G518,0))</f>
        <v/>
      </c>
      <c r="N518" s="16" t="str" cm="1">
        <f t="array" ref="N518">IF($A518="","",IFERROR((SUMPRODUCT((TRIM(tblDados[Mandante])=$A518)*tblDados[Primeira_Ocorrencia]*((tblDados[GM_M]+tblDados[GS_M])&gt;3.5))+SUMPRODUCT((TRIM(tblDados[Visitante])=$A518)*tblDados[Primeira_Ocorrencia]*((tblDados[GM_V]+tblDados[GS_V])&gt;3.5)))/G518,0))</f>
        <v/>
      </c>
      <c r="O518" s="16" t="str" cm="1">
        <f t="array" ref="O518">IF($A518="","",IFERROR((SUMPRODUCT((TRIM(tblDados[Mandante])=$A518)*tblDados[Primeira_Ocorrencia]*(tblDados[GM_M]&gt;0)*(tblDados[GS_M]&gt;0))+SUMPRODUCT((TRIM(tblDados[Visitante])=$A518)*tblDados[Primeira_Ocorrencia]*(tblDados[GM_V]&gt;0)*(tblDados[GS_V]&gt;0)))/G518,0))</f>
        <v/>
      </c>
      <c r="P518" s="14" t="str" cm="1">
        <f t="array" ref="P518">IF($A518="","",IFERROR((SUMPRODUCT((TRIM(tblDados[Mandante])=$A518)*tblDados[Primeira_Ocorrencia]*tblDados[GM_M]^2)+SUMPRODUCT((TRIM(tblDados[Visitante])=$A518)*tblDados[Primeira_Ocorrencia]*tblDados[GM_V]^2))/G518-H518^2,0))</f>
        <v/>
      </c>
      <c r="Q518" s="14" t="str">
        <f t="shared" si="161"/>
        <v/>
      </c>
      <c r="R518" s="1" t="str">
        <f t="shared" si="162"/>
        <v/>
      </c>
      <c r="S518" s="14" t="str" cm="1">
        <f t="array" ref="S518">IF($A518="","",SUMPRODUCT((TRIM(tblDados[Mandante])=$A518)*tblDados[Primeira_Ocorrencia]*tblDados[GM_M]))</f>
        <v/>
      </c>
      <c r="T518" s="14" t="str" cm="1">
        <f t="array" ref="T518">IF($A518="","",SUMPRODUCT((TRIM(tblDados[Visitante])=$A518)*tblDados[Primeira_Ocorrencia]*tblDados[GM_V]))</f>
        <v/>
      </c>
      <c r="U518" s="14" t="str">
        <f t="shared" si="163"/>
        <v/>
      </c>
      <c r="V518" s="14" t="str">
        <f t="shared" si="152"/>
        <v/>
      </c>
      <c r="W518" s="14" t="str" cm="1">
        <f t="array" ref="W518">IF($A518="","",SUMPRODUCT((TRIM(tblDados[Mandante])=$A518)*tblDados[Primeira_Ocorrencia]*tblDados[GS_M]))</f>
        <v/>
      </c>
      <c r="X518" s="14" t="str" cm="1">
        <f t="array" ref="X518">IF($A518="","",SUMPRODUCT((TRIM(tblDados[Visitante])=$A518)*tblDados[Primeira_Ocorrencia]*tblDados[GS_V]))</f>
        <v/>
      </c>
      <c r="Y518" s="14" t="str">
        <f t="shared" si="164"/>
        <v/>
      </c>
      <c r="Z518" s="14" t="str">
        <f t="shared" si="153"/>
        <v/>
      </c>
      <c r="AA518" s="14" t="str">
        <f t="shared" si="154"/>
        <v/>
      </c>
      <c r="AB518" s="14" t="str">
        <f t="shared" si="155"/>
        <v/>
      </c>
      <c r="AC518" s="14" t="str">
        <f t="shared" si="156"/>
        <v/>
      </c>
      <c r="AD518" s="14" t="str">
        <f t="shared" si="157"/>
        <v/>
      </c>
    </row>
    <row r="519" spans="2:30" x14ac:dyDescent="0.3">
      <c r="B519" s="13" t="str" cm="1">
        <f t="array" ref="B519">IF($A519="","",_xlfn.LET(_xlpm.p,IFERROR(INDEX(tblDados[País],MATCH($A519,TRIM(tblDados[Mandante]),0)),INDEX(tblDados[País],MATCH($A519,TRIM(tblDados[Visitante]),0))),_xlpm.l,IFERROR(INDEX(tblDados[Liga],MATCH($A519,TRIM(tblDados[Mandante]),0)),INDEX(tblDados[Liga],MATCH($A519,TRIM(tblDados[Visitante]),0))),_xlpm.p&amp;" - "&amp;_xlpm.l))</f>
        <v/>
      </c>
      <c r="C519" s="14" t="str">
        <f t="shared" si="158"/>
        <v/>
      </c>
      <c r="D519" s="14" t="str">
        <f t="shared" si="159"/>
        <v/>
      </c>
      <c r="E519" s="15" t="str" cm="1">
        <f t="array" ref="E519">IF($A519="","",SUMPRODUCT((TRIM(tblDados[Mandante])=$A519)*tblDados[Primeira_Ocorrencia]))</f>
        <v/>
      </c>
      <c r="F519" s="15" t="str" cm="1">
        <f t="array" ref="F519">IF($A519="","",SUMPRODUCT((TRIM(tblDados[Visitante])=$A519)*tblDados[Primeira_Ocorrencia]))</f>
        <v/>
      </c>
      <c r="G519" s="15" t="str" cm="1">
        <f t="array" ref="G519">IF($A519="","",SUMPRODUCT((TRIM(tblDados[Mandante])=$A519)*tblDados[Primeira_Ocorrencia])+SUMPRODUCT((TRIM(tblDados[Visitante])=$A519)*tblDados[Primeira_Ocorrencia]))</f>
        <v/>
      </c>
      <c r="H519" s="14" t="str">
        <f t="shared" si="160"/>
        <v/>
      </c>
      <c r="I519" s="14" t="str" cm="1">
        <f t="array" ref="I519">IF($A519="","",_xlfn.LET(_xlpm.p,IFERROR(INDEX(tblDados[País],MATCH($A519,TRIM(tblDados[Mandante]),0)),INDEX(tblDados[País],MATCH($A519,TRIM(tblDados[Visitante]),0))),_xlpm.l,IFERROR(INDEX(tblDados[Liga],MATCH($A519,TRIM(tblDados[Mandante]),0)),INDEX(tblDados[Liga],MATCH($A519,TRIM(tblDados[Visitante]),0))),IFERROR(SUMIFS(Ligas!$D$2:$D$39,Ligas!$H$2:$H$39,_xlpm.p,Ligas!$I$2:$I$39,_xlpm.l),0)))</f>
        <v/>
      </c>
      <c r="J519" s="16" t="str" cm="1">
        <f t="array" ref="J519">IF($A519="","",IFERROR((SUMPRODUCT((TRIM(tblDados[Mandante])=$A519)*tblDados[Primeira_Ocorrencia]*(tblDados[GM_M]=0))+SUMPRODUCT((TRIM(tblDados[Visitante])=$A519)*tblDados[Primeira_Ocorrencia]*(tblDados[GM_V]=0)))/G519,0))</f>
        <v/>
      </c>
      <c r="K519" s="16" t="str" cm="1">
        <f t="array" ref="K519">IF($A519="","",IFERROR((SUMPRODUCT((TRIM(tblDados[Mandante])=$A519)*tblDados[Primeira_Ocorrencia]*((tblDados[GM_M]+tblDados[GS_M])&gt;0.5))+SUMPRODUCT((TRIM(tblDados[Visitante])=$A519)*tblDados[Primeira_Ocorrencia]*((tblDados[GM_V]+tblDados[GS_V])&gt;0.5)))/G519,0))</f>
        <v/>
      </c>
      <c r="L519" s="16" t="str" cm="1">
        <f t="array" ref="L519">IF($A519="","",IFERROR((SUMPRODUCT((TRIM(tblDados[Mandante])=$A519)*tblDados[Primeira_Ocorrencia]*((tblDados[GM_M]+tblDados[GS_M])&gt;1.5))+SUMPRODUCT((TRIM(tblDados[Visitante])=$A519)*tblDados[Primeira_Ocorrencia]*((tblDados[GM_V]+tblDados[GS_V])&gt;1.5)))/G519,0))</f>
        <v/>
      </c>
      <c r="M519" s="16" t="str" cm="1">
        <f t="array" ref="M519">IF($A519="","",IFERROR((SUMPRODUCT((TRIM(tblDados[Mandante])=$A519)*tblDados[Primeira_Ocorrencia]*((tblDados[GM_M]+tblDados[GS_M])&gt;2.5))+SUMPRODUCT((TRIM(tblDados[Visitante])=$A519)*tblDados[Primeira_Ocorrencia]*((tblDados[GM_V]+tblDados[GS_V])&gt;2.5)))/G519,0))</f>
        <v/>
      </c>
      <c r="N519" s="16" t="str" cm="1">
        <f t="array" ref="N519">IF($A519="","",IFERROR((SUMPRODUCT((TRIM(tblDados[Mandante])=$A519)*tblDados[Primeira_Ocorrencia]*((tblDados[GM_M]+tblDados[GS_M])&gt;3.5))+SUMPRODUCT((TRIM(tblDados[Visitante])=$A519)*tblDados[Primeira_Ocorrencia]*((tblDados[GM_V]+tblDados[GS_V])&gt;3.5)))/G519,0))</f>
        <v/>
      </c>
      <c r="O519" s="16" t="str" cm="1">
        <f t="array" ref="O519">IF($A519="","",IFERROR((SUMPRODUCT((TRIM(tblDados[Mandante])=$A519)*tblDados[Primeira_Ocorrencia]*(tblDados[GM_M]&gt;0)*(tblDados[GS_M]&gt;0))+SUMPRODUCT((TRIM(tblDados[Visitante])=$A519)*tblDados[Primeira_Ocorrencia]*(tblDados[GM_V]&gt;0)*(tblDados[GS_V]&gt;0)))/G519,0))</f>
        <v/>
      </c>
      <c r="P519" s="14" t="str" cm="1">
        <f t="array" ref="P519">IF($A519="","",IFERROR((SUMPRODUCT((TRIM(tblDados[Mandante])=$A519)*tblDados[Primeira_Ocorrencia]*tblDados[GM_M]^2)+SUMPRODUCT((TRIM(tblDados[Visitante])=$A519)*tblDados[Primeira_Ocorrencia]*tblDados[GM_V]^2))/G519-H519^2,0))</f>
        <v/>
      </c>
      <c r="Q519" s="14" t="str">
        <f t="shared" si="161"/>
        <v/>
      </c>
      <c r="R519" s="1" t="str">
        <f t="shared" si="162"/>
        <v/>
      </c>
      <c r="S519" s="14" t="str" cm="1">
        <f t="array" ref="S519">IF($A519="","",SUMPRODUCT((TRIM(tblDados[Mandante])=$A519)*tblDados[Primeira_Ocorrencia]*tblDados[GM_M]))</f>
        <v/>
      </c>
      <c r="T519" s="14" t="str" cm="1">
        <f t="array" ref="T519">IF($A519="","",SUMPRODUCT((TRIM(tblDados[Visitante])=$A519)*tblDados[Primeira_Ocorrencia]*tblDados[GM_V]))</f>
        <v/>
      </c>
      <c r="U519" s="14" t="str">
        <f t="shared" si="163"/>
        <v/>
      </c>
      <c r="V519" s="14" t="str">
        <f t="shared" si="152"/>
        <v/>
      </c>
      <c r="W519" s="14" t="str" cm="1">
        <f t="array" ref="W519">IF($A519="","",SUMPRODUCT((TRIM(tblDados[Mandante])=$A519)*tblDados[Primeira_Ocorrencia]*tblDados[GS_M]))</f>
        <v/>
      </c>
      <c r="X519" s="14" t="str" cm="1">
        <f t="array" ref="X519">IF($A519="","",SUMPRODUCT((TRIM(tblDados[Visitante])=$A519)*tblDados[Primeira_Ocorrencia]*tblDados[GS_V]))</f>
        <v/>
      </c>
      <c r="Y519" s="14" t="str">
        <f t="shared" si="164"/>
        <v/>
      </c>
      <c r="Z519" s="14" t="str">
        <f t="shared" si="153"/>
        <v/>
      </c>
      <c r="AA519" s="14" t="str">
        <f t="shared" si="154"/>
        <v/>
      </c>
      <c r="AB519" s="14" t="str">
        <f t="shared" si="155"/>
        <v/>
      </c>
      <c r="AC519" s="14" t="str">
        <f t="shared" si="156"/>
        <v/>
      </c>
      <c r="AD519" s="14" t="str">
        <f t="shared" si="157"/>
        <v/>
      </c>
    </row>
    <row r="520" spans="2:30" x14ac:dyDescent="0.3">
      <c r="B520" s="13" t="str" cm="1">
        <f t="array" ref="B520">IF($A520="","",_xlfn.LET(_xlpm.p,IFERROR(INDEX(tblDados[País],MATCH($A520,TRIM(tblDados[Mandante]),0)),INDEX(tblDados[País],MATCH($A520,TRIM(tblDados[Visitante]),0))),_xlpm.l,IFERROR(INDEX(tblDados[Liga],MATCH($A520,TRIM(tblDados[Mandante]),0)),INDEX(tblDados[Liga],MATCH($A520,TRIM(tblDados[Visitante]),0))),_xlpm.p&amp;" - "&amp;_xlpm.l))</f>
        <v/>
      </c>
      <c r="C520" s="14" t="str">
        <f t="shared" si="158"/>
        <v/>
      </c>
      <c r="D520" s="14" t="str">
        <f t="shared" si="159"/>
        <v/>
      </c>
      <c r="E520" s="15" t="str" cm="1">
        <f t="array" ref="E520">IF($A520="","",SUMPRODUCT((TRIM(tblDados[Mandante])=$A520)*tblDados[Primeira_Ocorrencia]))</f>
        <v/>
      </c>
      <c r="F520" s="15" t="str" cm="1">
        <f t="array" ref="F520">IF($A520="","",SUMPRODUCT((TRIM(tblDados[Visitante])=$A520)*tblDados[Primeira_Ocorrencia]))</f>
        <v/>
      </c>
      <c r="G520" s="15" t="str" cm="1">
        <f t="array" ref="G520">IF($A520="","",SUMPRODUCT((TRIM(tblDados[Mandante])=$A520)*tblDados[Primeira_Ocorrencia])+SUMPRODUCT((TRIM(tblDados[Visitante])=$A520)*tblDados[Primeira_Ocorrencia]))</f>
        <v/>
      </c>
      <c r="H520" s="14" t="str">
        <f t="shared" si="160"/>
        <v/>
      </c>
      <c r="I520" s="14" t="str" cm="1">
        <f t="array" ref="I520">IF($A520="","",_xlfn.LET(_xlpm.p,IFERROR(INDEX(tblDados[País],MATCH($A520,TRIM(tblDados[Mandante]),0)),INDEX(tblDados[País],MATCH($A520,TRIM(tblDados[Visitante]),0))),_xlpm.l,IFERROR(INDEX(tblDados[Liga],MATCH($A520,TRIM(tblDados[Mandante]),0)),INDEX(tblDados[Liga],MATCH($A520,TRIM(tblDados[Visitante]),0))),IFERROR(SUMIFS(Ligas!$D$2:$D$39,Ligas!$H$2:$H$39,_xlpm.p,Ligas!$I$2:$I$39,_xlpm.l),0)))</f>
        <v/>
      </c>
      <c r="J520" s="16" t="str" cm="1">
        <f t="array" ref="J520">IF($A520="","",IFERROR((SUMPRODUCT((TRIM(tblDados[Mandante])=$A520)*tblDados[Primeira_Ocorrencia]*(tblDados[GM_M]=0))+SUMPRODUCT((TRIM(tblDados[Visitante])=$A520)*tblDados[Primeira_Ocorrencia]*(tblDados[GM_V]=0)))/G520,0))</f>
        <v/>
      </c>
      <c r="K520" s="16" t="str" cm="1">
        <f t="array" ref="K520">IF($A520="","",IFERROR((SUMPRODUCT((TRIM(tblDados[Mandante])=$A520)*tblDados[Primeira_Ocorrencia]*((tblDados[GM_M]+tblDados[GS_M])&gt;0.5))+SUMPRODUCT((TRIM(tblDados[Visitante])=$A520)*tblDados[Primeira_Ocorrencia]*((tblDados[GM_V]+tblDados[GS_V])&gt;0.5)))/G520,0))</f>
        <v/>
      </c>
      <c r="L520" s="16" t="str" cm="1">
        <f t="array" ref="L520">IF($A520="","",IFERROR((SUMPRODUCT((TRIM(tblDados[Mandante])=$A520)*tblDados[Primeira_Ocorrencia]*((tblDados[GM_M]+tblDados[GS_M])&gt;1.5))+SUMPRODUCT((TRIM(tblDados[Visitante])=$A520)*tblDados[Primeira_Ocorrencia]*((tblDados[GM_V]+tblDados[GS_V])&gt;1.5)))/G520,0))</f>
        <v/>
      </c>
      <c r="M520" s="16" t="str" cm="1">
        <f t="array" ref="M520">IF($A520="","",IFERROR((SUMPRODUCT((TRIM(tblDados[Mandante])=$A520)*tblDados[Primeira_Ocorrencia]*((tblDados[GM_M]+tblDados[GS_M])&gt;2.5))+SUMPRODUCT((TRIM(tblDados[Visitante])=$A520)*tblDados[Primeira_Ocorrencia]*((tblDados[GM_V]+tblDados[GS_V])&gt;2.5)))/G520,0))</f>
        <v/>
      </c>
      <c r="N520" s="16" t="str" cm="1">
        <f t="array" ref="N520">IF($A520="","",IFERROR((SUMPRODUCT((TRIM(tblDados[Mandante])=$A520)*tblDados[Primeira_Ocorrencia]*((tblDados[GM_M]+tblDados[GS_M])&gt;3.5))+SUMPRODUCT((TRIM(tblDados[Visitante])=$A520)*tblDados[Primeira_Ocorrencia]*((tblDados[GM_V]+tblDados[GS_V])&gt;3.5)))/G520,0))</f>
        <v/>
      </c>
      <c r="O520" s="16" t="str" cm="1">
        <f t="array" ref="O520">IF($A520="","",IFERROR((SUMPRODUCT((TRIM(tblDados[Mandante])=$A520)*tblDados[Primeira_Ocorrencia]*(tblDados[GM_M]&gt;0)*(tblDados[GS_M]&gt;0))+SUMPRODUCT((TRIM(tblDados[Visitante])=$A520)*tblDados[Primeira_Ocorrencia]*(tblDados[GM_V]&gt;0)*(tblDados[GS_V]&gt;0)))/G520,0))</f>
        <v/>
      </c>
      <c r="P520" s="14" t="str" cm="1">
        <f t="array" ref="P520">IF($A520="","",IFERROR((SUMPRODUCT((TRIM(tblDados[Mandante])=$A520)*tblDados[Primeira_Ocorrencia]*tblDados[GM_M]^2)+SUMPRODUCT((TRIM(tblDados[Visitante])=$A520)*tblDados[Primeira_Ocorrencia]*tblDados[GM_V]^2))/G520-H520^2,0))</f>
        <v/>
      </c>
      <c r="Q520" s="14" t="str">
        <f t="shared" si="161"/>
        <v/>
      </c>
      <c r="R520" s="1" t="str">
        <f t="shared" si="162"/>
        <v/>
      </c>
      <c r="S520" s="14" t="str" cm="1">
        <f t="array" ref="S520">IF($A520="","",SUMPRODUCT((TRIM(tblDados[Mandante])=$A520)*tblDados[Primeira_Ocorrencia]*tblDados[GM_M]))</f>
        <v/>
      </c>
      <c r="T520" s="14" t="str" cm="1">
        <f t="array" ref="T520">IF($A520="","",SUMPRODUCT((TRIM(tblDados[Visitante])=$A520)*tblDados[Primeira_Ocorrencia]*tblDados[GM_V]))</f>
        <v/>
      </c>
      <c r="U520" s="14" t="str">
        <f t="shared" si="163"/>
        <v/>
      </c>
      <c r="V520" s="14" t="str">
        <f t="shared" si="152"/>
        <v/>
      </c>
      <c r="W520" s="14" t="str" cm="1">
        <f t="array" ref="W520">IF($A520="","",SUMPRODUCT((TRIM(tblDados[Mandante])=$A520)*tblDados[Primeira_Ocorrencia]*tblDados[GS_M]))</f>
        <v/>
      </c>
      <c r="X520" s="14" t="str" cm="1">
        <f t="array" ref="X520">IF($A520="","",SUMPRODUCT((TRIM(tblDados[Visitante])=$A520)*tblDados[Primeira_Ocorrencia]*tblDados[GS_V]))</f>
        <v/>
      </c>
      <c r="Y520" s="14" t="str">
        <f t="shared" si="164"/>
        <v/>
      </c>
      <c r="Z520" s="14" t="str">
        <f t="shared" si="153"/>
        <v/>
      </c>
      <c r="AA520" s="14" t="str">
        <f t="shared" si="154"/>
        <v/>
      </c>
      <c r="AB520" s="14" t="str">
        <f t="shared" si="155"/>
        <v/>
      </c>
      <c r="AC520" s="14" t="str">
        <f t="shared" si="156"/>
        <v/>
      </c>
      <c r="AD520" s="14" t="str">
        <f t="shared" si="157"/>
        <v/>
      </c>
    </row>
    <row r="521" spans="2:30" x14ac:dyDescent="0.3">
      <c r="B521" s="13" t="str" cm="1">
        <f t="array" ref="B521">IF($A521="","",_xlfn.LET(_xlpm.p,IFERROR(INDEX(tblDados[País],MATCH($A521,TRIM(tblDados[Mandante]),0)),INDEX(tblDados[País],MATCH($A521,TRIM(tblDados[Visitante]),0))),_xlpm.l,IFERROR(INDEX(tblDados[Liga],MATCH($A521,TRIM(tblDados[Mandante]),0)),INDEX(tblDados[Liga],MATCH($A521,TRIM(tblDados[Visitante]),0))),_xlpm.p&amp;" - "&amp;_xlpm.l))</f>
        <v/>
      </c>
      <c r="C521" s="14" t="str">
        <f t="shared" si="158"/>
        <v/>
      </c>
      <c r="D521" s="14" t="str">
        <f t="shared" si="159"/>
        <v/>
      </c>
      <c r="E521" s="15" t="str" cm="1">
        <f t="array" ref="E521">IF($A521="","",SUMPRODUCT((TRIM(tblDados[Mandante])=$A521)*tblDados[Primeira_Ocorrencia]))</f>
        <v/>
      </c>
      <c r="F521" s="15" t="str" cm="1">
        <f t="array" ref="F521">IF($A521="","",SUMPRODUCT((TRIM(tblDados[Visitante])=$A521)*tblDados[Primeira_Ocorrencia]))</f>
        <v/>
      </c>
      <c r="G521" s="15" t="str" cm="1">
        <f t="array" ref="G521">IF($A521="","",SUMPRODUCT((TRIM(tblDados[Mandante])=$A521)*tblDados[Primeira_Ocorrencia])+SUMPRODUCT((TRIM(tblDados[Visitante])=$A521)*tblDados[Primeira_Ocorrencia]))</f>
        <v/>
      </c>
      <c r="H521" s="14" t="str">
        <f t="shared" si="160"/>
        <v/>
      </c>
      <c r="I521" s="14" t="str" cm="1">
        <f t="array" ref="I521">IF($A521="","",_xlfn.LET(_xlpm.p,IFERROR(INDEX(tblDados[País],MATCH($A521,TRIM(tblDados[Mandante]),0)),INDEX(tblDados[País],MATCH($A521,TRIM(tblDados[Visitante]),0))),_xlpm.l,IFERROR(INDEX(tblDados[Liga],MATCH($A521,TRIM(tblDados[Mandante]),0)),INDEX(tblDados[Liga],MATCH($A521,TRIM(tblDados[Visitante]),0))),IFERROR(SUMIFS(Ligas!$D$2:$D$39,Ligas!$H$2:$H$39,_xlpm.p,Ligas!$I$2:$I$39,_xlpm.l),0)))</f>
        <v/>
      </c>
      <c r="J521" s="16" t="str" cm="1">
        <f t="array" ref="J521">IF($A521="","",IFERROR((SUMPRODUCT((TRIM(tblDados[Mandante])=$A521)*tblDados[Primeira_Ocorrencia]*(tblDados[GM_M]=0))+SUMPRODUCT((TRIM(tblDados[Visitante])=$A521)*tblDados[Primeira_Ocorrencia]*(tblDados[GM_V]=0)))/G521,0))</f>
        <v/>
      </c>
      <c r="K521" s="16" t="str" cm="1">
        <f t="array" ref="K521">IF($A521="","",IFERROR((SUMPRODUCT((TRIM(tblDados[Mandante])=$A521)*tblDados[Primeira_Ocorrencia]*((tblDados[GM_M]+tblDados[GS_M])&gt;0.5))+SUMPRODUCT((TRIM(tblDados[Visitante])=$A521)*tblDados[Primeira_Ocorrencia]*((tblDados[GM_V]+tblDados[GS_V])&gt;0.5)))/G521,0))</f>
        <v/>
      </c>
      <c r="L521" s="16" t="str" cm="1">
        <f t="array" ref="L521">IF($A521="","",IFERROR((SUMPRODUCT((TRIM(tblDados[Mandante])=$A521)*tblDados[Primeira_Ocorrencia]*((tblDados[GM_M]+tblDados[GS_M])&gt;1.5))+SUMPRODUCT((TRIM(tblDados[Visitante])=$A521)*tblDados[Primeira_Ocorrencia]*((tblDados[GM_V]+tblDados[GS_V])&gt;1.5)))/G521,0))</f>
        <v/>
      </c>
      <c r="M521" s="16" t="str" cm="1">
        <f t="array" ref="M521">IF($A521="","",IFERROR((SUMPRODUCT((TRIM(tblDados[Mandante])=$A521)*tblDados[Primeira_Ocorrencia]*((tblDados[GM_M]+tblDados[GS_M])&gt;2.5))+SUMPRODUCT((TRIM(tblDados[Visitante])=$A521)*tblDados[Primeira_Ocorrencia]*((tblDados[GM_V]+tblDados[GS_V])&gt;2.5)))/G521,0))</f>
        <v/>
      </c>
      <c r="N521" s="16" t="str" cm="1">
        <f t="array" ref="N521">IF($A521="","",IFERROR((SUMPRODUCT((TRIM(tblDados[Mandante])=$A521)*tblDados[Primeira_Ocorrencia]*((tblDados[GM_M]+tblDados[GS_M])&gt;3.5))+SUMPRODUCT((TRIM(tblDados[Visitante])=$A521)*tblDados[Primeira_Ocorrencia]*((tblDados[GM_V]+tblDados[GS_V])&gt;3.5)))/G521,0))</f>
        <v/>
      </c>
      <c r="O521" s="16" t="str" cm="1">
        <f t="array" ref="O521">IF($A521="","",IFERROR((SUMPRODUCT((TRIM(tblDados[Mandante])=$A521)*tblDados[Primeira_Ocorrencia]*(tblDados[GM_M]&gt;0)*(tblDados[GS_M]&gt;0))+SUMPRODUCT((TRIM(tblDados[Visitante])=$A521)*tblDados[Primeira_Ocorrencia]*(tblDados[GM_V]&gt;0)*(tblDados[GS_V]&gt;0)))/G521,0))</f>
        <v/>
      </c>
      <c r="P521" s="14" t="str" cm="1">
        <f t="array" ref="P521">IF($A521="","",IFERROR((SUMPRODUCT((TRIM(tblDados[Mandante])=$A521)*tblDados[Primeira_Ocorrencia]*tblDados[GM_M]^2)+SUMPRODUCT((TRIM(tblDados[Visitante])=$A521)*tblDados[Primeira_Ocorrencia]*tblDados[GM_V]^2))/G521-H521^2,0))</f>
        <v/>
      </c>
      <c r="Q521" s="14" t="str">
        <f t="shared" si="161"/>
        <v/>
      </c>
      <c r="R521" s="1" t="str">
        <f t="shared" si="162"/>
        <v/>
      </c>
      <c r="S521" s="14" t="str" cm="1">
        <f t="array" ref="S521">IF($A521="","",SUMPRODUCT((TRIM(tblDados[Mandante])=$A521)*tblDados[Primeira_Ocorrencia]*tblDados[GM_M]))</f>
        <v/>
      </c>
      <c r="T521" s="14" t="str" cm="1">
        <f t="array" ref="T521">IF($A521="","",SUMPRODUCT((TRIM(tblDados[Visitante])=$A521)*tblDados[Primeira_Ocorrencia]*tblDados[GM_V]))</f>
        <v/>
      </c>
      <c r="U521" s="14" t="str">
        <f t="shared" si="163"/>
        <v/>
      </c>
      <c r="V521" s="14" t="str">
        <f t="shared" si="152"/>
        <v/>
      </c>
      <c r="W521" s="14" t="str" cm="1">
        <f t="array" ref="W521">IF($A521="","",SUMPRODUCT((TRIM(tblDados[Mandante])=$A521)*tblDados[Primeira_Ocorrencia]*tblDados[GS_M]))</f>
        <v/>
      </c>
      <c r="X521" s="14" t="str" cm="1">
        <f t="array" ref="X521">IF($A521="","",SUMPRODUCT((TRIM(tblDados[Visitante])=$A521)*tblDados[Primeira_Ocorrencia]*tblDados[GS_V]))</f>
        <v/>
      </c>
      <c r="Y521" s="14" t="str">
        <f t="shared" si="164"/>
        <v/>
      </c>
      <c r="Z521" s="14" t="str">
        <f t="shared" si="153"/>
        <v/>
      </c>
      <c r="AA521" s="14" t="str">
        <f t="shared" si="154"/>
        <v/>
      </c>
      <c r="AB521" s="14" t="str">
        <f t="shared" si="155"/>
        <v/>
      </c>
      <c r="AC521" s="14" t="str">
        <f t="shared" si="156"/>
        <v/>
      </c>
      <c r="AD521" s="14" t="str">
        <f t="shared" si="157"/>
        <v/>
      </c>
    </row>
    <row r="522" spans="2:30" x14ac:dyDescent="0.3">
      <c r="B522" s="13" t="str" cm="1">
        <f t="array" ref="B522">IF($A522="","",_xlfn.LET(_xlpm.p,IFERROR(INDEX(tblDados[País],MATCH($A522,TRIM(tblDados[Mandante]),0)),INDEX(tblDados[País],MATCH($A522,TRIM(tblDados[Visitante]),0))),_xlpm.l,IFERROR(INDEX(tblDados[Liga],MATCH($A522,TRIM(tblDados[Mandante]),0)),INDEX(tblDados[Liga],MATCH($A522,TRIM(tblDados[Visitante]),0))),_xlpm.p&amp;" - "&amp;_xlpm.l))</f>
        <v/>
      </c>
      <c r="C522" s="14" t="str">
        <f t="shared" si="158"/>
        <v/>
      </c>
      <c r="D522" s="14" t="str">
        <f t="shared" si="159"/>
        <v/>
      </c>
      <c r="E522" s="15" t="str" cm="1">
        <f t="array" ref="E522">IF($A522="","",SUMPRODUCT((TRIM(tblDados[Mandante])=$A522)*tblDados[Primeira_Ocorrencia]))</f>
        <v/>
      </c>
      <c r="F522" s="15" t="str" cm="1">
        <f t="array" ref="F522">IF($A522="","",SUMPRODUCT((TRIM(tblDados[Visitante])=$A522)*tblDados[Primeira_Ocorrencia]))</f>
        <v/>
      </c>
      <c r="G522" s="15" t="str" cm="1">
        <f t="array" ref="G522">IF($A522="","",SUMPRODUCT((TRIM(tblDados[Mandante])=$A522)*tblDados[Primeira_Ocorrencia])+SUMPRODUCT((TRIM(tblDados[Visitante])=$A522)*tblDados[Primeira_Ocorrencia]))</f>
        <v/>
      </c>
      <c r="H522" s="14" t="str">
        <f t="shared" si="160"/>
        <v/>
      </c>
      <c r="I522" s="14" t="str" cm="1">
        <f t="array" ref="I522">IF($A522="","",_xlfn.LET(_xlpm.p,IFERROR(INDEX(tblDados[País],MATCH($A522,TRIM(tblDados[Mandante]),0)),INDEX(tblDados[País],MATCH($A522,TRIM(tblDados[Visitante]),0))),_xlpm.l,IFERROR(INDEX(tblDados[Liga],MATCH($A522,TRIM(tblDados[Mandante]),0)),INDEX(tblDados[Liga],MATCH($A522,TRIM(tblDados[Visitante]),0))),IFERROR(SUMIFS(Ligas!$D$2:$D$39,Ligas!$H$2:$H$39,_xlpm.p,Ligas!$I$2:$I$39,_xlpm.l),0)))</f>
        <v/>
      </c>
      <c r="J522" s="16" t="str" cm="1">
        <f t="array" ref="J522">IF($A522="","",IFERROR((SUMPRODUCT((TRIM(tblDados[Mandante])=$A522)*tblDados[Primeira_Ocorrencia]*(tblDados[GM_M]=0))+SUMPRODUCT((TRIM(tblDados[Visitante])=$A522)*tblDados[Primeira_Ocorrencia]*(tblDados[GM_V]=0)))/G522,0))</f>
        <v/>
      </c>
      <c r="K522" s="16" t="str" cm="1">
        <f t="array" ref="K522">IF($A522="","",IFERROR((SUMPRODUCT((TRIM(tblDados[Mandante])=$A522)*tblDados[Primeira_Ocorrencia]*((tblDados[GM_M]+tblDados[GS_M])&gt;0.5))+SUMPRODUCT((TRIM(tblDados[Visitante])=$A522)*tblDados[Primeira_Ocorrencia]*((tblDados[GM_V]+tblDados[GS_V])&gt;0.5)))/G522,0))</f>
        <v/>
      </c>
      <c r="L522" s="16" t="str" cm="1">
        <f t="array" ref="L522">IF($A522="","",IFERROR((SUMPRODUCT((TRIM(tblDados[Mandante])=$A522)*tblDados[Primeira_Ocorrencia]*((tblDados[GM_M]+tblDados[GS_M])&gt;1.5))+SUMPRODUCT((TRIM(tblDados[Visitante])=$A522)*tblDados[Primeira_Ocorrencia]*((tblDados[GM_V]+tblDados[GS_V])&gt;1.5)))/G522,0))</f>
        <v/>
      </c>
      <c r="M522" s="16" t="str" cm="1">
        <f t="array" ref="M522">IF($A522="","",IFERROR((SUMPRODUCT((TRIM(tblDados[Mandante])=$A522)*tblDados[Primeira_Ocorrencia]*((tblDados[GM_M]+tblDados[GS_M])&gt;2.5))+SUMPRODUCT((TRIM(tblDados[Visitante])=$A522)*tblDados[Primeira_Ocorrencia]*((tblDados[GM_V]+tblDados[GS_V])&gt;2.5)))/G522,0))</f>
        <v/>
      </c>
      <c r="N522" s="16" t="str" cm="1">
        <f t="array" ref="N522">IF($A522="","",IFERROR((SUMPRODUCT((TRIM(tblDados[Mandante])=$A522)*tblDados[Primeira_Ocorrencia]*((tblDados[GM_M]+tblDados[GS_M])&gt;3.5))+SUMPRODUCT((TRIM(tblDados[Visitante])=$A522)*tblDados[Primeira_Ocorrencia]*((tblDados[GM_V]+tblDados[GS_V])&gt;3.5)))/G522,0))</f>
        <v/>
      </c>
      <c r="O522" s="16" t="str" cm="1">
        <f t="array" ref="O522">IF($A522="","",IFERROR((SUMPRODUCT((TRIM(tblDados[Mandante])=$A522)*tblDados[Primeira_Ocorrencia]*(tblDados[GM_M]&gt;0)*(tblDados[GS_M]&gt;0))+SUMPRODUCT((TRIM(tblDados[Visitante])=$A522)*tblDados[Primeira_Ocorrencia]*(tblDados[GM_V]&gt;0)*(tblDados[GS_V]&gt;0)))/G522,0))</f>
        <v/>
      </c>
      <c r="P522" s="14" t="str" cm="1">
        <f t="array" ref="P522">IF($A522="","",IFERROR((SUMPRODUCT((TRIM(tblDados[Mandante])=$A522)*tblDados[Primeira_Ocorrencia]*tblDados[GM_M]^2)+SUMPRODUCT((TRIM(tblDados[Visitante])=$A522)*tblDados[Primeira_Ocorrencia]*tblDados[GM_V]^2))/G522-H522^2,0))</f>
        <v/>
      </c>
      <c r="Q522" s="14" t="str">
        <f t="shared" si="161"/>
        <v/>
      </c>
      <c r="R522" s="1" t="str">
        <f t="shared" si="162"/>
        <v/>
      </c>
      <c r="S522" s="14" t="str" cm="1">
        <f t="array" ref="S522">IF($A522="","",SUMPRODUCT((TRIM(tblDados[Mandante])=$A522)*tblDados[Primeira_Ocorrencia]*tblDados[GM_M]))</f>
        <v/>
      </c>
      <c r="T522" s="14" t="str" cm="1">
        <f t="array" ref="T522">IF($A522="","",SUMPRODUCT((TRIM(tblDados[Visitante])=$A522)*tblDados[Primeira_Ocorrencia]*tblDados[GM_V]))</f>
        <v/>
      </c>
      <c r="U522" s="14" t="str">
        <f t="shared" si="163"/>
        <v/>
      </c>
      <c r="V522" s="14" t="str">
        <f t="shared" si="152"/>
        <v/>
      </c>
      <c r="W522" s="14" t="str" cm="1">
        <f t="array" ref="W522">IF($A522="","",SUMPRODUCT((TRIM(tblDados[Mandante])=$A522)*tblDados[Primeira_Ocorrencia]*tblDados[GS_M]))</f>
        <v/>
      </c>
      <c r="X522" s="14" t="str" cm="1">
        <f t="array" ref="X522">IF($A522="","",SUMPRODUCT((TRIM(tblDados[Visitante])=$A522)*tblDados[Primeira_Ocorrencia]*tblDados[GS_V]))</f>
        <v/>
      </c>
      <c r="Y522" s="14" t="str">
        <f t="shared" si="164"/>
        <v/>
      </c>
      <c r="Z522" s="14" t="str">
        <f t="shared" si="153"/>
        <v/>
      </c>
      <c r="AA522" s="14" t="str">
        <f t="shared" si="154"/>
        <v/>
      </c>
      <c r="AB522" s="14" t="str">
        <f t="shared" si="155"/>
        <v/>
      </c>
      <c r="AC522" s="14" t="str">
        <f t="shared" si="156"/>
        <v/>
      </c>
      <c r="AD522" s="14" t="str">
        <f t="shared" si="157"/>
        <v/>
      </c>
    </row>
    <row r="523" spans="2:30" x14ac:dyDescent="0.3">
      <c r="B523" s="13" t="str" cm="1">
        <f t="array" ref="B523">IF($A523="","",_xlfn.LET(_xlpm.p,IFERROR(INDEX(tblDados[País],MATCH($A523,TRIM(tblDados[Mandante]),0)),INDEX(tblDados[País],MATCH($A523,TRIM(tblDados[Visitante]),0))),_xlpm.l,IFERROR(INDEX(tblDados[Liga],MATCH($A523,TRIM(tblDados[Mandante]),0)),INDEX(tblDados[Liga],MATCH($A523,TRIM(tblDados[Visitante]),0))),_xlpm.p&amp;" - "&amp;_xlpm.l))</f>
        <v/>
      </c>
      <c r="C523" s="14" t="str">
        <f t="shared" si="158"/>
        <v/>
      </c>
      <c r="D523" s="14" t="str">
        <f t="shared" si="159"/>
        <v/>
      </c>
      <c r="E523" s="15" t="str" cm="1">
        <f t="array" ref="E523">IF($A523="","",SUMPRODUCT((TRIM(tblDados[Mandante])=$A523)*tblDados[Primeira_Ocorrencia]))</f>
        <v/>
      </c>
      <c r="F523" s="15" t="str" cm="1">
        <f t="array" ref="F523">IF($A523="","",SUMPRODUCT((TRIM(tblDados[Visitante])=$A523)*tblDados[Primeira_Ocorrencia]))</f>
        <v/>
      </c>
      <c r="G523" s="15" t="str" cm="1">
        <f t="array" ref="G523">IF($A523="","",SUMPRODUCT((TRIM(tblDados[Mandante])=$A523)*tblDados[Primeira_Ocorrencia])+SUMPRODUCT((TRIM(tblDados[Visitante])=$A523)*tblDados[Primeira_Ocorrencia]))</f>
        <v/>
      </c>
      <c r="H523" s="14" t="str">
        <f t="shared" si="160"/>
        <v/>
      </c>
      <c r="I523" s="14" t="str" cm="1">
        <f t="array" ref="I523">IF($A523="","",_xlfn.LET(_xlpm.p,IFERROR(INDEX(tblDados[País],MATCH($A523,TRIM(tblDados[Mandante]),0)),INDEX(tblDados[País],MATCH($A523,TRIM(tblDados[Visitante]),0))),_xlpm.l,IFERROR(INDEX(tblDados[Liga],MATCH($A523,TRIM(tblDados[Mandante]),0)),INDEX(tblDados[Liga],MATCH($A523,TRIM(tblDados[Visitante]),0))),IFERROR(SUMIFS(Ligas!$D$2:$D$39,Ligas!$H$2:$H$39,_xlpm.p,Ligas!$I$2:$I$39,_xlpm.l),0)))</f>
        <v/>
      </c>
      <c r="J523" s="16" t="str" cm="1">
        <f t="array" ref="J523">IF($A523="","",IFERROR((SUMPRODUCT((TRIM(tblDados[Mandante])=$A523)*tblDados[Primeira_Ocorrencia]*(tblDados[GM_M]=0))+SUMPRODUCT((TRIM(tblDados[Visitante])=$A523)*tblDados[Primeira_Ocorrencia]*(tblDados[GM_V]=0)))/G523,0))</f>
        <v/>
      </c>
      <c r="K523" s="16" t="str" cm="1">
        <f t="array" ref="K523">IF($A523="","",IFERROR((SUMPRODUCT((TRIM(tblDados[Mandante])=$A523)*tblDados[Primeira_Ocorrencia]*((tblDados[GM_M]+tblDados[GS_M])&gt;0.5))+SUMPRODUCT((TRIM(tblDados[Visitante])=$A523)*tblDados[Primeira_Ocorrencia]*((tblDados[GM_V]+tblDados[GS_V])&gt;0.5)))/G523,0))</f>
        <v/>
      </c>
      <c r="L523" s="16" t="str" cm="1">
        <f t="array" ref="L523">IF($A523="","",IFERROR((SUMPRODUCT((TRIM(tblDados[Mandante])=$A523)*tblDados[Primeira_Ocorrencia]*((tblDados[GM_M]+tblDados[GS_M])&gt;1.5))+SUMPRODUCT((TRIM(tblDados[Visitante])=$A523)*tblDados[Primeira_Ocorrencia]*((tblDados[GM_V]+tblDados[GS_V])&gt;1.5)))/G523,0))</f>
        <v/>
      </c>
      <c r="M523" s="16" t="str" cm="1">
        <f t="array" ref="M523">IF($A523="","",IFERROR((SUMPRODUCT((TRIM(tblDados[Mandante])=$A523)*tblDados[Primeira_Ocorrencia]*((tblDados[GM_M]+tblDados[GS_M])&gt;2.5))+SUMPRODUCT((TRIM(tblDados[Visitante])=$A523)*tblDados[Primeira_Ocorrencia]*((tblDados[GM_V]+tblDados[GS_V])&gt;2.5)))/G523,0))</f>
        <v/>
      </c>
      <c r="N523" s="16" t="str" cm="1">
        <f t="array" ref="N523">IF($A523="","",IFERROR((SUMPRODUCT((TRIM(tblDados[Mandante])=$A523)*tblDados[Primeira_Ocorrencia]*((tblDados[GM_M]+tblDados[GS_M])&gt;3.5))+SUMPRODUCT((TRIM(tblDados[Visitante])=$A523)*tblDados[Primeira_Ocorrencia]*((tblDados[GM_V]+tblDados[GS_V])&gt;3.5)))/G523,0))</f>
        <v/>
      </c>
      <c r="O523" s="16" t="str" cm="1">
        <f t="array" ref="O523">IF($A523="","",IFERROR((SUMPRODUCT((TRIM(tblDados[Mandante])=$A523)*tblDados[Primeira_Ocorrencia]*(tblDados[GM_M]&gt;0)*(tblDados[GS_M]&gt;0))+SUMPRODUCT((TRIM(tblDados[Visitante])=$A523)*tblDados[Primeira_Ocorrencia]*(tblDados[GM_V]&gt;0)*(tblDados[GS_V]&gt;0)))/G523,0))</f>
        <v/>
      </c>
      <c r="P523" s="14" t="str" cm="1">
        <f t="array" ref="P523">IF($A523="","",IFERROR((SUMPRODUCT((TRIM(tblDados[Mandante])=$A523)*tblDados[Primeira_Ocorrencia]*tblDados[GM_M]^2)+SUMPRODUCT((TRIM(tblDados[Visitante])=$A523)*tblDados[Primeira_Ocorrencia]*tblDados[GM_V]^2))/G523-H523^2,0))</f>
        <v/>
      </c>
      <c r="Q523" s="14" t="str">
        <f t="shared" si="161"/>
        <v/>
      </c>
      <c r="R523" s="1" t="str">
        <f t="shared" si="162"/>
        <v/>
      </c>
      <c r="S523" s="14" t="str" cm="1">
        <f t="array" ref="S523">IF($A523="","",SUMPRODUCT((TRIM(tblDados[Mandante])=$A523)*tblDados[Primeira_Ocorrencia]*tblDados[GM_M]))</f>
        <v/>
      </c>
      <c r="T523" s="14" t="str" cm="1">
        <f t="array" ref="T523">IF($A523="","",SUMPRODUCT((TRIM(tblDados[Visitante])=$A523)*tblDados[Primeira_Ocorrencia]*tblDados[GM_V]))</f>
        <v/>
      </c>
      <c r="U523" s="14" t="str">
        <f t="shared" si="163"/>
        <v/>
      </c>
      <c r="V523" s="14" t="str">
        <f t="shared" si="152"/>
        <v/>
      </c>
      <c r="W523" s="14" t="str" cm="1">
        <f t="array" ref="W523">IF($A523="","",SUMPRODUCT((TRIM(tblDados[Mandante])=$A523)*tblDados[Primeira_Ocorrencia]*tblDados[GS_M]))</f>
        <v/>
      </c>
      <c r="X523" s="14" t="str" cm="1">
        <f t="array" ref="X523">IF($A523="","",SUMPRODUCT((TRIM(tblDados[Visitante])=$A523)*tblDados[Primeira_Ocorrencia]*tblDados[GS_V]))</f>
        <v/>
      </c>
      <c r="Y523" s="14" t="str">
        <f t="shared" si="164"/>
        <v/>
      </c>
      <c r="Z523" s="14" t="str">
        <f t="shared" si="153"/>
        <v/>
      </c>
      <c r="AA523" s="14" t="str">
        <f t="shared" si="154"/>
        <v/>
      </c>
      <c r="AB523" s="14" t="str">
        <f t="shared" si="155"/>
        <v/>
      </c>
      <c r="AC523" s="14" t="str">
        <f t="shared" si="156"/>
        <v/>
      </c>
      <c r="AD523" s="14" t="str">
        <f t="shared" si="157"/>
        <v/>
      </c>
    </row>
    <row r="524" spans="2:30" x14ac:dyDescent="0.3">
      <c r="B524" s="13" t="str" cm="1">
        <f t="array" ref="B524">IF($A524="","",_xlfn.LET(_xlpm.p,IFERROR(INDEX(tblDados[País],MATCH($A524,TRIM(tblDados[Mandante]),0)),INDEX(tblDados[País],MATCH($A524,TRIM(tblDados[Visitante]),0))),_xlpm.l,IFERROR(INDEX(tblDados[Liga],MATCH($A524,TRIM(tblDados[Mandante]),0)),INDEX(tblDados[Liga],MATCH($A524,TRIM(tblDados[Visitante]),0))),_xlpm.p&amp;" - "&amp;_xlpm.l))</f>
        <v/>
      </c>
      <c r="C524" s="14" t="str">
        <f t="shared" si="158"/>
        <v/>
      </c>
      <c r="D524" s="14" t="str">
        <f t="shared" si="159"/>
        <v/>
      </c>
      <c r="E524" s="15" t="str" cm="1">
        <f t="array" ref="E524">IF($A524="","",SUMPRODUCT((TRIM(tblDados[Mandante])=$A524)*tblDados[Primeira_Ocorrencia]))</f>
        <v/>
      </c>
      <c r="F524" s="15" t="str" cm="1">
        <f t="array" ref="F524">IF($A524="","",SUMPRODUCT((TRIM(tblDados[Visitante])=$A524)*tblDados[Primeira_Ocorrencia]))</f>
        <v/>
      </c>
      <c r="G524" s="15" t="str" cm="1">
        <f t="array" ref="G524">IF($A524="","",SUMPRODUCT((TRIM(tblDados[Mandante])=$A524)*tblDados[Primeira_Ocorrencia])+SUMPRODUCT((TRIM(tblDados[Visitante])=$A524)*tblDados[Primeira_Ocorrencia]))</f>
        <v/>
      </c>
      <c r="H524" s="14" t="str">
        <f t="shared" si="160"/>
        <v/>
      </c>
      <c r="I524" s="14" t="str" cm="1">
        <f t="array" ref="I524">IF($A524="","",_xlfn.LET(_xlpm.p,IFERROR(INDEX(tblDados[País],MATCH($A524,TRIM(tblDados[Mandante]),0)),INDEX(tblDados[País],MATCH($A524,TRIM(tblDados[Visitante]),0))),_xlpm.l,IFERROR(INDEX(tblDados[Liga],MATCH($A524,TRIM(tblDados[Mandante]),0)),INDEX(tblDados[Liga],MATCH($A524,TRIM(tblDados[Visitante]),0))),IFERROR(SUMIFS(Ligas!$D$2:$D$39,Ligas!$H$2:$H$39,_xlpm.p,Ligas!$I$2:$I$39,_xlpm.l),0)))</f>
        <v/>
      </c>
      <c r="J524" s="16" t="str" cm="1">
        <f t="array" ref="J524">IF($A524="","",IFERROR((SUMPRODUCT((TRIM(tblDados[Mandante])=$A524)*tblDados[Primeira_Ocorrencia]*(tblDados[GM_M]=0))+SUMPRODUCT((TRIM(tblDados[Visitante])=$A524)*tblDados[Primeira_Ocorrencia]*(tblDados[GM_V]=0)))/G524,0))</f>
        <v/>
      </c>
      <c r="K524" s="16" t="str" cm="1">
        <f t="array" ref="K524">IF($A524="","",IFERROR((SUMPRODUCT((TRIM(tblDados[Mandante])=$A524)*tblDados[Primeira_Ocorrencia]*((tblDados[GM_M]+tblDados[GS_M])&gt;0.5))+SUMPRODUCT((TRIM(tblDados[Visitante])=$A524)*tblDados[Primeira_Ocorrencia]*((tblDados[GM_V]+tblDados[GS_V])&gt;0.5)))/G524,0))</f>
        <v/>
      </c>
      <c r="L524" s="16" t="str" cm="1">
        <f t="array" ref="L524">IF($A524="","",IFERROR((SUMPRODUCT((TRIM(tblDados[Mandante])=$A524)*tblDados[Primeira_Ocorrencia]*((tblDados[GM_M]+tblDados[GS_M])&gt;1.5))+SUMPRODUCT((TRIM(tblDados[Visitante])=$A524)*tblDados[Primeira_Ocorrencia]*((tblDados[GM_V]+tblDados[GS_V])&gt;1.5)))/G524,0))</f>
        <v/>
      </c>
      <c r="M524" s="16" t="str" cm="1">
        <f t="array" ref="M524">IF($A524="","",IFERROR((SUMPRODUCT((TRIM(tblDados[Mandante])=$A524)*tblDados[Primeira_Ocorrencia]*((tblDados[GM_M]+tblDados[GS_M])&gt;2.5))+SUMPRODUCT((TRIM(tblDados[Visitante])=$A524)*tblDados[Primeira_Ocorrencia]*((tblDados[GM_V]+tblDados[GS_V])&gt;2.5)))/G524,0))</f>
        <v/>
      </c>
      <c r="N524" s="16" t="str" cm="1">
        <f t="array" ref="N524">IF($A524="","",IFERROR((SUMPRODUCT((TRIM(tblDados[Mandante])=$A524)*tblDados[Primeira_Ocorrencia]*((tblDados[GM_M]+tblDados[GS_M])&gt;3.5))+SUMPRODUCT((TRIM(tblDados[Visitante])=$A524)*tblDados[Primeira_Ocorrencia]*((tblDados[GM_V]+tblDados[GS_V])&gt;3.5)))/G524,0))</f>
        <v/>
      </c>
      <c r="O524" s="16" t="str" cm="1">
        <f t="array" ref="O524">IF($A524="","",IFERROR((SUMPRODUCT((TRIM(tblDados[Mandante])=$A524)*tblDados[Primeira_Ocorrencia]*(tblDados[GM_M]&gt;0)*(tblDados[GS_M]&gt;0))+SUMPRODUCT((TRIM(tblDados[Visitante])=$A524)*tblDados[Primeira_Ocorrencia]*(tblDados[GM_V]&gt;0)*(tblDados[GS_V]&gt;0)))/G524,0))</f>
        <v/>
      </c>
      <c r="P524" s="14" t="str" cm="1">
        <f t="array" ref="P524">IF($A524="","",IFERROR((SUMPRODUCT((TRIM(tblDados[Mandante])=$A524)*tblDados[Primeira_Ocorrencia]*tblDados[GM_M]^2)+SUMPRODUCT((TRIM(tblDados[Visitante])=$A524)*tblDados[Primeira_Ocorrencia]*tblDados[GM_V]^2))/G524-H524^2,0))</f>
        <v/>
      </c>
      <c r="Q524" s="14" t="str">
        <f t="shared" si="161"/>
        <v/>
      </c>
      <c r="R524" s="1" t="str">
        <f t="shared" si="162"/>
        <v/>
      </c>
      <c r="S524" s="14" t="str" cm="1">
        <f t="array" ref="S524">IF($A524="","",SUMPRODUCT((TRIM(tblDados[Mandante])=$A524)*tblDados[Primeira_Ocorrencia]*tblDados[GM_M]))</f>
        <v/>
      </c>
      <c r="T524" s="14" t="str" cm="1">
        <f t="array" ref="T524">IF($A524="","",SUMPRODUCT((TRIM(tblDados[Visitante])=$A524)*tblDados[Primeira_Ocorrencia]*tblDados[GM_V]))</f>
        <v/>
      </c>
      <c r="U524" s="14" t="str">
        <f t="shared" si="163"/>
        <v/>
      </c>
      <c r="V524" s="14" t="str">
        <f t="shared" si="152"/>
        <v/>
      </c>
      <c r="W524" s="14" t="str" cm="1">
        <f t="array" ref="W524">IF($A524="","",SUMPRODUCT((TRIM(tblDados[Mandante])=$A524)*tblDados[Primeira_Ocorrencia]*tblDados[GS_M]))</f>
        <v/>
      </c>
      <c r="X524" s="14" t="str" cm="1">
        <f t="array" ref="X524">IF($A524="","",SUMPRODUCT((TRIM(tblDados[Visitante])=$A524)*tblDados[Primeira_Ocorrencia]*tblDados[GS_V]))</f>
        <v/>
      </c>
      <c r="Y524" s="14" t="str">
        <f t="shared" si="164"/>
        <v/>
      </c>
      <c r="Z524" s="14" t="str">
        <f t="shared" si="153"/>
        <v/>
      </c>
      <c r="AA524" s="14" t="str">
        <f t="shared" si="154"/>
        <v/>
      </c>
      <c r="AB524" s="14" t="str">
        <f t="shared" si="155"/>
        <v/>
      </c>
      <c r="AC524" s="14" t="str">
        <f t="shared" si="156"/>
        <v/>
      </c>
      <c r="AD524" s="14" t="str">
        <f t="shared" si="157"/>
        <v/>
      </c>
    </row>
    <row r="525" spans="2:30" x14ac:dyDescent="0.3">
      <c r="B525" s="13" t="str" cm="1">
        <f t="array" ref="B525">IF($A525="","",_xlfn.LET(_xlpm.p,IFERROR(INDEX(tblDados[País],MATCH($A525,TRIM(tblDados[Mandante]),0)),INDEX(tblDados[País],MATCH($A525,TRIM(tblDados[Visitante]),0))),_xlpm.l,IFERROR(INDEX(tblDados[Liga],MATCH($A525,TRIM(tblDados[Mandante]),0)),INDEX(tblDados[Liga],MATCH($A525,TRIM(tblDados[Visitante]),0))),_xlpm.p&amp;" - "&amp;_xlpm.l))</f>
        <v/>
      </c>
      <c r="C525" s="14" t="str">
        <f t="shared" si="158"/>
        <v/>
      </c>
      <c r="D525" s="14" t="str">
        <f t="shared" si="159"/>
        <v/>
      </c>
      <c r="E525" s="15" t="str" cm="1">
        <f t="array" ref="E525">IF($A525="","",SUMPRODUCT((TRIM(tblDados[Mandante])=$A525)*tblDados[Primeira_Ocorrencia]))</f>
        <v/>
      </c>
      <c r="F525" s="15" t="str" cm="1">
        <f t="array" ref="F525">IF($A525="","",SUMPRODUCT((TRIM(tblDados[Visitante])=$A525)*tblDados[Primeira_Ocorrencia]))</f>
        <v/>
      </c>
      <c r="G525" s="15" t="str" cm="1">
        <f t="array" ref="G525">IF($A525="","",SUMPRODUCT((TRIM(tblDados[Mandante])=$A525)*tblDados[Primeira_Ocorrencia])+SUMPRODUCT((TRIM(tblDados[Visitante])=$A525)*tblDados[Primeira_Ocorrencia]))</f>
        <v/>
      </c>
      <c r="H525" s="14" t="str">
        <f t="shared" si="160"/>
        <v/>
      </c>
      <c r="I525" s="14" t="str" cm="1">
        <f t="array" ref="I525">IF($A525="","",_xlfn.LET(_xlpm.p,IFERROR(INDEX(tblDados[País],MATCH($A525,TRIM(tblDados[Mandante]),0)),INDEX(tblDados[País],MATCH($A525,TRIM(tblDados[Visitante]),0))),_xlpm.l,IFERROR(INDEX(tblDados[Liga],MATCH($A525,TRIM(tblDados[Mandante]),0)),INDEX(tblDados[Liga],MATCH($A525,TRIM(tblDados[Visitante]),0))),IFERROR(SUMIFS(Ligas!$D$2:$D$39,Ligas!$H$2:$H$39,_xlpm.p,Ligas!$I$2:$I$39,_xlpm.l),0)))</f>
        <v/>
      </c>
      <c r="J525" s="16" t="str" cm="1">
        <f t="array" ref="J525">IF($A525="","",IFERROR((SUMPRODUCT((TRIM(tblDados[Mandante])=$A525)*tblDados[Primeira_Ocorrencia]*(tblDados[GM_M]=0))+SUMPRODUCT((TRIM(tblDados[Visitante])=$A525)*tblDados[Primeira_Ocorrencia]*(tblDados[GM_V]=0)))/G525,0))</f>
        <v/>
      </c>
      <c r="K525" s="16" t="str" cm="1">
        <f t="array" ref="K525">IF($A525="","",IFERROR((SUMPRODUCT((TRIM(tblDados[Mandante])=$A525)*tblDados[Primeira_Ocorrencia]*((tblDados[GM_M]+tblDados[GS_M])&gt;0.5))+SUMPRODUCT((TRIM(tblDados[Visitante])=$A525)*tblDados[Primeira_Ocorrencia]*((tblDados[GM_V]+tblDados[GS_V])&gt;0.5)))/G525,0))</f>
        <v/>
      </c>
      <c r="L525" s="16" t="str" cm="1">
        <f t="array" ref="L525">IF($A525="","",IFERROR((SUMPRODUCT((TRIM(tblDados[Mandante])=$A525)*tblDados[Primeira_Ocorrencia]*((tblDados[GM_M]+tblDados[GS_M])&gt;1.5))+SUMPRODUCT((TRIM(tblDados[Visitante])=$A525)*tblDados[Primeira_Ocorrencia]*((tblDados[GM_V]+tblDados[GS_V])&gt;1.5)))/G525,0))</f>
        <v/>
      </c>
      <c r="M525" s="16" t="str" cm="1">
        <f t="array" ref="M525">IF($A525="","",IFERROR((SUMPRODUCT((TRIM(tblDados[Mandante])=$A525)*tblDados[Primeira_Ocorrencia]*((tblDados[GM_M]+tblDados[GS_M])&gt;2.5))+SUMPRODUCT((TRIM(tblDados[Visitante])=$A525)*tblDados[Primeira_Ocorrencia]*((tblDados[GM_V]+tblDados[GS_V])&gt;2.5)))/G525,0))</f>
        <v/>
      </c>
      <c r="N525" s="16" t="str" cm="1">
        <f t="array" ref="N525">IF($A525="","",IFERROR((SUMPRODUCT((TRIM(tblDados[Mandante])=$A525)*tblDados[Primeira_Ocorrencia]*((tblDados[GM_M]+tblDados[GS_M])&gt;3.5))+SUMPRODUCT((TRIM(tblDados[Visitante])=$A525)*tblDados[Primeira_Ocorrencia]*((tblDados[GM_V]+tblDados[GS_V])&gt;3.5)))/G525,0))</f>
        <v/>
      </c>
      <c r="O525" s="16" t="str" cm="1">
        <f t="array" ref="O525">IF($A525="","",IFERROR((SUMPRODUCT((TRIM(tblDados[Mandante])=$A525)*tblDados[Primeira_Ocorrencia]*(tblDados[GM_M]&gt;0)*(tblDados[GS_M]&gt;0))+SUMPRODUCT((TRIM(tblDados[Visitante])=$A525)*tblDados[Primeira_Ocorrencia]*(tblDados[GM_V]&gt;0)*(tblDados[GS_V]&gt;0)))/G525,0))</f>
        <v/>
      </c>
      <c r="P525" s="14" t="str" cm="1">
        <f t="array" ref="P525">IF($A525="","",IFERROR((SUMPRODUCT((TRIM(tblDados[Mandante])=$A525)*tblDados[Primeira_Ocorrencia]*tblDados[GM_M]^2)+SUMPRODUCT((TRIM(tblDados[Visitante])=$A525)*tblDados[Primeira_Ocorrencia]*tblDados[GM_V]^2))/G525-H525^2,0))</f>
        <v/>
      </c>
      <c r="Q525" s="14" t="str">
        <f t="shared" si="161"/>
        <v/>
      </c>
      <c r="R525" s="1" t="str">
        <f t="shared" si="162"/>
        <v/>
      </c>
      <c r="S525" s="14" t="str" cm="1">
        <f t="array" ref="S525">IF($A525="","",SUMPRODUCT((TRIM(tblDados[Mandante])=$A525)*tblDados[Primeira_Ocorrencia]*tblDados[GM_M]))</f>
        <v/>
      </c>
      <c r="T525" s="14" t="str" cm="1">
        <f t="array" ref="T525">IF($A525="","",SUMPRODUCT((TRIM(tblDados[Visitante])=$A525)*tblDados[Primeira_Ocorrencia]*tblDados[GM_V]))</f>
        <v/>
      </c>
      <c r="U525" s="14" t="str">
        <f t="shared" si="163"/>
        <v/>
      </c>
      <c r="V525" s="14" t="str">
        <f t="shared" si="152"/>
        <v/>
      </c>
      <c r="W525" s="14" t="str" cm="1">
        <f t="array" ref="W525">IF($A525="","",SUMPRODUCT((TRIM(tblDados[Mandante])=$A525)*tblDados[Primeira_Ocorrencia]*tblDados[GS_M]))</f>
        <v/>
      </c>
      <c r="X525" s="14" t="str" cm="1">
        <f t="array" ref="X525">IF($A525="","",SUMPRODUCT((TRIM(tblDados[Visitante])=$A525)*tblDados[Primeira_Ocorrencia]*tblDados[GS_V]))</f>
        <v/>
      </c>
      <c r="Y525" s="14" t="str">
        <f t="shared" si="164"/>
        <v/>
      </c>
      <c r="Z525" s="14" t="str">
        <f t="shared" si="153"/>
        <v/>
      </c>
      <c r="AA525" s="14" t="str">
        <f t="shared" si="154"/>
        <v/>
      </c>
      <c r="AB525" s="14" t="str">
        <f t="shared" si="155"/>
        <v/>
      </c>
      <c r="AC525" s="14" t="str">
        <f t="shared" si="156"/>
        <v/>
      </c>
      <c r="AD525" s="14" t="str">
        <f t="shared" si="157"/>
        <v/>
      </c>
    </row>
    <row r="526" spans="2:30" x14ac:dyDescent="0.3">
      <c r="B526" s="13" t="str" cm="1">
        <f t="array" ref="B526">IF($A526="","",_xlfn.LET(_xlpm.p,IFERROR(INDEX(tblDados[País],MATCH($A526,TRIM(tblDados[Mandante]),0)),INDEX(tblDados[País],MATCH($A526,TRIM(tblDados[Visitante]),0))),_xlpm.l,IFERROR(INDEX(tblDados[Liga],MATCH($A526,TRIM(tblDados[Mandante]),0)),INDEX(tblDados[Liga],MATCH($A526,TRIM(tblDados[Visitante]),0))),_xlpm.p&amp;" - "&amp;_xlpm.l))</f>
        <v/>
      </c>
      <c r="C526" s="14" t="str">
        <f t="shared" si="158"/>
        <v/>
      </c>
      <c r="D526" s="14" t="str">
        <f t="shared" si="159"/>
        <v/>
      </c>
      <c r="E526" s="15" t="str" cm="1">
        <f t="array" ref="E526">IF($A526="","",SUMPRODUCT((TRIM(tblDados[Mandante])=$A526)*tblDados[Primeira_Ocorrencia]))</f>
        <v/>
      </c>
      <c r="F526" s="15" t="str" cm="1">
        <f t="array" ref="F526">IF($A526="","",SUMPRODUCT((TRIM(tblDados[Visitante])=$A526)*tblDados[Primeira_Ocorrencia]))</f>
        <v/>
      </c>
      <c r="G526" s="15" t="str" cm="1">
        <f t="array" ref="G526">IF($A526="","",SUMPRODUCT((TRIM(tblDados[Mandante])=$A526)*tblDados[Primeira_Ocorrencia])+SUMPRODUCT((TRIM(tblDados[Visitante])=$A526)*tblDados[Primeira_Ocorrencia]))</f>
        <v/>
      </c>
      <c r="H526" s="14" t="str">
        <f t="shared" si="160"/>
        <v/>
      </c>
      <c r="I526" s="14" t="str" cm="1">
        <f t="array" ref="I526">IF($A526="","",_xlfn.LET(_xlpm.p,IFERROR(INDEX(tblDados[País],MATCH($A526,TRIM(tblDados[Mandante]),0)),INDEX(tblDados[País],MATCH($A526,TRIM(tblDados[Visitante]),0))),_xlpm.l,IFERROR(INDEX(tblDados[Liga],MATCH($A526,TRIM(tblDados[Mandante]),0)),INDEX(tblDados[Liga],MATCH($A526,TRIM(tblDados[Visitante]),0))),IFERROR(SUMIFS(Ligas!$D$2:$D$39,Ligas!$H$2:$H$39,_xlpm.p,Ligas!$I$2:$I$39,_xlpm.l),0)))</f>
        <v/>
      </c>
      <c r="J526" s="16" t="str" cm="1">
        <f t="array" ref="J526">IF($A526="","",IFERROR((SUMPRODUCT((TRIM(tblDados[Mandante])=$A526)*tblDados[Primeira_Ocorrencia]*(tblDados[GM_M]=0))+SUMPRODUCT((TRIM(tblDados[Visitante])=$A526)*tblDados[Primeira_Ocorrencia]*(tblDados[GM_V]=0)))/G526,0))</f>
        <v/>
      </c>
      <c r="K526" s="16" t="str" cm="1">
        <f t="array" ref="K526">IF($A526="","",IFERROR((SUMPRODUCT((TRIM(tblDados[Mandante])=$A526)*tblDados[Primeira_Ocorrencia]*((tblDados[GM_M]+tblDados[GS_M])&gt;0.5))+SUMPRODUCT((TRIM(tblDados[Visitante])=$A526)*tblDados[Primeira_Ocorrencia]*((tblDados[GM_V]+tblDados[GS_V])&gt;0.5)))/G526,0))</f>
        <v/>
      </c>
      <c r="L526" s="16" t="str" cm="1">
        <f t="array" ref="L526">IF($A526="","",IFERROR((SUMPRODUCT((TRIM(tblDados[Mandante])=$A526)*tblDados[Primeira_Ocorrencia]*((tblDados[GM_M]+tblDados[GS_M])&gt;1.5))+SUMPRODUCT((TRIM(tblDados[Visitante])=$A526)*tblDados[Primeira_Ocorrencia]*((tblDados[GM_V]+tblDados[GS_V])&gt;1.5)))/G526,0))</f>
        <v/>
      </c>
      <c r="M526" s="16" t="str" cm="1">
        <f t="array" ref="M526">IF($A526="","",IFERROR((SUMPRODUCT((TRIM(tblDados[Mandante])=$A526)*tblDados[Primeira_Ocorrencia]*((tblDados[GM_M]+tblDados[GS_M])&gt;2.5))+SUMPRODUCT((TRIM(tblDados[Visitante])=$A526)*tblDados[Primeira_Ocorrencia]*((tblDados[GM_V]+tblDados[GS_V])&gt;2.5)))/G526,0))</f>
        <v/>
      </c>
      <c r="N526" s="16" t="str" cm="1">
        <f t="array" ref="N526">IF($A526="","",IFERROR((SUMPRODUCT((TRIM(tblDados[Mandante])=$A526)*tblDados[Primeira_Ocorrencia]*((tblDados[GM_M]+tblDados[GS_M])&gt;3.5))+SUMPRODUCT((TRIM(tblDados[Visitante])=$A526)*tblDados[Primeira_Ocorrencia]*((tblDados[GM_V]+tblDados[GS_V])&gt;3.5)))/G526,0))</f>
        <v/>
      </c>
      <c r="O526" s="16" t="str" cm="1">
        <f t="array" ref="O526">IF($A526="","",IFERROR((SUMPRODUCT((TRIM(tblDados[Mandante])=$A526)*tblDados[Primeira_Ocorrencia]*(tblDados[GM_M]&gt;0)*(tblDados[GS_M]&gt;0))+SUMPRODUCT((TRIM(tblDados[Visitante])=$A526)*tblDados[Primeira_Ocorrencia]*(tblDados[GM_V]&gt;0)*(tblDados[GS_V]&gt;0)))/G526,0))</f>
        <v/>
      </c>
      <c r="P526" s="14" t="str" cm="1">
        <f t="array" ref="P526">IF($A526="","",IFERROR((SUMPRODUCT((TRIM(tblDados[Mandante])=$A526)*tblDados[Primeira_Ocorrencia]*tblDados[GM_M]^2)+SUMPRODUCT((TRIM(tblDados[Visitante])=$A526)*tblDados[Primeira_Ocorrencia]*tblDados[GM_V]^2))/G526-H526^2,0))</f>
        <v/>
      </c>
      <c r="Q526" s="14" t="str">
        <f t="shared" si="161"/>
        <v/>
      </c>
      <c r="R526" s="1" t="str">
        <f t="shared" si="162"/>
        <v/>
      </c>
      <c r="S526" s="14" t="str" cm="1">
        <f t="array" ref="S526">IF($A526="","",SUMPRODUCT((TRIM(tblDados[Mandante])=$A526)*tblDados[Primeira_Ocorrencia]*tblDados[GM_M]))</f>
        <v/>
      </c>
      <c r="T526" s="14" t="str" cm="1">
        <f t="array" ref="T526">IF($A526="","",SUMPRODUCT((TRIM(tblDados[Visitante])=$A526)*tblDados[Primeira_Ocorrencia]*tblDados[GM_V]))</f>
        <v/>
      </c>
      <c r="U526" s="14" t="str">
        <f t="shared" si="163"/>
        <v/>
      </c>
      <c r="V526" s="14" t="str">
        <f t="shared" si="152"/>
        <v/>
      </c>
      <c r="W526" s="14" t="str" cm="1">
        <f t="array" ref="W526">IF($A526="","",SUMPRODUCT((TRIM(tblDados[Mandante])=$A526)*tblDados[Primeira_Ocorrencia]*tblDados[GS_M]))</f>
        <v/>
      </c>
      <c r="X526" s="14" t="str" cm="1">
        <f t="array" ref="X526">IF($A526="","",SUMPRODUCT((TRIM(tblDados[Visitante])=$A526)*tblDados[Primeira_Ocorrencia]*tblDados[GS_V]))</f>
        <v/>
      </c>
      <c r="Y526" s="14" t="str">
        <f t="shared" si="164"/>
        <v/>
      </c>
      <c r="Z526" s="14" t="str">
        <f t="shared" si="153"/>
        <v/>
      </c>
      <c r="AA526" s="14" t="str">
        <f t="shared" si="154"/>
        <v/>
      </c>
      <c r="AB526" s="14" t="str">
        <f t="shared" si="155"/>
        <v/>
      </c>
      <c r="AC526" s="14" t="str">
        <f t="shared" si="156"/>
        <v/>
      </c>
      <c r="AD526" s="14" t="str">
        <f t="shared" si="157"/>
        <v/>
      </c>
    </row>
    <row r="527" spans="2:30" x14ac:dyDescent="0.3">
      <c r="B527" s="13" t="str" cm="1">
        <f t="array" ref="B527">IF($A527="","",_xlfn.LET(_xlpm.p,IFERROR(INDEX(tblDados[País],MATCH($A527,TRIM(tblDados[Mandante]),0)),INDEX(tblDados[País],MATCH($A527,TRIM(tblDados[Visitante]),0))),_xlpm.l,IFERROR(INDEX(tblDados[Liga],MATCH($A527,TRIM(tblDados[Mandante]),0)),INDEX(tblDados[Liga],MATCH($A527,TRIM(tblDados[Visitante]),0))),_xlpm.p&amp;" - "&amp;_xlpm.l))</f>
        <v/>
      </c>
      <c r="C527" s="14" t="str">
        <f t="shared" si="158"/>
        <v/>
      </c>
      <c r="D527" s="14" t="str">
        <f t="shared" si="159"/>
        <v/>
      </c>
      <c r="E527" s="15" t="str" cm="1">
        <f t="array" ref="E527">IF($A527="","",SUMPRODUCT((TRIM(tblDados[Mandante])=$A527)*tblDados[Primeira_Ocorrencia]))</f>
        <v/>
      </c>
      <c r="F527" s="15" t="str" cm="1">
        <f t="array" ref="F527">IF($A527="","",SUMPRODUCT((TRIM(tblDados[Visitante])=$A527)*tblDados[Primeira_Ocorrencia]))</f>
        <v/>
      </c>
      <c r="G527" s="15" t="str" cm="1">
        <f t="array" ref="G527">IF($A527="","",SUMPRODUCT((TRIM(tblDados[Mandante])=$A527)*tblDados[Primeira_Ocorrencia])+SUMPRODUCT((TRIM(tblDados[Visitante])=$A527)*tblDados[Primeira_Ocorrencia]))</f>
        <v/>
      </c>
      <c r="H527" s="14" t="str">
        <f t="shared" si="160"/>
        <v/>
      </c>
      <c r="I527" s="14" t="str" cm="1">
        <f t="array" ref="I527">IF($A527="","",_xlfn.LET(_xlpm.p,IFERROR(INDEX(tblDados[País],MATCH($A527,TRIM(tblDados[Mandante]),0)),INDEX(tblDados[País],MATCH($A527,TRIM(tblDados[Visitante]),0))),_xlpm.l,IFERROR(INDEX(tblDados[Liga],MATCH($A527,TRIM(tblDados[Mandante]),0)),INDEX(tblDados[Liga],MATCH($A527,TRIM(tblDados[Visitante]),0))),IFERROR(SUMIFS(Ligas!$D$2:$D$39,Ligas!$H$2:$H$39,_xlpm.p,Ligas!$I$2:$I$39,_xlpm.l),0)))</f>
        <v/>
      </c>
      <c r="J527" s="16" t="str" cm="1">
        <f t="array" ref="J527">IF($A527="","",IFERROR((SUMPRODUCT((TRIM(tblDados[Mandante])=$A527)*tblDados[Primeira_Ocorrencia]*(tblDados[GM_M]=0))+SUMPRODUCT((TRIM(tblDados[Visitante])=$A527)*tblDados[Primeira_Ocorrencia]*(tblDados[GM_V]=0)))/G527,0))</f>
        <v/>
      </c>
      <c r="K527" s="16" t="str" cm="1">
        <f t="array" ref="K527">IF($A527="","",IFERROR((SUMPRODUCT((TRIM(tblDados[Mandante])=$A527)*tblDados[Primeira_Ocorrencia]*((tblDados[GM_M]+tblDados[GS_M])&gt;0.5))+SUMPRODUCT((TRIM(tblDados[Visitante])=$A527)*tblDados[Primeira_Ocorrencia]*((tblDados[GM_V]+tblDados[GS_V])&gt;0.5)))/G527,0))</f>
        <v/>
      </c>
      <c r="L527" s="16" t="str" cm="1">
        <f t="array" ref="L527">IF($A527="","",IFERROR((SUMPRODUCT((TRIM(tblDados[Mandante])=$A527)*tblDados[Primeira_Ocorrencia]*((tblDados[GM_M]+tblDados[GS_M])&gt;1.5))+SUMPRODUCT((TRIM(tblDados[Visitante])=$A527)*tblDados[Primeira_Ocorrencia]*((tblDados[GM_V]+tblDados[GS_V])&gt;1.5)))/G527,0))</f>
        <v/>
      </c>
      <c r="M527" s="16" t="str" cm="1">
        <f t="array" ref="M527">IF($A527="","",IFERROR((SUMPRODUCT((TRIM(tblDados[Mandante])=$A527)*tblDados[Primeira_Ocorrencia]*((tblDados[GM_M]+tblDados[GS_M])&gt;2.5))+SUMPRODUCT((TRIM(tblDados[Visitante])=$A527)*tblDados[Primeira_Ocorrencia]*((tblDados[GM_V]+tblDados[GS_V])&gt;2.5)))/G527,0))</f>
        <v/>
      </c>
      <c r="N527" s="16" t="str" cm="1">
        <f t="array" ref="N527">IF($A527="","",IFERROR((SUMPRODUCT((TRIM(tblDados[Mandante])=$A527)*tblDados[Primeira_Ocorrencia]*((tblDados[GM_M]+tblDados[GS_M])&gt;3.5))+SUMPRODUCT((TRIM(tblDados[Visitante])=$A527)*tblDados[Primeira_Ocorrencia]*((tblDados[GM_V]+tblDados[GS_V])&gt;3.5)))/G527,0))</f>
        <v/>
      </c>
      <c r="O527" s="16" t="str" cm="1">
        <f t="array" ref="O527">IF($A527="","",IFERROR((SUMPRODUCT((TRIM(tblDados[Mandante])=$A527)*tblDados[Primeira_Ocorrencia]*(tblDados[GM_M]&gt;0)*(tblDados[GS_M]&gt;0))+SUMPRODUCT((TRIM(tblDados[Visitante])=$A527)*tblDados[Primeira_Ocorrencia]*(tblDados[GM_V]&gt;0)*(tblDados[GS_V]&gt;0)))/G527,0))</f>
        <v/>
      </c>
      <c r="P527" s="14" t="str" cm="1">
        <f t="array" ref="P527">IF($A527="","",IFERROR((SUMPRODUCT((TRIM(tblDados[Mandante])=$A527)*tblDados[Primeira_Ocorrencia]*tblDados[GM_M]^2)+SUMPRODUCT((TRIM(tblDados[Visitante])=$A527)*tblDados[Primeira_Ocorrencia]*tblDados[GM_V]^2))/G527-H527^2,0))</f>
        <v/>
      </c>
      <c r="Q527" s="14" t="str">
        <f t="shared" si="161"/>
        <v/>
      </c>
      <c r="R527" s="1" t="str">
        <f t="shared" si="162"/>
        <v/>
      </c>
      <c r="S527" s="14" t="str" cm="1">
        <f t="array" ref="S527">IF($A527="","",SUMPRODUCT((TRIM(tblDados[Mandante])=$A527)*tblDados[Primeira_Ocorrencia]*tblDados[GM_M]))</f>
        <v/>
      </c>
      <c r="T527" s="14" t="str" cm="1">
        <f t="array" ref="T527">IF($A527="","",SUMPRODUCT((TRIM(tblDados[Visitante])=$A527)*tblDados[Primeira_Ocorrencia]*tblDados[GM_V]))</f>
        <v/>
      </c>
      <c r="U527" s="14" t="str">
        <f t="shared" si="163"/>
        <v/>
      </c>
      <c r="V527" s="14" t="str">
        <f t="shared" si="152"/>
        <v/>
      </c>
      <c r="W527" s="14" t="str" cm="1">
        <f t="array" ref="W527">IF($A527="","",SUMPRODUCT((TRIM(tblDados[Mandante])=$A527)*tblDados[Primeira_Ocorrencia]*tblDados[GS_M]))</f>
        <v/>
      </c>
      <c r="X527" s="14" t="str" cm="1">
        <f t="array" ref="X527">IF($A527="","",SUMPRODUCT((TRIM(tblDados[Visitante])=$A527)*tblDados[Primeira_Ocorrencia]*tblDados[GS_V]))</f>
        <v/>
      </c>
      <c r="Y527" s="14" t="str">
        <f t="shared" si="164"/>
        <v/>
      </c>
      <c r="Z527" s="14" t="str">
        <f t="shared" si="153"/>
        <v/>
      </c>
      <c r="AA527" s="14" t="str">
        <f t="shared" si="154"/>
        <v/>
      </c>
      <c r="AB527" s="14" t="str">
        <f t="shared" si="155"/>
        <v/>
      </c>
      <c r="AC527" s="14" t="str">
        <f t="shared" si="156"/>
        <v/>
      </c>
      <c r="AD527" s="14" t="str">
        <f t="shared" si="157"/>
        <v/>
      </c>
    </row>
    <row r="528" spans="2:30" x14ac:dyDescent="0.3">
      <c r="B528" s="13" t="str" cm="1">
        <f t="array" ref="B528">IF($A528="","",_xlfn.LET(_xlpm.p,IFERROR(INDEX(tblDados[País],MATCH($A528,TRIM(tblDados[Mandante]),0)),INDEX(tblDados[País],MATCH($A528,TRIM(tblDados[Visitante]),0))),_xlpm.l,IFERROR(INDEX(tblDados[Liga],MATCH($A528,TRIM(tblDados[Mandante]),0)),INDEX(tblDados[Liga],MATCH($A528,TRIM(tblDados[Visitante]),0))),_xlpm.p&amp;" - "&amp;_xlpm.l))</f>
        <v/>
      </c>
      <c r="C528" s="14" t="str">
        <f t="shared" si="158"/>
        <v/>
      </c>
      <c r="D528" s="14" t="str">
        <f t="shared" si="159"/>
        <v/>
      </c>
      <c r="E528" s="15" t="str" cm="1">
        <f t="array" ref="E528">IF($A528="","",SUMPRODUCT((TRIM(tblDados[Mandante])=$A528)*tblDados[Primeira_Ocorrencia]))</f>
        <v/>
      </c>
      <c r="F528" s="15" t="str" cm="1">
        <f t="array" ref="F528">IF($A528="","",SUMPRODUCT((TRIM(tblDados[Visitante])=$A528)*tblDados[Primeira_Ocorrencia]))</f>
        <v/>
      </c>
      <c r="G528" s="15" t="str" cm="1">
        <f t="array" ref="G528">IF($A528="","",SUMPRODUCT((TRIM(tblDados[Mandante])=$A528)*tblDados[Primeira_Ocorrencia])+SUMPRODUCT((TRIM(tblDados[Visitante])=$A528)*tblDados[Primeira_Ocorrencia]))</f>
        <v/>
      </c>
      <c r="H528" s="14" t="str">
        <f t="shared" si="160"/>
        <v/>
      </c>
      <c r="I528" s="14" t="str" cm="1">
        <f t="array" ref="I528">IF($A528="","",_xlfn.LET(_xlpm.p,IFERROR(INDEX(tblDados[País],MATCH($A528,TRIM(tblDados[Mandante]),0)),INDEX(tblDados[País],MATCH($A528,TRIM(tblDados[Visitante]),0))),_xlpm.l,IFERROR(INDEX(tblDados[Liga],MATCH($A528,TRIM(tblDados[Mandante]),0)),INDEX(tblDados[Liga],MATCH($A528,TRIM(tblDados[Visitante]),0))),IFERROR(SUMIFS(Ligas!$D$2:$D$39,Ligas!$H$2:$H$39,_xlpm.p,Ligas!$I$2:$I$39,_xlpm.l),0)))</f>
        <v/>
      </c>
      <c r="J528" s="16" t="str" cm="1">
        <f t="array" ref="J528">IF($A528="","",IFERROR((SUMPRODUCT((TRIM(tblDados[Mandante])=$A528)*tblDados[Primeira_Ocorrencia]*(tblDados[GM_M]=0))+SUMPRODUCT((TRIM(tblDados[Visitante])=$A528)*tblDados[Primeira_Ocorrencia]*(tblDados[GM_V]=0)))/G528,0))</f>
        <v/>
      </c>
      <c r="K528" s="16" t="str" cm="1">
        <f t="array" ref="K528">IF($A528="","",IFERROR((SUMPRODUCT((TRIM(tblDados[Mandante])=$A528)*tblDados[Primeira_Ocorrencia]*((tblDados[GM_M]+tblDados[GS_M])&gt;0.5))+SUMPRODUCT((TRIM(tblDados[Visitante])=$A528)*tblDados[Primeira_Ocorrencia]*((tblDados[GM_V]+tblDados[GS_V])&gt;0.5)))/G528,0))</f>
        <v/>
      </c>
      <c r="L528" s="16" t="str" cm="1">
        <f t="array" ref="L528">IF($A528="","",IFERROR((SUMPRODUCT((TRIM(tblDados[Mandante])=$A528)*tblDados[Primeira_Ocorrencia]*((tblDados[GM_M]+tblDados[GS_M])&gt;1.5))+SUMPRODUCT((TRIM(tblDados[Visitante])=$A528)*tblDados[Primeira_Ocorrencia]*((tblDados[GM_V]+tblDados[GS_V])&gt;1.5)))/G528,0))</f>
        <v/>
      </c>
      <c r="M528" s="16" t="str" cm="1">
        <f t="array" ref="M528">IF($A528="","",IFERROR((SUMPRODUCT((TRIM(tblDados[Mandante])=$A528)*tblDados[Primeira_Ocorrencia]*((tblDados[GM_M]+tblDados[GS_M])&gt;2.5))+SUMPRODUCT((TRIM(tblDados[Visitante])=$A528)*tblDados[Primeira_Ocorrencia]*((tblDados[GM_V]+tblDados[GS_V])&gt;2.5)))/G528,0))</f>
        <v/>
      </c>
      <c r="N528" s="16" t="str" cm="1">
        <f t="array" ref="N528">IF($A528="","",IFERROR((SUMPRODUCT((TRIM(tblDados[Mandante])=$A528)*tblDados[Primeira_Ocorrencia]*((tblDados[GM_M]+tblDados[GS_M])&gt;3.5))+SUMPRODUCT((TRIM(tblDados[Visitante])=$A528)*tblDados[Primeira_Ocorrencia]*((tblDados[GM_V]+tblDados[GS_V])&gt;3.5)))/G528,0))</f>
        <v/>
      </c>
      <c r="O528" s="16" t="str" cm="1">
        <f t="array" ref="O528">IF($A528="","",IFERROR((SUMPRODUCT((TRIM(tblDados[Mandante])=$A528)*tblDados[Primeira_Ocorrencia]*(tblDados[GM_M]&gt;0)*(tblDados[GS_M]&gt;0))+SUMPRODUCT((TRIM(tblDados[Visitante])=$A528)*tblDados[Primeira_Ocorrencia]*(tblDados[GM_V]&gt;0)*(tblDados[GS_V]&gt;0)))/G528,0))</f>
        <v/>
      </c>
      <c r="P528" s="14" t="str" cm="1">
        <f t="array" ref="P528">IF($A528="","",IFERROR((SUMPRODUCT((TRIM(tblDados[Mandante])=$A528)*tblDados[Primeira_Ocorrencia]*tblDados[GM_M]^2)+SUMPRODUCT((TRIM(tblDados[Visitante])=$A528)*tblDados[Primeira_Ocorrencia]*tblDados[GM_V]^2))/G528-H528^2,0))</f>
        <v/>
      </c>
      <c r="Q528" s="14" t="str">
        <f t="shared" si="161"/>
        <v/>
      </c>
      <c r="R528" s="1" t="str">
        <f t="shared" si="162"/>
        <v/>
      </c>
      <c r="S528" s="14" t="str" cm="1">
        <f t="array" ref="S528">IF($A528="","",SUMPRODUCT((TRIM(tblDados[Mandante])=$A528)*tblDados[Primeira_Ocorrencia]*tblDados[GM_M]))</f>
        <v/>
      </c>
      <c r="T528" s="14" t="str" cm="1">
        <f t="array" ref="T528">IF($A528="","",SUMPRODUCT((TRIM(tblDados[Visitante])=$A528)*tblDados[Primeira_Ocorrencia]*tblDados[GM_V]))</f>
        <v/>
      </c>
      <c r="U528" s="14" t="str">
        <f t="shared" si="163"/>
        <v/>
      </c>
      <c r="V528" s="14" t="str">
        <f t="shared" si="152"/>
        <v/>
      </c>
      <c r="W528" s="14" t="str" cm="1">
        <f t="array" ref="W528">IF($A528="","",SUMPRODUCT((TRIM(tblDados[Mandante])=$A528)*tblDados[Primeira_Ocorrencia]*tblDados[GS_M]))</f>
        <v/>
      </c>
      <c r="X528" s="14" t="str" cm="1">
        <f t="array" ref="X528">IF($A528="","",SUMPRODUCT((TRIM(tblDados[Visitante])=$A528)*tblDados[Primeira_Ocorrencia]*tblDados[GS_V]))</f>
        <v/>
      </c>
      <c r="Y528" s="14" t="str">
        <f t="shared" si="164"/>
        <v/>
      </c>
      <c r="Z528" s="14" t="str">
        <f t="shared" si="153"/>
        <v/>
      </c>
      <c r="AA528" s="14" t="str">
        <f t="shared" si="154"/>
        <v/>
      </c>
      <c r="AB528" s="14" t="str">
        <f t="shared" si="155"/>
        <v/>
      </c>
      <c r="AC528" s="14" t="str">
        <f t="shared" si="156"/>
        <v/>
      </c>
      <c r="AD528" s="14" t="str">
        <f t="shared" si="157"/>
        <v/>
      </c>
    </row>
    <row r="529" spans="2:30" x14ac:dyDescent="0.3">
      <c r="B529" s="13" t="str" cm="1">
        <f t="array" ref="B529">IF($A529="","",_xlfn.LET(_xlpm.p,IFERROR(INDEX(tblDados[País],MATCH($A529,TRIM(tblDados[Mandante]),0)),INDEX(tblDados[País],MATCH($A529,TRIM(tblDados[Visitante]),0))),_xlpm.l,IFERROR(INDEX(tblDados[Liga],MATCH($A529,TRIM(tblDados[Mandante]),0)),INDEX(tblDados[Liga],MATCH($A529,TRIM(tblDados[Visitante]),0))),_xlpm.p&amp;" - "&amp;_xlpm.l))</f>
        <v/>
      </c>
      <c r="C529" s="14" t="str">
        <f t="shared" si="158"/>
        <v/>
      </c>
      <c r="D529" s="14" t="str">
        <f t="shared" si="159"/>
        <v/>
      </c>
      <c r="E529" s="15" t="str" cm="1">
        <f t="array" ref="E529">IF($A529="","",SUMPRODUCT((TRIM(tblDados[Mandante])=$A529)*tblDados[Primeira_Ocorrencia]))</f>
        <v/>
      </c>
      <c r="F529" s="15" t="str" cm="1">
        <f t="array" ref="F529">IF($A529="","",SUMPRODUCT((TRIM(tblDados[Visitante])=$A529)*tblDados[Primeira_Ocorrencia]))</f>
        <v/>
      </c>
      <c r="G529" s="15" t="str" cm="1">
        <f t="array" ref="G529">IF($A529="","",SUMPRODUCT((TRIM(tblDados[Mandante])=$A529)*tblDados[Primeira_Ocorrencia])+SUMPRODUCT((TRIM(tblDados[Visitante])=$A529)*tblDados[Primeira_Ocorrencia]))</f>
        <v/>
      </c>
      <c r="H529" s="14" t="str">
        <f t="shared" si="160"/>
        <v/>
      </c>
      <c r="I529" s="14" t="str" cm="1">
        <f t="array" ref="I529">IF($A529="","",_xlfn.LET(_xlpm.p,IFERROR(INDEX(tblDados[País],MATCH($A529,TRIM(tblDados[Mandante]),0)),INDEX(tblDados[País],MATCH($A529,TRIM(tblDados[Visitante]),0))),_xlpm.l,IFERROR(INDEX(tblDados[Liga],MATCH($A529,TRIM(tblDados[Mandante]),0)),INDEX(tblDados[Liga],MATCH($A529,TRIM(tblDados[Visitante]),0))),IFERROR(SUMIFS(Ligas!$D$2:$D$39,Ligas!$H$2:$H$39,_xlpm.p,Ligas!$I$2:$I$39,_xlpm.l),0)))</f>
        <v/>
      </c>
      <c r="J529" s="16" t="str" cm="1">
        <f t="array" ref="J529">IF($A529="","",IFERROR((SUMPRODUCT((TRIM(tblDados[Mandante])=$A529)*tblDados[Primeira_Ocorrencia]*(tblDados[GM_M]=0))+SUMPRODUCT((TRIM(tblDados[Visitante])=$A529)*tblDados[Primeira_Ocorrencia]*(tblDados[GM_V]=0)))/G529,0))</f>
        <v/>
      </c>
      <c r="K529" s="16" t="str" cm="1">
        <f t="array" ref="K529">IF($A529="","",IFERROR((SUMPRODUCT((TRIM(tblDados[Mandante])=$A529)*tblDados[Primeira_Ocorrencia]*((tblDados[GM_M]+tblDados[GS_M])&gt;0.5))+SUMPRODUCT((TRIM(tblDados[Visitante])=$A529)*tblDados[Primeira_Ocorrencia]*((tblDados[GM_V]+tblDados[GS_V])&gt;0.5)))/G529,0))</f>
        <v/>
      </c>
      <c r="L529" s="16" t="str" cm="1">
        <f t="array" ref="L529">IF($A529="","",IFERROR((SUMPRODUCT((TRIM(tblDados[Mandante])=$A529)*tblDados[Primeira_Ocorrencia]*((tblDados[GM_M]+tblDados[GS_M])&gt;1.5))+SUMPRODUCT((TRIM(tblDados[Visitante])=$A529)*tblDados[Primeira_Ocorrencia]*((tblDados[GM_V]+tblDados[GS_V])&gt;1.5)))/G529,0))</f>
        <v/>
      </c>
      <c r="M529" s="16" t="str" cm="1">
        <f t="array" ref="M529">IF($A529="","",IFERROR((SUMPRODUCT((TRIM(tblDados[Mandante])=$A529)*tblDados[Primeira_Ocorrencia]*((tblDados[GM_M]+tblDados[GS_M])&gt;2.5))+SUMPRODUCT((TRIM(tblDados[Visitante])=$A529)*tblDados[Primeira_Ocorrencia]*((tblDados[GM_V]+tblDados[GS_V])&gt;2.5)))/G529,0))</f>
        <v/>
      </c>
      <c r="N529" s="16" t="str" cm="1">
        <f t="array" ref="N529">IF($A529="","",IFERROR((SUMPRODUCT((TRIM(tblDados[Mandante])=$A529)*tblDados[Primeira_Ocorrencia]*((tblDados[GM_M]+tblDados[GS_M])&gt;3.5))+SUMPRODUCT((TRIM(tblDados[Visitante])=$A529)*tblDados[Primeira_Ocorrencia]*((tblDados[GM_V]+tblDados[GS_V])&gt;3.5)))/G529,0))</f>
        <v/>
      </c>
      <c r="O529" s="16" t="str" cm="1">
        <f t="array" ref="O529">IF($A529="","",IFERROR((SUMPRODUCT((TRIM(tblDados[Mandante])=$A529)*tblDados[Primeira_Ocorrencia]*(tblDados[GM_M]&gt;0)*(tblDados[GS_M]&gt;0))+SUMPRODUCT((TRIM(tblDados[Visitante])=$A529)*tblDados[Primeira_Ocorrencia]*(tblDados[GM_V]&gt;0)*(tblDados[GS_V]&gt;0)))/G529,0))</f>
        <v/>
      </c>
      <c r="P529" s="14" t="str" cm="1">
        <f t="array" ref="P529">IF($A529="","",IFERROR((SUMPRODUCT((TRIM(tblDados[Mandante])=$A529)*tblDados[Primeira_Ocorrencia]*tblDados[GM_M]^2)+SUMPRODUCT((TRIM(tblDados[Visitante])=$A529)*tblDados[Primeira_Ocorrencia]*tblDados[GM_V]^2))/G529-H529^2,0))</f>
        <v/>
      </c>
      <c r="Q529" s="14" t="str">
        <f t="shared" si="161"/>
        <v/>
      </c>
      <c r="R529" s="1" t="str">
        <f t="shared" si="162"/>
        <v/>
      </c>
      <c r="S529" s="14" t="str" cm="1">
        <f t="array" ref="S529">IF($A529="","",SUMPRODUCT((TRIM(tblDados[Mandante])=$A529)*tblDados[Primeira_Ocorrencia]*tblDados[GM_M]))</f>
        <v/>
      </c>
      <c r="T529" s="14" t="str" cm="1">
        <f t="array" ref="T529">IF($A529="","",SUMPRODUCT((TRIM(tblDados[Visitante])=$A529)*tblDados[Primeira_Ocorrencia]*tblDados[GM_V]))</f>
        <v/>
      </c>
      <c r="U529" s="14" t="str">
        <f t="shared" si="163"/>
        <v/>
      </c>
      <c r="V529" s="14" t="str">
        <f t="shared" si="152"/>
        <v/>
      </c>
      <c r="W529" s="14" t="str" cm="1">
        <f t="array" ref="W529">IF($A529="","",SUMPRODUCT((TRIM(tblDados[Mandante])=$A529)*tblDados[Primeira_Ocorrencia]*tblDados[GS_M]))</f>
        <v/>
      </c>
      <c r="X529" s="14" t="str" cm="1">
        <f t="array" ref="X529">IF($A529="","",SUMPRODUCT((TRIM(tblDados[Visitante])=$A529)*tblDados[Primeira_Ocorrencia]*tblDados[GS_V]))</f>
        <v/>
      </c>
      <c r="Y529" s="14" t="str">
        <f t="shared" si="164"/>
        <v/>
      </c>
      <c r="Z529" s="14" t="str">
        <f t="shared" si="153"/>
        <v/>
      </c>
      <c r="AA529" s="14" t="str">
        <f t="shared" si="154"/>
        <v/>
      </c>
      <c r="AB529" s="14" t="str">
        <f t="shared" si="155"/>
        <v/>
      </c>
      <c r="AC529" s="14" t="str">
        <f t="shared" si="156"/>
        <v/>
      </c>
      <c r="AD529" s="14" t="str">
        <f t="shared" si="157"/>
        <v/>
      </c>
    </row>
    <row r="530" spans="2:30" x14ac:dyDescent="0.3">
      <c r="B530" s="13" t="str" cm="1">
        <f t="array" ref="B530">IF($A530="","",_xlfn.LET(_xlpm.p,IFERROR(INDEX(tblDados[País],MATCH($A530,TRIM(tblDados[Mandante]),0)),INDEX(tblDados[País],MATCH($A530,TRIM(tblDados[Visitante]),0))),_xlpm.l,IFERROR(INDEX(tblDados[Liga],MATCH($A530,TRIM(tblDados[Mandante]),0)),INDEX(tblDados[Liga],MATCH($A530,TRIM(tblDados[Visitante]),0))),_xlpm.p&amp;" - "&amp;_xlpm.l))</f>
        <v/>
      </c>
      <c r="C530" s="14" t="str">
        <f t="shared" si="158"/>
        <v/>
      </c>
      <c r="D530" s="14" t="str">
        <f t="shared" si="159"/>
        <v/>
      </c>
      <c r="E530" s="15" t="str" cm="1">
        <f t="array" ref="E530">IF($A530="","",SUMPRODUCT((TRIM(tblDados[Mandante])=$A530)*tblDados[Primeira_Ocorrencia]))</f>
        <v/>
      </c>
      <c r="F530" s="15" t="str" cm="1">
        <f t="array" ref="F530">IF($A530="","",SUMPRODUCT((TRIM(tblDados[Visitante])=$A530)*tblDados[Primeira_Ocorrencia]))</f>
        <v/>
      </c>
      <c r="G530" s="15" t="str" cm="1">
        <f t="array" ref="G530">IF($A530="","",SUMPRODUCT((TRIM(tblDados[Mandante])=$A530)*tblDados[Primeira_Ocorrencia])+SUMPRODUCT((TRIM(tblDados[Visitante])=$A530)*tblDados[Primeira_Ocorrencia]))</f>
        <v/>
      </c>
      <c r="H530" s="14" t="str">
        <f t="shared" si="160"/>
        <v/>
      </c>
      <c r="I530" s="14" t="str" cm="1">
        <f t="array" ref="I530">IF($A530="","",_xlfn.LET(_xlpm.p,IFERROR(INDEX(tblDados[País],MATCH($A530,TRIM(tblDados[Mandante]),0)),INDEX(tblDados[País],MATCH($A530,TRIM(tblDados[Visitante]),0))),_xlpm.l,IFERROR(INDEX(tblDados[Liga],MATCH($A530,TRIM(tblDados[Mandante]),0)),INDEX(tblDados[Liga],MATCH($A530,TRIM(tblDados[Visitante]),0))),IFERROR(SUMIFS(Ligas!$D$2:$D$39,Ligas!$H$2:$H$39,_xlpm.p,Ligas!$I$2:$I$39,_xlpm.l),0)))</f>
        <v/>
      </c>
      <c r="J530" s="16" t="str" cm="1">
        <f t="array" ref="J530">IF($A530="","",IFERROR((SUMPRODUCT((TRIM(tblDados[Mandante])=$A530)*tblDados[Primeira_Ocorrencia]*(tblDados[GM_M]=0))+SUMPRODUCT((TRIM(tblDados[Visitante])=$A530)*tblDados[Primeira_Ocorrencia]*(tblDados[GM_V]=0)))/G530,0))</f>
        <v/>
      </c>
      <c r="K530" s="16" t="str" cm="1">
        <f t="array" ref="K530">IF($A530="","",IFERROR((SUMPRODUCT((TRIM(tblDados[Mandante])=$A530)*tblDados[Primeira_Ocorrencia]*((tblDados[GM_M]+tblDados[GS_M])&gt;0.5))+SUMPRODUCT((TRIM(tblDados[Visitante])=$A530)*tblDados[Primeira_Ocorrencia]*((tblDados[GM_V]+tblDados[GS_V])&gt;0.5)))/G530,0))</f>
        <v/>
      </c>
      <c r="L530" s="16" t="str" cm="1">
        <f t="array" ref="L530">IF($A530="","",IFERROR((SUMPRODUCT((TRIM(tblDados[Mandante])=$A530)*tblDados[Primeira_Ocorrencia]*((tblDados[GM_M]+tblDados[GS_M])&gt;1.5))+SUMPRODUCT((TRIM(tblDados[Visitante])=$A530)*tblDados[Primeira_Ocorrencia]*((tblDados[GM_V]+tblDados[GS_V])&gt;1.5)))/G530,0))</f>
        <v/>
      </c>
      <c r="M530" s="16" t="str" cm="1">
        <f t="array" ref="M530">IF($A530="","",IFERROR((SUMPRODUCT((TRIM(tblDados[Mandante])=$A530)*tblDados[Primeira_Ocorrencia]*((tblDados[GM_M]+tblDados[GS_M])&gt;2.5))+SUMPRODUCT((TRIM(tblDados[Visitante])=$A530)*tblDados[Primeira_Ocorrencia]*((tblDados[GM_V]+tblDados[GS_V])&gt;2.5)))/G530,0))</f>
        <v/>
      </c>
      <c r="N530" s="16" t="str" cm="1">
        <f t="array" ref="N530">IF($A530="","",IFERROR((SUMPRODUCT((TRIM(tblDados[Mandante])=$A530)*tblDados[Primeira_Ocorrencia]*((tblDados[GM_M]+tblDados[GS_M])&gt;3.5))+SUMPRODUCT((TRIM(tblDados[Visitante])=$A530)*tblDados[Primeira_Ocorrencia]*((tblDados[GM_V]+tblDados[GS_V])&gt;3.5)))/G530,0))</f>
        <v/>
      </c>
      <c r="O530" s="16" t="str" cm="1">
        <f t="array" ref="O530">IF($A530="","",IFERROR((SUMPRODUCT((TRIM(tblDados[Mandante])=$A530)*tblDados[Primeira_Ocorrencia]*(tblDados[GM_M]&gt;0)*(tblDados[GS_M]&gt;0))+SUMPRODUCT((TRIM(tblDados[Visitante])=$A530)*tblDados[Primeira_Ocorrencia]*(tblDados[GM_V]&gt;0)*(tblDados[GS_V]&gt;0)))/G530,0))</f>
        <v/>
      </c>
      <c r="P530" s="14" t="str" cm="1">
        <f t="array" ref="P530">IF($A530="","",IFERROR((SUMPRODUCT((TRIM(tblDados[Mandante])=$A530)*tblDados[Primeira_Ocorrencia]*tblDados[GM_M]^2)+SUMPRODUCT((TRIM(tblDados[Visitante])=$A530)*tblDados[Primeira_Ocorrencia]*tblDados[GM_V]^2))/G530-H530^2,0))</f>
        <v/>
      </c>
      <c r="Q530" s="14" t="str">
        <f t="shared" si="161"/>
        <v/>
      </c>
      <c r="R530" s="1" t="str">
        <f t="shared" si="162"/>
        <v/>
      </c>
      <c r="S530" s="14" t="str" cm="1">
        <f t="array" ref="S530">IF($A530="","",SUMPRODUCT((TRIM(tblDados[Mandante])=$A530)*tblDados[Primeira_Ocorrencia]*tblDados[GM_M]))</f>
        <v/>
      </c>
      <c r="T530" s="14" t="str" cm="1">
        <f t="array" ref="T530">IF($A530="","",SUMPRODUCT((TRIM(tblDados[Visitante])=$A530)*tblDados[Primeira_Ocorrencia]*tblDados[GM_V]))</f>
        <v/>
      </c>
      <c r="U530" s="14" t="str">
        <f t="shared" si="163"/>
        <v/>
      </c>
      <c r="V530" s="14" t="str">
        <f t="shared" si="152"/>
        <v/>
      </c>
      <c r="W530" s="14" t="str" cm="1">
        <f t="array" ref="W530">IF($A530="","",SUMPRODUCT((TRIM(tblDados[Mandante])=$A530)*tblDados[Primeira_Ocorrencia]*tblDados[GS_M]))</f>
        <v/>
      </c>
      <c r="X530" s="14" t="str" cm="1">
        <f t="array" ref="X530">IF($A530="","",SUMPRODUCT((TRIM(tblDados[Visitante])=$A530)*tblDados[Primeira_Ocorrencia]*tblDados[GS_V]))</f>
        <v/>
      </c>
      <c r="Y530" s="14" t="str">
        <f t="shared" si="164"/>
        <v/>
      </c>
      <c r="Z530" s="14" t="str">
        <f t="shared" si="153"/>
        <v/>
      </c>
      <c r="AA530" s="14" t="str">
        <f t="shared" si="154"/>
        <v/>
      </c>
      <c r="AB530" s="14" t="str">
        <f t="shared" si="155"/>
        <v/>
      </c>
      <c r="AC530" s="14" t="str">
        <f t="shared" si="156"/>
        <v/>
      </c>
      <c r="AD530" s="14" t="str">
        <f t="shared" si="157"/>
        <v/>
      </c>
    </row>
    <row r="531" spans="2:30" x14ac:dyDescent="0.3">
      <c r="B531" s="13" t="str" cm="1">
        <f t="array" ref="B531">IF($A531="","",_xlfn.LET(_xlpm.p,IFERROR(INDEX(tblDados[País],MATCH($A531,TRIM(tblDados[Mandante]),0)),INDEX(tblDados[País],MATCH($A531,TRIM(tblDados[Visitante]),0))),_xlpm.l,IFERROR(INDEX(tblDados[Liga],MATCH($A531,TRIM(tblDados[Mandante]),0)),INDEX(tblDados[Liga],MATCH($A531,TRIM(tblDados[Visitante]),0))),_xlpm.p&amp;" - "&amp;_xlpm.l))</f>
        <v/>
      </c>
      <c r="C531" s="14" t="str">
        <f t="shared" si="158"/>
        <v/>
      </c>
      <c r="D531" s="14" t="str">
        <f t="shared" si="159"/>
        <v/>
      </c>
      <c r="E531" s="15" t="str" cm="1">
        <f t="array" ref="E531">IF($A531="","",SUMPRODUCT((TRIM(tblDados[Mandante])=$A531)*tblDados[Primeira_Ocorrencia]))</f>
        <v/>
      </c>
      <c r="F531" s="15" t="str" cm="1">
        <f t="array" ref="F531">IF($A531="","",SUMPRODUCT((TRIM(tblDados[Visitante])=$A531)*tblDados[Primeira_Ocorrencia]))</f>
        <v/>
      </c>
      <c r="G531" s="15" t="str" cm="1">
        <f t="array" ref="G531">IF($A531="","",SUMPRODUCT((TRIM(tblDados[Mandante])=$A531)*tblDados[Primeira_Ocorrencia])+SUMPRODUCT((TRIM(tblDados[Visitante])=$A531)*tblDados[Primeira_Ocorrencia]))</f>
        <v/>
      </c>
      <c r="H531" s="14" t="str">
        <f t="shared" si="160"/>
        <v/>
      </c>
      <c r="I531" s="14" t="str" cm="1">
        <f t="array" ref="I531">IF($A531="","",_xlfn.LET(_xlpm.p,IFERROR(INDEX(tblDados[País],MATCH($A531,TRIM(tblDados[Mandante]),0)),INDEX(tblDados[País],MATCH($A531,TRIM(tblDados[Visitante]),0))),_xlpm.l,IFERROR(INDEX(tblDados[Liga],MATCH($A531,TRIM(tblDados[Mandante]),0)),INDEX(tblDados[Liga],MATCH($A531,TRIM(tblDados[Visitante]),0))),IFERROR(SUMIFS(Ligas!$D$2:$D$39,Ligas!$H$2:$H$39,_xlpm.p,Ligas!$I$2:$I$39,_xlpm.l),0)))</f>
        <v/>
      </c>
      <c r="J531" s="16" t="str" cm="1">
        <f t="array" ref="J531">IF($A531="","",IFERROR((SUMPRODUCT((TRIM(tblDados[Mandante])=$A531)*tblDados[Primeira_Ocorrencia]*(tblDados[GM_M]=0))+SUMPRODUCT((TRIM(tblDados[Visitante])=$A531)*tblDados[Primeira_Ocorrencia]*(tblDados[GM_V]=0)))/G531,0))</f>
        <v/>
      </c>
      <c r="K531" s="16" t="str" cm="1">
        <f t="array" ref="K531">IF($A531="","",IFERROR((SUMPRODUCT((TRIM(tblDados[Mandante])=$A531)*tblDados[Primeira_Ocorrencia]*((tblDados[GM_M]+tblDados[GS_M])&gt;0.5))+SUMPRODUCT((TRIM(tblDados[Visitante])=$A531)*tblDados[Primeira_Ocorrencia]*((tblDados[GM_V]+tblDados[GS_V])&gt;0.5)))/G531,0))</f>
        <v/>
      </c>
      <c r="L531" s="16" t="str" cm="1">
        <f t="array" ref="L531">IF($A531="","",IFERROR((SUMPRODUCT((TRIM(tblDados[Mandante])=$A531)*tblDados[Primeira_Ocorrencia]*((tblDados[GM_M]+tblDados[GS_M])&gt;1.5))+SUMPRODUCT((TRIM(tblDados[Visitante])=$A531)*tblDados[Primeira_Ocorrencia]*((tblDados[GM_V]+tblDados[GS_V])&gt;1.5)))/G531,0))</f>
        <v/>
      </c>
      <c r="M531" s="16" t="str" cm="1">
        <f t="array" ref="M531">IF($A531="","",IFERROR((SUMPRODUCT((TRIM(tblDados[Mandante])=$A531)*tblDados[Primeira_Ocorrencia]*((tblDados[GM_M]+tblDados[GS_M])&gt;2.5))+SUMPRODUCT((TRIM(tblDados[Visitante])=$A531)*tblDados[Primeira_Ocorrencia]*((tblDados[GM_V]+tblDados[GS_V])&gt;2.5)))/G531,0))</f>
        <v/>
      </c>
      <c r="N531" s="16" t="str" cm="1">
        <f t="array" ref="N531">IF($A531="","",IFERROR((SUMPRODUCT((TRIM(tblDados[Mandante])=$A531)*tblDados[Primeira_Ocorrencia]*((tblDados[GM_M]+tblDados[GS_M])&gt;3.5))+SUMPRODUCT((TRIM(tblDados[Visitante])=$A531)*tblDados[Primeira_Ocorrencia]*((tblDados[GM_V]+tblDados[GS_V])&gt;3.5)))/G531,0))</f>
        <v/>
      </c>
      <c r="O531" s="16" t="str" cm="1">
        <f t="array" ref="O531">IF($A531="","",IFERROR((SUMPRODUCT((TRIM(tblDados[Mandante])=$A531)*tblDados[Primeira_Ocorrencia]*(tblDados[GM_M]&gt;0)*(tblDados[GS_M]&gt;0))+SUMPRODUCT((TRIM(tblDados[Visitante])=$A531)*tblDados[Primeira_Ocorrencia]*(tblDados[GM_V]&gt;0)*(tblDados[GS_V]&gt;0)))/G531,0))</f>
        <v/>
      </c>
      <c r="P531" s="14" t="str" cm="1">
        <f t="array" ref="P531">IF($A531="","",IFERROR((SUMPRODUCT((TRIM(tblDados[Mandante])=$A531)*tblDados[Primeira_Ocorrencia]*tblDados[GM_M]^2)+SUMPRODUCT((TRIM(tblDados[Visitante])=$A531)*tblDados[Primeira_Ocorrencia]*tblDados[GM_V]^2))/G531-H531^2,0))</f>
        <v/>
      </c>
      <c r="Q531" s="14" t="str">
        <f t="shared" si="161"/>
        <v/>
      </c>
      <c r="R531" s="1" t="str">
        <f t="shared" si="162"/>
        <v/>
      </c>
      <c r="S531" s="14" t="str" cm="1">
        <f t="array" ref="S531">IF($A531="","",SUMPRODUCT((TRIM(tblDados[Mandante])=$A531)*tblDados[Primeira_Ocorrencia]*tblDados[GM_M]))</f>
        <v/>
      </c>
      <c r="T531" s="14" t="str" cm="1">
        <f t="array" ref="T531">IF($A531="","",SUMPRODUCT((TRIM(tblDados[Visitante])=$A531)*tblDados[Primeira_Ocorrencia]*tblDados[GM_V]))</f>
        <v/>
      </c>
      <c r="U531" s="14" t="str">
        <f t="shared" si="163"/>
        <v/>
      </c>
      <c r="V531" s="14" t="str">
        <f t="shared" si="152"/>
        <v/>
      </c>
      <c r="W531" s="14" t="str" cm="1">
        <f t="array" ref="W531">IF($A531="","",SUMPRODUCT((TRIM(tblDados[Mandante])=$A531)*tblDados[Primeira_Ocorrencia]*tblDados[GS_M]))</f>
        <v/>
      </c>
      <c r="X531" s="14" t="str" cm="1">
        <f t="array" ref="X531">IF($A531="","",SUMPRODUCT((TRIM(tblDados[Visitante])=$A531)*tblDados[Primeira_Ocorrencia]*tblDados[GS_V]))</f>
        <v/>
      </c>
      <c r="Y531" s="14" t="str">
        <f t="shared" si="164"/>
        <v/>
      </c>
      <c r="Z531" s="14" t="str">
        <f t="shared" si="153"/>
        <v/>
      </c>
      <c r="AA531" s="14" t="str">
        <f t="shared" si="154"/>
        <v/>
      </c>
      <c r="AB531" s="14" t="str">
        <f t="shared" si="155"/>
        <v/>
      </c>
      <c r="AC531" s="14" t="str">
        <f t="shared" si="156"/>
        <v/>
      </c>
      <c r="AD531" s="14" t="str">
        <f t="shared" si="157"/>
        <v/>
      </c>
    </row>
    <row r="532" spans="2:30" x14ac:dyDescent="0.3">
      <c r="B532" s="13" t="str" cm="1">
        <f t="array" ref="B532">IF($A532="","",_xlfn.LET(_xlpm.p,IFERROR(INDEX(tblDados[País],MATCH($A532,TRIM(tblDados[Mandante]),0)),INDEX(tblDados[País],MATCH($A532,TRIM(tblDados[Visitante]),0))),_xlpm.l,IFERROR(INDEX(tblDados[Liga],MATCH($A532,TRIM(tblDados[Mandante]),0)),INDEX(tblDados[Liga],MATCH($A532,TRIM(tblDados[Visitante]),0))),_xlpm.p&amp;" - "&amp;_xlpm.l))</f>
        <v/>
      </c>
      <c r="C532" s="14" t="str">
        <f t="shared" si="158"/>
        <v/>
      </c>
      <c r="D532" s="14" t="str">
        <f t="shared" si="159"/>
        <v/>
      </c>
      <c r="E532" s="15" t="str" cm="1">
        <f t="array" ref="E532">IF($A532="","",SUMPRODUCT((TRIM(tblDados[Mandante])=$A532)*tblDados[Primeira_Ocorrencia]))</f>
        <v/>
      </c>
      <c r="F532" s="15" t="str" cm="1">
        <f t="array" ref="F532">IF($A532="","",SUMPRODUCT((TRIM(tblDados[Visitante])=$A532)*tblDados[Primeira_Ocorrencia]))</f>
        <v/>
      </c>
      <c r="G532" s="15" t="str" cm="1">
        <f t="array" ref="G532">IF($A532="","",SUMPRODUCT((TRIM(tblDados[Mandante])=$A532)*tblDados[Primeira_Ocorrencia])+SUMPRODUCT((TRIM(tblDados[Visitante])=$A532)*tblDados[Primeira_Ocorrencia]))</f>
        <v/>
      </c>
      <c r="H532" s="14" t="str">
        <f t="shared" si="160"/>
        <v/>
      </c>
      <c r="I532" s="14" t="str" cm="1">
        <f t="array" ref="I532">IF($A532="","",_xlfn.LET(_xlpm.p,IFERROR(INDEX(tblDados[País],MATCH($A532,TRIM(tblDados[Mandante]),0)),INDEX(tblDados[País],MATCH($A532,TRIM(tblDados[Visitante]),0))),_xlpm.l,IFERROR(INDEX(tblDados[Liga],MATCH($A532,TRIM(tblDados[Mandante]),0)),INDEX(tblDados[Liga],MATCH($A532,TRIM(tblDados[Visitante]),0))),IFERROR(SUMIFS(Ligas!$D$2:$D$39,Ligas!$H$2:$H$39,_xlpm.p,Ligas!$I$2:$I$39,_xlpm.l),0)))</f>
        <v/>
      </c>
      <c r="J532" s="16" t="str" cm="1">
        <f t="array" ref="J532">IF($A532="","",IFERROR((SUMPRODUCT((TRIM(tblDados[Mandante])=$A532)*tblDados[Primeira_Ocorrencia]*(tblDados[GM_M]=0))+SUMPRODUCT((TRIM(tblDados[Visitante])=$A532)*tblDados[Primeira_Ocorrencia]*(tblDados[GM_V]=0)))/G532,0))</f>
        <v/>
      </c>
      <c r="K532" s="16" t="str" cm="1">
        <f t="array" ref="K532">IF($A532="","",IFERROR((SUMPRODUCT((TRIM(tblDados[Mandante])=$A532)*tblDados[Primeira_Ocorrencia]*((tblDados[GM_M]+tblDados[GS_M])&gt;0.5))+SUMPRODUCT((TRIM(tblDados[Visitante])=$A532)*tblDados[Primeira_Ocorrencia]*((tblDados[GM_V]+tblDados[GS_V])&gt;0.5)))/G532,0))</f>
        <v/>
      </c>
      <c r="L532" s="16" t="str" cm="1">
        <f t="array" ref="L532">IF($A532="","",IFERROR((SUMPRODUCT((TRIM(tblDados[Mandante])=$A532)*tblDados[Primeira_Ocorrencia]*((tblDados[GM_M]+tblDados[GS_M])&gt;1.5))+SUMPRODUCT((TRIM(tblDados[Visitante])=$A532)*tblDados[Primeira_Ocorrencia]*((tblDados[GM_V]+tblDados[GS_V])&gt;1.5)))/G532,0))</f>
        <v/>
      </c>
      <c r="M532" s="16" t="str" cm="1">
        <f t="array" ref="M532">IF($A532="","",IFERROR((SUMPRODUCT((TRIM(tblDados[Mandante])=$A532)*tblDados[Primeira_Ocorrencia]*((tblDados[GM_M]+tblDados[GS_M])&gt;2.5))+SUMPRODUCT((TRIM(tblDados[Visitante])=$A532)*tblDados[Primeira_Ocorrencia]*((tblDados[GM_V]+tblDados[GS_V])&gt;2.5)))/G532,0))</f>
        <v/>
      </c>
      <c r="N532" s="16" t="str" cm="1">
        <f t="array" ref="N532">IF($A532="","",IFERROR((SUMPRODUCT((TRIM(tblDados[Mandante])=$A532)*tblDados[Primeira_Ocorrencia]*((tblDados[GM_M]+tblDados[GS_M])&gt;3.5))+SUMPRODUCT((TRIM(tblDados[Visitante])=$A532)*tblDados[Primeira_Ocorrencia]*((tblDados[GM_V]+tblDados[GS_V])&gt;3.5)))/G532,0))</f>
        <v/>
      </c>
      <c r="O532" s="16" t="str" cm="1">
        <f t="array" ref="O532">IF($A532="","",IFERROR((SUMPRODUCT((TRIM(tblDados[Mandante])=$A532)*tblDados[Primeira_Ocorrencia]*(tblDados[GM_M]&gt;0)*(tblDados[GS_M]&gt;0))+SUMPRODUCT((TRIM(tblDados[Visitante])=$A532)*tblDados[Primeira_Ocorrencia]*(tblDados[GM_V]&gt;0)*(tblDados[GS_V]&gt;0)))/G532,0))</f>
        <v/>
      </c>
      <c r="P532" s="14" t="str" cm="1">
        <f t="array" ref="P532">IF($A532="","",IFERROR((SUMPRODUCT((TRIM(tblDados[Mandante])=$A532)*tblDados[Primeira_Ocorrencia]*tblDados[GM_M]^2)+SUMPRODUCT((TRIM(tblDados[Visitante])=$A532)*tblDados[Primeira_Ocorrencia]*tblDados[GM_V]^2))/G532-H532^2,0))</f>
        <v/>
      </c>
      <c r="Q532" s="14" t="str">
        <f t="shared" si="161"/>
        <v/>
      </c>
      <c r="R532" s="1" t="str">
        <f t="shared" si="162"/>
        <v/>
      </c>
      <c r="S532" s="14" t="str" cm="1">
        <f t="array" ref="S532">IF($A532="","",SUMPRODUCT((TRIM(tblDados[Mandante])=$A532)*tblDados[Primeira_Ocorrencia]*tblDados[GM_M]))</f>
        <v/>
      </c>
      <c r="T532" s="14" t="str" cm="1">
        <f t="array" ref="T532">IF($A532="","",SUMPRODUCT((TRIM(tblDados[Visitante])=$A532)*tblDados[Primeira_Ocorrencia]*tblDados[GM_V]))</f>
        <v/>
      </c>
      <c r="U532" s="14" t="str">
        <f t="shared" si="163"/>
        <v/>
      </c>
      <c r="V532" s="14" t="str">
        <f t="shared" si="152"/>
        <v/>
      </c>
      <c r="W532" s="14" t="str" cm="1">
        <f t="array" ref="W532">IF($A532="","",SUMPRODUCT((TRIM(tblDados[Mandante])=$A532)*tblDados[Primeira_Ocorrencia]*tblDados[GS_M]))</f>
        <v/>
      </c>
      <c r="X532" s="14" t="str" cm="1">
        <f t="array" ref="X532">IF($A532="","",SUMPRODUCT((TRIM(tblDados[Visitante])=$A532)*tblDados[Primeira_Ocorrencia]*tblDados[GS_V]))</f>
        <v/>
      </c>
      <c r="Y532" s="14" t="str">
        <f t="shared" si="164"/>
        <v/>
      </c>
      <c r="Z532" s="14" t="str">
        <f t="shared" si="153"/>
        <v/>
      </c>
      <c r="AA532" s="14" t="str">
        <f t="shared" si="154"/>
        <v/>
      </c>
      <c r="AB532" s="14" t="str">
        <f t="shared" si="155"/>
        <v/>
      </c>
      <c r="AC532" s="14" t="str">
        <f t="shared" si="156"/>
        <v/>
      </c>
      <c r="AD532" s="14" t="str">
        <f t="shared" si="157"/>
        <v/>
      </c>
    </row>
    <row r="533" spans="2:30" x14ac:dyDescent="0.3">
      <c r="B533" s="13" t="str" cm="1">
        <f t="array" ref="B533">IF($A533="","",_xlfn.LET(_xlpm.p,IFERROR(INDEX(tblDados[País],MATCH($A533,TRIM(tblDados[Mandante]),0)),INDEX(tblDados[País],MATCH($A533,TRIM(tblDados[Visitante]),0))),_xlpm.l,IFERROR(INDEX(tblDados[Liga],MATCH($A533,TRIM(tblDados[Mandante]),0)),INDEX(tblDados[Liga],MATCH($A533,TRIM(tblDados[Visitante]),0))),_xlpm.p&amp;" - "&amp;_xlpm.l))</f>
        <v/>
      </c>
      <c r="C533" s="14" t="str">
        <f t="shared" si="158"/>
        <v/>
      </c>
      <c r="D533" s="14" t="str">
        <f t="shared" si="159"/>
        <v/>
      </c>
      <c r="E533" s="15" t="str" cm="1">
        <f t="array" ref="E533">IF($A533="","",SUMPRODUCT((TRIM(tblDados[Mandante])=$A533)*tblDados[Primeira_Ocorrencia]))</f>
        <v/>
      </c>
      <c r="F533" s="15" t="str" cm="1">
        <f t="array" ref="F533">IF($A533="","",SUMPRODUCT((TRIM(tblDados[Visitante])=$A533)*tblDados[Primeira_Ocorrencia]))</f>
        <v/>
      </c>
      <c r="G533" s="15" t="str" cm="1">
        <f t="array" ref="G533">IF($A533="","",SUMPRODUCT((TRIM(tblDados[Mandante])=$A533)*tblDados[Primeira_Ocorrencia])+SUMPRODUCT((TRIM(tblDados[Visitante])=$A533)*tblDados[Primeira_Ocorrencia]))</f>
        <v/>
      </c>
      <c r="H533" s="14" t="str">
        <f t="shared" si="160"/>
        <v/>
      </c>
      <c r="I533" s="14" t="str" cm="1">
        <f t="array" ref="I533">IF($A533="","",_xlfn.LET(_xlpm.p,IFERROR(INDEX(tblDados[País],MATCH($A533,TRIM(tblDados[Mandante]),0)),INDEX(tblDados[País],MATCH($A533,TRIM(tblDados[Visitante]),0))),_xlpm.l,IFERROR(INDEX(tblDados[Liga],MATCH($A533,TRIM(tblDados[Mandante]),0)),INDEX(tblDados[Liga],MATCH($A533,TRIM(tblDados[Visitante]),0))),IFERROR(SUMIFS(Ligas!$D$2:$D$39,Ligas!$H$2:$H$39,_xlpm.p,Ligas!$I$2:$I$39,_xlpm.l),0)))</f>
        <v/>
      </c>
      <c r="J533" s="16" t="str" cm="1">
        <f t="array" ref="J533">IF($A533="","",IFERROR((SUMPRODUCT((TRIM(tblDados[Mandante])=$A533)*tblDados[Primeira_Ocorrencia]*(tblDados[GM_M]=0))+SUMPRODUCT((TRIM(tblDados[Visitante])=$A533)*tblDados[Primeira_Ocorrencia]*(tblDados[GM_V]=0)))/G533,0))</f>
        <v/>
      </c>
      <c r="K533" s="16" t="str" cm="1">
        <f t="array" ref="K533">IF($A533="","",IFERROR((SUMPRODUCT((TRIM(tblDados[Mandante])=$A533)*tblDados[Primeira_Ocorrencia]*((tblDados[GM_M]+tblDados[GS_M])&gt;0.5))+SUMPRODUCT((TRIM(tblDados[Visitante])=$A533)*tblDados[Primeira_Ocorrencia]*((tblDados[GM_V]+tblDados[GS_V])&gt;0.5)))/G533,0))</f>
        <v/>
      </c>
      <c r="L533" s="16" t="str" cm="1">
        <f t="array" ref="L533">IF($A533="","",IFERROR((SUMPRODUCT((TRIM(tblDados[Mandante])=$A533)*tblDados[Primeira_Ocorrencia]*((tblDados[GM_M]+tblDados[GS_M])&gt;1.5))+SUMPRODUCT((TRIM(tblDados[Visitante])=$A533)*tblDados[Primeira_Ocorrencia]*((tblDados[GM_V]+tblDados[GS_V])&gt;1.5)))/G533,0))</f>
        <v/>
      </c>
      <c r="M533" s="16" t="str" cm="1">
        <f t="array" ref="M533">IF($A533="","",IFERROR((SUMPRODUCT((TRIM(tblDados[Mandante])=$A533)*tblDados[Primeira_Ocorrencia]*((tblDados[GM_M]+tblDados[GS_M])&gt;2.5))+SUMPRODUCT((TRIM(tblDados[Visitante])=$A533)*tblDados[Primeira_Ocorrencia]*((tblDados[GM_V]+tblDados[GS_V])&gt;2.5)))/G533,0))</f>
        <v/>
      </c>
      <c r="N533" s="16" t="str" cm="1">
        <f t="array" ref="N533">IF($A533="","",IFERROR((SUMPRODUCT((TRIM(tblDados[Mandante])=$A533)*tblDados[Primeira_Ocorrencia]*((tblDados[GM_M]+tblDados[GS_M])&gt;3.5))+SUMPRODUCT((TRIM(tblDados[Visitante])=$A533)*tblDados[Primeira_Ocorrencia]*((tblDados[GM_V]+tblDados[GS_V])&gt;3.5)))/G533,0))</f>
        <v/>
      </c>
      <c r="O533" s="16" t="str" cm="1">
        <f t="array" ref="O533">IF($A533="","",IFERROR((SUMPRODUCT((TRIM(tblDados[Mandante])=$A533)*tblDados[Primeira_Ocorrencia]*(tblDados[GM_M]&gt;0)*(tblDados[GS_M]&gt;0))+SUMPRODUCT((TRIM(tblDados[Visitante])=$A533)*tblDados[Primeira_Ocorrencia]*(tblDados[GM_V]&gt;0)*(tblDados[GS_V]&gt;0)))/G533,0))</f>
        <v/>
      </c>
      <c r="P533" s="14" t="str" cm="1">
        <f t="array" ref="P533">IF($A533="","",IFERROR((SUMPRODUCT((TRIM(tblDados[Mandante])=$A533)*tblDados[Primeira_Ocorrencia]*tblDados[GM_M]^2)+SUMPRODUCT((TRIM(tblDados[Visitante])=$A533)*tblDados[Primeira_Ocorrencia]*tblDados[GM_V]^2))/G533-H533^2,0))</f>
        <v/>
      </c>
      <c r="Q533" s="14" t="str">
        <f t="shared" si="161"/>
        <v/>
      </c>
      <c r="R533" s="1" t="str">
        <f t="shared" si="162"/>
        <v/>
      </c>
      <c r="S533" s="14" t="str" cm="1">
        <f t="array" ref="S533">IF($A533="","",SUMPRODUCT((TRIM(tblDados[Mandante])=$A533)*tblDados[Primeira_Ocorrencia]*tblDados[GM_M]))</f>
        <v/>
      </c>
      <c r="T533" s="14" t="str" cm="1">
        <f t="array" ref="T533">IF($A533="","",SUMPRODUCT((TRIM(tblDados[Visitante])=$A533)*tblDados[Primeira_Ocorrencia]*tblDados[GM_V]))</f>
        <v/>
      </c>
      <c r="U533" s="14" t="str">
        <f t="shared" si="163"/>
        <v/>
      </c>
      <c r="V533" s="14" t="str">
        <f t="shared" si="152"/>
        <v/>
      </c>
      <c r="W533" s="14" t="str" cm="1">
        <f t="array" ref="W533">IF($A533="","",SUMPRODUCT((TRIM(tblDados[Mandante])=$A533)*tblDados[Primeira_Ocorrencia]*tblDados[GS_M]))</f>
        <v/>
      </c>
      <c r="X533" s="14" t="str" cm="1">
        <f t="array" ref="X533">IF($A533="","",SUMPRODUCT((TRIM(tblDados[Visitante])=$A533)*tblDados[Primeira_Ocorrencia]*tblDados[GS_V]))</f>
        <v/>
      </c>
      <c r="Y533" s="14" t="str">
        <f t="shared" si="164"/>
        <v/>
      </c>
      <c r="Z533" s="14" t="str">
        <f t="shared" si="153"/>
        <v/>
      </c>
      <c r="AA533" s="14" t="str">
        <f t="shared" si="154"/>
        <v/>
      </c>
      <c r="AB533" s="14" t="str">
        <f t="shared" si="155"/>
        <v/>
      </c>
      <c r="AC533" s="14" t="str">
        <f t="shared" si="156"/>
        <v/>
      </c>
      <c r="AD533" s="14" t="str">
        <f t="shared" si="157"/>
        <v/>
      </c>
    </row>
    <row r="534" spans="2:30" x14ac:dyDescent="0.3">
      <c r="B534" s="13" t="str" cm="1">
        <f t="array" ref="B534">IF($A534="","",_xlfn.LET(_xlpm.p,IFERROR(INDEX(tblDados[País],MATCH($A534,TRIM(tblDados[Mandante]),0)),INDEX(tblDados[País],MATCH($A534,TRIM(tblDados[Visitante]),0))),_xlpm.l,IFERROR(INDEX(tblDados[Liga],MATCH($A534,TRIM(tblDados[Mandante]),0)),INDEX(tblDados[Liga],MATCH($A534,TRIM(tblDados[Visitante]),0))),_xlpm.p&amp;" - "&amp;_xlpm.l))</f>
        <v/>
      </c>
      <c r="C534" s="14" t="str">
        <f t="shared" si="158"/>
        <v/>
      </c>
      <c r="D534" s="14" t="str">
        <f t="shared" si="159"/>
        <v/>
      </c>
      <c r="E534" s="15" t="str" cm="1">
        <f t="array" ref="E534">IF($A534="","",SUMPRODUCT((TRIM(tblDados[Mandante])=$A534)*tblDados[Primeira_Ocorrencia]))</f>
        <v/>
      </c>
      <c r="F534" s="15" t="str" cm="1">
        <f t="array" ref="F534">IF($A534="","",SUMPRODUCT((TRIM(tblDados[Visitante])=$A534)*tblDados[Primeira_Ocorrencia]))</f>
        <v/>
      </c>
      <c r="G534" s="15" t="str" cm="1">
        <f t="array" ref="G534">IF($A534="","",SUMPRODUCT((TRIM(tblDados[Mandante])=$A534)*tblDados[Primeira_Ocorrencia])+SUMPRODUCT((TRIM(tblDados[Visitante])=$A534)*tblDados[Primeira_Ocorrencia]))</f>
        <v/>
      </c>
      <c r="H534" s="14" t="str">
        <f t="shared" si="160"/>
        <v/>
      </c>
      <c r="I534" s="14" t="str" cm="1">
        <f t="array" ref="I534">IF($A534="","",_xlfn.LET(_xlpm.p,IFERROR(INDEX(tblDados[País],MATCH($A534,TRIM(tblDados[Mandante]),0)),INDEX(tblDados[País],MATCH($A534,TRIM(tblDados[Visitante]),0))),_xlpm.l,IFERROR(INDEX(tblDados[Liga],MATCH($A534,TRIM(tblDados[Mandante]),0)),INDEX(tblDados[Liga],MATCH($A534,TRIM(tblDados[Visitante]),0))),IFERROR(SUMIFS(Ligas!$D$2:$D$39,Ligas!$H$2:$H$39,_xlpm.p,Ligas!$I$2:$I$39,_xlpm.l),0)))</f>
        <v/>
      </c>
      <c r="J534" s="16" t="str" cm="1">
        <f t="array" ref="J534">IF($A534="","",IFERROR((SUMPRODUCT((TRIM(tblDados[Mandante])=$A534)*tblDados[Primeira_Ocorrencia]*(tblDados[GM_M]=0))+SUMPRODUCT((TRIM(tblDados[Visitante])=$A534)*tblDados[Primeira_Ocorrencia]*(tblDados[GM_V]=0)))/G534,0))</f>
        <v/>
      </c>
      <c r="K534" s="16" t="str" cm="1">
        <f t="array" ref="K534">IF($A534="","",IFERROR((SUMPRODUCT((TRIM(tblDados[Mandante])=$A534)*tblDados[Primeira_Ocorrencia]*((tblDados[GM_M]+tblDados[GS_M])&gt;0.5))+SUMPRODUCT((TRIM(tblDados[Visitante])=$A534)*tblDados[Primeira_Ocorrencia]*((tblDados[GM_V]+tblDados[GS_V])&gt;0.5)))/G534,0))</f>
        <v/>
      </c>
      <c r="L534" s="16" t="str" cm="1">
        <f t="array" ref="L534">IF($A534="","",IFERROR((SUMPRODUCT((TRIM(tblDados[Mandante])=$A534)*tblDados[Primeira_Ocorrencia]*((tblDados[GM_M]+tblDados[GS_M])&gt;1.5))+SUMPRODUCT((TRIM(tblDados[Visitante])=$A534)*tblDados[Primeira_Ocorrencia]*((tblDados[GM_V]+tblDados[GS_V])&gt;1.5)))/G534,0))</f>
        <v/>
      </c>
      <c r="M534" s="16" t="str" cm="1">
        <f t="array" ref="M534">IF($A534="","",IFERROR((SUMPRODUCT((TRIM(tblDados[Mandante])=$A534)*tblDados[Primeira_Ocorrencia]*((tblDados[GM_M]+tblDados[GS_M])&gt;2.5))+SUMPRODUCT((TRIM(tblDados[Visitante])=$A534)*tblDados[Primeira_Ocorrencia]*((tblDados[GM_V]+tblDados[GS_V])&gt;2.5)))/G534,0))</f>
        <v/>
      </c>
      <c r="N534" s="16" t="str" cm="1">
        <f t="array" ref="N534">IF($A534="","",IFERROR((SUMPRODUCT((TRIM(tblDados[Mandante])=$A534)*tblDados[Primeira_Ocorrencia]*((tblDados[GM_M]+tblDados[GS_M])&gt;3.5))+SUMPRODUCT((TRIM(tblDados[Visitante])=$A534)*tblDados[Primeira_Ocorrencia]*((tblDados[GM_V]+tblDados[GS_V])&gt;3.5)))/G534,0))</f>
        <v/>
      </c>
      <c r="O534" s="16" t="str" cm="1">
        <f t="array" ref="O534">IF($A534="","",IFERROR((SUMPRODUCT((TRIM(tblDados[Mandante])=$A534)*tblDados[Primeira_Ocorrencia]*(tblDados[GM_M]&gt;0)*(tblDados[GS_M]&gt;0))+SUMPRODUCT((TRIM(tblDados[Visitante])=$A534)*tblDados[Primeira_Ocorrencia]*(tblDados[GM_V]&gt;0)*(tblDados[GS_V]&gt;0)))/G534,0))</f>
        <v/>
      </c>
      <c r="P534" s="14" t="str" cm="1">
        <f t="array" ref="P534">IF($A534="","",IFERROR((SUMPRODUCT((TRIM(tblDados[Mandante])=$A534)*tblDados[Primeira_Ocorrencia]*tblDados[GM_M]^2)+SUMPRODUCT((TRIM(tblDados[Visitante])=$A534)*tblDados[Primeira_Ocorrencia]*tblDados[GM_V]^2))/G534-H534^2,0))</f>
        <v/>
      </c>
      <c r="Q534" s="14" t="str">
        <f t="shared" si="161"/>
        <v/>
      </c>
      <c r="R534" s="1" t="str">
        <f t="shared" si="162"/>
        <v/>
      </c>
      <c r="S534" s="14" t="str" cm="1">
        <f t="array" ref="S534">IF($A534="","",SUMPRODUCT((TRIM(tblDados[Mandante])=$A534)*tblDados[Primeira_Ocorrencia]*tblDados[GM_M]))</f>
        <v/>
      </c>
      <c r="T534" s="14" t="str" cm="1">
        <f t="array" ref="T534">IF($A534="","",SUMPRODUCT((TRIM(tblDados[Visitante])=$A534)*tblDados[Primeira_Ocorrencia]*tblDados[GM_V]))</f>
        <v/>
      </c>
      <c r="U534" s="14" t="str">
        <f t="shared" si="163"/>
        <v/>
      </c>
      <c r="V534" s="14" t="str">
        <f t="shared" si="152"/>
        <v/>
      </c>
      <c r="W534" s="14" t="str" cm="1">
        <f t="array" ref="W534">IF($A534="","",SUMPRODUCT((TRIM(tblDados[Mandante])=$A534)*tblDados[Primeira_Ocorrencia]*tblDados[GS_M]))</f>
        <v/>
      </c>
      <c r="X534" s="14" t="str" cm="1">
        <f t="array" ref="X534">IF($A534="","",SUMPRODUCT((TRIM(tblDados[Visitante])=$A534)*tblDados[Primeira_Ocorrencia]*tblDados[GS_V]))</f>
        <v/>
      </c>
      <c r="Y534" s="14" t="str">
        <f t="shared" si="164"/>
        <v/>
      </c>
      <c r="Z534" s="14" t="str">
        <f t="shared" si="153"/>
        <v/>
      </c>
      <c r="AA534" s="14" t="str">
        <f t="shared" si="154"/>
        <v/>
      </c>
      <c r="AB534" s="14" t="str">
        <f t="shared" si="155"/>
        <v/>
      </c>
      <c r="AC534" s="14" t="str">
        <f t="shared" si="156"/>
        <v/>
      </c>
      <c r="AD534" s="14" t="str">
        <f t="shared" si="157"/>
        <v/>
      </c>
    </row>
    <row r="535" spans="2:30" x14ac:dyDescent="0.3">
      <c r="B535" s="13" t="str" cm="1">
        <f t="array" ref="B535">IF($A535="","",_xlfn.LET(_xlpm.p,IFERROR(INDEX(tblDados[País],MATCH($A535,TRIM(tblDados[Mandante]),0)),INDEX(tblDados[País],MATCH($A535,TRIM(tblDados[Visitante]),0))),_xlpm.l,IFERROR(INDEX(tblDados[Liga],MATCH($A535,TRIM(tblDados[Mandante]),0)),INDEX(tblDados[Liga],MATCH($A535,TRIM(tblDados[Visitante]),0))),_xlpm.p&amp;" - "&amp;_xlpm.l))</f>
        <v/>
      </c>
      <c r="C535" s="14" t="str">
        <f t="shared" si="158"/>
        <v/>
      </c>
      <c r="D535" s="14" t="str">
        <f t="shared" si="159"/>
        <v/>
      </c>
      <c r="E535" s="15" t="str" cm="1">
        <f t="array" ref="E535">IF($A535="","",SUMPRODUCT((TRIM(tblDados[Mandante])=$A535)*tblDados[Primeira_Ocorrencia]))</f>
        <v/>
      </c>
      <c r="F535" s="15" t="str" cm="1">
        <f t="array" ref="F535">IF($A535="","",SUMPRODUCT((TRIM(tblDados[Visitante])=$A535)*tblDados[Primeira_Ocorrencia]))</f>
        <v/>
      </c>
      <c r="G535" s="15" t="str" cm="1">
        <f t="array" ref="G535">IF($A535="","",SUMPRODUCT((TRIM(tblDados[Mandante])=$A535)*tblDados[Primeira_Ocorrencia])+SUMPRODUCT((TRIM(tblDados[Visitante])=$A535)*tblDados[Primeira_Ocorrencia]))</f>
        <v/>
      </c>
      <c r="H535" s="14" t="str">
        <f t="shared" si="160"/>
        <v/>
      </c>
      <c r="I535" s="14" t="str" cm="1">
        <f t="array" ref="I535">IF($A535="","",_xlfn.LET(_xlpm.p,IFERROR(INDEX(tblDados[País],MATCH($A535,TRIM(tblDados[Mandante]),0)),INDEX(tblDados[País],MATCH($A535,TRIM(tblDados[Visitante]),0))),_xlpm.l,IFERROR(INDEX(tblDados[Liga],MATCH($A535,TRIM(tblDados[Mandante]),0)),INDEX(tblDados[Liga],MATCH($A535,TRIM(tblDados[Visitante]),0))),IFERROR(SUMIFS(Ligas!$D$2:$D$39,Ligas!$H$2:$H$39,_xlpm.p,Ligas!$I$2:$I$39,_xlpm.l),0)))</f>
        <v/>
      </c>
      <c r="J535" s="16" t="str" cm="1">
        <f t="array" ref="J535">IF($A535="","",IFERROR((SUMPRODUCT((TRIM(tblDados[Mandante])=$A535)*tblDados[Primeira_Ocorrencia]*(tblDados[GM_M]=0))+SUMPRODUCT((TRIM(tblDados[Visitante])=$A535)*tblDados[Primeira_Ocorrencia]*(tblDados[GM_V]=0)))/G535,0))</f>
        <v/>
      </c>
      <c r="K535" s="16" t="str" cm="1">
        <f t="array" ref="K535">IF($A535="","",IFERROR((SUMPRODUCT((TRIM(tblDados[Mandante])=$A535)*tblDados[Primeira_Ocorrencia]*((tblDados[GM_M]+tblDados[GS_M])&gt;0.5))+SUMPRODUCT((TRIM(tblDados[Visitante])=$A535)*tblDados[Primeira_Ocorrencia]*((tblDados[GM_V]+tblDados[GS_V])&gt;0.5)))/G535,0))</f>
        <v/>
      </c>
      <c r="L535" s="16" t="str" cm="1">
        <f t="array" ref="L535">IF($A535="","",IFERROR((SUMPRODUCT((TRIM(tblDados[Mandante])=$A535)*tblDados[Primeira_Ocorrencia]*((tblDados[GM_M]+tblDados[GS_M])&gt;1.5))+SUMPRODUCT((TRIM(tblDados[Visitante])=$A535)*tblDados[Primeira_Ocorrencia]*((tblDados[GM_V]+tblDados[GS_V])&gt;1.5)))/G535,0))</f>
        <v/>
      </c>
      <c r="M535" s="16" t="str" cm="1">
        <f t="array" ref="M535">IF($A535="","",IFERROR((SUMPRODUCT((TRIM(tblDados[Mandante])=$A535)*tblDados[Primeira_Ocorrencia]*((tblDados[GM_M]+tblDados[GS_M])&gt;2.5))+SUMPRODUCT((TRIM(tblDados[Visitante])=$A535)*tblDados[Primeira_Ocorrencia]*((tblDados[GM_V]+tblDados[GS_V])&gt;2.5)))/G535,0))</f>
        <v/>
      </c>
      <c r="N535" s="16" t="str" cm="1">
        <f t="array" ref="N535">IF($A535="","",IFERROR((SUMPRODUCT((TRIM(tblDados[Mandante])=$A535)*tblDados[Primeira_Ocorrencia]*((tblDados[GM_M]+tblDados[GS_M])&gt;3.5))+SUMPRODUCT((TRIM(tblDados[Visitante])=$A535)*tblDados[Primeira_Ocorrencia]*((tblDados[GM_V]+tblDados[GS_V])&gt;3.5)))/G535,0))</f>
        <v/>
      </c>
      <c r="O535" s="16" t="str" cm="1">
        <f t="array" ref="O535">IF($A535="","",IFERROR((SUMPRODUCT((TRIM(tblDados[Mandante])=$A535)*tblDados[Primeira_Ocorrencia]*(tblDados[GM_M]&gt;0)*(tblDados[GS_M]&gt;0))+SUMPRODUCT((TRIM(tblDados[Visitante])=$A535)*tblDados[Primeira_Ocorrencia]*(tblDados[GM_V]&gt;0)*(tblDados[GS_V]&gt;0)))/G535,0))</f>
        <v/>
      </c>
      <c r="P535" s="14" t="str" cm="1">
        <f t="array" ref="P535">IF($A535="","",IFERROR((SUMPRODUCT((TRIM(tblDados[Mandante])=$A535)*tblDados[Primeira_Ocorrencia]*tblDados[GM_M]^2)+SUMPRODUCT((TRIM(tblDados[Visitante])=$A535)*tblDados[Primeira_Ocorrencia]*tblDados[GM_V]^2))/G535-H535^2,0))</f>
        <v/>
      </c>
      <c r="Q535" s="14" t="str">
        <f t="shared" si="161"/>
        <v/>
      </c>
      <c r="R535" s="1" t="str">
        <f t="shared" si="162"/>
        <v/>
      </c>
      <c r="S535" s="14" t="str" cm="1">
        <f t="array" ref="S535">IF($A535="","",SUMPRODUCT((TRIM(tblDados[Mandante])=$A535)*tblDados[Primeira_Ocorrencia]*tblDados[GM_M]))</f>
        <v/>
      </c>
      <c r="T535" s="14" t="str" cm="1">
        <f t="array" ref="T535">IF($A535="","",SUMPRODUCT((TRIM(tblDados[Visitante])=$A535)*tblDados[Primeira_Ocorrencia]*tblDados[GM_V]))</f>
        <v/>
      </c>
      <c r="U535" s="14" t="str">
        <f t="shared" si="163"/>
        <v/>
      </c>
      <c r="V535" s="14" t="str">
        <f t="shared" si="152"/>
        <v/>
      </c>
      <c r="W535" s="14" t="str" cm="1">
        <f t="array" ref="W535">IF($A535="","",SUMPRODUCT((TRIM(tblDados[Mandante])=$A535)*tblDados[Primeira_Ocorrencia]*tblDados[GS_M]))</f>
        <v/>
      </c>
      <c r="X535" s="14" t="str" cm="1">
        <f t="array" ref="X535">IF($A535="","",SUMPRODUCT((TRIM(tblDados[Visitante])=$A535)*tblDados[Primeira_Ocorrencia]*tblDados[GS_V]))</f>
        <v/>
      </c>
      <c r="Y535" s="14" t="str">
        <f t="shared" si="164"/>
        <v/>
      </c>
      <c r="Z535" s="14" t="str">
        <f t="shared" si="153"/>
        <v/>
      </c>
      <c r="AA535" s="14" t="str">
        <f t="shared" si="154"/>
        <v/>
      </c>
      <c r="AB535" s="14" t="str">
        <f t="shared" si="155"/>
        <v/>
      </c>
      <c r="AC535" s="14" t="str">
        <f t="shared" si="156"/>
        <v/>
      </c>
      <c r="AD535" s="14" t="str">
        <f t="shared" si="157"/>
        <v/>
      </c>
    </row>
    <row r="536" spans="2:30" x14ac:dyDescent="0.3">
      <c r="B536" s="13" t="str" cm="1">
        <f t="array" ref="B536">IF($A536="","",_xlfn.LET(_xlpm.p,IFERROR(INDEX(tblDados[País],MATCH($A536,TRIM(tblDados[Mandante]),0)),INDEX(tblDados[País],MATCH($A536,TRIM(tblDados[Visitante]),0))),_xlpm.l,IFERROR(INDEX(tblDados[Liga],MATCH($A536,TRIM(tblDados[Mandante]),0)),INDEX(tblDados[Liga],MATCH($A536,TRIM(tblDados[Visitante]),0))),_xlpm.p&amp;" - "&amp;_xlpm.l))</f>
        <v/>
      </c>
      <c r="C536" s="14" t="str">
        <f t="shared" si="158"/>
        <v/>
      </c>
      <c r="D536" s="14" t="str">
        <f t="shared" si="159"/>
        <v/>
      </c>
      <c r="E536" s="15" t="str" cm="1">
        <f t="array" ref="E536">IF($A536="","",SUMPRODUCT((TRIM(tblDados[Mandante])=$A536)*tblDados[Primeira_Ocorrencia]))</f>
        <v/>
      </c>
      <c r="F536" s="15" t="str" cm="1">
        <f t="array" ref="F536">IF($A536="","",SUMPRODUCT((TRIM(tblDados[Visitante])=$A536)*tblDados[Primeira_Ocorrencia]))</f>
        <v/>
      </c>
      <c r="G536" s="15" t="str" cm="1">
        <f t="array" ref="G536">IF($A536="","",SUMPRODUCT((TRIM(tblDados[Mandante])=$A536)*tblDados[Primeira_Ocorrencia])+SUMPRODUCT((TRIM(tblDados[Visitante])=$A536)*tblDados[Primeira_Ocorrencia]))</f>
        <v/>
      </c>
      <c r="H536" s="14" t="str">
        <f t="shared" si="160"/>
        <v/>
      </c>
      <c r="I536" s="14" t="str" cm="1">
        <f t="array" ref="I536">IF($A536="","",_xlfn.LET(_xlpm.p,IFERROR(INDEX(tblDados[País],MATCH($A536,TRIM(tblDados[Mandante]),0)),INDEX(tblDados[País],MATCH($A536,TRIM(tblDados[Visitante]),0))),_xlpm.l,IFERROR(INDEX(tblDados[Liga],MATCH($A536,TRIM(tblDados[Mandante]),0)),INDEX(tblDados[Liga],MATCH($A536,TRIM(tblDados[Visitante]),0))),IFERROR(SUMIFS(Ligas!$D$2:$D$39,Ligas!$H$2:$H$39,_xlpm.p,Ligas!$I$2:$I$39,_xlpm.l),0)))</f>
        <v/>
      </c>
      <c r="J536" s="16" t="str" cm="1">
        <f t="array" ref="J536">IF($A536="","",IFERROR((SUMPRODUCT((TRIM(tblDados[Mandante])=$A536)*tblDados[Primeira_Ocorrencia]*(tblDados[GM_M]=0))+SUMPRODUCT((TRIM(tblDados[Visitante])=$A536)*tblDados[Primeira_Ocorrencia]*(tblDados[GM_V]=0)))/G536,0))</f>
        <v/>
      </c>
      <c r="K536" s="16" t="str" cm="1">
        <f t="array" ref="K536">IF($A536="","",IFERROR((SUMPRODUCT((TRIM(tblDados[Mandante])=$A536)*tblDados[Primeira_Ocorrencia]*((tblDados[GM_M]+tblDados[GS_M])&gt;0.5))+SUMPRODUCT((TRIM(tblDados[Visitante])=$A536)*tblDados[Primeira_Ocorrencia]*((tblDados[GM_V]+tblDados[GS_V])&gt;0.5)))/G536,0))</f>
        <v/>
      </c>
      <c r="L536" s="16" t="str" cm="1">
        <f t="array" ref="L536">IF($A536="","",IFERROR((SUMPRODUCT((TRIM(tblDados[Mandante])=$A536)*tblDados[Primeira_Ocorrencia]*((tblDados[GM_M]+tblDados[GS_M])&gt;1.5))+SUMPRODUCT((TRIM(tblDados[Visitante])=$A536)*tblDados[Primeira_Ocorrencia]*((tblDados[GM_V]+tblDados[GS_V])&gt;1.5)))/G536,0))</f>
        <v/>
      </c>
      <c r="M536" s="16" t="str" cm="1">
        <f t="array" ref="M536">IF($A536="","",IFERROR((SUMPRODUCT((TRIM(tblDados[Mandante])=$A536)*tblDados[Primeira_Ocorrencia]*((tblDados[GM_M]+tblDados[GS_M])&gt;2.5))+SUMPRODUCT((TRIM(tblDados[Visitante])=$A536)*tblDados[Primeira_Ocorrencia]*((tblDados[GM_V]+tblDados[GS_V])&gt;2.5)))/G536,0))</f>
        <v/>
      </c>
      <c r="N536" s="16" t="str" cm="1">
        <f t="array" ref="N536">IF($A536="","",IFERROR((SUMPRODUCT((TRIM(tblDados[Mandante])=$A536)*tblDados[Primeira_Ocorrencia]*((tblDados[GM_M]+tblDados[GS_M])&gt;3.5))+SUMPRODUCT((TRIM(tblDados[Visitante])=$A536)*tblDados[Primeira_Ocorrencia]*((tblDados[GM_V]+tblDados[GS_V])&gt;3.5)))/G536,0))</f>
        <v/>
      </c>
      <c r="O536" s="16" t="str" cm="1">
        <f t="array" ref="O536">IF($A536="","",IFERROR((SUMPRODUCT((TRIM(tblDados[Mandante])=$A536)*tblDados[Primeira_Ocorrencia]*(tblDados[GM_M]&gt;0)*(tblDados[GS_M]&gt;0))+SUMPRODUCT((TRIM(tblDados[Visitante])=$A536)*tblDados[Primeira_Ocorrencia]*(tblDados[GM_V]&gt;0)*(tblDados[GS_V]&gt;0)))/G536,0))</f>
        <v/>
      </c>
      <c r="P536" s="14" t="str" cm="1">
        <f t="array" ref="P536">IF($A536="","",IFERROR((SUMPRODUCT((TRIM(tblDados[Mandante])=$A536)*tblDados[Primeira_Ocorrencia]*tblDados[GM_M]^2)+SUMPRODUCT((TRIM(tblDados[Visitante])=$A536)*tblDados[Primeira_Ocorrencia]*tblDados[GM_V]^2))/G536-H536^2,0))</f>
        <v/>
      </c>
      <c r="Q536" s="14" t="str">
        <f t="shared" si="161"/>
        <v/>
      </c>
      <c r="R536" s="1" t="str">
        <f t="shared" si="162"/>
        <v/>
      </c>
      <c r="S536" s="14" t="str" cm="1">
        <f t="array" ref="S536">IF($A536="","",SUMPRODUCT((TRIM(tblDados[Mandante])=$A536)*tblDados[Primeira_Ocorrencia]*tblDados[GM_M]))</f>
        <v/>
      </c>
      <c r="T536" s="14" t="str" cm="1">
        <f t="array" ref="T536">IF($A536="","",SUMPRODUCT((TRIM(tblDados[Visitante])=$A536)*tblDados[Primeira_Ocorrencia]*tblDados[GM_V]))</f>
        <v/>
      </c>
      <c r="U536" s="14" t="str">
        <f t="shared" si="163"/>
        <v/>
      </c>
      <c r="V536" s="14" t="str">
        <f t="shared" si="152"/>
        <v/>
      </c>
      <c r="W536" s="14" t="str" cm="1">
        <f t="array" ref="W536">IF($A536="","",SUMPRODUCT((TRIM(tblDados[Mandante])=$A536)*tblDados[Primeira_Ocorrencia]*tblDados[GS_M]))</f>
        <v/>
      </c>
      <c r="X536" s="14" t="str" cm="1">
        <f t="array" ref="X536">IF($A536="","",SUMPRODUCT((TRIM(tblDados[Visitante])=$A536)*tblDados[Primeira_Ocorrencia]*tblDados[GS_V]))</f>
        <v/>
      </c>
      <c r="Y536" s="14" t="str">
        <f t="shared" si="164"/>
        <v/>
      </c>
      <c r="Z536" s="14" t="str">
        <f t="shared" si="153"/>
        <v/>
      </c>
      <c r="AA536" s="14" t="str">
        <f t="shared" si="154"/>
        <v/>
      </c>
      <c r="AB536" s="14" t="str">
        <f t="shared" si="155"/>
        <v/>
      </c>
      <c r="AC536" s="14" t="str">
        <f t="shared" si="156"/>
        <v/>
      </c>
      <c r="AD536" s="14" t="str">
        <f t="shared" si="157"/>
        <v/>
      </c>
    </row>
    <row r="537" spans="2:30" x14ac:dyDescent="0.3">
      <c r="B537" s="13" t="str" cm="1">
        <f t="array" ref="B537">IF($A537="","",_xlfn.LET(_xlpm.p,IFERROR(INDEX(tblDados[País],MATCH($A537,TRIM(tblDados[Mandante]),0)),INDEX(tblDados[País],MATCH($A537,TRIM(tblDados[Visitante]),0))),_xlpm.l,IFERROR(INDEX(tblDados[Liga],MATCH($A537,TRIM(tblDados[Mandante]),0)),INDEX(tblDados[Liga],MATCH($A537,TRIM(tblDados[Visitante]),0))),_xlpm.p&amp;" - "&amp;_xlpm.l))</f>
        <v/>
      </c>
      <c r="C537" s="14" t="str">
        <f t="shared" si="158"/>
        <v/>
      </c>
      <c r="D537" s="14" t="str">
        <f t="shared" si="159"/>
        <v/>
      </c>
      <c r="E537" s="15" t="str" cm="1">
        <f t="array" ref="E537">IF($A537="","",SUMPRODUCT((TRIM(tblDados[Mandante])=$A537)*tblDados[Primeira_Ocorrencia]))</f>
        <v/>
      </c>
      <c r="F537" s="15" t="str" cm="1">
        <f t="array" ref="F537">IF($A537="","",SUMPRODUCT((TRIM(tblDados[Visitante])=$A537)*tblDados[Primeira_Ocorrencia]))</f>
        <v/>
      </c>
      <c r="G537" s="15" t="str" cm="1">
        <f t="array" ref="G537">IF($A537="","",SUMPRODUCT((TRIM(tblDados[Mandante])=$A537)*tblDados[Primeira_Ocorrencia])+SUMPRODUCT((TRIM(tblDados[Visitante])=$A537)*tblDados[Primeira_Ocorrencia]))</f>
        <v/>
      </c>
      <c r="H537" s="14" t="str">
        <f t="shared" si="160"/>
        <v/>
      </c>
      <c r="I537" s="14" t="str" cm="1">
        <f t="array" ref="I537">IF($A537="","",_xlfn.LET(_xlpm.p,IFERROR(INDEX(tblDados[País],MATCH($A537,TRIM(tblDados[Mandante]),0)),INDEX(tblDados[País],MATCH($A537,TRIM(tblDados[Visitante]),0))),_xlpm.l,IFERROR(INDEX(tblDados[Liga],MATCH($A537,TRIM(tblDados[Mandante]),0)),INDEX(tblDados[Liga],MATCH($A537,TRIM(tblDados[Visitante]),0))),IFERROR(SUMIFS(Ligas!$D$2:$D$39,Ligas!$H$2:$H$39,_xlpm.p,Ligas!$I$2:$I$39,_xlpm.l),0)))</f>
        <v/>
      </c>
      <c r="J537" s="16" t="str" cm="1">
        <f t="array" ref="J537">IF($A537="","",IFERROR((SUMPRODUCT((TRIM(tblDados[Mandante])=$A537)*tblDados[Primeira_Ocorrencia]*(tblDados[GM_M]=0))+SUMPRODUCT((TRIM(tblDados[Visitante])=$A537)*tblDados[Primeira_Ocorrencia]*(tblDados[GM_V]=0)))/G537,0))</f>
        <v/>
      </c>
      <c r="K537" s="16" t="str" cm="1">
        <f t="array" ref="K537">IF($A537="","",IFERROR((SUMPRODUCT((TRIM(tblDados[Mandante])=$A537)*tblDados[Primeira_Ocorrencia]*((tblDados[GM_M]+tblDados[GS_M])&gt;0.5))+SUMPRODUCT((TRIM(tblDados[Visitante])=$A537)*tblDados[Primeira_Ocorrencia]*((tblDados[GM_V]+tblDados[GS_V])&gt;0.5)))/G537,0))</f>
        <v/>
      </c>
      <c r="L537" s="16" t="str" cm="1">
        <f t="array" ref="L537">IF($A537="","",IFERROR((SUMPRODUCT((TRIM(tblDados[Mandante])=$A537)*tblDados[Primeira_Ocorrencia]*((tblDados[GM_M]+tblDados[GS_M])&gt;1.5))+SUMPRODUCT((TRIM(tblDados[Visitante])=$A537)*tblDados[Primeira_Ocorrencia]*((tblDados[GM_V]+tblDados[GS_V])&gt;1.5)))/G537,0))</f>
        <v/>
      </c>
      <c r="M537" s="16" t="str" cm="1">
        <f t="array" ref="M537">IF($A537="","",IFERROR((SUMPRODUCT((TRIM(tblDados[Mandante])=$A537)*tblDados[Primeira_Ocorrencia]*((tblDados[GM_M]+tblDados[GS_M])&gt;2.5))+SUMPRODUCT((TRIM(tblDados[Visitante])=$A537)*tblDados[Primeira_Ocorrencia]*((tblDados[GM_V]+tblDados[GS_V])&gt;2.5)))/G537,0))</f>
        <v/>
      </c>
      <c r="N537" s="16" t="str" cm="1">
        <f t="array" ref="N537">IF($A537="","",IFERROR((SUMPRODUCT((TRIM(tblDados[Mandante])=$A537)*tblDados[Primeira_Ocorrencia]*((tblDados[GM_M]+tblDados[GS_M])&gt;3.5))+SUMPRODUCT((TRIM(tblDados[Visitante])=$A537)*tblDados[Primeira_Ocorrencia]*((tblDados[GM_V]+tblDados[GS_V])&gt;3.5)))/G537,0))</f>
        <v/>
      </c>
      <c r="O537" s="16" t="str" cm="1">
        <f t="array" ref="O537">IF($A537="","",IFERROR((SUMPRODUCT((TRIM(tblDados[Mandante])=$A537)*tblDados[Primeira_Ocorrencia]*(tblDados[GM_M]&gt;0)*(tblDados[GS_M]&gt;0))+SUMPRODUCT((TRIM(tblDados[Visitante])=$A537)*tblDados[Primeira_Ocorrencia]*(tblDados[GM_V]&gt;0)*(tblDados[GS_V]&gt;0)))/G537,0))</f>
        <v/>
      </c>
      <c r="P537" s="14" t="str" cm="1">
        <f t="array" ref="P537">IF($A537="","",IFERROR((SUMPRODUCT((TRIM(tblDados[Mandante])=$A537)*tblDados[Primeira_Ocorrencia]*tblDados[GM_M]^2)+SUMPRODUCT((TRIM(tblDados[Visitante])=$A537)*tblDados[Primeira_Ocorrencia]*tblDados[GM_V]^2))/G537-H537^2,0))</f>
        <v/>
      </c>
      <c r="Q537" s="14" t="str">
        <f t="shared" si="161"/>
        <v/>
      </c>
      <c r="R537" s="1" t="str">
        <f t="shared" si="162"/>
        <v/>
      </c>
      <c r="S537" s="14" t="str" cm="1">
        <f t="array" ref="S537">IF($A537="","",SUMPRODUCT((TRIM(tblDados[Mandante])=$A537)*tblDados[Primeira_Ocorrencia]*tblDados[GM_M]))</f>
        <v/>
      </c>
      <c r="T537" s="14" t="str" cm="1">
        <f t="array" ref="T537">IF($A537="","",SUMPRODUCT((TRIM(tblDados[Visitante])=$A537)*tblDados[Primeira_Ocorrencia]*tblDados[GM_V]))</f>
        <v/>
      </c>
      <c r="U537" s="14" t="str">
        <f t="shared" si="163"/>
        <v/>
      </c>
      <c r="V537" s="14" t="str">
        <f t="shared" si="152"/>
        <v/>
      </c>
      <c r="W537" s="14" t="str" cm="1">
        <f t="array" ref="W537">IF($A537="","",SUMPRODUCT((TRIM(tblDados[Mandante])=$A537)*tblDados[Primeira_Ocorrencia]*tblDados[GS_M]))</f>
        <v/>
      </c>
      <c r="X537" s="14" t="str" cm="1">
        <f t="array" ref="X537">IF($A537="","",SUMPRODUCT((TRIM(tblDados[Visitante])=$A537)*tblDados[Primeira_Ocorrencia]*tblDados[GS_V]))</f>
        <v/>
      </c>
      <c r="Y537" s="14" t="str">
        <f t="shared" si="164"/>
        <v/>
      </c>
      <c r="Z537" s="14" t="str">
        <f t="shared" si="153"/>
        <v/>
      </c>
      <c r="AA537" s="14" t="str">
        <f t="shared" si="154"/>
        <v/>
      </c>
      <c r="AB537" s="14" t="str">
        <f t="shared" si="155"/>
        <v/>
      </c>
      <c r="AC537" s="14" t="str">
        <f t="shared" si="156"/>
        <v/>
      </c>
      <c r="AD537" s="14" t="str">
        <f t="shared" si="157"/>
        <v/>
      </c>
    </row>
    <row r="538" spans="2:30" x14ac:dyDescent="0.3">
      <c r="B538" s="13" t="str" cm="1">
        <f t="array" ref="B538">IF($A538="","",_xlfn.LET(_xlpm.p,IFERROR(INDEX(tblDados[País],MATCH($A538,TRIM(tblDados[Mandante]),0)),INDEX(tblDados[País],MATCH($A538,TRIM(tblDados[Visitante]),0))),_xlpm.l,IFERROR(INDEX(tblDados[Liga],MATCH($A538,TRIM(tblDados[Mandante]),0)),INDEX(tblDados[Liga],MATCH($A538,TRIM(tblDados[Visitante]),0))),_xlpm.p&amp;" - "&amp;_xlpm.l))</f>
        <v/>
      </c>
      <c r="C538" s="14" t="str">
        <f t="shared" si="158"/>
        <v/>
      </c>
      <c r="D538" s="14" t="str">
        <f t="shared" si="159"/>
        <v/>
      </c>
      <c r="E538" s="15" t="str" cm="1">
        <f t="array" ref="E538">IF($A538="","",SUMPRODUCT((TRIM(tblDados[Mandante])=$A538)*tblDados[Primeira_Ocorrencia]))</f>
        <v/>
      </c>
      <c r="F538" s="15" t="str" cm="1">
        <f t="array" ref="F538">IF($A538="","",SUMPRODUCT((TRIM(tblDados[Visitante])=$A538)*tblDados[Primeira_Ocorrencia]))</f>
        <v/>
      </c>
      <c r="G538" s="15" t="str" cm="1">
        <f t="array" ref="G538">IF($A538="","",SUMPRODUCT((TRIM(tblDados[Mandante])=$A538)*tblDados[Primeira_Ocorrencia])+SUMPRODUCT((TRIM(tblDados[Visitante])=$A538)*tblDados[Primeira_Ocorrencia]))</f>
        <v/>
      </c>
      <c r="H538" s="14" t="str">
        <f t="shared" si="160"/>
        <v/>
      </c>
      <c r="I538" s="14" t="str" cm="1">
        <f t="array" ref="I538">IF($A538="","",_xlfn.LET(_xlpm.p,IFERROR(INDEX(tblDados[País],MATCH($A538,TRIM(tblDados[Mandante]),0)),INDEX(tblDados[País],MATCH($A538,TRIM(tblDados[Visitante]),0))),_xlpm.l,IFERROR(INDEX(tblDados[Liga],MATCH($A538,TRIM(tblDados[Mandante]),0)),INDEX(tblDados[Liga],MATCH($A538,TRIM(tblDados[Visitante]),0))),IFERROR(SUMIFS(Ligas!$D$2:$D$39,Ligas!$H$2:$H$39,_xlpm.p,Ligas!$I$2:$I$39,_xlpm.l),0)))</f>
        <v/>
      </c>
      <c r="J538" s="16" t="str" cm="1">
        <f t="array" ref="J538">IF($A538="","",IFERROR((SUMPRODUCT((TRIM(tblDados[Mandante])=$A538)*tblDados[Primeira_Ocorrencia]*(tblDados[GM_M]=0))+SUMPRODUCT((TRIM(tblDados[Visitante])=$A538)*tblDados[Primeira_Ocorrencia]*(tblDados[GM_V]=0)))/G538,0))</f>
        <v/>
      </c>
      <c r="K538" s="16" t="str" cm="1">
        <f t="array" ref="K538">IF($A538="","",IFERROR((SUMPRODUCT((TRIM(tblDados[Mandante])=$A538)*tblDados[Primeira_Ocorrencia]*((tblDados[GM_M]+tblDados[GS_M])&gt;0.5))+SUMPRODUCT((TRIM(tblDados[Visitante])=$A538)*tblDados[Primeira_Ocorrencia]*((tblDados[GM_V]+tblDados[GS_V])&gt;0.5)))/G538,0))</f>
        <v/>
      </c>
      <c r="L538" s="16" t="str" cm="1">
        <f t="array" ref="L538">IF($A538="","",IFERROR((SUMPRODUCT((TRIM(tblDados[Mandante])=$A538)*tblDados[Primeira_Ocorrencia]*((tblDados[GM_M]+tblDados[GS_M])&gt;1.5))+SUMPRODUCT((TRIM(tblDados[Visitante])=$A538)*tblDados[Primeira_Ocorrencia]*((tblDados[GM_V]+tblDados[GS_V])&gt;1.5)))/G538,0))</f>
        <v/>
      </c>
      <c r="M538" s="16" t="str" cm="1">
        <f t="array" ref="M538">IF($A538="","",IFERROR((SUMPRODUCT((TRIM(tblDados[Mandante])=$A538)*tblDados[Primeira_Ocorrencia]*((tblDados[GM_M]+tblDados[GS_M])&gt;2.5))+SUMPRODUCT((TRIM(tblDados[Visitante])=$A538)*tblDados[Primeira_Ocorrencia]*((tblDados[GM_V]+tblDados[GS_V])&gt;2.5)))/G538,0))</f>
        <v/>
      </c>
      <c r="N538" s="16" t="str" cm="1">
        <f t="array" ref="N538">IF($A538="","",IFERROR((SUMPRODUCT((TRIM(tblDados[Mandante])=$A538)*tblDados[Primeira_Ocorrencia]*((tblDados[GM_M]+tblDados[GS_M])&gt;3.5))+SUMPRODUCT((TRIM(tblDados[Visitante])=$A538)*tblDados[Primeira_Ocorrencia]*((tblDados[GM_V]+tblDados[GS_V])&gt;3.5)))/G538,0))</f>
        <v/>
      </c>
      <c r="O538" s="16" t="str" cm="1">
        <f t="array" ref="O538">IF($A538="","",IFERROR((SUMPRODUCT((TRIM(tblDados[Mandante])=$A538)*tblDados[Primeira_Ocorrencia]*(tblDados[GM_M]&gt;0)*(tblDados[GS_M]&gt;0))+SUMPRODUCT((TRIM(tblDados[Visitante])=$A538)*tblDados[Primeira_Ocorrencia]*(tblDados[GM_V]&gt;0)*(tblDados[GS_V]&gt;0)))/G538,0))</f>
        <v/>
      </c>
      <c r="P538" s="14" t="str" cm="1">
        <f t="array" ref="P538">IF($A538="","",IFERROR((SUMPRODUCT((TRIM(tblDados[Mandante])=$A538)*tblDados[Primeira_Ocorrencia]*tblDados[GM_M]^2)+SUMPRODUCT((TRIM(tblDados[Visitante])=$A538)*tblDados[Primeira_Ocorrencia]*tblDados[GM_V]^2))/G538-H538^2,0))</f>
        <v/>
      </c>
      <c r="Q538" s="14" t="str">
        <f t="shared" si="161"/>
        <v/>
      </c>
      <c r="R538" s="1" t="str">
        <f t="shared" si="162"/>
        <v/>
      </c>
      <c r="S538" s="14" t="str" cm="1">
        <f t="array" ref="S538">IF($A538="","",SUMPRODUCT((TRIM(tblDados[Mandante])=$A538)*tblDados[Primeira_Ocorrencia]*tblDados[GM_M]))</f>
        <v/>
      </c>
      <c r="T538" s="14" t="str" cm="1">
        <f t="array" ref="T538">IF($A538="","",SUMPRODUCT((TRIM(tblDados[Visitante])=$A538)*tblDados[Primeira_Ocorrencia]*tblDados[GM_V]))</f>
        <v/>
      </c>
      <c r="U538" s="14" t="str">
        <f t="shared" si="163"/>
        <v/>
      </c>
      <c r="V538" s="14" t="str">
        <f t="shared" si="152"/>
        <v/>
      </c>
      <c r="W538" s="14" t="str" cm="1">
        <f t="array" ref="W538">IF($A538="","",SUMPRODUCT((TRIM(tblDados[Mandante])=$A538)*tblDados[Primeira_Ocorrencia]*tblDados[GS_M]))</f>
        <v/>
      </c>
      <c r="X538" s="14" t="str" cm="1">
        <f t="array" ref="X538">IF($A538="","",SUMPRODUCT((TRIM(tblDados[Visitante])=$A538)*tblDados[Primeira_Ocorrencia]*tblDados[GS_V]))</f>
        <v/>
      </c>
      <c r="Y538" s="14" t="str">
        <f t="shared" si="164"/>
        <v/>
      </c>
      <c r="Z538" s="14" t="str">
        <f t="shared" si="153"/>
        <v/>
      </c>
      <c r="AA538" s="14" t="str">
        <f t="shared" si="154"/>
        <v/>
      </c>
      <c r="AB538" s="14" t="str">
        <f t="shared" si="155"/>
        <v/>
      </c>
      <c r="AC538" s="14" t="str">
        <f t="shared" si="156"/>
        <v/>
      </c>
      <c r="AD538" s="14" t="str">
        <f t="shared" si="157"/>
        <v/>
      </c>
    </row>
    <row r="539" spans="2:30" x14ac:dyDescent="0.3">
      <c r="B539" s="13" t="str" cm="1">
        <f t="array" ref="B539">IF($A539="","",_xlfn.LET(_xlpm.p,IFERROR(INDEX(tblDados[País],MATCH($A539,TRIM(tblDados[Mandante]),0)),INDEX(tblDados[País],MATCH($A539,TRIM(tblDados[Visitante]),0))),_xlpm.l,IFERROR(INDEX(tblDados[Liga],MATCH($A539,TRIM(tblDados[Mandante]),0)),INDEX(tblDados[Liga],MATCH($A539,TRIM(tblDados[Visitante]),0))),_xlpm.p&amp;" - "&amp;_xlpm.l))</f>
        <v/>
      </c>
      <c r="C539" s="14" t="str">
        <f t="shared" si="158"/>
        <v/>
      </c>
      <c r="D539" s="14" t="str">
        <f t="shared" si="159"/>
        <v/>
      </c>
      <c r="E539" s="15" t="str" cm="1">
        <f t="array" ref="E539">IF($A539="","",SUMPRODUCT((TRIM(tblDados[Mandante])=$A539)*tblDados[Primeira_Ocorrencia]))</f>
        <v/>
      </c>
      <c r="F539" s="15" t="str" cm="1">
        <f t="array" ref="F539">IF($A539="","",SUMPRODUCT((TRIM(tblDados[Visitante])=$A539)*tblDados[Primeira_Ocorrencia]))</f>
        <v/>
      </c>
      <c r="G539" s="15" t="str" cm="1">
        <f t="array" ref="G539">IF($A539="","",SUMPRODUCT((TRIM(tblDados[Mandante])=$A539)*tblDados[Primeira_Ocorrencia])+SUMPRODUCT((TRIM(tblDados[Visitante])=$A539)*tblDados[Primeira_Ocorrencia]))</f>
        <v/>
      </c>
      <c r="H539" s="14" t="str">
        <f t="shared" si="160"/>
        <v/>
      </c>
      <c r="I539" s="14" t="str" cm="1">
        <f t="array" ref="I539">IF($A539="","",_xlfn.LET(_xlpm.p,IFERROR(INDEX(tblDados[País],MATCH($A539,TRIM(tblDados[Mandante]),0)),INDEX(tblDados[País],MATCH($A539,TRIM(tblDados[Visitante]),0))),_xlpm.l,IFERROR(INDEX(tblDados[Liga],MATCH($A539,TRIM(tblDados[Mandante]),0)),INDEX(tblDados[Liga],MATCH($A539,TRIM(tblDados[Visitante]),0))),IFERROR(SUMIFS(Ligas!$D$2:$D$39,Ligas!$H$2:$H$39,_xlpm.p,Ligas!$I$2:$I$39,_xlpm.l),0)))</f>
        <v/>
      </c>
      <c r="J539" s="16" t="str" cm="1">
        <f t="array" ref="J539">IF($A539="","",IFERROR((SUMPRODUCT((TRIM(tblDados[Mandante])=$A539)*tblDados[Primeira_Ocorrencia]*(tblDados[GM_M]=0))+SUMPRODUCT((TRIM(tblDados[Visitante])=$A539)*tblDados[Primeira_Ocorrencia]*(tblDados[GM_V]=0)))/G539,0))</f>
        <v/>
      </c>
      <c r="K539" s="16" t="str" cm="1">
        <f t="array" ref="K539">IF($A539="","",IFERROR((SUMPRODUCT((TRIM(tblDados[Mandante])=$A539)*tblDados[Primeira_Ocorrencia]*((tblDados[GM_M]+tblDados[GS_M])&gt;0.5))+SUMPRODUCT((TRIM(tblDados[Visitante])=$A539)*tblDados[Primeira_Ocorrencia]*((tblDados[GM_V]+tblDados[GS_V])&gt;0.5)))/G539,0))</f>
        <v/>
      </c>
      <c r="L539" s="16" t="str" cm="1">
        <f t="array" ref="L539">IF($A539="","",IFERROR((SUMPRODUCT((TRIM(tblDados[Mandante])=$A539)*tblDados[Primeira_Ocorrencia]*((tblDados[GM_M]+tblDados[GS_M])&gt;1.5))+SUMPRODUCT((TRIM(tblDados[Visitante])=$A539)*tblDados[Primeira_Ocorrencia]*((tblDados[GM_V]+tblDados[GS_V])&gt;1.5)))/G539,0))</f>
        <v/>
      </c>
      <c r="M539" s="16" t="str" cm="1">
        <f t="array" ref="M539">IF($A539="","",IFERROR((SUMPRODUCT((TRIM(tblDados[Mandante])=$A539)*tblDados[Primeira_Ocorrencia]*((tblDados[GM_M]+tblDados[GS_M])&gt;2.5))+SUMPRODUCT((TRIM(tblDados[Visitante])=$A539)*tblDados[Primeira_Ocorrencia]*((tblDados[GM_V]+tblDados[GS_V])&gt;2.5)))/G539,0))</f>
        <v/>
      </c>
      <c r="N539" s="16" t="str" cm="1">
        <f t="array" ref="N539">IF($A539="","",IFERROR((SUMPRODUCT((TRIM(tblDados[Mandante])=$A539)*tblDados[Primeira_Ocorrencia]*((tblDados[GM_M]+tblDados[GS_M])&gt;3.5))+SUMPRODUCT((TRIM(tblDados[Visitante])=$A539)*tblDados[Primeira_Ocorrencia]*((tblDados[GM_V]+tblDados[GS_V])&gt;3.5)))/G539,0))</f>
        <v/>
      </c>
      <c r="O539" s="16" t="str" cm="1">
        <f t="array" ref="O539">IF($A539="","",IFERROR((SUMPRODUCT((TRIM(tblDados[Mandante])=$A539)*tblDados[Primeira_Ocorrencia]*(tblDados[GM_M]&gt;0)*(tblDados[GS_M]&gt;0))+SUMPRODUCT((TRIM(tblDados[Visitante])=$A539)*tblDados[Primeira_Ocorrencia]*(tblDados[GM_V]&gt;0)*(tblDados[GS_V]&gt;0)))/G539,0))</f>
        <v/>
      </c>
      <c r="P539" s="14" t="str" cm="1">
        <f t="array" ref="P539">IF($A539="","",IFERROR((SUMPRODUCT((TRIM(tblDados[Mandante])=$A539)*tblDados[Primeira_Ocorrencia]*tblDados[GM_M]^2)+SUMPRODUCT((TRIM(tblDados[Visitante])=$A539)*tblDados[Primeira_Ocorrencia]*tblDados[GM_V]^2))/G539-H539^2,0))</f>
        <v/>
      </c>
      <c r="Q539" s="14" t="str">
        <f t="shared" si="161"/>
        <v/>
      </c>
      <c r="R539" s="1" t="str">
        <f t="shared" si="162"/>
        <v/>
      </c>
      <c r="S539" s="14" t="str" cm="1">
        <f t="array" ref="S539">IF($A539="","",SUMPRODUCT((TRIM(tblDados[Mandante])=$A539)*tblDados[Primeira_Ocorrencia]*tblDados[GM_M]))</f>
        <v/>
      </c>
      <c r="T539" s="14" t="str" cm="1">
        <f t="array" ref="T539">IF($A539="","",SUMPRODUCT((TRIM(tblDados[Visitante])=$A539)*tblDados[Primeira_Ocorrencia]*tblDados[GM_V]))</f>
        <v/>
      </c>
      <c r="U539" s="14" t="str">
        <f t="shared" si="163"/>
        <v/>
      </c>
      <c r="V539" s="14" t="str">
        <f t="shared" si="152"/>
        <v/>
      </c>
      <c r="W539" s="14" t="str" cm="1">
        <f t="array" ref="W539">IF($A539="","",SUMPRODUCT((TRIM(tblDados[Mandante])=$A539)*tblDados[Primeira_Ocorrencia]*tblDados[GS_M]))</f>
        <v/>
      </c>
      <c r="X539" s="14" t="str" cm="1">
        <f t="array" ref="X539">IF($A539="","",SUMPRODUCT((TRIM(tblDados[Visitante])=$A539)*tblDados[Primeira_Ocorrencia]*tblDados[GS_V]))</f>
        <v/>
      </c>
      <c r="Y539" s="14" t="str">
        <f t="shared" si="164"/>
        <v/>
      </c>
      <c r="Z539" s="14" t="str">
        <f t="shared" si="153"/>
        <v/>
      </c>
      <c r="AA539" s="14" t="str">
        <f t="shared" si="154"/>
        <v/>
      </c>
      <c r="AB539" s="14" t="str">
        <f t="shared" si="155"/>
        <v/>
      </c>
      <c r="AC539" s="14" t="str">
        <f t="shared" si="156"/>
        <v/>
      </c>
      <c r="AD539" s="14" t="str">
        <f t="shared" si="157"/>
        <v/>
      </c>
    </row>
    <row r="540" spans="2:30" x14ac:dyDescent="0.3">
      <c r="B540" s="13" t="str" cm="1">
        <f t="array" ref="B540">IF($A540="","",_xlfn.LET(_xlpm.p,IFERROR(INDEX(tblDados[País],MATCH($A540,TRIM(tblDados[Mandante]),0)),INDEX(tblDados[País],MATCH($A540,TRIM(tblDados[Visitante]),0))),_xlpm.l,IFERROR(INDEX(tblDados[Liga],MATCH($A540,TRIM(tblDados[Mandante]),0)),INDEX(tblDados[Liga],MATCH($A540,TRIM(tblDados[Visitante]),0))),_xlpm.p&amp;" - "&amp;_xlpm.l))</f>
        <v/>
      </c>
      <c r="C540" s="14" t="str">
        <f t="shared" si="158"/>
        <v/>
      </c>
      <c r="D540" s="14" t="str">
        <f t="shared" si="159"/>
        <v/>
      </c>
      <c r="E540" s="15" t="str" cm="1">
        <f t="array" ref="E540">IF($A540="","",SUMPRODUCT((TRIM(tblDados[Mandante])=$A540)*tblDados[Primeira_Ocorrencia]))</f>
        <v/>
      </c>
      <c r="F540" s="15" t="str" cm="1">
        <f t="array" ref="F540">IF($A540="","",SUMPRODUCT((TRIM(tblDados[Visitante])=$A540)*tblDados[Primeira_Ocorrencia]))</f>
        <v/>
      </c>
      <c r="G540" s="15" t="str" cm="1">
        <f t="array" ref="G540">IF($A540="","",SUMPRODUCT((TRIM(tblDados[Mandante])=$A540)*tblDados[Primeira_Ocorrencia])+SUMPRODUCT((TRIM(tblDados[Visitante])=$A540)*tblDados[Primeira_Ocorrencia]))</f>
        <v/>
      </c>
      <c r="H540" s="14" t="str">
        <f t="shared" si="160"/>
        <v/>
      </c>
      <c r="I540" s="14" t="str" cm="1">
        <f t="array" ref="I540">IF($A540="","",_xlfn.LET(_xlpm.p,IFERROR(INDEX(tblDados[País],MATCH($A540,TRIM(tblDados[Mandante]),0)),INDEX(tblDados[País],MATCH($A540,TRIM(tblDados[Visitante]),0))),_xlpm.l,IFERROR(INDEX(tblDados[Liga],MATCH($A540,TRIM(tblDados[Mandante]),0)),INDEX(tblDados[Liga],MATCH($A540,TRIM(tblDados[Visitante]),0))),IFERROR(SUMIFS(Ligas!$D$2:$D$39,Ligas!$H$2:$H$39,_xlpm.p,Ligas!$I$2:$I$39,_xlpm.l),0)))</f>
        <v/>
      </c>
      <c r="J540" s="16" t="str" cm="1">
        <f t="array" ref="J540">IF($A540="","",IFERROR((SUMPRODUCT((TRIM(tblDados[Mandante])=$A540)*tblDados[Primeira_Ocorrencia]*(tblDados[GM_M]=0))+SUMPRODUCT((TRIM(tblDados[Visitante])=$A540)*tblDados[Primeira_Ocorrencia]*(tblDados[GM_V]=0)))/G540,0))</f>
        <v/>
      </c>
      <c r="K540" s="16" t="str" cm="1">
        <f t="array" ref="K540">IF($A540="","",IFERROR((SUMPRODUCT((TRIM(tblDados[Mandante])=$A540)*tblDados[Primeira_Ocorrencia]*((tblDados[GM_M]+tblDados[GS_M])&gt;0.5))+SUMPRODUCT((TRIM(tblDados[Visitante])=$A540)*tblDados[Primeira_Ocorrencia]*((tblDados[GM_V]+tblDados[GS_V])&gt;0.5)))/G540,0))</f>
        <v/>
      </c>
      <c r="L540" s="16" t="str" cm="1">
        <f t="array" ref="L540">IF($A540="","",IFERROR((SUMPRODUCT((TRIM(tblDados[Mandante])=$A540)*tblDados[Primeira_Ocorrencia]*((tblDados[GM_M]+tblDados[GS_M])&gt;1.5))+SUMPRODUCT((TRIM(tblDados[Visitante])=$A540)*tblDados[Primeira_Ocorrencia]*((tblDados[GM_V]+tblDados[GS_V])&gt;1.5)))/G540,0))</f>
        <v/>
      </c>
      <c r="M540" s="16" t="str" cm="1">
        <f t="array" ref="M540">IF($A540="","",IFERROR((SUMPRODUCT((TRIM(tblDados[Mandante])=$A540)*tblDados[Primeira_Ocorrencia]*((tblDados[GM_M]+tblDados[GS_M])&gt;2.5))+SUMPRODUCT((TRIM(tblDados[Visitante])=$A540)*tblDados[Primeira_Ocorrencia]*((tblDados[GM_V]+tblDados[GS_V])&gt;2.5)))/G540,0))</f>
        <v/>
      </c>
      <c r="N540" s="16" t="str" cm="1">
        <f t="array" ref="N540">IF($A540="","",IFERROR((SUMPRODUCT((TRIM(tblDados[Mandante])=$A540)*tblDados[Primeira_Ocorrencia]*((tblDados[GM_M]+tblDados[GS_M])&gt;3.5))+SUMPRODUCT((TRIM(tblDados[Visitante])=$A540)*tblDados[Primeira_Ocorrencia]*((tblDados[GM_V]+tblDados[GS_V])&gt;3.5)))/G540,0))</f>
        <v/>
      </c>
      <c r="O540" s="16" t="str" cm="1">
        <f t="array" ref="O540">IF($A540="","",IFERROR((SUMPRODUCT((TRIM(tblDados[Mandante])=$A540)*tblDados[Primeira_Ocorrencia]*(tblDados[GM_M]&gt;0)*(tblDados[GS_M]&gt;0))+SUMPRODUCT((TRIM(tblDados[Visitante])=$A540)*tblDados[Primeira_Ocorrencia]*(tblDados[GM_V]&gt;0)*(tblDados[GS_V]&gt;0)))/G540,0))</f>
        <v/>
      </c>
      <c r="P540" s="14" t="str" cm="1">
        <f t="array" ref="P540">IF($A540="","",IFERROR((SUMPRODUCT((TRIM(tblDados[Mandante])=$A540)*tblDados[Primeira_Ocorrencia]*tblDados[GM_M]^2)+SUMPRODUCT((TRIM(tblDados[Visitante])=$A540)*tblDados[Primeira_Ocorrencia]*tblDados[GM_V]^2))/G540-H540^2,0))</f>
        <v/>
      </c>
      <c r="Q540" s="14" t="str">
        <f t="shared" si="161"/>
        <v/>
      </c>
      <c r="R540" s="1" t="str">
        <f t="shared" si="162"/>
        <v/>
      </c>
      <c r="S540" s="14" t="str" cm="1">
        <f t="array" ref="S540">IF($A540="","",SUMPRODUCT((TRIM(tblDados[Mandante])=$A540)*tblDados[Primeira_Ocorrencia]*tblDados[GM_M]))</f>
        <v/>
      </c>
      <c r="T540" s="14" t="str" cm="1">
        <f t="array" ref="T540">IF($A540="","",SUMPRODUCT((TRIM(tblDados[Visitante])=$A540)*tblDados[Primeira_Ocorrencia]*tblDados[GM_V]))</f>
        <v/>
      </c>
      <c r="U540" s="14" t="str">
        <f t="shared" si="163"/>
        <v/>
      </c>
      <c r="V540" s="14" t="str">
        <f t="shared" si="152"/>
        <v/>
      </c>
      <c r="W540" s="14" t="str" cm="1">
        <f t="array" ref="W540">IF($A540="","",SUMPRODUCT((TRIM(tblDados[Mandante])=$A540)*tblDados[Primeira_Ocorrencia]*tblDados[GS_M]))</f>
        <v/>
      </c>
      <c r="X540" s="14" t="str" cm="1">
        <f t="array" ref="X540">IF($A540="","",SUMPRODUCT((TRIM(tblDados[Visitante])=$A540)*tblDados[Primeira_Ocorrencia]*tblDados[GS_V]))</f>
        <v/>
      </c>
      <c r="Y540" s="14" t="str">
        <f t="shared" si="164"/>
        <v/>
      </c>
      <c r="Z540" s="14" t="str">
        <f t="shared" si="153"/>
        <v/>
      </c>
      <c r="AA540" s="14" t="str">
        <f t="shared" si="154"/>
        <v/>
      </c>
      <c r="AB540" s="14" t="str">
        <f t="shared" si="155"/>
        <v/>
      </c>
      <c r="AC540" s="14" t="str">
        <f t="shared" si="156"/>
        <v/>
      </c>
      <c r="AD540" s="14" t="str">
        <f t="shared" si="157"/>
        <v/>
      </c>
    </row>
    <row r="541" spans="2:30" x14ac:dyDescent="0.3">
      <c r="B541" s="13" t="str" cm="1">
        <f t="array" ref="B541">IF($A541="","",_xlfn.LET(_xlpm.p,IFERROR(INDEX(tblDados[País],MATCH($A541,TRIM(tblDados[Mandante]),0)),INDEX(tblDados[País],MATCH($A541,TRIM(tblDados[Visitante]),0))),_xlpm.l,IFERROR(INDEX(tblDados[Liga],MATCH($A541,TRIM(tblDados[Mandante]),0)),INDEX(tblDados[Liga],MATCH($A541,TRIM(tblDados[Visitante]),0))),_xlpm.p&amp;" - "&amp;_xlpm.l))</f>
        <v/>
      </c>
      <c r="C541" s="14" t="str">
        <f t="shared" si="158"/>
        <v/>
      </c>
      <c r="D541" s="14" t="str">
        <f t="shared" si="159"/>
        <v/>
      </c>
      <c r="E541" s="15" t="str" cm="1">
        <f t="array" ref="E541">IF($A541="","",SUMPRODUCT((TRIM(tblDados[Mandante])=$A541)*tblDados[Primeira_Ocorrencia]))</f>
        <v/>
      </c>
      <c r="F541" s="15" t="str" cm="1">
        <f t="array" ref="F541">IF($A541="","",SUMPRODUCT((TRIM(tblDados[Visitante])=$A541)*tblDados[Primeira_Ocorrencia]))</f>
        <v/>
      </c>
      <c r="G541" s="15" t="str" cm="1">
        <f t="array" ref="G541">IF($A541="","",SUMPRODUCT((TRIM(tblDados[Mandante])=$A541)*tblDados[Primeira_Ocorrencia])+SUMPRODUCT((TRIM(tblDados[Visitante])=$A541)*tblDados[Primeira_Ocorrencia]))</f>
        <v/>
      </c>
      <c r="H541" s="14" t="str">
        <f t="shared" si="160"/>
        <v/>
      </c>
      <c r="I541" s="14" t="str" cm="1">
        <f t="array" ref="I541">IF($A541="","",_xlfn.LET(_xlpm.p,IFERROR(INDEX(tblDados[País],MATCH($A541,TRIM(tblDados[Mandante]),0)),INDEX(tblDados[País],MATCH($A541,TRIM(tblDados[Visitante]),0))),_xlpm.l,IFERROR(INDEX(tblDados[Liga],MATCH($A541,TRIM(tblDados[Mandante]),0)),INDEX(tblDados[Liga],MATCH($A541,TRIM(tblDados[Visitante]),0))),IFERROR(SUMIFS(Ligas!$D$2:$D$39,Ligas!$H$2:$H$39,_xlpm.p,Ligas!$I$2:$I$39,_xlpm.l),0)))</f>
        <v/>
      </c>
      <c r="J541" s="16" t="str" cm="1">
        <f t="array" ref="J541">IF($A541="","",IFERROR((SUMPRODUCT((TRIM(tblDados[Mandante])=$A541)*tblDados[Primeira_Ocorrencia]*(tblDados[GM_M]=0))+SUMPRODUCT((TRIM(tblDados[Visitante])=$A541)*tblDados[Primeira_Ocorrencia]*(tblDados[GM_V]=0)))/G541,0))</f>
        <v/>
      </c>
      <c r="K541" s="16" t="str" cm="1">
        <f t="array" ref="K541">IF($A541="","",IFERROR((SUMPRODUCT((TRIM(tblDados[Mandante])=$A541)*tblDados[Primeira_Ocorrencia]*((tblDados[GM_M]+tblDados[GS_M])&gt;0.5))+SUMPRODUCT((TRIM(tblDados[Visitante])=$A541)*tblDados[Primeira_Ocorrencia]*((tblDados[GM_V]+tblDados[GS_V])&gt;0.5)))/G541,0))</f>
        <v/>
      </c>
      <c r="L541" s="16" t="str" cm="1">
        <f t="array" ref="L541">IF($A541="","",IFERROR((SUMPRODUCT((TRIM(tblDados[Mandante])=$A541)*tblDados[Primeira_Ocorrencia]*((tblDados[GM_M]+tblDados[GS_M])&gt;1.5))+SUMPRODUCT((TRIM(tblDados[Visitante])=$A541)*tblDados[Primeira_Ocorrencia]*((tblDados[GM_V]+tblDados[GS_V])&gt;1.5)))/G541,0))</f>
        <v/>
      </c>
      <c r="M541" s="16" t="str" cm="1">
        <f t="array" ref="M541">IF($A541="","",IFERROR((SUMPRODUCT((TRIM(tblDados[Mandante])=$A541)*tblDados[Primeira_Ocorrencia]*((tblDados[GM_M]+tblDados[GS_M])&gt;2.5))+SUMPRODUCT((TRIM(tblDados[Visitante])=$A541)*tblDados[Primeira_Ocorrencia]*((tblDados[GM_V]+tblDados[GS_V])&gt;2.5)))/G541,0))</f>
        <v/>
      </c>
      <c r="N541" s="16" t="str" cm="1">
        <f t="array" ref="N541">IF($A541="","",IFERROR((SUMPRODUCT((TRIM(tblDados[Mandante])=$A541)*tblDados[Primeira_Ocorrencia]*((tblDados[GM_M]+tblDados[GS_M])&gt;3.5))+SUMPRODUCT((TRIM(tblDados[Visitante])=$A541)*tblDados[Primeira_Ocorrencia]*((tblDados[GM_V]+tblDados[GS_V])&gt;3.5)))/G541,0))</f>
        <v/>
      </c>
      <c r="O541" s="16" t="str" cm="1">
        <f t="array" ref="O541">IF($A541="","",IFERROR((SUMPRODUCT((TRIM(tblDados[Mandante])=$A541)*tblDados[Primeira_Ocorrencia]*(tblDados[GM_M]&gt;0)*(tblDados[GS_M]&gt;0))+SUMPRODUCT((TRIM(tblDados[Visitante])=$A541)*tblDados[Primeira_Ocorrencia]*(tblDados[GM_V]&gt;0)*(tblDados[GS_V]&gt;0)))/G541,0))</f>
        <v/>
      </c>
      <c r="P541" s="14" t="str" cm="1">
        <f t="array" ref="P541">IF($A541="","",IFERROR((SUMPRODUCT((TRIM(tblDados[Mandante])=$A541)*tblDados[Primeira_Ocorrencia]*tblDados[GM_M]^2)+SUMPRODUCT((TRIM(tblDados[Visitante])=$A541)*tblDados[Primeira_Ocorrencia]*tblDados[GM_V]^2))/G541-H541^2,0))</f>
        <v/>
      </c>
      <c r="Q541" s="14" t="str">
        <f t="shared" si="161"/>
        <v/>
      </c>
      <c r="R541" s="1" t="str">
        <f t="shared" si="162"/>
        <v/>
      </c>
      <c r="S541" s="14" t="str" cm="1">
        <f t="array" ref="S541">IF($A541="","",SUMPRODUCT((TRIM(tblDados[Mandante])=$A541)*tblDados[Primeira_Ocorrencia]*tblDados[GM_M]))</f>
        <v/>
      </c>
      <c r="T541" s="14" t="str" cm="1">
        <f t="array" ref="T541">IF($A541="","",SUMPRODUCT((TRIM(tblDados[Visitante])=$A541)*tblDados[Primeira_Ocorrencia]*tblDados[GM_V]))</f>
        <v/>
      </c>
      <c r="U541" s="14" t="str">
        <f t="shared" si="163"/>
        <v/>
      </c>
      <c r="V541" s="14" t="str">
        <f t="shared" si="152"/>
        <v/>
      </c>
      <c r="W541" s="14" t="str" cm="1">
        <f t="array" ref="W541">IF($A541="","",SUMPRODUCT((TRIM(tblDados[Mandante])=$A541)*tblDados[Primeira_Ocorrencia]*tblDados[GS_M]))</f>
        <v/>
      </c>
      <c r="X541" s="14" t="str" cm="1">
        <f t="array" ref="X541">IF($A541="","",SUMPRODUCT((TRIM(tblDados[Visitante])=$A541)*tblDados[Primeira_Ocorrencia]*tblDados[GS_V]))</f>
        <v/>
      </c>
      <c r="Y541" s="14" t="str">
        <f t="shared" si="164"/>
        <v/>
      </c>
      <c r="Z541" s="14" t="str">
        <f t="shared" si="153"/>
        <v/>
      </c>
      <c r="AA541" s="14" t="str">
        <f t="shared" si="154"/>
        <v/>
      </c>
      <c r="AB541" s="14" t="str">
        <f t="shared" si="155"/>
        <v/>
      </c>
      <c r="AC541" s="14" t="str">
        <f t="shared" si="156"/>
        <v/>
      </c>
      <c r="AD541" s="14" t="str">
        <f t="shared" si="157"/>
        <v/>
      </c>
    </row>
    <row r="542" spans="2:30" x14ac:dyDescent="0.3">
      <c r="B542" s="13" t="str" cm="1">
        <f t="array" ref="B542">IF($A542="","",_xlfn.LET(_xlpm.p,IFERROR(INDEX(tblDados[País],MATCH($A542,TRIM(tblDados[Mandante]),0)),INDEX(tblDados[País],MATCH($A542,TRIM(tblDados[Visitante]),0))),_xlpm.l,IFERROR(INDEX(tblDados[Liga],MATCH($A542,TRIM(tblDados[Mandante]),0)),INDEX(tblDados[Liga],MATCH($A542,TRIM(tblDados[Visitante]),0))),_xlpm.p&amp;" - "&amp;_xlpm.l))</f>
        <v/>
      </c>
      <c r="C542" s="14" t="str">
        <f t="shared" si="158"/>
        <v/>
      </c>
      <c r="D542" s="14" t="str">
        <f t="shared" si="159"/>
        <v/>
      </c>
      <c r="E542" s="15" t="str" cm="1">
        <f t="array" ref="E542">IF($A542="","",SUMPRODUCT((TRIM(tblDados[Mandante])=$A542)*tblDados[Primeira_Ocorrencia]))</f>
        <v/>
      </c>
      <c r="F542" s="15" t="str" cm="1">
        <f t="array" ref="F542">IF($A542="","",SUMPRODUCT((TRIM(tblDados[Visitante])=$A542)*tblDados[Primeira_Ocorrencia]))</f>
        <v/>
      </c>
      <c r="G542" s="15" t="str" cm="1">
        <f t="array" ref="G542">IF($A542="","",SUMPRODUCT((TRIM(tblDados[Mandante])=$A542)*tblDados[Primeira_Ocorrencia])+SUMPRODUCT((TRIM(tblDados[Visitante])=$A542)*tblDados[Primeira_Ocorrencia]))</f>
        <v/>
      </c>
      <c r="H542" s="14" t="str">
        <f t="shared" si="160"/>
        <v/>
      </c>
      <c r="I542" s="14" t="str" cm="1">
        <f t="array" ref="I542">IF($A542="","",_xlfn.LET(_xlpm.p,IFERROR(INDEX(tblDados[País],MATCH($A542,TRIM(tblDados[Mandante]),0)),INDEX(tblDados[País],MATCH($A542,TRIM(tblDados[Visitante]),0))),_xlpm.l,IFERROR(INDEX(tblDados[Liga],MATCH($A542,TRIM(tblDados[Mandante]),0)),INDEX(tblDados[Liga],MATCH($A542,TRIM(tblDados[Visitante]),0))),IFERROR(SUMIFS(Ligas!$D$2:$D$39,Ligas!$H$2:$H$39,_xlpm.p,Ligas!$I$2:$I$39,_xlpm.l),0)))</f>
        <v/>
      </c>
      <c r="J542" s="16" t="str" cm="1">
        <f t="array" ref="J542">IF($A542="","",IFERROR((SUMPRODUCT((TRIM(tblDados[Mandante])=$A542)*tblDados[Primeira_Ocorrencia]*(tblDados[GM_M]=0))+SUMPRODUCT((TRIM(tblDados[Visitante])=$A542)*tblDados[Primeira_Ocorrencia]*(tblDados[GM_V]=0)))/G542,0))</f>
        <v/>
      </c>
      <c r="K542" s="16" t="str" cm="1">
        <f t="array" ref="K542">IF($A542="","",IFERROR((SUMPRODUCT((TRIM(tblDados[Mandante])=$A542)*tblDados[Primeira_Ocorrencia]*((tblDados[GM_M]+tblDados[GS_M])&gt;0.5))+SUMPRODUCT((TRIM(tblDados[Visitante])=$A542)*tblDados[Primeira_Ocorrencia]*((tblDados[GM_V]+tblDados[GS_V])&gt;0.5)))/G542,0))</f>
        <v/>
      </c>
      <c r="L542" s="16" t="str" cm="1">
        <f t="array" ref="L542">IF($A542="","",IFERROR((SUMPRODUCT((TRIM(tblDados[Mandante])=$A542)*tblDados[Primeira_Ocorrencia]*((tblDados[GM_M]+tblDados[GS_M])&gt;1.5))+SUMPRODUCT((TRIM(tblDados[Visitante])=$A542)*tblDados[Primeira_Ocorrencia]*((tblDados[GM_V]+tblDados[GS_V])&gt;1.5)))/G542,0))</f>
        <v/>
      </c>
      <c r="M542" s="16" t="str" cm="1">
        <f t="array" ref="M542">IF($A542="","",IFERROR((SUMPRODUCT((TRIM(tblDados[Mandante])=$A542)*tblDados[Primeira_Ocorrencia]*((tblDados[GM_M]+tblDados[GS_M])&gt;2.5))+SUMPRODUCT((TRIM(tblDados[Visitante])=$A542)*tblDados[Primeira_Ocorrencia]*((tblDados[GM_V]+tblDados[GS_V])&gt;2.5)))/G542,0))</f>
        <v/>
      </c>
      <c r="N542" s="16" t="str" cm="1">
        <f t="array" ref="N542">IF($A542="","",IFERROR((SUMPRODUCT((TRIM(tblDados[Mandante])=$A542)*tblDados[Primeira_Ocorrencia]*((tblDados[GM_M]+tblDados[GS_M])&gt;3.5))+SUMPRODUCT((TRIM(tblDados[Visitante])=$A542)*tblDados[Primeira_Ocorrencia]*((tblDados[GM_V]+tblDados[GS_V])&gt;3.5)))/G542,0))</f>
        <v/>
      </c>
      <c r="O542" s="16" t="str" cm="1">
        <f t="array" ref="O542">IF($A542="","",IFERROR((SUMPRODUCT((TRIM(tblDados[Mandante])=$A542)*tblDados[Primeira_Ocorrencia]*(tblDados[GM_M]&gt;0)*(tblDados[GS_M]&gt;0))+SUMPRODUCT((TRIM(tblDados[Visitante])=$A542)*tblDados[Primeira_Ocorrencia]*(tblDados[GM_V]&gt;0)*(tblDados[GS_V]&gt;0)))/G542,0))</f>
        <v/>
      </c>
      <c r="P542" s="14" t="str" cm="1">
        <f t="array" ref="P542">IF($A542="","",IFERROR((SUMPRODUCT((TRIM(tblDados[Mandante])=$A542)*tblDados[Primeira_Ocorrencia]*tblDados[GM_M]^2)+SUMPRODUCT((TRIM(tblDados[Visitante])=$A542)*tblDados[Primeira_Ocorrencia]*tblDados[GM_V]^2))/G542-H542^2,0))</f>
        <v/>
      </c>
      <c r="Q542" s="14" t="str">
        <f t="shared" si="161"/>
        <v/>
      </c>
      <c r="R542" s="1" t="str">
        <f t="shared" si="162"/>
        <v/>
      </c>
      <c r="S542" s="14" t="str" cm="1">
        <f t="array" ref="S542">IF($A542="","",SUMPRODUCT((TRIM(tblDados[Mandante])=$A542)*tblDados[Primeira_Ocorrencia]*tblDados[GM_M]))</f>
        <v/>
      </c>
      <c r="T542" s="14" t="str" cm="1">
        <f t="array" ref="T542">IF($A542="","",SUMPRODUCT((TRIM(tblDados[Visitante])=$A542)*tblDados[Primeira_Ocorrencia]*tblDados[GM_V]))</f>
        <v/>
      </c>
      <c r="U542" s="14" t="str">
        <f t="shared" si="163"/>
        <v/>
      </c>
      <c r="V542" s="14" t="str">
        <f t="shared" si="152"/>
        <v/>
      </c>
      <c r="W542" s="14" t="str" cm="1">
        <f t="array" ref="W542">IF($A542="","",SUMPRODUCT((TRIM(tblDados[Mandante])=$A542)*tblDados[Primeira_Ocorrencia]*tblDados[GS_M]))</f>
        <v/>
      </c>
      <c r="X542" s="14" t="str" cm="1">
        <f t="array" ref="X542">IF($A542="","",SUMPRODUCT((TRIM(tblDados[Visitante])=$A542)*tblDados[Primeira_Ocorrencia]*tblDados[GS_V]))</f>
        <v/>
      </c>
      <c r="Y542" s="14" t="str">
        <f t="shared" si="164"/>
        <v/>
      </c>
      <c r="Z542" s="14" t="str">
        <f t="shared" si="153"/>
        <v/>
      </c>
      <c r="AA542" s="14" t="str">
        <f t="shared" si="154"/>
        <v/>
      </c>
      <c r="AB542" s="14" t="str">
        <f t="shared" si="155"/>
        <v/>
      </c>
      <c r="AC542" s="14" t="str">
        <f t="shared" si="156"/>
        <v/>
      </c>
      <c r="AD542" s="14" t="str">
        <f t="shared" si="157"/>
        <v/>
      </c>
    </row>
    <row r="543" spans="2:30" x14ac:dyDescent="0.3">
      <c r="B543" s="13" t="str" cm="1">
        <f t="array" ref="B543">IF($A543="","",_xlfn.LET(_xlpm.p,IFERROR(INDEX(tblDados[País],MATCH($A543,TRIM(tblDados[Mandante]),0)),INDEX(tblDados[País],MATCH($A543,TRIM(tblDados[Visitante]),0))),_xlpm.l,IFERROR(INDEX(tblDados[Liga],MATCH($A543,TRIM(tblDados[Mandante]),0)),INDEX(tblDados[Liga],MATCH($A543,TRIM(tblDados[Visitante]),0))),_xlpm.p&amp;" - "&amp;_xlpm.l))</f>
        <v/>
      </c>
      <c r="C543" s="14" t="str">
        <f t="shared" si="158"/>
        <v/>
      </c>
      <c r="D543" s="14" t="str">
        <f t="shared" si="159"/>
        <v/>
      </c>
      <c r="E543" s="15" t="str" cm="1">
        <f t="array" ref="E543">IF($A543="","",SUMPRODUCT((TRIM(tblDados[Mandante])=$A543)*tblDados[Primeira_Ocorrencia]))</f>
        <v/>
      </c>
      <c r="F543" s="15" t="str" cm="1">
        <f t="array" ref="F543">IF($A543="","",SUMPRODUCT((TRIM(tblDados[Visitante])=$A543)*tblDados[Primeira_Ocorrencia]))</f>
        <v/>
      </c>
      <c r="G543" s="15" t="str" cm="1">
        <f t="array" ref="G543">IF($A543="","",SUMPRODUCT((TRIM(tblDados[Mandante])=$A543)*tblDados[Primeira_Ocorrencia])+SUMPRODUCT((TRIM(tblDados[Visitante])=$A543)*tblDados[Primeira_Ocorrencia]))</f>
        <v/>
      </c>
      <c r="H543" s="14" t="str">
        <f t="shared" si="160"/>
        <v/>
      </c>
      <c r="I543" s="14" t="str" cm="1">
        <f t="array" ref="I543">IF($A543="","",_xlfn.LET(_xlpm.p,IFERROR(INDEX(tblDados[País],MATCH($A543,TRIM(tblDados[Mandante]),0)),INDEX(tblDados[País],MATCH($A543,TRIM(tblDados[Visitante]),0))),_xlpm.l,IFERROR(INDEX(tblDados[Liga],MATCH($A543,TRIM(tblDados[Mandante]),0)),INDEX(tblDados[Liga],MATCH($A543,TRIM(tblDados[Visitante]),0))),IFERROR(SUMIFS(Ligas!$D$2:$D$39,Ligas!$H$2:$H$39,_xlpm.p,Ligas!$I$2:$I$39,_xlpm.l),0)))</f>
        <v/>
      </c>
      <c r="J543" s="16" t="str" cm="1">
        <f t="array" ref="J543">IF($A543="","",IFERROR((SUMPRODUCT((TRIM(tblDados[Mandante])=$A543)*tblDados[Primeira_Ocorrencia]*(tblDados[GM_M]=0))+SUMPRODUCT((TRIM(tblDados[Visitante])=$A543)*tblDados[Primeira_Ocorrencia]*(tblDados[GM_V]=0)))/G543,0))</f>
        <v/>
      </c>
      <c r="K543" s="16" t="str" cm="1">
        <f t="array" ref="K543">IF($A543="","",IFERROR((SUMPRODUCT((TRIM(tblDados[Mandante])=$A543)*tblDados[Primeira_Ocorrencia]*((tblDados[GM_M]+tblDados[GS_M])&gt;0.5))+SUMPRODUCT((TRIM(tblDados[Visitante])=$A543)*tblDados[Primeira_Ocorrencia]*((tblDados[GM_V]+tblDados[GS_V])&gt;0.5)))/G543,0))</f>
        <v/>
      </c>
      <c r="L543" s="16" t="str" cm="1">
        <f t="array" ref="L543">IF($A543="","",IFERROR((SUMPRODUCT((TRIM(tblDados[Mandante])=$A543)*tblDados[Primeira_Ocorrencia]*((tblDados[GM_M]+tblDados[GS_M])&gt;1.5))+SUMPRODUCT((TRIM(tblDados[Visitante])=$A543)*tblDados[Primeira_Ocorrencia]*((tblDados[GM_V]+tblDados[GS_V])&gt;1.5)))/G543,0))</f>
        <v/>
      </c>
      <c r="M543" s="16" t="str" cm="1">
        <f t="array" ref="M543">IF($A543="","",IFERROR((SUMPRODUCT((TRIM(tblDados[Mandante])=$A543)*tblDados[Primeira_Ocorrencia]*((tblDados[GM_M]+tblDados[GS_M])&gt;2.5))+SUMPRODUCT((TRIM(tblDados[Visitante])=$A543)*tblDados[Primeira_Ocorrencia]*((tblDados[GM_V]+tblDados[GS_V])&gt;2.5)))/G543,0))</f>
        <v/>
      </c>
      <c r="N543" s="16" t="str" cm="1">
        <f t="array" ref="N543">IF($A543="","",IFERROR((SUMPRODUCT((TRIM(tblDados[Mandante])=$A543)*tblDados[Primeira_Ocorrencia]*((tblDados[GM_M]+tblDados[GS_M])&gt;3.5))+SUMPRODUCT((TRIM(tblDados[Visitante])=$A543)*tblDados[Primeira_Ocorrencia]*((tblDados[GM_V]+tblDados[GS_V])&gt;3.5)))/G543,0))</f>
        <v/>
      </c>
      <c r="O543" s="16" t="str" cm="1">
        <f t="array" ref="O543">IF($A543="","",IFERROR((SUMPRODUCT((TRIM(tblDados[Mandante])=$A543)*tblDados[Primeira_Ocorrencia]*(tblDados[GM_M]&gt;0)*(tblDados[GS_M]&gt;0))+SUMPRODUCT((TRIM(tblDados[Visitante])=$A543)*tblDados[Primeira_Ocorrencia]*(tblDados[GM_V]&gt;0)*(tblDados[GS_V]&gt;0)))/G543,0))</f>
        <v/>
      </c>
      <c r="P543" s="14" t="str" cm="1">
        <f t="array" ref="P543">IF($A543="","",IFERROR((SUMPRODUCT((TRIM(tblDados[Mandante])=$A543)*tblDados[Primeira_Ocorrencia]*tblDados[GM_M]^2)+SUMPRODUCT((TRIM(tblDados[Visitante])=$A543)*tblDados[Primeira_Ocorrencia]*tblDados[GM_V]^2))/G543-H543^2,0))</f>
        <v/>
      </c>
      <c r="Q543" s="14" t="str">
        <f t="shared" si="161"/>
        <v/>
      </c>
      <c r="R543" s="1" t="str">
        <f t="shared" si="162"/>
        <v/>
      </c>
      <c r="S543" s="14" t="str" cm="1">
        <f t="array" ref="S543">IF($A543="","",SUMPRODUCT((TRIM(tblDados[Mandante])=$A543)*tblDados[Primeira_Ocorrencia]*tblDados[GM_M]))</f>
        <v/>
      </c>
      <c r="T543" s="14" t="str" cm="1">
        <f t="array" ref="T543">IF($A543="","",SUMPRODUCT((TRIM(tblDados[Visitante])=$A543)*tblDados[Primeira_Ocorrencia]*tblDados[GM_V]))</f>
        <v/>
      </c>
      <c r="U543" s="14" t="str">
        <f t="shared" si="163"/>
        <v/>
      </c>
      <c r="V543" s="14" t="str">
        <f t="shared" si="152"/>
        <v/>
      </c>
      <c r="W543" s="14" t="str" cm="1">
        <f t="array" ref="W543">IF($A543="","",SUMPRODUCT((TRIM(tblDados[Mandante])=$A543)*tblDados[Primeira_Ocorrencia]*tblDados[GS_M]))</f>
        <v/>
      </c>
      <c r="X543" s="14" t="str" cm="1">
        <f t="array" ref="X543">IF($A543="","",SUMPRODUCT((TRIM(tblDados[Visitante])=$A543)*tblDados[Primeira_Ocorrencia]*tblDados[GS_V]))</f>
        <v/>
      </c>
      <c r="Y543" s="14" t="str">
        <f t="shared" si="164"/>
        <v/>
      </c>
      <c r="Z543" s="14" t="str">
        <f t="shared" si="153"/>
        <v/>
      </c>
      <c r="AA543" s="14" t="str">
        <f t="shared" si="154"/>
        <v/>
      </c>
      <c r="AB543" s="14" t="str">
        <f t="shared" si="155"/>
        <v/>
      </c>
      <c r="AC543" s="14" t="str">
        <f t="shared" si="156"/>
        <v/>
      </c>
      <c r="AD543" s="14" t="str">
        <f t="shared" si="157"/>
        <v/>
      </c>
    </row>
    <row r="544" spans="2:30" x14ac:dyDescent="0.3">
      <c r="B544" s="13" t="str" cm="1">
        <f t="array" ref="B544">IF($A544="","",_xlfn.LET(_xlpm.p,IFERROR(INDEX(tblDados[País],MATCH($A544,TRIM(tblDados[Mandante]),0)),INDEX(tblDados[País],MATCH($A544,TRIM(tblDados[Visitante]),0))),_xlpm.l,IFERROR(INDEX(tblDados[Liga],MATCH($A544,TRIM(tblDados[Mandante]),0)),INDEX(tblDados[Liga],MATCH($A544,TRIM(tblDados[Visitante]),0))),_xlpm.p&amp;" - "&amp;_xlpm.l))</f>
        <v/>
      </c>
      <c r="C544" s="14" t="str">
        <f t="shared" si="158"/>
        <v/>
      </c>
      <c r="D544" s="14" t="str">
        <f t="shared" si="159"/>
        <v/>
      </c>
      <c r="E544" s="15" t="str" cm="1">
        <f t="array" ref="E544">IF($A544="","",SUMPRODUCT((TRIM(tblDados[Mandante])=$A544)*tblDados[Primeira_Ocorrencia]))</f>
        <v/>
      </c>
      <c r="F544" s="15" t="str" cm="1">
        <f t="array" ref="F544">IF($A544="","",SUMPRODUCT((TRIM(tblDados[Visitante])=$A544)*tblDados[Primeira_Ocorrencia]))</f>
        <v/>
      </c>
      <c r="G544" s="15" t="str" cm="1">
        <f t="array" ref="G544">IF($A544="","",SUMPRODUCT((TRIM(tblDados[Mandante])=$A544)*tblDados[Primeira_Ocorrencia])+SUMPRODUCT((TRIM(tblDados[Visitante])=$A544)*tblDados[Primeira_Ocorrencia]))</f>
        <v/>
      </c>
      <c r="H544" s="14" t="str">
        <f t="shared" si="160"/>
        <v/>
      </c>
      <c r="I544" s="14" t="str" cm="1">
        <f t="array" ref="I544">IF($A544="","",_xlfn.LET(_xlpm.p,IFERROR(INDEX(tblDados[País],MATCH($A544,TRIM(tblDados[Mandante]),0)),INDEX(tblDados[País],MATCH($A544,TRIM(tblDados[Visitante]),0))),_xlpm.l,IFERROR(INDEX(tblDados[Liga],MATCH($A544,TRIM(tblDados[Mandante]),0)),INDEX(tblDados[Liga],MATCH($A544,TRIM(tblDados[Visitante]),0))),IFERROR(SUMIFS(Ligas!$D$2:$D$39,Ligas!$H$2:$H$39,_xlpm.p,Ligas!$I$2:$I$39,_xlpm.l),0)))</f>
        <v/>
      </c>
      <c r="J544" s="16" t="str" cm="1">
        <f t="array" ref="J544">IF($A544="","",IFERROR((SUMPRODUCT((TRIM(tblDados[Mandante])=$A544)*tblDados[Primeira_Ocorrencia]*(tblDados[GM_M]=0))+SUMPRODUCT((TRIM(tblDados[Visitante])=$A544)*tblDados[Primeira_Ocorrencia]*(tblDados[GM_V]=0)))/G544,0))</f>
        <v/>
      </c>
      <c r="K544" s="16" t="str" cm="1">
        <f t="array" ref="K544">IF($A544="","",IFERROR((SUMPRODUCT((TRIM(tblDados[Mandante])=$A544)*tblDados[Primeira_Ocorrencia]*((tblDados[GM_M]+tblDados[GS_M])&gt;0.5))+SUMPRODUCT((TRIM(tblDados[Visitante])=$A544)*tblDados[Primeira_Ocorrencia]*((tblDados[GM_V]+tblDados[GS_V])&gt;0.5)))/G544,0))</f>
        <v/>
      </c>
      <c r="L544" s="16" t="str" cm="1">
        <f t="array" ref="L544">IF($A544="","",IFERROR((SUMPRODUCT((TRIM(tblDados[Mandante])=$A544)*tblDados[Primeira_Ocorrencia]*((tblDados[GM_M]+tblDados[GS_M])&gt;1.5))+SUMPRODUCT((TRIM(tblDados[Visitante])=$A544)*tblDados[Primeira_Ocorrencia]*((tblDados[GM_V]+tblDados[GS_V])&gt;1.5)))/G544,0))</f>
        <v/>
      </c>
      <c r="M544" s="16" t="str" cm="1">
        <f t="array" ref="M544">IF($A544="","",IFERROR((SUMPRODUCT((TRIM(tblDados[Mandante])=$A544)*tblDados[Primeira_Ocorrencia]*((tblDados[GM_M]+tblDados[GS_M])&gt;2.5))+SUMPRODUCT((TRIM(tblDados[Visitante])=$A544)*tblDados[Primeira_Ocorrencia]*((tblDados[GM_V]+tblDados[GS_V])&gt;2.5)))/G544,0))</f>
        <v/>
      </c>
      <c r="N544" s="16" t="str" cm="1">
        <f t="array" ref="N544">IF($A544="","",IFERROR((SUMPRODUCT((TRIM(tblDados[Mandante])=$A544)*tblDados[Primeira_Ocorrencia]*((tblDados[GM_M]+tblDados[GS_M])&gt;3.5))+SUMPRODUCT((TRIM(tblDados[Visitante])=$A544)*tblDados[Primeira_Ocorrencia]*((tblDados[GM_V]+tblDados[GS_V])&gt;3.5)))/G544,0))</f>
        <v/>
      </c>
      <c r="O544" s="16" t="str" cm="1">
        <f t="array" ref="O544">IF($A544="","",IFERROR((SUMPRODUCT((TRIM(tblDados[Mandante])=$A544)*tblDados[Primeira_Ocorrencia]*(tblDados[GM_M]&gt;0)*(tblDados[GS_M]&gt;0))+SUMPRODUCT((TRIM(tblDados[Visitante])=$A544)*tblDados[Primeira_Ocorrencia]*(tblDados[GM_V]&gt;0)*(tblDados[GS_V]&gt;0)))/G544,0))</f>
        <v/>
      </c>
      <c r="P544" s="14" t="str" cm="1">
        <f t="array" ref="P544">IF($A544="","",IFERROR((SUMPRODUCT((TRIM(tblDados[Mandante])=$A544)*tblDados[Primeira_Ocorrencia]*tblDados[GM_M]^2)+SUMPRODUCT((TRIM(tblDados[Visitante])=$A544)*tblDados[Primeira_Ocorrencia]*tblDados[GM_V]^2))/G544-H544^2,0))</f>
        <v/>
      </c>
      <c r="Q544" s="14" t="str">
        <f t="shared" si="161"/>
        <v/>
      </c>
      <c r="R544" s="1" t="str">
        <f t="shared" si="162"/>
        <v/>
      </c>
      <c r="S544" s="14" t="str" cm="1">
        <f t="array" ref="S544">IF($A544="","",SUMPRODUCT((TRIM(tblDados[Mandante])=$A544)*tblDados[Primeira_Ocorrencia]*tblDados[GM_M]))</f>
        <v/>
      </c>
      <c r="T544" s="14" t="str" cm="1">
        <f t="array" ref="T544">IF($A544="","",SUMPRODUCT((TRIM(tblDados[Visitante])=$A544)*tblDados[Primeira_Ocorrencia]*tblDados[GM_V]))</f>
        <v/>
      </c>
      <c r="U544" s="14" t="str">
        <f t="shared" si="163"/>
        <v/>
      </c>
      <c r="V544" s="14" t="str">
        <f t="shared" si="152"/>
        <v/>
      </c>
      <c r="W544" s="14" t="str" cm="1">
        <f t="array" ref="W544">IF($A544="","",SUMPRODUCT((TRIM(tblDados[Mandante])=$A544)*tblDados[Primeira_Ocorrencia]*tblDados[GS_M]))</f>
        <v/>
      </c>
      <c r="X544" s="14" t="str" cm="1">
        <f t="array" ref="X544">IF($A544="","",SUMPRODUCT((TRIM(tblDados[Visitante])=$A544)*tblDados[Primeira_Ocorrencia]*tblDados[GS_V]))</f>
        <v/>
      </c>
      <c r="Y544" s="14" t="str">
        <f t="shared" si="164"/>
        <v/>
      </c>
      <c r="Z544" s="14" t="str">
        <f t="shared" si="153"/>
        <v/>
      </c>
      <c r="AA544" s="14" t="str">
        <f t="shared" si="154"/>
        <v/>
      </c>
      <c r="AB544" s="14" t="str">
        <f t="shared" si="155"/>
        <v/>
      </c>
      <c r="AC544" s="14" t="str">
        <f t="shared" si="156"/>
        <v/>
      </c>
      <c r="AD544" s="14" t="str">
        <f t="shared" si="157"/>
        <v/>
      </c>
    </row>
    <row r="545" spans="2:30" x14ac:dyDescent="0.3">
      <c r="B545" s="13" t="str" cm="1">
        <f t="array" ref="B545">IF($A545="","",_xlfn.LET(_xlpm.p,IFERROR(INDEX(tblDados[País],MATCH($A545,TRIM(tblDados[Mandante]),0)),INDEX(tblDados[País],MATCH($A545,TRIM(tblDados[Visitante]),0))),_xlpm.l,IFERROR(INDEX(tblDados[Liga],MATCH($A545,TRIM(tblDados[Mandante]),0)),INDEX(tblDados[Liga],MATCH($A545,TRIM(tblDados[Visitante]),0))),_xlpm.p&amp;" - "&amp;_xlpm.l))</f>
        <v/>
      </c>
      <c r="C545" s="14" t="str">
        <f t="shared" si="158"/>
        <v/>
      </c>
      <c r="D545" s="14" t="str">
        <f t="shared" si="159"/>
        <v/>
      </c>
      <c r="E545" s="15" t="str" cm="1">
        <f t="array" ref="E545">IF($A545="","",SUMPRODUCT((TRIM(tblDados[Mandante])=$A545)*tblDados[Primeira_Ocorrencia]))</f>
        <v/>
      </c>
      <c r="F545" s="15" t="str" cm="1">
        <f t="array" ref="F545">IF($A545="","",SUMPRODUCT((TRIM(tblDados[Visitante])=$A545)*tblDados[Primeira_Ocorrencia]))</f>
        <v/>
      </c>
      <c r="G545" s="15" t="str" cm="1">
        <f t="array" ref="G545">IF($A545="","",SUMPRODUCT((TRIM(tblDados[Mandante])=$A545)*tblDados[Primeira_Ocorrencia])+SUMPRODUCT((TRIM(tblDados[Visitante])=$A545)*tblDados[Primeira_Ocorrencia]))</f>
        <v/>
      </c>
      <c r="H545" s="14" t="str">
        <f t="shared" si="160"/>
        <v/>
      </c>
      <c r="I545" s="14" t="str" cm="1">
        <f t="array" ref="I545">IF($A545="","",_xlfn.LET(_xlpm.p,IFERROR(INDEX(tblDados[País],MATCH($A545,TRIM(tblDados[Mandante]),0)),INDEX(tblDados[País],MATCH($A545,TRIM(tblDados[Visitante]),0))),_xlpm.l,IFERROR(INDEX(tblDados[Liga],MATCH($A545,TRIM(tblDados[Mandante]),0)),INDEX(tblDados[Liga],MATCH($A545,TRIM(tblDados[Visitante]),0))),IFERROR(SUMIFS(Ligas!$D$2:$D$39,Ligas!$H$2:$H$39,_xlpm.p,Ligas!$I$2:$I$39,_xlpm.l),0)))</f>
        <v/>
      </c>
      <c r="J545" s="16" t="str" cm="1">
        <f t="array" ref="J545">IF($A545="","",IFERROR((SUMPRODUCT((TRIM(tblDados[Mandante])=$A545)*tblDados[Primeira_Ocorrencia]*(tblDados[GM_M]=0))+SUMPRODUCT((TRIM(tblDados[Visitante])=$A545)*tblDados[Primeira_Ocorrencia]*(tblDados[GM_V]=0)))/G545,0))</f>
        <v/>
      </c>
      <c r="K545" s="16" t="str" cm="1">
        <f t="array" ref="K545">IF($A545="","",IFERROR((SUMPRODUCT((TRIM(tblDados[Mandante])=$A545)*tblDados[Primeira_Ocorrencia]*((tblDados[GM_M]+tblDados[GS_M])&gt;0.5))+SUMPRODUCT((TRIM(tblDados[Visitante])=$A545)*tblDados[Primeira_Ocorrencia]*((tblDados[GM_V]+tblDados[GS_V])&gt;0.5)))/G545,0))</f>
        <v/>
      </c>
      <c r="L545" s="16" t="str" cm="1">
        <f t="array" ref="L545">IF($A545="","",IFERROR((SUMPRODUCT((TRIM(tblDados[Mandante])=$A545)*tblDados[Primeira_Ocorrencia]*((tblDados[GM_M]+tblDados[GS_M])&gt;1.5))+SUMPRODUCT((TRIM(tblDados[Visitante])=$A545)*tblDados[Primeira_Ocorrencia]*((tblDados[GM_V]+tblDados[GS_V])&gt;1.5)))/G545,0))</f>
        <v/>
      </c>
      <c r="M545" s="16" t="str" cm="1">
        <f t="array" ref="M545">IF($A545="","",IFERROR((SUMPRODUCT((TRIM(tblDados[Mandante])=$A545)*tblDados[Primeira_Ocorrencia]*((tblDados[GM_M]+tblDados[GS_M])&gt;2.5))+SUMPRODUCT((TRIM(tblDados[Visitante])=$A545)*tblDados[Primeira_Ocorrencia]*((tblDados[GM_V]+tblDados[GS_V])&gt;2.5)))/G545,0))</f>
        <v/>
      </c>
      <c r="N545" s="16" t="str" cm="1">
        <f t="array" ref="N545">IF($A545="","",IFERROR((SUMPRODUCT((TRIM(tblDados[Mandante])=$A545)*tblDados[Primeira_Ocorrencia]*((tblDados[GM_M]+tblDados[GS_M])&gt;3.5))+SUMPRODUCT((TRIM(tblDados[Visitante])=$A545)*tblDados[Primeira_Ocorrencia]*((tblDados[GM_V]+tblDados[GS_V])&gt;3.5)))/G545,0))</f>
        <v/>
      </c>
      <c r="O545" s="16" t="str" cm="1">
        <f t="array" ref="O545">IF($A545="","",IFERROR((SUMPRODUCT((TRIM(tblDados[Mandante])=$A545)*tblDados[Primeira_Ocorrencia]*(tblDados[GM_M]&gt;0)*(tblDados[GS_M]&gt;0))+SUMPRODUCT((TRIM(tblDados[Visitante])=$A545)*tblDados[Primeira_Ocorrencia]*(tblDados[GM_V]&gt;0)*(tblDados[GS_V]&gt;0)))/G545,0))</f>
        <v/>
      </c>
      <c r="P545" s="14" t="str" cm="1">
        <f t="array" ref="P545">IF($A545="","",IFERROR((SUMPRODUCT((TRIM(tblDados[Mandante])=$A545)*tblDados[Primeira_Ocorrencia]*tblDados[GM_M]^2)+SUMPRODUCT((TRIM(tblDados[Visitante])=$A545)*tblDados[Primeira_Ocorrencia]*tblDados[GM_V]^2))/G545-H545^2,0))</f>
        <v/>
      </c>
      <c r="Q545" s="14" t="str">
        <f t="shared" si="161"/>
        <v/>
      </c>
      <c r="R545" s="1" t="str">
        <f t="shared" si="162"/>
        <v/>
      </c>
      <c r="S545" s="14" t="str" cm="1">
        <f t="array" ref="S545">IF($A545="","",SUMPRODUCT((TRIM(tblDados[Mandante])=$A545)*tblDados[Primeira_Ocorrencia]*tblDados[GM_M]))</f>
        <v/>
      </c>
      <c r="T545" s="14" t="str" cm="1">
        <f t="array" ref="T545">IF($A545="","",SUMPRODUCT((TRIM(tblDados[Visitante])=$A545)*tblDados[Primeira_Ocorrencia]*tblDados[GM_V]))</f>
        <v/>
      </c>
      <c r="U545" s="14" t="str">
        <f t="shared" si="163"/>
        <v/>
      </c>
      <c r="V545" s="14" t="str">
        <f t="shared" si="152"/>
        <v/>
      </c>
      <c r="W545" s="14" t="str" cm="1">
        <f t="array" ref="W545">IF($A545="","",SUMPRODUCT((TRIM(tblDados[Mandante])=$A545)*tblDados[Primeira_Ocorrencia]*tblDados[GS_M]))</f>
        <v/>
      </c>
      <c r="X545" s="14" t="str" cm="1">
        <f t="array" ref="X545">IF($A545="","",SUMPRODUCT((TRIM(tblDados[Visitante])=$A545)*tblDados[Primeira_Ocorrencia]*tblDados[GS_V]))</f>
        <v/>
      </c>
      <c r="Y545" s="14" t="str">
        <f t="shared" si="164"/>
        <v/>
      </c>
      <c r="Z545" s="14" t="str">
        <f t="shared" si="153"/>
        <v/>
      </c>
      <c r="AA545" s="14" t="str">
        <f t="shared" si="154"/>
        <v/>
      </c>
      <c r="AB545" s="14" t="str">
        <f t="shared" si="155"/>
        <v/>
      </c>
      <c r="AC545" s="14" t="str">
        <f t="shared" si="156"/>
        <v/>
      </c>
      <c r="AD545" s="14" t="str">
        <f t="shared" si="157"/>
        <v/>
      </c>
    </row>
    <row r="546" spans="2:30" x14ac:dyDescent="0.3">
      <c r="B546" s="13" t="str" cm="1">
        <f t="array" ref="B546">IF($A546="","",_xlfn.LET(_xlpm.p,IFERROR(INDEX(tblDados[País],MATCH($A546,TRIM(tblDados[Mandante]),0)),INDEX(tblDados[País],MATCH($A546,TRIM(tblDados[Visitante]),0))),_xlpm.l,IFERROR(INDEX(tblDados[Liga],MATCH($A546,TRIM(tblDados[Mandante]),0)),INDEX(tblDados[Liga],MATCH($A546,TRIM(tblDados[Visitante]),0))),_xlpm.p&amp;" - "&amp;_xlpm.l))</f>
        <v/>
      </c>
      <c r="C546" s="14" t="str">
        <f t="shared" si="158"/>
        <v/>
      </c>
      <c r="D546" s="14" t="str">
        <f t="shared" si="159"/>
        <v/>
      </c>
      <c r="E546" s="15" t="str" cm="1">
        <f t="array" ref="E546">IF($A546="","",SUMPRODUCT((TRIM(tblDados[Mandante])=$A546)*tblDados[Primeira_Ocorrencia]))</f>
        <v/>
      </c>
      <c r="F546" s="15" t="str" cm="1">
        <f t="array" ref="F546">IF($A546="","",SUMPRODUCT((TRIM(tblDados[Visitante])=$A546)*tblDados[Primeira_Ocorrencia]))</f>
        <v/>
      </c>
      <c r="G546" s="15" t="str" cm="1">
        <f t="array" ref="G546">IF($A546="","",SUMPRODUCT((TRIM(tblDados[Mandante])=$A546)*tblDados[Primeira_Ocorrencia])+SUMPRODUCT((TRIM(tblDados[Visitante])=$A546)*tblDados[Primeira_Ocorrencia]))</f>
        <v/>
      </c>
      <c r="H546" s="14" t="str">
        <f t="shared" si="160"/>
        <v/>
      </c>
      <c r="I546" s="14" t="str" cm="1">
        <f t="array" ref="I546">IF($A546="","",_xlfn.LET(_xlpm.p,IFERROR(INDEX(tblDados[País],MATCH($A546,TRIM(tblDados[Mandante]),0)),INDEX(tblDados[País],MATCH($A546,TRIM(tblDados[Visitante]),0))),_xlpm.l,IFERROR(INDEX(tblDados[Liga],MATCH($A546,TRIM(tblDados[Mandante]),0)),INDEX(tblDados[Liga],MATCH($A546,TRIM(tblDados[Visitante]),0))),IFERROR(SUMIFS(Ligas!$D$2:$D$39,Ligas!$H$2:$H$39,_xlpm.p,Ligas!$I$2:$I$39,_xlpm.l),0)))</f>
        <v/>
      </c>
      <c r="J546" s="16" t="str" cm="1">
        <f t="array" ref="J546">IF($A546="","",IFERROR((SUMPRODUCT((TRIM(tblDados[Mandante])=$A546)*tblDados[Primeira_Ocorrencia]*(tblDados[GM_M]=0))+SUMPRODUCT((TRIM(tblDados[Visitante])=$A546)*tblDados[Primeira_Ocorrencia]*(tblDados[GM_V]=0)))/G546,0))</f>
        <v/>
      </c>
      <c r="K546" s="16" t="str" cm="1">
        <f t="array" ref="K546">IF($A546="","",IFERROR((SUMPRODUCT((TRIM(tblDados[Mandante])=$A546)*tblDados[Primeira_Ocorrencia]*((tblDados[GM_M]+tblDados[GS_M])&gt;0.5))+SUMPRODUCT((TRIM(tblDados[Visitante])=$A546)*tblDados[Primeira_Ocorrencia]*((tblDados[GM_V]+tblDados[GS_V])&gt;0.5)))/G546,0))</f>
        <v/>
      </c>
      <c r="L546" s="16" t="str" cm="1">
        <f t="array" ref="L546">IF($A546="","",IFERROR((SUMPRODUCT((TRIM(tblDados[Mandante])=$A546)*tblDados[Primeira_Ocorrencia]*((tblDados[GM_M]+tblDados[GS_M])&gt;1.5))+SUMPRODUCT((TRIM(tblDados[Visitante])=$A546)*tblDados[Primeira_Ocorrencia]*((tblDados[GM_V]+tblDados[GS_V])&gt;1.5)))/G546,0))</f>
        <v/>
      </c>
      <c r="M546" s="16" t="str" cm="1">
        <f t="array" ref="M546">IF($A546="","",IFERROR((SUMPRODUCT((TRIM(tblDados[Mandante])=$A546)*tblDados[Primeira_Ocorrencia]*((tblDados[GM_M]+tblDados[GS_M])&gt;2.5))+SUMPRODUCT((TRIM(tblDados[Visitante])=$A546)*tblDados[Primeira_Ocorrencia]*((tblDados[GM_V]+tblDados[GS_V])&gt;2.5)))/G546,0))</f>
        <v/>
      </c>
      <c r="N546" s="16" t="str" cm="1">
        <f t="array" ref="N546">IF($A546="","",IFERROR((SUMPRODUCT((TRIM(tblDados[Mandante])=$A546)*tblDados[Primeira_Ocorrencia]*((tblDados[GM_M]+tblDados[GS_M])&gt;3.5))+SUMPRODUCT((TRIM(tblDados[Visitante])=$A546)*tblDados[Primeira_Ocorrencia]*((tblDados[GM_V]+tblDados[GS_V])&gt;3.5)))/G546,0))</f>
        <v/>
      </c>
      <c r="O546" s="16" t="str" cm="1">
        <f t="array" ref="O546">IF($A546="","",IFERROR((SUMPRODUCT((TRIM(tblDados[Mandante])=$A546)*tblDados[Primeira_Ocorrencia]*(tblDados[GM_M]&gt;0)*(tblDados[GS_M]&gt;0))+SUMPRODUCT((TRIM(tblDados[Visitante])=$A546)*tblDados[Primeira_Ocorrencia]*(tblDados[GM_V]&gt;0)*(tblDados[GS_V]&gt;0)))/G546,0))</f>
        <v/>
      </c>
      <c r="P546" s="14" t="str" cm="1">
        <f t="array" ref="P546">IF($A546="","",IFERROR((SUMPRODUCT((TRIM(tblDados[Mandante])=$A546)*tblDados[Primeira_Ocorrencia]*tblDados[GM_M]^2)+SUMPRODUCT((TRIM(tblDados[Visitante])=$A546)*tblDados[Primeira_Ocorrencia]*tblDados[GM_V]^2))/G546-H546^2,0))</f>
        <v/>
      </c>
      <c r="Q546" s="14" t="str">
        <f t="shared" si="161"/>
        <v/>
      </c>
      <c r="R546" s="1" t="str">
        <f t="shared" si="162"/>
        <v/>
      </c>
      <c r="S546" s="14" t="str" cm="1">
        <f t="array" ref="S546">IF($A546="","",SUMPRODUCT((TRIM(tblDados[Mandante])=$A546)*tblDados[Primeira_Ocorrencia]*tblDados[GM_M]))</f>
        <v/>
      </c>
      <c r="T546" s="14" t="str" cm="1">
        <f t="array" ref="T546">IF($A546="","",SUMPRODUCT((TRIM(tblDados[Visitante])=$A546)*tblDados[Primeira_Ocorrencia]*tblDados[GM_V]))</f>
        <v/>
      </c>
      <c r="U546" s="14" t="str">
        <f t="shared" si="163"/>
        <v/>
      </c>
      <c r="V546" s="14" t="str">
        <f t="shared" si="152"/>
        <v/>
      </c>
      <c r="W546" s="14" t="str" cm="1">
        <f t="array" ref="W546">IF($A546="","",SUMPRODUCT((TRIM(tblDados[Mandante])=$A546)*tblDados[Primeira_Ocorrencia]*tblDados[GS_M]))</f>
        <v/>
      </c>
      <c r="X546" s="14" t="str" cm="1">
        <f t="array" ref="X546">IF($A546="","",SUMPRODUCT((TRIM(tblDados[Visitante])=$A546)*tblDados[Primeira_Ocorrencia]*tblDados[GS_V]))</f>
        <v/>
      </c>
      <c r="Y546" s="14" t="str">
        <f t="shared" si="164"/>
        <v/>
      </c>
      <c r="Z546" s="14" t="str">
        <f t="shared" si="153"/>
        <v/>
      </c>
      <c r="AA546" s="14" t="str">
        <f t="shared" si="154"/>
        <v/>
      </c>
      <c r="AB546" s="14" t="str">
        <f t="shared" si="155"/>
        <v/>
      </c>
      <c r="AC546" s="14" t="str">
        <f t="shared" si="156"/>
        <v/>
      </c>
      <c r="AD546" s="14" t="str">
        <f t="shared" si="157"/>
        <v/>
      </c>
    </row>
    <row r="547" spans="2:30" x14ac:dyDescent="0.3">
      <c r="B547" s="13" t="str" cm="1">
        <f t="array" ref="B547">IF($A547="","",_xlfn.LET(_xlpm.p,IFERROR(INDEX(tblDados[País],MATCH($A547,TRIM(tblDados[Mandante]),0)),INDEX(tblDados[País],MATCH($A547,TRIM(tblDados[Visitante]),0))),_xlpm.l,IFERROR(INDEX(tblDados[Liga],MATCH($A547,TRIM(tblDados[Mandante]),0)),INDEX(tblDados[Liga],MATCH($A547,TRIM(tblDados[Visitante]),0))),_xlpm.p&amp;" - "&amp;_xlpm.l))</f>
        <v/>
      </c>
      <c r="C547" s="14" t="str">
        <f t="shared" si="158"/>
        <v/>
      </c>
      <c r="D547" s="14" t="str">
        <f t="shared" si="159"/>
        <v/>
      </c>
      <c r="E547" s="15" t="str" cm="1">
        <f t="array" ref="E547">IF($A547="","",SUMPRODUCT((TRIM(tblDados[Mandante])=$A547)*tblDados[Primeira_Ocorrencia]))</f>
        <v/>
      </c>
      <c r="F547" s="15" t="str" cm="1">
        <f t="array" ref="F547">IF($A547="","",SUMPRODUCT((TRIM(tblDados[Visitante])=$A547)*tblDados[Primeira_Ocorrencia]))</f>
        <v/>
      </c>
      <c r="G547" s="15" t="str" cm="1">
        <f t="array" ref="G547">IF($A547="","",SUMPRODUCT((TRIM(tblDados[Mandante])=$A547)*tblDados[Primeira_Ocorrencia])+SUMPRODUCT((TRIM(tblDados[Visitante])=$A547)*tblDados[Primeira_Ocorrencia]))</f>
        <v/>
      </c>
      <c r="H547" s="14" t="str">
        <f t="shared" si="160"/>
        <v/>
      </c>
      <c r="I547" s="14" t="str" cm="1">
        <f t="array" ref="I547">IF($A547="","",_xlfn.LET(_xlpm.p,IFERROR(INDEX(tblDados[País],MATCH($A547,TRIM(tblDados[Mandante]),0)),INDEX(tblDados[País],MATCH($A547,TRIM(tblDados[Visitante]),0))),_xlpm.l,IFERROR(INDEX(tblDados[Liga],MATCH($A547,TRIM(tblDados[Mandante]),0)),INDEX(tblDados[Liga],MATCH($A547,TRIM(tblDados[Visitante]),0))),IFERROR(SUMIFS(Ligas!$D$2:$D$39,Ligas!$H$2:$H$39,_xlpm.p,Ligas!$I$2:$I$39,_xlpm.l),0)))</f>
        <v/>
      </c>
      <c r="J547" s="16" t="str" cm="1">
        <f t="array" ref="J547">IF($A547="","",IFERROR((SUMPRODUCT((TRIM(tblDados[Mandante])=$A547)*tblDados[Primeira_Ocorrencia]*(tblDados[GM_M]=0))+SUMPRODUCT((TRIM(tblDados[Visitante])=$A547)*tblDados[Primeira_Ocorrencia]*(tblDados[GM_V]=0)))/G547,0))</f>
        <v/>
      </c>
      <c r="K547" s="16" t="str" cm="1">
        <f t="array" ref="K547">IF($A547="","",IFERROR((SUMPRODUCT((TRIM(tblDados[Mandante])=$A547)*tblDados[Primeira_Ocorrencia]*((tblDados[GM_M]+tblDados[GS_M])&gt;0.5))+SUMPRODUCT((TRIM(tblDados[Visitante])=$A547)*tblDados[Primeira_Ocorrencia]*((tblDados[GM_V]+tblDados[GS_V])&gt;0.5)))/G547,0))</f>
        <v/>
      </c>
      <c r="L547" s="16" t="str" cm="1">
        <f t="array" ref="L547">IF($A547="","",IFERROR((SUMPRODUCT((TRIM(tblDados[Mandante])=$A547)*tblDados[Primeira_Ocorrencia]*((tblDados[GM_M]+tblDados[GS_M])&gt;1.5))+SUMPRODUCT((TRIM(tblDados[Visitante])=$A547)*tblDados[Primeira_Ocorrencia]*((tblDados[GM_V]+tblDados[GS_V])&gt;1.5)))/G547,0))</f>
        <v/>
      </c>
      <c r="M547" s="16" t="str" cm="1">
        <f t="array" ref="M547">IF($A547="","",IFERROR((SUMPRODUCT((TRIM(tblDados[Mandante])=$A547)*tblDados[Primeira_Ocorrencia]*((tblDados[GM_M]+tblDados[GS_M])&gt;2.5))+SUMPRODUCT((TRIM(tblDados[Visitante])=$A547)*tblDados[Primeira_Ocorrencia]*((tblDados[GM_V]+tblDados[GS_V])&gt;2.5)))/G547,0))</f>
        <v/>
      </c>
      <c r="N547" s="16" t="str" cm="1">
        <f t="array" ref="N547">IF($A547="","",IFERROR((SUMPRODUCT((TRIM(tblDados[Mandante])=$A547)*tblDados[Primeira_Ocorrencia]*((tblDados[GM_M]+tblDados[GS_M])&gt;3.5))+SUMPRODUCT((TRIM(tblDados[Visitante])=$A547)*tblDados[Primeira_Ocorrencia]*((tblDados[GM_V]+tblDados[GS_V])&gt;3.5)))/G547,0))</f>
        <v/>
      </c>
      <c r="O547" s="16" t="str" cm="1">
        <f t="array" ref="O547">IF($A547="","",IFERROR((SUMPRODUCT((TRIM(tblDados[Mandante])=$A547)*tblDados[Primeira_Ocorrencia]*(tblDados[GM_M]&gt;0)*(tblDados[GS_M]&gt;0))+SUMPRODUCT((TRIM(tblDados[Visitante])=$A547)*tblDados[Primeira_Ocorrencia]*(tblDados[GM_V]&gt;0)*(tblDados[GS_V]&gt;0)))/G547,0))</f>
        <v/>
      </c>
      <c r="P547" s="14" t="str" cm="1">
        <f t="array" ref="P547">IF($A547="","",IFERROR((SUMPRODUCT((TRIM(tblDados[Mandante])=$A547)*tblDados[Primeira_Ocorrencia]*tblDados[GM_M]^2)+SUMPRODUCT((TRIM(tblDados[Visitante])=$A547)*tblDados[Primeira_Ocorrencia]*tblDados[GM_V]^2))/G547-H547^2,0))</f>
        <v/>
      </c>
      <c r="Q547" s="14" t="str">
        <f t="shared" si="161"/>
        <v/>
      </c>
      <c r="R547" s="1" t="str">
        <f t="shared" si="162"/>
        <v/>
      </c>
      <c r="S547" s="14" t="str" cm="1">
        <f t="array" ref="S547">IF($A547="","",SUMPRODUCT((TRIM(tblDados[Mandante])=$A547)*tblDados[Primeira_Ocorrencia]*tblDados[GM_M]))</f>
        <v/>
      </c>
      <c r="T547" s="14" t="str" cm="1">
        <f t="array" ref="T547">IF($A547="","",SUMPRODUCT((TRIM(tblDados[Visitante])=$A547)*tblDados[Primeira_Ocorrencia]*tblDados[GM_V]))</f>
        <v/>
      </c>
      <c r="U547" s="14" t="str">
        <f t="shared" si="163"/>
        <v/>
      </c>
      <c r="V547" s="14" t="str">
        <f t="shared" si="152"/>
        <v/>
      </c>
      <c r="W547" s="14" t="str" cm="1">
        <f t="array" ref="W547">IF($A547="","",SUMPRODUCT((TRIM(tblDados[Mandante])=$A547)*tblDados[Primeira_Ocorrencia]*tblDados[GS_M]))</f>
        <v/>
      </c>
      <c r="X547" s="14" t="str" cm="1">
        <f t="array" ref="X547">IF($A547="","",SUMPRODUCT((TRIM(tblDados[Visitante])=$A547)*tblDados[Primeira_Ocorrencia]*tblDados[GS_V]))</f>
        <v/>
      </c>
      <c r="Y547" s="14" t="str">
        <f t="shared" si="164"/>
        <v/>
      </c>
      <c r="Z547" s="14" t="str">
        <f t="shared" si="153"/>
        <v/>
      </c>
      <c r="AA547" s="14" t="str">
        <f t="shared" si="154"/>
        <v/>
      </c>
      <c r="AB547" s="14" t="str">
        <f t="shared" si="155"/>
        <v/>
      </c>
      <c r="AC547" s="14" t="str">
        <f t="shared" si="156"/>
        <v/>
      </c>
      <c r="AD547" s="14" t="str">
        <f t="shared" si="157"/>
        <v/>
      </c>
    </row>
    <row r="548" spans="2:30" x14ac:dyDescent="0.3">
      <c r="B548" s="13" t="str" cm="1">
        <f t="array" ref="B548">IF($A548="","",_xlfn.LET(_xlpm.p,IFERROR(INDEX(tblDados[País],MATCH($A548,TRIM(tblDados[Mandante]),0)),INDEX(tblDados[País],MATCH($A548,TRIM(tblDados[Visitante]),0))),_xlpm.l,IFERROR(INDEX(tblDados[Liga],MATCH($A548,TRIM(tblDados[Mandante]),0)),INDEX(tblDados[Liga],MATCH($A548,TRIM(tblDados[Visitante]),0))),_xlpm.p&amp;" - "&amp;_xlpm.l))</f>
        <v/>
      </c>
      <c r="C548" s="14" t="str">
        <f t="shared" si="158"/>
        <v/>
      </c>
      <c r="D548" s="14" t="str">
        <f t="shared" si="159"/>
        <v/>
      </c>
      <c r="E548" s="15" t="str" cm="1">
        <f t="array" ref="E548">IF($A548="","",SUMPRODUCT((TRIM(tblDados[Mandante])=$A548)*tblDados[Primeira_Ocorrencia]))</f>
        <v/>
      </c>
      <c r="F548" s="15" t="str" cm="1">
        <f t="array" ref="F548">IF($A548="","",SUMPRODUCT((TRIM(tblDados[Visitante])=$A548)*tblDados[Primeira_Ocorrencia]))</f>
        <v/>
      </c>
      <c r="G548" s="15" t="str" cm="1">
        <f t="array" ref="G548">IF($A548="","",SUMPRODUCT((TRIM(tblDados[Mandante])=$A548)*tblDados[Primeira_Ocorrencia])+SUMPRODUCT((TRIM(tblDados[Visitante])=$A548)*tblDados[Primeira_Ocorrencia]))</f>
        <v/>
      </c>
      <c r="H548" s="14" t="str">
        <f t="shared" si="160"/>
        <v/>
      </c>
      <c r="I548" s="14" t="str" cm="1">
        <f t="array" ref="I548">IF($A548="","",_xlfn.LET(_xlpm.p,IFERROR(INDEX(tblDados[País],MATCH($A548,TRIM(tblDados[Mandante]),0)),INDEX(tblDados[País],MATCH($A548,TRIM(tblDados[Visitante]),0))),_xlpm.l,IFERROR(INDEX(tblDados[Liga],MATCH($A548,TRIM(tblDados[Mandante]),0)),INDEX(tblDados[Liga],MATCH($A548,TRIM(tblDados[Visitante]),0))),IFERROR(SUMIFS(Ligas!$D$2:$D$39,Ligas!$H$2:$H$39,_xlpm.p,Ligas!$I$2:$I$39,_xlpm.l),0)))</f>
        <v/>
      </c>
      <c r="J548" s="16" t="str" cm="1">
        <f t="array" ref="J548">IF($A548="","",IFERROR((SUMPRODUCT((TRIM(tblDados[Mandante])=$A548)*tblDados[Primeira_Ocorrencia]*(tblDados[GM_M]=0))+SUMPRODUCT((TRIM(tblDados[Visitante])=$A548)*tblDados[Primeira_Ocorrencia]*(tblDados[GM_V]=0)))/G548,0))</f>
        <v/>
      </c>
      <c r="K548" s="16" t="str" cm="1">
        <f t="array" ref="K548">IF($A548="","",IFERROR((SUMPRODUCT((TRIM(tblDados[Mandante])=$A548)*tblDados[Primeira_Ocorrencia]*((tblDados[GM_M]+tblDados[GS_M])&gt;0.5))+SUMPRODUCT((TRIM(tblDados[Visitante])=$A548)*tblDados[Primeira_Ocorrencia]*((tblDados[GM_V]+tblDados[GS_V])&gt;0.5)))/G548,0))</f>
        <v/>
      </c>
      <c r="L548" s="16" t="str" cm="1">
        <f t="array" ref="L548">IF($A548="","",IFERROR((SUMPRODUCT((TRIM(tblDados[Mandante])=$A548)*tblDados[Primeira_Ocorrencia]*((tblDados[GM_M]+tblDados[GS_M])&gt;1.5))+SUMPRODUCT((TRIM(tblDados[Visitante])=$A548)*tblDados[Primeira_Ocorrencia]*((tblDados[GM_V]+tblDados[GS_V])&gt;1.5)))/G548,0))</f>
        <v/>
      </c>
      <c r="M548" s="16" t="str" cm="1">
        <f t="array" ref="M548">IF($A548="","",IFERROR((SUMPRODUCT((TRIM(tblDados[Mandante])=$A548)*tblDados[Primeira_Ocorrencia]*((tblDados[GM_M]+tblDados[GS_M])&gt;2.5))+SUMPRODUCT((TRIM(tblDados[Visitante])=$A548)*tblDados[Primeira_Ocorrencia]*((tblDados[GM_V]+tblDados[GS_V])&gt;2.5)))/G548,0))</f>
        <v/>
      </c>
      <c r="N548" s="16" t="str" cm="1">
        <f t="array" ref="N548">IF($A548="","",IFERROR((SUMPRODUCT((TRIM(tblDados[Mandante])=$A548)*tblDados[Primeira_Ocorrencia]*((tblDados[GM_M]+tblDados[GS_M])&gt;3.5))+SUMPRODUCT((TRIM(tblDados[Visitante])=$A548)*tblDados[Primeira_Ocorrencia]*((tblDados[GM_V]+tblDados[GS_V])&gt;3.5)))/G548,0))</f>
        <v/>
      </c>
      <c r="O548" s="16" t="str" cm="1">
        <f t="array" ref="O548">IF($A548="","",IFERROR((SUMPRODUCT((TRIM(tblDados[Mandante])=$A548)*tblDados[Primeira_Ocorrencia]*(tblDados[GM_M]&gt;0)*(tblDados[GS_M]&gt;0))+SUMPRODUCT((TRIM(tblDados[Visitante])=$A548)*tblDados[Primeira_Ocorrencia]*(tblDados[GM_V]&gt;0)*(tblDados[GS_V]&gt;0)))/G548,0))</f>
        <v/>
      </c>
      <c r="P548" s="14" t="str" cm="1">
        <f t="array" ref="P548">IF($A548="","",IFERROR((SUMPRODUCT((TRIM(tblDados[Mandante])=$A548)*tblDados[Primeira_Ocorrencia]*tblDados[GM_M]^2)+SUMPRODUCT((TRIM(tblDados[Visitante])=$A548)*tblDados[Primeira_Ocorrencia]*tblDados[GM_V]^2))/G548-H548^2,0))</f>
        <v/>
      </c>
      <c r="Q548" s="14" t="str">
        <f t="shared" si="161"/>
        <v/>
      </c>
      <c r="R548" s="1" t="str">
        <f t="shared" si="162"/>
        <v/>
      </c>
      <c r="S548" s="14" t="str" cm="1">
        <f t="array" ref="S548">IF($A548="","",SUMPRODUCT((TRIM(tblDados[Mandante])=$A548)*tblDados[Primeira_Ocorrencia]*tblDados[GM_M]))</f>
        <v/>
      </c>
      <c r="T548" s="14" t="str" cm="1">
        <f t="array" ref="T548">IF($A548="","",SUMPRODUCT((TRIM(tblDados[Visitante])=$A548)*tblDados[Primeira_Ocorrencia]*tblDados[GM_V]))</f>
        <v/>
      </c>
      <c r="U548" s="14" t="str">
        <f t="shared" si="163"/>
        <v/>
      </c>
      <c r="V548" s="14" t="str">
        <f t="shared" si="152"/>
        <v/>
      </c>
      <c r="W548" s="14" t="str" cm="1">
        <f t="array" ref="W548">IF($A548="","",SUMPRODUCT((TRIM(tblDados[Mandante])=$A548)*tblDados[Primeira_Ocorrencia]*tblDados[GS_M]))</f>
        <v/>
      </c>
      <c r="X548" s="14" t="str" cm="1">
        <f t="array" ref="X548">IF($A548="","",SUMPRODUCT((TRIM(tblDados[Visitante])=$A548)*tblDados[Primeira_Ocorrencia]*tblDados[GS_V]))</f>
        <v/>
      </c>
      <c r="Y548" s="14" t="str">
        <f t="shared" si="164"/>
        <v/>
      </c>
      <c r="Z548" s="14" t="str">
        <f t="shared" si="153"/>
        <v/>
      </c>
      <c r="AA548" s="14" t="str">
        <f t="shared" si="154"/>
        <v/>
      </c>
      <c r="AB548" s="14" t="str">
        <f t="shared" si="155"/>
        <v/>
      </c>
      <c r="AC548" s="14" t="str">
        <f t="shared" si="156"/>
        <v/>
      </c>
      <c r="AD548" s="14" t="str">
        <f t="shared" si="157"/>
        <v/>
      </c>
    </row>
    <row r="549" spans="2:30" x14ac:dyDescent="0.3">
      <c r="B549" s="13" t="str" cm="1">
        <f t="array" ref="B549">IF($A549="","",_xlfn.LET(_xlpm.p,IFERROR(INDEX(tblDados[País],MATCH($A549,TRIM(tblDados[Mandante]),0)),INDEX(tblDados[País],MATCH($A549,TRIM(tblDados[Visitante]),0))),_xlpm.l,IFERROR(INDEX(tblDados[Liga],MATCH($A549,TRIM(tblDados[Mandante]),0)),INDEX(tblDados[Liga],MATCH($A549,TRIM(tblDados[Visitante]),0))),_xlpm.p&amp;" - "&amp;_xlpm.l))</f>
        <v/>
      </c>
      <c r="C549" s="14" t="str">
        <f t="shared" si="158"/>
        <v/>
      </c>
      <c r="D549" s="14" t="str">
        <f t="shared" si="159"/>
        <v/>
      </c>
      <c r="E549" s="15" t="str" cm="1">
        <f t="array" ref="E549">IF($A549="","",SUMPRODUCT((TRIM(tblDados[Mandante])=$A549)*tblDados[Primeira_Ocorrencia]))</f>
        <v/>
      </c>
      <c r="F549" s="15" t="str" cm="1">
        <f t="array" ref="F549">IF($A549="","",SUMPRODUCT((TRIM(tblDados[Visitante])=$A549)*tblDados[Primeira_Ocorrencia]))</f>
        <v/>
      </c>
      <c r="G549" s="15" t="str" cm="1">
        <f t="array" ref="G549">IF($A549="","",SUMPRODUCT((TRIM(tblDados[Mandante])=$A549)*tblDados[Primeira_Ocorrencia])+SUMPRODUCT((TRIM(tblDados[Visitante])=$A549)*tblDados[Primeira_Ocorrencia]))</f>
        <v/>
      </c>
      <c r="H549" s="14" t="str">
        <f t="shared" si="160"/>
        <v/>
      </c>
      <c r="I549" s="14" t="str" cm="1">
        <f t="array" ref="I549">IF($A549="","",_xlfn.LET(_xlpm.p,IFERROR(INDEX(tblDados[País],MATCH($A549,TRIM(tblDados[Mandante]),0)),INDEX(tblDados[País],MATCH($A549,TRIM(tblDados[Visitante]),0))),_xlpm.l,IFERROR(INDEX(tblDados[Liga],MATCH($A549,TRIM(tblDados[Mandante]),0)),INDEX(tblDados[Liga],MATCH($A549,TRIM(tblDados[Visitante]),0))),IFERROR(SUMIFS(Ligas!$D$2:$D$39,Ligas!$H$2:$H$39,_xlpm.p,Ligas!$I$2:$I$39,_xlpm.l),0)))</f>
        <v/>
      </c>
      <c r="J549" s="16" t="str" cm="1">
        <f t="array" ref="J549">IF($A549="","",IFERROR((SUMPRODUCT((TRIM(tblDados[Mandante])=$A549)*tblDados[Primeira_Ocorrencia]*(tblDados[GM_M]=0))+SUMPRODUCT((TRIM(tblDados[Visitante])=$A549)*tblDados[Primeira_Ocorrencia]*(tblDados[GM_V]=0)))/G549,0))</f>
        <v/>
      </c>
      <c r="K549" s="16" t="str" cm="1">
        <f t="array" ref="K549">IF($A549="","",IFERROR((SUMPRODUCT((TRIM(tblDados[Mandante])=$A549)*tblDados[Primeira_Ocorrencia]*((tblDados[GM_M]+tblDados[GS_M])&gt;0.5))+SUMPRODUCT((TRIM(tblDados[Visitante])=$A549)*tblDados[Primeira_Ocorrencia]*((tblDados[GM_V]+tblDados[GS_V])&gt;0.5)))/G549,0))</f>
        <v/>
      </c>
      <c r="L549" s="16" t="str" cm="1">
        <f t="array" ref="L549">IF($A549="","",IFERROR((SUMPRODUCT((TRIM(tblDados[Mandante])=$A549)*tblDados[Primeira_Ocorrencia]*((tblDados[GM_M]+tblDados[GS_M])&gt;1.5))+SUMPRODUCT((TRIM(tblDados[Visitante])=$A549)*tblDados[Primeira_Ocorrencia]*((tblDados[GM_V]+tblDados[GS_V])&gt;1.5)))/G549,0))</f>
        <v/>
      </c>
      <c r="M549" s="16" t="str" cm="1">
        <f t="array" ref="M549">IF($A549="","",IFERROR((SUMPRODUCT((TRIM(tblDados[Mandante])=$A549)*tblDados[Primeira_Ocorrencia]*((tblDados[GM_M]+tblDados[GS_M])&gt;2.5))+SUMPRODUCT((TRIM(tblDados[Visitante])=$A549)*tblDados[Primeira_Ocorrencia]*((tblDados[GM_V]+tblDados[GS_V])&gt;2.5)))/G549,0))</f>
        <v/>
      </c>
      <c r="N549" s="16" t="str" cm="1">
        <f t="array" ref="N549">IF($A549="","",IFERROR((SUMPRODUCT((TRIM(tblDados[Mandante])=$A549)*tblDados[Primeira_Ocorrencia]*((tblDados[GM_M]+tblDados[GS_M])&gt;3.5))+SUMPRODUCT((TRIM(tblDados[Visitante])=$A549)*tblDados[Primeira_Ocorrencia]*((tblDados[GM_V]+tblDados[GS_V])&gt;3.5)))/G549,0))</f>
        <v/>
      </c>
      <c r="O549" s="16" t="str" cm="1">
        <f t="array" ref="O549">IF($A549="","",IFERROR((SUMPRODUCT((TRIM(tblDados[Mandante])=$A549)*tblDados[Primeira_Ocorrencia]*(tblDados[GM_M]&gt;0)*(tblDados[GS_M]&gt;0))+SUMPRODUCT((TRIM(tblDados[Visitante])=$A549)*tblDados[Primeira_Ocorrencia]*(tblDados[GM_V]&gt;0)*(tblDados[GS_V]&gt;0)))/G549,0))</f>
        <v/>
      </c>
      <c r="P549" s="14" t="str" cm="1">
        <f t="array" ref="P549">IF($A549="","",IFERROR((SUMPRODUCT((TRIM(tblDados[Mandante])=$A549)*tblDados[Primeira_Ocorrencia]*tblDados[GM_M]^2)+SUMPRODUCT((TRIM(tblDados[Visitante])=$A549)*tblDados[Primeira_Ocorrencia]*tblDados[GM_V]^2))/G549-H549^2,0))</f>
        <v/>
      </c>
      <c r="Q549" s="14" t="str">
        <f t="shared" si="161"/>
        <v/>
      </c>
      <c r="R549" s="1" t="str">
        <f t="shared" si="162"/>
        <v/>
      </c>
      <c r="S549" s="14" t="str" cm="1">
        <f t="array" ref="S549">IF($A549="","",SUMPRODUCT((TRIM(tblDados[Mandante])=$A549)*tblDados[Primeira_Ocorrencia]*tblDados[GM_M]))</f>
        <v/>
      </c>
      <c r="T549" s="14" t="str" cm="1">
        <f t="array" ref="T549">IF($A549="","",SUMPRODUCT((TRIM(tblDados[Visitante])=$A549)*tblDados[Primeira_Ocorrencia]*tblDados[GM_V]))</f>
        <v/>
      </c>
      <c r="U549" s="14" t="str">
        <f t="shared" si="163"/>
        <v/>
      </c>
      <c r="V549" s="14" t="str">
        <f t="shared" si="152"/>
        <v/>
      </c>
      <c r="W549" s="14" t="str" cm="1">
        <f t="array" ref="W549">IF($A549="","",SUMPRODUCT((TRIM(tblDados[Mandante])=$A549)*tblDados[Primeira_Ocorrencia]*tblDados[GS_M]))</f>
        <v/>
      </c>
      <c r="X549" s="14" t="str" cm="1">
        <f t="array" ref="X549">IF($A549="","",SUMPRODUCT((TRIM(tblDados[Visitante])=$A549)*tblDados[Primeira_Ocorrencia]*tblDados[GS_V]))</f>
        <v/>
      </c>
      <c r="Y549" s="14" t="str">
        <f t="shared" si="164"/>
        <v/>
      </c>
      <c r="Z549" s="14" t="str">
        <f t="shared" si="153"/>
        <v/>
      </c>
      <c r="AA549" s="14" t="str">
        <f t="shared" si="154"/>
        <v/>
      </c>
      <c r="AB549" s="14" t="str">
        <f t="shared" si="155"/>
        <v/>
      </c>
      <c r="AC549" s="14" t="str">
        <f t="shared" si="156"/>
        <v/>
      </c>
      <c r="AD549" s="14" t="str">
        <f t="shared" si="157"/>
        <v/>
      </c>
    </row>
    <row r="550" spans="2:30" x14ac:dyDescent="0.3">
      <c r="B550" s="13" t="str" cm="1">
        <f t="array" ref="B550">IF($A550="","",_xlfn.LET(_xlpm.p,IFERROR(INDEX(tblDados[País],MATCH($A550,TRIM(tblDados[Mandante]),0)),INDEX(tblDados[País],MATCH($A550,TRIM(tblDados[Visitante]),0))),_xlpm.l,IFERROR(INDEX(tblDados[Liga],MATCH($A550,TRIM(tblDados[Mandante]),0)),INDEX(tblDados[Liga],MATCH($A550,TRIM(tblDados[Visitante]),0))),_xlpm.p&amp;" - "&amp;_xlpm.l))</f>
        <v/>
      </c>
      <c r="C550" s="14" t="str">
        <f t="shared" si="158"/>
        <v/>
      </c>
      <c r="D550" s="14" t="str">
        <f t="shared" si="159"/>
        <v/>
      </c>
      <c r="E550" s="15" t="str" cm="1">
        <f t="array" ref="E550">IF($A550="","",SUMPRODUCT((TRIM(tblDados[Mandante])=$A550)*tblDados[Primeira_Ocorrencia]))</f>
        <v/>
      </c>
      <c r="F550" s="15" t="str" cm="1">
        <f t="array" ref="F550">IF($A550="","",SUMPRODUCT((TRIM(tblDados[Visitante])=$A550)*tblDados[Primeira_Ocorrencia]))</f>
        <v/>
      </c>
      <c r="G550" s="15" t="str" cm="1">
        <f t="array" ref="G550">IF($A550="","",SUMPRODUCT((TRIM(tblDados[Mandante])=$A550)*tblDados[Primeira_Ocorrencia])+SUMPRODUCT((TRIM(tblDados[Visitante])=$A550)*tblDados[Primeira_Ocorrencia]))</f>
        <v/>
      </c>
      <c r="H550" s="14" t="str">
        <f t="shared" si="160"/>
        <v/>
      </c>
      <c r="I550" s="14" t="str" cm="1">
        <f t="array" ref="I550">IF($A550="","",_xlfn.LET(_xlpm.p,IFERROR(INDEX(tblDados[País],MATCH($A550,TRIM(tblDados[Mandante]),0)),INDEX(tblDados[País],MATCH($A550,TRIM(tblDados[Visitante]),0))),_xlpm.l,IFERROR(INDEX(tblDados[Liga],MATCH($A550,TRIM(tblDados[Mandante]),0)),INDEX(tblDados[Liga],MATCH($A550,TRIM(tblDados[Visitante]),0))),IFERROR(SUMIFS(Ligas!$D$2:$D$39,Ligas!$H$2:$H$39,_xlpm.p,Ligas!$I$2:$I$39,_xlpm.l),0)))</f>
        <v/>
      </c>
      <c r="J550" s="16" t="str" cm="1">
        <f t="array" ref="J550">IF($A550="","",IFERROR((SUMPRODUCT((TRIM(tblDados[Mandante])=$A550)*tblDados[Primeira_Ocorrencia]*(tblDados[GM_M]=0))+SUMPRODUCT((TRIM(tblDados[Visitante])=$A550)*tblDados[Primeira_Ocorrencia]*(tblDados[GM_V]=0)))/G550,0))</f>
        <v/>
      </c>
      <c r="K550" s="16" t="str" cm="1">
        <f t="array" ref="K550">IF($A550="","",IFERROR((SUMPRODUCT((TRIM(tblDados[Mandante])=$A550)*tblDados[Primeira_Ocorrencia]*((tblDados[GM_M]+tblDados[GS_M])&gt;0.5))+SUMPRODUCT((TRIM(tblDados[Visitante])=$A550)*tblDados[Primeira_Ocorrencia]*((tblDados[GM_V]+tblDados[GS_V])&gt;0.5)))/G550,0))</f>
        <v/>
      </c>
      <c r="L550" s="16" t="str" cm="1">
        <f t="array" ref="L550">IF($A550="","",IFERROR((SUMPRODUCT((TRIM(tblDados[Mandante])=$A550)*tblDados[Primeira_Ocorrencia]*((tblDados[GM_M]+tblDados[GS_M])&gt;1.5))+SUMPRODUCT((TRIM(tblDados[Visitante])=$A550)*tblDados[Primeira_Ocorrencia]*((tblDados[GM_V]+tblDados[GS_V])&gt;1.5)))/G550,0))</f>
        <v/>
      </c>
      <c r="M550" s="16" t="str" cm="1">
        <f t="array" ref="M550">IF($A550="","",IFERROR((SUMPRODUCT((TRIM(tblDados[Mandante])=$A550)*tblDados[Primeira_Ocorrencia]*((tblDados[GM_M]+tblDados[GS_M])&gt;2.5))+SUMPRODUCT((TRIM(tblDados[Visitante])=$A550)*tblDados[Primeira_Ocorrencia]*((tblDados[GM_V]+tblDados[GS_V])&gt;2.5)))/G550,0))</f>
        <v/>
      </c>
      <c r="N550" s="16" t="str" cm="1">
        <f t="array" ref="N550">IF($A550="","",IFERROR((SUMPRODUCT((TRIM(tblDados[Mandante])=$A550)*tblDados[Primeira_Ocorrencia]*((tblDados[GM_M]+tblDados[GS_M])&gt;3.5))+SUMPRODUCT((TRIM(tblDados[Visitante])=$A550)*tblDados[Primeira_Ocorrencia]*((tblDados[GM_V]+tblDados[GS_V])&gt;3.5)))/G550,0))</f>
        <v/>
      </c>
      <c r="O550" s="16" t="str" cm="1">
        <f t="array" ref="O550">IF($A550="","",IFERROR((SUMPRODUCT((TRIM(tblDados[Mandante])=$A550)*tblDados[Primeira_Ocorrencia]*(tblDados[GM_M]&gt;0)*(tblDados[GS_M]&gt;0))+SUMPRODUCT((TRIM(tblDados[Visitante])=$A550)*tblDados[Primeira_Ocorrencia]*(tblDados[GM_V]&gt;0)*(tblDados[GS_V]&gt;0)))/G550,0))</f>
        <v/>
      </c>
      <c r="P550" s="14" t="str" cm="1">
        <f t="array" ref="P550">IF($A550="","",IFERROR((SUMPRODUCT((TRIM(tblDados[Mandante])=$A550)*tblDados[Primeira_Ocorrencia]*tblDados[GM_M]^2)+SUMPRODUCT((TRIM(tblDados[Visitante])=$A550)*tblDados[Primeira_Ocorrencia]*tblDados[GM_V]^2))/G550-H550^2,0))</f>
        <v/>
      </c>
      <c r="Q550" s="14" t="str">
        <f t="shared" si="161"/>
        <v/>
      </c>
      <c r="R550" s="1" t="str">
        <f t="shared" si="162"/>
        <v/>
      </c>
      <c r="S550" s="14" t="str" cm="1">
        <f t="array" ref="S550">IF($A550="","",SUMPRODUCT((TRIM(tblDados[Mandante])=$A550)*tblDados[Primeira_Ocorrencia]*tblDados[GM_M]))</f>
        <v/>
      </c>
      <c r="T550" s="14" t="str" cm="1">
        <f t="array" ref="T550">IF($A550="","",SUMPRODUCT((TRIM(tblDados[Visitante])=$A550)*tblDados[Primeira_Ocorrencia]*tblDados[GM_V]))</f>
        <v/>
      </c>
      <c r="U550" s="14" t="str">
        <f t="shared" si="163"/>
        <v/>
      </c>
      <c r="V550" s="14" t="str">
        <f t="shared" si="152"/>
        <v/>
      </c>
      <c r="W550" s="14" t="str" cm="1">
        <f t="array" ref="W550">IF($A550="","",SUMPRODUCT((TRIM(tblDados[Mandante])=$A550)*tblDados[Primeira_Ocorrencia]*tblDados[GS_M]))</f>
        <v/>
      </c>
      <c r="X550" s="14" t="str" cm="1">
        <f t="array" ref="X550">IF($A550="","",SUMPRODUCT((TRIM(tblDados[Visitante])=$A550)*tblDados[Primeira_Ocorrencia]*tblDados[GS_V]))</f>
        <v/>
      </c>
      <c r="Y550" s="14" t="str">
        <f t="shared" si="164"/>
        <v/>
      </c>
      <c r="Z550" s="14" t="str">
        <f t="shared" si="153"/>
        <v/>
      </c>
      <c r="AA550" s="14" t="str">
        <f t="shared" si="154"/>
        <v/>
      </c>
      <c r="AB550" s="14" t="str">
        <f t="shared" si="155"/>
        <v/>
      </c>
      <c r="AC550" s="14" t="str">
        <f t="shared" si="156"/>
        <v/>
      </c>
      <c r="AD550" s="14" t="str">
        <f t="shared" si="157"/>
        <v/>
      </c>
    </row>
    <row r="551" spans="2:30" x14ac:dyDescent="0.3">
      <c r="B551" s="13" t="str" cm="1">
        <f t="array" ref="B551">IF($A551="","",_xlfn.LET(_xlpm.p,IFERROR(INDEX(tblDados[País],MATCH($A551,TRIM(tblDados[Mandante]),0)),INDEX(tblDados[País],MATCH($A551,TRIM(tblDados[Visitante]),0))),_xlpm.l,IFERROR(INDEX(tblDados[Liga],MATCH($A551,TRIM(tblDados[Mandante]),0)),INDEX(tblDados[Liga],MATCH($A551,TRIM(tblDados[Visitante]),0))),_xlpm.p&amp;" - "&amp;_xlpm.l))</f>
        <v/>
      </c>
      <c r="C551" s="14" t="str">
        <f t="shared" si="158"/>
        <v/>
      </c>
      <c r="D551" s="14" t="str">
        <f t="shared" si="159"/>
        <v/>
      </c>
      <c r="E551" s="15" t="str" cm="1">
        <f t="array" ref="E551">IF($A551="","",SUMPRODUCT((TRIM(tblDados[Mandante])=$A551)*tblDados[Primeira_Ocorrencia]))</f>
        <v/>
      </c>
      <c r="F551" s="15" t="str" cm="1">
        <f t="array" ref="F551">IF($A551="","",SUMPRODUCT((TRIM(tblDados[Visitante])=$A551)*tblDados[Primeira_Ocorrencia]))</f>
        <v/>
      </c>
      <c r="G551" s="15" t="str" cm="1">
        <f t="array" ref="G551">IF($A551="","",SUMPRODUCT((TRIM(tblDados[Mandante])=$A551)*tblDados[Primeira_Ocorrencia])+SUMPRODUCT((TRIM(tblDados[Visitante])=$A551)*tblDados[Primeira_Ocorrencia]))</f>
        <v/>
      </c>
      <c r="H551" s="14" t="str">
        <f t="shared" si="160"/>
        <v/>
      </c>
      <c r="I551" s="14" t="str" cm="1">
        <f t="array" ref="I551">IF($A551="","",_xlfn.LET(_xlpm.p,IFERROR(INDEX(tblDados[País],MATCH($A551,TRIM(tblDados[Mandante]),0)),INDEX(tblDados[País],MATCH($A551,TRIM(tblDados[Visitante]),0))),_xlpm.l,IFERROR(INDEX(tblDados[Liga],MATCH($A551,TRIM(tblDados[Mandante]),0)),INDEX(tblDados[Liga],MATCH($A551,TRIM(tblDados[Visitante]),0))),IFERROR(SUMIFS(Ligas!$D$2:$D$39,Ligas!$H$2:$H$39,_xlpm.p,Ligas!$I$2:$I$39,_xlpm.l),0)))</f>
        <v/>
      </c>
      <c r="J551" s="16" t="str" cm="1">
        <f t="array" ref="J551">IF($A551="","",IFERROR((SUMPRODUCT((TRIM(tblDados[Mandante])=$A551)*tblDados[Primeira_Ocorrencia]*(tblDados[GM_M]=0))+SUMPRODUCT((TRIM(tblDados[Visitante])=$A551)*tblDados[Primeira_Ocorrencia]*(tblDados[GM_V]=0)))/G551,0))</f>
        <v/>
      </c>
      <c r="K551" s="16" t="str" cm="1">
        <f t="array" ref="K551">IF($A551="","",IFERROR((SUMPRODUCT((TRIM(tblDados[Mandante])=$A551)*tblDados[Primeira_Ocorrencia]*((tblDados[GM_M]+tblDados[GS_M])&gt;0.5))+SUMPRODUCT((TRIM(tblDados[Visitante])=$A551)*tblDados[Primeira_Ocorrencia]*((tblDados[GM_V]+tblDados[GS_V])&gt;0.5)))/G551,0))</f>
        <v/>
      </c>
      <c r="L551" s="16" t="str" cm="1">
        <f t="array" ref="L551">IF($A551="","",IFERROR((SUMPRODUCT((TRIM(tblDados[Mandante])=$A551)*tblDados[Primeira_Ocorrencia]*((tblDados[GM_M]+tblDados[GS_M])&gt;1.5))+SUMPRODUCT((TRIM(tblDados[Visitante])=$A551)*tblDados[Primeira_Ocorrencia]*((tblDados[GM_V]+tblDados[GS_V])&gt;1.5)))/G551,0))</f>
        <v/>
      </c>
      <c r="M551" s="16" t="str" cm="1">
        <f t="array" ref="M551">IF($A551="","",IFERROR((SUMPRODUCT((TRIM(tblDados[Mandante])=$A551)*tblDados[Primeira_Ocorrencia]*((tblDados[GM_M]+tblDados[GS_M])&gt;2.5))+SUMPRODUCT((TRIM(tblDados[Visitante])=$A551)*tblDados[Primeira_Ocorrencia]*((tblDados[GM_V]+tblDados[GS_V])&gt;2.5)))/G551,0))</f>
        <v/>
      </c>
      <c r="N551" s="16" t="str" cm="1">
        <f t="array" ref="N551">IF($A551="","",IFERROR((SUMPRODUCT((TRIM(tblDados[Mandante])=$A551)*tblDados[Primeira_Ocorrencia]*((tblDados[GM_M]+tblDados[GS_M])&gt;3.5))+SUMPRODUCT((TRIM(tblDados[Visitante])=$A551)*tblDados[Primeira_Ocorrencia]*((tblDados[GM_V]+tblDados[GS_V])&gt;3.5)))/G551,0))</f>
        <v/>
      </c>
      <c r="O551" s="16" t="str" cm="1">
        <f t="array" ref="O551">IF($A551="","",IFERROR((SUMPRODUCT((TRIM(tblDados[Mandante])=$A551)*tblDados[Primeira_Ocorrencia]*(tblDados[GM_M]&gt;0)*(tblDados[GS_M]&gt;0))+SUMPRODUCT((TRIM(tblDados[Visitante])=$A551)*tblDados[Primeira_Ocorrencia]*(tblDados[GM_V]&gt;0)*(tblDados[GS_V]&gt;0)))/G551,0))</f>
        <v/>
      </c>
      <c r="P551" s="14" t="str" cm="1">
        <f t="array" ref="P551">IF($A551="","",IFERROR((SUMPRODUCT((TRIM(tblDados[Mandante])=$A551)*tblDados[Primeira_Ocorrencia]*tblDados[GM_M]^2)+SUMPRODUCT((TRIM(tblDados[Visitante])=$A551)*tblDados[Primeira_Ocorrencia]*tblDados[GM_V]^2))/G551-H551^2,0))</f>
        <v/>
      </c>
      <c r="Q551" s="14" t="str">
        <f t="shared" si="161"/>
        <v/>
      </c>
      <c r="R551" s="1" t="str">
        <f t="shared" si="162"/>
        <v/>
      </c>
      <c r="S551" s="14" t="str" cm="1">
        <f t="array" ref="S551">IF($A551="","",SUMPRODUCT((TRIM(tblDados[Mandante])=$A551)*tblDados[Primeira_Ocorrencia]*tblDados[GM_M]))</f>
        <v/>
      </c>
      <c r="T551" s="14" t="str" cm="1">
        <f t="array" ref="T551">IF($A551="","",SUMPRODUCT((TRIM(tblDados[Visitante])=$A551)*tblDados[Primeira_Ocorrencia]*tblDados[GM_V]))</f>
        <v/>
      </c>
      <c r="U551" s="14" t="str">
        <f t="shared" si="163"/>
        <v/>
      </c>
      <c r="V551" s="14" t="str">
        <f t="shared" si="152"/>
        <v/>
      </c>
      <c r="W551" s="14" t="str" cm="1">
        <f t="array" ref="W551">IF($A551="","",SUMPRODUCT((TRIM(tblDados[Mandante])=$A551)*tblDados[Primeira_Ocorrencia]*tblDados[GS_M]))</f>
        <v/>
      </c>
      <c r="X551" s="14" t="str" cm="1">
        <f t="array" ref="X551">IF($A551="","",SUMPRODUCT((TRIM(tblDados[Visitante])=$A551)*tblDados[Primeira_Ocorrencia]*tblDados[GS_V]))</f>
        <v/>
      </c>
      <c r="Y551" s="14" t="str">
        <f t="shared" si="164"/>
        <v/>
      </c>
      <c r="Z551" s="14" t="str">
        <f t="shared" si="153"/>
        <v/>
      </c>
      <c r="AA551" s="14" t="str">
        <f t="shared" si="154"/>
        <v/>
      </c>
      <c r="AB551" s="14" t="str">
        <f t="shared" si="155"/>
        <v/>
      </c>
      <c r="AC551" s="14" t="str">
        <f t="shared" si="156"/>
        <v/>
      </c>
      <c r="AD551" s="14" t="str">
        <f t="shared" si="157"/>
        <v/>
      </c>
    </row>
    <row r="552" spans="2:30" x14ac:dyDescent="0.3">
      <c r="B552" s="13" t="str" cm="1">
        <f t="array" ref="B552">IF($A552="","",_xlfn.LET(_xlpm.p,IFERROR(INDEX(tblDados[País],MATCH($A552,TRIM(tblDados[Mandante]),0)),INDEX(tblDados[País],MATCH($A552,TRIM(tblDados[Visitante]),0))),_xlpm.l,IFERROR(INDEX(tblDados[Liga],MATCH($A552,TRIM(tblDados[Mandante]),0)),INDEX(tblDados[Liga],MATCH($A552,TRIM(tblDados[Visitante]),0))),_xlpm.p&amp;" - "&amp;_xlpm.l))</f>
        <v/>
      </c>
      <c r="C552" s="14" t="str">
        <f t="shared" si="158"/>
        <v/>
      </c>
      <c r="D552" s="14" t="str">
        <f t="shared" si="159"/>
        <v/>
      </c>
      <c r="E552" s="15" t="str" cm="1">
        <f t="array" ref="E552">IF($A552="","",SUMPRODUCT((TRIM(tblDados[Mandante])=$A552)*tblDados[Primeira_Ocorrencia]))</f>
        <v/>
      </c>
      <c r="F552" s="15" t="str" cm="1">
        <f t="array" ref="F552">IF($A552="","",SUMPRODUCT((TRIM(tblDados[Visitante])=$A552)*tblDados[Primeira_Ocorrencia]))</f>
        <v/>
      </c>
      <c r="G552" s="15" t="str" cm="1">
        <f t="array" ref="G552">IF($A552="","",SUMPRODUCT((TRIM(tblDados[Mandante])=$A552)*tblDados[Primeira_Ocorrencia])+SUMPRODUCT((TRIM(tblDados[Visitante])=$A552)*tblDados[Primeira_Ocorrencia]))</f>
        <v/>
      </c>
      <c r="H552" s="14" t="str">
        <f t="shared" si="160"/>
        <v/>
      </c>
      <c r="I552" s="14" t="str" cm="1">
        <f t="array" ref="I552">IF($A552="","",_xlfn.LET(_xlpm.p,IFERROR(INDEX(tblDados[País],MATCH($A552,TRIM(tblDados[Mandante]),0)),INDEX(tblDados[País],MATCH($A552,TRIM(tblDados[Visitante]),0))),_xlpm.l,IFERROR(INDEX(tblDados[Liga],MATCH($A552,TRIM(tblDados[Mandante]),0)),INDEX(tblDados[Liga],MATCH($A552,TRIM(tblDados[Visitante]),0))),IFERROR(SUMIFS(Ligas!$D$2:$D$39,Ligas!$H$2:$H$39,_xlpm.p,Ligas!$I$2:$I$39,_xlpm.l),0)))</f>
        <v/>
      </c>
      <c r="J552" s="16" t="str" cm="1">
        <f t="array" ref="J552">IF($A552="","",IFERROR((SUMPRODUCT((TRIM(tblDados[Mandante])=$A552)*tblDados[Primeira_Ocorrencia]*(tblDados[GM_M]=0))+SUMPRODUCT((TRIM(tblDados[Visitante])=$A552)*tblDados[Primeira_Ocorrencia]*(tblDados[GM_V]=0)))/G552,0))</f>
        <v/>
      </c>
      <c r="K552" s="16" t="str" cm="1">
        <f t="array" ref="K552">IF($A552="","",IFERROR((SUMPRODUCT((TRIM(tblDados[Mandante])=$A552)*tblDados[Primeira_Ocorrencia]*((tblDados[GM_M]+tblDados[GS_M])&gt;0.5))+SUMPRODUCT((TRIM(tblDados[Visitante])=$A552)*tblDados[Primeira_Ocorrencia]*((tblDados[GM_V]+tblDados[GS_V])&gt;0.5)))/G552,0))</f>
        <v/>
      </c>
      <c r="L552" s="16" t="str" cm="1">
        <f t="array" ref="L552">IF($A552="","",IFERROR((SUMPRODUCT((TRIM(tblDados[Mandante])=$A552)*tblDados[Primeira_Ocorrencia]*((tblDados[GM_M]+tblDados[GS_M])&gt;1.5))+SUMPRODUCT((TRIM(tblDados[Visitante])=$A552)*tblDados[Primeira_Ocorrencia]*((tblDados[GM_V]+tblDados[GS_V])&gt;1.5)))/G552,0))</f>
        <v/>
      </c>
      <c r="M552" s="16" t="str" cm="1">
        <f t="array" ref="M552">IF($A552="","",IFERROR((SUMPRODUCT((TRIM(tblDados[Mandante])=$A552)*tblDados[Primeira_Ocorrencia]*((tblDados[GM_M]+tblDados[GS_M])&gt;2.5))+SUMPRODUCT((TRIM(tblDados[Visitante])=$A552)*tblDados[Primeira_Ocorrencia]*((tblDados[GM_V]+tblDados[GS_V])&gt;2.5)))/G552,0))</f>
        <v/>
      </c>
      <c r="N552" s="16" t="str" cm="1">
        <f t="array" ref="N552">IF($A552="","",IFERROR((SUMPRODUCT((TRIM(tblDados[Mandante])=$A552)*tblDados[Primeira_Ocorrencia]*((tblDados[GM_M]+tblDados[GS_M])&gt;3.5))+SUMPRODUCT((TRIM(tblDados[Visitante])=$A552)*tblDados[Primeira_Ocorrencia]*((tblDados[GM_V]+tblDados[GS_V])&gt;3.5)))/G552,0))</f>
        <v/>
      </c>
      <c r="O552" s="16" t="str" cm="1">
        <f t="array" ref="O552">IF($A552="","",IFERROR((SUMPRODUCT((TRIM(tblDados[Mandante])=$A552)*tblDados[Primeira_Ocorrencia]*(tblDados[GM_M]&gt;0)*(tblDados[GS_M]&gt;0))+SUMPRODUCT((TRIM(tblDados[Visitante])=$A552)*tblDados[Primeira_Ocorrencia]*(tblDados[GM_V]&gt;0)*(tblDados[GS_V]&gt;0)))/G552,0))</f>
        <v/>
      </c>
      <c r="P552" s="14" t="str" cm="1">
        <f t="array" ref="P552">IF($A552="","",IFERROR((SUMPRODUCT((TRIM(tblDados[Mandante])=$A552)*tblDados[Primeira_Ocorrencia]*tblDados[GM_M]^2)+SUMPRODUCT((TRIM(tblDados[Visitante])=$A552)*tblDados[Primeira_Ocorrencia]*tblDados[GM_V]^2))/G552-H552^2,0))</f>
        <v/>
      </c>
      <c r="Q552" s="14" t="str">
        <f t="shared" si="161"/>
        <v/>
      </c>
      <c r="R552" s="1" t="str">
        <f t="shared" si="162"/>
        <v/>
      </c>
      <c r="S552" s="14" t="str" cm="1">
        <f t="array" ref="S552">IF($A552="","",SUMPRODUCT((TRIM(tblDados[Mandante])=$A552)*tblDados[Primeira_Ocorrencia]*tblDados[GM_M]))</f>
        <v/>
      </c>
      <c r="T552" s="14" t="str" cm="1">
        <f t="array" ref="T552">IF($A552="","",SUMPRODUCT((TRIM(tblDados[Visitante])=$A552)*tblDados[Primeira_Ocorrencia]*tblDados[GM_V]))</f>
        <v/>
      </c>
      <c r="U552" s="14" t="str">
        <f t="shared" si="163"/>
        <v/>
      </c>
      <c r="V552" s="14" t="str">
        <f t="shared" si="152"/>
        <v/>
      </c>
      <c r="W552" s="14" t="str" cm="1">
        <f t="array" ref="W552">IF($A552="","",SUMPRODUCT((TRIM(tblDados[Mandante])=$A552)*tblDados[Primeira_Ocorrencia]*tblDados[GS_M]))</f>
        <v/>
      </c>
      <c r="X552" s="14" t="str" cm="1">
        <f t="array" ref="X552">IF($A552="","",SUMPRODUCT((TRIM(tblDados[Visitante])=$A552)*tblDados[Primeira_Ocorrencia]*tblDados[GS_V]))</f>
        <v/>
      </c>
      <c r="Y552" s="14" t="str">
        <f t="shared" si="164"/>
        <v/>
      </c>
      <c r="Z552" s="14" t="str">
        <f t="shared" si="153"/>
        <v/>
      </c>
      <c r="AA552" s="14" t="str">
        <f t="shared" si="154"/>
        <v/>
      </c>
      <c r="AB552" s="14" t="str">
        <f t="shared" si="155"/>
        <v/>
      </c>
      <c r="AC552" s="14" t="str">
        <f t="shared" si="156"/>
        <v/>
      </c>
      <c r="AD552" s="14" t="str">
        <f t="shared" si="157"/>
        <v/>
      </c>
    </row>
    <row r="553" spans="2:30" x14ac:dyDescent="0.3">
      <c r="B553" s="13" t="str" cm="1">
        <f t="array" ref="B553">IF($A553="","",_xlfn.LET(_xlpm.p,IFERROR(INDEX(tblDados[País],MATCH($A553,TRIM(tblDados[Mandante]),0)),INDEX(tblDados[País],MATCH($A553,TRIM(tblDados[Visitante]),0))),_xlpm.l,IFERROR(INDEX(tblDados[Liga],MATCH($A553,TRIM(tblDados[Mandante]),0)),INDEX(tblDados[Liga],MATCH($A553,TRIM(tblDados[Visitante]),0))),_xlpm.p&amp;" - "&amp;_xlpm.l))</f>
        <v/>
      </c>
      <c r="C553" s="14" t="str">
        <f t="shared" si="158"/>
        <v/>
      </c>
      <c r="D553" s="14" t="str">
        <f t="shared" si="159"/>
        <v/>
      </c>
      <c r="E553" s="15" t="str" cm="1">
        <f t="array" ref="E553">IF($A553="","",SUMPRODUCT((TRIM(tblDados[Mandante])=$A553)*tblDados[Primeira_Ocorrencia]))</f>
        <v/>
      </c>
      <c r="F553" s="15" t="str" cm="1">
        <f t="array" ref="F553">IF($A553="","",SUMPRODUCT((TRIM(tblDados[Visitante])=$A553)*tblDados[Primeira_Ocorrencia]))</f>
        <v/>
      </c>
      <c r="G553" s="15" t="str" cm="1">
        <f t="array" ref="G553">IF($A553="","",SUMPRODUCT((TRIM(tblDados[Mandante])=$A553)*tblDados[Primeira_Ocorrencia])+SUMPRODUCT((TRIM(tblDados[Visitante])=$A553)*tblDados[Primeira_Ocorrencia]))</f>
        <v/>
      </c>
      <c r="H553" s="14" t="str">
        <f t="shared" si="160"/>
        <v/>
      </c>
      <c r="I553" s="14" t="str" cm="1">
        <f t="array" ref="I553">IF($A553="","",_xlfn.LET(_xlpm.p,IFERROR(INDEX(tblDados[País],MATCH($A553,TRIM(tblDados[Mandante]),0)),INDEX(tblDados[País],MATCH($A553,TRIM(tblDados[Visitante]),0))),_xlpm.l,IFERROR(INDEX(tblDados[Liga],MATCH($A553,TRIM(tblDados[Mandante]),0)),INDEX(tblDados[Liga],MATCH($A553,TRIM(tblDados[Visitante]),0))),IFERROR(SUMIFS(Ligas!$D$2:$D$39,Ligas!$H$2:$H$39,_xlpm.p,Ligas!$I$2:$I$39,_xlpm.l),0)))</f>
        <v/>
      </c>
      <c r="J553" s="16" t="str" cm="1">
        <f t="array" ref="J553">IF($A553="","",IFERROR((SUMPRODUCT((TRIM(tblDados[Mandante])=$A553)*tblDados[Primeira_Ocorrencia]*(tblDados[GM_M]=0))+SUMPRODUCT((TRIM(tblDados[Visitante])=$A553)*tblDados[Primeira_Ocorrencia]*(tblDados[GM_V]=0)))/G553,0))</f>
        <v/>
      </c>
      <c r="K553" s="16" t="str" cm="1">
        <f t="array" ref="K553">IF($A553="","",IFERROR((SUMPRODUCT((TRIM(tblDados[Mandante])=$A553)*tblDados[Primeira_Ocorrencia]*((tblDados[GM_M]+tblDados[GS_M])&gt;0.5))+SUMPRODUCT((TRIM(tblDados[Visitante])=$A553)*tblDados[Primeira_Ocorrencia]*((tblDados[GM_V]+tblDados[GS_V])&gt;0.5)))/G553,0))</f>
        <v/>
      </c>
      <c r="L553" s="16" t="str" cm="1">
        <f t="array" ref="L553">IF($A553="","",IFERROR((SUMPRODUCT((TRIM(tblDados[Mandante])=$A553)*tblDados[Primeira_Ocorrencia]*((tblDados[GM_M]+tblDados[GS_M])&gt;1.5))+SUMPRODUCT((TRIM(tblDados[Visitante])=$A553)*tblDados[Primeira_Ocorrencia]*((tblDados[GM_V]+tblDados[GS_V])&gt;1.5)))/G553,0))</f>
        <v/>
      </c>
      <c r="M553" s="16" t="str" cm="1">
        <f t="array" ref="M553">IF($A553="","",IFERROR((SUMPRODUCT((TRIM(tblDados[Mandante])=$A553)*tblDados[Primeira_Ocorrencia]*((tblDados[GM_M]+tblDados[GS_M])&gt;2.5))+SUMPRODUCT((TRIM(tblDados[Visitante])=$A553)*tblDados[Primeira_Ocorrencia]*((tblDados[GM_V]+tblDados[GS_V])&gt;2.5)))/G553,0))</f>
        <v/>
      </c>
      <c r="N553" s="16" t="str" cm="1">
        <f t="array" ref="N553">IF($A553="","",IFERROR((SUMPRODUCT((TRIM(tblDados[Mandante])=$A553)*tblDados[Primeira_Ocorrencia]*((tblDados[GM_M]+tblDados[GS_M])&gt;3.5))+SUMPRODUCT((TRIM(tblDados[Visitante])=$A553)*tblDados[Primeira_Ocorrencia]*((tblDados[GM_V]+tblDados[GS_V])&gt;3.5)))/G553,0))</f>
        <v/>
      </c>
      <c r="O553" s="16" t="str" cm="1">
        <f t="array" ref="O553">IF($A553="","",IFERROR((SUMPRODUCT((TRIM(tblDados[Mandante])=$A553)*tblDados[Primeira_Ocorrencia]*(tblDados[GM_M]&gt;0)*(tblDados[GS_M]&gt;0))+SUMPRODUCT((TRIM(tblDados[Visitante])=$A553)*tblDados[Primeira_Ocorrencia]*(tblDados[GM_V]&gt;0)*(tblDados[GS_V]&gt;0)))/G553,0))</f>
        <v/>
      </c>
      <c r="P553" s="14" t="str" cm="1">
        <f t="array" ref="P553">IF($A553="","",IFERROR((SUMPRODUCT((TRIM(tblDados[Mandante])=$A553)*tblDados[Primeira_Ocorrencia]*tblDados[GM_M]^2)+SUMPRODUCT((TRIM(tblDados[Visitante])=$A553)*tblDados[Primeira_Ocorrencia]*tblDados[GM_V]^2))/G553-H553^2,0))</f>
        <v/>
      </c>
      <c r="Q553" s="14" t="str">
        <f t="shared" si="161"/>
        <v/>
      </c>
      <c r="R553" s="1" t="str">
        <f t="shared" si="162"/>
        <v/>
      </c>
      <c r="S553" s="14" t="str" cm="1">
        <f t="array" ref="S553">IF($A553="","",SUMPRODUCT((TRIM(tblDados[Mandante])=$A553)*tblDados[Primeira_Ocorrencia]*tblDados[GM_M]))</f>
        <v/>
      </c>
      <c r="T553" s="14" t="str" cm="1">
        <f t="array" ref="T553">IF($A553="","",SUMPRODUCT((TRIM(tblDados[Visitante])=$A553)*tblDados[Primeira_Ocorrencia]*tblDados[GM_V]))</f>
        <v/>
      </c>
      <c r="U553" s="14" t="str">
        <f t="shared" si="163"/>
        <v/>
      </c>
      <c r="V553" s="14" t="str">
        <f t="shared" si="152"/>
        <v/>
      </c>
      <c r="W553" s="14" t="str" cm="1">
        <f t="array" ref="W553">IF($A553="","",SUMPRODUCT((TRIM(tblDados[Mandante])=$A553)*tblDados[Primeira_Ocorrencia]*tblDados[GS_M]))</f>
        <v/>
      </c>
      <c r="X553" s="14" t="str" cm="1">
        <f t="array" ref="X553">IF($A553="","",SUMPRODUCT((TRIM(tblDados[Visitante])=$A553)*tblDados[Primeira_Ocorrencia]*tblDados[GS_V]))</f>
        <v/>
      </c>
      <c r="Y553" s="14" t="str">
        <f t="shared" si="164"/>
        <v/>
      </c>
      <c r="Z553" s="14" t="str">
        <f t="shared" si="153"/>
        <v/>
      </c>
      <c r="AA553" s="14" t="str">
        <f t="shared" si="154"/>
        <v/>
      </c>
      <c r="AB553" s="14" t="str">
        <f t="shared" si="155"/>
        <v/>
      </c>
      <c r="AC553" s="14" t="str">
        <f t="shared" si="156"/>
        <v/>
      </c>
      <c r="AD553" s="14" t="str">
        <f t="shared" si="157"/>
        <v/>
      </c>
    </row>
    <row r="554" spans="2:30" x14ac:dyDescent="0.3">
      <c r="B554" s="13" t="str" cm="1">
        <f t="array" ref="B554">IF($A554="","",_xlfn.LET(_xlpm.p,IFERROR(INDEX(tblDados[País],MATCH($A554,TRIM(tblDados[Mandante]),0)),INDEX(tblDados[País],MATCH($A554,TRIM(tblDados[Visitante]),0))),_xlpm.l,IFERROR(INDEX(tblDados[Liga],MATCH($A554,TRIM(tblDados[Mandante]),0)),INDEX(tblDados[Liga],MATCH($A554,TRIM(tblDados[Visitante]),0))),_xlpm.p&amp;" - "&amp;_xlpm.l))</f>
        <v/>
      </c>
      <c r="C554" s="14" t="str">
        <f t="shared" si="158"/>
        <v/>
      </c>
      <c r="D554" s="14" t="str">
        <f t="shared" si="159"/>
        <v/>
      </c>
      <c r="E554" s="15" t="str" cm="1">
        <f t="array" ref="E554">IF($A554="","",SUMPRODUCT((TRIM(tblDados[Mandante])=$A554)*tblDados[Primeira_Ocorrencia]))</f>
        <v/>
      </c>
      <c r="F554" s="15" t="str" cm="1">
        <f t="array" ref="F554">IF($A554="","",SUMPRODUCT((TRIM(tblDados[Visitante])=$A554)*tblDados[Primeira_Ocorrencia]))</f>
        <v/>
      </c>
      <c r="G554" s="15" t="str" cm="1">
        <f t="array" ref="G554">IF($A554="","",SUMPRODUCT((TRIM(tblDados[Mandante])=$A554)*tblDados[Primeira_Ocorrencia])+SUMPRODUCT((TRIM(tblDados[Visitante])=$A554)*tblDados[Primeira_Ocorrencia]))</f>
        <v/>
      </c>
      <c r="H554" s="14" t="str">
        <f t="shared" si="160"/>
        <v/>
      </c>
      <c r="I554" s="14" t="str" cm="1">
        <f t="array" ref="I554">IF($A554="","",_xlfn.LET(_xlpm.p,IFERROR(INDEX(tblDados[País],MATCH($A554,TRIM(tblDados[Mandante]),0)),INDEX(tblDados[País],MATCH($A554,TRIM(tblDados[Visitante]),0))),_xlpm.l,IFERROR(INDEX(tblDados[Liga],MATCH($A554,TRIM(tblDados[Mandante]),0)),INDEX(tblDados[Liga],MATCH($A554,TRIM(tblDados[Visitante]),0))),IFERROR(SUMIFS(Ligas!$D$2:$D$39,Ligas!$H$2:$H$39,_xlpm.p,Ligas!$I$2:$I$39,_xlpm.l),0)))</f>
        <v/>
      </c>
      <c r="J554" s="16" t="str" cm="1">
        <f t="array" ref="J554">IF($A554="","",IFERROR((SUMPRODUCT((TRIM(tblDados[Mandante])=$A554)*tblDados[Primeira_Ocorrencia]*(tblDados[GM_M]=0))+SUMPRODUCT((TRIM(tblDados[Visitante])=$A554)*tblDados[Primeira_Ocorrencia]*(tblDados[GM_V]=0)))/G554,0))</f>
        <v/>
      </c>
      <c r="K554" s="16" t="str" cm="1">
        <f t="array" ref="K554">IF($A554="","",IFERROR((SUMPRODUCT((TRIM(tblDados[Mandante])=$A554)*tblDados[Primeira_Ocorrencia]*((tblDados[GM_M]+tblDados[GS_M])&gt;0.5))+SUMPRODUCT((TRIM(tblDados[Visitante])=$A554)*tblDados[Primeira_Ocorrencia]*((tblDados[GM_V]+tblDados[GS_V])&gt;0.5)))/G554,0))</f>
        <v/>
      </c>
      <c r="L554" s="16" t="str" cm="1">
        <f t="array" ref="L554">IF($A554="","",IFERROR((SUMPRODUCT((TRIM(tblDados[Mandante])=$A554)*tblDados[Primeira_Ocorrencia]*((tblDados[GM_M]+tblDados[GS_M])&gt;1.5))+SUMPRODUCT((TRIM(tblDados[Visitante])=$A554)*tblDados[Primeira_Ocorrencia]*((tblDados[GM_V]+tblDados[GS_V])&gt;1.5)))/G554,0))</f>
        <v/>
      </c>
      <c r="M554" s="16" t="str" cm="1">
        <f t="array" ref="M554">IF($A554="","",IFERROR((SUMPRODUCT((TRIM(tblDados[Mandante])=$A554)*tblDados[Primeira_Ocorrencia]*((tblDados[GM_M]+tblDados[GS_M])&gt;2.5))+SUMPRODUCT((TRIM(tblDados[Visitante])=$A554)*tblDados[Primeira_Ocorrencia]*((tblDados[GM_V]+tblDados[GS_V])&gt;2.5)))/G554,0))</f>
        <v/>
      </c>
      <c r="N554" s="16" t="str" cm="1">
        <f t="array" ref="N554">IF($A554="","",IFERROR((SUMPRODUCT((TRIM(tblDados[Mandante])=$A554)*tblDados[Primeira_Ocorrencia]*((tblDados[GM_M]+tblDados[GS_M])&gt;3.5))+SUMPRODUCT((TRIM(tblDados[Visitante])=$A554)*tblDados[Primeira_Ocorrencia]*((tblDados[GM_V]+tblDados[GS_V])&gt;3.5)))/G554,0))</f>
        <v/>
      </c>
      <c r="O554" s="16" t="str" cm="1">
        <f t="array" ref="O554">IF($A554="","",IFERROR((SUMPRODUCT((TRIM(tblDados[Mandante])=$A554)*tblDados[Primeira_Ocorrencia]*(tblDados[GM_M]&gt;0)*(tblDados[GS_M]&gt;0))+SUMPRODUCT((TRIM(tblDados[Visitante])=$A554)*tblDados[Primeira_Ocorrencia]*(tblDados[GM_V]&gt;0)*(tblDados[GS_V]&gt;0)))/G554,0))</f>
        <v/>
      </c>
      <c r="P554" s="14" t="str" cm="1">
        <f t="array" ref="P554">IF($A554="","",IFERROR((SUMPRODUCT((TRIM(tblDados[Mandante])=$A554)*tblDados[Primeira_Ocorrencia]*tblDados[GM_M]^2)+SUMPRODUCT((TRIM(tblDados[Visitante])=$A554)*tblDados[Primeira_Ocorrencia]*tblDados[GM_V]^2))/G554-H554^2,0))</f>
        <v/>
      </c>
      <c r="Q554" s="14" t="str">
        <f t="shared" si="161"/>
        <v/>
      </c>
      <c r="R554" s="1" t="str">
        <f t="shared" si="162"/>
        <v/>
      </c>
      <c r="S554" s="14" t="str" cm="1">
        <f t="array" ref="S554">IF($A554="","",SUMPRODUCT((TRIM(tblDados[Mandante])=$A554)*tblDados[Primeira_Ocorrencia]*tblDados[GM_M]))</f>
        <v/>
      </c>
      <c r="T554" s="14" t="str" cm="1">
        <f t="array" ref="T554">IF($A554="","",SUMPRODUCT((TRIM(tblDados[Visitante])=$A554)*tblDados[Primeira_Ocorrencia]*tblDados[GM_V]))</f>
        <v/>
      </c>
      <c r="U554" s="14" t="str">
        <f t="shared" si="163"/>
        <v/>
      </c>
      <c r="V554" s="14" t="str">
        <f t="shared" si="152"/>
        <v/>
      </c>
      <c r="W554" s="14" t="str" cm="1">
        <f t="array" ref="W554">IF($A554="","",SUMPRODUCT((TRIM(tblDados[Mandante])=$A554)*tblDados[Primeira_Ocorrencia]*tblDados[GS_M]))</f>
        <v/>
      </c>
      <c r="X554" s="14" t="str" cm="1">
        <f t="array" ref="X554">IF($A554="","",SUMPRODUCT((TRIM(tblDados[Visitante])=$A554)*tblDados[Primeira_Ocorrencia]*tblDados[GS_V]))</f>
        <v/>
      </c>
      <c r="Y554" s="14" t="str">
        <f t="shared" si="164"/>
        <v/>
      </c>
      <c r="Z554" s="14" t="str">
        <f t="shared" si="153"/>
        <v/>
      </c>
      <c r="AA554" s="14" t="str">
        <f t="shared" si="154"/>
        <v/>
      </c>
      <c r="AB554" s="14" t="str">
        <f t="shared" si="155"/>
        <v/>
      </c>
      <c r="AC554" s="14" t="str">
        <f t="shared" si="156"/>
        <v/>
      </c>
      <c r="AD554" s="14" t="str">
        <f t="shared" si="157"/>
        <v/>
      </c>
    </row>
    <row r="555" spans="2:30" x14ac:dyDescent="0.3">
      <c r="B555" s="13" t="str" cm="1">
        <f t="array" ref="B555">IF($A555="","",_xlfn.LET(_xlpm.p,IFERROR(INDEX(tblDados[País],MATCH($A555,TRIM(tblDados[Mandante]),0)),INDEX(tblDados[País],MATCH($A555,TRIM(tblDados[Visitante]),0))),_xlpm.l,IFERROR(INDEX(tblDados[Liga],MATCH($A555,TRIM(tblDados[Mandante]),0)),INDEX(tblDados[Liga],MATCH($A555,TRIM(tblDados[Visitante]),0))),_xlpm.p&amp;" - "&amp;_xlpm.l))</f>
        <v/>
      </c>
      <c r="C555" s="14" t="str">
        <f t="shared" si="158"/>
        <v/>
      </c>
      <c r="D555" s="14" t="str">
        <f t="shared" si="159"/>
        <v/>
      </c>
      <c r="E555" s="15" t="str" cm="1">
        <f t="array" ref="E555">IF($A555="","",SUMPRODUCT((TRIM(tblDados[Mandante])=$A555)*tblDados[Primeira_Ocorrencia]))</f>
        <v/>
      </c>
      <c r="F555" s="15" t="str" cm="1">
        <f t="array" ref="F555">IF($A555="","",SUMPRODUCT((TRIM(tblDados[Visitante])=$A555)*tblDados[Primeira_Ocorrencia]))</f>
        <v/>
      </c>
      <c r="G555" s="15" t="str" cm="1">
        <f t="array" ref="G555">IF($A555="","",SUMPRODUCT((TRIM(tblDados[Mandante])=$A555)*tblDados[Primeira_Ocorrencia])+SUMPRODUCT((TRIM(tblDados[Visitante])=$A555)*tblDados[Primeira_Ocorrencia]))</f>
        <v/>
      </c>
      <c r="H555" s="14" t="str">
        <f t="shared" si="160"/>
        <v/>
      </c>
      <c r="I555" s="14" t="str" cm="1">
        <f t="array" ref="I555">IF($A555="","",_xlfn.LET(_xlpm.p,IFERROR(INDEX(tblDados[País],MATCH($A555,TRIM(tblDados[Mandante]),0)),INDEX(tblDados[País],MATCH($A555,TRIM(tblDados[Visitante]),0))),_xlpm.l,IFERROR(INDEX(tblDados[Liga],MATCH($A555,TRIM(tblDados[Mandante]),0)),INDEX(tblDados[Liga],MATCH($A555,TRIM(tblDados[Visitante]),0))),IFERROR(SUMIFS(Ligas!$D$2:$D$39,Ligas!$H$2:$H$39,_xlpm.p,Ligas!$I$2:$I$39,_xlpm.l),0)))</f>
        <v/>
      </c>
      <c r="J555" s="16" t="str" cm="1">
        <f t="array" ref="J555">IF($A555="","",IFERROR((SUMPRODUCT((TRIM(tblDados[Mandante])=$A555)*tblDados[Primeira_Ocorrencia]*(tblDados[GM_M]=0))+SUMPRODUCT((TRIM(tblDados[Visitante])=$A555)*tblDados[Primeira_Ocorrencia]*(tblDados[GM_V]=0)))/G555,0))</f>
        <v/>
      </c>
      <c r="K555" s="16" t="str" cm="1">
        <f t="array" ref="K555">IF($A555="","",IFERROR((SUMPRODUCT((TRIM(tblDados[Mandante])=$A555)*tblDados[Primeira_Ocorrencia]*((tblDados[GM_M]+tblDados[GS_M])&gt;0.5))+SUMPRODUCT((TRIM(tblDados[Visitante])=$A555)*tblDados[Primeira_Ocorrencia]*((tblDados[GM_V]+tblDados[GS_V])&gt;0.5)))/G555,0))</f>
        <v/>
      </c>
      <c r="L555" s="16" t="str" cm="1">
        <f t="array" ref="L555">IF($A555="","",IFERROR((SUMPRODUCT((TRIM(tblDados[Mandante])=$A555)*tblDados[Primeira_Ocorrencia]*((tblDados[GM_M]+tblDados[GS_M])&gt;1.5))+SUMPRODUCT((TRIM(tblDados[Visitante])=$A555)*tblDados[Primeira_Ocorrencia]*((tblDados[GM_V]+tblDados[GS_V])&gt;1.5)))/G555,0))</f>
        <v/>
      </c>
      <c r="M555" s="16" t="str" cm="1">
        <f t="array" ref="M555">IF($A555="","",IFERROR((SUMPRODUCT((TRIM(tblDados[Mandante])=$A555)*tblDados[Primeira_Ocorrencia]*((tblDados[GM_M]+tblDados[GS_M])&gt;2.5))+SUMPRODUCT((TRIM(tblDados[Visitante])=$A555)*tblDados[Primeira_Ocorrencia]*((tblDados[GM_V]+tblDados[GS_V])&gt;2.5)))/G555,0))</f>
        <v/>
      </c>
      <c r="N555" s="16" t="str" cm="1">
        <f t="array" ref="N555">IF($A555="","",IFERROR((SUMPRODUCT((TRIM(tblDados[Mandante])=$A555)*tblDados[Primeira_Ocorrencia]*((tblDados[GM_M]+tblDados[GS_M])&gt;3.5))+SUMPRODUCT((TRIM(tblDados[Visitante])=$A555)*tblDados[Primeira_Ocorrencia]*((tblDados[GM_V]+tblDados[GS_V])&gt;3.5)))/G555,0))</f>
        <v/>
      </c>
      <c r="O555" s="16" t="str" cm="1">
        <f t="array" ref="O555">IF($A555="","",IFERROR((SUMPRODUCT((TRIM(tblDados[Mandante])=$A555)*tblDados[Primeira_Ocorrencia]*(tblDados[GM_M]&gt;0)*(tblDados[GS_M]&gt;0))+SUMPRODUCT((TRIM(tblDados[Visitante])=$A555)*tblDados[Primeira_Ocorrencia]*(tblDados[GM_V]&gt;0)*(tblDados[GS_V]&gt;0)))/G555,0))</f>
        <v/>
      </c>
      <c r="P555" s="14" t="str" cm="1">
        <f t="array" ref="P555">IF($A555="","",IFERROR((SUMPRODUCT((TRIM(tblDados[Mandante])=$A555)*tblDados[Primeira_Ocorrencia]*tblDados[GM_M]^2)+SUMPRODUCT((TRIM(tblDados[Visitante])=$A555)*tblDados[Primeira_Ocorrencia]*tblDados[GM_V]^2))/G555-H555^2,0))</f>
        <v/>
      </c>
      <c r="Q555" s="14" t="str">
        <f t="shared" si="161"/>
        <v/>
      </c>
      <c r="R555" s="1" t="str">
        <f t="shared" si="162"/>
        <v/>
      </c>
      <c r="S555" s="14" t="str" cm="1">
        <f t="array" ref="S555">IF($A555="","",SUMPRODUCT((TRIM(tblDados[Mandante])=$A555)*tblDados[Primeira_Ocorrencia]*tblDados[GM_M]))</f>
        <v/>
      </c>
      <c r="T555" s="14" t="str" cm="1">
        <f t="array" ref="T555">IF($A555="","",SUMPRODUCT((TRIM(tblDados[Visitante])=$A555)*tblDados[Primeira_Ocorrencia]*tblDados[GM_V]))</f>
        <v/>
      </c>
      <c r="U555" s="14" t="str">
        <f t="shared" si="163"/>
        <v/>
      </c>
      <c r="V555" s="14" t="str">
        <f t="shared" si="152"/>
        <v/>
      </c>
      <c r="W555" s="14" t="str" cm="1">
        <f t="array" ref="W555">IF($A555="","",SUMPRODUCT((TRIM(tblDados[Mandante])=$A555)*tblDados[Primeira_Ocorrencia]*tblDados[GS_M]))</f>
        <v/>
      </c>
      <c r="X555" s="14" t="str" cm="1">
        <f t="array" ref="X555">IF($A555="","",SUMPRODUCT((TRIM(tblDados[Visitante])=$A555)*tblDados[Primeira_Ocorrencia]*tblDados[GS_V]))</f>
        <v/>
      </c>
      <c r="Y555" s="14" t="str">
        <f t="shared" si="164"/>
        <v/>
      </c>
      <c r="Z555" s="14" t="str">
        <f t="shared" si="153"/>
        <v/>
      </c>
      <c r="AA555" s="14" t="str">
        <f t="shared" si="154"/>
        <v/>
      </c>
      <c r="AB555" s="14" t="str">
        <f t="shared" si="155"/>
        <v/>
      </c>
      <c r="AC555" s="14" t="str">
        <f t="shared" si="156"/>
        <v/>
      </c>
      <c r="AD555" s="14" t="str">
        <f t="shared" si="157"/>
        <v/>
      </c>
    </row>
    <row r="556" spans="2:30" x14ac:dyDescent="0.3">
      <c r="B556" s="13" t="str" cm="1">
        <f t="array" ref="B556">IF($A556="","",_xlfn.LET(_xlpm.p,IFERROR(INDEX(tblDados[País],MATCH($A556,TRIM(tblDados[Mandante]),0)),INDEX(tblDados[País],MATCH($A556,TRIM(tblDados[Visitante]),0))),_xlpm.l,IFERROR(INDEX(tblDados[Liga],MATCH($A556,TRIM(tblDados[Mandante]),0)),INDEX(tblDados[Liga],MATCH($A556,TRIM(tblDados[Visitante]),0))),_xlpm.p&amp;" - "&amp;_xlpm.l))</f>
        <v/>
      </c>
      <c r="C556" s="14" t="str">
        <f t="shared" si="158"/>
        <v/>
      </c>
      <c r="D556" s="14" t="str">
        <f t="shared" si="159"/>
        <v/>
      </c>
      <c r="E556" s="15" t="str" cm="1">
        <f t="array" ref="E556">IF($A556="","",SUMPRODUCT((TRIM(tblDados[Mandante])=$A556)*tblDados[Primeira_Ocorrencia]))</f>
        <v/>
      </c>
      <c r="F556" s="15" t="str" cm="1">
        <f t="array" ref="F556">IF($A556="","",SUMPRODUCT((TRIM(tblDados[Visitante])=$A556)*tblDados[Primeira_Ocorrencia]))</f>
        <v/>
      </c>
      <c r="G556" s="15" t="str" cm="1">
        <f t="array" ref="G556">IF($A556="","",SUMPRODUCT((TRIM(tblDados[Mandante])=$A556)*tblDados[Primeira_Ocorrencia])+SUMPRODUCT((TRIM(tblDados[Visitante])=$A556)*tblDados[Primeira_Ocorrencia]))</f>
        <v/>
      </c>
      <c r="H556" s="14" t="str">
        <f t="shared" si="160"/>
        <v/>
      </c>
      <c r="I556" s="14" t="str" cm="1">
        <f t="array" ref="I556">IF($A556="","",_xlfn.LET(_xlpm.p,IFERROR(INDEX(tblDados[País],MATCH($A556,TRIM(tblDados[Mandante]),0)),INDEX(tblDados[País],MATCH($A556,TRIM(tblDados[Visitante]),0))),_xlpm.l,IFERROR(INDEX(tblDados[Liga],MATCH($A556,TRIM(tblDados[Mandante]),0)),INDEX(tblDados[Liga],MATCH($A556,TRIM(tblDados[Visitante]),0))),IFERROR(SUMIFS(Ligas!$D$2:$D$39,Ligas!$H$2:$H$39,_xlpm.p,Ligas!$I$2:$I$39,_xlpm.l),0)))</f>
        <v/>
      </c>
      <c r="J556" s="16" t="str" cm="1">
        <f t="array" ref="J556">IF($A556="","",IFERROR((SUMPRODUCT((TRIM(tblDados[Mandante])=$A556)*tblDados[Primeira_Ocorrencia]*(tblDados[GM_M]=0))+SUMPRODUCT((TRIM(tblDados[Visitante])=$A556)*tblDados[Primeira_Ocorrencia]*(tblDados[GM_V]=0)))/G556,0))</f>
        <v/>
      </c>
      <c r="K556" s="16" t="str" cm="1">
        <f t="array" ref="K556">IF($A556="","",IFERROR((SUMPRODUCT((TRIM(tblDados[Mandante])=$A556)*tblDados[Primeira_Ocorrencia]*((tblDados[GM_M]+tblDados[GS_M])&gt;0.5))+SUMPRODUCT((TRIM(tblDados[Visitante])=$A556)*tblDados[Primeira_Ocorrencia]*((tblDados[GM_V]+tblDados[GS_V])&gt;0.5)))/G556,0))</f>
        <v/>
      </c>
      <c r="L556" s="16" t="str" cm="1">
        <f t="array" ref="L556">IF($A556="","",IFERROR((SUMPRODUCT((TRIM(tblDados[Mandante])=$A556)*tblDados[Primeira_Ocorrencia]*((tblDados[GM_M]+tblDados[GS_M])&gt;1.5))+SUMPRODUCT((TRIM(tblDados[Visitante])=$A556)*tblDados[Primeira_Ocorrencia]*((tblDados[GM_V]+tblDados[GS_V])&gt;1.5)))/G556,0))</f>
        <v/>
      </c>
      <c r="M556" s="16" t="str" cm="1">
        <f t="array" ref="M556">IF($A556="","",IFERROR((SUMPRODUCT((TRIM(tblDados[Mandante])=$A556)*tblDados[Primeira_Ocorrencia]*((tblDados[GM_M]+tblDados[GS_M])&gt;2.5))+SUMPRODUCT((TRIM(tblDados[Visitante])=$A556)*tblDados[Primeira_Ocorrencia]*((tblDados[GM_V]+tblDados[GS_V])&gt;2.5)))/G556,0))</f>
        <v/>
      </c>
      <c r="N556" s="16" t="str" cm="1">
        <f t="array" ref="N556">IF($A556="","",IFERROR((SUMPRODUCT((TRIM(tblDados[Mandante])=$A556)*tblDados[Primeira_Ocorrencia]*((tblDados[GM_M]+tblDados[GS_M])&gt;3.5))+SUMPRODUCT((TRIM(tblDados[Visitante])=$A556)*tblDados[Primeira_Ocorrencia]*((tblDados[GM_V]+tblDados[GS_V])&gt;3.5)))/G556,0))</f>
        <v/>
      </c>
      <c r="O556" s="16" t="str" cm="1">
        <f t="array" ref="O556">IF($A556="","",IFERROR((SUMPRODUCT((TRIM(tblDados[Mandante])=$A556)*tblDados[Primeira_Ocorrencia]*(tblDados[GM_M]&gt;0)*(tblDados[GS_M]&gt;0))+SUMPRODUCT((TRIM(tblDados[Visitante])=$A556)*tblDados[Primeira_Ocorrencia]*(tblDados[GM_V]&gt;0)*(tblDados[GS_V]&gt;0)))/G556,0))</f>
        <v/>
      </c>
      <c r="P556" s="14" t="str" cm="1">
        <f t="array" ref="P556">IF($A556="","",IFERROR((SUMPRODUCT((TRIM(tblDados[Mandante])=$A556)*tblDados[Primeira_Ocorrencia]*tblDados[GM_M]^2)+SUMPRODUCT((TRIM(tblDados[Visitante])=$A556)*tblDados[Primeira_Ocorrencia]*tblDados[GM_V]^2))/G556-H556^2,0))</f>
        <v/>
      </c>
      <c r="Q556" s="14" t="str">
        <f t="shared" si="161"/>
        <v/>
      </c>
      <c r="R556" s="1" t="str">
        <f t="shared" si="162"/>
        <v/>
      </c>
      <c r="S556" s="14" t="str" cm="1">
        <f t="array" ref="S556">IF($A556="","",SUMPRODUCT((TRIM(tblDados[Mandante])=$A556)*tblDados[Primeira_Ocorrencia]*tblDados[GM_M]))</f>
        <v/>
      </c>
      <c r="T556" s="14" t="str" cm="1">
        <f t="array" ref="T556">IF($A556="","",SUMPRODUCT((TRIM(tblDados[Visitante])=$A556)*tblDados[Primeira_Ocorrencia]*tblDados[GM_V]))</f>
        <v/>
      </c>
      <c r="U556" s="14" t="str">
        <f t="shared" si="163"/>
        <v/>
      </c>
      <c r="V556" s="14" t="str">
        <f t="shared" si="152"/>
        <v/>
      </c>
      <c r="W556" s="14" t="str" cm="1">
        <f t="array" ref="W556">IF($A556="","",SUMPRODUCT((TRIM(tblDados[Mandante])=$A556)*tblDados[Primeira_Ocorrencia]*tblDados[GS_M]))</f>
        <v/>
      </c>
      <c r="X556" s="14" t="str" cm="1">
        <f t="array" ref="X556">IF($A556="","",SUMPRODUCT((TRIM(tblDados[Visitante])=$A556)*tblDados[Primeira_Ocorrencia]*tblDados[GS_V]))</f>
        <v/>
      </c>
      <c r="Y556" s="14" t="str">
        <f t="shared" si="164"/>
        <v/>
      </c>
      <c r="Z556" s="14" t="str">
        <f t="shared" si="153"/>
        <v/>
      </c>
      <c r="AA556" s="14" t="str">
        <f t="shared" si="154"/>
        <v/>
      </c>
      <c r="AB556" s="14" t="str">
        <f t="shared" si="155"/>
        <v/>
      </c>
      <c r="AC556" s="14" t="str">
        <f t="shared" si="156"/>
        <v/>
      </c>
      <c r="AD556" s="14" t="str">
        <f t="shared" si="157"/>
        <v/>
      </c>
    </row>
    <row r="557" spans="2:30" x14ac:dyDescent="0.3">
      <c r="B557" s="13" t="str" cm="1">
        <f t="array" ref="B557">IF($A557="","",_xlfn.LET(_xlpm.p,IFERROR(INDEX(tblDados[País],MATCH($A557,TRIM(tblDados[Mandante]),0)),INDEX(tblDados[País],MATCH($A557,TRIM(tblDados[Visitante]),0))),_xlpm.l,IFERROR(INDEX(tblDados[Liga],MATCH($A557,TRIM(tblDados[Mandante]),0)),INDEX(tblDados[Liga],MATCH($A557,TRIM(tblDados[Visitante]),0))),_xlpm.p&amp;" - "&amp;_xlpm.l))</f>
        <v/>
      </c>
      <c r="C557" s="14" t="str">
        <f t="shared" si="158"/>
        <v/>
      </c>
      <c r="D557" s="14" t="str">
        <f t="shared" si="159"/>
        <v/>
      </c>
      <c r="E557" s="15" t="str" cm="1">
        <f t="array" ref="E557">IF($A557="","",SUMPRODUCT((TRIM(tblDados[Mandante])=$A557)*tblDados[Primeira_Ocorrencia]))</f>
        <v/>
      </c>
      <c r="F557" s="15" t="str" cm="1">
        <f t="array" ref="F557">IF($A557="","",SUMPRODUCT((TRIM(tblDados[Visitante])=$A557)*tblDados[Primeira_Ocorrencia]))</f>
        <v/>
      </c>
      <c r="G557" s="15" t="str" cm="1">
        <f t="array" ref="G557">IF($A557="","",SUMPRODUCT((TRIM(tblDados[Mandante])=$A557)*tblDados[Primeira_Ocorrencia])+SUMPRODUCT((TRIM(tblDados[Visitante])=$A557)*tblDados[Primeira_Ocorrencia]))</f>
        <v/>
      </c>
      <c r="H557" s="14" t="str">
        <f t="shared" si="160"/>
        <v/>
      </c>
      <c r="I557" s="14" t="str" cm="1">
        <f t="array" ref="I557">IF($A557="","",_xlfn.LET(_xlpm.p,IFERROR(INDEX(tblDados[País],MATCH($A557,TRIM(tblDados[Mandante]),0)),INDEX(tblDados[País],MATCH($A557,TRIM(tblDados[Visitante]),0))),_xlpm.l,IFERROR(INDEX(tblDados[Liga],MATCH($A557,TRIM(tblDados[Mandante]),0)),INDEX(tblDados[Liga],MATCH($A557,TRIM(tblDados[Visitante]),0))),IFERROR(SUMIFS(Ligas!$D$2:$D$39,Ligas!$H$2:$H$39,_xlpm.p,Ligas!$I$2:$I$39,_xlpm.l),0)))</f>
        <v/>
      </c>
      <c r="J557" s="16" t="str" cm="1">
        <f t="array" ref="J557">IF($A557="","",IFERROR((SUMPRODUCT((TRIM(tblDados[Mandante])=$A557)*tblDados[Primeira_Ocorrencia]*(tblDados[GM_M]=0))+SUMPRODUCT((TRIM(tblDados[Visitante])=$A557)*tblDados[Primeira_Ocorrencia]*(tblDados[GM_V]=0)))/G557,0))</f>
        <v/>
      </c>
      <c r="K557" s="16" t="str" cm="1">
        <f t="array" ref="K557">IF($A557="","",IFERROR((SUMPRODUCT((TRIM(tblDados[Mandante])=$A557)*tblDados[Primeira_Ocorrencia]*((tblDados[GM_M]+tblDados[GS_M])&gt;0.5))+SUMPRODUCT((TRIM(tblDados[Visitante])=$A557)*tblDados[Primeira_Ocorrencia]*((tblDados[GM_V]+tblDados[GS_V])&gt;0.5)))/G557,0))</f>
        <v/>
      </c>
      <c r="L557" s="16" t="str" cm="1">
        <f t="array" ref="L557">IF($A557="","",IFERROR((SUMPRODUCT((TRIM(tblDados[Mandante])=$A557)*tblDados[Primeira_Ocorrencia]*((tblDados[GM_M]+tblDados[GS_M])&gt;1.5))+SUMPRODUCT((TRIM(tblDados[Visitante])=$A557)*tblDados[Primeira_Ocorrencia]*((tblDados[GM_V]+tblDados[GS_V])&gt;1.5)))/G557,0))</f>
        <v/>
      </c>
      <c r="M557" s="16" t="str" cm="1">
        <f t="array" ref="M557">IF($A557="","",IFERROR((SUMPRODUCT((TRIM(tblDados[Mandante])=$A557)*tblDados[Primeira_Ocorrencia]*((tblDados[GM_M]+tblDados[GS_M])&gt;2.5))+SUMPRODUCT((TRIM(tblDados[Visitante])=$A557)*tblDados[Primeira_Ocorrencia]*((tblDados[GM_V]+tblDados[GS_V])&gt;2.5)))/G557,0))</f>
        <v/>
      </c>
      <c r="N557" s="16" t="str" cm="1">
        <f t="array" ref="N557">IF($A557="","",IFERROR((SUMPRODUCT((TRIM(tblDados[Mandante])=$A557)*tblDados[Primeira_Ocorrencia]*((tblDados[GM_M]+tblDados[GS_M])&gt;3.5))+SUMPRODUCT((TRIM(tblDados[Visitante])=$A557)*tblDados[Primeira_Ocorrencia]*((tblDados[GM_V]+tblDados[GS_V])&gt;3.5)))/G557,0))</f>
        <v/>
      </c>
      <c r="O557" s="16" t="str" cm="1">
        <f t="array" ref="O557">IF($A557="","",IFERROR((SUMPRODUCT((TRIM(tblDados[Mandante])=$A557)*tblDados[Primeira_Ocorrencia]*(tblDados[GM_M]&gt;0)*(tblDados[GS_M]&gt;0))+SUMPRODUCT((TRIM(tblDados[Visitante])=$A557)*tblDados[Primeira_Ocorrencia]*(tblDados[GM_V]&gt;0)*(tblDados[GS_V]&gt;0)))/G557,0))</f>
        <v/>
      </c>
      <c r="P557" s="14" t="str" cm="1">
        <f t="array" ref="P557">IF($A557="","",IFERROR((SUMPRODUCT((TRIM(tblDados[Mandante])=$A557)*tblDados[Primeira_Ocorrencia]*tblDados[GM_M]^2)+SUMPRODUCT((TRIM(tblDados[Visitante])=$A557)*tblDados[Primeira_Ocorrencia]*tblDados[GM_V]^2))/G557-H557^2,0))</f>
        <v/>
      </c>
      <c r="Q557" s="14" t="str">
        <f t="shared" si="161"/>
        <v/>
      </c>
      <c r="R557" s="1" t="str">
        <f t="shared" si="162"/>
        <v/>
      </c>
      <c r="S557" s="14" t="str" cm="1">
        <f t="array" ref="S557">IF($A557="","",SUMPRODUCT((TRIM(tblDados[Mandante])=$A557)*tblDados[Primeira_Ocorrencia]*tblDados[GM_M]))</f>
        <v/>
      </c>
      <c r="T557" s="14" t="str" cm="1">
        <f t="array" ref="T557">IF($A557="","",SUMPRODUCT((TRIM(tblDados[Visitante])=$A557)*tblDados[Primeira_Ocorrencia]*tblDados[GM_V]))</f>
        <v/>
      </c>
      <c r="U557" s="14" t="str">
        <f t="shared" si="163"/>
        <v/>
      </c>
      <c r="V557" s="14" t="str">
        <f t="shared" si="152"/>
        <v/>
      </c>
      <c r="W557" s="14" t="str" cm="1">
        <f t="array" ref="W557">IF($A557="","",SUMPRODUCT((TRIM(tblDados[Mandante])=$A557)*tblDados[Primeira_Ocorrencia]*tblDados[GS_M]))</f>
        <v/>
      </c>
      <c r="X557" s="14" t="str" cm="1">
        <f t="array" ref="X557">IF($A557="","",SUMPRODUCT((TRIM(tblDados[Visitante])=$A557)*tblDados[Primeira_Ocorrencia]*tblDados[GS_V]))</f>
        <v/>
      </c>
      <c r="Y557" s="14" t="str">
        <f t="shared" si="164"/>
        <v/>
      </c>
      <c r="Z557" s="14" t="str">
        <f t="shared" si="153"/>
        <v/>
      </c>
      <c r="AA557" s="14" t="str">
        <f t="shared" si="154"/>
        <v/>
      </c>
      <c r="AB557" s="14" t="str">
        <f t="shared" si="155"/>
        <v/>
      </c>
      <c r="AC557" s="14" t="str">
        <f t="shared" si="156"/>
        <v/>
      </c>
      <c r="AD557" s="14" t="str">
        <f t="shared" si="157"/>
        <v/>
      </c>
    </row>
    <row r="558" spans="2:30" x14ac:dyDescent="0.3">
      <c r="B558" s="13" t="str" cm="1">
        <f t="array" ref="B558">IF($A558="","",_xlfn.LET(_xlpm.p,IFERROR(INDEX(tblDados[País],MATCH($A558,TRIM(tblDados[Mandante]),0)),INDEX(tblDados[País],MATCH($A558,TRIM(tblDados[Visitante]),0))),_xlpm.l,IFERROR(INDEX(tblDados[Liga],MATCH($A558,TRIM(tblDados[Mandante]),0)),INDEX(tblDados[Liga],MATCH($A558,TRIM(tblDados[Visitante]),0))),_xlpm.p&amp;" - "&amp;_xlpm.l))</f>
        <v/>
      </c>
      <c r="C558" s="14" t="str">
        <f t="shared" si="158"/>
        <v/>
      </c>
      <c r="D558" s="14" t="str">
        <f t="shared" si="159"/>
        <v/>
      </c>
      <c r="E558" s="15" t="str" cm="1">
        <f t="array" ref="E558">IF($A558="","",SUMPRODUCT((TRIM(tblDados[Mandante])=$A558)*tblDados[Primeira_Ocorrencia]))</f>
        <v/>
      </c>
      <c r="F558" s="15" t="str" cm="1">
        <f t="array" ref="F558">IF($A558="","",SUMPRODUCT((TRIM(tblDados[Visitante])=$A558)*tblDados[Primeira_Ocorrencia]))</f>
        <v/>
      </c>
      <c r="G558" s="15" t="str" cm="1">
        <f t="array" ref="G558">IF($A558="","",SUMPRODUCT((TRIM(tblDados[Mandante])=$A558)*tblDados[Primeira_Ocorrencia])+SUMPRODUCT((TRIM(tblDados[Visitante])=$A558)*tblDados[Primeira_Ocorrencia]))</f>
        <v/>
      </c>
      <c r="H558" s="14" t="str">
        <f t="shared" si="160"/>
        <v/>
      </c>
      <c r="I558" s="14" t="str" cm="1">
        <f t="array" ref="I558">IF($A558="","",_xlfn.LET(_xlpm.p,IFERROR(INDEX(tblDados[País],MATCH($A558,TRIM(tblDados[Mandante]),0)),INDEX(tblDados[País],MATCH($A558,TRIM(tblDados[Visitante]),0))),_xlpm.l,IFERROR(INDEX(tblDados[Liga],MATCH($A558,TRIM(tblDados[Mandante]),0)),INDEX(tblDados[Liga],MATCH($A558,TRIM(tblDados[Visitante]),0))),IFERROR(SUMIFS(Ligas!$D$2:$D$39,Ligas!$H$2:$H$39,_xlpm.p,Ligas!$I$2:$I$39,_xlpm.l),0)))</f>
        <v/>
      </c>
      <c r="J558" s="16" t="str" cm="1">
        <f t="array" ref="J558">IF($A558="","",IFERROR((SUMPRODUCT((TRIM(tblDados[Mandante])=$A558)*tblDados[Primeira_Ocorrencia]*(tblDados[GM_M]=0))+SUMPRODUCT((TRIM(tblDados[Visitante])=$A558)*tblDados[Primeira_Ocorrencia]*(tblDados[GM_V]=0)))/G558,0))</f>
        <v/>
      </c>
      <c r="K558" s="16" t="str" cm="1">
        <f t="array" ref="K558">IF($A558="","",IFERROR((SUMPRODUCT((TRIM(tblDados[Mandante])=$A558)*tblDados[Primeira_Ocorrencia]*((tblDados[GM_M]+tblDados[GS_M])&gt;0.5))+SUMPRODUCT((TRIM(tblDados[Visitante])=$A558)*tblDados[Primeira_Ocorrencia]*((tblDados[GM_V]+tblDados[GS_V])&gt;0.5)))/G558,0))</f>
        <v/>
      </c>
      <c r="L558" s="16" t="str" cm="1">
        <f t="array" ref="L558">IF($A558="","",IFERROR((SUMPRODUCT((TRIM(tblDados[Mandante])=$A558)*tblDados[Primeira_Ocorrencia]*((tblDados[GM_M]+tblDados[GS_M])&gt;1.5))+SUMPRODUCT((TRIM(tblDados[Visitante])=$A558)*tblDados[Primeira_Ocorrencia]*((tblDados[GM_V]+tblDados[GS_V])&gt;1.5)))/G558,0))</f>
        <v/>
      </c>
      <c r="M558" s="16" t="str" cm="1">
        <f t="array" ref="M558">IF($A558="","",IFERROR((SUMPRODUCT((TRIM(tblDados[Mandante])=$A558)*tblDados[Primeira_Ocorrencia]*((tblDados[GM_M]+tblDados[GS_M])&gt;2.5))+SUMPRODUCT((TRIM(tblDados[Visitante])=$A558)*tblDados[Primeira_Ocorrencia]*((tblDados[GM_V]+tblDados[GS_V])&gt;2.5)))/G558,0))</f>
        <v/>
      </c>
      <c r="N558" s="16" t="str" cm="1">
        <f t="array" ref="N558">IF($A558="","",IFERROR((SUMPRODUCT((TRIM(tblDados[Mandante])=$A558)*tblDados[Primeira_Ocorrencia]*((tblDados[GM_M]+tblDados[GS_M])&gt;3.5))+SUMPRODUCT((TRIM(tblDados[Visitante])=$A558)*tblDados[Primeira_Ocorrencia]*((tblDados[GM_V]+tblDados[GS_V])&gt;3.5)))/G558,0))</f>
        <v/>
      </c>
      <c r="O558" s="16" t="str" cm="1">
        <f t="array" ref="O558">IF($A558="","",IFERROR((SUMPRODUCT((TRIM(tblDados[Mandante])=$A558)*tblDados[Primeira_Ocorrencia]*(tblDados[GM_M]&gt;0)*(tblDados[GS_M]&gt;0))+SUMPRODUCT((TRIM(tblDados[Visitante])=$A558)*tblDados[Primeira_Ocorrencia]*(tblDados[GM_V]&gt;0)*(tblDados[GS_V]&gt;0)))/G558,0))</f>
        <v/>
      </c>
      <c r="P558" s="14" t="str" cm="1">
        <f t="array" ref="P558">IF($A558="","",IFERROR((SUMPRODUCT((TRIM(tblDados[Mandante])=$A558)*tblDados[Primeira_Ocorrencia]*tblDados[GM_M]^2)+SUMPRODUCT((TRIM(tblDados[Visitante])=$A558)*tblDados[Primeira_Ocorrencia]*tblDados[GM_V]^2))/G558-H558^2,0))</f>
        <v/>
      </c>
      <c r="Q558" s="14" t="str">
        <f t="shared" si="161"/>
        <v/>
      </c>
      <c r="R558" s="1" t="str">
        <f t="shared" si="162"/>
        <v/>
      </c>
      <c r="S558" s="14" t="str" cm="1">
        <f t="array" ref="S558">IF($A558="","",SUMPRODUCT((TRIM(tblDados[Mandante])=$A558)*tblDados[Primeira_Ocorrencia]*tblDados[GM_M]))</f>
        <v/>
      </c>
      <c r="T558" s="14" t="str" cm="1">
        <f t="array" ref="T558">IF($A558="","",SUMPRODUCT((TRIM(tblDados[Visitante])=$A558)*tblDados[Primeira_Ocorrencia]*tblDados[GM_V]))</f>
        <v/>
      </c>
      <c r="U558" s="14" t="str">
        <f t="shared" si="163"/>
        <v/>
      </c>
      <c r="V558" s="14" t="str">
        <f t="shared" si="152"/>
        <v/>
      </c>
      <c r="W558" s="14" t="str" cm="1">
        <f t="array" ref="W558">IF($A558="","",SUMPRODUCT((TRIM(tblDados[Mandante])=$A558)*tblDados[Primeira_Ocorrencia]*tblDados[GS_M]))</f>
        <v/>
      </c>
      <c r="X558" s="14" t="str" cm="1">
        <f t="array" ref="X558">IF($A558="","",SUMPRODUCT((TRIM(tblDados[Visitante])=$A558)*tblDados[Primeira_Ocorrencia]*tblDados[GS_V]))</f>
        <v/>
      </c>
      <c r="Y558" s="14" t="str">
        <f t="shared" si="164"/>
        <v/>
      </c>
      <c r="Z558" s="14" t="str">
        <f t="shared" si="153"/>
        <v/>
      </c>
      <c r="AA558" s="14" t="str">
        <f t="shared" si="154"/>
        <v/>
      </c>
      <c r="AB558" s="14" t="str">
        <f t="shared" si="155"/>
        <v/>
      </c>
      <c r="AC558" s="14" t="str">
        <f t="shared" si="156"/>
        <v/>
      </c>
      <c r="AD558" s="14" t="str">
        <f t="shared" si="157"/>
        <v/>
      </c>
    </row>
    <row r="559" spans="2:30" x14ac:dyDescent="0.3">
      <c r="B559" s="13" t="str" cm="1">
        <f t="array" ref="B559">IF($A559="","",_xlfn.LET(_xlpm.p,IFERROR(INDEX(tblDados[País],MATCH($A559,TRIM(tblDados[Mandante]),0)),INDEX(tblDados[País],MATCH($A559,TRIM(tblDados[Visitante]),0))),_xlpm.l,IFERROR(INDEX(tblDados[Liga],MATCH($A559,TRIM(tblDados[Mandante]),0)),INDEX(tblDados[Liga],MATCH($A559,TRIM(tblDados[Visitante]),0))),_xlpm.p&amp;" - "&amp;_xlpm.l))</f>
        <v/>
      </c>
      <c r="C559" s="14" t="str">
        <f t="shared" si="158"/>
        <v/>
      </c>
      <c r="D559" s="14" t="str">
        <f t="shared" si="159"/>
        <v/>
      </c>
      <c r="E559" s="15" t="str" cm="1">
        <f t="array" ref="E559">IF($A559="","",SUMPRODUCT((TRIM(tblDados[Mandante])=$A559)*tblDados[Primeira_Ocorrencia]))</f>
        <v/>
      </c>
      <c r="F559" s="15" t="str" cm="1">
        <f t="array" ref="F559">IF($A559="","",SUMPRODUCT((TRIM(tblDados[Visitante])=$A559)*tblDados[Primeira_Ocorrencia]))</f>
        <v/>
      </c>
      <c r="G559" s="15" t="str" cm="1">
        <f t="array" ref="G559">IF($A559="","",SUMPRODUCT((TRIM(tblDados[Mandante])=$A559)*tblDados[Primeira_Ocorrencia])+SUMPRODUCT((TRIM(tblDados[Visitante])=$A559)*tblDados[Primeira_Ocorrencia]))</f>
        <v/>
      </c>
      <c r="H559" s="14" t="str">
        <f t="shared" si="160"/>
        <v/>
      </c>
      <c r="I559" s="14" t="str" cm="1">
        <f t="array" ref="I559">IF($A559="","",_xlfn.LET(_xlpm.p,IFERROR(INDEX(tblDados[País],MATCH($A559,TRIM(tblDados[Mandante]),0)),INDEX(tblDados[País],MATCH($A559,TRIM(tblDados[Visitante]),0))),_xlpm.l,IFERROR(INDEX(tblDados[Liga],MATCH($A559,TRIM(tblDados[Mandante]),0)),INDEX(tblDados[Liga],MATCH($A559,TRIM(tblDados[Visitante]),0))),IFERROR(SUMIFS(Ligas!$D$2:$D$39,Ligas!$H$2:$H$39,_xlpm.p,Ligas!$I$2:$I$39,_xlpm.l),0)))</f>
        <v/>
      </c>
      <c r="J559" s="16" t="str" cm="1">
        <f t="array" ref="J559">IF($A559="","",IFERROR((SUMPRODUCT((TRIM(tblDados[Mandante])=$A559)*tblDados[Primeira_Ocorrencia]*(tblDados[GM_M]=0))+SUMPRODUCT((TRIM(tblDados[Visitante])=$A559)*tblDados[Primeira_Ocorrencia]*(tblDados[GM_V]=0)))/G559,0))</f>
        <v/>
      </c>
      <c r="K559" s="16" t="str" cm="1">
        <f t="array" ref="K559">IF($A559="","",IFERROR((SUMPRODUCT((TRIM(tblDados[Mandante])=$A559)*tblDados[Primeira_Ocorrencia]*((tblDados[GM_M]+tblDados[GS_M])&gt;0.5))+SUMPRODUCT((TRIM(tblDados[Visitante])=$A559)*tblDados[Primeira_Ocorrencia]*((tblDados[GM_V]+tblDados[GS_V])&gt;0.5)))/G559,0))</f>
        <v/>
      </c>
      <c r="L559" s="16" t="str" cm="1">
        <f t="array" ref="L559">IF($A559="","",IFERROR((SUMPRODUCT((TRIM(tblDados[Mandante])=$A559)*tblDados[Primeira_Ocorrencia]*((tblDados[GM_M]+tblDados[GS_M])&gt;1.5))+SUMPRODUCT((TRIM(tblDados[Visitante])=$A559)*tblDados[Primeira_Ocorrencia]*((tblDados[GM_V]+tblDados[GS_V])&gt;1.5)))/G559,0))</f>
        <v/>
      </c>
      <c r="M559" s="16" t="str" cm="1">
        <f t="array" ref="M559">IF($A559="","",IFERROR((SUMPRODUCT((TRIM(tblDados[Mandante])=$A559)*tblDados[Primeira_Ocorrencia]*((tblDados[GM_M]+tblDados[GS_M])&gt;2.5))+SUMPRODUCT((TRIM(tblDados[Visitante])=$A559)*tblDados[Primeira_Ocorrencia]*((tblDados[GM_V]+tblDados[GS_V])&gt;2.5)))/G559,0))</f>
        <v/>
      </c>
      <c r="N559" s="16" t="str" cm="1">
        <f t="array" ref="N559">IF($A559="","",IFERROR((SUMPRODUCT((TRIM(tblDados[Mandante])=$A559)*tblDados[Primeira_Ocorrencia]*((tblDados[GM_M]+tblDados[GS_M])&gt;3.5))+SUMPRODUCT((TRIM(tblDados[Visitante])=$A559)*tblDados[Primeira_Ocorrencia]*((tblDados[GM_V]+tblDados[GS_V])&gt;3.5)))/G559,0))</f>
        <v/>
      </c>
      <c r="O559" s="16" t="str" cm="1">
        <f t="array" ref="O559">IF($A559="","",IFERROR((SUMPRODUCT((TRIM(tblDados[Mandante])=$A559)*tblDados[Primeira_Ocorrencia]*(tblDados[GM_M]&gt;0)*(tblDados[GS_M]&gt;0))+SUMPRODUCT((TRIM(tblDados[Visitante])=$A559)*tblDados[Primeira_Ocorrencia]*(tblDados[GM_V]&gt;0)*(tblDados[GS_V]&gt;0)))/G559,0))</f>
        <v/>
      </c>
      <c r="P559" s="14" t="str" cm="1">
        <f t="array" ref="P559">IF($A559="","",IFERROR((SUMPRODUCT((TRIM(tblDados[Mandante])=$A559)*tblDados[Primeira_Ocorrencia]*tblDados[GM_M]^2)+SUMPRODUCT((TRIM(tblDados[Visitante])=$A559)*tblDados[Primeira_Ocorrencia]*tblDados[GM_V]^2))/G559-H559^2,0))</f>
        <v/>
      </c>
      <c r="Q559" s="14" t="str">
        <f t="shared" si="161"/>
        <v/>
      </c>
      <c r="R559" s="1" t="str">
        <f t="shared" si="162"/>
        <v/>
      </c>
      <c r="S559" s="14" t="str" cm="1">
        <f t="array" ref="S559">IF($A559="","",SUMPRODUCT((TRIM(tblDados[Mandante])=$A559)*tblDados[Primeira_Ocorrencia]*tblDados[GM_M]))</f>
        <v/>
      </c>
      <c r="T559" s="14" t="str" cm="1">
        <f t="array" ref="T559">IF($A559="","",SUMPRODUCT((TRIM(tblDados[Visitante])=$A559)*tblDados[Primeira_Ocorrencia]*tblDados[GM_V]))</f>
        <v/>
      </c>
      <c r="U559" s="14" t="str">
        <f t="shared" si="163"/>
        <v/>
      </c>
      <c r="V559" s="14" t="str">
        <f t="shared" si="152"/>
        <v/>
      </c>
      <c r="W559" s="14" t="str" cm="1">
        <f t="array" ref="W559">IF($A559="","",SUMPRODUCT((TRIM(tblDados[Mandante])=$A559)*tblDados[Primeira_Ocorrencia]*tblDados[GS_M]))</f>
        <v/>
      </c>
      <c r="X559" s="14" t="str" cm="1">
        <f t="array" ref="X559">IF($A559="","",SUMPRODUCT((TRIM(tblDados[Visitante])=$A559)*tblDados[Primeira_Ocorrencia]*tblDados[GS_V]))</f>
        <v/>
      </c>
      <c r="Y559" s="14" t="str">
        <f t="shared" si="164"/>
        <v/>
      </c>
      <c r="Z559" s="14" t="str">
        <f t="shared" si="153"/>
        <v/>
      </c>
      <c r="AA559" s="14" t="str">
        <f t="shared" si="154"/>
        <v/>
      </c>
      <c r="AB559" s="14" t="str">
        <f t="shared" si="155"/>
        <v/>
      </c>
      <c r="AC559" s="14" t="str">
        <f t="shared" si="156"/>
        <v/>
      </c>
      <c r="AD559" s="14" t="str">
        <f t="shared" si="157"/>
        <v/>
      </c>
    </row>
    <row r="560" spans="2:30" x14ac:dyDescent="0.3">
      <c r="B560" s="13" t="str" cm="1">
        <f t="array" ref="B560">IF($A560="","",_xlfn.LET(_xlpm.p,IFERROR(INDEX(tblDados[País],MATCH($A560,TRIM(tblDados[Mandante]),0)),INDEX(tblDados[País],MATCH($A560,TRIM(tblDados[Visitante]),0))),_xlpm.l,IFERROR(INDEX(tblDados[Liga],MATCH($A560,TRIM(tblDados[Mandante]),0)),INDEX(tblDados[Liga],MATCH($A560,TRIM(tblDados[Visitante]),0))),_xlpm.p&amp;" - "&amp;_xlpm.l))</f>
        <v/>
      </c>
      <c r="C560" s="14" t="str">
        <f t="shared" si="158"/>
        <v/>
      </c>
      <c r="D560" s="14" t="str">
        <f t="shared" si="159"/>
        <v/>
      </c>
      <c r="E560" s="15" t="str" cm="1">
        <f t="array" ref="E560">IF($A560="","",SUMPRODUCT((TRIM(tblDados[Mandante])=$A560)*tblDados[Primeira_Ocorrencia]))</f>
        <v/>
      </c>
      <c r="F560" s="15" t="str" cm="1">
        <f t="array" ref="F560">IF($A560="","",SUMPRODUCT((TRIM(tblDados[Visitante])=$A560)*tblDados[Primeira_Ocorrencia]))</f>
        <v/>
      </c>
      <c r="G560" s="15" t="str" cm="1">
        <f t="array" ref="G560">IF($A560="","",SUMPRODUCT((TRIM(tblDados[Mandante])=$A560)*tblDados[Primeira_Ocorrencia])+SUMPRODUCT((TRIM(tblDados[Visitante])=$A560)*tblDados[Primeira_Ocorrencia]))</f>
        <v/>
      </c>
      <c r="H560" s="14" t="str">
        <f t="shared" si="160"/>
        <v/>
      </c>
      <c r="I560" s="14" t="str" cm="1">
        <f t="array" ref="I560">IF($A560="","",_xlfn.LET(_xlpm.p,IFERROR(INDEX(tblDados[País],MATCH($A560,TRIM(tblDados[Mandante]),0)),INDEX(tblDados[País],MATCH($A560,TRIM(tblDados[Visitante]),0))),_xlpm.l,IFERROR(INDEX(tblDados[Liga],MATCH($A560,TRIM(tblDados[Mandante]),0)),INDEX(tblDados[Liga],MATCH($A560,TRIM(tblDados[Visitante]),0))),IFERROR(SUMIFS(Ligas!$D$2:$D$39,Ligas!$H$2:$H$39,_xlpm.p,Ligas!$I$2:$I$39,_xlpm.l),0)))</f>
        <v/>
      </c>
      <c r="J560" s="16" t="str" cm="1">
        <f t="array" ref="J560">IF($A560="","",IFERROR((SUMPRODUCT((TRIM(tblDados[Mandante])=$A560)*tblDados[Primeira_Ocorrencia]*(tblDados[GM_M]=0))+SUMPRODUCT((TRIM(tblDados[Visitante])=$A560)*tblDados[Primeira_Ocorrencia]*(tblDados[GM_V]=0)))/G560,0))</f>
        <v/>
      </c>
      <c r="K560" s="16" t="str" cm="1">
        <f t="array" ref="K560">IF($A560="","",IFERROR((SUMPRODUCT((TRIM(tblDados[Mandante])=$A560)*tblDados[Primeira_Ocorrencia]*((tblDados[GM_M]+tblDados[GS_M])&gt;0.5))+SUMPRODUCT((TRIM(tblDados[Visitante])=$A560)*tblDados[Primeira_Ocorrencia]*((tblDados[GM_V]+tblDados[GS_V])&gt;0.5)))/G560,0))</f>
        <v/>
      </c>
      <c r="L560" s="16" t="str" cm="1">
        <f t="array" ref="L560">IF($A560="","",IFERROR((SUMPRODUCT((TRIM(tblDados[Mandante])=$A560)*tblDados[Primeira_Ocorrencia]*((tblDados[GM_M]+tblDados[GS_M])&gt;1.5))+SUMPRODUCT((TRIM(tblDados[Visitante])=$A560)*tblDados[Primeira_Ocorrencia]*((tblDados[GM_V]+tblDados[GS_V])&gt;1.5)))/G560,0))</f>
        <v/>
      </c>
      <c r="M560" s="16" t="str" cm="1">
        <f t="array" ref="M560">IF($A560="","",IFERROR((SUMPRODUCT((TRIM(tblDados[Mandante])=$A560)*tblDados[Primeira_Ocorrencia]*((tblDados[GM_M]+tblDados[GS_M])&gt;2.5))+SUMPRODUCT((TRIM(tblDados[Visitante])=$A560)*tblDados[Primeira_Ocorrencia]*((tblDados[GM_V]+tblDados[GS_V])&gt;2.5)))/G560,0))</f>
        <v/>
      </c>
      <c r="N560" s="16" t="str" cm="1">
        <f t="array" ref="N560">IF($A560="","",IFERROR((SUMPRODUCT((TRIM(tblDados[Mandante])=$A560)*tblDados[Primeira_Ocorrencia]*((tblDados[GM_M]+tblDados[GS_M])&gt;3.5))+SUMPRODUCT((TRIM(tblDados[Visitante])=$A560)*tblDados[Primeira_Ocorrencia]*((tblDados[GM_V]+tblDados[GS_V])&gt;3.5)))/G560,0))</f>
        <v/>
      </c>
      <c r="O560" s="16" t="str" cm="1">
        <f t="array" ref="O560">IF($A560="","",IFERROR((SUMPRODUCT((TRIM(tblDados[Mandante])=$A560)*tblDados[Primeira_Ocorrencia]*(tblDados[GM_M]&gt;0)*(tblDados[GS_M]&gt;0))+SUMPRODUCT((TRIM(tblDados[Visitante])=$A560)*tblDados[Primeira_Ocorrencia]*(tblDados[GM_V]&gt;0)*(tblDados[GS_V]&gt;0)))/G560,0))</f>
        <v/>
      </c>
      <c r="P560" s="14" t="str" cm="1">
        <f t="array" ref="P560">IF($A560="","",IFERROR((SUMPRODUCT((TRIM(tblDados[Mandante])=$A560)*tblDados[Primeira_Ocorrencia]*tblDados[GM_M]^2)+SUMPRODUCT((TRIM(tblDados[Visitante])=$A560)*tblDados[Primeira_Ocorrencia]*tblDados[GM_V]^2))/G560-H560^2,0))</f>
        <v/>
      </c>
      <c r="Q560" s="14" t="str">
        <f t="shared" si="161"/>
        <v/>
      </c>
      <c r="R560" s="1" t="str">
        <f t="shared" si="162"/>
        <v/>
      </c>
      <c r="S560" s="14" t="str" cm="1">
        <f t="array" ref="S560">IF($A560="","",SUMPRODUCT((TRIM(tblDados[Mandante])=$A560)*tblDados[Primeira_Ocorrencia]*tblDados[GM_M]))</f>
        <v/>
      </c>
      <c r="T560" s="14" t="str" cm="1">
        <f t="array" ref="T560">IF($A560="","",SUMPRODUCT((TRIM(tblDados[Visitante])=$A560)*tblDados[Primeira_Ocorrencia]*tblDados[GM_V]))</f>
        <v/>
      </c>
      <c r="U560" s="14" t="str">
        <f t="shared" si="163"/>
        <v/>
      </c>
      <c r="V560" s="14" t="str">
        <f t="shared" si="152"/>
        <v/>
      </c>
      <c r="W560" s="14" t="str" cm="1">
        <f t="array" ref="W560">IF($A560="","",SUMPRODUCT((TRIM(tblDados[Mandante])=$A560)*tblDados[Primeira_Ocorrencia]*tblDados[GS_M]))</f>
        <v/>
      </c>
      <c r="X560" s="14" t="str" cm="1">
        <f t="array" ref="X560">IF($A560="","",SUMPRODUCT((TRIM(tblDados[Visitante])=$A560)*tblDados[Primeira_Ocorrencia]*tblDados[GS_V]))</f>
        <v/>
      </c>
      <c r="Y560" s="14" t="str">
        <f t="shared" si="164"/>
        <v/>
      </c>
      <c r="Z560" s="14" t="str">
        <f t="shared" si="153"/>
        <v/>
      </c>
      <c r="AA560" s="14" t="str">
        <f t="shared" si="154"/>
        <v/>
      </c>
      <c r="AB560" s="14" t="str">
        <f t="shared" si="155"/>
        <v/>
      </c>
      <c r="AC560" s="14" t="str">
        <f t="shared" si="156"/>
        <v/>
      </c>
      <c r="AD560" s="14" t="str">
        <f t="shared" si="157"/>
        <v/>
      </c>
    </row>
    <row r="561" spans="2:30" x14ac:dyDescent="0.3">
      <c r="B561" s="13" t="str" cm="1">
        <f t="array" ref="B561">IF($A561="","",_xlfn.LET(_xlpm.p,IFERROR(INDEX(tblDados[País],MATCH($A561,TRIM(tblDados[Mandante]),0)),INDEX(tblDados[País],MATCH($A561,TRIM(tblDados[Visitante]),0))),_xlpm.l,IFERROR(INDEX(tblDados[Liga],MATCH($A561,TRIM(tblDados[Mandante]),0)),INDEX(tblDados[Liga],MATCH($A561,TRIM(tblDados[Visitante]),0))),_xlpm.p&amp;" - "&amp;_xlpm.l))</f>
        <v/>
      </c>
      <c r="C561" s="14" t="str">
        <f t="shared" si="158"/>
        <v/>
      </c>
      <c r="D561" s="14" t="str">
        <f t="shared" si="159"/>
        <v/>
      </c>
      <c r="E561" s="15" t="str" cm="1">
        <f t="array" ref="E561">IF($A561="","",SUMPRODUCT((TRIM(tblDados[Mandante])=$A561)*tblDados[Primeira_Ocorrencia]))</f>
        <v/>
      </c>
      <c r="F561" s="15" t="str" cm="1">
        <f t="array" ref="F561">IF($A561="","",SUMPRODUCT((TRIM(tblDados[Visitante])=$A561)*tblDados[Primeira_Ocorrencia]))</f>
        <v/>
      </c>
      <c r="G561" s="15" t="str" cm="1">
        <f t="array" ref="G561">IF($A561="","",SUMPRODUCT((TRIM(tblDados[Mandante])=$A561)*tblDados[Primeira_Ocorrencia])+SUMPRODUCT((TRIM(tblDados[Visitante])=$A561)*tblDados[Primeira_Ocorrencia]))</f>
        <v/>
      </c>
      <c r="H561" s="14" t="str">
        <f t="shared" si="160"/>
        <v/>
      </c>
      <c r="I561" s="14" t="str" cm="1">
        <f t="array" ref="I561">IF($A561="","",_xlfn.LET(_xlpm.p,IFERROR(INDEX(tblDados[País],MATCH($A561,TRIM(tblDados[Mandante]),0)),INDEX(tblDados[País],MATCH($A561,TRIM(tblDados[Visitante]),0))),_xlpm.l,IFERROR(INDEX(tblDados[Liga],MATCH($A561,TRIM(tblDados[Mandante]),0)),INDEX(tblDados[Liga],MATCH($A561,TRIM(tblDados[Visitante]),0))),IFERROR(SUMIFS(Ligas!$D$2:$D$39,Ligas!$H$2:$H$39,_xlpm.p,Ligas!$I$2:$I$39,_xlpm.l),0)))</f>
        <v/>
      </c>
      <c r="J561" s="16" t="str" cm="1">
        <f t="array" ref="J561">IF($A561="","",IFERROR((SUMPRODUCT((TRIM(tblDados[Mandante])=$A561)*tblDados[Primeira_Ocorrencia]*(tblDados[GM_M]=0))+SUMPRODUCT((TRIM(tblDados[Visitante])=$A561)*tblDados[Primeira_Ocorrencia]*(tblDados[GM_V]=0)))/G561,0))</f>
        <v/>
      </c>
      <c r="K561" s="16" t="str" cm="1">
        <f t="array" ref="K561">IF($A561="","",IFERROR((SUMPRODUCT((TRIM(tblDados[Mandante])=$A561)*tblDados[Primeira_Ocorrencia]*((tblDados[GM_M]+tblDados[GS_M])&gt;0.5))+SUMPRODUCT((TRIM(tblDados[Visitante])=$A561)*tblDados[Primeira_Ocorrencia]*((tblDados[GM_V]+tblDados[GS_V])&gt;0.5)))/G561,0))</f>
        <v/>
      </c>
      <c r="L561" s="16" t="str" cm="1">
        <f t="array" ref="L561">IF($A561="","",IFERROR((SUMPRODUCT((TRIM(tblDados[Mandante])=$A561)*tblDados[Primeira_Ocorrencia]*((tblDados[GM_M]+tblDados[GS_M])&gt;1.5))+SUMPRODUCT((TRIM(tblDados[Visitante])=$A561)*tblDados[Primeira_Ocorrencia]*((tblDados[GM_V]+tblDados[GS_V])&gt;1.5)))/G561,0))</f>
        <v/>
      </c>
      <c r="M561" s="16" t="str" cm="1">
        <f t="array" ref="M561">IF($A561="","",IFERROR((SUMPRODUCT((TRIM(tblDados[Mandante])=$A561)*tblDados[Primeira_Ocorrencia]*((tblDados[GM_M]+tblDados[GS_M])&gt;2.5))+SUMPRODUCT((TRIM(tblDados[Visitante])=$A561)*tblDados[Primeira_Ocorrencia]*((tblDados[GM_V]+tblDados[GS_V])&gt;2.5)))/G561,0))</f>
        <v/>
      </c>
      <c r="N561" s="16" t="str" cm="1">
        <f t="array" ref="N561">IF($A561="","",IFERROR((SUMPRODUCT((TRIM(tblDados[Mandante])=$A561)*tblDados[Primeira_Ocorrencia]*((tblDados[GM_M]+tblDados[GS_M])&gt;3.5))+SUMPRODUCT((TRIM(tblDados[Visitante])=$A561)*tblDados[Primeira_Ocorrencia]*((tblDados[GM_V]+tblDados[GS_V])&gt;3.5)))/G561,0))</f>
        <v/>
      </c>
      <c r="O561" s="16" t="str" cm="1">
        <f t="array" ref="O561">IF($A561="","",IFERROR((SUMPRODUCT((TRIM(tblDados[Mandante])=$A561)*tblDados[Primeira_Ocorrencia]*(tblDados[GM_M]&gt;0)*(tblDados[GS_M]&gt;0))+SUMPRODUCT((TRIM(tblDados[Visitante])=$A561)*tblDados[Primeira_Ocorrencia]*(tblDados[GM_V]&gt;0)*(tblDados[GS_V]&gt;0)))/G561,0))</f>
        <v/>
      </c>
      <c r="P561" s="14" t="str" cm="1">
        <f t="array" ref="P561">IF($A561="","",IFERROR((SUMPRODUCT((TRIM(tblDados[Mandante])=$A561)*tblDados[Primeira_Ocorrencia]*tblDados[GM_M]^2)+SUMPRODUCT((TRIM(tblDados[Visitante])=$A561)*tblDados[Primeira_Ocorrencia]*tblDados[GM_V]^2))/G561-H561^2,0))</f>
        <v/>
      </c>
      <c r="Q561" s="14" t="str">
        <f t="shared" si="161"/>
        <v/>
      </c>
      <c r="R561" s="1" t="str">
        <f t="shared" si="162"/>
        <v/>
      </c>
      <c r="S561" s="14" t="str" cm="1">
        <f t="array" ref="S561">IF($A561="","",SUMPRODUCT((TRIM(tblDados[Mandante])=$A561)*tblDados[Primeira_Ocorrencia]*tblDados[GM_M]))</f>
        <v/>
      </c>
      <c r="T561" s="14" t="str" cm="1">
        <f t="array" ref="T561">IF($A561="","",SUMPRODUCT((TRIM(tblDados[Visitante])=$A561)*tblDados[Primeira_Ocorrencia]*tblDados[GM_V]))</f>
        <v/>
      </c>
      <c r="U561" s="14" t="str">
        <f t="shared" si="163"/>
        <v/>
      </c>
      <c r="V561" s="14" t="str">
        <f t="shared" si="152"/>
        <v/>
      </c>
      <c r="W561" s="14" t="str" cm="1">
        <f t="array" ref="W561">IF($A561="","",SUMPRODUCT((TRIM(tblDados[Mandante])=$A561)*tblDados[Primeira_Ocorrencia]*tblDados[GS_M]))</f>
        <v/>
      </c>
      <c r="X561" s="14" t="str" cm="1">
        <f t="array" ref="X561">IF($A561="","",SUMPRODUCT((TRIM(tblDados[Visitante])=$A561)*tblDados[Primeira_Ocorrencia]*tblDados[GS_V]))</f>
        <v/>
      </c>
      <c r="Y561" s="14" t="str">
        <f t="shared" si="164"/>
        <v/>
      </c>
      <c r="Z561" s="14" t="str">
        <f t="shared" si="153"/>
        <v/>
      </c>
      <c r="AA561" s="14" t="str">
        <f t="shared" si="154"/>
        <v/>
      </c>
      <c r="AB561" s="14" t="str">
        <f t="shared" si="155"/>
        <v/>
      </c>
      <c r="AC561" s="14" t="str">
        <f t="shared" si="156"/>
        <v/>
      </c>
      <c r="AD561" s="14" t="str">
        <f t="shared" si="157"/>
        <v/>
      </c>
    </row>
    <row r="562" spans="2:30" x14ac:dyDescent="0.3">
      <c r="B562" s="13" t="str" cm="1">
        <f t="array" ref="B562">IF($A562="","",_xlfn.LET(_xlpm.p,IFERROR(INDEX(tblDados[País],MATCH($A562,TRIM(tblDados[Mandante]),0)),INDEX(tblDados[País],MATCH($A562,TRIM(tblDados[Visitante]),0))),_xlpm.l,IFERROR(INDEX(tblDados[Liga],MATCH($A562,TRIM(tblDados[Mandante]),0)),INDEX(tblDados[Liga],MATCH($A562,TRIM(tblDados[Visitante]),0))),_xlpm.p&amp;" - "&amp;_xlpm.l))</f>
        <v/>
      </c>
      <c r="C562" s="14" t="str">
        <f t="shared" si="158"/>
        <v/>
      </c>
      <c r="D562" s="14" t="str">
        <f t="shared" si="159"/>
        <v/>
      </c>
      <c r="E562" s="15" t="str" cm="1">
        <f t="array" ref="E562">IF($A562="","",SUMPRODUCT((TRIM(tblDados[Mandante])=$A562)*tblDados[Primeira_Ocorrencia]))</f>
        <v/>
      </c>
      <c r="F562" s="15" t="str" cm="1">
        <f t="array" ref="F562">IF($A562="","",SUMPRODUCT((TRIM(tblDados[Visitante])=$A562)*tblDados[Primeira_Ocorrencia]))</f>
        <v/>
      </c>
      <c r="G562" s="15" t="str" cm="1">
        <f t="array" ref="G562">IF($A562="","",SUMPRODUCT((TRIM(tblDados[Mandante])=$A562)*tblDados[Primeira_Ocorrencia])+SUMPRODUCT((TRIM(tblDados[Visitante])=$A562)*tblDados[Primeira_Ocorrencia]))</f>
        <v/>
      </c>
      <c r="H562" s="14" t="str">
        <f t="shared" si="160"/>
        <v/>
      </c>
      <c r="I562" s="14" t="str" cm="1">
        <f t="array" ref="I562">IF($A562="","",_xlfn.LET(_xlpm.p,IFERROR(INDEX(tblDados[País],MATCH($A562,TRIM(tblDados[Mandante]),0)),INDEX(tblDados[País],MATCH($A562,TRIM(tblDados[Visitante]),0))),_xlpm.l,IFERROR(INDEX(tblDados[Liga],MATCH($A562,TRIM(tblDados[Mandante]),0)),INDEX(tblDados[Liga],MATCH($A562,TRIM(tblDados[Visitante]),0))),IFERROR(SUMIFS(Ligas!$D$2:$D$39,Ligas!$H$2:$H$39,_xlpm.p,Ligas!$I$2:$I$39,_xlpm.l),0)))</f>
        <v/>
      </c>
      <c r="J562" s="16" t="str" cm="1">
        <f t="array" ref="J562">IF($A562="","",IFERROR((SUMPRODUCT((TRIM(tblDados[Mandante])=$A562)*tblDados[Primeira_Ocorrencia]*(tblDados[GM_M]=0))+SUMPRODUCT((TRIM(tblDados[Visitante])=$A562)*tblDados[Primeira_Ocorrencia]*(tblDados[GM_V]=0)))/G562,0))</f>
        <v/>
      </c>
      <c r="K562" s="16" t="str" cm="1">
        <f t="array" ref="K562">IF($A562="","",IFERROR((SUMPRODUCT((TRIM(tblDados[Mandante])=$A562)*tblDados[Primeira_Ocorrencia]*((tblDados[GM_M]+tblDados[GS_M])&gt;0.5))+SUMPRODUCT((TRIM(tblDados[Visitante])=$A562)*tblDados[Primeira_Ocorrencia]*((tblDados[GM_V]+tblDados[GS_V])&gt;0.5)))/G562,0))</f>
        <v/>
      </c>
      <c r="L562" s="16" t="str" cm="1">
        <f t="array" ref="L562">IF($A562="","",IFERROR((SUMPRODUCT((TRIM(tblDados[Mandante])=$A562)*tblDados[Primeira_Ocorrencia]*((tblDados[GM_M]+tblDados[GS_M])&gt;1.5))+SUMPRODUCT((TRIM(tblDados[Visitante])=$A562)*tblDados[Primeira_Ocorrencia]*((tblDados[GM_V]+tblDados[GS_V])&gt;1.5)))/G562,0))</f>
        <v/>
      </c>
      <c r="M562" s="16" t="str" cm="1">
        <f t="array" ref="M562">IF($A562="","",IFERROR((SUMPRODUCT((TRIM(tblDados[Mandante])=$A562)*tblDados[Primeira_Ocorrencia]*((tblDados[GM_M]+tblDados[GS_M])&gt;2.5))+SUMPRODUCT((TRIM(tblDados[Visitante])=$A562)*tblDados[Primeira_Ocorrencia]*((tblDados[GM_V]+tblDados[GS_V])&gt;2.5)))/G562,0))</f>
        <v/>
      </c>
      <c r="N562" s="16" t="str" cm="1">
        <f t="array" ref="N562">IF($A562="","",IFERROR((SUMPRODUCT((TRIM(tblDados[Mandante])=$A562)*tblDados[Primeira_Ocorrencia]*((tblDados[GM_M]+tblDados[GS_M])&gt;3.5))+SUMPRODUCT((TRIM(tblDados[Visitante])=$A562)*tblDados[Primeira_Ocorrencia]*((tblDados[GM_V]+tblDados[GS_V])&gt;3.5)))/G562,0))</f>
        <v/>
      </c>
      <c r="O562" s="16" t="str" cm="1">
        <f t="array" ref="O562">IF($A562="","",IFERROR((SUMPRODUCT((TRIM(tblDados[Mandante])=$A562)*tblDados[Primeira_Ocorrencia]*(tblDados[GM_M]&gt;0)*(tblDados[GS_M]&gt;0))+SUMPRODUCT((TRIM(tblDados[Visitante])=$A562)*tblDados[Primeira_Ocorrencia]*(tblDados[GM_V]&gt;0)*(tblDados[GS_V]&gt;0)))/G562,0))</f>
        <v/>
      </c>
      <c r="P562" s="14" t="str" cm="1">
        <f t="array" ref="P562">IF($A562="","",IFERROR((SUMPRODUCT((TRIM(tblDados[Mandante])=$A562)*tblDados[Primeira_Ocorrencia]*tblDados[GM_M]^2)+SUMPRODUCT((TRIM(tblDados[Visitante])=$A562)*tblDados[Primeira_Ocorrencia]*tblDados[GM_V]^2))/G562-H562^2,0))</f>
        <v/>
      </c>
      <c r="Q562" s="14" t="str">
        <f t="shared" si="161"/>
        <v/>
      </c>
      <c r="R562" s="1" t="str">
        <f t="shared" si="162"/>
        <v/>
      </c>
      <c r="S562" s="14" t="str" cm="1">
        <f t="array" ref="S562">IF($A562="","",SUMPRODUCT((TRIM(tblDados[Mandante])=$A562)*tblDados[Primeira_Ocorrencia]*tblDados[GM_M]))</f>
        <v/>
      </c>
      <c r="T562" s="14" t="str" cm="1">
        <f t="array" ref="T562">IF($A562="","",SUMPRODUCT((TRIM(tblDados[Visitante])=$A562)*tblDados[Primeira_Ocorrencia]*tblDados[GM_V]))</f>
        <v/>
      </c>
      <c r="U562" s="14" t="str">
        <f t="shared" si="163"/>
        <v/>
      </c>
      <c r="V562" s="14" t="str">
        <f t="shared" si="152"/>
        <v/>
      </c>
      <c r="W562" s="14" t="str" cm="1">
        <f t="array" ref="W562">IF($A562="","",SUMPRODUCT((TRIM(tblDados[Mandante])=$A562)*tblDados[Primeira_Ocorrencia]*tblDados[GS_M]))</f>
        <v/>
      </c>
      <c r="X562" s="14" t="str" cm="1">
        <f t="array" ref="X562">IF($A562="","",SUMPRODUCT((TRIM(tblDados[Visitante])=$A562)*tblDados[Primeira_Ocorrencia]*tblDados[GS_V]))</f>
        <v/>
      </c>
      <c r="Y562" s="14" t="str">
        <f t="shared" si="164"/>
        <v/>
      </c>
      <c r="Z562" s="14" t="str">
        <f t="shared" si="153"/>
        <v/>
      </c>
      <c r="AA562" s="14" t="str">
        <f t="shared" si="154"/>
        <v/>
      </c>
      <c r="AB562" s="14" t="str">
        <f t="shared" si="155"/>
        <v/>
      </c>
      <c r="AC562" s="14" t="str">
        <f t="shared" si="156"/>
        <v/>
      </c>
      <c r="AD562" s="14" t="str">
        <f t="shared" si="157"/>
        <v/>
      </c>
    </row>
    <row r="563" spans="2:30" x14ac:dyDescent="0.3">
      <c r="B563" s="13" t="str" cm="1">
        <f t="array" ref="B563">IF($A563="","",_xlfn.LET(_xlpm.p,IFERROR(INDEX(tblDados[País],MATCH($A563,TRIM(tblDados[Mandante]),0)),INDEX(tblDados[País],MATCH($A563,TRIM(tblDados[Visitante]),0))),_xlpm.l,IFERROR(INDEX(tblDados[Liga],MATCH($A563,TRIM(tblDados[Mandante]),0)),INDEX(tblDados[Liga],MATCH($A563,TRIM(tblDados[Visitante]),0))),_xlpm.p&amp;" - "&amp;_xlpm.l))</f>
        <v/>
      </c>
      <c r="C563" s="14" t="str">
        <f t="shared" si="158"/>
        <v/>
      </c>
      <c r="D563" s="14" t="str">
        <f t="shared" si="159"/>
        <v/>
      </c>
      <c r="E563" s="15" t="str" cm="1">
        <f t="array" ref="E563">IF($A563="","",SUMPRODUCT((TRIM(tblDados[Mandante])=$A563)*tblDados[Primeira_Ocorrencia]))</f>
        <v/>
      </c>
      <c r="F563" s="15" t="str" cm="1">
        <f t="array" ref="F563">IF($A563="","",SUMPRODUCT((TRIM(tblDados[Visitante])=$A563)*tblDados[Primeira_Ocorrencia]))</f>
        <v/>
      </c>
      <c r="G563" s="15" t="str" cm="1">
        <f t="array" ref="G563">IF($A563="","",SUMPRODUCT((TRIM(tblDados[Mandante])=$A563)*tblDados[Primeira_Ocorrencia])+SUMPRODUCT((TRIM(tblDados[Visitante])=$A563)*tblDados[Primeira_Ocorrencia]))</f>
        <v/>
      </c>
      <c r="H563" s="14" t="str">
        <f t="shared" si="160"/>
        <v/>
      </c>
      <c r="I563" s="14" t="str" cm="1">
        <f t="array" ref="I563">IF($A563="","",_xlfn.LET(_xlpm.p,IFERROR(INDEX(tblDados[País],MATCH($A563,TRIM(tblDados[Mandante]),0)),INDEX(tblDados[País],MATCH($A563,TRIM(tblDados[Visitante]),0))),_xlpm.l,IFERROR(INDEX(tblDados[Liga],MATCH($A563,TRIM(tblDados[Mandante]),0)),INDEX(tblDados[Liga],MATCH($A563,TRIM(tblDados[Visitante]),0))),IFERROR(SUMIFS(Ligas!$D$2:$D$39,Ligas!$H$2:$H$39,_xlpm.p,Ligas!$I$2:$I$39,_xlpm.l),0)))</f>
        <v/>
      </c>
      <c r="J563" s="16" t="str" cm="1">
        <f t="array" ref="J563">IF($A563="","",IFERROR((SUMPRODUCT((TRIM(tblDados[Mandante])=$A563)*tblDados[Primeira_Ocorrencia]*(tblDados[GM_M]=0))+SUMPRODUCT((TRIM(tblDados[Visitante])=$A563)*tblDados[Primeira_Ocorrencia]*(tblDados[GM_V]=0)))/G563,0))</f>
        <v/>
      </c>
      <c r="K563" s="16" t="str" cm="1">
        <f t="array" ref="K563">IF($A563="","",IFERROR((SUMPRODUCT((TRIM(tblDados[Mandante])=$A563)*tblDados[Primeira_Ocorrencia]*((tblDados[GM_M]+tblDados[GS_M])&gt;0.5))+SUMPRODUCT((TRIM(tblDados[Visitante])=$A563)*tblDados[Primeira_Ocorrencia]*((tblDados[GM_V]+tblDados[GS_V])&gt;0.5)))/G563,0))</f>
        <v/>
      </c>
      <c r="L563" s="16" t="str" cm="1">
        <f t="array" ref="L563">IF($A563="","",IFERROR((SUMPRODUCT((TRIM(tblDados[Mandante])=$A563)*tblDados[Primeira_Ocorrencia]*((tblDados[GM_M]+tblDados[GS_M])&gt;1.5))+SUMPRODUCT((TRIM(tblDados[Visitante])=$A563)*tblDados[Primeira_Ocorrencia]*((tblDados[GM_V]+tblDados[GS_V])&gt;1.5)))/G563,0))</f>
        <v/>
      </c>
      <c r="M563" s="16" t="str" cm="1">
        <f t="array" ref="M563">IF($A563="","",IFERROR((SUMPRODUCT((TRIM(tblDados[Mandante])=$A563)*tblDados[Primeira_Ocorrencia]*((tblDados[GM_M]+tblDados[GS_M])&gt;2.5))+SUMPRODUCT((TRIM(tblDados[Visitante])=$A563)*tblDados[Primeira_Ocorrencia]*((tblDados[GM_V]+tblDados[GS_V])&gt;2.5)))/G563,0))</f>
        <v/>
      </c>
      <c r="N563" s="16" t="str" cm="1">
        <f t="array" ref="N563">IF($A563="","",IFERROR((SUMPRODUCT((TRIM(tblDados[Mandante])=$A563)*tblDados[Primeira_Ocorrencia]*((tblDados[GM_M]+tblDados[GS_M])&gt;3.5))+SUMPRODUCT((TRIM(tblDados[Visitante])=$A563)*tblDados[Primeira_Ocorrencia]*((tblDados[GM_V]+tblDados[GS_V])&gt;3.5)))/G563,0))</f>
        <v/>
      </c>
      <c r="O563" s="16" t="str" cm="1">
        <f t="array" ref="O563">IF($A563="","",IFERROR((SUMPRODUCT((TRIM(tblDados[Mandante])=$A563)*tblDados[Primeira_Ocorrencia]*(tblDados[GM_M]&gt;0)*(tblDados[GS_M]&gt;0))+SUMPRODUCT((TRIM(tblDados[Visitante])=$A563)*tblDados[Primeira_Ocorrencia]*(tblDados[GM_V]&gt;0)*(tblDados[GS_V]&gt;0)))/G563,0))</f>
        <v/>
      </c>
      <c r="P563" s="14" t="str" cm="1">
        <f t="array" ref="P563">IF($A563="","",IFERROR((SUMPRODUCT((TRIM(tblDados[Mandante])=$A563)*tblDados[Primeira_Ocorrencia]*tblDados[GM_M]^2)+SUMPRODUCT((TRIM(tblDados[Visitante])=$A563)*tblDados[Primeira_Ocorrencia]*tblDados[GM_V]^2))/G563-H563^2,0))</f>
        <v/>
      </c>
      <c r="Q563" s="14" t="str">
        <f t="shared" si="161"/>
        <v/>
      </c>
      <c r="R563" s="1" t="str">
        <f t="shared" si="162"/>
        <v/>
      </c>
      <c r="S563" s="14" t="str" cm="1">
        <f t="array" ref="S563">IF($A563="","",SUMPRODUCT((TRIM(tblDados[Mandante])=$A563)*tblDados[Primeira_Ocorrencia]*tblDados[GM_M]))</f>
        <v/>
      </c>
      <c r="T563" s="14" t="str" cm="1">
        <f t="array" ref="T563">IF($A563="","",SUMPRODUCT((TRIM(tblDados[Visitante])=$A563)*tblDados[Primeira_Ocorrencia]*tblDados[GM_V]))</f>
        <v/>
      </c>
      <c r="U563" s="14" t="str">
        <f t="shared" si="163"/>
        <v/>
      </c>
      <c r="V563" s="14" t="str">
        <f t="shared" si="152"/>
        <v/>
      </c>
      <c r="W563" s="14" t="str" cm="1">
        <f t="array" ref="W563">IF($A563="","",SUMPRODUCT((TRIM(tblDados[Mandante])=$A563)*tblDados[Primeira_Ocorrencia]*tblDados[GS_M]))</f>
        <v/>
      </c>
      <c r="X563" s="14" t="str" cm="1">
        <f t="array" ref="X563">IF($A563="","",SUMPRODUCT((TRIM(tblDados[Visitante])=$A563)*tblDados[Primeira_Ocorrencia]*tblDados[GS_V]))</f>
        <v/>
      </c>
      <c r="Y563" s="14" t="str">
        <f t="shared" si="164"/>
        <v/>
      </c>
      <c r="Z563" s="14" t="str">
        <f t="shared" si="153"/>
        <v/>
      </c>
      <c r="AA563" s="14" t="str">
        <f t="shared" si="154"/>
        <v/>
      </c>
      <c r="AB563" s="14" t="str">
        <f t="shared" si="155"/>
        <v/>
      </c>
      <c r="AC563" s="14" t="str">
        <f t="shared" si="156"/>
        <v/>
      </c>
      <c r="AD563" s="14" t="str">
        <f t="shared" si="157"/>
        <v/>
      </c>
    </row>
    <row r="564" spans="2:30" x14ac:dyDescent="0.3">
      <c r="B564" s="13" t="str" cm="1">
        <f t="array" ref="B564">IF($A564="","",_xlfn.LET(_xlpm.p,IFERROR(INDEX(tblDados[País],MATCH($A564,TRIM(tblDados[Mandante]),0)),INDEX(tblDados[País],MATCH($A564,TRIM(tblDados[Visitante]),0))),_xlpm.l,IFERROR(INDEX(tblDados[Liga],MATCH($A564,TRIM(tblDados[Mandante]),0)),INDEX(tblDados[Liga],MATCH($A564,TRIM(tblDados[Visitante]),0))),_xlpm.p&amp;" - "&amp;_xlpm.l))</f>
        <v/>
      </c>
      <c r="C564" s="14" t="str">
        <f t="shared" si="158"/>
        <v/>
      </c>
      <c r="D564" s="14" t="str">
        <f t="shared" si="159"/>
        <v/>
      </c>
      <c r="E564" s="15" t="str" cm="1">
        <f t="array" ref="E564">IF($A564="","",SUMPRODUCT((TRIM(tblDados[Mandante])=$A564)*tblDados[Primeira_Ocorrencia]))</f>
        <v/>
      </c>
      <c r="F564" s="15" t="str" cm="1">
        <f t="array" ref="F564">IF($A564="","",SUMPRODUCT((TRIM(tblDados[Visitante])=$A564)*tblDados[Primeira_Ocorrencia]))</f>
        <v/>
      </c>
      <c r="G564" s="15" t="str" cm="1">
        <f t="array" ref="G564">IF($A564="","",SUMPRODUCT((TRIM(tblDados[Mandante])=$A564)*tblDados[Primeira_Ocorrencia])+SUMPRODUCT((TRIM(tblDados[Visitante])=$A564)*tblDados[Primeira_Ocorrencia]))</f>
        <v/>
      </c>
      <c r="H564" s="14" t="str">
        <f t="shared" si="160"/>
        <v/>
      </c>
      <c r="I564" s="14" t="str" cm="1">
        <f t="array" ref="I564">IF($A564="","",_xlfn.LET(_xlpm.p,IFERROR(INDEX(tblDados[País],MATCH($A564,TRIM(tblDados[Mandante]),0)),INDEX(tblDados[País],MATCH($A564,TRIM(tblDados[Visitante]),0))),_xlpm.l,IFERROR(INDEX(tblDados[Liga],MATCH($A564,TRIM(tblDados[Mandante]),0)),INDEX(tblDados[Liga],MATCH($A564,TRIM(tblDados[Visitante]),0))),IFERROR(SUMIFS(Ligas!$D$2:$D$39,Ligas!$H$2:$H$39,_xlpm.p,Ligas!$I$2:$I$39,_xlpm.l),0)))</f>
        <v/>
      </c>
      <c r="J564" s="16" t="str" cm="1">
        <f t="array" ref="J564">IF($A564="","",IFERROR((SUMPRODUCT((TRIM(tblDados[Mandante])=$A564)*tblDados[Primeira_Ocorrencia]*(tblDados[GM_M]=0))+SUMPRODUCT((TRIM(tblDados[Visitante])=$A564)*tblDados[Primeira_Ocorrencia]*(tblDados[GM_V]=0)))/G564,0))</f>
        <v/>
      </c>
      <c r="K564" s="16" t="str" cm="1">
        <f t="array" ref="K564">IF($A564="","",IFERROR((SUMPRODUCT((TRIM(tblDados[Mandante])=$A564)*tblDados[Primeira_Ocorrencia]*((tblDados[GM_M]+tblDados[GS_M])&gt;0.5))+SUMPRODUCT((TRIM(tblDados[Visitante])=$A564)*tblDados[Primeira_Ocorrencia]*((tblDados[GM_V]+tblDados[GS_V])&gt;0.5)))/G564,0))</f>
        <v/>
      </c>
      <c r="L564" s="16" t="str" cm="1">
        <f t="array" ref="L564">IF($A564="","",IFERROR((SUMPRODUCT((TRIM(tblDados[Mandante])=$A564)*tblDados[Primeira_Ocorrencia]*((tblDados[GM_M]+tblDados[GS_M])&gt;1.5))+SUMPRODUCT((TRIM(tblDados[Visitante])=$A564)*tblDados[Primeira_Ocorrencia]*((tblDados[GM_V]+tblDados[GS_V])&gt;1.5)))/G564,0))</f>
        <v/>
      </c>
      <c r="M564" s="16" t="str" cm="1">
        <f t="array" ref="M564">IF($A564="","",IFERROR((SUMPRODUCT((TRIM(tblDados[Mandante])=$A564)*tblDados[Primeira_Ocorrencia]*((tblDados[GM_M]+tblDados[GS_M])&gt;2.5))+SUMPRODUCT((TRIM(tblDados[Visitante])=$A564)*tblDados[Primeira_Ocorrencia]*((tblDados[GM_V]+tblDados[GS_V])&gt;2.5)))/G564,0))</f>
        <v/>
      </c>
      <c r="N564" s="16" t="str" cm="1">
        <f t="array" ref="N564">IF($A564="","",IFERROR((SUMPRODUCT((TRIM(tblDados[Mandante])=$A564)*tblDados[Primeira_Ocorrencia]*((tblDados[GM_M]+tblDados[GS_M])&gt;3.5))+SUMPRODUCT((TRIM(tblDados[Visitante])=$A564)*tblDados[Primeira_Ocorrencia]*((tblDados[GM_V]+tblDados[GS_V])&gt;3.5)))/G564,0))</f>
        <v/>
      </c>
      <c r="O564" s="16" t="str" cm="1">
        <f t="array" ref="O564">IF($A564="","",IFERROR((SUMPRODUCT((TRIM(tblDados[Mandante])=$A564)*tblDados[Primeira_Ocorrencia]*(tblDados[GM_M]&gt;0)*(tblDados[GS_M]&gt;0))+SUMPRODUCT((TRIM(tblDados[Visitante])=$A564)*tblDados[Primeira_Ocorrencia]*(tblDados[GM_V]&gt;0)*(tblDados[GS_V]&gt;0)))/G564,0))</f>
        <v/>
      </c>
      <c r="P564" s="14" t="str" cm="1">
        <f t="array" ref="P564">IF($A564="","",IFERROR((SUMPRODUCT((TRIM(tblDados[Mandante])=$A564)*tblDados[Primeira_Ocorrencia]*tblDados[GM_M]^2)+SUMPRODUCT((TRIM(tblDados[Visitante])=$A564)*tblDados[Primeira_Ocorrencia]*tblDados[GM_V]^2))/G564-H564^2,0))</f>
        <v/>
      </c>
      <c r="Q564" s="14" t="str">
        <f t="shared" si="161"/>
        <v/>
      </c>
      <c r="R564" s="1" t="str">
        <f t="shared" si="162"/>
        <v/>
      </c>
      <c r="S564" s="14" t="str" cm="1">
        <f t="array" ref="S564">IF($A564="","",SUMPRODUCT((TRIM(tblDados[Mandante])=$A564)*tblDados[Primeira_Ocorrencia]*tblDados[GM_M]))</f>
        <v/>
      </c>
      <c r="T564" s="14" t="str" cm="1">
        <f t="array" ref="T564">IF($A564="","",SUMPRODUCT((TRIM(tblDados[Visitante])=$A564)*tblDados[Primeira_Ocorrencia]*tblDados[GM_V]))</f>
        <v/>
      </c>
      <c r="U564" s="14" t="str">
        <f t="shared" si="163"/>
        <v/>
      </c>
      <c r="V564" s="14" t="str">
        <f t="shared" si="152"/>
        <v/>
      </c>
      <c r="W564" s="14" t="str" cm="1">
        <f t="array" ref="W564">IF($A564="","",SUMPRODUCT((TRIM(tblDados[Mandante])=$A564)*tblDados[Primeira_Ocorrencia]*tblDados[GS_M]))</f>
        <v/>
      </c>
      <c r="X564" s="14" t="str" cm="1">
        <f t="array" ref="X564">IF($A564="","",SUMPRODUCT((TRIM(tblDados[Visitante])=$A564)*tblDados[Primeira_Ocorrencia]*tblDados[GS_V]))</f>
        <v/>
      </c>
      <c r="Y564" s="14" t="str">
        <f t="shared" si="164"/>
        <v/>
      </c>
      <c r="Z564" s="14" t="str">
        <f t="shared" si="153"/>
        <v/>
      </c>
      <c r="AA564" s="14" t="str">
        <f t="shared" si="154"/>
        <v/>
      </c>
      <c r="AB564" s="14" t="str">
        <f t="shared" si="155"/>
        <v/>
      </c>
      <c r="AC564" s="14" t="str">
        <f t="shared" si="156"/>
        <v/>
      </c>
      <c r="AD564" s="14" t="str">
        <f t="shared" si="157"/>
        <v/>
      </c>
    </row>
    <row r="565" spans="2:30" x14ac:dyDescent="0.3">
      <c r="B565" s="13" t="str" cm="1">
        <f t="array" ref="B565">IF($A565="","",_xlfn.LET(_xlpm.p,IFERROR(INDEX(tblDados[País],MATCH($A565,TRIM(tblDados[Mandante]),0)),INDEX(tblDados[País],MATCH($A565,TRIM(tblDados[Visitante]),0))),_xlpm.l,IFERROR(INDEX(tblDados[Liga],MATCH($A565,TRIM(tblDados[Mandante]),0)),INDEX(tblDados[Liga],MATCH($A565,TRIM(tblDados[Visitante]),0))),_xlpm.p&amp;" - "&amp;_xlpm.l))</f>
        <v/>
      </c>
      <c r="C565" s="14" t="str">
        <f t="shared" si="158"/>
        <v/>
      </c>
      <c r="D565" s="14" t="str">
        <f t="shared" si="159"/>
        <v/>
      </c>
      <c r="E565" s="15" t="str" cm="1">
        <f t="array" ref="E565">IF($A565="","",SUMPRODUCT((TRIM(tblDados[Mandante])=$A565)*tblDados[Primeira_Ocorrencia]))</f>
        <v/>
      </c>
      <c r="F565" s="15" t="str" cm="1">
        <f t="array" ref="F565">IF($A565="","",SUMPRODUCT((TRIM(tblDados[Visitante])=$A565)*tblDados[Primeira_Ocorrencia]))</f>
        <v/>
      </c>
      <c r="G565" s="15" t="str" cm="1">
        <f t="array" ref="G565">IF($A565="","",SUMPRODUCT((TRIM(tblDados[Mandante])=$A565)*tblDados[Primeira_Ocorrencia])+SUMPRODUCT((TRIM(tblDados[Visitante])=$A565)*tblDados[Primeira_Ocorrencia]))</f>
        <v/>
      </c>
      <c r="H565" s="14" t="str">
        <f t="shared" si="160"/>
        <v/>
      </c>
      <c r="I565" s="14" t="str" cm="1">
        <f t="array" ref="I565">IF($A565="","",_xlfn.LET(_xlpm.p,IFERROR(INDEX(tblDados[País],MATCH($A565,TRIM(tblDados[Mandante]),0)),INDEX(tblDados[País],MATCH($A565,TRIM(tblDados[Visitante]),0))),_xlpm.l,IFERROR(INDEX(tblDados[Liga],MATCH($A565,TRIM(tblDados[Mandante]),0)),INDEX(tblDados[Liga],MATCH($A565,TRIM(tblDados[Visitante]),0))),IFERROR(SUMIFS(Ligas!$D$2:$D$39,Ligas!$H$2:$H$39,_xlpm.p,Ligas!$I$2:$I$39,_xlpm.l),0)))</f>
        <v/>
      </c>
      <c r="J565" s="16" t="str" cm="1">
        <f t="array" ref="J565">IF($A565="","",IFERROR((SUMPRODUCT((TRIM(tblDados[Mandante])=$A565)*tblDados[Primeira_Ocorrencia]*(tblDados[GM_M]=0))+SUMPRODUCT((TRIM(tblDados[Visitante])=$A565)*tblDados[Primeira_Ocorrencia]*(tblDados[GM_V]=0)))/G565,0))</f>
        <v/>
      </c>
      <c r="K565" s="16" t="str" cm="1">
        <f t="array" ref="K565">IF($A565="","",IFERROR((SUMPRODUCT((TRIM(tblDados[Mandante])=$A565)*tblDados[Primeira_Ocorrencia]*((tblDados[GM_M]+tblDados[GS_M])&gt;0.5))+SUMPRODUCT((TRIM(tblDados[Visitante])=$A565)*tblDados[Primeira_Ocorrencia]*((tblDados[GM_V]+tblDados[GS_V])&gt;0.5)))/G565,0))</f>
        <v/>
      </c>
      <c r="L565" s="16" t="str" cm="1">
        <f t="array" ref="L565">IF($A565="","",IFERROR((SUMPRODUCT((TRIM(tblDados[Mandante])=$A565)*tblDados[Primeira_Ocorrencia]*((tblDados[GM_M]+tblDados[GS_M])&gt;1.5))+SUMPRODUCT((TRIM(tblDados[Visitante])=$A565)*tblDados[Primeira_Ocorrencia]*((tblDados[GM_V]+tblDados[GS_V])&gt;1.5)))/G565,0))</f>
        <v/>
      </c>
      <c r="M565" s="16" t="str" cm="1">
        <f t="array" ref="M565">IF($A565="","",IFERROR((SUMPRODUCT((TRIM(tblDados[Mandante])=$A565)*tblDados[Primeira_Ocorrencia]*((tblDados[GM_M]+tblDados[GS_M])&gt;2.5))+SUMPRODUCT((TRIM(tblDados[Visitante])=$A565)*tblDados[Primeira_Ocorrencia]*((tblDados[GM_V]+tblDados[GS_V])&gt;2.5)))/G565,0))</f>
        <v/>
      </c>
      <c r="N565" s="16" t="str" cm="1">
        <f t="array" ref="N565">IF($A565="","",IFERROR((SUMPRODUCT((TRIM(tblDados[Mandante])=$A565)*tblDados[Primeira_Ocorrencia]*((tblDados[GM_M]+tblDados[GS_M])&gt;3.5))+SUMPRODUCT((TRIM(tblDados[Visitante])=$A565)*tblDados[Primeira_Ocorrencia]*((tblDados[GM_V]+tblDados[GS_V])&gt;3.5)))/G565,0))</f>
        <v/>
      </c>
      <c r="O565" s="16" t="str" cm="1">
        <f t="array" ref="O565">IF($A565="","",IFERROR((SUMPRODUCT((TRIM(tblDados[Mandante])=$A565)*tblDados[Primeira_Ocorrencia]*(tblDados[GM_M]&gt;0)*(tblDados[GS_M]&gt;0))+SUMPRODUCT((TRIM(tblDados[Visitante])=$A565)*tblDados[Primeira_Ocorrencia]*(tblDados[GM_V]&gt;0)*(tblDados[GS_V]&gt;0)))/G565,0))</f>
        <v/>
      </c>
      <c r="P565" s="14" t="str" cm="1">
        <f t="array" ref="P565">IF($A565="","",IFERROR((SUMPRODUCT((TRIM(tblDados[Mandante])=$A565)*tblDados[Primeira_Ocorrencia]*tblDados[GM_M]^2)+SUMPRODUCT((TRIM(tblDados[Visitante])=$A565)*tblDados[Primeira_Ocorrencia]*tblDados[GM_V]^2))/G565-H565^2,0))</f>
        <v/>
      </c>
      <c r="Q565" s="14" t="str">
        <f t="shared" si="161"/>
        <v/>
      </c>
      <c r="R565" s="1" t="str">
        <f t="shared" si="162"/>
        <v/>
      </c>
      <c r="S565" s="14" t="str" cm="1">
        <f t="array" ref="S565">IF($A565="","",SUMPRODUCT((TRIM(tblDados[Mandante])=$A565)*tblDados[Primeira_Ocorrencia]*tblDados[GM_M]))</f>
        <v/>
      </c>
      <c r="T565" s="14" t="str" cm="1">
        <f t="array" ref="T565">IF($A565="","",SUMPRODUCT((TRIM(tblDados[Visitante])=$A565)*tblDados[Primeira_Ocorrencia]*tblDados[GM_V]))</f>
        <v/>
      </c>
      <c r="U565" s="14" t="str">
        <f t="shared" si="163"/>
        <v/>
      </c>
      <c r="V565" s="14" t="str">
        <f t="shared" si="152"/>
        <v/>
      </c>
      <c r="W565" s="14" t="str" cm="1">
        <f t="array" ref="W565">IF($A565="","",SUMPRODUCT((TRIM(tblDados[Mandante])=$A565)*tblDados[Primeira_Ocorrencia]*tblDados[GS_M]))</f>
        <v/>
      </c>
      <c r="X565" s="14" t="str" cm="1">
        <f t="array" ref="X565">IF($A565="","",SUMPRODUCT((TRIM(tblDados[Visitante])=$A565)*tblDados[Primeira_Ocorrencia]*tblDados[GS_V]))</f>
        <v/>
      </c>
      <c r="Y565" s="14" t="str">
        <f t="shared" si="164"/>
        <v/>
      </c>
      <c r="Z565" s="14" t="str">
        <f t="shared" si="153"/>
        <v/>
      </c>
      <c r="AA565" s="14" t="str">
        <f t="shared" si="154"/>
        <v/>
      </c>
      <c r="AB565" s="14" t="str">
        <f t="shared" si="155"/>
        <v/>
      </c>
      <c r="AC565" s="14" t="str">
        <f t="shared" si="156"/>
        <v/>
      </c>
      <c r="AD565" s="14" t="str">
        <f t="shared" si="157"/>
        <v/>
      </c>
    </row>
    <row r="566" spans="2:30" x14ac:dyDescent="0.3">
      <c r="B566" s="13" t="str" cm="1">
        <f t="array" ref="B566">IF($A566="","",_xlfn.LET(_xlpm.p,IFERROR(INDEX(tblDados[País],MATCH($A566,TRIM(tblDados[Mandante]),0)),INDEX(tblDados[País],MATCH($A566,TRIM(tblDados[Visitante]),0))),_xlpm.l,IFERROR(INDEX(tblDados[Liga],MATCH($A566,TRIM(tblDados[Mandante]),0)),INDEX(tblDados[Liga],MATCH($A566,TRIM(tblDados[Visitante]),0))),_xlpm.p&amp;" - "&amp;_xlpm.l))</f>
        <v/>
      </c>
      <c r="C566" s="14" t="str">
        <f t="shared" si="158"/>
        <v/>
      </c>
      <c r="D566" s="14" t="str">
        <f t="shared" si="159"/>
        <v/>
      </c>
      <c r="E566" s="15" t="str" cm="1">
        <f t="array" ref="E566">IF($A566="","",SUMPRODUCT((TRIM(tblDados[Mandante])=$A566)*tblDados[Primeira_Ocorrencia]))</f>
        <v/>
      </c>
      <c r="F566" s="15" t="str" cm="1">
        <f t="array" ref="F566">IF($A566="","",SUMPRODUCT((TRIM(tblDados[Visitante])=$A566)*tblDados[Primeira_Ocorrencia]))</f>
        <v/>
      </c>
      <c r="G566" s="15" t="str" cm="1">
        <f t="array" ref="G566">IF($A566="","",SUMPRODUCT((TRIM(tblDados[Mandante])=$A566)*tblDados[Primeira_Ocorrencia])+SUMPRODUCT((TRIM(tblDados[Visitante])=$A566)*tblDados[Primeira_Ocorrencia]))</f>
        <v/>
      </c>
      <c r="H566" s="14" t="str">
        <f t="shared" si="160"/>
        <v/>
      </c>
      <c r="I566" s="14" t="str" cm="1">
        <f t="array" ref="I566">IF($A566="","",_xlfn.LET(_xlpm.p,IFERROR(INDEX(tblDados[País],MATCH($A566,TRIM(tblDados[Mandante]),0)),INDEX(tblDados[País],MATCH($A566,TRIM(tblDados[Visitante]),0))),_xlpm.l,IFERROR(INDEX(tblDados[Liga],MATCH($A566,TRIM(tblDados[Mandante]),0)),INDEX(tblDados[Liga],MATCH($A566,TRIM(tblDados[Visitante]),0))),IFERROR(SUMIFS(Ligas!$D$2:$D$39,Ligas!$H$2:$H$39,_xlpm.p,Ligas!$I$2:$I$39,_xlpm.l),0)))</f>
        <v/>
      </c>
      <c r="J566" s="16" t="str" cm="1">
        <f t="array" ref="J566">IF($A566="","",IFERROR((SUMPRODUCT((TRIM(tblDados[Mandante])=$A566)*tblDados[Primeira_Ocorrencia]*(tblDados[GM_M]=0))+SUMPRODUCT((TRIM(tblDados[Visitante])=$A566)*tblDados[Primeira_Ocorrencia]*(tblDados[GM_V]=0)))/G566,0))</f>
        <v/>
      </c>
      <c r="K566" s="16" t="str" cm="1">
        <f t="array" ref="K566">IF($A566="","",IFERROR((SUMPRODUCT((TRIM(tblDados[Mandante])=$A566)*tblDados[Primeira_Ocorrencia]*((tblDados[GM_M]+tblDados[GS_M])&gt;0.5))+SUMPRODUCT((TRIM(tblDados[Visitante])=$A566)*tblDados[Primeira_Ocorrencia]*((tblDados[GM_V]+tblDados[GS_V])&gt;0.5)))/G566,0))</f>
        <v/>
      </c>
      <c r="L566" s="16" t="str" cm="1">
        <f t="array" ref="L566">IF($A566="","",IFERROR((SUMPRODUCT((TRIM(tblDados[Mandante])=$A566)*tblDados[Primeira_Ocorrencia]*((tblDados[GM_M]+tblDados[GS_M])&gt;1.5))+SUMPRODUCT((TRIM(tblDados[Visitante])=$A566)*tblDados[Primeira_Ocorrencia]*((tblDados[GM_V]+tblDados[GS_V])&gt;1.5)))/G566,0))</f>
        <v/>
      </c>
      <c r="M566" s="16" t="str" cm="1">
        <f t="array" ref="M566">IF($A566="","",IFERROR((SUMPRODUCT((TRIM(tblDados[Mandante])=$A566)*tblDados[Primeira_Ocorrencia]*((tblDados[GM_M]+tblDados[GS_M])&gt;2.5))+SUMPRODUCT((TRIM(tblDados[Visitante])=$A566)*tblDados[Primeira_Ocorrencia]*((tblDados[GM_V]+tblDados[GS_V])&gt;2.5)))/G566,0))</f>
        <v/>
      </c>
      <c r="N566" s="16" t="str" cm="1">
        <f t="array" ref="N566">IF($A566="","",IFERROR((SUMPRODUCT((TRIM(tblDados[Mandante])=$A566)*tblDados[Primeira_Ocorrencia]*((tblDados[GM_M]+tblDados[GS_M])&gt;3.5))+SUMPRODUCT((TRIM(tblDados[Visitante])=$A566)*tblDados[Primeira_Ocorrencia]*((tblDados[GM_V]+tblDados[GS_V])&gt;3.5)))/G566,0))</f>
        <v/>
      </c>
      <c r="O566" s="16" t="str" cm="1">
        <f t="array" ref="O566">IF($A566="","",IFERROR((SUMPRODUCT((TRIM(tblDados[Mandante])=$A566)*tblDados[Primeira_Ocorrencia]*(tblDados[GM_M]&gt;0)*(tblDados[GS_M]&gt;0))+SUMPRODUCT((TRIM(tblDados[Visitante])=$A566)*tblDados[Primeira_Ocorrencia]*(tblDados[GM_V]&gt;0)*(tblDados[GS_V]&gt;0)))/G566,0))</f>
        <v/>
      </c>
      <c r="P566" s="14" t="str" cm="1">
        <f t="array" ref="P566">IF($A566="","",IFERROR((SUMPRODUCT((TRIM(tblDados[Mandante])=$A566)*tblDados[Primeira_Ocorrencia]*tblDados[GM_M]^2)+SUMPRODUCT((TRIM(tblDados[Visitante])=$A566)*tblDados[Primeira_Ocorrencia]*tblDados[GM_V]^2))/G566-H566^2,0))</f>
        <v/>
      </c>
      <c r="Q566" s="14" t="str">
        <f t="shared" si="161"/>
        <v/>
      </c>
      <c r="R566" s="1" t="str">
        <f t="shared" si="162"/>
        <v/>
      </c>
      <c r="S566" s="14" t="str" cm="1">
        <f t="array" ref="S566">IF($A566="","",SUMPRODUCT((TRIM(tblDados[Mandante])=$A566)*tblDados[Primeira_Ocorrencia]*tblDados[GM_M]))</f>
        <v/>
      </c>
      <c r="T566" s="14" t="str" cm="1">
        <f t="array" ref="T566">IF($A566="","",SUMPRODUCT((TRIM(tblDados[Visitante])=$A566)*tblDados[Primeira_Ocorrencia]*tblDados[GM_V]))</f>
        <v/>
      </c>
      <c r="U566" s="14" t="str">
        <f t="shared" si="163"/>
        <v/>
      </c>
      <c r="V566" s="14" t="str">
        <f t="shared" si="152"/>
        <v/>
      </c>
      <c r="W566" s="14" t="str" cm="1">
        <f t="array" ref="W566">IF($A566="","",SUMPRODUCT((TRIM(tblDados[Mandante])=$A566)*tblDados[Primeira_Ocorrencia]*tblDados[GS_M]))</f>
        <v/>
      </c>
      <c r="X566" s="14" t="str" cm="1">
        <f t="array" ref="X566">IF($A566="","",SUMPRODUCT((TRIM(tblDados[Visitante])=$A566)*tblDados[Primeira_Ocorrencia]*tblDados[GS_V]))</f>
        <v/>
      </c>
      <c r="Y566" s="14" t="str">
        <f t="shared" si="164"/>
        <v/>
      </c>
      <c r="Z566" s="14" t="str">
        <f t="shared" si="153"/>
        <v/>
      </c>
      <c r="AA566" s="14" t="str">
        <f t="shared" si="154"/>
        <v/>
      </c>
      <c r="AB566" s="14" t="str">
        <f t="shared" si="155"/>
        <v/>
      </c>
      <c r="AC566" s="14" t="str">
        <f t="shared" si="156"/>
        <v/>
      </c>
      <c r="AD566" s="14" t="str">
        <f t="shared" si="157"/>
        <v/>
      </c>
    </row>
    <row r="567" spans="2:30" x14ac:dyDescent="0.3">
      <c r="B567" s="13" t="str" cm="1">
        <f t="array" ref="B567">IF($A567="","",_xlfn.LET(_xlpm.p,IFERROR(INDEX(tblDados[País],MATCH($A567,TRIM(tblDados[Mandante]),0)),INDEX(tblDados[País],MATCH($A567,TRIM(tblDados[Visitante]),0))),_xlpm.l,IFERROR(INDEX(tblDados[Liga],MATCH($A567,TRIM(tblDados[Mandante]),0)),INDEX(tblDados[Liga],MATCH($A567,TRIM(tblDados[Visitante]),0))),_xlpm.p&amp;" - "&amp;_xlpm.l))</f>
        <v/>
      </c>
      <c r="C567" s="14" t="str">
        <f t="shared" si="158"/>
        <v/>
      </c>
      <c r="D567" s="14" t="str">
        <f t="shared" si="159"/>
        <v/>
      </c>
      <c r="E567" s="15" t="str" cm="1">
        <f t="array" ref="E567">IF($A567="","",SUMPRODUCT((TRIM(tblDados[Mandante])=$A567)*tblDados[Primeira_Ocorrencia]))</f>
        <v/>
      </c>
      <c r="F567" s="15" t="str" cm="1">
        <f t="array" ref="F567">IF($A567="","",SUMPRODUCT((TRIM(tblDados[Visitante])=$A567)*tblDados[Primeira_Ocorrencia]))</f>
        <v/>
      </c>
      <c r="G567" s="15" t="str" cm="1">
        <f t="array" ref="G567">IF($A567="","",SUMPRODUCT((TRIM(tblDados[Mandante])=$A567)*tblDados[Primeira_Ocorrencia])+SUMPRODUCT((TRIM(tblDados[Visitante])=$A567)*tblDados[Primeira_Ocorrencia]))</f>
        <v/>
      </c>
      <c r="H567" s="14" t="str">
        <f t="shared" si="160"/>
        <v/>
      </c>
      <c r="I567" s="14" t="str" cm="1">
        <f t="array" ref="I567">IF($A567="","",_xlfn.LET(_xlpm.p,IFERROR(INDEX(tblDados[País],MATCH($A567,TRIM(tblDados[Mandante]),0)),INDEX(tblDados[País],MATCH($A567,TRIM(tblDados[Visitante]),0))),_xlpm.l,IFERROR(INDEX(tblDados[Liga],MATCH($A567,TRIM(tblDados[Mandante]),0)),INDEX(tblDados[Liga],MATCH($A567,TRIM(tblDados[Visitante]),0))),IFERROR(SUMIFS(Ligas!$D$2:$D$39,Ligas!$H$2:$H$39,_xlpm.p,Ligas!$I$2:$I$39,_xlpm.l),0)))</f>
        <v/>
      </c>
      <c r="J567" s="16" t="str" cm="1">
        <f t="array" ref="J567">IF($A567="","",IFERROR((SUMPRODUCT((TRIM(tblDados[Mandante])=$A567)*tblDados[Primeira_Ocorrencia]*(tblDados[GM_M]=0))+SUMPRODUCT((TRIM(tblDados[Visitante])=$A567)*tblDados[Primeira_Ocorrencia]*(tblDados[GM_V]=0)))/G567,0))</f>
        <v/>
      </c>
      <c r="K567" s="16" t="str" cm="1">
        <f t="array" ref="K567">IF($A567="","",IFERROR((SUMPRODUCT((TRIM(tblDados[Mandante])=$A567)*tblDados[Primeira_Ocorrencia]*((tblDados[GM_M]+tblDados[GS_M])&gt;0.5))+SUMPRODUCT((TRIM(tblDados[Visitante])=$A567)*tblDados[Primeira_Ocorrencia]*((tblDados[GM_V]+tblDados[GS_V])&gt;0.5)))/G567,0))</f>
        <v/>
      </c>
      <c r="L567" s="16" t="str" cm="1">
        <f t="array" ref="L567">IF($A567="","",IFERROR((SUMPRODUCT((TRIM(tblDados[Mandante])=$A567)*tblDados[Primeira_Ocorrencia]*((tblDados[GM_M]+tblDados[GS_M])&gt;1.5))+SUMPRODUCT((TRIM(tblDados[Visitante])=$A567)*tblDados[Primeira_Ocorrencia]*((tblDados[GM_V]+tblDados[GS_V])&gt;1.5)))/G567,0))</f>
        <v/>
      </c>
      <c r="M567" s="16" t="str" cm="1">
        <f t="array" ref="M567">IF($A567="","",IFERROR((SUMPRODUCT((TRIM(tblDados[Mandante])=$A567)*tblDados[Primeira_Ocorrencia]*((tblDados[GM_M]+tblDados[GS_M])&gt;2.5))+SUMPRODUCT((TRIM(tblDados[Visitante])=$A567)*tblDados[Primeira_Ocorrencia]*((tblDados[GM_V]+tblDados[GS_V])&gt;2.5)))/G567,0))</f>
        <v/>
      </c>
      <c r="N567" s="16" t="str" cm="1">
        <f t="array" ref="N567">IF($A567="","",IFERROR((SUMPRODUCT((TRIM(tblDados[Mandante])=$A567)*tblDados[Primeira_Ocorrencia]*((tblDados[GM_M]+tblDados[GS_M])&gt;3.5))+SUMPRODUCT((TRIM(tblDados[Visitante])=$A567)*tblDados[Primeira_Ocorrencia]*((tblDados[GM_V]+tblDados[GS_V])&gt;3.5)))/G567,0))</f>
        <v/>
      </c>
      <c r="O567" s="16" t="str" cm="1">
        <f t="array" ref="O567">IF($A567="","",IFERROR((SUMPRODUCT((TRIM(tblDados[Mandante])=$A567)*tblDados[Primeira_Ocorrencia]*(tblDados[GM_M]&gt;0)*(tblDados[GS_M]&gt;0))+SUMPRODUCT((TRIM(tblDados[Visitante])=$A567)*tblDados[Primeira_Ocorrencia]*(tblDados[GM_V]&gt;0)*(tblDados[GS_V]&gt;0)))/G567,0))</f>
        <v/>
      </c>
      <c r="P567" s="14" t="str" cm="1">
        <f t="array" ref="P567">IF($A567="","",IFERROR((SUMPRODUCT((TRIM(tblDados[Mandante])=$A567)*tblDados[Primeira_Ocorrencia]*tblDados[GM_M]^2)+SUMPRODUCT((TRIM(tblDados[Visitante])=$A567)*tblDados[Primeira_Ocorrencia]*tblDados[GM_V]^2))/G567-H567^2,0))</f>
        <v/>
      </c>
      <c r="Q567" s="14" t="str">
        <f t="shared" si="161"/>
        <v/>
      </c>
      <c r="R567" s="1" t="str">
        <f t="shared" si="162"/>
        <v/>
      </c>
      <c r="S567" s="14" t="str" cm="1">
        <f t="array" ref="S567">IF($A567="","",SUMPRODUCT((TRIM(tblDados[Mandante])=$A567)*tblDados[Primeira_Ocorrencia]*tblDados[GM_M]))</f>
        <v/>
      </c>
      <c r="T567" s="14" t="str" cm="1">
        <f t="array" ref="T567">IF($A567="","",SUMPRODUCT((TRIM(tblDados[Visitante])=$A567)*tblDados[Primeira_Ocorrencia]*tblDados[GM_V]))</f>
        <v/>
      </c>
      <c r="U567" s="14" t="str">
        <f t="shared" si="163"/>
        <v/>
      </c>
      <c r="V567" s="14" t="str">
        <f t="shared" si="152"/>
        <v/>
      </c>
      <c r="W567" s="14" t="str" cm="1">
        <f t="array" ref="W567">IF($A567="","",SUMPRODUCT((TRIM(tblDados[Mandante])=$A567)*tblDados[Primeira_Ocorrencia]*tblDados[GS_M]))</f>
        <v/>
      </c>
      <c r="X567" s="14" t="str" cm="1">
        <f t="array" ref="X567">IF($A567="","",SUMPRODUCT((TRIM(tblDados[Visitante])=$A567)*tblDados[Primeira_Ocorrencia]*tblDados[GS_V]))</f>
        <v/>
      </c>
      <c r="Y567" s="14" t="str">
        <f t="shared" si="164"/>
        <v/>
      </c>
      <c r="Z567" s="14" t="str">
        <f t="shared" si="153"/>
        <v/>
      </c>
      <c r="AA567" s="14" t="str">
        <f t="shared" si="154"/>
        <v/>
      </c>
      <c r="AB567" s="14" t="str">
        <f t="shared" si="155"/>
        <v/>
      </c>
      <c r="AC567" s="14" t="str">
        <f t="shared" si="156"/>
        <v/>
      </c>
      <c r="AD567" s="14" t="str">
        <f t="shared" si="157"/>
        <v/>
      </c>
    </row>
    <row r="568" spans="2:30" x14ac:dyDescent="0.3">
      <c r="B568" s="13" t="str" cm="1">
        <f t="array" ref="B568">IF($A568="","",_xlfn.LET(_xlpm.p,IFERROR(INDEX(tblDados[País],MATCH($A568,TRIM(tblDados[Mandante]),0)),INDEX(tblDados[País],MATCH($A568,TRIM(tblDados[Visitante]),0))),_xlpm.l,IFERROR(INDEX(tblDados[Liga],MATCH($A568,TRIM(tblDados[Mandante]),0)),INDEX(tblDados[Liga],MATCH($A568,TRIM(tblDados[Visitante]),0))),_xlpm.p&amp;" - "&amp;_xlpm.l))</f>
        <v/>
      </c>
      <c r="C568" s="14" t="str">
        <f t="shared" si="158"/>
        <v/>
      </c>
      <c r="D568" s="14" t="str">
        <f t="shared" si="159"/>
        <v/>
      </c>
      <c r="E568" s="15" t="str" cm="1">
        <f t="array" ref="E568">IF($A568="","",SUMPRODUCT((TRIM(tblDados[Mandante])=$A568)*tblDados[Primeira_Ocorrencia]))</f>
        <v/>
      </c>
      <c r="F568" s="15" t="str" cm="1">
        <f t="array" ref="F568">IF($A568="","",SUMPRODUCT((TRIM(tblDados[Visitante])=$A568)*tblDados[Primeira_Ocorrencia]))</f>
        <v/>
      </c>
      <c r="G568" s="15" t="str" cm="1">
        <f t="array" ref="G568">IF($A568="","",SUMPRODUCT((TRIM(tblDados[Mandante])=$A568)*tblDados[Primeira_Ocorrencia])+SUMPRODUCT((TRIM(tblDados[Visitante])=$A568)*tblDados[Primeira_Ocorrencia]))</f>
        <v/>
      </c>
      <c r="H568" s="14" t="str">
        <f t="shared" si="160"/>
        <v/>
      </c>
      <c r="I568" s="14" t="str" cm="1">
        <f t="array" ref="I568">IF($A568="","",_xlfn.LET(_xlpm.p,IFERROR(INDEX(tblDados[País],MATCH($A568,TRIM(tblDados[Mandante]),0)),INDEX(tblDados[País],MATCH($A568,TRIM(tblDados[Visitante]),0))),_xlpm.l,IFERROR(INDEX(tblDados[Liga],MATCH($A568,TRIM(tblDados[Mandante]),0)),INDEX(tblDados[Liga],MATCH($A568,TRIM(tblDados[Visitante]),0))),IFERROR(SUMIFS(Ligas!$D$2:$D$39,Ligas!$H$2:$H$39,_xlpm.p,Ligas!$I$2:$I$39,_xlpm.l),0)))</f>
        <v/>
      </c>
      <c r="J568" s="16" t="str" cm="1">
        <f t="array" ref="J568">IF($A568="","",IFERROR((SUMPRODUCT((TRIM(tblDados[Mandante])=$A568)*tblDados[Primeira_Ocorrencia]*(tblDados[GM_M]=0))+SUMPRODUCT((TRIM(tblDados[Visitante])=$A568)*tblDados[Primeira_Ocorrencia]*(tblDados[GM_V]=0)))/G568,0))</f>
        <v/>
      </c>
      <c r="K568" s="16" t="str" cm="1">
        <f t="array" ref="K568">IF($A568="","",IFERROR((SUMPRODUCT((TRIM(tblDados[Mandante])=$A568)*tblDados[Primeira_Ocorrencia]*((tblDados[GM_M]+tblDados[GS_M])&gt;0.5))+SUMPRODUCT((TRIM(tblDados[Visitante])=$A568)*tblDados[Primeira_Ocorrencia]*((tblDados[GM_V]+tblDados[GS_V])&gt;0.5)))/G568,0))</f>
        <v/>
      </c>
      <c r="L568" s="16" t="str" cm="1">
        <f t="array" ref="L568">IF($A568="","",IFERROR((SUMPRODUCT((TRIM(tblDados[Mandante])=$A568)*tblDados[Primeira_Ocorrencia]*((tblDados[GM_M]+tblDados[GS_M])&gt;1.5))+SUMPRODUCT((TRIM(tblDados[Visitante])=$A568)*tblDados[Primeira_Ocorrencia]*((tblDados[GM_V]+tblDados[GS_V])&gt;1.5)))/G568,0))</f>
        <v/>
      </c>
      <c r="M568" s="16" t="str" cm="1">
        <f t="array" ref="M568">IF($A568="","",IFERROR((SUMPRODUCT((TRIM(tblDados[Mandante])=$A568)*tblDados[Primeira_Ocorrencia]*((tblDados[GM_M]+tblDados[GS_M])&gt;2.5))+SUMPRODUCT((TRIM(tblDados[Visitante])=$A568)*tblDados[Primeira_Ocorrencia]*((tblDados[GM_V]+tblDados[GS_V])&gt;2.5)))/G568,0))</f>
        <v/>
      </c>
      <c r="N568" s="16" t="str" cm="1">
        <f t="array" ref="N568">IF($A568="","",IFERROR((SUMPRODUCT((TRIM(tblDados[Mandante])=$A568)*tblDados[Primeira_Ocorrencia]*((tblDados[GM_M]+tblDados[GS_M])&gt;3.5))+SUMPRODUCT((TRIM(tblDados[Visitante])=$A568)*tblDados[Primeira_Ocorrencia]*((tblDados[GM_V]+tblDados[GS_V])&gt;3.5)))/G568,0))</f>
        <v/>
      </c>
      <c r="O568" s="16" t="str" cm="1">
        <f t="array" ref="O568">IF($A568="","",IFERROR((SUMPRODUCT((TRIM(tblDados[Mandante])=$A568)*tblDados[Primeira_Ocorrencia]*(tblDados[GM_M]&gt;0)*(tblDados[GS_M]&gt;0))+SUMPRODUCT((TRIM(tblDados[Visitante])=$A568)*tblDados[Primeira_Ocorrencia]*(tblDados[GM_V]&gt;0)*(tblDados[GS_V]&gt;0)))/G568,0))</f>
        <v/>
      </c>
      <c r="P568" s="14" t="str" cm="1">
        <f t="array" ref="P568">IF($A568="","",IFERROR((SUMPRODUCT((TRIM(tblDados[Mandante])=$A568)*tblDados[Primeira_Ocorrencia]*tblDados[GM_M]^2)+SUMPRODUCT((TRIM(tblDados[Visitante])=$A568)*tblDados[Primeira_Ocorrencia]*tblDados[GM_V]^2))/G568-H568^2,0))</f>
        <v/>
      </c>
      <c r="Q568" s="14" t="str">
        <f t="shared" si="161"/>
        <v/>
      </c>
      <c r="R568" s="1" t="str">
        <f t="shared" si="162"/>
        <v/>
      </c>
      <c r="S568" s="14" t="str" cm="1">
        <f t="array" ref="S568">IF($A568="","",SUMPRODUCT((TRIM(tblDados[Mandante])=$A568)*tblDados[Primeira_Ocorrencia]*tblDados[GM_M]))</f>
        <v/>
      </c>
      <c r="T568" s="14" t="str" cm="1">
        <f t="array" ref="T568">IF($A568="","",SUMPRODUCT((TRIM(tblDados[Visitante])=$A568)*tblDados[Primeira_Ocorrencia]*tblDados[GM_V]))</f>
        <v/>
      </c>
      <c r="U568" s="14" t="str">
        <f t="shared" si="163"/>
        <v/>
      </c>
      <c r="V568" s="14" t="str">
        <f t="shared" si="152"/>
        <v/>
      </c>
      <c r="W568" s="14" t="str" cm="1">
        <f t="array" ref="W568">IF($A568="","",SUMPRODUCT((TRIM(tblDados[Mandante])=$A568)*tblDados[Primeira_Ocorrencia]*tblDados[GS_M]))</f>
        <v/>
      </c>
      <c r="X568" s="14" t="str" cm="1">
        <f t="array" ref="X568">IF($A568="","",SUMPRODUCT((TRIM(tblDados[Visitante])=$A568)*tblDados[Primeira_Ocorrencia]*tblDados[GS_V]))</f>
        <v/>
      </c>
      <c r="Y568" s="14" t="str">
        <f t="shared" si="164"/>
        <v/>
      </c>
      <c r="Z568" s="14" t="str">
        <f t="shared" si="153"/>
        <v/>
      </c>
      <c r="AA568" s="14" t="str">
        <f t="shared" si="154"/>
        <v/>
      </c>
      <c r="AB568" s="14" t="str">
        <f t="shared" si="155"/>
        <v/>
      </c>
      <c r="AC568" s="14" t="str">
        <f t="shared" si="156"/>
        <v/>
      </c>
      <c r="AD568" s="14" t="str">
        <f t="shared" si="157"/>
        <v/>
      </c>
    </row>
    <row r="569" spans="2:30" x14ac:dyDescent="0.3">
      <c r="B569" s="13" t="str" cm="1">
        <f t="array" ref="B569">IF($A569="","",_xlfn.LET(_xlpm.p,IFERROR(INDEX(tblDados[País],MATCH($A569,TRIM(tblDados[Mandante]),0)),INDEX(tblDados[País],MATCH($A569,TRIM(tblDados[Visitante]),0))),_xlpm.l,IFERROR(INDEX(tblDados[Liga],MATCH($A569,TRIM(tblDados[Mandante]),0)),INDEX(tblDados[Liga],MATCH($A569,TRIM(tblDados[Visitante]),0))),_xlpm.p&amp;" - "&amp;_xlpm.l))</f>
        <v/>
      </c>
      <c r="C569" s="14" t="str">
        <f t="shared" si="158"/>
        <v/>
      </c>
      <c r="D569" s="14" t="str">
        <f t="shared" si="159"/>
        <v/>
      </c>
      <c r="E569" s="15" t="str" cm="1">
        <f t="array" ref="E569">IF($A569="","",SUMPRODUCT((TRIM(tblDados[Mandante])=$A569)*tblDados[Primeira_Ocorrencia]))</f>
        <v/>
      </c>
      <c r="F569" s="15" t="str" cm="1">
        <f t="array" ref="F569">IF($A569="","",SUMPRODUCT((TRIM(tblDados[Visitante])=$A569)*tblDados[Primeira_Ocorrencia]))</f>
        <v/>
      </c>
      <c r="G569" s="15" t="str" cm="1">
        <f t="array" ref="G569">IF($A569="","",SUMPRODUCT((TRIM(tblDados[Mandante])=$A569)*tblDados[Primeira_Ocorrencia])+SUMPRODUCT((TRIM(tblDados[Visitante])=$A569)*tblDados[Primeira_Ocorrencia]))</f>
        <v/>
      </c>
      <c r="H569" s="14" t="str">
        <f t="shared" si="160"/>
        <v/>
      </c>
      <c r="I569" s="14" t="str" cm="1">
        <f t="array" ref="I569">IF($A569="","",_xlfn.LET(_xlpm.p,IFERROR(INDEX(tblDados[País],MATCH($A569,TRIM(tblDados[Mandante]),0)),INDEX(tblDados[País],MATCH($A569,TRIM(tblDados[Visitante]),0))),_xlpm.l,IFERROR(INDEX(tblDados[Liga],MATCH($A569,TRIM(tblDados[Mandante]),0)),INDEX(tblDados[Liga],MATCH($A569,TRIM(tblDados[Visitante]),0))),IFERROR(SUMIFS(Ligas!$D$2:$D$39,Ligas!$H$2:$H$39,_xlpm.p,Ligas!$I$2:$I$39,_xlpm.l),0)))</f>
        <v/>
      </c>
      <c r="J569" s="16" t="str" cm="1">
        <f t="array" ref="J569">IF($A569="","",IFERROR((SUMPRODUCT((TRIM(tblDados[Mandante])=$A569)*tblDados[Primeira_Ocorrencia]*(tblDados[GM_M]=0))+SUMPRODUCT((TRIM(tblDados[Visitante])=$A569)*tblDados[Primeira_Ocorrencia]*(tblDados[GM_V]=0)))/G569,0))</f>
        <v/>
      </c>
      <c r="K569" s="16" t="str" cm="1">
        <f t="array" ref="K569">IF($A569="","",IFERROR((SUMPRODUCT((TRIM(tblDados[Mandante])=$A569)*tblDados[Primeira_Ocorrencia]*((tblDados[GM_M]+tblDados[GS_M])&gt;0.5))+SUMPRODUCT((TRIM(tblDados[Visitante])=$A569)*tblDados[Primeira_Ocorrencia]*((tblDados[GM_V]+tblDados[GS_V])&gt;0.5)))/G569,0))</f>
        <v/>
      </c>
      <c r="L569" s="16" t="str" cm="1">
        <f t="array" ref="L569">IF($A569="","",IFERROR((SUMPRODUCT((TRIM(tblDados[Mandante])=$A569)*tblDados[Primeira_Ocorrencia]*((tblDados[GM_M]+tblDados[GS_M])&gt;1.5))+SUMPRODUCT((TRIM(tblDados[Visitante])=$A569)*tblDados[Primeira_Ocorrencia]*((tblDados[GM_V]+tblDados[GS_V])&gt;1.5)))/G569,0))</f>
        <v/>
      </c>
      <c r="M569" s="16" t="str" cm="1">
        <f t="array" ref="M569">IF($A569="","",IFERROR((SUMPRODUCT((TRIM(tblDados[Mandante])=$A569)*tblDados[Primeira_Ocorrencia]*((tblDados[GM_M]+tblDados[GS_M])&gt;2.5))+SUMPRODUCT((TRIM(tblDados[Visitante])=$A569)*tblDados[Primeira_Ocorrencia]*((tblDados[GM_V]+tblDados[GS_V])&gt;2.5)))/G569,0))</f>
        <v/>
      </c>
      <c r="N569" s="16" t="str" cm="1">
        <f t="array" ref="N569">IF($A569="","",IFERROR((SUMPRODUCT((TRIM(tblDados[Mandante])=$A569)*tblDados[Primeira_Ocorrencia]*((tblDados[GM_M]+tblDados[GS_M])&gt;3.5))+SUMPRODUCT((TRIM(tblDados[Visitante])=$A569)*tblDados[Primeira_Ocorrencia]*((tblDados[GM_V]+tblDados[GS_V])&gt;3.5)))/G569,0))</f>
        <v/>
      </c>
      <c r="O569" s="16" t="str" cm="1">
        <f t="array" ref="O569">IF($A569="","",IFERROR((SUMPRODUCT((TRIM(tblDados[Mandante])=$A569)*tblDados[Primeira_Ocorrencia]*(tblDados[GM_M]&gt;0)*(tblDados[GS_M]&gt;0))+SUMPRODUCT((TRIM(tblDados[Visitante])=$A569)*tblDados[Primeira_Ocorrencia]*(tblDados[GM_V]&gt;0)*(tblDados[GS_V]&gt;0)))/G569,0))</f>
        <v/>
      </c>
      <c r="P569" s="14" t="str" cm="1">
        <f t="array" ref="P569">IF($A569="","",IFERROR((SUMPRODUCT((TRIM(tblDados[Mandante])=$A569)*tblDados[Primeira_Ocorrencia]*tblDados[GM_M]^2)+SUMPRODUCT((TRIM(tblDados[Visitante])=$A569)*tblDados[Primeira_Ocorrencia]*tblDados[GM_V]^2))/G569-H569^2,0))</f>
        <v/>
      </c>
      <c r="Q569" s="14" t="str">
        <f t="shared" si="161"/>
        <v/>
      </c>
      <c r="R569" s="1" t="str">
        <f t="shared" si="162"/>
        <v/>
      </c>
      <c r="S569" s="14" t="str" cm="1">
        <f t="array" ref="S569">IF($A569="","",SUMPRODUCT((TRIM(tblDados[Mandante])=$A569)*tblDados[Primeira_Ocorrencia]*tblDados[GM_M]))</f>
        <v/>
      </c>
      <c r="T569" s="14" t="str" cm="1">
        <f t="array" ref="T569">IF($A569="","",SUMPRODUCT((TRIM(tblDados[Visitante])=$A569)*tblDados[Primeira_Ocorrencia]*tblDados[GM_V]))</f>
        <v/>
      </c>
      <c r="U569" s="14" t="str">
        <f t="shared" si="163"/>
        <v/>
      </c>
      <c r="V569" s="14" t="str">
        <f t="shared" si="152"/>
        <v/>
      </c>
      <c r="W569" s="14" t="str" cm="1">
        <f t="array" ref="W569">IF($A569="","",SUMPRODUCT((TRIM(tblDados[Mandante])=$A569)*tblDados[Primeira_Ocorrencia]*tblDados[GS_M]))</f>
        <v/>
      </c>
      <c r="X569" s="14" t="str" cm="1">
        <f t="array" ref="X569">IF($A569="","",SUMPRODUCT((TRIM(tblDados[Visitante])=$A569)*tblDados[Primeira_Ocorrencia]*tblDados[GS_V]))</f>
        <v/>
      </c>
      <c r="Y569" s="14" t="str">
        <f t="shared" si="164"/>
        <v/>
      </c>
      <c r="Z569" s="14" t="str">
        <f t="shared" si="153"/>
        <v/>
      </c>
      <c r="AA569" s="14" t="str">
        <f t="shared" si="154"/>
        <v/>
      </c>
      <c r="AB569" s="14" t="str">
        <f t="shared" si="155"/>
        <v/>
      </c>
      <c r="AC569" s="14" t="str">
        <f t="shared" si="156"/>
        <v/>
      </c>
      <c r="AD569" s="14" t="str">
        <f t="shared" si="157"/>
        <v/>
      </c>
    </row>
    <row r="570" spans="2:30" x14ac:dyDescent="0.3">
      <c r="B570" s="13" t="str" cm="1">
        <f t="array" ref="B570">IF($A570="","",_xlfn.LET(_xlpm.p,IFERROR(INDEX(tblDados[País],MATCH($A570,TRIM(tblDados[Mandante]),0)),INDEX(tblDados[País],MATCH($A570,TRIM(tblDados[Visitante]),0))),_xlpm.l,IFERROR(INDEX(tblDados[Liga],MATCH($A570,TRIM(tblDados[Mandante]),0)),INDEX(tblDados[Liga],MATCH($A570,TRIM(tblDados[Visitante]),0))),_xlpm.p&amp;" - "&amp;_xlpm.l))</f>
        <v/>
      </c>
      <c r="C570" s="14" t="str">
        <f t="shared" si="158"/>
        <v/>
      </c>
      <c r="D570" s="14" t="str">
        <f t="shared" si="159"/>
        <v/>
      </c>
      <c r="E570" s="15" t="str" cm="1">
        <f t="array" ref="E570">IF($A570="","",SUMPRODUCT((TRIM(tblDados[Mandante])=$A570)*tblDados[Primeira_Ocorrencia]))</f>
        <v/>
      </c>
      <c r="F570" s="15" t="str" cm="1">
        <f t="array" ref="F570">IF($A570="","",SUMPRODUCT((TRIM(tblDados[Visitante])=$A570)*tblDados[Primeira_Ocorrencia]))</f>
        <v/>
      </c>
      <c r="G570" s="15" t="str" cm="1">
        <f t="array" ref="G570">IF($A570="","",SUMPRODUCT((TRIM(tblDados[Mandante])=$A570)*tblDados[Primeira_Ocorrencia])+SUMPRODUCT((TRIM(tblDados[Visitante])=$A570)*tblDados[Primeira_Ocorrencia]))</f>
        <v/>
      </c>
      <c r="H570" s="14" t="str">
        <f t="shared" si="160"/>
        <v/>
      </c>
      <c r="I570" s="14" t="str" cm="1">
        <f t="array" ref="I570">IF($A570="","",_xlfn.LET(_xlpm.p,IFERROR(INDEX(tblDados[País],MATCH($A570,TRIM(tblDados[Mandante]),0)),INDEX(tblDados[País],MATCH($A570,TRIM(tblDados[Visitante]),0))),_xlpm.l,IFERROR(INDEX(tblDados[Liga],MATCH($A570,TRIM(tblDados[Mandante]),0)),INDEX(tblDados[Liga],MATCH($A570,TRIM(tblDados[Visitante]),0))),IFERROR(SUMIFS(Ligas!$D$2:$D$39,Ligas!$H$2:$H$39,_xlpm.p,Ligas!$I$2:$I$39,_xlpm.l),0)))</f>
        <v/>
      </c>
      <c r="J570" s="16" t="str" cm="1">
        <f t="array" ref="J570">IF($A570="","",IFERROR((SUMPRODUCT((TRIM(tblDados[Mandante])=$A570)*tblDados[Primeira_Ocorrencia]*(tblDados[GM_M]=0))+SUMPRODUCT((TRIM(tblDados[Visitante])=$A570)*tblDados[Primeira_Ocorrencia]*(tblDados[GM_V]=0)))/G570,0))</f>
        <v/>
      </c>
      <c r="K570" s="16" t="str" cm="1">
        <f t="array" ref="K570">IF($A570="","",IFERROR((SUMPRODUCT((TRIM(tblDados[Mandante])=$A570)*tblDados[Primeira_Ocorrencia]*((tblDados[GM_M]+tblDados[GS_M])&gt;0.5))+SUMPRODUCT((TRIM(tblDados[Visitante])=$A570)*tblDados[Primeira_Ocorrencia]*((tblDados[GM_V]+tblDados[GS_V])&gt;0.5)))/G570,0))</f>
        <v/>
      </c>
      <c r="L570" s="16" t="str" cm="1">
        <f t="array" ref="L570">IF($A570="","",IFERROR((SUMPRODUCT((TRIM(tblDados[Mandante])=$A570)*tblDados[Primeira_Ocorrencia]*((tblDados[GM_M]+tblDados[GS_M])&gt;1.5))+SUMPRODUCT((TRIM(tblDados[Visitante])=$A570)*tblDados[Primeira_Ocorrencia]*((tblDados[GM_V]+tblDados[GS_V])&gt;1.5)))/G570,0))</f>
        <v/>
      </c>
      <c r="M570" s="16" t="str" cm="1">
        <f t="array" ref="M570">IF($A570="","",IFERROR((SUMPRODUCT((TRIM(tblDados[Mandante])=$A570)*tblDados[Primeira_Ocorrencia]*((tblDados[GM_M]+tblDados[GS_M])&gt;2.5))+SUMPRODUCT((TRIM(tblDados[Visitante])=$A570)*tblDados[Primeira_Ocorrencia]*((tblDados[GM_V]+tblDados[GS_V])&gt;2.5)))/G570,0))</f>
        <v/>
      </c>
      <c r="N570" s="16" t="str" cm="1">
        <f t="array" ref="N570">IF($A570="","",IFERROR((SUMPRODUCT((TRIM(tblDados[Mandante])=$A570)*tblDados[Primeira_Ocorrencia]*((tblDados[GM_M]+tblDados[GS_M])&gt;3.5))+SUMPRODUCT((TRIM(tblDados[Visitante])=$A570)*tblDados[Primeira_Ocorrencia]*((tblDados[GM_V]+tblDados[GS_V])&gt;3.5)))/G570,0))</f>
        <v/>
      </c>
      <c r="O570" s="16" t="str" cm="1">
        <f t="array" ref="O570">IF($A570="","",IFERROR((SUMPRODUCT((TRIM(tblDados[Mandante])=$A570)*tblDados[Primeira_Ocorrencia]*(tblDados[GM_M]&gt;0)*(tblDados[GS_M]&gt;0))+SUMPRODUCT((TRIM(tblDados[Visitante])=$A570)*tblDados[Primeira_Ocorrencia]*(tblDados[GM_V]&gt;0)*(tblDados[GS_V]&gt;0)))/G570,0))</f>
        <v/>
      </c>
      <c r="P570" s="14" t="str" cm="1">
        <f t="array" ref="P570">IF($A570="","",IFERROR((SUMPRODUCT((TRIM(tblDados[Mandante])=$A570)*tblDados[Primeira_Ocorrencia]*tblDados[GM_M]^2)+SUMPRODUCT((TRIM(tblDados[Visitante])=$A570)*tblDados[Primeira_Ocorrencia]*tblDados[GM_V]^2))/G570-H570^2,0))</f>
        <v/>
      </c>
      <c r="Q570" s="14" t="str">
        <f t="shared" si="161"/>
        <v/>
      </c>
      <c r="R570" s="1" t="str">
        <f t="shared" si="162"/>
        <v/>
      </c>
      <c r="S570" s="14" t="str" cm="1">
        <f t="array" ref="S570">IF($A570="","",SUMPRODUCT((TRIM(tblDados[Mandante])=$A570)*tblDados[Primeira_Ocorrencia]*tblDados[GM_M]))</f>
        <v/>
      </c>
      <c r="T570" s="14" t="str" cm="1">
        <f t="array" ref="T570">IF($A570="","",SUMPRODUCT((TRIM(tblDados[Visitante])=$A570)*tblDados[Primeira_Ocorrencia]*tblDados[GM_V]))</f>
        <v/>
      </c>
      <c r="U570" s="14" t="str">
        <f t="shared" si="163"/>
        <v/>
      </c>
      <c r="V570" s="14" t="str">
        <f t="shared" si="152"/>
        <v/>
      </c>
      <c r="W570" s="14" t="str" cm="1">
        <f t="array" ref="W570">IF($A570="","",SUMPRODUCT((TRIM(tblDados[Mandante])=$A570)*tblDados[Primeira_Ocorrencia]*tblDados[GS_M]))</f>
        <v/>
      </c>
      <c r="X570" s="14" t="str" cm="1">
        <f t="array" ref="X570">IF($A570="","",SUMPRODUCT((TRIM(tblDados[Visitante])=$A570)*tblDados[Primeira_Ocorrencia]*tblDados[GS_V]))</f>
        <v/>
      </c>
      <c r="Y570" s="14" t="str">
        <f t="shared" si="164"/>
        <v/>
      </c>
      <c r="Z570" s="14" t="str">
        <f t="shared" si="153"/>
        <v/>
      </c>
      <c r="AA570" s="14" t="str">
        <f t="shared" si="154"/>
        <v/>
      </c>
      <c r="AB570" s="14" t="str">
        <f t="shared" si="155"/>
        <v/>
      </c>
      <c r="AC570" s="14" t="str">
        <f t="shared" si="156"/>
        <v/>
      </c>
      <c r="AD570" s="14" t="str">
        <f t="shared" si="157"/>
        <v/>
      </c>
    </row>
    <row r="571" spans="2:30" x14ac:dyDescent="0.3">
      <c r="B571" s="13" t="str" cm="1">
        <f t="array" ref="B571">IF($A571="","",_xlfn.LET(_xlpm.p,IFERROR(INDEX(tblDados[País],MATCH($A571,TRIM(tblDados[Mandante]),0)),INDEX(tblDados[País],MATCH($A571,TRIM(tblDados[Visitante]),0))),_xlpm.l,IFERROR(INDEX(tblDados[Liga],MATCH($A571,TRIM(tblDados[Mandante]),0)),INDEX(tblDados[Liga],MATCH($A571,TRIM(tblDados[Visitante]),0))),_xlpm.p&amp;" - "&amp;_xlpm.l))</f>
        <v/>
      </c>
      <c r="C571" s="14" t="str">
        <f t="shared" si="158"/>
        <v/>
      </c>
      <c r="D571" s="14" t="str">
        <f t="shared" si="159"/>
        <v/>
      </c>
      <c r="E571" s="15" t="str" cm="1">
        <f t="array" ref="E571">IF($A571="","",SUMPRODUCT((TRIM(tblDados[Mandante])=$A571)*tblDados[Primeira_Ocorrencia]))</f>
        <v/>
      </c>
      <c r="F571" s="15" t="str" cm="1">
        <f t="array" ref="F571">IF($A571="","",SUMPRODUCT((TRIM(tblDados[Visitante])=$A571)*tblDados[Primeira_Ocorrencia]))</f>
        <v/>
      </c>
      <c r="G571" s="15" t="str" cm="1">
        <f t="array" ref="G571">IF($A571="","",SUMPRODUCT((TRIM(tblDados[Mandante])=$A571)*tblDados[Primeira_Ocorrencia])+SUMPRODUCT((TRIM(tblDados[Visitante])=$A571)*tblDados[Primeira_Ocorrencia]))</f>
        <v/>
      </c>
      <c r="H571" s="14" t="str">
        <f t="shared" si="160"/>
        <v/>
      </c>
      <c r="I571" s="14" t="str" cm="1">
        <f t="array" ref="I571">IF($A571="","",_xlfn.LET(_xlpm.p,IFERROR(INDEX(tblDados[País],MATCH($A571,TRIM(tblDados[Mandante]),0)),INDEX(tblDados[País],MATCH($A571,TRIM(tblDados[Visitante]),0))),_xlpm.l,IFERROR(INDEX(tblDados[Liga],MATCH($A571,TRIM(tblDados[Mandante]),0)),INDEX(tblDados[Liga],MATCH($A571,TRIM(tblDados[Visitante]),0))),IFERROR(SUMIFS(Ligas!$D$2:$D$39,Ligas!$H$2:$H$39,_xlpm.p,Ligas!$I$2:$I$39,_xlpm.l),0)))</f>
        <v/>
      </c>
      <c r="J571" s="16" t="str" cm="1">
        <f t="array" ref="J571">IF($A571="","",IFERROR((SUMPRODUCT((TRIM(tblDados[Mandante])=$A571)*tblDados[Primeira_Ocorrencia]*(tblDados[GM_M]=0))+SUMPRODUCT((TRIM(tblDados[Visitante])=$A571)*tblDados[Primeira_Ocorrencia]*(tblDados[GM_V]=0)))/G571,0))</f>
        <v/>
      </c>
      <c r="K571" s="16" t="str" cm="1">
        <f t="array" ref="K571">IF($A571="","",IFERROR((SUMPRODUCT((TRIM(tblDados[Mandante])=$A571)*tblDados[Primeira_Ocorrencia]*((tblDados[GM_M]+tblDados[GS_M])&gt;0.5))+SUMPRODUCT((TRIM(tblDados[Visitante])=$A571)*tblDados[Primeira_Ocorrencia]*((tblDados[GM_V]+tblDados[GS_V])&gt;0.5)))/G571,0))</f>
        <v/>
      </c>
      <c r="L571" s="16" t="str" cm="1">
        <f t="array" ref="L571">IF($A571="","",IFERROR((SUMPRODUCT((TRIM(tblDados[Mandante])=$A571)*tblDados[Primeira_Ocorrencia]*((tblDados[GM_M]+tblDados[GS_M])&gt;1.5))+SUMPRODUCT((TRIM(tblDados[Visitante])=$A571)*tblDados[Primeira_Ocorrencia]*((tblDados[GM_V]+tblDados[GS_V])&gt;1.5)))/G571,0))</f>
        <v/>
      </c>
      <c r="M571" s="16" t="str" cm="1">
        <f t="array" ref="M571">IF($A571="","",IFERROR((SUMPRODUCT((TRIM(tblDados[Mandante])=$A571)*tblDados[Primeira_Ocorrencia]*((tblDados[GM_M]+tblDados[GS_M])&gt;2.5))+SUMPRODUCT((TRIM(tblDados[Visitante])=$A571)*tblDados[Primeira_Ocorrencia]*((tblDados[GM_V]+tblDados[GS_V])&gt;2.5)))/G571,0))</f>
        <v/>
      </c>
      <c r="N571" s="16" t="str" cm="1">
        <f t="array" ref="N571">IF($A571="","",IFERROR((SUMPRODUCT((TRIM(tblDados[Mandante])=$A571)*tblDados[Primeira_Ocorrencia]*((tblDados[GM_M]+tblDados[GS_M])&gt;3.5))+SUMPRODUCT((TRIM(tblDados[Visitante])=$A571)*tblDados[Primeira_Ocorrencia]*((tblDados[GM_V]+tblDados[GS_V])&gt;3.5)))/G571,0))</f>
        <v/>
      </c>
      <c r="O571" s="16" t="str" cm="1">
        <f t="array" ref="O571">IF($A571="","",IFERROR((SUMPRODUCT((TRIM(tblDados[Mandante])=$A571)*tblDados[Primeira_Ocorrencia]*(tblDados[GM_M]&gt;0)*(tblDados[GS_M]&gt;0))+SUMPRODUCT((TRIM(tblDados[Visitante])=$A571)*tblDados[Primeira_Ocorrencia]*(tblDados[GM_V]&gt;0)*(tblDados[GS_V]&gt;0)))/G571,0))</f>
        <v/>
      </c>
      <c r="P571" s="14" t="str" cm="1">
        <f t="array" ref="P571">IF($A571="","",IFERROR((SUMPRODUCT((TRIM(tblDados[Mandante])=$A571)*tblDados[Primeira_Ocorrencia]*tblDados[GM_M]^2)+SUMPRODUCT((TRIM(tblDados[Visitante])=$A571)*tblDados[Primeira_Ocorrencia]*tblDados[GM_V]^2))/G571-H571^2,0))</f>
        <v/>
      </c>
      <c r="Q571" s="14" t="str">
        <f t="shared" si="161"/>
        <v/>
      </c>
      <c r="R571" s="1" t="str">
        <f t="shared" si="162"/>
        <v/>
      </c>
      <c r="S571" s="14" t="str" cm="1">
        <f t="array" ref="S571">IF($A571="","",SUMPRODUCT((TRIM(tblDados[Mandante])=$A571)*tblDados[Primeira_Ocorrencia]*tblDados[GM_M]))</f>
        <v/>
      </c>
      <c r="T571" s="14" t="str" cm="1">
        <f t="array" ref="T571">IF($A571="","",SUMPRODUCT((TRIM(tblDados[Visitante])=$A571)*tblDados[Primeira_Ocorrencia]*tblDados[GM_V]))</f>
        <v/>
      </c>
      <c r="U571" s="14" t="str">
        <f t="shared" si="163"/>
        <v/>
      </c>
      <c r="V571" s="14" t="str">
        <f t="shared" si="152"/>
        <v/>
      </c>
      <c r="W571" s="14" t="str" cm="1">
        <f t="array" ref="W571">IF($A571="","",SUMPRODUCT((TRIM(tblDados[Mandante])=$A571)*tblDados[Primeira_Ocorrencia]*tblDados[GS_M]))</f>
        <v/>
      </c>
      <c r="X571" s="14" t="str" cm="1">
        <f t="array" ref="X571">IF($A571="","",SUMPRODUCT((TRIM(tblDados[Visitante])=$A571)*tblDados[Primeira_Ocorrencia]*tblDados[GS_V]))</f>
        <v/>
      </c>
      <c r="Y571" s="14" t="str">
        <f t="shared" si="164"/>
        <v/>
      </c>
      <c r="Z571" s="14" t="str">
        <f t="shared" si="153"/>
        <v/>
      </c>
      <c r="AA571" s="14" t="str">
        <f t="shared" si="154"/>
        <v/>
      </c>
      <c r="AB571" s="14" t="str">
        <f t="shared" si="155"/>
        <v/>
      </c>
      <c r="AC571" s="14" t="str">
        <f t="shared" si="156"/>
        <v/>
      </c>
      <c r="AD571" s="14" t="str">
        <f t="shared" si="157"/>
        <v/>
      </c>
    </row>
    <row r="572" spans="2:30" x14ac:dyDescent="0.3">
      <c r="B572" s="13" t="str" cm="1">
        <f t="array" ref="B572">IF($A572="","",_xlfn.LET(_xlpm.p,IFERROR(INDEX(tblDados[País],MATCH($A572,TRIM(tblDados[Mandante]),0)),INDEX(tblDados[País],MATCH($A572,TRIM(tblDados[Visitante]),0))),_xlpm.l,IFERROR(INDEX(tblDados[Liga],MATCH($A572,TRIM(tblDados[Mandante]),0)),INDEX(tblDados[Liga],MATCH($A572,TRIM(tblDados[Visitante]),0))),_xlpm.p&amp;" - "&amp;_xlpm.l))</f>
        <v/>
      </c>
      <c r="C572" s="14" t="str">
        <f t="shared" si="158"/>
        <v/>
      </c>
      <c r="D572" s="14" t="str">
        <f t="shared" si="159"/>
        <v/>
      </c>
      <c r="E572" s="15" t="str" cm="1">
        <f t="array" ref="E572">IF($A572="","",SUMPRODUCT((TRIM(tblDados[Mandante])=$A572)*tblDados[Primeira_Ocorrencia]))</f>
        <v/>
      </c>
      <c r="F572" s="15" t="str" cm="1">
        <f t="array" ref="F572">IF($A572="","",SUMPRODUCT((TRIM(tblDados[Visitante])=$A572)*tblDados[Primeira_Ocorrencia]))</f>
        <v/>
      </c>
      <c r="G572" s="15" t="str" cm="1">
        <f t="array" ref="G572">IF($A572="","",SUMPRODUCT((TRIM(tblDados[Mandante])=$A572)*tblDados[Primeira_Ocorrencia])+SUMPRODUCT((TRIM(tblDados[Visitante])=$A572)*tblDados[Primeira_Ocorrencia]))</f>
        <v/>
      </c>
      <c r="H572" s="14" t="str">
        <f t="shared" si="160"/>
        <v/>
      </c>
      <c r="I572" s="14" t="str" cm="1">
        <f t="array" ref="I572">IF($A572="","",_xlfn.LET(_xlpm.p,IFERROR(INDEX(tblDados[País],MATCH($A572,TRIM(tblDados[Mandante]),0)),INDEX(tblDados[País],MATCH($A572,TRIM(tblDados[Visitante]),0))),_xlpm.l,IFERROR(INDEX(tblDados[Liga],MATCH($A572,TRIM(tblDados[Mandante]),0)),INDEX(tblDados[Liga],MATCH($A572,TRIM(tblDados[Visitante]),0))),IFERROR(SUMIFS(Ligas!$D$2:$D$39,Ligas!$H$2:$H$39,_xlpm.p,Ligas!$I$2:$I$39,_xlpm.l),0)))</f>
        <v/>
      </c>
      <c r="J572" s="16" t="str" cm="1">
        <f t="array" ref="J572">IF($A572="","",IFERROR((SUMPRODUCT((TRIM(tblDados[Mandante])=$A572)*tblDados[Primeira_Ocorrencia]*(tblDados[GM_M]=0))+SUMPRODUCT((TRIM(tblDados[Visitante])=$A572)*tblDados[Primeira_Ocorrencia]*(tblDados[GM_V]=0)))/G572,0))</f>
        <v/>
      </c>
      <c r="K572" s="16" t="str" cm="1">
        <f t="array" ref="K572">IF($A572="","",IFERROR((SUMPRODUCT((TRIM(tblDados[Mandante])=$A572)*tblDados[Primeira_Ocorrencia]*((tblDados[GM_M]+tblDados[GS_M])&gt;0.5))+SUMPRODUCT((TRIM(tblDados[Visitante])=$A572)*tblDados[Primeira_Ocorrencia]*((tblDados[GM_V]+tblDados[GS_V])&gt;0.5)))/G572,0))</f>
        <v/>
      </c>
      <c r="L572" s="16" t="str" cm="1">
        <f t="array" ref="L572">IF($A572="","",IFERROR((SUMPRODUCT((TRIM(tblDados[Mandante])=$A572)*tblDados[Primeira_Ocorrencia]*((tblDados[GM_M]+tblDados[GS_M])&gt;1.5))+SUMPRODUCT((TRIM(tblDados[Visitante])=$A572)*tblDados[Primeira_Ocorrencia]*((tblDados[GM_V]+tblDados[GS_V])&gt;1.5)))/G572,0))</f>
        <v/>
      </c>
      <c r="M572" s="16" t="str" cm="1">
        <f t="array" ref="M572">IF($A572="","",IFERROR((SUMPRODUCT((TRIM(tblDados[Mandante])=$A572)*tblDados[Primeira_Ocorrencia]*((tblDados[GM_M]+tblDados[GS_M])&gt;2.5))+SUMPRODUCT((TRIM(tblDados[Visitante])=$A572)*tblDados[Primeira_Ocorrencia]*((tblDados[GM_V]+tblDados[GS_V])&gt;2.5)))/G572,0))</f>
        <v/>
      </c>
      <c r="N572" s="16" t="str" cm="1">
        <f t="array" ref="N572">IF($A572="","",IFERROR((SUMPRODUCT((TRIM(tblDados[Mandante])=$A572)*tblDados[Primeira_Ocorrencia]*((tblDados[GM_M]+tblDados[GS_M])&gt;3.5))+SUMPRODUCT((TRIM(tblDados[Visitante])=$A572)*tblDados[Primeira_Ocorrencia]*((tblDados[GM_V]+tblDados[GS_V])&gt;3.5)))/G572,0))</f>
        <v/>
      </c>
      <c r="O572" s="16" t="str" cm="1">
        <f t="array" ref="O572">IF($A572="","",IFERROR((SUMPRODUCT((TRIM(tblDados[Mandante])=$A572)*tblDados[Primeira_Ocorrencia]*(tblDados[GM_M]&gt;0)*(tblDados[GS_M]&gt;0))+SUMPRODUCT((TRIM(tblDados[Visitante])=$A572)*tblDados[Primeira_Ocorrencia]*(tblDados[GM_V]&gt;0)*(tblDados[GS_V]&gt;0)))/G572,0))</f>
        <v/>
      </c>
      <c r="P572" s="14" t="str" cm="1">
        <f t="array" ref="P572">IF($A572="","",IFERROR((SUMPRODUCT((TRIM(tblDados[Mandante])=$A572)*tblDados[Primeira_Ocorrencia]*tblDados[GM_M]^2)+SUMPRODUCT((TRIM(tblDados[Visitante])=$A572)*tblDados[Primeira_Ocorrencia]*tblDados[GM_V]^2))/G572-H572^2,0))</f>
        <v/>
      </c>
      <c r="Q572" s="14" t="str">
        <f t="shared" si="161"/>
        <v/>
      </c>
      <c r="R572" s="1" t="str">
        <f t="shared" si="162"/>
        <v/>
      </c>
      <c r="S572" s="14" t="str" cm="1">
        <f t="array" ref="S572">IF($A572="","",SUMPRODUCT((TRIM(tblDados[Mandante])=$A572)*tblDados[Primeira_Ocorrencia]*tblDados[GM_M]))</f>
        <v/>
      </c>
      <c r="T572" s="14" t="str" cm="1">
        <f t="array" ref="T572">IF($A572="","",SUMPRODUCT((TRIM(tblDados[Visitante])=$A572)*tblDados[Primeira_Ocorrencia]*tblDados[GM_V]))</f>
        <v/>
      </c>
      <c r="U572" s="14" t="str">
        <f t="shared" si="163"/>
        <v/>
      </c>
      <c r="V572" s="14" t="str">
        <f t="shared" si="152"/>
        <v/>
      </c>
      <c r="W572" s="14" t="str" cm="1">
        <f t="array" ref="W572">IF($A572="","",SUMPRODUCT((TRIM(tblDados[Mandante])=$A572)*tblDados[Primeira_Ocorrencia]*tblDados[GS_M]))</f>
        <v/>
      </c>
      <c r="X572" s="14" t="str" cm="1">
        <f t="array" ref="X572">IF($A572="","",SUMPRODUCT((TRIM(tblDados[Visitante])=$A572)*tblDados[Primeira_Ocorrencia]*tblDados[GS_V]))</f>
        <v/>
      </c>
      <c r="Y572" s="14" t="str">
        <f t="shared" si="164"/>
        <v/>
      </c>
      <c r="Z572" s="14" t="str">
        <f t="shared" si="153"/>
        <v/>
      </c>
      <c r="AA572" s="14" t="str">
        <f t="shared" si="154"/>
        <v/>
      </c>
      <c r="AB572" s="14" t="str">
        <f t="shared" si="155"/>
        <v/>
      </c>
      <c r="AC572" s="14" t="str">
        <f t="shared" si="156"/>
        <v/>
      </c>
      <c r="AD572" s="14" t="str">
        <f t="shared" si="157"/>
        <v/>
      </c>
    </row>
    <row r="573" spans="2:30" x14ac:dyDescent="0.3">
      <c r="B573" s="13" t="str" cm="1">
        <f t="array" ref="B573">IF($A573="","",_xlfn.LET(_xlpm.p,IFERROR(INDEX(tblDados[País],MATCH($A573,TRIM(tblDados[Mandante]),0)),INDEX(tblDados[País],MATCH($A573,TRIM(tblDados[Visitante]),0))),_xlpm.l,IFERROR(INDEX(tblDados[Liga],MATCH($A573,TRIM(tblDados[Mandante]),0)),INDEX(tblDados[Liga],MATCH($A573,TRIM(tblDados[Visitante]),0))),_xlpm.p&amp;" - "&amp;_xlpm.l))</f>
        <v/>
      </c>
      <c r="C573" s="14" t="str">
        <f t="shared" si="158"/>
        <v/>
      </c>
      <c r="D573" s="14" t="str">
        <f t="shared" si="159"/>
        <v/>
      </c>
      <c r="E573" s="15" t="str" cm="1">
        <f t="array" ref="E573">IF($A573="","",SUMPRODUCT((TRIM(tblDados[Mandante])=$A573)*tblDados[Primeira_Ocorrencia]))</f>
        <v/>
      </c>
      <c r="F573" s="15" t="str" cm="1">
        <f t="array" ref="F573">IF($A573="","",SUMPRODUCT((TRIM(tblDados[Visitante])=$A573)*tblDados[Primeira_Ocorrencia]))</f>
        <v/>
      </c>
      <c r="G573" s="15" t="str" cm="1">
        <f t="array" ref="G573">IF($A573="","",SUMPRODUCT((TRIM(tblDados[Mandante])=$A573)*tblDados[Primeira_Ocorrencia])+SUMPRODUCT((TRIM(tblDados[Visitante])=$A573)*tblDados[Primeira_Ocorrencia]))</f>
        <v/>
      </c>
      <c r="H573" s="14" t="str">
        <f t="shared" si="160"/>
        <v/>
      </c>
      <c r="I573" s="14" t="str" cm="1">
        <f t="array" ref="I573">IF($A573="","",_xlfn.LET(_xlpm.p,IFERROR(INDEX(tblDados[País],MATCH($A573,TRIM(tblDados[Mandante]),0)),INDEX(tblDados[País],MATCH($A573,TRIM(tblDados[Visitante]),0))),_xlpm.l,IFERROR(INDEX(tblDados[Liga],MATCH($A573,TRIM(tblDados[Mandante]),0)),INDEX(tblDados[Liga],MATCH($A573,TRIM(tblDados[Visitante]),0))),IFERROR(SUMIFS(Ligas!$D$2:$D$39,Ligas!$H$2:$H$39,_xlpm.p,Ligas!$I$2:$I$39,_xlpm.l),0)))</f>
        <v/>
      </c>
      <c r="J573" s="16" t="str" cm="1">
        <f t="array" ref="J573">IF($A573="","",IFERROR((SUMPRODUCT((TRIM(tblDados[Mandante])=$A573)*tblDados[Primeira_Ocorrencia]*(tblDados[GM_M]=0))+SUMPRODUCT((TRIM(tblDados[Visitante])=$A573)*tblDados[Primeira_Ocorrencia]*(tblDados[GM_V]=0)))/G573,0))</f>
        <v/>
      </c>
      <c r="K573" s="16" t="str" cm="1">
        <f t="array" ref="K573">IF($A573="","",IFERROR((SUMPRODUCT((TRIM(tblDados[Mandante])=$A573)*tblDados[Primeira_Ocorrencia]*((tblDados[GM_M]+tblDados[GS_M])&gt;0.5))+SUMPRODUCT((TRIM(tblDados[Visitante])=$A573)*tblDados[Primeira_Ocorrencia]*((tblDados[GM_V]+tblDados[GS_V])&gt;0.5)))/G573,0))</f>
        <v/>
      </c>
      <c r="L573" s="16" t="str" cm="1">
        <f t="array" ref="L573">IF($A573="","",IFERROR((SUMPRODUCT((TRIM(tblDados[Mandante])=$A573)*tblDados[Primeira_Ocorrencia]*((tblDados[GM_M]+tblDados[GS_M])&gt;1.5))+SUMPRODUCT((TRIM(tblDados[Visitante])=$A573)*tblDados[Primeira_Ocorrencia]*((tblDados[GM_V]+tblDados[GS_V])&gt;1.5)))/G573,0))</f>
        <v/>
      </c>
      <c r="M573" s="16" t="str" cm="1">
        <f t="array" ref="M573">IF($A573="","",IFERROR((SUMPRODUCT((TRIM(tblDados[Mandante])=$A573)*tblDados[Primeira_Ocorrencia]*((tblDados[GM_M]+tblDados[GS_M])&gt;2.5))+SUMPRODUCT((TRIM(tblDados[Visitante])=$A573)*tblDados[Primeira_Ocorrencia]*((tblDados[GM_V]+tblDados[GS_V])&gt;2.5)))/G573,0))</f>
        <v/>
      </c>
      <c r="N573" s="16" t="str" cm="1">
        <f t="array" ref="N573">IF($A573="","",IFERROR((SUMPRODUCT((TRIM(tblDados[Mandante])=$A573)*tblDados[Primeira_Ocorrencia]*((tblDados[GM_M]+tblDados[GS_M])&gt;3.5))+SUMPRODUCT((TRIM(tblDados[Visitante])=$A573)*tblDados[Primeira_Ocorrencia]*((tblDados[GM_V]+tblDados[GS_V])&gt;3.5)))/G573,0))</f>
        <v/>
      </c>
      <c r="O573" s="16" t="str" cm="1">
        <f t="array" ref="O573">IF($A573="","",IFERROR((SUMPRODUCT((TRIM(tblDados[Mandante])=$A573)*tblDados[Primeira_Ocorrencia]*(tblDados[GM_M]&gt;0)*(tblDados[GS_M]&gt;0))+SUMPRODUCT((TRIM(tblDados[Visitante])=$A573)*tblDados[Primeira_Ocorrencia]*(tblDados[GM_V]&gt;0)*(tblDados[GS_V]&gt;0)))/G573,0))</f>
        <v/>
      </c>
      <c r="P573" s="14" t="str" cm="1">
        <f t="array" ref="P573">IF($A573="","",IFERROR((SUMPRODUCT((TRIM(tblDados[Mandante])=$A573)*tblDados[Primeira_Ocorrencia]*tblDados[GM_M]^2)+SUMPRODUCT((TRIM(tblDados[Visitante])=$A573)*tblDados[Primeira_Ocorrencia]*tblDados[GM_V]^2))/G573-H573^2,0))</f>
        <v/>
      </c>
      <c r="Q573" s="14" t="str">
        <f t="shared" si="161"/>
        <v/>
      </c>
      <c r="R573" s="1" t="str">
        <f t="shared" si="162"/>
        <v/>
      </c>
      <c r="S573" s="14" t="str" cm="1">
        <f t="array" ref="S573">IF($A573="","",SUMPRODUCT((TRIM(tblDados[Mandante])=$A573)*tblDados[Primeira_Ocorrencia]*tblDados[GM_M]))</f>
        <v/>
      </c>
      <c r="T573" s="14" t="str" cm="1">
        <f t="array" ref="T573">IF($A573="","",SUMPRODUCT((TRIM(tblDados[Visitante])=$A573)*tblDados[Primeira_Ocorrencia]*tblDados[GM_V]))</f>
        <v/>
      </c>
      <c r="U573" s="14" t="str">
        <f t="shared" si="163"/>
        <v/>
      </c>
      <c r="V573" s="14" t="str">
        <f t="shared" si="152"/>
        <v/>
      </c>
      <c r="W573" s="14" t="str" cm="1">
        <f t="array" ref="W573">IF($A573="","",SUMPRODUCT((TRIM(tblDados[Mandante])=$A573)*tblDados[Primeira_Ocorrencia]*tblDados[GS_M]))</f>
        <v/>
      </c>
      <c r="X573" s="14" t="str" cm="1">
        <f t="array" ref="X573">IF($A573="","",SUMPRODUCT((TRIM(tblDados[Visitante])=$A573)*tblDados[Primeira_Ocorrencia]*tblDados[GS_V]))</f>
        <v/>
      </c>
      <c r="Y573" s="14" t="str">
        <f t="shared" si="164"/>
        <v/>
      </c>
      <c r="Z573" s="14" t="str">
        <f t="shared" si="153"/>
        <v/>
      </c>
      <c r="AA573" s="14" t="str">
        <f t="shared" si="154"/>
        <v/>
      </c>
      <c r="AB573" s="14" t="str">
        <f t="shared" si="155"/>
        <v/>
      </c>
      <c r="AC573" s="14" t="str">
        <f t="shared" si="156"/>
        <v/>
      </c>
      <c r="AD573" s="14" t="str">
        <f t="shared" si="157"/>
        <v/>
      </c>
    </row>
    <row r="574" spans="2:30" x14ac:dyDescent="0.3">
      <c r="B574" s="13" t="str" cm="1">
        <f t="array" ref="B574">IF($A574="","",_xlfn.LET(_xlpm.p,IFERROR(INDEX(tblDados[País],MATCH($A574,TRIM(tblDados[Mandante]),0)),INDEX(tblDados[País],MATCH($A574,TRIM(tblDados[Visitante]),0))),_xlpm.l,IFERROR(INDEX(tblDados[Liga],MATCH($A574,TRIM(tblDados[Mandante]),0)),INDEX(tblDados[Liga],MATCH($A574,TRIM(tblDados[Visitante]),0))),_xlpm.p&amp;" - "&amp;_xlpm.l))</f>
        <v/>
      </c>
      <c r="C574" s="14" t="str">
        <f t="shared" si="158"/>
        <v/>
      </c>
      <c r="D574" s="14" t="str">
        <f t="shared" si="159"/>
        <v/>
      </c>
      <c r="E574" s="15" t="str" cm="1">
        <f t="array" ref="E574">IF($A574="","",SUMPRODUCT((TRIM(tblDados[Mandante])=$A574)*tblDados[Primeira_Ocorrencia]))</f>
        <v/>
      </c>
      <c r="F574" s="15" t="str" cm="1">
        <f t="array" ref="F574">IF($A574="","",SUMPRODUCT((TRIM(tblDados[Visitante])=$A574)*tblDados[Primeira_Ocorrencia]))</f>
        <v/>
      </c>
      <c r="G574" s="15" t="str" cm="1">
        <f t="array" ref="G574">IF($A574="","",SUMPRODUCT((TRIM(tblDados[Mandante])=$A574)*tblDados[Primeira_Ocorrencia])+SUMPRODUCT((TRIM(tblDados[Visitante])=$A574)*tblDados[Primeira_Ocorrencia]))</f>
        <v/>
      </c>
      <c r="H574" s="14" t="str">
        <f t="shared" si="160"/>
        <v/>
      </c>
      <c r="I574" s="14" t="str" cm="1">
        <f t="array" ref="I574">IF($A574="","",_xlfn.LET(_xlpm.p,IFERROR(INDEX(tblDados[País],MATCH($A574,TRIM(tblDados[Mandante]),0)),INDEX(tblDados[País],MATCH($A574,TRIM(tblDados[Visitante]),0))),_xlpm.l,IFERROR(INDEX(tblDados[Liga],MATCH($A574,TRIM(tblDados[Mandante]),0)),INDEX(tblDados[Liga],MATCH($A574,TRIM(tblDados[Visitante]),0))),IFERROR(SUMIFS(Ligas!$D$2:$D$39,Ligas!$H$2:$H$39,_xlpm.p,Ligas!$I$2:$I$39,_xlpm.l),0)))</f>
        <v/>
      </c>
      <c r="J574" s="16" t="str" cm="1">
        <f t="array" ref="J574">IF($A574="","",IFERROR((SUMPRODUCT((TRIM(tblDados[Mandante])=$A574)*tblDados[Primeira_Ocorrencia]*(tblDados[GM_M]=0))+SUMPRODUCT((TRIM(tblDados[Visitante])=$A574)*tblDados[Primeira_Ocorrencia]*(tblDados[GM_V]=0)))/G574,0))</f>
        <v/>
      </c>
      <c r="K574" s="16" t="str" cm="1">
        <f t="array" ref="K574">IF($A574="","",IFERROR((SUMPRODUCT((TRIM(tblDados[Mandante])=$A574)*tblDados[Primeira_Ocorrencia]*((tblDados[GM_M]+tblDados[GS_M])&gt;0.5))+SUMPRODUCT((TRIM(tblDados[Visitante])=$A574)*tblDados[Primeira_Ocorrencia]*((tblDados[GM_V]+tblDados[GS_V])&gt;0.5)))/G574,0))</f>
        <v/>
      </c>
      <c r="L574" s="16" t="str" cm="1">
        <f t="array" ref="L574">IF($A574="","",IFERROR((SUMPRODUCT((TRIM(tblDados[Mandante])=$A574)*tblDados[Primeira_Ocorrencia]*((tblDados[GM_M]+tblDados[GS_M])&gt;1.5))+SUMPRODUCT((TRIM(tblDados[Visitante])=$A574)*tblDados[Primeira_Ocorrencia]*((tblDados[GM_V]+tblDados[GS_V])&gt;1.5)))/G574,0))</f>
        <v/>
      </c>
      <c r="M574" s="16" t="str" cm="1">
        <f t="array" ref="M574">IF($A574="","",IFERROR((SUMPRODUCT((TRIM(tblDados[Mandante])=$A574)*tblDados[Primeira_Ocorrencia]*((tblDados[GM_M]+tblDados[GS_M])&gt;2.5))+SUMPRODUCT((TRIM(tblDados[Visitante])=$A574)*tblDados[Primeira_Ocorrencia]*((tblDados[GM_V]+tblDados[GS_V])&gt;2.5)))/G574,0))</f>
        <v/>
      </c>
      <c r="N574" s="16" t="str" cm="1">
        <f t="array" ref="N574">IF($A574="","",IFERROR((SUMPRODUCT((TRIM(tblDados[Mandante])=$A574)*tblDados[Primeira_Ocorrencia]*((tblDados[GM_M]+tblDados[GS_M])&gt;3.5))+SUMPRODUCT((TRIM(tblDados[Visitante])=$A574)*tblDados[Primeira_Ocorrencia]*((tblDados[GM_V]+tblDados[GS_V])&gt;3.5)))/G574,0))</f>
        <v/>
      </c>
      <c r="O574" s="16" t="str" cm="1">
        <f t="array" ref="O574">IF($A574="","",IFERROR((SUMPRODUCT((TRIM(tblDados[Mandante])=$A574)*tblDados[Primeira_Ocorrencia]*(tblDados[GM_M]&gt;0)*(tblDados[GS_M]&gt;0))+SUMPRODUCT((TRIM(tblDados[Visitante])=$A574)*tblDados[Primeira_Ocorrencia]*(tblDados[GM_V]&gt;0)*(tblDados[GS_V]&gt;0)))/G574,0))</f>
        <v/>
      </c>
      <c r="P574" s="14" t="str" cm="1">
        <f t="array" ref="P574">IF($A574="","",IFERROR((SUMPRODUCT((TRIM(tblDados[Mandante])=$A574)*tblDados[Primeira_Ocorrencia]*tblDados[GM_M]^2)+SUMPRODUCT((TRIM(tblDados[Visitante])=$A574)*tblDados[Primeira_Ocorrencia]*tblDados[GM_V]^2))/G574-H574^2,0))</f>
        <v/>
      </c>
      <c r="Q574" s="14" t="str">
        <f t="shared" si="161"/>
        <v/>
      </c>
      <c r="R574" s="1" t="str">
        <f t="shared" si="162"/>
        <v/>
      </c>
      <c r="S574" s="14" t="str" cm="1">
        <f t="array" ref="S574">IF($A574="","",SUMPRODUCT((TRIM(tblDados[Mandante])=$A574)*tblDados[Primeira_Ocorrencia]*tblDados[GM_M]))</f>
        <v/>
      </c>
      <c r="T574" s="14" t="str" cm="1">
        <f t="array" ref="T574">IF($A574="","",SUMPRODUCT((TRIM(tblDados[Visitante])=$A574)*tblDados[Primeira_Ocorrencia]*tblDados[GM_V]))</f>
        <v/>
      </c>
      <c r="U574" s="14" t="str">
        <f t="shared" si="163"/>
        <v/>
      </c>
      <c r="V574" s="14" t="str">
        <f t="shared" si="152"/>
        <v/>
      </c>
      <c r="W574" s="14" t="str" cm="1">
        <f t="array" ref="W574">IF($A574="","",SUMPRODUCT((TRIM(tblDados[Mandante])=$A574)*tblDados[Primeira_Ocorrencia]*tblDados[GS_M]))</f>
        <v/>
      </c>
      <c r="X574" s="14" t="str" cm="1">
        <f t="array" ref="X574">IF($A574="","",SUMPRODUCT((TRIM(tblDados[Visitante])=$A574)*tblDados[Primeira_Ocorrencia]*tblDados[GS_V]))</f>
        <v/>
      </c>
      <c r="Y574" s="14" t="str">
        <f t="shared" si="164"/>
        <v/>
      </c>
      <c r="Z574" s="14" t="str">
        <f t="shared" si="153"/>
        <v/>
      </c>
      <c r="AA574" s="14" t="str">
        <f t="shared" si="154"/>
        <v/>
      </c>
      <c r="AB574" s="14" t="str">
        <f t="shared" si="155"/>
        <v/>
      </c>
      <c r="AC574" s="14" t="str">
        <f t="shared" si="156"/>
        <v/>
      </c>
      <c r="AD574" s="14" t="str">
        <f t="shared" si="157"/>
        <v/>
      </c>
    </row>
    <row r="575" spans="2:30" x14ac:dyDescent="0.3">
      <c r="B575" s="13" t="str" cm="1">
        <f t="array" ref="B575">IF($A575="","",_xlfn.LET(_xlpm.p,IFERROR(INDEX(tblDados[País],MATCH($A575,TRIM(tblDados[Mandante]),0)),INDEX(tblDados[País],MATCH($A575,TRIM(tblDados[Visitante]),0))),_xlpm.l,IFERROR(INDEX(tblDados[Liga],MATCH($A575,TRIM(tblDados[Mandante]),0)),INDEX(tblDados[Liga],MATCH($A575,TRIM(tblDados[Visitante]),0))),_xlpm.p&amp;" - "&amp;_xlpm.l))</f>
        <v/>
      </c>
      <c r="C575" s="14" t="str">
        <f t="shared" si="158"/>
        <v/>
      </c>
      <c r="D575" s="14" t="str">
        <f t="shared" si="159"/>
        <v/>
      </c>
      <c r="E575" s="15" t="str" cm="1">
        <f t="array" ref="E575">IF($A575="","",SUMPRODUCT((TRIM(tblDados[Mandante])=$A575)*tblDados[Primeira_Ocorrencia]))</f>
        <v/>
      </c>
      <c r="F575" s="15" t="str" cm="1">
        <f t="array" ref="F575">IF($A575="","",SUMPRODUCT((TRIM(tblDados[Visitante])=$A575)*tblDados[Primeira_Ocorrencia]))</f>
        <v/>
      </c>
      <c r="G575" s="15" t="str" cm="1">
        <f t="array" ref="G575">IF($A575="","",SUMPRODUCT((TRIM(tblDados[Mandante])=$A575)*tblDados[Primeira_Ocorrencia])+SUMPRODUCT((TRIM(tblDados[Visitante])=$A575)*tblDados[Primeira_Ocorrencia]))</f>
        <v/>
      </c>
      <c r="H575" s="14" t="str">
        <f t="shared" si="160"/>
        <v/>
      </c>
      <c r="I575" s="14" t="str" cm="1">
        <f t="array" ref="I575">IF($A575="","",_xlfn.LET(_xlpm.p,IFERROR(INDEX(tblDados[País],MATCH($A575,TRIM(tblDados[Mandante]),0)),INDEX(tblDados[País],MATCH($A575,TRIM(tblDados[Visitante]),0))),_xlpm.l,IFERROR(INDEX(tblDados[Liga],MATCH($A575,TRIM(tblDados[Mandante]),0)),INDEX(tblDados[Liga],MATCH($A575,TRIM(tblDados[Visitante]),0))),IFERROR(SUMIFS(Ligas!$D$2:$D$39,Ligas!$H$2:$H$39,_xlpm.p,Ligas!$I$2:$I$39,_xlpm.l),0)))</f>
        <v/>
      </c>
      <c r="J575" s="16" t="str" cm="1">
        <f t="array" ref="J575">IF($A575="","",IFERROR((SUMPRODUCT((TRIM(tblDados[Mandante])=$A575)*tblDados[Primeira_Ocorrencia]*(tblDados[GM_M]=0))+SUMPRODUCT((TRIM(tblDados[Visitante])=$A575)*tblDados[Primeira_Ocorrencia]*(tblDados[GM_V]=0)))/G575,0))</f>
        <v/>
      </c>
      <c r="K575" s="16" t="str" cm="1">
        <f t="array" ref="K575">IF($A575="","",IFERROR((SUMPRODUCT((TRIM(tblDados[Mandante])=$A575)*tblDados[Primeira_Ocorrencia]*((tblDados[GM_M]+tblDados[GS_M])&gt;0.5))+SUMPRODUCT((TRIM(tblDados[Visitante])=$A575)*tblDados[Primeira_Ocorrencia]*((tblDados[GM_V]+tblDados[GS_V])&gt;0.5)))/G575,0))</f>
        <v/>
      </c>
      <c r="L575" s="16" t="str" cm="1">
        <f t="array" ref="L575">IF($A575="","",IFERROR((SUMPRODUCT((TRIM(tblDados[Mandante])=$A575)*tblDados[Primeira_Ocorrencia]*((tblDados[GM_M]+tblDados[GS_M])&gt;1.5))+SUMPRODUCT((TRIM(tblDados[Visitante])=$A575)*tblDados[Primeira_Ocorrencia]*((tblDados[GM_V]+tblDados[GS_V])&gt;1.5)))/G575,0))</f>
        <v/>
      </c>
      <c r="M575" s="16" t="str" cm="1">
        <f t="array" ref="M575">IF($A575="","",IFERROR((SUMPRODUCT((TRIM(tblDados[Mandante])=$A575)*tblDados[Primeira_Ocorrencia]*((tblDados[GM_M]+tblDados[GS_M])&gt;2.5))+SUMPRODUCT((TRIM(tblDados[Visitante])=$A575)*tblDados[Primeira_Ocorrencia]*((tblDados[GM_V]+tblDados[GS_V])&gt;2.5)))/G575,0))</f>
        <v/>
      </c>
      <c r="N575" s="16" t="str" cm="1">
        <f t="array" ref="N575">IF($A575="","",IFERROR((SUMPRODUCT((TRIM(tblDados[Mandante])=$A575)*tblDados[Primeira_Ocorrencia]*((tblDados[GM_M]+tblDados[GS_M])&gt;3.5))+SUMPRODUCT((TRIM(tblDados[Visitante])=$A575)*tblDados[Primeira_Ocorrencia]*((tblDados[GM_V]+tblDados[GS_V])&gt;3.5)))/G575,0))</f>
        <v/>
      </c>
      <c r="O575" s="16" t="str" cm="1">
        <f t="array" ref="O575">IF($A575="","",IFERROR((SUMPRODUCT((TRIM(tblDados[Mandante])=$A575)*tblDados[Primeira_Ocorrencia]*(tblDados[GM_M]&gt;0)*(tblDados[GS_M]&gt;0))+SUMPRODUCT((TRIM(tblDados[Visitante])=$A575)*tblDados[Primeira_Ocorrencia]*(tblDados[GM_V]&gt;0)*(tblDados[GS_V]&gt;0)))/G575,0))</f>
        <v/>
      </c>
      <c r="P575" s="14" t="str" cm="1">
        <f t="array" ref="P575">IF($A575="","",IFERROR((SUMPRODUCT((TRIM(tblDados[Mandante])=$A575)*tblDados[Primeira_Ocorrencia]*tblDados[GM_M]^2)+SUMPRODUCT((TRIM(tblDados[Visitante])=$A575)*tblDados[Primeira_Ocorrencia]*tblDados[GM_V]^2))/G575-H575^2,0))</f>
        <v/>
      </c>
      <c r="Q575" s="14" t="str">
        <f t="shared" si="161"/>
        <v/>
      </c>
      <c r="R575" s="1" t="str">
        <f t="shared" si="162"/>
        <v/>
      </c>
      <c r="S575" s="14" t="str" cm="1">
        <f t="array" ref="S575">IF($A575="","",SUMPRODUCT((TRIM(tblDados[Mandante])=$A575)*tblDados[Primeira_Ocorrencia]*tblDados[GM_M]))</f>
        <v/>
      </c>
      <c r="T575" s="14" t="str" cm="1">
        <f t="array" ref="T575">IF($A575="","",SUMPRODUCT((TRIM(tblDados[Visitante])=$A575)*tblDados[Primeira_Ocorrencia]*tblDados[GM_V]))</f>
        <v/>
      </c>
      <c r="U575" s="14" t="str">
        <f t="shared" si="163"/>
        <v/>
      </c>
      <c r="V575" s="14" t="str">
        <f t="shared" si="152"/>
        <v/>
      </c>
      <c r="W575" s="14" t="str" cm="1">
        <f t="array" ref="W575">IF($A575="","",SUMPRODUCT((TRIM(tblDados[Mandante])=$A575)*tblDados[Primeira_Ocorrencia]*tblDados[GS_M]))</f>
        <v/>
      </c>
      <c r="X575" s="14" t="str" cm="1">
        <f t="array" ref="X575">IF($A575="","",SUMPRODUCT((TRIM(tblDados[Visitante])=$A575)*tblDados[Primeira_Ocorrencia]*tblDados[GS_V]))</f>
        <v/>
      </c>
      <c r="Y575" s="14" t="str">
        <f t="shared" si="164"/>
        <v/>
      </c>
      <c r="Z575" s="14" t="str">
        <f t="shared" si="153"/>
        <v/>
      </c>
      <c r="AA575" s="14" t="str">
        <f t="shared" si="154"/>
        <v/>
      </c>
      <c r="AB575" s="14" t="str">
        <f t="shared" si="155"/>
        <v/>
      </c>
      <c r="AC575" s="14" t="str">
        <f t="shared" si="156"/>
        <v/>
      </c>
      <c r="AD575" s="14" t="str">
        <f t="shared" si="157"/>
        <v/>
      </c>
    </row>
    <row r="576" spans="2:30" x14ac:dyDescent="0.3">
      <c r="B576" s="13" t="str" cm="1">
        <f t="array" ref="B576">IF($A576="","",_xlfn.LET(_xlpm.p,IFERROR(INDEX(tblDados[País],MATCH($A576,TRIM(tblDados[Mandante]),0)),INDEX(tblDados[País],MATCH($A576,TRIM(tblDados[Visitante]),0))),_xlpm.l,IFERROR(INDEX(tblDados[Liga],MATCH($A576,TRIM(tblDados[Mandante]),0)),INDEX(tblDados[Liga],MATCH($A576,TRIM(tblDados[Visitante]),0))),_xlpm.p&amp;" - "&amp;_xlpm.l))</f>
        <v/>
      </c>
      <c r="C576" s="14" t="str">
        <f t="shared" si="158"/>
        <v/>
      </c>
      <c r="D576" s="14" t="str">
        <f t="shared" si="159"/>
        <v/>
      </c>
      <c r="E576" s="15" t="str" cm="1">
        <f t="array" ref="E576">IF($A576="","",SUMPRODUCT((TRIM(tblDados[Mandante])=$A576)*tblDados[Primeira_Ocorrencia]))</f>
        <v/>
      </c>
      <c r="F576" s="15" t="str" cm="1">
        <f t="array" ref="F576">IF($A576="","",SUMPRODUCT((TRIM(tblDados[Visitante])=$A576)*tblDados[Primeira_Ocorrencia]))</f>
        <v/>
      </c>
      <c r="G576" s="15" t="str" cm="1">
        <f t="array" ref="G576">IF($A576="","",SUMPRODUCT((TRIM(tblDados[Mandante])=$A576)*tblDados[Primeira_Ocorrencia])+SUMPRODUCT((TRIM(tblDados[Visitante])=$A576)*tblDados[Primeira_Ocorrencia]))</f>
        <v/>
      </c>
      <c r="H576" s="14" t="str">
        <f t="shared" si="160"/>
        <v/>
      </c>
      <c r="I576" s="14" t="str" cm="1">
        <f t="array" ref="I576">IF($A576="","",_xlfn.LET(_xlpm.p,IFERROR(INDEX(tblDados[País],MATCH($A576,TRIM(tblDados[Mandante]),0)),INDEX(tblDados[País],MATCH($A576,TRIM(tblDados[Visitante]),0))),_xlpm.l,IFERROR(INDEX(tblDados[Liga],MATCH($A576,TRIM(tblDados[Mandante]),0)),INDEX(tblDados[Liga],MATCH($A576,TRIM(tblDados[Visitante]),0))),IFERROR(SUMIFS(Ligas!$D$2:$D$39,Ligas!$H$2:$H$39,_xlpm.p,Ligas!$I$2:$I$39,_xlpm.l),0)))</f>
        <v/>
      </c>
      <c r="J576" s="16" t="str" cm="1">
        <f t="array" ref="J576">IF($A576="","",IFERROR((SUMPRODUCT((TRIM(tblDados[Mandante])=$A576)*tblDados[Primeira_Ocorrencia]*(tblDados[GM_M]=0))+SUMPRODUCT((TRIM(tblDados[Visitante])=$A576)*tblDados[Primeira_Ocorrencia]*(tblDados[GM_V]=0)))/G576,0))</f>
        <v/>
      </c>
      <c r="K576" s="16" t="str" cm="1">
        <f t="array" ref="K576">IF($A576="","",IFERROR((SUMPRODUCT((TRIM(tblDados[Mandante])=$A576)*tblDados[Primeira_Ocorrencia]*((tblDados[GM_M]+tblDados[GS_M])&gt;0.5))+SUMPRODUCT((TRIM(tblDados[Visitante])=$A576)*tblDados[Primeira_Ocorrencia]*((tblDados[GM_V]+tblDados[GS_V])&gt;0.5)))/G576,0))</f>
        <v/>
      </c>
      <c r="L576" s="16" t="str" cm="1">
        <f t="array" ref="L576">IF($A576="","",IFERROR((SUMPRODUCT((TRIM(tblDados[Mandante])=$A576)*tblDados[Primeira_Ocorrencia]*((tblDados[GM_M]+tblDados[GS_M])&gt;1.5))+SUMPRODUCT((TRIM(tblDados[Visitante])=$A576)*tblDados[Primeira_Ocorrencia]*((tblDados[GM_V]+tblDados[GS_V])&gt;1.5)))/G576,0))</f>
        <v/>
      </c>
      <c r="M576" s="16" t="str" cm="1">
        <f t="array" ref="M576">IF($A576="","",IFERROR((SUMPRODUCT((TRIM(tblDados[Mandante])=$A576)*tblDados[Primeira_Ocorrencia]*((tblDados[GM_M]+tblDados[GS_M])&gt;2.5))+SUMPRODUCT((TRIM(tblDados[Visitante])=$A576)*tblDados[Primeira_Ocorrencia]*((tblDados[GM_V]+tblDados[GS_V])&gt;2.5)))/G576,0))</f>
        <v/>
      </c>
      <c r="N576" s="16" t="str" cm="1">
        <f t="array" ref="N576">IF($A576="","",IFERROR((SUMPRODUCT((TRIM(tblDados[Mandante])=$A576)*tblDados[Primeira_Ocorrencia]*((tblDados[GM_M]+tblDados[GS_M])&gt;3.5))+SUMPRODUCT((TRIM(tblDados[Visitante])=$A576)*tblDados[Primeira_Ocorrencia]*((tblDados[GM_V]+tblDados[GS_V])&gt;3.5)))/G576,0))</f>
        <v/>
      </c>
      <c r="O576" s="16" t="str" cm="1">
        <f t="array" ref="O576">IF($A576="","",IFERROR((SUMPRODUCT((TRIM(tblDados[Mandante])=$A576)*tblDados[Primeira_Ocorrencia]*(tblDados[GM_M]&gt;0)*(tblDados[GS_M]&gt;0))+SUMPRODUCT((TRIM(tblDados[Visitante])=$A576)*tblDados[Primeira_Ocorrencia]*(tblDados[GM_V]&gt;0)*(tblDados[GS_V]&gt;0)))/G576,0))</f>
        <v/>
      </c>
      <c r="P576" s="14" t="str" cm="1">
        <f t="array" ref="P576">IF($A576="","",IFERROR((SUMPRODUCT((TRIM(tblDados[Mandante])=$A576)*tblDados[Primeira_Ocorrencia]*tblDados[GM_M]^2)+SUMPRODUCT((TRIM(tblDados[Visitante])=$A576)*tblDados[Primeira_Ocorrencia]*tblDados[GM_V]^2))/G576-H576^2,0))</f>
        <v/>
      </c>
      <c r="Q576" s="14" t="str">
        <f t="shared" si="161"/>
        <v/>
      </c>
      <c r="R576" s="1" t="str">
        <f t="shared" si="162"/>
        <v/>
      </c>
      <c r="S576" s="14" t="str" cm="1">
        <f t="array" ref="S576">IF($A576="","",SUMPRODUCT((TRIM(tblDados[Mandante])=$A576)*tblDados[Primeira_Ocorrencia]*tblDados[GM_M]))</f>
        <v/>
      </c>
      <c r="T576" s="14" t="str" cm="1">
        <f t="array" ref="T576">IF($A576="","",SUMPRODUCT((TRIM(tblDados[Visitante])=$A576)*tblDados[Primeira_Ocorrencia]*tblDados[GM_V]))</f>
        <v/>
      </c>
      <c r="U576" s="14" t="str">
        <f t="shared" si="163"/>
        <v/>
      </c>
      <c r="V576" s="14" t="str">
        <f t="shared" si="152"/>
        <v/>
      </c>
      <c r="W576" s="14" t="str" cm="1">
        <f t="array" ref="W576">IF($A576="","",SUMPRODUCT((TRIM(tblDados[Mandante])=$A576)*tblDados[Primeira_Ocorrencia]*tblDados[GS_M]))</f>
        <v/>
      </c>
      <c r="X576" s="14" t="str" cm="1">
        <f t="array" ref="X576">IF($A576="","",SUMPRODUCT((TRIM(tblDados[Visitante])=$A576)*tblDados[Primeira_Ocorrencia]*tblDados[GS_V]))</f>
        <v/>
      </c>
      <c r="Y576" s="14" t="str">
        <f t="shared" si="164"/>
        <v/>
      </c>
      <c r="Z576" s="14" t="str">
        <f t="shared" si="153"/>
        <v/>
      </c>
      <c r="AA576" s="14" t="str">
        <f t="shared" si="154"/>
        <v/>
      </c>
      <c r="AB576" s="14" t="str">
        <f t="shared" si="155"/>
        <v/>
      </c>
      <c r="AC576" s="14" t="str">
        <f t="shared" si="156"/>
        <v/>
      </c>
      <c r="AD576" s="14" t="str">
        <f t="shared" si="157"/>
        <v/>
      </c>
    </row>
    <row r="577" spans="2:30" x14ac:dyDescent="0.3">
      <c r="B577" s="13" t="str" cm="1">
        <f t="array" ref="B577">IF($A577="","",_xlfn.LET(_xlpm.p,IFERROR(INDEX(tblDados[País],MATCH($A577,TRIM(tblDados[Mandante]),0)),INDEX(tblDados[País],MATCH($A577,TRIM(tblDados[Visitante]),0))),_xlpm.l,IFERROR(INDEX(tblDados[Liga],MATCH($A577,TRIM(tblDados[Mandante]),0)),INDEX(tblDados[Liga],MATCH($A577,TRIM(tblDados[Visitante]),0))),_xlpm.p&amp;" - "&amp;_xlpm.l))</f>
        <v/>
      </c>
      <c r="C577" s="14" t="str">
        <f t="shared" si="158"/>
        <v/>
      </c>
      <c r="D577" s="14" t="str">
        <f t="shared" si="159"/>
        <v/>
      </c>
      <c r="E577" s="15" t="str" cm="1">
        <f t="array" ref="E577">IF($A577="","",SUMPRODUCT((TRIM(tblDados[Mandante])=$A577)*tblDados[Primeira_Ocorrencia]))</f>
        <v/>
      </c>
      <c r="F577" s="15" t="str" cm="1">
        <f t="array" ref="F577">IF($A577="","",SUMPRODUCT((TRIM(tblDados[Visitante])=$A577)*tblDados[Primeira_Ocorrencia]))</f>
        <v/>
      </c>
      <c r="G577" s="15" t="str" cm="1">
        <f t="array" ref="G577">IF($A577="","",SUMPRODUCT((TRIM(tblDados[Mandante])=$A577)*tblDados[Primeira_Ocorrencia])+SUMPRODUCT((TRIM(tblDados[Visitante])=$A577)*tblDados[Primeira_Ocorrencia]))</f>
        <v/>
      </c>
      <c r="H577" s="14" t="str">
        <f t="shared" si="160"/>
        <v/>
      </c>
      <c r="I577" s="14" t="str" cm="1">
        <f t="array" ref="I577">IF($A577="","",_xlfn.LET(_xlpm.p,IFERROR(INDEX(tblDados[País],MATCH($A577,TRIM(tblDados[Mandante]),0)),INDEX(tblDados[País],MATCH($A577,TRIM(tblDados[Visitante]),0))),_xlpm.l,IFERROR(INDEX(tblDados[Liga],MATCH($A577,TRIM(tblDados[Mandante]),0)),INDEX(tblDados[Liga],MATCH($A577,TRIM(tblDados[Visitante]),0))),IFERROR(SUMIFS(Ligas!$D$2:$D$39,Ligas!$H$2:$H$39,_xlpm.p,Ligas!$I$2:$I$39,_xlpm.l),0)))</f>
        <v/>
      </c>
      <c r="J577" s="16" t="str" cm="1">
        <f t="array" ref="J577">IF($A577="","",IFERROR((SUMPRODUCT((TRIM(tblDados[Mandante])=$A577)*tblDados[Primeira_Ocorrencia]*(tblDados[GM_M]=0))+SUMPRODUCT((TRIM(tblDados[Visitante])=$A577)*tblDados[Primeira_Ocorrencia]*(tblDados[GM_V]=0)))/G577,0))</f>
        <v/>
      </c>
      <c r="K577" s="16" t="str" cm="1">
        <f t="array" ref="K577">IF($A577="","",IFERROR((SUMPRODUCT((TRIM(tblDados[Mandante])=$A577)*tblDados[Primeira_Ocorrencia]*((tblDados[GM_M]+tblDados[GS_M])&gt;0.5))+SUMPRODUCT((TRIM(tblDados[Visitante])=$A577)*tblDados[Primeira_Ocorrencia]*((tblDados[GM_V]+tblDados[GS_V])&gt;0.5)))/G577,0))</f>
        <v/>
      </c>
      <c r="L577" s="16" t="str" cm="1">
        <f t="array" ref="L577">IF($A577="","",IFERROR((SUMPRODUCT((TRIM(tblDados[Mandante])=$A577)*tblDados[Primeira_Ocorrencia]*((tblDados[GM_M]+tblDados[GS_M])&gt;1.5))+SUMPRODUCT((TRIM(tblDados[Visitante])=$A577)*tblDados[Primeira_Ocorrencia]*((tblDados[GM_V]+tblDados[GS_V])&gt;1.5)))/G577,0))</f>
        <v/>
      </c>
      <c r="M577" s="16" t="str" cm="1">
        <f t="array" ref="M577">IF($A577="","",IFERROR((SUMPRODUCT((TRIM(tblDados[Mandante])=$A577)*tblDados[Primeira_Ocorrencia]*((tblDados[GM_M]+tblDados[GS_M])&gt;2.5))+SUMPRODUCT((TRIM(tblDados[Visitante])=$A577)*tblDados[Primeira_Ocorrencia]*((tblDados[GM_V]+tblDados[GS_V])&gt;2.5)))/G577,0))</f>
        <v/>
      </c>
      <c r="N577" s="16" t="str" cm="1">
        <f t="array" ref="N577">IF($A577="","",IFERROR((SUMPRODUCT((TRIM(tblDados[Mandante])=$A577)*tblDados[Primeira_Ocorrencia]*((tblDados[GM_M]+tblDados[GS_M])&gt;3.5))+SUMPRODUCT((TRIM(tblDados[Visitante])=$A577)*tblDados[Primeira_Ocorrencia]*((tblDados[GM_V]+tblDados[GS_V])&gt;3.5)))/G577,0))</f>
        <v/>
      </c>
      <c r="O577" s="16" t="str" cm="1">
        <f t="array" ref="O577">IF($A577="","",IFERROR((SUMPRODUCT((TRIM(tblDados[Mandante])=$A577)*tblDados[Primeira_Ocorrencia]*(tblDados[GM_M]&gt;0)*(tblDados[GS_M]&gt;0))+SUMPRODUCT((TRIM(tblDados[Visitante])=$A577)*tblDados[Primeira_Ocorrencia]*(tblDados[GM_V]&gt;0)*(tblDados[GS_V]&gt;0)))/G577,0))</f>
        <v/>
      </c>
      <c r="P577" s="14" t="str" cm="1">
        <f t="array" ref="P577">IF($A577="","",IFERROR((SUMPRODUCT((TRIM(tblDados[Mandante])=$A577)*tblDados[Primeira_Ocorrencia]*tblDados[GM_M]^2)+SUMPRODUCT((TRIM(tblDados[Visitante])=$A577)*tblDados[Primeira_Ocorrencia]*tblDados[GM_V]^2))/G577-H577^2,0))</f>
        <v/>
      </c>
      <c r="Q577" s="14" t="str">
        <f t="shared" si="161"/>
        <v/>
      </c>
      <c r="R577" s="1" t="str">
        <f t="shared" si="162"/>
        <v/>
      </c>
      <c r="S577" s="14" t="str" cm="1">
        <f t="array" ref="S577">IF($A577="","",SUMPRODUCT((TRIM(tblDados[Mandante])=$A577)*tblDados[Primeira_Ocorrencia]*tblDados[GM_M]))</f>
        <v/>
      </c>
      <c r="T577" s="14" t="str" cm="1">
        <f t="array" ref="T577">IF($A577="","",SUMPRODUCT((TRIM(tblDados[Visitante])=$A577)*tblDados[Primeira_Ocorrencia]*tblDados[GM_V]))</f>
        <v/>
      </c>
      <c r="U577" s="14" t="str">
        <f t="shared" si="163"/>
        <v/>
      </c>
      <c r="V577" s="14" t="str">
        <f t="shared" si="152"/>
        <v/>
      </c>
      <c r="W577" s="14" t="str" cm="1">
        <f t="array" ref="W577">IF($A577="","",SUMPRODUCT((TRIM(tblDados[Mandante])=$A577)*tblDados[Primeira_Ocorrencia]*tblDados[GS_M]))</f>
        <v/>
      </c>
      <c r="X577" s="14" t="str" cm="1">
        <f t="array" ref="X577">IF($A577="","",SUMPRODUCT((TRIM(tblDados[Visitante])=$A577)*tblDados[Primeira_Ocorrencia]*tblDados[GS_V]))</f>
        <v/>
      </c>
      <c r="Y577" s="14" t="str">
        <f t="shared" si="164"/>
        <v/>
      </c>
      <c r="Z577" s="14" t="str">
        <f t="shared" si="153"/>
        <v/>
      </c>
      <c r="AA577" s="14" t="str">
        <f t="shared" si="154"/>
        <v/>
      </c>
      <c r="AB577" s="14" t="str">
        <f t="shared" si="155"/>
        <v/>
      </c>
      <c r="AC577" s="14" t="str">
        <f t="shared" si="156"/>
        <v/>
      </c>
      <c r="AD577" s="14" t="str">
        <f t="shared" si="157"/>
        <v/>
      </c>
    </row>
    <row r="578" spans="2:30" x14ac:dyDescent="0.3">
      <c r="B578" s="13" t="str" cm="1">
        <f t="array" ref="B578">IF($A578="","",_xlfn.LET(_xlpm.p,IFERROR(INDEX(tblDados[País],MATCH($A578,TRIM(tblDados[Mandante]),0)),INDEX(tblDados[País],MATCH($A578,TRIM(tblDados[Visitante]),0))),_xlpm.l,IFERROR(INDEX(tblDados[Liga],MATCH($A578,TRIM(tblDados[Mandante]),0)),INDEX(tblDados[Liga],MATCH($A578,TRIM(tblDados[Visitante]),0))),_xlpm.p&amp;" - "&amp;_xlpm.l))</f>
        <v/>
      </c>
      <c r="C578" s="14" t="str">
        <f t="shared" si="158"/>
        <v/>
      </c>
      <c r="D578" s="14" t="str">
        <f t="shared" si="159"/>
        <v/>
      </c>
      <c r="E578" s="15" t="str" cm="1">
        <f t="array" ref="E578">IF($A578="","",SUMPRODUCT((TRIM(tblDados[Mandante])=$A578)*tblDados[Primeira_Ocorrencia]))</f>
        <v/>
      </c>
      <c r="F578" s="15" t="str" cm="1">
        <f t="array" ref="F578">IF($A578="","",SUMPRODUCT((TRIM(tblDados[Visitante])=$A578)*tblDados[Primeira_Ocorrencia]))</f>
        <v/>
      </c>
      <c r="G578" s="15" t="str" cm="1">
        <f t="array" ref="G578">IF($A578="","",SUMPRODUCT((TRIM(tblDados[Mandante])=$A578)*tblDados[Primeira_Ocorrencia])+SUMPRODUCT((TRIM(tblDados[Visitante])=$A578)*tblDados[Primeira_Ocorrencia]))</f>
        <v/>
      </c>
      <c r="H578" s="14" t="str">
        <f t="shared" si="160"/>
        <v/>
      </c>
      <c r="I578" s="14" t="str" cm="1">
        <f t="array" ref="I578">IF($A578="","",_xlfn.LET(_xlpm.p,IFERROR(INDEX(tblDados[País],MATCH($A578,TRIM(tblDados[Mandante]),0)),INDEX(tblDados[País],MATCH($A578,TRIM(tblDados[Visitante]),0))),_xlpm.l,IFERROR(INDEX(tblDados[Liga],MATCH($A578,TRIM(tblDados[Mandante]),0)),INDEX(tblDados[Liga],MATCH($A578,TRIM(tblDados[Visitante]),0))),IFERROR(SUMIFS(Ligas!$D$2:$D$39,Ligas!$H$2:$H$39,_xlpm.p,Ligas!$I$2:$I$39,_xlpm.l),0)))</f>
        <v/>
      </c>
      <c r="J578" s="16" t="str" cm="1">
        <f t="array" ref="J578">IF($A578="","",IFERROR((SUMPRODUCT((TRIM(tblDados[Mandante])=$A578)*tblDados[Primeira_Ocorrencia]*(tblDados[GM_M]=0))+SUMPRODUCT((TRIM(tblDados[Visitante])=$A578)*tblDados[Primeira_Ocorrencia]*(tblDados[GM_V]=0)))/G578,0))</f>
        <v/>
      </c>
      <c r="K578" s="16" t="str" cm="1">
        <f t="array" ref="K578">IF($A578="","",IFERROR((SUMPRODUCT((TRIM(tblDados[Mandante])=$A578)*tblDados[Primeira_Ocorrencia]*((tblDados[GM_M]+tblDados[GS_M])&gt;0.5))+SUMPRODUCT((TRIM(tblDados[Visitante])=$A578)*tblDados[Primeira_Ocorrencia]*((tblDados[GM_V]+tblDados[GS_V])&gt;0.5)))/G578,0))</f>
        <v/>
      </c>
      <c r="L578" s="16" t="str" cm="1">
        <f t="array" ref="L578">IF($A578="","",IFERROR((SUMPRODUCT((TRIM(tblDados[Mandante])=$A578)*tblDados[Primeira_Ocorrencia]*((tblDados[GM_M]+tblDados[GS_M])&gt;1.5))+SUMPRODUCT((TRIM(tblDados[Visitante])=$A578)*tblDados[Primeira_Ocorrencia]*((tblDados[GM_V]+tblDados[GS_V])&gt;1.5)))/G578,0))</f>
        <v/>
      </c>
      <c r="M578" s="16" t="str" cm="1">
        <f t="array" ref="M578">IF($A578="","",IFERROR((SUMPRODUCT((TRIM(tblDados[Mandante])=$A578)*tblDados[Primeira_Ocorrencia]*((tblDados[GM_M]+tblDados[GS_M])&gt;2.5))+SUMPRODUCT((TRIM(tblDados[Visitante])=$A578)*tblDados[Primeira_Ocorrencia]*((tblDados[GM_V]+tblDados[GS_V])&gt;2.5)))/G578,0))</f>
        <v/>
      </c>
      <c r="N578" s="16" t="str" cm="1">
        <f t="array" ref="N578">IF($A578="","",IFERROR((SUMPRODUCT((TRIM(tblDados[Mandante])=$A578)*tblDados[Primeira_Ocorrencia]*((tblDados[GM_M]+tblDados[GS_M])&gt;3.5))+SUMPRODUCT((TRIM(tblDados[Visitante])=$A578)*tblDados[Primeira_Ocorrencia]*((tblDados[GM_V]+tblDados[GS_V])&gt;3.5)))/G578,0))</f>
        <v/>
      </c>
      <c r="O578" s="16" t="str" cm="1">
        <f t="array" ref="O578">IF($A578="","",IFERROR((SUMPRODUCT((TRIM(tblDados[Mandante])=$A578)*tblDados[Primeira_Ocorrencia]*(tblDados[GM_M]&gt;0)*(tblDados[GS_M]&gt;0))+SUMPRODUCT((TRIM(tblDados[Visitante])=$A578)*tblDados[Primeira_Ocorrencia]*(tblDados[GM_V]&gt;0)*(tblDados[GS_V]&gt;0)))/G578,0))</f>
        <v/>
      </c>
      <c r="P578" s="14" t="str" cm="1">
        <f t="array" ref="P578">IF($A578="","",IFERROR((SUMPRODUCT((TRIM(tblDados[Mandante])=$A578)*tblDados[Primeira_Ocorrencia]*tblDados[GM_M]^2)+SUMPRODUCT((TRIM(tblDados[Visitante])=$A578)*tblDados[Primeira_Ocorrencia]*tblDados[GM_V]^2))/G578-H578^2,0))</f>
        <v/>
      </c>
      <c r="Q578" s="14" t="str">
        <f t="shared" si="161"/>
        <v/>
      </c>
      <c r="R578" s="1" t="str">
        <f t="shared" si="162"/>
        <v/>
      </c>
      <c r="S578" s="14" t="str" cm="1">
        <f t="array" ref="S578">IF($A578="","",SUMPRODUCT((TRIM(tblDados[Mandante])=$A578)*tblDados[Primeira_Ocorrencia]*tblDados[GM_M]))</f>
        <v/>
      </c>
      <c r="T578" s="14" t="str" cm="1">
        <f t="array" ref="T578">IF($A578="","",SUMPRODUCT((TRIM(tblDados[Visitante])=$A578)*tblDados[Primeira_Ocorrencia]*tblDados[GM_V]))</f>
        <v/>
      </c>
      <c r="U578" s="14" t="str">
        <f t="shared" si="163"/>
        <v/>
      </c>
      <c r="V578" s="14" t="str">
        <f t="shared" ref="V578:V641" si="165">IF($A578="","",IFERROR(U578/G578,0))</f>
        <v/>
      </c>
      <c r="W578" s="14" t="str" cm="1">
        <f t="array" ref="W578">IF($A578="","",SUMPRODUCT((TRIM(tblDados[Mandante])=$A578)*tblDados[Primeira_Ocorrencia]*tblDados[GS_M]))</f>
        <v/>
      </c>
      <c r="X578" s="14" t="str" cm="1">
        <f t="array" ref="X578">IF($A578="","",SUMPRODUCT((TRIM(tblDados[Visitante])=$A578)*tblDados[Primeira_Ocorrencia]*tblDados[GS_V]))</f>
        <v/>
      </c>
      <c r="Y578" s="14" t="str">
        <f t="shared" si="164"/>
        <v/>
      </c>
      <c r="Z578" s="14" t="str">
        <f t="shared" ref="Z578:Z641" si="166">IF($A578="","",IFERROR(Y578/G578,0))</f>
        <v/>
      </c>
      <c r="AA578" s="14" t="str">
        <f t="shared" ref="AA578:AA641" si="167">IF($A578="","",IF($E578=0,"",$S578/$E578))</f>
        <v/>
      </c>
      <c r="AB578" s="14" t="str">
        <f t="shared" ref="AB578:AB641" si="168">IF($A578="","",IF($E578=0,"",$W578/$E578))</f>
        <v/>
      </c>
      <c r="AC578" s="14" t="str">
        <f t="shared" ref="AC578:AC641" si="169">IF($A578="","",IF($F578=0,"",$T578/$F578))</f>
        <v/>
      </c>
      <c r="AD578" s="14" t="str">
        <f t="shared" ref="AD578:AD641" si="170">IF($A578="","",IF($F578=0,"",$X578/$F578))</f>
        <v/>
      </c>
    </row>
    <row r="579" spans="2:30" x14ac:dyDescent="0.3">
      <c r="B579" s="13" t="str" cm="1">
        <f t="array" ref="B579">IF($A579="","",_xlfn.LET(_xlpm.p,IFERROR(INDEX(tblDados[País],MATCH($A579,TRIM(tblDados[Mandante]),0)),INDEX(tblDados[País],MATCH($A579,TRIM(tblDados[Visitante]),0))),_xlpm.l,IFERROR(INDEX(tblDados[Liga],MATCH($A579,TRIM(tblDados[Mandante]),0)),INDEX(tblDados[Liga],MATCH($A579,TRIM(tblDados[Visitante]),0))),_xlpm.p&amp;" - "&amp;_xlpm.l))</f>
        <v/>
      </c>
      <c r="C579" s="14" t="str">
        <f t="shared" ref="C579:C642" si="171">IF($A579="","",IF($E579=0,"",$AA579+$AB579))</f>
        <v/>
      </c>
      <c r="D579" s="14" t="str">
        <f t="shared" ref="D579:D642" si="172">IF($A579="","",IF($F579=0,"",$AC579+$AD579))</f>
        <v/>
      </c>
      <c r="E579" s="15" t="str" cm="1">
        <f t="array" ref="E579">IF($A579="","",SUMPRODUCT((TRIM(tblDados[Mandante])=$A579)*tblDados[Primeira_Ocorrencia]))</f>
        <v/>
      </c>
      <c r="F579" s="15" t="str" cm="1">
        <f t="array" ref="F579">IF($A579="","",SUMPRODUCT((TRIM(tblDados[Visitante])=$A579)*tblDados[Primeira_Ocorrencia]))</f>
        <v/>
      </c>
      <c r="G579" s="15" t="str" cm="1">
        <f t="array" ref="G579">IF($A579="","",SUMPRODUCT((TRIM(tblDados[Mandante])=$A579)*tblDados[Primeira_Ocorrencia])+SUMPRODUCT((TRIM(tblDados[Visitante])=$A579)*tblDados[Primeira_Ocorrencia]))</f>
        <v/>
      </c>
      <c r="H579" s="14" t="str">
        <f t="shared" ref="H579:H642" si="173">IF($A579="","",IFERROR($U579/$G579,0))</f>
        <v/>
      </c>
      <c r="I579" s="14" t="str" cm="1">
        <f t="array" ref="I579">IF($A579="","",_xlfn.LET(_xlpm.p,IFERROR(INDEX(tblDados[País],MATCH($A579,TRIM(tblDados[Mandante]),0)),INDEX(tblDados[País],MATCH($A579,TRIM(tblDados[Visitante]),0))),_xlpm.l,IFERROR(INDEX(tblDados[Liga],MATCH($A579,TRIM(tblDados[Mandante]),0)),INDEX(tblDados[Liga],MATCH($A579,TRIM(tblDados[Visitante]),0))),IFERROR(SUMIFS(Ligas!$D$2:$D$39,Ligas!$H$2:$H$39,_xlpm.p,Ligas!$I$2:$I$39,_xlpm.l),0)))</f>
        <v/>
      </c>
      <c r="J579" s="16" t="str" cm="1">
        <f t="array" ref="J579">IF($A579="","",IFERROR((SUMPRODUCT((TRIM(tblDados[Mandante])=$A579)*tblDados[Primeira_Ocorrencia]*(tblDados[GM_M]=0))+SUMPRODUCT((TRIM(tblDados[Visitante])=$A579)*tblDados[Primeira_Ocorrencia]*(tblDados[GM_V]=0)))/G579,0))</f>
        <v/>
      </c>
      <c r="K579" s="16" t="str" cm="1">
        <f t="array" ref="K579">IF($A579="","",IFERROR((SUMPRODUCT((TRIM(tblDados[Mandante])=$A579)*tblDados[Primeira_Ocorrencia]*((tblDados[GM_M]+tblDados[GS_M])&gt;0.5))+SUMPRODUCT((TRIM(tblDados[Visitante])=$A579)*tblDados[Primeira_Ocorrencia]*((tblDados[GM_V]+tblDados[GS_V])&gt;0.5)))/G579,0))</f>
        <v/>
      </c>
      <c r="L579" s="16" t="str" cm="1">
        <f t="array" ref="L579">IF($A579="","",IFERROR((SUMPRODUCT((TRIM(tblDados[Mandante])=$A579)*tblDados[Primeira_Ocorrencia]*((tblDados[GM_M]+tblDados[GS_M])&gt;1.5))+SUMPRODUCT((TRIM(tblDados[Visitante])=$A579)*tblDados[Primeira_Ocorrencia]*((tblDados[GM_V]+tblDados[GS_V])&gt;1.5)))/G579,0))</f>
        <v/>
      </c>
      <c r="M579" s="16" t="str" cm="1">
        <f t="array" ref="M579">IF($A579="","",IFERROR((SUMPRODUCT((TRIM(tblDados[Mandante])=$A579)*tblDados[Primeira_Ocorrencia]*((tblDados[GM_M]+tblDados[GS_M])&gt;2.5))+SUMPRODUCT((TRIM(tblDados[Visitante])=$A579)*tblDados[Primeira_Ocorrencia]*((tblDados[GM_V]+tblDados[GS_V])&gt;2.5)))/G579,0))</f>
        <v/>
      </c>
      <c r="N579" s="16" t="str" cm="1">
        <f t="array" ref="N579">IF($A579="","",IFERROR((SUMPRODUCT((TRIM(tblDados[Mandante])=$A579)*tblDados[Primeira_Ocorrencia]*((tblDados[GM_M]+tblDados[GS_M])&gt;3.5))+SUMPRODUCT((TRIM(tblDados[Visitante])=$A579)*tblDados[Primeira_Ocorrencia]*((tblDados[GM_V]+tblDados[GS_V])&gt;3.5)))/G579,0))</f>
        <v/>
      </c>
      <c r="O579" s="16" t="str" cm="1">
        <f t="array" ref="O579">IF($A579="","",IFERROR((SUMPRODUCT((TRIM(tblDados[Mandante])=$A579)*tblDados[Primeira_Ocorrencia]*(tblDados[GM_M]&gt;0)*(tblDados[GS_M]&gt;0))+SUMPRODUCT((TRIM(tblDados[Visitante])=$A579)*tblDados[Primeira_Ocorrencia]*(tblDados[GM_V]&gt;0)*(tblDados[GS_V]&gt;0)))/G579,0))</f>
        <v/>
      </c>
      <c r="P579" s="14" t="str" cm="1">
        <f t="array" ref="P579">IF($A579="","",IFERROR((SUMPRODUCT((TRIM(tblDados[Mandante])=$A579)*tblDados[Primeira_Ocorrencia]*tblDados[GM_M]^2)+SUMPRODUCT((TRIM(tblDados[Visitante])=$A579)*tblDados[Primeira_Ocorrencia]*tblDados[GM_V]^2))/G579-H579^2,0))</f>
        <v/>
      </c>
      <c r="Q579" s="14" t="str">
        <f t="shared" ref="Q579:Q642" si="174">IF($A579="","",IFERROR(SQRT(MAX(P579,0)),0))</f>
        <v/>
      </c>
      <c r="R579" s="1" t="str">
        <f t="shared" ref="R579:R642" si="175">IF(A579="","",IF(OR(G579&lt;5,H579=0),"Amostra Insuficiente",IF(_xlfn.CHISQ.DIST.RT(G579*P579/H579,G579-1)&lt;0.05,"Binomial Negativa","Poisson")))</f>
        <v/>
      </c>
      <c r="S579" s="14" t="str" cm="1">
        <f t="array" ref="S579">IF($A579="","",SUMPRODUCT((TRIM(tblDados[Mandante])=$A579)*tblDados[Primeira_Ocorrencia]*tblDados[GM_M]))</f>
        <v/>
      </c>
      <c r="T579" s="14" t="str" cm="1">
        <f t="array" ref="T579">IF($A579="","",SUMPRODUCT((TRIM(tblDados[Visitante])=$A579)*tblDados[Primeira_Ocorrencia]*tblDados[GM_V]))</f>
        <v/>
      </c>
      <c r="U579" s="14" t="str">
        <f t="shared" ref="U579:U642" si="176">IF($A579="","",S579+T579)</f>
        <v/>
      </c>
      <c r="V579" s="14" t="str">
        <f t="shared" si="165"/>
        <v/>
      </c>
      <c r="W579" s="14" t="str" cm="1">
        <f t="array" ref="W579">IF($A579="","",SUMPRODUCT((TRIM(tblDados[Mandante])=$A579)*tblDados[Primeira_Ocorrencia]*tblDados[GS_M]))</f>
        <v/>
      </c>
      <c r="X579" s="14" t="str" cm="1">
        <f t="array" ref="X579">IF($A579="","",SUMPRODUCT((TRIM(tblDados[Visitante])=$A579)*tblDados[Primeira_Ocorrencia]*tblDados[GS_V]))</f>
        <v/>
      </c>
      <c r="Y579" s="14" t="str">
        <f t="shared" ref="Y579:Y642" si="177">IF($A579="","",W579+X579)</f>
        <v/>
      </c>
      <c r="Z579" s="14" t="str">
        <f t="shared" si="166"/>
        <v/>
      </c>
      <c r="AA579" s="14" t="str">
        <f t="shared" si="167"/>
        <v/>
      </c>
      <c r="AB579" s="14" t="str">
        <f t="shared" si="168"/>
        <v/>
      </c>
      <c r="AC579" s="14" t="str">
        <f t="shared" si="169"/>
        <v/>
      </c>
      <c r="AD579" s="14" t="str">
        <f t="shared" si="170"/>
        <v/>
      </c>
    </row>
    <row r="580" spans="2:30" x14ac:dyDescent="0.3">
      <c r="B580" s="13" t="str" cm="1">
        <f t="array" ref="B580">IF($A580="","",_xlfn.LET(_xlpm.p,IFERROR(INDEX(tblDados[País],MATCH($A580,TRIM(tblDados[Mandante]),0)),INDEX(tblDados[País],MATCH($A580,TRIM(tblDados[Visitante]),0))),_xlpm.l,IFERROR(INDEX(tblDados[Liga],MATCH($A580,TRIM(tblDados[Mandante]),0)),INDEX(tblDados[Liga],MATCH($A580,TRIM(tblDados[Visitante]),0))),_xlpm.p&amp;" - "&amp;_xlpm.l))</f>
        <v/>
      </c>
      <c r="C580" s="14" t="str">
        <f t="shared" si="171"/>
        <v/>
      </c>
      <c r="D580" s="14" t="str">
        <f t="shared" si="172"/>
        <v/>
      </c>
      <c r="E580" s="15" t="str" cm="1">
        <f t="array" ref="E580">IF($A580="","",SUMPRODUCT((TRIM(tblDados[Mandante])=$A580)*tblDados[Primeira_Ocorrencia]))</f>
        <v/>
      </c>
      <c r="F580" s="15" t="str" cm="1">
        <f t="array" ref="F580">IF($A580="","",SUMPRODUCT((TRIM(tblDados[Visitante])=$A580)*tblDados[Primeira_Ocorrencia]))</f>
        <v/>
      </c>
      <c r="G580" s="15" t="str" cm="1">
        <f t="array" ref="G580">IF($A580="","",SUMPRODUCT((TRIM(tblDados[Mandante])=$A580)*tblDados[Primeira_Ocorrencia])+SUMPRODUCT((TRIM(tblDados[Visitante])=$A580)*tblDados[Primeira_Ocorrencia]))</f>
        <v/>
      </c>
      <c r="H580" s="14" t="str">
        <f t="shared" si="173"/>
        <v/>
      </c>
      <c r="I580" s="14" t="str" cm="1">
        <f t="array" ref="I580">IF($A580="","",_xlfn.LET(_xlpm.p,IFERROR(INDEX(tblDados[País],MATCH($A580,TRIM(tblDados[Mandante]),0)),INDEX(tblDados[País],MATCH($A580,TRIM(tblDados[Visitante]),0))),_xlpm.l,IFERROR(INDEX(tblDados[Liga],MATCH($A580,TRIM(tblDados[Mandante]),0)),INDEX(tblDados[Liga],MATCH($A580,TRIM(tblDados[Visitante]),0))),IFERROR(SUMIFS(Ligas!$D$2:$D$39,Ligas!$H$2:$H$39,_xlpm.p,Ligas!$I$2:$I$39,_xlpm.l),0)))</f>
        <v/>
      </c>
      <c r="J580" s="16" t="str" cm="1">
        <f t="array" ref="J580">IF($A580="","",IFERROR((SUMPRODUCT((TRIM(tblDados[Mandante])=$A580)*tblDados[Primeira_Ocorrencia]*(tblDados[GM_M]=0))+SUMPRODUCT((TRIM(tblDados[Visitante])=$A580)*tblDados[Primeira_Ocorrencia]*(tblDados[GM_V]=0)))/G580,0))</f>
        <v/>
      </c>
      <c r="K580" s="16" t="str" cm="1">
        <f t="array" ref="K580">IF($A580="","",IFERROR((SUMPRODUCT((TRIM(tblDados[Mandante])=$A580)*tblDados[Primeira_Ocorrencia]*((tblDados[GM_M]+tblDados[GS_M])&gt;0.5))+SUMPRODUCT((TRIM(tblDados[Visitante])=$A580)*tblDados[Primeira_Ocorrencia]*((tblDados[GM_V]+tblDados[GS_V])&gt;0.5)))/G580,0))</f>
        <v/>
      </c>
      <c r="L580" s="16" t="str" cm="1">
        <f t="array" ref="L580">IF($A580="","",IFERROR((SUMPRODUCT((TRIM(tblDados[Mandante])=$A580)*tblDados[Primeira_Ocorrencia]*((tblDados[GM_M]+tblDados[GS_M])&gt;1.5))+SUMPRODUCT((TRIM(tblDados[Visitante])=$A580)*tblDados[Primeira_Ocorrencia]*((tblDados[GM_V]+tblDados[GS_V])&gt;1.5)))/G580,0))</f>
        <v/>
      </c>
      <c r="M580" s="16" t="str" cm="1">
        <f t="array" ref="M580">IF($A580="","",IFERROR((SUMPRODUCT((TRIM(tblDados[Mandante])=$A580)*tblDados[Primeira_Ocorrencia]*((tblDados[GM_M]+tblDados[GS_M])&gt;2.5))+SUMPRODUCT((TRIM(tblDados[Visitante])=$A580)*tblDados[Primeira_Ocorrencia]*((tblDados[GM_V]+tblDados[GS_V])&gt;2.5)))/G580,0))</f>
        <v/>
      </c>
      <c r="N580" s="16" t="str" cm="1">
        <f t="array" ref="N580">IF($A580="","",IFERROR((SUMPRODUCT((TRIM(tblDados[Mandante])=$A580)*tblDados[Primeira_Ocorrencia]*((tblDados[GM_M]+tblDados[GS_M])&gt;3.5))+SUMPRODUCT((TRIM(tblDados[Visitante])=$A580)*tblDados[Primeira_Ocorrencia]*((tblDados[GM_V]+tblDados[GS_V])&gt;3.5)))/G580,0))</f>
        <v/>
      </c>
      <c r="O580" s="16" t="str" cm="1">
        <f t="array" ref="O580">IF($A580="","",IFERROR((SUMPRODUCT((TRIM(tblDados[Mandante])=$A580)*tblDados[Primeira_Ocorrencia]*(tblDados[GM_M]&gt;0)*(tblDados[GS_M]&gt;0))+SUMPRODUCT((TRIM(tblDados[Visitante])=$A580)*tblDados[Primeira_Ocorrencia]*(tblDados[GM_V]&gt;0)*(tblDados[GS_V]&gt;0)))/G580,0))</f>
        <v/>
      </c>
      <c r="P580" s="14" t="str" cm="1">
        <f t="array" ref="P580">IF($A580="","",IFERROR((SUMPRODUCT((TRIM(tblDados[Mandante])=$A580)*tblDados[Primeira_Ocorrencia]*tblDados[GM_M]^2)+SUMPRODUCT((TRIM(tblDados[Visitante])=$A580)*tblDados[Primeira_Ocorrencia]*tblDados[GM_V]^2))/G580-H580^2,0))</f>
        <v/>
      </c>
      <c r="Q580" s="14" t="str">
        <f t="shared" si="174"/>
        <v/>
      </c>
      <c r="R580" s="1" t="str">
        <f t="shared" si="175"/>
        <v/>
      </c>
      <c r="S580" s="14" t="str" cm="1">
        <f t="array" ref="S580">IF($A580="","",SUMPRODUCT((TRIM(tblDados[Mandante])=$A580)*tblDados[Primeira_Ocorrencia]*tblDados[GM_M]))</f>
        <v/>
      </c>
      <c r="T580" s="14" t="str" cm="1">
        <f t="array" ref="T580">IF($A580="","",SUMPRODUCT((TRIM(tblDados[Visitante])=$A580)*tblDados[Primeira_Ocorrencia]*tblDados[GM_V]))</f>
        <v/>
      </c>
      <c r="U580" s="14" t="str">
        <f t="shared" si="176"/>
        <v/>
      </c>
      <c r="V580" s="14" t="str">
        <f t="shared" si="165"/>
        <v/>
      </c>
      <c r="W580" s="14" t="str" cm="1">
        <f t="array" ref="W580">IF($A580="","",SUMPRODUCT((TRIM(tblDados[Mandante])=$A580)*tblDados[Primeira_Ocorrencia]*tblDados[GS_M]))</f>
        <v/>
      </c>
      <c r="X580" s="14" t="str" cm="1">
        <f t="array" ref="X580">IF($A580="","",SUMPRODUCT((TRIM(tblDados[Visitante])=$A580)*tblDados[Primeira_Ocorrencia]*tblDados[GS_V]))</f>
        <v/>
      </c>
      <c r="Y580" s="14" t="str">
        <f t="shared" si="177"/>
        <v/>
      </c>
      <c r="Z580" s="14" t="str">
        <f t="shared" si="166"/>
        <v/>
      </c>
      <c r="AA580" s="14" t="str">
        <f t="shared" si="167"/>
        <v/>
      </c>
      <c r="AB580" s="14" t="str">
        <f t="shared" si="168"/>
        <v/>
      </c>
      <c r="AC580" s="14" t="str">
        <f t="shared" si="169"/>
        <v/>
      </c>
      <c r="AD580" s="14" t="str">
        <f t="shared" si="170"/>
        <v/>
      </c>
    </row>
    <row r="581" spans="2:30" x14ac:dyDescent="0.3">
      <c r="B581" s="13" t="str" cm="1">
        <f t="array" ref="B581">IF($A581="","",_xlfn.LET(_xlpm.p,IFERROR(INDEX(tblDados[País],MATCH($A581,TRIM(tblDados[Mandante]),0)),INDEX(tblDados[País],MATCH($A581,TRIM(tblDados[Visitante]),0))),_xlpm.l,IFERROR(INDEX(tblDados[Liga],MATCH($A581,TRIM(tblDados[Mandante]),0)),INDEX(tblDados[Liga],MATCH($A581,TRIM(tblDados[Visitante]),0))),_xlpm.p&amp;" - "&amp;_xlpm.l))</f>
        <v/>
      </c>
      <c r="C581" s="14" t="str">
        <f t="shared" si="171"/>
        <v/>
      </c>
      <c r="D581" s="14" t="str">
        <f t="shared" si="172"/>
        <v/>
      </c>
      <c r="E581" s="15" t="str" cm="1">
        <f t="array" ref="E581">IF($A581="","",SUMPRODUCT((TRIM(tblDados[Mandante])=$A581)*tblDados[Primeira_Ocorrencia]))</f>
        <v/>
      </c>
      <c r="F581" s="15" t="str" cm="1">
        <f t="array" ref="F581">IF($A581="","",SUMPRODUCT((TRIM(tblDados[Visitante])=$A581)*tblDados[Primeira_Ocorrencia]))</f>
        <v/>
      </c>
      <c r="G581" s="15" t="str" cm="1">
        <f t="array" ref="G581">IF($A581="","",SUMPRODUCT((TRIM(tblDados[Mandante])=$A581)*tblDados[Primeira_Ocorrencia])+SUMPRODUCT((TRIM(tblDados[Visitante])=$A581)*tblDados[Primeira_Ocorrencia]))</f>
        <v/>
      </c>
      <c r="H581" s="14" t="str">
        <f t="shared" si="173"/>
        <v/>
      </c>
      <c r="I581" s="14" t="str" cm="1">
        <f t="array" ref="I581">IF($A581="","",_xlfn.LET(_xlpm.p,IFERROR(INDEX(tblDados[País],MATCH($A581,TRIM(tblDados[Mandante]),0)),INDEX(tblDados[País],MATCH($A581,TRIM(tblDados[Visitante]),0))),_xlpm.l,IFERROR(INDEX(tblDados[Liga],MATCH($A581,TRIM(tblDados[Mandante]),0)),INDEX(tblDados[Liga],MATCH($A581,TRIM(tblDados[Visitante]),0))),IFERROR(SUMIFS(Ligas!$D$2:$D$39,Ligas!$H$2:$H$39,_xlpm.p,Ligas!$I$2:$I$39,_xlpm.l),0)))</f>
        <v/>
      </c>
      <c r="J581" s="16" t="str" cm="1">
        <f t="array" ref="J581">IF($A581="","",IFERROR((SUMPRODUCT((TRIM(tblDados[Mandante])=$A581)*tblDados[Primeira_Ocorrencia]*(tblDados[GM_M]=0))+SUMPRODUCT((TRIM(tblDados[Visitante])=$A581)*tblDados[Primeira_Ocorrencia]*(tblDados[GM_V]=0)))/G581,0))</f>
        <v/>
      </c>
      <c r="K581" s="16" t="str" cm="1">
        <f t="array" ref="K581">IF($A581="","",IFERROR((SUMPRODUCT((TRIM(tblDados[Mandante])=$A581)*tblDados[Primeira_Ocorrencia]*((tblDados[GM_M]+tblDados[GS_M])&gt;0.5))+SUMPRODUCT((TRIM(tblDados[Visitante])=$A581)*tblDados[Primeira_Ocorrencia]*((tblDados[GM_V]+tblDados[GS_V])&gt;0.5)))/G581,0))</f>
        <v/>
      </c>
      <c r="L581" s="16" t="str" cm="1">
        <f t="array" ref="L581">IF($A581="","",IFERROR((SUMPRODUCT((TRIM(tblDados[Mandante])=$A581)*tblDados[Primeira_Ocorrencia]*((tblDados[GM_M]+tblDados[GS_M])&gt;1.5))+SUMPRODUCT((TRIM(tblDados[Visitante])=$A581)*tblDados[Primeira_Ocorrencia]*((tblDados[GM_V]+tblDados[GS_V])&gt;1.5)))/G581,0))</f>
        <v/>
      </c>
      <c r="M581" s="16" t="str" cm="1">
        <f t="array" ref="M581">IF($A581="","",IFERROR((SUMPRODUCT((TRIM(tblDados[Mandante])=$A581)*tblDados[Primeira_Ocorrencia]*((tblDados[GM_M]+tblDados[GS_M])&gt;2.5))+SUMPRODUCT((TRIM(tblDados[Visitante])=$A581)*tblDados[Primeira_Ocorrencia]*((tblDados[GM_V]+tblDados[GS_V])&gt;2.5)))/G581,0))</f>
        <v/>
      </c>
      <c r="N581" s="16" t="str" cm="1">
        <f t="array" ref="N581">IF($A581="","",IFERROR((SUMPRODUCT((TRIM(tblDados[Mandante])=$A581)*tblDados[Primeira_Ocorrencia]*((tblDados[GM_M]+tblDados[GS_M])&gt;3.5))+SUMPRODUCT((TRIM(tblDados[Visitante])=$A581)*tblDados[Primeira_Ocorrencia]*((tblDados[GM_V]+tblDados[GS_V])&gt;3.5)))/G581,0))</f>
        <v/>
      </c>
      <c r="O581" s="16" t="str" cm="1">
        <f t="array" ref="O581">IF($A581="","",IFERROR((SUMPRODUCT((TRIM(tblDados[Mandante])=$A581)*tblDados[Primeira_Ocorrencia]*(tblDados[GM_M]&gt;0)*(tblDados[GS_M]&gt;0))+SUMPRODUCT((TRIM(tblDados[Visitante])=$A581)*tblDados[Primeira_Ocorrencia]*(tblDados[GM_V]&gt;0)*(tblDados[GS_V]&gt;0)))/G581,0))</f>
        <v/>
      </c>
      <c r="P581" s="14" t="str" cm="1">
        <f t="array" ref="P581">IF($A581="","",IFERROR((SUMPRODUCT((TRIM(tblDados[Mandante])=$A581)*tblDados[Primeira_Ocorrencia]*tblDados[GM_M]^2)+SUMPRODUCT((TRIM(tblDados[Visitante])=$A581)*tblDados[Primeira_Ocorrencia]*tblDados[GM_V]^2))/G581-H581^2,0))</f>
        <v/>
      </c>
      <c r="Q581" s="14" t="str">
        <f t="shared" si="174"/>
        <v/>
      </c>
      <c r="R581" s="1" t="str">
        <f t="shared" si="175"/>
        <v/>
      </c>
      <c r="S581" s="14" t="str" cm="1">
        <f t="array" ref="S581">IF($A581="","",SUMPRODUCT((TRIM(tblDados[Mandante])=$A581)*tblDados[Primeira_Ocorrencia]*tblDados[GM_M]))</f>
        <v/>
      </c>
      <c r="T581" s="14" t="str" cm="1">
        <f t="array" ref="T581">IF($A581="","",SUMPRODUCT((TRIM(tblDados[Visitante])=$A581)*tblDados[Primeira_Ocorrencia]*tblDados[GM_V]))</f>
        <v/>
      </c>
      <c r="U581" s="14" t="str">
        <f t="shared" si="176"/>
        <v/>
      </c>
      <c r="V581" s="14" t="str">
        <f t="shared" si="165"/>
        <v/>
      </c>
      <c r="W581" s="14" t="str" cm="1">
        <f t="array" ref="W581">IF($A581="","",SUMPRODUCT((TRIM(tblDados[Mandante])=$A581)*tblDados[Primeira_Ocorrencia]*tblDados[GS_M]))</f>
        <v/>
      </c>
      <c r="X581" s="14" t="str" cm="1">
        <f t="array" ref="X581">IF($A581="","",SUMPRODUCT((TRIM(tblDados[Visitante])=$A581)*tblDados[Primeira_Ocorrencia]*tblDados[GS_V]))</f>
        <v/>
      </c>
      <c r="Y581" s="14" t="str">
        <f t="shared" si="177"/>
        <v/>
      </c>
      <c r="Z581" s="14" t="str">
        <f t="shared" si="166"/>
        <v/>
      </c>
      <c r="AA581" s="14" t="str">
        <f t="shared" si="167"/>
        <v/>
      </c>
      <c r="AB581" s="14" t="str">
        <f t="shared" si="168"/>
        <v/>
      </c>
      <c r="AC581" s="14" t="str">
        <f t="shared" si="169"/>
        <v/>
      </c>
      <c r="AD581" s="14" t="str">
        <f t="shared" si="170"/>
        <v/>
      </c>
    </row>
    <row r="582" spans="2:30" x14ac:dyDescent="0.3">
      <c r="B582" s="13" t="str" cm="1">
        <f t="array" ref="B582">IF($A582="","",_xlfn.LET(_xlpm.p,IFERROR(INDEX(tblDados[País],MATCH($A582,TRIM(tblDados[Mandante]),0)),INDEX(tblDados[País],MATCH($A582,TRIM(tblDados[Visitante]),0))),_xlpm.l,IFERROR(INDEX(tblDados[Liga],MATCH($A582,TRIM(tblDados[Mandante]),0)),INDEX(tblDados[Liga],MATCH($A582,TRIM(tblDados[Visitante]),0))),_xlpm.p&amp;" - "&amp;_xlpm.l))</f>
        <v/>
      </c>
      <c r="C582" s="14" t="str">
        <f t="shared" si="171"/>
        <v/>
      </c>
      <c r="D582" s="14" t="str">
        <f t="shared" si="172"/>
        <v/>
      </c>
      <c r="E582" s="15" t="str" cm="1">
        <f t="array" ref="E582">IF($A582="","",SUMPRODUCT((TRIM(tblDados[Mandante])=$A582)*tblDados[Primeira_Ocorrencia]))</f>
        <v/>
      </c>
      <c r="F582" s="15" t="str" cm="1">
        <f t="array" ref="F582">IF($A582="","",SUMPRODUCT((TRIM(tblDados[Visitante])=$A582)*tblDados[Primeira_Ocorrencia]))</f>
        <v/>
      </c>
      <c r="G582" s="15" t="str" cm="1">
        <f t="array" ref="G582">IF($A582="","",SUMPRODUCT((TRIM(tblDados[Mandante])=$A582)*tblDados[Primeira_Ocorrencia])+SUMPRODUCT((TRIM(tblDados[Visitante])=$A582)*tblDados[Primeira_Ocorrencia]))</f>
        <v/>
      </c>
      <c r="H582" s="14" t="str">
        <f t="shared" si="173"/>
        <v/>
      </c>
      <c r="I582" s="14" t="str" cm="1">
        <f t="array" ref="I582">IF($A582="","",_xlfn.LET(_xlpm.p,IFERROR(INDEX(tblDados[País],MATCH($A582,TRIM(tblDados[Mandante]),0)),INDEX(tblDados[País],MATCH($A582,TRIM(tblDados[Visitante]),0))),_xlpm.l,IFERROR(INDEX(tblDados[Liga],MATCH($A582,TRIM(tblDados[Mandante]),0)),INDEX(tblDados[Liga],MATCH($A582,TRIM(tblDados[Visitante]),0))),IFERROR(SUMIFS(Ligas!$D$2:$D$39,Ligas!$H$2:$H$39,_xlpm.p,Ligas!$I$2:$I$39,_xlpm.l),0)))</f>
        <v/>
      </c>
      <c r="J582" s="16" t="str" cm="1">
        <f t="array" ref="J582">IF($A582="","",IFERROR((SUMPRODUCT((TRIM(tblDados[Mandante])=$A582)*tblDados[Primeira_Ocorrencia]*(tblDados[GM_M]=0))+SUMPRODUCT((TRIM(tblDados[Visitante])=$A582)*tblDados[Primeira_Ocorrencia]*(tblDados[GM_V]=0)))/G582,0))</f>
        <v/>
      </c>
      <c r="K582" s="16" t="str" cm="1">
        <f t="array" ref="K582">IF($A582="","",IFERROR((SUMPRODUCT((TRIM(tblDados[Mandante])=$A582)*tblDados[Primeira_Ocorrencia]*((tblDados[GM_M]+tblDados[GS_M])&gt;0.5))+SUMPRODUCT((TRIM(tblDados[Visitante])=$A582)*tblDados[Primeira_Ocorrencia]*((tblDados[GM_V]+tblDados[GS_V])&gt;0.5)))/G582,0))</f>
        <v/>
      </c>
      <c r="L582" s="16" t="str" cm="1">
        <f t="array" ref="L582">IF($A582="","",IFERROR((SUMPRODUCT((TRIM(tblDados[Mandante])=$A582)*tblDados[Primeira_Ocorrencia]*((tblDados[GM_M]+tblDados[GS_M])&gt;1.5))+SUMPRODUCT((TRIM(tblDados[Visitante])=$A582)*tblDados[Primeira_Ocorrencia]*((tblDados[GM_V]+tblDados[GS_V])&gt;1.5)))/G582,0))</f>
        <v/>
      </c>
      <c r="M582" s="16" t="str" cm="1">
        <f t="array" ref="M582">IF($A582="","",IFERROR((SUMPRODUCT((TRIM(tblDados[Mandante])=$A582)*tblDados[Primeira_Ocorrencia]*((tblDados[GM_M]+tblDados[GS_M])&gt;2.5))+SUMPRODUCT((TRIM(tblDados[Visitante])=$A582)*tblDados[Primeira_Ocorrencia]*((tblDados[GM_V]+tblDados[GS_V])&gt;2.5)))/G582,0))</f>
        <v/>
      </c>
      <c r="N582" s="16" t="str" cm="1">
        <f t="array" ref="N582">IF($A582="","",IFERROR((SUMPRODUCT((TRIM(tblDados[Mandante])=$A582)*tblDados[Primeira_Ocorrencia]*((tblDados[GM_M]+tblDados[GS_M])&gt;3.5))+SUMPRODUCT((TRIM(tblDados[Visitante])=$A582)*tblDados[Primeira_Ocorrencia]*((tblDados[GM_V]+tblDados[GS_V])&gt;3.5)))/G582,0))</f>
        <v/>
      </c>
      <c r="O582" s="16" t="str" cm="1">
        <f t="array" ref="O582">IF($A582="","",IFERROR((SUMPRODUCT((TRIM(tblDados[Mandante])=$A582)*tblDados[Primeira_Ocorrencia]*(tblDados[GM_M]&gt;0)*(tblDados[GS_M]&gt;0))+SUMPRODUCT((TRIM(tblDados[Visitante])=$A582)*tblDados[Primeira_Ocorrencia]*(tblDados[GM_V]&gt;0)*(tblDados[GS_V]&gt;0)))/G582,0))</f>
        <v/>
      </c>
      <c r="P582" s="14" t="str" cm="1">
        <f t="array" ref="P582">IF($A582="","",IFERROR((SUMPRODUCT((TRIM(tblDados[Mandante])=$A582)*tblDados[Primeira_Ocorrencia]*tblDados[GM_M]^2)+SUMPRODUCT((TRIM(tblDados[Visitante])=$A582)*tblDados[Primeira_Ocorrencia]*tblDados[GM_V]^2))/G582-H582^2,0))</f>
        <v/>
      </c>
      <c r="Q582" s="14" t="str">
        <f t="shared" si="174"/>
        <v/>
      </c>
      <c r="R582" s="1" t="str">
        <f t="shared" si="175"/>
        <v/>
      </c>
      <c r="S582" s="14" t="str" cm="1">
        <f t="array" ref="S582">IF($A582="","",SUMPRODUCT((TRIM(tblDados[Mandante])=$A582)*tblDados[Primeira_Ocorrencia]*tblDados[GM_M]))</f>
        <v/>
      </c>
      <c r="T582" s="14" t="str" cm="1">
        <f t="array" ref="T582">IF($A582="","",SUMPRODUCT((TRIM(tblDados[Visitante])=$A582)*tblDados[Primeira_Ocorrencia]*tblDados[GM_V]))</f>
        <v/>
      </c>
      <c r="U582" s="14" t="str">
        <f t="shared" si="176"/>
        <v/>
      </c>
      <c r="V582" s="14" t="str">
        <f t="shared" si="165"/>
        <v/>
      </c>
      <c r="W582" s="14" t="str" cm="1">
        <f t="array" ref="W582">IF($A582="","",SUMPRODUCT((TRIM(tblDados[Mandante])=$A582)*tblDados[Primeira_Ocorrencia]*tblDados[GS_M]))</f>
        <v/>
      </c>
      <c r="X582" s="14" t="str" cm="1">
        <f t="array" ref="X582">IF($A582="","",SUMPRODUCT((TRIM(tblDados[Visitante])=$A582)*tblDados[Primeira_Ocorrencia]*tblDados[GS_V]))</f>
        <v/>
      </c>
      <c r="Y582" s="14" t="str">
        <f t="shared" si="177"/>
        <v/>
      </c>
      <c r="Z582" s="14" t="str">
        <f t="shared" si="166"/>
        <v/>
      </c>
      <c r="AA582" s="14" t="str">
        <f t="shared" si="167"/>
        <v/>
      </c>
      <c r="AB582" s="14" t="str">
        <f t="shared" si="168"/>
        <v/>
      </c>
      <c r="AC582" s="14" t="str">
        <f t="shared" si="169"/>
        <v/>
      </c>
      <c r="AD582" s="14" t="str">
        <f t="shared" si="170"/>
        <v/>
      </c>
    </row>
    <row r="583" spans="2:30" x14ac:dyDescent="0.3">
      <c r="B583" s="13" t="str" cm="1">
        <f t="array" ref="B583">IF($A583="","",_xlfn.LET(_xlpm.p,IFERROR(INDEX(tblDados[País],MATCH($A583,TRIM(tblDados[Mandante]),0)),INDEX(tblDados[País],MATCH($A583,TRIM(tblDados[Visitante]),0))),_xlpm.l,IFERROR(INDEX(tblDados[Liga],MATCH($A583,TRIM(tblDados[Mandante]),0)),INDEX(tblDados[Liga],MATCH($A583,TRIM(tblDados[Visitante]),0))),_xlpm.p&amp;" - "&amp;_xlpm.l))</f>
        <v/>
      </c>
      <c r="C583" s="14" t="str">
        <f t="shared" si="171"/>
        <v/>
      </c>
      <c r="D583" s="14" t="str">
        <f t="shared" si="172"/>
        <v/>
      </c>
      <c r="E583" s="15" t="str" cm="1">
        <f t="array" ref="E583">IF($A583="","",SUMPRODUCT((TRIM(tblDados[Mandante])=$A583)*tblDados[Primeira_Ocorrencia]))</f>
        <v/>
      </c>
      <c r="F583" s="15" t="str" cm="1">
        <f t="array" ref="F583">IF($A583="","",SUMPRODUCT((TRIM(tblDados[Visitante])=$A583)*tblDados[Primeira_Ocorrencia]))</f>
        <v/>
      </c>
      <c r="G583" s="15" t="str" cm="1">
        <f t="array" ref="G583">IF($A583="","",SUMPRODUCT((TRIM(tblDados[Mandante])=$A583)*tblDados[Primeira_Ocorrencia])+SUMPRODUCT((TRIM(tblDados[Visitante])=$A583)*tblDados[Primeira_Ocorrencia]))</f>
        <v/>
      </c>
      <c r="H583" s="14" t="str">
        <f t="shared" si="173"/>
        <v/>
      </c>
      <c r="I583" s="14" t="str" cm="1">
        <f t="array" ref="I583">IF($A583="","",_xlfn.LET(_xlpm.p,IFERROR(INDEX(tblDados[País],MATCH($A583,TRIM(tblDados[Mandante]),0)),INDEX(tblDados[País],MATCH($A583,TRIM(tblDados[Visitante]),0))),_xlpm.l,IFERROR(INDEX(tblDados[Liga],MATCH($A583,TRIM(tblDados[Mandante]),0)),INDEX(tblDados[Liga],MATCH($A583,TRIM(tblDados[Visitante]),0))),IFERROR(SUMIFS(Ligas!$D$2:$D$39,Ligas!$H$2:$H$39,_xlpm.p,Ligas!$I$2:$I$39,_xlpm.l),0)))</f>
        <v/>
      </c>
      <c r="J583" s="16" t="str" cm="1">
        <f t="array" ref="J583">IF($A583="","",IFERROR((SUMPRODUCT((TRIM(tblDados[Mandante])=$A583)*tblDados[Primeira_Ocorrencia]*(tblDados[GM_M]=0))+SUMPRODUCT((TRIM(tblDados[Visitante])=$A583)*tblDados[Primeira_Ocorrencia]*(tblDados[GM_V]=0)))/G583,0))</f>
        <v/>
      </c>
      <c r="K583" s="16" t="str" cm="1">
        <f t="array" ref="K583">IF($A583="","",IFERROR((SUMPRODUCT((TRIM(tblDados[Mandante])=$A583)*tblDados[Primeira_Ocorrencia]*((tblDados[GM_M]+tblDados[GS_M])&gt;0.5))+SUMPRODUCT((TRIM(tblDados[Visitante])=$A583)*tblDados[Primeira_Ocorrencia]*((tblDados[GM_V]+tblDados[GS_V])&gt;0.5)))/G583,0))</f>
        <v/>
      </c>
      <c r="L583" s="16" t="str" cm="1">
        <f t="array" ref="L583">IF($A583="","",IFERROR((SUMPRODUCT((TRIM(tblDados[Mandante])=$A583)*tblDados[Primeira_Ocorrencia]*((tblDados[GM_M]+tblDados[GS_M])&gt;1.5))+SUMPRODUCT((TRIM(tblDados[Visitante])=$A583)*tblDados[Primeira_Ocorrencia]*((tblDados[GM_V]+tblDados[GS_V])&gt;1.5)))/G583,0))</f>
        <v/>
      </c>
      <c r="M583" s="16" t="str" cm="1">
        <f t="array" ref="M583">IF($A583="","",IFERROR((SUMPRODUCT((TRIM(tblDados[Mandante])=$A583)*tblDados[Primeira_Ocorrencia]*((tblDados[GM_M]+tblDados[GS_M])&gt;2.5))+SUMPRODUCT((TRIM(tblDados[Visitante])=$A583)*tblDados[Primeira_Ocorrencia]*((tblDados[GM_V]+tblDados[GS_V])&gt;2.5)))/G583,0))</f>
        <v/>
      </c>
      <c r="N583" s="16" t="str" cm="1">
        <f t="array" ref="N583">IF($A583="","",IFERROR((SUMPRODUCT((TRIM(tblDados[Mandante])=$A583)*tblDados[Primeira_Ocorrencia]*((tblDados[GM_M]+tblDados[GS_M])&gt;3.5))+SUMPRODUCT((TRIM(tblDados[Visitante])=$A583)*tblDados[Primeira_Ocorrencia]*((tblDados[GM_V]+tblDados[GS_V])&gt;3.5)))/G583,0))</f>
        <v/>
      </c>
      <c r="O583" s="16" t="str" cm="1">
        <f t="array" ref="O583">IF($A583="","",IFERROR((SUMPRODUCT((TRIM(tblDados[Mandante])=$A583)*tblDados[Primeira_Ocorrencia]*(tblDados[GM_M]&gt;0)*(tblDados[GS_M]&gt;0))+SUMPRODUCT((TRIM(tblDados[Visitante])=$A583)*tblDados[Primeira_Ocorrencia]*(tblDados[GM_V]&gt;0)*(tblDados[GS_V]&gt;0)))/G583,0))</f>
        <v/>
      </c>
      <c r="P583" s="14" t="str" cm="1">
        <f t="array" ref="P583">IF($A583="","",IFERROR((SUMPRODUCT((TRIM(tblDados[Mandante])=$A583)*tblDados[Primeira_Ocorrencia]*tblDados[GM_M]^2)+SUMPRODUCT((TRIM(tblDados[Visitante])=$A583)*tblDados[Primeira_Ocorrencia]*tblDados[GM_V]^2))/G583-H583^2,0))</f>
        <v/>
      </c>
      <c r="Q583" s="14" t="str">
        <f t="shared" si="174"/>
        <v/>
      </c>
      <c r="R583" s="1" t="str">
        <f t="shared" si="175"/>
        <v/>
      </c>
      <c r="S583" s="14" t="str" cm="1">
        <f t="array" ref="S583">IF($A583="","",SUMPRODUCT((TRIM(tblDados[Mandante])=$A583)*tblDados[Primeira_Ocorrencia]*tblDados[GM_M]))</f>
        <v/>
      </c>
      <c r="T583" s="14" t="str" cm="1">
        <f t="array" ref="T583">IF($A583="","",SUMPRODUCT((TRIM(tblDados[Visitante])=$A583)*tblDados[Primeira_Ocorrencia]*tblDados[GM_V]))</f>
        <v/>
      </c>
      <c r="U583" s="14" t="str">
        <f t="shared" si="176"/>
        <v/>
      </c>
      <c r="V583" s="14" t="str">
        <f t="shared" si="165"/>
        <v/>
      </c>
      <c r="W583" s="14" t="str" cm="1">
        <f t="array" ref="W583">IF($A583="","",SUMPRODUCT((TRIM(tblDados[Mandante])=$A583)*tblDados[Primeira_Ocorrencia]*tblDados[GS_M]))</f>
        <v/>
      </c>
      <c r="X583" s="14" t="str" cm="1">
        <f t="array" ref="X583">IF($A583="","",SUMPRODUCT((TRIM(tblDados[Visitante])=$A583)*tblDados[Primeira_Ocorrencia]*tblDados[GS_V]))</f>
        <v/>
      </c>
      <c r="Y583" s="14" t="str">
        <f t="shared" si="177"/>
        <v/>
      </c>
      <c r="Z583" s="14" t="str">
        <f t="shared" si="166"/>
        <v/>
      </c>
      <c r="AA583" s="14" t="str">
        <f t="shared" si="167"/>
        <v/>
      </c>
      <c r="AB583" s="14" t="str">
        <f t="shared" si="168"/>
        <v/>
      </c>
      <c r="AC583" s="14" t="str">
        <f t="shared" si="169"/>
        <v/>
      </c>
      <c r="AD583" s="14" t="str">
        <f t="shared" si="170"/>
        <v/>
      </c>
    </row>
    <row r="584" spans="2:30" x14ac:dyDescent="0.3">
      <c r="B584" s="13" t="str" cm="1">
        <f t="array" ref="B584">IF($A584="","",_xlfn.LET(_xlpm.p,IFERROR(INDEX(tblDados[País],MATCH($A584,TRIM(tblDados[Mandante]),0)),INDEX(tblDados[País],MATCH($A584,TRIM(tblDados[Visitante]),0))),_xlpm.l,IFERROR(INDEX(tblDados[Liga],MATCH($A584,TRIM(tblDados[Mandante]),0)),INDEX(tblDados[Liga],MATCH($A584,TRIM(tblDados[Visitante]),0))),_xlpm.p&amp;" - "&amp;_xlpm.l))</f>
        <v/>
      </c>
      <c r="C584" s="14" t="str">
        <f t="shared" si="171"/>
        <v/>
      </c>
      <c r="D584" s="14" t="str">
        <f t="shared" si="172"/>
        <v/>
      </c>
      <c r="E584" s="15" t="str" cm="1">
        <f t="array" ref="E584">IF($A584="","",SUMPRODUCT((TRIM(tblDados[Mandante])=$A584)*tblDados[Primeira_Ocorrencia]))</f>
        <v/>
      </c>
      <c r="F584" s="15" t="str" cm="1">
        <f t="array" ref="F584">IF($A584="","",SUMPRODUCT((TRIM(tblDados[Visitante])=$A584)*tblDados[Primeira_Ocorrencia]))</f>
        <v/>
      </c>
      <c r="G584" s="15" t="str" cm="1">
        <f t="array" ref="G584">IF($A584="","",SUMPRODUCT((TRIM(tblDados[Mandante])=$A584)*tblDados[Primeira_Ocorrencia])+SUMPRODUCT((TRIM(tblDados[Visitante])=$A584)*tblDados[Primeira_Ocorrencia]))</f>
        <v/>
      </c>
      <c r="H584" s="14" t="str">
        <f t="shared" si="173"/>
        <v/>
      </c>
      <c r="I584" s="14" t="str" cm="1">
        <f t="array" ref="I584">IF($A584="","",_xlfn.LET(_xlpm.p,IFERROR(INDEX(tblDados[País],MATCH($A584,TRIM(tblDados[Mandante]),0)),INDEX(tblDados[País],MATCH($A584,TRIM(tblDados[Visitante]),0))),_xlpm.l,IFERROR(INDEX(tblDados[Liga],MATCH($A584,TRIM(tblDados[Mandante]),0)),INDEX(tblDados[Liga],MATCH($A584,TRIM(tblDados[Visitante]),0))),IFERROR(SUMIFS(Ligas!$D$2:$D$39,Ligas!$H$2:$H$39,_xlpm.p,Ligas!$I$2:$I$39,_xlpm.l),0)))</f>
        <v/>
      </c>
      <c r="J584" s="16" t="str" cm="1">
        <f t="array" ref="J584">IF($A584="","",IFERROR((SUMPRODUCT((TRIM(tblDados[Mandante])=$A584)*tblDados[Primeira_Ocorrencia]*(tblDados[GM_M]=0))+SUMPRODUCT((TRIM(tblDados[Visitante])=$A584)*tblDados[Primeira_Ocorrencia]*(tblDados[GM_V]=0)))/G584,0))</f>
        <v/>
      </c>
      <c r="K584" s="16" t="str" cm="1">
        <f t="array" ref="K584">IF($A584="","",IFERROR((SUMPRODUCT((TRIM(tblDados[Mandante])=$A584)*tblDados[Primeira_Ocorrencia]*((tblDados[GM_M]+tblDados[GS_M])&gt;0.5))+SUMPRODUCT((TRIM(tblDados[Visitante])=$A584)*tblDados[Primeira_Ocorrencia]*((tblDados[GM_V]+tblDados[GS_V])&gt;0.5)))/G584,0))</f>
        <v/>
      </c>
      <c r="L584" s="16" t="str" cm="1">
        <f t="array" ref="L584">IF($A584="","",IFERROR((SUMPRODUCT((TRIM(tblDados[Mandante])=$A584)*tblDados[Primeira_Ocorrencia]*((tblDados[GM_M]+tblDados[GS_M])&gt;1.5))+SUMPRODUCT((TRIM(tblDados[Visitante])=$A584)*tblDados[Primeira_Ocorrencia]*((tblDados[GM_V]+tblDados[GS_V])&gt;1.5)))/G584,0))</f>
        <v/>
      </c>
      <c r="M584" s="16" t="str" cm="1">
        <f t="array" ref="M584">IF($A584="","",IFERROR((SUMPRODUCT((TRIM(tblDados[Mandante])=$A584)*tblDados[Primeira_Ocorrencia]*((tblDados[GM_M]+tblDados[GS_M])&gt;2.5))+SUMPRODUCT((TRIM(tblDados[Visitante])=$A584)*tblDados[Primeira_Ocorrencia]*((tblDados[GM_V]+tblDados[GS_V])&gt;2.5)))/G584,0))</f>
        <v/>
      </c>
      <c r="N584" s="16" t="str" cm="1">
        <f t="array" ref="N584">IF($A584="","",IFERROR((SUMPRODUCT((TRIM(tblDados[Mandante])=$A584)*tblDados[Primeira_Ocorrencia]*((tblDados[GM_M]+tblDados[GS_M])&gt;3.5))+SUMPRODUCT((TRIM(tblDados[Visitante])=$A584)*tblDados[Primeira_Ocorrencia]*((tblDados[GM_V]+tblDados[GS_V])&gt;3.5)))/G584,0))</f>
        <v/>
      </c>
      <c r="O584" s="16" t="str" cm="1">
        <f t="array" ref="O584">IF($A584="","",IFERROR((SUMPRODUCT((TRIM(tblDados[Mandante])=$A584)*tblDados[Primeira_Ocorrencia]*(tblDados[GM_M]&gt;0)*(tblDados[GS_M]&gt;0))+SUMPRODUCT((TRIM(tblDados[Visitante])=$A584)*tblDados[Primeira_Ocorrencia]*(tblDados[GM_V]&gt;0)*(tblDados[GS_V]&gt;0)))/G584,0))</f>
        <v/>
      </c>
      <c r="P584" s="14" t="str" cm="1">
        <f t="array" ref="P584">IF($A584="","",IFERROR((SUMPRODUCT((TRIM(tblDados[Mandante])=$A584)*tblDados[Primeira_Ocorrencia]*tblDados[GM_M]^2)+SUMPRODUCT((TRIM(tblDados[Visitante])=$A584)*tblDados[Primeira_Ocorrencia]*tblDados[GM_V]^2))/G584-H584^2,0))</f>
        <v/>
      </c>
      <c r="Q584" s="14" t="str">
        <f t="shared" si="174"/>
        <v/>
      </c>
      <c r="R584" s="1" t="str">
        <f t="shared" si="175"/>
        <v/>
      </c>
      <c r="S584" s="14" t="str" cm="1">
        <f t="array" ref="S584">IF($A584="","",SUMPRODUCT((TRIM(tblDados[Mandante])=$A584)*tblDados[Primeira_Ocorrencia]*tblDados[GM_M]))</f>
        <v/>
      </c>
      <c r="T584" s="14" t="str" cm="1">
        <f t="array" ref="T584">IF($A584="","",SUMPRODUCT((TRIM(tblDados[Visitante])=$A584)*tblDados[Primeira_Ocorrencia]*tblDados[GM_V]))</f>
        <v/>
      </c>
      <c r="U584" s="14" t="str">
        <f t="shared" si="176"/>
        <v/>
      </c>
      <c r="V584" s="14" t="str">
        <f t="shared" si="165"/>
        <v/>
      </c>
      <c r="W584" s="14" t="str" cm="1">
        <f t="array" ref="W584">IF($A584="","",SUMPRODUCT((TRIM(tblDados[Mandante])=$A584)*tblDados[Primeira_Ocorrencia]*tblDados[GS_M]))</f>
        <v/>
      </c>
      <c r="X584" s="14" t="str" cm="1">
        <f t="array" ref="X584">IF($A584="","",SUMPRODUCT((TRIM(tblDados[Visitante])=$A584)*tblDados[Primeira_Ocorrencia]*tblDados[GS_V]))</f>
        <v/>
      </c>
      <c r="Y584" s="14" t="str">
        <f t="shared" si="177"/>
        <v/>
      </c>
      <c r="Z584" s="14" t="str">
        <f t="shared" si="166"/>
        <v/>
      </c>
      <c r="AA584" s="14" t="str">
        <f t="shared" si="167"/>
        <v/>
      </c>
      <c r="AB584" s="14" t="str">
        <f t="shared" si="168"/>
        <v/>
      </c>
      <c r="AC584" s="14" t="str">
        <f t="shared" si="169"/>
        <v/>
      </c>
      <c r="AD584" s="14" t="str">
        <f t="shared" si="170"/>
        <v/>
      </c>
    </row>
    <row r="585" spans="2:30" x14ac:dyDescent="0.3">
      <c r="B585" s="13" t="str" cm="1">
        <f t="array" ref="B585">IF($A585="","",_xlfn.LET(_xlpm.p,IFERROR(INDEX(tblDados[País],MATCH($A585,TRIM(tblDados[Mandante]),0)),INDEX(tblDados[País],MATCH($A585,TRIM(tblDados[Visitante]),0))),_xlpm.l,IFERROR(INDEX(tblDados[Liga],MATCH($A585,TRIM(tblDados[Mandante]),0)),INDEX(tblDados[Liga],MATCH($A585,TRIM(tblDados[Visitante]),0))),_xlpm.p&amp;" - "&amp;_xlpm.l))</f>
        <v/>
      </c>
      <c r="C585" s="14" t="str">
        <f t="shared" si="171"/>
        <v/>
      </c>
      <c r="D585" s="14" t="str">
        <f t="shared" si="172"/>
        <v/>
      </c>
      <c r="E585" s="15" t="str" cm="1">
        <f t="array" ref="E585">IF($A585="","",SUMPRODUCT((TRIM(tblDados[Mandante])=$A585)*tblDados[Primeira_Ocorrencia]))</f>
        <v/>
      </c>
      <c r="F585" s="15" t="str" cm="1">
        <f t="array" ref="F585">IF($A585="","",SUMPRODUCT((TRIM(tblDados[Visitante])=$A585)*tblDados[Primeira_Ocorrencia]))</f>
        <v/>
      </c>
      <c r="G585" s="15" t="str" cm="1">
        <f t="array" ref="G585">IF($A585="","",SUMPRODUCT((TRIM(tblDados[Mandante])=$A585)*tblDados[Primeira_Ocorrencia])+SUMPRODUCT((TRIM(tblDados[Visitante])=$A585)*tblDados[Primeira_Ocorrencia]))</f>
        <v/>
      </c>
      <c r="H585" s="14" t="str">
        <f t="shared" si="173"/>
        <v/>
      </c>
      <c r="I585" s="14" t="str" cm="1">
        <f t="array" ref="I585">IF($A585="","",_xlfn.LET(_xlpm.p,IFERROR(INDEX(tblDados[País],MATCH($A585,TRIM(tblDados[Mandante]),0)),INDEX(tblDados[País],MATCH($A585,TRIM(tblDados[Visitante]),0))),_xlpm.l,IFERROR(INDEX(tblDados[Liga],MATCH($A585,TRIM(tblDados[Mandante]),0)),INDEX(tblDados[Liga],MATCH($A585,TRIM(tblDados[Visitante]),0))),IFERROR(SUMIFS(Ligas!$D$2:$D$39,Ligas!$H$2:$H$39,_xlpm.p,Ligas!$I$2:$I$39,_xlpm.l),0)))</f>
        <v/>
      </c>
      <c r="J585" s="16" t="str" cm="1">
        <f t="array" ref="J585">IF($A585="","",IFERROR((SUMPRODUCT((TRIM(tblDados[Mandante])=$A585)*tblDados[Primeira_Ocorrencia]*(tblDados[GM_M]=0))+SUMPRODUCT((TRIM(tblDados[Visitante])=$A585)*tblDados[Primeira_Ocorrencia]*(tblDados[GM_V]=0)))/G585,0))</f>
        <v/>
      </c>
      <c r="K585" s="16" t="str" cm="1">
        <f t="array" ref="K585">IF($A585="","",IFERROR((SUMPRODUCT((TRIM(tblDados[Mandante])=$A585)*tblDados[Primeira_Ocorrencia]*((tblDados[GM_M]+tblDados[GS_M])&gt;0.5))+SUMPRODUCT((TRIM(tblDados[Visitante])=$A585)*tblDados[Primeira_Ocorrencia]*((tblDados[GM_V]+tblDados[GS_V])&gt;0.5)))/G585,0))</f>
        <v/>
      </c>
      <c r="L585" s="16" t="str" cm="1">
        <f t="array" ref="L585">IF($A585="","",IFERROR((SUMPRODUCT((TRIM(tblDados[Mandante])=$A585)*tblDados[Primeira_Ocorrencia]*((tblDados[GM_M]+tblDados[GS_M])&gt;1.5))+SUMPRODUCT((TRIM(tblDados[Visitante])=$A585)*tblDados[Primeira_Ocorrencia]*((tblDados[GM_V]+tblDados[GS_V])&gt;1.5)))/G585,0))</f>
        <v/>
      </c>
      <c r="M585" s="16" t="str" cm="1">
        <f t="array" ref="M585">IF($A585="","",IFERROR((SUMPRODUCT((TRIM(tblDados[Mandante])=$A585)*tblDados[Primeira_Ocorrencia]*((tblDados[GM_M]+tblDados[GS_M])&gt;2.5))+SUMPRODUCT((TRIM(tblDados[Visitante])=$A585)*tblDados[Primeira_Ocorrencia]*((tblDados[GM_V]+tblDados[GS_V])&gt;2.5)))/G585,0))</f>
        <v/>
      </c>
      <c r="N585" s="16" t="str" cm="1">
        <f t="array" ref="N585">IF($A585="","",IFERROR((SUMPRODUCT((TRIM(tblDados[Mandante])=$A585)*tblDados[Primeira_Ocorrencia]*((tblDados[GM_M]+tblDados[GS_M])&gt;3.5))+SUMPRODUCT((TRIM(tblDados[Visitante])=$A585)*tblDados[Primeira_Ocorrencia]*((tblDados[GM_V]+tblDados[GS_V])&gt;3.5)))/G585,0))</f>
        <v/>
      </c>
      <c r="O585" s="16" t="str" cm="1">
        <f t="array" ref="O585">IF($A585="","",IFERROR((SUMPRODUCT((TRIM(tblDados[Mandante])=$A585)*tblDados[Primeira_Ocorrencia]*(tblDados[GM_M]&gt;0)*(tblDados[GS_M]&gt;0))+SUMPRODUCT((TRIM(tblDados[Visitante])=$A585)*tblDados[Primeira_Ocorrencia]*(tblDados[GM_V]&gt;0)*(tblDados[GS_V]&gt;0)))/G585,0))</f>
        <v/>
      </c>
      <c r="P585" s="14" t="str" cm="1">
        <f t="array" ref="P585">IF($A585="","",IFERROR((SUMPRODUCT((TRIM(tblDados[Mandante])=$A585)*tblDados[Primeira_Ocorrencia]*tblDados[GM_M]^2)+SUMPRODUCT((TRIM(tblDados[Visitante])=$A585)*tblDados[Primeira_Ocorrencia]*tblDados[GM_V]^2))/G585-H585^2,0))</f>
        <v/>
      </c>
      <c r="Q585" s="14" t="str">
        <f t="shared" si="174"/>
        <v/>
      </c>
      <c r="R585" s="1" t="str">
        <f t="shared" si="175"/>
        <v/>
      </c>
      <c r="S585" s="14" t="str" cm="1">
        <f t="array" ref="S585">IF($A585="","",SUMPRODUCT((TRIM(tblDados[Mandante])=$A585)*tblDados[Primeira_Ocorrencia]*tblDados[GM_M]))</f>
        <v/>
      </c>
      <c r="T585" s="14" t="str" cm="1">
        <f t="array" ref="T585">IF($A585="","",SUMPRODUCT((TRIM(tblDados[Visitante])=$A585)*tblDados[Primeira_Ocorrencia]*tblDados[GM_V]))</f>
        <v/>
      </c>
      <c r="U585" s="14" t="str">
        <f t="shared" si="176"/>
        <v/>
      </c>
      <c r="V585" s="14" t="str">
        <f t="shared" si="165"/>
        <v/>
      </c>
      <c r="W585" s="14" t="str" cm="1">
        <f t="array" ref="W585">IF($A585="","",SUMPRODUCT((TRIM(tblDados[Mandante])=$A585)*tblDados[Primeira_Ocorrencia]*tblDados[GS_M]))</f>
        <v/>
      </c>
      <c r="X585" s="14" t="str" cm="1">
        <f t="array" ref="X585">IF($A585="","",SUMPRODUCT((TRIM(tblDados[Visitante])=$A585)*tblDados[Primeira_Ocorrencia]*tblDados[GS_V]))</f>
        <v/>
      </c>
      <c r="Y585" s="14" t="str">
        <f t="shared" si="177"/>
        <v/>
      </c>
      <c r="Z585" s="14" t="str">
        <f t="shared" si="166"/>
        <v/>
      </c>
      <c r="AA585" s="14" t="str">
        <f t="shared" si="167"/>
        <v/>
      </c>
      <c r="AB585" s="14" t="str">
        <f t="shared" si="168"/>
        <v/>
      </c>
      <c r="AC585" s="14" t="str">
        <f t="shared" si="169"/>
        <v/>
      </c>
      <c r="AD585" s="14" t="str">
        <f t="shared" si="170"/>
        <v/>
      </c>
    </row>
    <row r="586" spans="2:30" x14ac:dyDescent="0.3">
      <c r="B586" s="13" t="str" cm="1">
        <f t="array" ref="B586">IF($A586="","",_xlfn.LET(_xlpm.p,IFERROR(INDEX(tblDados[País],MATCH($A586,TRIM(tblDados[Mandante]),0)),INDEX(tblDados[País],MATCH($A586,TRIM(tblDados[Visitante]),0))),_xlpm.l,IFERROR(INDEX(tblDados[Liga],MATCH($A586,TRIM(tblDados[Mandante]),0)),INDEX(tblDados[Liga],MATCH($A586,TRIM(tblDados[Visitante]),0))),_xlpm.p&amp;" - "&amp;_xlpm.l))</f>
        <v/>
      </c>
      <c r="C586" s="14" t="str">
        <f t="shared" si="171"/>
        <v/>
      </c>
      <c r="D586" s="14" t="str">
        <f t="shared" si="172"/>
        <v/>
      </c>
      <c r="E586" s="15" t="str" cm="1">
        <f t="array" ref="E586">IF($A586="","",SUMPRODUCT((TRIM(tblDados[Mandante])=$A586)*tblDados[Primeira_Ocorrencia]))</f>
        <v/>
      </c>
      <c r="F586" s="15" t="str" cm="1">
        <f t="array" ref="F586">IF($A586="","",SUMPRODUCT((TRIM(tblDados[Visitante])=$A586)*tblDados[Primeira_Ocorrencia]))</f>
        <v/>
      </c>
      <c r="G586" s="15" t="str" cm="1">
        <f t="array" ref="G586">IF($A586="","",SUMPRODUCT((TRIM(tblDados[Mandante])=$A586)*tblDados[Primeira_Ocorrencia])+SUMPRODUCT((TRIM(tblDados[Visitante])=$A586)*tblDados[Primeira_Ocorrencia]))</f>
        <v/>
      </c>
      <c r="H586" s="14" t="str">
        <f t="shared" si="173"/>
        <v/>
      </c>
      <c r="I586" s="14" t="str" cm="1">
        <f t="array" ref="I586">IF($A586="","",_xlfn.LET(_xlpm.p,IFERROR(INDEX(tblDados[País],MATCH($A586,TRIM(tblDados[Mandante]),0)),INDEX(tblDados[País],MATCH($A586,TRIM(tblDados[Visitante]),0))),_xlpm.l,IFERROR(INDEX(tblDados[Liga],MATCH($A586,TRIM(tblDados[Mandante]),0)),INDEX(tblDados[Liga],MATCH($A586,TRIM(tblDados[Visitante]),0))),IFERROR(SUMIFS(Ligas!$D$2:$D$39,Ligas!$H$2:$H$39,_xlpm.p,Ligas!$I$2:$I$39,_xlpm.l),0)))</f>
        <v/>
      </c>
      <c r="J586" s="16" t="str" cm="1">
        <f t="array" ref="J586">IF($A586="","",IFERROR((SUMPRODUCT((TRIM(tblDados[Mandante])=$A586)*tblDados[Primeira_Ocorrencia]*(tblDados[GM_M]=0))+SUMPRODUCT((TRIM(tblDados[Visitante])=$A586)*tblDados[Primeira_Ocorrencia]*(tblDados[GM_V]=0)))/G586,0))</f>
        <v/>
      </c>
      <c r="K586" s="16" t="str" cm="1">
        <f t="array" ref="K586">IF($A586="","",IFERROR((SUMPRODUCT((TRIM(tblDados[Mandante])=$A586)*tblDados[Primeira_Ocorrencia]*((tblDados[GM_M]+tblDados[GS_M])&gt;0.5))+SUMPRODUCT((TRIM(tblDados[Visitante])=$A586)*tblDados[Primeira_Ocorrencia]*((tblDados[GM_V]+tblDados[GS_V])&gt;0.5)))/G586,0))</f>
        <v/>
      </c>
      <c r="L586" s="16" t="str" cm="1">
        <f t="array" ref="L586">IF($A586="","",IFERROR((SUMPRODUCT((TRIM(tblDados[Mandante])=$A586)*tblDados[Primeira_Ocorrencia]*((tblDados[GM_M]+tblDados[GS_M])&gt;1.5))+SUMPRODUCT((TRIM(tblDados[Visitante])=$A586)*tblDados[Primeira_Ocorrencia]*((tblDados[GM_V]+tblDados[GS_V])&gt;1.5)))/G586,0))</f>
        <v/>
      </c>
      <c r="M586" s="16" t="str" cm="1">
        <f t="array" ref="M586">IF($A586="","",IFERROR((SUMPRODUCT((TRIM(tblDados[Mandante])=$A586)*tblDados[Primeira_Ocorrencia]*((tblDados[GM_M]+tblDados[GS_M])&gt;2.5))+SUMPRODUCT((TRIM(tblDados[Visitante])=$A586)*tblDados[Primeira_Ocorrencia]*((tblDados[GM_V]+tblDados[GS_V])&gt;2.5)))/G586,0))</f>
        <v/>
      </c>
      <c r="N586" s="16" t="str" cm="1">
        <f t="array" ref="N586">IF($A586="","",IFERROR((SUMPRODUCT((TRIM(tblDados[Mandante])=$A586)*tblDados[Primeira_Ocorrencia]*((tblDados[GM_M]+tblDados[GS_M])&gt;3.5))+SUMPRODUCT((TRIM(tblDados[Visitante])=$A586)*tblDados[Primeira_Ocorrencia]*((tblDados[GM_V]+tblDados[GS_V])&gt;3.5)))/G586,0))</f>
        <v/>
      </c>
      <c r="O586" s="16" t="str" cm="1">
        <f t="array" ref="O586">IF($A586="","",IFERROR((SUMPRODUCT((TRIM(tblDados[Mandante])=$A586)*tblDados[Primeira_Ocorrencia]*(tblDados[GM_M]&gt;0)*(tblDados[GS_M]&gt;0))+SUMPRODUCT((TRIM(tblDados[Visitante])=$A586)*tblDados[Primeira_Ocorrencia]*(tblDados[GM_V]&gt;0)*(tblDados[GS_V]&gt;0)))/G586,0))</f>
        <v/>
      </c>
      <c r="P586" s="14" t="str" cm="1">
        <f t="array" ref="P586">IF($A586="","",IFERROR((SUMPRODUCT((TRIM(tblDados[Mandante])=$A586)*tblDados[Primeira_Ocorrencia]*tblDados[GM_M]^2)+SUMPRODUCT((TRIM(tblDados[Visitante])=$A586)*tblDados[Primeira_Ocorrencia]*tblDados[GM_V]^2))/G586-H586^2,0))</f>
        <v/>
      </c>
      <c r="Q586" s="14" t="str">
        <f t="shared" si="174"/>
        <v/>
      </c>
      <c r="R586" s="1" t="str">
        <f t="shared" si="175"/>
        <v/>
      </c>
      <c r="S586" s="14" t="str" cm="1">
        <f t="array" ref="S586">IF($A586="","",SUMPRODUCT((TRIM(tblDados[Mandante])=$A586)*tblDados[Primeira_Ocorrencia]*tblDados[GM_M]))</f>
        <v/>
      </c>
      <c r="T586" s="14" t="str" cm="1">
        <f t="array" ref="T586">IF($A586="","",SUMPRODUCT((TRIM(tblDados[Visitante])=$A586)*tblDados[Primeira_Ocorrencia]*tblDados[GM_V]))</f>
        <v/>
      </c>
      <c r="U586" s="14" t="str">
        <f t="shared" si="176"/>
        <v/>
      </c>
      <c r="V586" s="14" t="str">
        <f t="shared" si="165"/>
        <v/>
      </c>
      <c r="W586" s="14" t="str" cm="1">
        <f t="array" ref="W586">IF($A586="","",SUMPRODUCT((TRIM(tblDados[Mandante])=$A586)*tblDados[Primeira_Ocorrencia]*tblDados[GS_M]))</f>
        <v/>
      </c>
      <c r="X586" s="14" t="str" cm="1">
        <f t="array" ref="X586">IF($A586="","",SUMPRODUCT((TRIM(tblDados[Visitante])=$A586)*tblDados[Primeira_Ocorrencia]*tblDados[GS_V]))</f>
        <v/>
      </c>
      <c r="Y586" s="14" t="str">
        <f t="shared" si="177"/>
        <v/>
      </c>
      <c r="Z586" s="14" t="str">
        <f t="shared" si="166"/>
        <v/>
      </c>
      <c r="AA586" s="14" t="str">
        <f t="shared" si="167"/>
        <v/>
      </c>
      <c r="AB586" s="14" t="str">
        <f t="shared" si="168"/>
        <v/>
      </c>
      <c r="AC586" s="14" t="str">
        <f t="shared" si="169"/>
        <v/>
      </c>
      <c r="AD586" s="14" t="str">
        <f t="shared" si="170"/>
        <v/>
      </c>
    </row>
    <row r="587" spans="2:30" x14ac:dyDescent="0.3">
      <c r="B587" s="13" t="str" cm="1">
        <f t="array" ref="B587">IF($A587="","",_xlfn.LET(_xlpm.p,IFERROR(INDEX(tblDados[País],MATCH($A587,TRIM(tblDados[Mandante]),0)),INDEX(tblDados[País],MATCH($A587,TRIM(tblDados[Visitante]),0))),_xlpm.l,IFERROR(INDEX(tblDados[Liga],MATCH($A587,TRIM(tblDados[Mandante]),0)),INDEX(tblDados[Liga],MATCH($A587,TRIM(tblDados[Visitante]),0))),_xlpm.p&amp;" - "&amp;_xlpm.l))</f>
        <v/>
      </c>
      <c r="C587" s="14" t="str">
        <f t="shared" si="171"/>
        <v/>
      </c>
      <c r="D587" s="14" t="str">
        <f t="shared" si="172"/>
        <v/>
      </c>
      <c r="E587" s="15" t="str" cm="1">
        <f t="array" ref="E587">IF($A587="","",SUMPRODUCT((TRIM(tblDados[Mandante])=$A587)*tblDados[Primeira_Ocorrencia]))</f>
        <v/>
      </c>
      <c r="F587" s="15" t="str" cm="1">
        <f t="array" ref="F587">IF($A587="","",SUMPRODUCT((TRIM(tblDados[Visitante])=$A587)*tblDados[Primeira_Ocorrencia]))</f>
        <v/>
      </c>
      <c r="G587" s="15" t="str" cm="1">
        <f t="array" ref="G587">IF($A587="","",SUMPRODUCT((TRIM(tblDados[Mandante])=$A587)*tblDados[Primeira_Ocorrencia])+SUMPRODUCT((TRIM(tblDados[Visitante])=$A587)*tblDados[Primeira_Ocorrencia]))</f>
        <v/>
      </c>
      <c r="H587" s="14" t="str">
        <f t="shared" si="173"/>
        <v/>
      </c>
      <c r="I587" s="14" t="str" cm="1">
        <f t="array" ref="I587">IF($A587="","",_xlfn.LET(_xlpm.p,IFERROR(INDEX(tblDados[País],MATCH($A587,TRIM(tblDados[Mandante]),0)),INDEX(tblDados[País],MATCH($A587,TRIM(tblDados[Visitante]),0))),_xlpm.l,IFERROR(INDEX(tblDados[Liga],MATCH($A587,TRIM(tblDados[Mandante]),0)),INDEX(tblDados[Liga],MATCH($A587,TRIM(tblDados[Visitante]),0))),IFERROR(SUMIFS(Ligas!$D$2:$D$39,Ligas!$H$2:$H$39,_xlpm.p,Ligas!$I$2:$I$39,_xlpm.l),0)))</f>
        <v/>
      </c>
      <c r="J587" s="16" t="str" cm="1">
        <f t="array" ref="J587">IF($A587="","",IFERROR((SUMPRODUCT((TRIM(tblDados[Mandante])=$A587)*tblDados[Primeira_Ocorrencia]*(tblDados[GM_M]=0))+SUMPRODUCT((TRIM(tblDados[Visitante])=$A587)*tblDados[Primeira_Ocorrencia]*(tblDados[GM_V]=0)))/G587,0))</f>
        <v/>
      </c>
      <c r="K587" s="16" t="str" cm="1">
        <f t="array" ref="K587">IF($A587="","",IFERROR((SUMPRODUCT((TRIM(tblDados[Mandante])=$A587)*tblDados[Primeira_Ocorrencia]*((tblDados[GM_M]+tblDados[GS_M])&gt;0.5))+SUMPRODUCT((TRIM(tblDados[Visitante])=$A587)*tblDados[Primeira_Ocorrencia]*((tblDados[GM_V]+tblDados[GS_V])&gt;0.5)))/G587,0))</f>
        <v/>
      </c>
      <c r="L587" s="16" t="str" cm="1">
        <f t="array" ref="L587">IF($A587="","",IFERROR((SUMPRODUCT((TRIM(tblDados[Mandante])=$A587)*tblDados[Primeira_Ocorrencia]*((tblDados[GM_M]+tblDados[GS_M])&gt;1.5))+SUMPRODUCT((TRIM(tblDados[Visitante])=$A587)*tblDados[Primeira_Ocorrencia]*((tblDados[GM_V]+tblDados[GS_V])&gt;1.5)))/G587,0))</f>
        <v/>
      </c>
      <c r="M587" s="16" t="str" cm="1">
        <f t="array" ref="M587">IF($A587="","",IFERROR((SUMPRODUCT((TRIM(tblDados[Mandante])=$A587)*tblDados[Primeira_Ocorrencia]*((tblDados[GM_M]+tblDados[GS_M])&gt;2.5))+SUMPRODUCT((TRIM(tblDados[Visitante])=$A587)*tblDados[Primeira_Ocorrencia]*((tblDados[GM_V]+tblDados[GS_V])&gt;2.5)))/G587,0))</f>
        <v/>
      </c>
      <c r="N587" s="16" t="str" cm="1">
        <f t="array" ref="N587">IF($A587="","",IFERROR((SUMPRODUCT((TRIM(tblDados[Mandante])=$A587)*tblDados[Primeira_Ocorrencia]*((tblDados[GM_M]+tblDados[GS_M])&gt;3.5))+SUMPRODUCT((TRIM(tblDados[Visitante])=$A587)*tblDados[Primeira_Ocorrencia]*((tblDados[GM_V]+tblDados[GS_V])&gt;3.5)))/G587,0))</f>
        <v/>
      </c>
      <c r="O587" s="16" t="str" cm="1">
        <f t="array" ref="O587">IF($A587="","",IFERROR((SUMPRODUCT((TRIM(tblDados[Mandante])=$A587)*tblDados[Primeira_Ocorrencia]*(tblDados[GM_M]&gt;0)*(tblDados[GS_M]&gt;0))+SUMPRODUCT((TRIM(tblDados[Visitante])=$A587)*tblDados[Primeira_Ocorrencia]*(tblDados[GM_V]&gt;0)*(tblDados[GS_V]&gt;0)))/G587,0))</f>
        <v/>
      </c>
      <c r="P587" s="14" t="str" cm="1">
        <f t="array" ref="P587">IF($A587="","",IFERROR((SUMPRODUCT((TRIM(tblDados[Mandante])=$A587)*tblDados[Primeira_Ocorrencia]*tblDados[GM_M]^2)+SUMPRODUCT((TRIM(tblDados[Visitante])=$A587)*tblDados[Primeira_Ocorrencia]*tblDados[GM_V]^2))/G587-H587^2,0))</f>
        <v/>
      </c>
      <c r="Q587" s="14" t="str">
        <f t="shared" si="174"/>
        <v/>
      </c>
      <c r="R587" s="1" t="str">
        <f t="shared" si="175"/>
        <v/>
      </c>
      <c r="S587" s="14" t="str" cm="1">
        <f t="array" ref="S587">IF($A587="","",SUMPRODUCT((TRIM(tblDados[Mandante])=$A587)*tblDados[Primeira_Ocorrencia]*tblDados[GM_M]))</f>
        <v/>
      </c>
      <c r="T587" s="14" t="str" cm="1">
        <f t="array" ref="T587">IF($A587="","",SUMPRODUCT((TRIM(tblDados[Visitante])=$A587)*tblDados[Primeira_Ocorrencia]*tblDados[GM_V]))</f>
        <v/>
      </c>
      <c r="U587" s="14" t="str">
        <f t="shared" si="176"/>
        <v/>
      </c>
      <c r="V587" s="14" t="str">
        <f t="shared" si="165"/>
        <v/>
      </c>
      <c r="W587" s="14" t="str" cm="1">
        <f t="array" ref="W587">IF($A587="","",SUMPRODUCT((TRIM(tblDados[Mandante])=$A587)*tblDados[Primeira_Ocorrencia]*tblDados[GS_M]))</f>
        <v/>
      </c>
      <c r="X587" s="14" t="str" cm="1">
        <f t="array" ref="X587">IF($A587="","",SUMPRODUCT((TRIM(tblDados[Visitante])=$A587)*tblDados[Primeira_Ocorrencia]*tblDados[GS_V]))</f>
        <v/>
      </c>
      <c r="Y587" s="14" t="str">
        <f t="shared" si="177"/>
        <v/>
      </c>
      <c r="Z587" s="14" t="str">
        <f t="shared" si="166"/>
        <v/>
      </c>
      <c r="AA587" s="14" t="str">
        <f t="shared" si="167"/>
        <v/>
      </c>
      <c r="AB587" s="14" t="str">
        <f t="shared" si="168"/>
        <v/>
      </c>
      <c r="AC587" s="14" t="str">
        <f t="shared" si="169"/>
        <v/>
      </c>
      <c r="AD587" s="14" t="str">
        <f t="shared" si="170"/>
        <v/>
      </c>
    </row>
    <row r="588" spans="2:30" x14ac:dyDescent="0.3">
      <c r="B588" s="13" t="str" cm="1">
        <f t="array" ref="B588">IF($A588="","",_xlfn.LET(_xlpm.p,IFERROR(INDEX(tblDados[País],MATCH($A588,TRIM(tblDados[Mandante]),0)),INDEX(tblDados[País],MATCH($A588,TRIM(tblDados[Visitante]),0))),_xlpm.l,IFERROR(INDEX(tblDados[Liga],MATCH($A588,TRIM(tblDados[Mandante]),0)),INDEX(tblDados[Liga],MATCH($A588,TRIM(tblDados[Visitante]),0))),_xlpm.p&amp;" - "&amp;_xlpm.l))</f>
        <v/>
      </c>
      <c r="C588" s="14" t="str">
        <f t="shared" si="171"/>
        <v/>
      </c>
      <c r="D588" s="14" t="str">
        <f t="shared" si="172"/>
        <v/>
      </c>
      <c r="E588" s="15" t="str" cm="1">
        <f t="array" ref="E588">IF($A588="","",SUMPRODUCT((TRIM(tblDados[Mandante])=$A588)*tblDados[Primeira_Ocorrencia]))</f>
        <v/>
      </c>
      <c r="F588" s="15" t="str" cm="1">
        <f t="array" ref="F588">IF($A588="","",SUMPRODUCT((TRIM(tblDados[Visitante])=$A588)*tblDados[Primeira_Ocorrencia]))</f>
        <v/>
      </c>
      <c r="G588" s="15" t="str" cm="1">
        <f t="array" ref="G588">IF($A588="","",SUMPRODUCT((TRIM(tblDados[Mandante])=$A588)*tblDados[Primeira_Ocorrencia])+SUMPRODUCT((TRIM(tblDados[Visitante])=$A588)*tblDados[Primeira_Ocorrencia]))</f>
        <v/>
      </c>
      <c r="H588" s="14" t="str">
        <f t="shared" si="173"/>
        <v/>
      </c>
      <c r="I588" s="14" t="str" cm="1">
        <f t="array" ref="I588">IF($A588="","",_xlfn.LET(_xlpm.p,IFERROR(INDEX(tblDados[País],MATCH($A588,TRIM(tblDados[Mandante]),0)),INDEX(tblDados[País],MATCH($A588,TRIM(tblDados[Visitante]),0))),_xlpm.l,IFERROR(INDEX(tblDados[Liga],MATCH($A588,TRIM(tblDados[Mandante]),0)),INDEX(tblDados[Liga],MATCH($A588,TRIM(tblDados[Visitante]),0))),IFERROR(SUMIFS(Ligas!$D$2:$D$39,Ligas!$H$2:$H$39,_xlpm.p,Ligas!$I$2:$I$39,_xlpm.l),0)))</f>
        <v/>
      </c>
      <c r="J588" s="16" t="str" cm="1">
        <f t="array" ref="J588">IF($A588="","",IFERROR((SUMPRODUCT((TRIM(tblDados[Mandante])=$A588)*tblDados[Primeira_Ocorrencia]*(tblDados[GM_M]=0))+SUMPRODUCT((TRIM(tblDados[Visitante])=$A588)*tblDados[Primeira_Ocorrencia]*(tblDados[GM_V]=0)))/G588,0))</f>
        <v/>
      </c>
      <c r="K588" s="16" t="str" cm="1">
        <f t="array" ref="K588">IF($A588="","",IFERROR((SUMPRODUCT((TRIM(tblDados[Mandante])=$A588)*tblDados[Primeira_Ocorrencia]*((tblDados[GM_M]+tblDados[GS_M])&gt;0.5))+SUMPRODUCT((TRIM(tblDados[Visitante])=$A588)*tblDados[Primeira_Ocorrencia]*((tblDados[GM_V]+tblDados[GS_V])&gt;0.5)))/G588,0))</f>
        <v/>
      </c>
      <c r="L588" s="16" t="str" cm="1">
        <f t="array" ref="L588">IF($A588="","",IFERROR((SUMPRODUCT((TRIM(tblDados[Mandante])=$A588)*tblDados[Primeira_Ocorrencia]*((tblDados[GM_M]+tblDados[GS_M])&gt;1.5))+SUMPRODUCT((TRIM(tblDados[Visitante])=$A588)*tblDados[Primeira_Ocorrencia]*((tblDados[GM_V]+tblDados[GS_V])&gt;1.5)))/G588,0))</f>
        <v/>
      </c>
      <c r="M588" s="16" t="str" cm="1">
        <f t="array" ref="M588">IF($A588="","",IFERROR((SUMPRODUCT((TRIM(tblDados[Mandante])=$A588)*tblDados[Primeira_Ocorrencia]*((tblDados[GM_M]+tblDados[GS_M])&gt;2.5))+SUMPRODUCT((TRIM(tblDados[Visitante])=$A588)*tblDados[Primeira_Ocorrencia]*((tblDados[GM_V]+tblDados[GS_V])&gt;2.5)))/G588,0))</f>
        <v/>
      </c>
      <c r="N588" s="16" t="str" cm="1">
        <f t="array" ref="N588">IF($A588="","",IFERROR((SUMPRODUCT((TRIM(tblDados[Mandante])=$A588)*tblDados[Primeira_Ocorrencia]*((tblDados[GM_M]+tblDados[GS_M])&gt;3.5))+SUMPRODUCT((TRIM(tblDados[Visitante])=$A588)*tblDados[Primeira_Ocorrencia]*((tblDados[GM_V]+tblDados[GS_V])&gt;3.5)))/G588,0))</f>
        <v/>
      </c>
      <c r="O588" s="16" t="str" cm="1">
        <f t="array" ref="O588">IF($A588="","",IFERROR((SUMPRODUCT((TRIM(tblDados[Mandante])=$A588)*tblDados[Primeira_Ocorrencia]*(tblDados[GM_M]&gt;0)*(tblDados[GS_M]&gt;0))+SUMPRODUCT((TRIM(tblDados[Visitante])=$A588)*tblDados[Primeira_Ocorrencia]*(tblDados[GM_V]&gt;0)*(tblDados[GS_V]&gt;0)))/G588,0))</f>
        <v/>
      </c>
      <c r="P588" s="14" t="str" cm="1">
        <f t="array" ref="P588">IF($A588="","",IFERROR((SUMPRODUCT((TRIM(tblDados[Mandante])=$A588)*tblDados[Primeira_Ocorrencia]*tblDados[GM_M]^2)+SUMPRODUCT((TRIM(tblDados[Visitante])=$A588)*tblDados[Primeira_Ocorrencia]*tblDados[GM_V]^2))/G588-H588^2,0))</f>
        <v/>
      </c>
      <c r="Q588" s="14" t="str">
        <f t="shared" si="174"/>
        <v/>
      </c>
      <c r="R588" s="1" t="str">
        <f t="shared" si="175"/>
        <v/>
      </c>
      <c r="S588" s="14" t="str" cm="1">
        <f t="array" ref="S588">IF($A588="","",SUMPRODUCT((TRIM(tblDados[Mandante])=$A588)*tblDados[Primeira_Ocorrencia]*tblDados[GM_M]))</f>
        <v/>
      </c>
      <c r="T588" s="14" t="str" cm="1">
        <f t="array" ref="T588">IF($A588="","",SUMPRODUCT((TRIM(tblDados[Visitante])=$A588)*tblDados[Primeira_Ocorrencia]*tblDados[GM_V]))</f>
        <v/>
      </c>
      <c r="U588" s="14" t="str">
        <f t="shared" si="176"/>
        <v/>
      </c>
      <c r="V588" s="14" t="str">
        <f t="shared" si="165"/>
        <v/>
      </c>
      <c r="W588" s="14" t="str" cm="1">
        <f t="array" ref="W588">IF($A588="","",SUMPRODUCT((TRIM(tblDados[Mandante])=$A588)*tblDados[Primeira_Ocorrencia]*tblDados[GS_M]))</f>
        <v/>
      </c>
      <c r="X588" s="14" t="str" cm="1">
        <f t="array" ref="X588">IF($A588="","",SUMPRODUCT((TRIM(tblDados[Visitante])=$A588)*tblDados[Primeira_Ocorrencia]*tblDados[GS_V]))</f>
        <v/>
      </c>
      <c r="Y588" s="14" t="str">
        <f t="shared" si="177"/>
        <v/>
      </c>
      <c r="Z588" s="14" t="str">
        <f t="shared" si="166"/>
        <v/>
      </c>
      <c r="AA588" s="14" t="str">
        <f t="shared" si="167"/>
        <v/>
      </c>
      <c r="AB588" s="14" t="str">
        <f t="shared" si="168"/>
        <v/>
      </c>
      <c r="AC588" s="14" t="str">
        <f t="shared" si="169"/>
        <v/>
      </c>
      <c r="AD588" s="14" t="str">
        <f t="shared" si="170"/>
        <v/>
      </c>
    </row>
    <row r="589" spans="2:30" x14ac:dyDescent="0.3">
      <c r="B589" s="13" t="str" cm="1">
        <f t="array" ref="B589">IF($A589="","",_xlfn.LET(_xlpm.p,IFERROR(INDEX(tblDados[País],MATCH($A589,TRIM(tblDados[Mandante]),0)),INDEX(tblDados[País],MATCH($A589,TRIM(tblDados[Visitante]),0))),_xlpm.l,IFERROR(INDEX(tblDados[Liga],MATCH($A589,TRIM(tblDados[Mandante]),0)),INDEX(tblDados[Liga],MATCH($A589,TRIM(tblDados[Visitante]),0))),_xlpm.p&amp;" - "&amp;_xlpm.l))</f>
        <v/>
      </c>
      <c r="C589" s="14" t="str">
        <f t="shared" si="171"/>
        <v/>
      </c>
      <c r="D589" s="14" t="str">
        <f t="shared" si="172"/>
        <v/>
      </c>
      <c r="E589" s="15" t="str" cm="1">
        <f t="array" ref="E589">IF($A589="","",SUMPRODUCT((TRIM(tblDados[Mandante])=$A589)*tblDados[Primeira_Ocorrencia]))</f>
        <v/>
      </c>
      <c r="F589" s="15" t="str" cm="1">
        <f t="array" ref="F589">IF($A589="","",SUMPRODUCT((TRIM(tblDados[Visitante])=$A589)*tblDados[Primeira_Ocorrencia]))</f>
        <v/>
      </c>
      <c r="G589" s="15" t="str" cm="1">
        <f t="array" ref="G589">IF($A589="","",SUMPRODUCT((TRIM(tblDados[Mandante])=$A589)*tblDados[Primeira_Ocorrencia])+SUMPRODUCT((TRIM(tblDados[Visitante])=$A589)*tblDados[Primeira_Ocorrencia]))</f>
        <v/>
      </c>
      <c r="H589" s="14" t="str">
        <f t="shared" si="173"/>
        <v/>
      </c>
      <c r="I589" s="14" t="str" cm="1">
        <f t="array" ref="I589">IF($A589="","",_xlfn.LET(_xlpm.p,IFERROR(INDEX(tblDados[País],MATCH($A589,TRIM(tblDados[Mandante]),0)),INDEX(tblDados[País],MATCH($A589,TRIM(tblDados[Visitante]),0))),_xlpm.l,IFERROR(INDEX(tblDados[Liga],MATCH($A589,TRIM(tblDados[Mandante]),0)),INDEX(tblDados[Liga],MATCH($A589,TRIM(tblDados[Visitante]),0))),IFERROR(SUMIFS(Ligas!$D$2:$D$39,Ligas!$H$2:$H$39,_xlpm.p,Ligas!$I$2:$I$39,_xlpm.l),0)))</f>
        <v/>
      </c>
      <c r="J589" s="16" t="str" cm="1">
        <f t="array" ref="J589">IF($A589="","",IFERROR((SUMPRODUCT((TRIM(tblDados[Mandante])=$A589)*tblDados[Primeira_Ocorrencia]*(tblDados[GM_M]=0))+SUMPRODUCT((TRIM(tblDados[Visitante])=$A589)*tblDados[Primeira_Ocorrencia]*(tblDados[GM_V]=0)))/G589,0))</f>
        <v/>
      </c>
      <c r="K589" s="16" t="str" cm="1">
        <f t="array" ref="K589">IF($A589="","",IFERROR((SUMPRODUCT((TRIM(tblDados[Mandante])=$A589)*tblDados[Primeira_Ocorrencia]*((tblDados[GM_M]+tblDados[GS_M])&gt;0.5))+SUMPRODUCT((TRIM(tblDados[Visitante])=$A589)*tblDados[Primeira_Ocorrencia]*((tblDados[GM_V]+tblDados[GS_V])&gt;0.5)))/G589,0))</f>
        <v/>
      </c>
      <c r="L589" s="16" t="str" cm="1">
        <f t="array" ref="L589">IF($A589="","",IFERROR((SUMPRODUCT((TRIM(tblDados[Mandante])=$A589)*tblDados[Primeira_Ocorrencia]*((tblDados[GM_M]+tblDados[GS_M])&gt;1.5))+SUMPRODUCT((TRIM(tblDados[Visitante])=$A589)*tblDados[Primeira_Ocorrencia]*((tblDados[GM_V]+tblDados[GS_V])&gt;1.5)))/G589,0))</f>
        <v/>
      </c>
      <c r="M589" s="16" t="str" cm="1">
        <f t="array" ref="M589">IF($A589="","",IFERROR((SUMPRODUCT((TRIM(tblDados[Mandante])=$A589)*tblDados[Primeira_Ocorrencia]*((tblDados[GM_M]+tblDados[GS_M])&gt;2.5))+SUMPRODUCT((TRIM(tblDados[Visitante])=$A589)*tblDados[Primeira_Ocorrencia]*((tblDados[GM_V]+tblDados[GS_V])&gt;2.5)))/G589,0))</f>
        <v/>
      </c>
      <c r="N589" s="16" t="str" cm="1">
        <f t="array" ref="N589">IF($A589="","",IFERROR((SUMPRODUCT((TRIM(tblDados[Mandante])=$A589)*tblDados[Primeira_Ocorrencia]*((tblDados[GM_M]+tblDados[GS_M])&gt;3.5))+SUMPRODUCT((TRIM(tblDados[Visitante])=$A589)*tblDados[Primeira_Ocorrencia]*((tblDados[GM_V]+tblDados[GS_V])&gt;3.5)))/G589,0))</f>
        <v/>
      </c>
      <c r="O589" s="16" t="str" cm="1">
        <f t="array" ref="O589">IF($A589="","",IFERROR((SUMPRODUCT((TRIM(tblDados[Mandante])=$A589)*tblDados[Primeira_Ocorrencia]*(tblDados[GM_M]&gt;0)*(tblDados[GS_M]&gt;0))+SUMPRODUCT((TRIM(tblDados[Visitante])=$A589)*tblDados[Primeira_Ocorrencia]*(tblDados[GM_V]&gt;0)*(tblDados[GS_V]&gt;0)))/G589,0))</f>
        <v/>
      </c>
      <c r="P589" s="14" t="str" cm="1">
        <f t="array" ref="P589">IF($A589="","",IFERROR((SUMPRODUCT((TRIM(tblDados[Mandante])=$A589)*tblDados[Primeira_Ocorrencia]*tblDados[GM_M]^2)+SUMPRODUCT((TRIM(tblDados[Visitante])=$A589)*tblDados[Primeira_Ocorrencia]*tblDados[GM_V]^2))/G589-H589^2,0))</f>
        <v/>
      </c>
      <c r="Q589" s="14" t="str">
        <f t="shared" si="174"/>
        <v/>
      </c>
      <c r="R589" s="1" t="str">
        <f t="shared" si="175"/>
        <v/>
      </c>
      <c r="S589" s="14" t="str" cm="1">
        <f t="array" ref="S589">IF($A589="","",SUMPRODUCT((TRIM(tblDados[Mandante])=$A589)*tblDados[Primeira_Ocorrencia]*tblDados[GM_M]))</f>
        <v/>
      </c>
      <c r="T589" s="14" t="str" cm="1">
        <f t="array" ref="T589">IF($A589="","",SUMPRODUCT((TRIM(tblDados[Visitante])=$A589)*tblDados[Primeira_Ocorrencia]*tblDados[GM_V]))</f>
        <v/>
      </c>
      <c r="U589" s="14" t="str">
        <f t="shared" si="176"/>
        <v/>
      </c>
      <c r="V589" s="14" t="str">
        <f t="shared" si="165"/>
        <v/>
      </c>
      <c r="W589" s="14" t="str" cm="1">
        <f t="array" ref="W589">IF($A589="","",SUMPRODUCT((TRIM(tblDados[Mandante])=$A589)*tblDados[Primeira_Ocorrencia]*tblDados[GS_M]))</f>
        <v/>
      </c>
      <c r="X589" s="14" t="str" cm="1">
        <f t="array" ref="X589">IF($A589="","",SUMPRODUCT((TRIM(tblDados[Visitante])=$A589)*tblDados[Primeira_Ocorrencia]*tblDados[GS_V]))</f>
        <v/>
      </c>
      <c r="Y589" s="14" t="str">
        <f t="shared" si="177"/>
        <v/>
      </c>
      <c r="Z589" s="14" t="str">
        <f t="shared" si="166"/>
        <v/>
      </c>
      <c r="AA589" s="14" t="str">
        <f t="shared" si="167"/>
        <v/>
      </c>
      <c r="AB589" s="14" t="str">
        <f t="shared" si="168"/>
        <v/>
      </c>
      <c r="AC589" s="14" t="str">
        <f t="shared" si="169"/>
        <v/>
      </c>
      <c r="AD589" s="14" t="str">
        <f t="shared" si="170"/>
        <v/>
      </c>
    </row>
    <row r="590" spans="2:30" x14ac:dyDescent="0.3">
      <c r="B590" s="13" t="str" cm="1">
        <f t="array" ref="B590">IF($A590="","",_xlfn.LET(_xlpm.p,IFERROR(INDEX(tblDados[País],MATCH($A590,TRIM(tblDados[Mandante]),0)),INDEX(tblDados[País],MATCH($A590,TRIM(tblDados[Visitante]),0))),_xlpm.l,IFERROR(INDEX(tblDados[Liga],MATCH($A590,TRIM(tblDados[Mandante]),0)),INDEX(tblDados[Liga],MATCH($A590,TRIM(tblDados[Visitante]),0))),_xlpm.p&amp;" - "&amp;_xlpm.l))</f>
        <v/>
      </c>
      <c r="C590" s="14" t="str">
        <f t="shared" si="171"/>
        <v/>
      </c>
      <c r="D590" s="14" t="str">
        <f t="shared" si="172"/>
        <v/>
      </c>
      <c r="E590" s="15" t="str" cm="1">
        <f t="array" ref="E590">IF($A590="","",SUMPRODUCT((TRIM(tblDados[Mandante])=$A590)*tblDados[Primeira_Ocorrencia]))</f>
        <v/>
      </c>
      <c r="F590" s="15" t="str" cm="1">
        <f t="array" ref="F590">IF($A590="","",SUMPRODUCT((TRIM(tblDados[Visitante])=$A590)*tblDados[Primeira_Ocorrencia]))</f>
        <v/>
      </c>
      <c r="G590" s="15" t="str" cm="1">
        <f t="array" ref="G590">IF($A590="","",SUMPRODUCT((TRIM(tblDados[Mandante])=$A590)*tblDados[Primeira_Ocorrencia])+SUMPRODUCT((TRIM(tblDados[Visitante])=$A590)*tblDados[Primeira_Ocorrencia]))</f>
        <v/>
      </c>
      <c r="H590" s="14" t="str">
        <f t="shared" si="173"/>
        <v/>
      </c>
      <c r="I590" s="14" t="str" cm="1">
        <f t="array" ref="I590">IF($A590="","",_xlfn.LET(_xlpm.p,IFERROR(INDEX(tblDados[País],MATCH($A590,TRIM(tblDados[Mandante]),0)),INDEX(tblDados[País],MATCH($A590,TRIM(tblDados[Visitante]),0))),_xlpm.l,IFERROR(INDEX(tblDados[Liga],MATCH($A590,TRIM(tblDados[Mandante]),0)),INDEX(tblDados[Liga],MATCH($A590,TRIM(tblDados[Visitante]),0))),IFERROR(SUMIFS(Ligas!$D$2:$D$39,Ligas!$H$2:$H$39,_xlpm.p,Ligas!$I$2:$I$39,_xlpm.l),0)))</f>
        <v/>
      </c>
      <c r="J590" s="16" t="str" cm="1">
        <f t="array" ref="J590">IF($A590="","",IFERROR((SUMPRODUCT((TRIM(tblDados[Mandante])=$A590)*tblDados[Primeira_Ocorrencia]*(tblDados[GM_M]=0))+SUMPRODUCT((TRIM(tblDados[Visitante])=$A590)*tblDados[Primeira_Ocorrencia]*(tblDados[GM_V]=0)))/G590,0))</f>
        <v/>
      </c>
      <c r="K590" s="16" t="str" cm="1">
        <f t="array" ref="K590">IF($A590="","",IFERROR((SUMPRODUCT((TRIM(tblDados[Mandante])=$A590)*tblDados[Primeira_Ocorrencia]*((tblDados[GM_M]+tblDados[GS_M])&gt;0.5))+SUMPRODUCT((TRIM(tblDados[Visitante])=$A590)*tblDados[Primeira_Ocorrencia]*((tblDados[GM_V]+tblDados[GS_V])&gt;0.5)))/G590,0))</f>
        <v/>
      </c>
      <c r="L590" s="16" t="str" cm="1">
        <f t="array" ref="L590">IF($A590="","",IFERROR((SUMPRODUCT((TRIM(tblDados[Mandante])=$A590)*tblDados[Primeira_Ocorrencia]*((tblDados[GM_M]+tblDados[GS_M])&gt;1.5))+SUMPRODUCT((TRIM(tblDados[Visitante])=$A590)*tblDados[Primeira_Ocorrencia]*((tblDados[GM_V]+tblDados[GS_V])&gt;1.5)))/G590,0))</f>
        <v/>
      </c>
      <c r="M590" s="16" t="str" cm="1">
        <f t="array" ref="M590">IF($A590="","",IFERROR((SUMPRODUCT((TRIM(tblDados[Mandante])=$A590)*tblDados[Primeira_Ocorrencia]*((tblDados[GM_M]+tblDados[GS_M])&gt;2.5))+SUMPRODUCT((TRIM(tblDados[Visitante])=$A590)*tblDados[Primeira_Ocorrencia]*((tblDados[GM_V]+tblDados[GS_V])&gt;2.5)))/G590,0))</f>
        <v/>
      </c>
      <c r="N590" s="16" t="str" cm="1">
        <f t="array" ref="N590">IF($A590="","",IFERROR((SUMPRODUCT((TRIM(tblDados[Mandante])=$A590)*tblDados[Primeira_Ocorrencia]*((tblDados[GM_M]+tblDados[GS_M])&gt;3.5))+SUMPRODUCT((TRIM(tblDados[Visitante])=$A590)*tblDados[Primeira_Ocorrencia]*((tblDados[GM_V]+tblDados[GS_V])&gt;3.5)))/G590,0))</f>
        <v/>
      </c>
      <c r="O590" s="16" t="str" cm="1">
        <f t="array" ref="O590">IF($A590="","",IFERROR((SUMPRODUCT((TRIM(tblDados[Mandante])=$A590)*tblDados[Primeira_Ocorrencia]*(tblDados[GM_M]&gt;0)*(tblDados[GS_M]&gt;0))+SUMPRODUCT((TRIM(tblDados[Visitante])=$A590)*tblDados[Primeira_Ocorrencia]*(tblDados[GM_V]&gt;0)*(tblDados[GS_V]&gt;0)))/G590,0))</f>
        <v/>
      </c>
      <c r="P590" s="14" t="str" cm="1">
        <f t="array" ref="P590">IF($A590="","",IFERROR((SUMPRODUCT((TRIM(tblDados[Mandante])=$A590)*tblDados[Primeira_Ocorrencia]*tblDados[GM_M]^2)+SUMPRODUCT((TRIM(tblDados[Visitante])=$A590)*tblDados[Primeira_Ocorrencia]*tblDados[GM_V]^2))/G590-H590^2,0))</f>
        <v/>
      </c>
      <c r="Q590" s="14" t="str">
        <f t="shared" si="174"/>
        <v/>
      </c>
      <c r="R590" s="1" t="str">
        <f t="shared" si="175"/>
        <v/>
      </c>
      <c r="S590" s="14" t="str" cm="1">
        <f t="array" ref="S590">IF($A590="","",SUMPRODUCT((TRIM(tblDados[Mandante])=$A590)*tblDados[Primeira_Ocorrencia]*tblDados[GM_M]))</f>
        <v/>
      </c>
      <c r="T590" s="14" t="str" cm="1">
        <f t="array" ref="T590">IF($A590="","",SUMPRODUCT((TRIM(tblDados[Visitante])=$A590)*tblDados[Primeira_Ocorrencia]*tblDados[GM_V]))</f>
        <v/>
      </c>
      <c r="U590" s="14" t="str">
        <f t="shared" si="176"/>
        <v/>
      </c>
      <c r="V590" s="14" t="str">
        <f t="shared" si="165"/>
        <v/>
      </c>
      <c r="W590" s="14" t="str" cm="1">
        <f t="array" ref="W590">IF($A590="","",SUMPRODUCT((TRIM(tblDados[Mandante])=$A590)*tblDados[Primeira_Ocorrencia]*tblDados[GS_M]))</f>
        <v/>
      </c>
      <c r="X590" s="14" t="str" cm="1">
        <f t="array" ref="X590">IF($A590="","",SUMPRODUCT((TRIM(tblDados[Visitante])=$A590)*tblDados[Primeira_Ocorrencia]*tblDados[GS_V]))</f>
        <v/>
      </c>
      <c r="Y590" s="14" t="str">
        <f t="shared" si="177"/>
        <v/>
      </c>
      <c r="Z590" s="14" t="str">
        <f t="shared" si="166"/>
        <v/>
      </c>
      <c r="AA590" s="14" t="str">
        <f t="shared" si="167"/>
        <v/>
      </c>
      <c r="AB590" s="14" t="str">
        <f t="shared" si="168"/>
        <v/>
      </c>
      <c r="AC590" s="14" t="str">
        <f t="shared" si="169"/>
        <v/>
      </c>
      <c r="AD590" s="14" t="str">
        <f t="shared" si="170"/>
        <v/>
      </c>
    </row>
    <row r="591" spans="2:30" x14ac:dyDescent="0.3">
      <c r="B591" s="13" t="str" cm="1">
        <f t="array" ref="B591">IF($A591="","",_xlfn.LET(_xlpm.p,IFERROR(INDEX(tblDados[País],MATCH($A591,TRIM(tblDados[Mandante]),0)),INDEX(tblDados[País],MATCH($A591,TRIM(tblDados[Visitante]),0))),_xlpm.l,IFERROR(INDEX(tblDados[Liga],MATCH($A591,TRIM(tblDados[Mandante]),0)),INDEX(tblDados[Liga],MATCH($A591,TRIM(tblDados[Visitante]),0))),_xlpm.p&amp;" - "&amp;_xlpm.l))</f>
        <v/>
      </c>
      <c r="C591" s="14" t="str">
        <f t="shared" si="171"/>
        <v/>
      </c>
      <c r="D591" s="14" t="str">
        <f t="shared" si="172"/>
        <v/>
      </c>
      <c r="E591" s="15" t="str" cm="1">
        <f t="array" ref="E591">IF($A591="","",SUMPRODUCT((TRIM(tblDados[Mandante])=$A591)*tblDados[Primeira_Ocorrencia]))</f>
        <v/>
      </c>
      <c r="F591" s="15" t="str" cm="1">
        <f t="array" ref="F591">IF($A591="","",SUMPRODUCT((TRIM(tblDados[Visitante])=$A591)*tblDados[Primeira_Ocorrencia]))</f>
        <v/>
      </c>
      <c r="G591" s="15" t="str" cm="1">
        <f t="array" ref="G591">IF($A591="","",SUMPRODUCT((TRIM(tblDados[Mandante])=$A591)*tblDados[Primeira_Ocorrencia])+SUMPRODUCT((TRIM(tblDados[Visitante])=$A591)*tblDados[Primeira_Ocorrencia]))</f>
        <v/>
      </c>
      <c r="H591" s="14" t="str">
        <f t="shared" si="173"/>
        <v/>
      </c>
      <c r="I591" s="14" t="str" cm="1">
        <f t="array" ref="I591">IF($A591="","",_xlfn.LET(_xlpm.p,IFERROR(INDEX(tblDados[País],MATCH($A591,TRIM(tblDados[Mandante]),0)),INDEX(tblDados[País],MATCH($A591,TRIM(tblDados[Visitante]),0))),_xlpm.l,IFERROR(INDEX(tblDados[Liga],MATCH($A591,TRIM(tblDados[Mandante]),0)),INDEX(tblDados[Liga],MATCH($A591,TRIM(tblDados[Visitante]),0))),IFERROR(SUMIFS(Ligas!$D$2:$D$39,Ligas!$H$2:$H$39,_xlpm.p,Ligas!$I$2:$I$39,_xlpm.l),0)))</f>
        <v/>
      </c>
      <c r="J591" s="16" t="str" cm="1">
        <f t="array" ref="J591">IF($A591="","",IFERROR((SUMPRODUCT((TRIM(tblDados[Mandante])=$A591)*tblDados[Primeira_Ocorrencia]*(tblDados[GM_M]=0))+SUMPRODUCT((TRIM(tblDados[Visitante])=$A591)*tblDados[Primeira_Ocorrencia]*(tblDados[GM_V]=0)))/G591,0))</f>
        <v/>
      </c>
      <c r="K591" s="16" t="str" cm="1">
        <f t="array" ref="K591">IF($A591="","",IFERROR((SUMPRODUCT((TRIM(tblDados[Mandante])=$A591)*tblDados[Primeira_Ocorrencia]*((tblDados[GM_M]+tblDados[GS_M])&gt;0.5))+SUMPRODUCT((TRIM(tblDados[Visitante])=$A591)*tblDados[Primeira_Ocorrencia]*((tblDados[GM_V]+tblDados[GS_V])&gt;0.5)))/G591,0))</f>
        <v/>
      </c>
      <c r="L591" s="16" t="str" cm="1">
        <f t="array" ref="L591">IF($A591="","",IFERROR((SUMPRODUCT((TRIM(tblDados[Mandante])=$A591)*tblDados[Primeira_Ocorrencia]*((tblDados[GM_M]+tblDados[GS_M])&gt;1.5))+SUMPRODUCT((TRIM(tblDados[Visitante])=$A591)*tblDados[Primeira_Ocorrencia]*((tblDados[GM_V]+tblDados[GS_V])&gt;1.5)))/G591,0))</f>
        <v/>
      </c>
      <c r="M591" s="16" t="str" cm="1">
        <f t="array" ref="M591">IF($A591="","",IFERROR((SUMPRODUCT((TRIM(tblDados[Mandante])=$A591)*tblDados[Primeira_Ocorrencia]*((tblDados[GM_M]+tblDados[GS_M])&gt;2.5))+SUMPRODUCT((TRIM(tblDados[Visitante])=$A591)*tblDados[Primeira_Ocorrencia]*((tblDados[GM_V]+tblDados[GS_V])&gt;2.5)))/G591,0))</f>
        <v/>
      </c>
      <c r="N591" s="16" t="str" cm="1">
        <f t="array" ref="N591">IF($A591="","",IFERROR((SUMPRODUCT((TRIM(tblDados[Mandante])=$A591)*tblDados[Primeira_Ocorrencia]*((tblDados[GM_M]+tblDados[GS_M])&gt;3.5))+SUMPRODUCT((TRIM(tblDados[Visitante])=$A591)*tblDados[Primeira_Ocorrencia]*((tblDados[GM_V]+tblDados[GS_V])&gt;3.5)))/G591,0))</f>
        <v/>
      </c>
      <c r="O591" s="16" t="str" cm="1">
        <f t="array" ref="O591">IF($A591="","",IFERROR((SUMPRODUCT((TRIM(tblDados[Mandante])=$A591)*tblDados[Primeira_Ocorrencia]*(tblDados[GM_M]&gt;0)*(tblDados[GS_M]&gt;0))+SUMPRODUCT((TRIM(tblDados[Visitante])=$A591)*tblDados[Primeira_Ocorrencia]*(tblDados[GM_V]&gt;0)*(tblDados[GS_V]&gt;0)))/G591,0))</f>
        <v/>
      </c>
      <c r="P591" s="14" t="str" cm="1">
        <f t="array" ref="P591">IF($A591="","",IFERROR((SUMPRODUCT((TRIM(tblDados[Mandante])=$A591)*tblDados[Primeira_Ocorrencia]*tblDados[GM_M]^2)+SUMPRODUCT((TRIM(tblDados[Visitante])=$A591)*tblDados[Primeira_Ocorrencia]*tblDados[GM_V]^2))/G591-H591^2,0))</f>
        <v/>
      </c>
      <c r="Q591" s="14" t="str">
        <f t="shared" si="174"/>
        <v/>
      </c>
      <c r="R591" s="1" t="str">
        <f t="shared" si="175"/>
        <v/>
      </c>
      <c r="S591" s="14" t="str" cm="1">
        <f t="array" ref="S591">IF($A591="","",SUMPRODUCT((TRIM(tblDados[Mandante])=$A591)*tblDados[Primeira_Ocorrencia]*tblDados[GM_M]))</f>
        <v/>
      </c>
      <c r="T591" s="14" t="str" cm="1">
        <f t="array" ref="T591">IF($A591="","",SUMPRODUCT((TRIM(tblDados[Visitante])=$A591)*tblDados[Primeira_Ocorrencia]*tblDados[GM_V]))</f>
        <v/>
      </c>
      <c r="U591" s="14" t="str">
        <f t="shared" si="176"/>
        <v/>
      </c>
      <c r="V591" s="14" t="str">
        <f t="shared" si="165"/>
        <v/>
      </c>
      <c r="W591" s="14" t="str" cm="1">
        <f t="array" ref="W591">IF($A591="","",SUMPRODUCT((TRIM(tblDados[Mandante])=$A591)*tblDados[Primeira_Ocorrencia]*tblDados[GS_M]))</f>
        <v/>
      </c>
      <c r="X591" s="14" t="str" cm="1">
        <f t="array" ref="X591">IF($A591="","",SUMPRODUCT((TRIM(tblDados[Visitante])=$A591)*tblDados[Primeira_Ocorrencia]*tblDados[GS_V]))</f>
        <v/>
      </c>
      <c r="Y591" s="14" t="str">
        <f t="shared" si="177"/>
        <v/>
      </c>
      <c r="Z591" s="14" t="str">
        <f t="shared" si="166"/>
        <v/>
      </c>
      <c r="AA591" s="14" t="str">
        <f t="shared" si="167"/>
        <v/>
      </c>
      <c r="AB591" s="14" t="str">
        <f t="shared" si="168"/>
        <v/>
      </c>
      <c r="AC591" s="14" t="str">
        <f t="shared" si="169"/>
        <v/>
      </c>
      <c r="AD591" s="14" t="str">
        <f t="shared" si="170"/>
        <v/>
      </c>
    </row>
    <row r="592" spans="2:30" x14ac:dyDescent="0.3">
      <c r="B592" s="13" t="str" cm="1">
        <f t="array" ref="B592">IF($A592="","",_xlfn.LET(_xlpm.p,IFERROR(INDEX(tblDados[País],MATCH($A592,TRIM(tblDados[Mandante]),0)),INDEX(tblDados[País],MATCH($A592,TRIM(tblDados[Visitante]),0))),_xlpm.l,IFERROR(INDEX(tblDados[Liga],MATCH($A592,TRIM(tblDados[Mandante]),0)),INDEX(tblDados[Liga],MATCH($A592,TRIM(tblDados[Visitante]),0))),_xlpm.p&amp;" - "&amp;_xlpm.l))</f>
        <v/>
      </c>
      <c r="C592" s="14" t="str">
        <f t="shared" si="171"/>
        <v/>
      </c>
      <c r="D592" s="14" t="str">
        <f t="shared" si="172"/>
        <v/>
      </c>
      <c r="E592" s="15" t="str" cm="1">
        <f t="array" ref="E592">IF($A592="","",SUMPRODUCT((TRIM(tblDados[Mandante])=$A592)*tblDados[Primeira_Ocorrencia]))</f>
        <v/>
      </c>
      <c r="F592" s="15" t="str" cm="1">
        <f t="array" ref="F592">IF($A592="","",SUMPRODUCT((TRIM(tblDados[Visitante])=$A592)*tblDados[Primeira_Ocorrencia]))</f>
        <v/>
      </c>
      <c r="G592" s="15" t="str" cm="1">
        <f t="array" ref="G592">IF($A592="","",SUMPRODUCT((TRIM(tblDados[Mandante])=$A592)*tblDados[Primeira_Ocorrencia])+SUMPRODUCT((TRIM(tblDados[Visitante])=$A592)*tblDados[Primeira_Ocorrencia]))</f>
        <v/>
      </c>
      <c r="H592" s="14" t="str">
        <f t="shared" si="173"/>
        <v/>
      </c>
      <c r="I592" s="14" t="str" cm="1">
        <f t="array" ref="I592">IF($A592="","",_xlfn.LET(_xlpm.p,IFERROR(INDEX(tblDados[País],MATCH($A592,TRIM(tblDados[Mandante]),0)),INDEX(tblDados[País],MATCH($A592,TRIM(tblDados[Visitante]),0))),_xlpm.l,IFERROR(INDEX(tblDados[Liga],MATCH($A592,TRIM(tblDados[Mandante]),0)),INDEX(tblDados[Liga],MATCH($A592,TRIM(tblDados[Visitante]),0))),IFERROR(SUMIFS(Ligas!$D$2:$D$39,Ligas!$H$2:$H$39,_xlpm.p,Ligas!$I$2:$I$39,_xlpm.l),0)))</f>
        <v/>
      </c>
      <c r="J592" s="16" t="str" cm="1">
        <f t="array" ref="J592">IF($A592="","",IFERROR((SUMPRODUCT((TRIM(tblDados[Mandante])=$A592)*tblDados[Primeira_Ocorrencia]*(tblDados[GM_M]=0))+SUMPRODUCT((TRIM(tblDados[Visitante])=$A592)*tblDados[Primeira_Ocorrencia]*(tblDados[GM_V]=0)))/G592,0))</f>
        <v/>
      </c>
      <c r="K592" s="16" t="str" cm="1">
        <f t="array" ref="K592">IF($A592="","",IFERROR((SUMPRODUCT((TRIM(tblDados[Mandante])=$A592)*tblDados[Primeira_Ocorrencia]*((tblDados[GM_M]+tblDados[GS_M])&gt;0.5))+SUMPRODUCT((TRIM(tblDados[Visitante])=$A592)*tblDados[Primeira_Ocorrencia]*((tblDados[GM_V]+tblDados[GS_V])&gt;0.5)))/G592,0))</f>
        <v/>
      </c>
      <c r="L592" s="16" t="str" cm="1">
        <f t="array" ref="L592">IF($A592="","",IFERROR((SUMPRODUCT((TRIM(tblDados[Mandante])=$A592)*tblDados[Primeira_Ocorrencia]*((tblDados[GM_M]+tblDados[GS_M])&gt;1.5))+SUMPRODUCT((TRIM(tblDados[Visitante])=$A592)*tblDados[Primeira_Ocorrencia]*((tblDados[GM_V]+tblDados[GS_V])&gt;1.5)))/G592,0))</f>
        <v/>
      </c>
      <c r="M592" s="16" t="str" cm="1">
        <f t="array" ref="M592">IF($A592="","",IFERROR((SUMPRODUCT((TRIM(tblDados[Mandante])=$A592)*tblDados[Primeira_Ocorrencia]*((tblDados[GM_M]+tblDados[GS_M])&gt;2.5))+SUMPRODUCT((TRIM(tblDados[Visitante])=$A592)*tblDados[Primeira_Ocorrencia]*((tblDados[GM_V]+tblDados[GS_V])&gt;2.5)))/G592,0))</f>
        <v/>
      </c>
      <c r="N592" s="16" t="str" cm="1">
        <f t="array" ref="N592">IF($A592="","",IFERROR((SUMPRODUCT((TRIM(tblDados[Mandante])=$A592)*tblDados[Primeira_Ocorrencia]*((tblDados[GM_M]+tblDados[GS_M])&gt;3.5))+SUMPRODUCT((TRIM(tblDados[Visitante])=$A592)*tblDados[Primeira_Ocorrencia]*((tblDados[GM_V]+tblDados[GS_V])&gt;3.5)))/G592,0))</f>
        <v/>
      </c>
      <c r="O592" s="16" t="str" cm="1">
        <f t="array" ref="O592">IF($A592="","",IFERROR((SUMPRODUCT((TRIM(tblDados[Mandante])=$A592)*tblDados[Primeira_Ocorrencia]*(tblDados[GM_M]&gt;0)*(tblDados[GS_M]&gt;0))+SUMPRODUCT((TRIM(tblDados[Visitante])=$A592)*tblDados[Primeira_Ocorrencia]*(tblDados[GM_V]&gt;0)*(tblDados[GS_V]&gt;0)))/G592,0))</f>
        <v/>
      </c>
      <c r="P592" s="14" t="str" cm="1">
        <f t="array" ref="P592">IF($A592="","",IFERROR((SUMPRODUCT((TRIM(tblDados[Mandante])=$A592)*tblDados[Primeira_Ocorrencia]*tblDados[GM_M]^2)+SUMPRODUCT((TRIM(tblDados[Visitante])=$A592)*tblDados[Primeira_Ocorrencia]*tblDados[GM_V]^2))/G592-H592^2,0))</f>
        <v/>
      </c>
      <c r="Q592" s="14" t="str">
        <f t="shared" si="174"/>
        <v/>
      </c>
      <c r="R592" s="1" t="str">
        <f t="shared" si="175"/>
        <v/>
      </c>
      <c r="S592" s="14" t="str" cm="1">
        <f t="array" ref="S592">IF($A592="","",SUMPRODUCT((TRIM(tblDados[Mandante])=$A592)*tblDados[Primeira_Ocorrencia]*tblDados[GM_M]))</f>
        <v/>
      </c>
      <c r="T592" s="14" t="str" cm="1">
        <f t="array" ref="T592">IF($A592="","",SUMPRODUCT((TRIM(tblDados[Visitante])=$A592)*tblDados[Primeira_Ocorrencia]*tblDados[GM_V]))</f>
        <v/>
      </c>
      <c r="U592" s="14" t="str">
        <f t="shared" si="176"/>
        <v/>
      </c>
      <c r="V592" s="14" t="str">
        <f t="shared" si="165"/>
        <v/>
      </c>
      <c r="W592" s="14" t="str" cm="1">
        <f t="array" ref="W592">IF($A592="","",SUMPRODUCT((TRIM(tblDados[Mandante])=$A592)*tblDados[Primeira_Ocorrencia]*tblDados[GS_M]))</f>
        <v/>
      </c>
      <c r="X592" s="14" t="str" cm="1">
        <f t="array" ref="X592">IF($A592="","",SUMPRODUCT((TRIM(tblDados[Visitante])=$A592)*tblDados[Primeira_Ocorrencia]*tblDados[GS_V]))</f>
        <v/>
      </c>
      <c r="Y592" s="14" t="str">
        <f t="shared" si="177"/>
        <v/>
      </c>
      <c r="Z592" s="14" t="str">
        <f t="shared" si="166"/>
        <v/>
      </c>
      <c r="AA592" s="14" t="str">
        <f t="shared" si="167"/>
        <v/>
      </c>
      <c r="AB592" s="14" t="str">
        <f t="shared" si="168"/>
        <v/>
      </c>
      <c r="AC592" s="14" t="str">
        <f t="shared" si="169"/>
        <v/>
      </c>
      <c r="AD592" s="14" t="str">
        <f t="shared" si="170"/>
        <v/>
      </c>
    </row>
    <row r="593" spans="2:30" x14ac:dyDescent="0.3">
      <c r="B593" s="13" t="str" cm="1">
        <f t="array" ref="B593">IF($A593="","",_xlfn.LET(_xlpm.p,IFERROR(INDEX(tblDados[País],MATCH($A593,TRIM(tblDados[Mandante]),0)),INDEX(tblDados[País],MATCH($A593,TRIM(tblDados[Visitante]),0))),_xlpm.l,IFERROR(INDEX(tblDados[Liga],MATCH($A593,TRIM(tblDados[Mandante]),0)),INDEX(tblDados[Liga],MATCH($A593,TRIM(tblDados[Visitante]),0))),_xlpm.p&amp;" - "&amp;_xlpm.l))</f>
        <v/>
      </c>
      <c r="C593" s="14" t="str">
        <f t="shared" si="171"/>
        <v/>
      </c>
      <c r="D593" s="14" t="str">
        <f t="shared" si="172"/>
        <v/>
      </c>
      <c r="E593" s="15" t="str" cm="1">
        <f t="array" ref="E593">IF($A593="","",SUMPRODUCT((TRIM(tblDados[Mandante])=$A593)*tblDados[Primeira_Ocorrencia]))</f>
        <v/>
      </c>
      <c r="F593" s="15" t="str" cm="1">
        <f t="array" ref="F593">IF($A593="","",SUMPRODUCT((TRIM(tblDados[Visitante])=$A593)*tblDados[Primeira_Ocorrencia]))</f>
        <v/>
      </c>
      <c r="G593" s="15" t="str" cm="1">
        <f t="array" ref="G593">IF($A593="","",SUMPRODUCT((TRIM(tblDados[Mandante])=$A593)*tblDados[Primeira_Ocorrencia])+SUMPRODUCT((TRIM(tblDados[Visitante])=$A593)*tblDados[Primeira_Ocorrencia]))</f>
        <v/>
      </c>
      <c r="H593" s="14" t="str">
        <f t="shared" si="173"/>
        <v/>
      </c>
      <c r="I593" s="14" t="str" cm="1">
        <f t="array" ref="I593">IF($A593="","",_xlfn.LET(_xlpm.p,IFERROR(INDEX(tblDados[País],MATCH($A593,TRIM(tblDados[Mandante]),0)),INDEX(tblDados[País],MATCH($A593,TRIM(tblDados[Visitante]),0))),_xlpm.l,IFERROR(INDEX(tblDados[Liga],MATCH($A593,TRIM(tblDados[Mandante]),0)),INDEX(tblDados[Liga],MATCH($A593,TRIM(tblDados[Visitante]),0))),IFERROR(SUMIFS(Ligas!$D$2:$D$39,Ligas!$H$2:$H$39,_xlpm.p,Ligas!$I$2:$I$39,_xlpm.l),0)))</f>
        <v/>
      </c>
      <c r="J593" s="16" t="str" cm="1">
        <f t="array" ref="J593">IF($A593="","",IFERROR((SUMPRODUCT((TRIM(tblDados[Mandante])=$A593)*tblDados[Primeira_Ocorrencia]*(tblDados[GM_M]=0))+SUMPRODUCT((TRIM(tblDados[Visitante])=$A593)*tblDados[Primeira_Ocorrencia]*(tblDados[GM_V]=0)))/G593,0))</f>
        <v/>
      </c>
      <c r="K593" s="16" t="str" cm="1">
        <f t="array" ref="K593">IF($A593="","",IFERROR((SUMPRODUCT((TRIM(tblDados[Mandante])=$A593)*tblDados[Primeira_Ocorrencia]*((tblDados[GM_M]+tblDados[GS_M])&gt;0.5))+SUMPRODUCT((TRIM(tblDados[Visitante])=$A593)*tblDados[Primeira_Ocorrencia]*((tblDados[GM_V]+tblDados[GS_V])&gt;0.5)))/G593,0))</f>
        <v/>
      </c>
      <c r="L593" s="16" t="str" cm="1">
        <f t="array" ref="L593">IF($A593="","",IFERROR((SUMPRODUCT((TRIM(tblDados[Mandante])=$A593)*tblDados[Primeira_Ocorrencia]*((tblDados[GM_M]+tblDados[GS_M])&gt;1.5))+SUMPRODUCT((TRIM(tblDados[Visitante])=$A593)*tblDados[Primeira_Ocorrencia]*((tblDados[GM_V]+tblDados[GS_V])&gt;1.5)))/G593,0))</f>
        <v/>
      </c>
      <c r="M593" s="16" t="str" cm="1">
        <f t="array" ref="M593">IF($A593="","",IFERROR((SUMPRODUCT((TRIM(tblDados[Mandante])=$A593)*tblDados[Primeira_Ocorrencia]*((tblDados[GM_M]+tblDados[GS_M])&gt;2.5))+SUMPRODUCT((TRIM(tblDados[Visitante])=$A593)*tblDados[Primeira_Ocorrencia]*((tblDados[GM_V]+tblDados[GS_V])&gt;2.5)))/G593,0))</f>
        <v/>
      </c>
      <c r="N593" s="16" t="str" cm="1">
        <f t="array" ref="N593">IF($A593="","",IFERROR((SUMPRODUCT((TRIM(tblDados[Mandante])=$A593)*tblDados[Primeira_Ocorrencia]*((tblDados[GM_M]+tblDados[GS_M])&gt;3.5))+SUMPRODUCT((TRIM(tblDados[Visitante])=$A593)*tblDados[Primeira_Ocorrencia]*((tblDados[GM_V]+tblDados[GS_V])&gt;3.5)))/G593,0))</f>
        <v/>
      </c>
      <c r="O593" s="16" t="str" cm="1">
        <f t="array" ref="O593">IF($A593="","",IFERROR((SUMPRODUCT((TRIM(tblDados[Mandante])=$A593)*tblDados[Primeira_Ocorrencia]*(tblDados[GM_M]&gt;0)*(tblDados[GS_M]&gt;0))+SUMPRODUCT((TRIM(tblDados[Visitante])=$A593)*tblDados[Primeira_Ocorrencia]*(tblDados[GM_V]&gt;0)*(tblDados[GS_V]&gt;0)))/G593,0))</f>
        <v/>
      </c>
      <c r="P593" s="14" t="str" cm="1">
        <f t="array" ref="P593">IF($A593="","",IFERROR((SUMPRODUCT((TRIM(tblDados[Mandante])=$A593)*tblDados[Primeira_Ocorrencia]*tblDados[GM_M]^2)+SUMPRODUCT((TRIM(tblDados[Visitante])=$A593)*tblDados[Primeira_Ocorrencia]*tblDados[GM_V]^2))/G593-H593^2,0))</f>
        <v/>
      </c>
      <c r="Q593" s="14" t="str">
        <f t="shared" si="174"/>
        <v/>
      </c>
      <c r="R593" s="1" t="str">
        <f t="shared" si="175"/>
        <v/>
      </c>
      <c r="S593" s="14" t="str" cm="1">
        <f t="array" ref="S593">IF($A593="","",SUMPRODUCT((TRIM(tblDados[Mandante])=$A593)*tblDados[Primeira_Ocorrencia]*tblDados[GM_M]))</f>
        <v/>
      </c>
      <c r="T593" s="14" t="str" cm="1">
        <f t="array" ref="T593">IF($A593="","",SUMPRODUCT((TRIM(tblDados[Visitante])=$A593)*tblDados[Primeira_Ocorrencia]*tblDados[GM_V]))</f>
        <v/>
      </c>
      <c r="U593" s="14" t="str">
        <f t="shared" si="176"/>
        <v/>
      </c>
      <c r="V593" s="14" t="str">
        <f t="shared" si="165"/>
        <v/>
      </c>
      <c r="W593" s="14" t="str" cm="1">
        <f t="array" ref="W593">IF($A593="","",SUMPRODUCT((TRIM(tblDados[Mandante])=$A593)*tblDados[Primeira_Ocorrencia]*tblDados[GS_M]))</f>
        <v/>
      </c>
      <c r="X593" s="14" t="str" cm="1">
        <f t="array" ref="X593">IF($A593="","",SUMPRODUCT((TRIM(tblDados[Visitante])=$A593)*tblDados[Primeira_Ocorrencia]*tblDados[GS_V]))</f>
        <v/>
      </c>
      <c r="Y593" s="14" t="str">
        <f t="shared" si="177"/>
        <v/>
      </c>
      <c r="Z593" s="14" t="str">
        <f t="shared" si="166"/>
        <v/>
      </c>
      <c r="AA593" s="14" t="str">
        <f t="shared" si="167"/>
        <v/>
      </c>
      <c r="AB593" s="14" t="str">
        <f t="shared" si="168"/>
        <v/>
      </c>
      <c r="AC593" s="14" t="str">
        <f t="shared" si="169"/>
        <v/>
      </c>
      <c r="AD593" s="14" t="str">
        <f t="shared" si="170"/>
        <v/>
      </c>
    </row>
    <row r="594" spans="2:30" x14ac:dyDescent="0.3">
      <c r="B594" s="13" t="str" cm="1">
        <f t="array" ref="B594">IF($A594="","",_xlfn.LET(_xlpm.p,IFERROR(INDEX(tblDados[País],MATCH($A594,TRIM(tblDados[Mandante]),0)),INDEX(tblDados[País],MATCH($A594,TRIM(tblDados[Visitante]),0))),_xlpm.l,IFERROR(INDEX(tblDados[Liga],MATCH($A594,TRIM(tblDados[Mandante]),0)),INDEX(tblDados[Liga],MATCH($A594,TRIM(tblDados[Visitante]),0))),_xlpm.p&amp;" - "&amp;_xlpm.l))</f>
        <v/>
      </c>
      <c r="C594" s="14" t="str">
        <f t="shared" si="171"/>
        <v/>
      </c>
      <c r="D594" s="14" t="str">
        <f t="shared" si="172"/>
        <v/>
      </c>
      <c r="E594" s="15" t="str" cm="1">
        <f t="array" ref="E594">IF($A594="","",SUMPRODUCT((TRIM(tblDados[Mandante])=$A594)*tblDados[Primeira_Ocorrencia]))</f>
        <v/>
      </c>
      <c r="F594" s="15" t="str" cm="1">
        <f t="array" ref="F594">IF($A594="","",SUMPRODUCT((TRIM(tblDados[Visitante])=$A594)*tblDados[Primeira_Ocorrencia]))</f>
        <v/>
      </c>
      <c r="G594" s="15" t="str" cm="1">
        <f t="array" ref="G594">IF($A594="","",SUMPRODUCT((TRIM(tblDados[Mandante])=$A594)*tblDados[Primeira_Ocorrencia])+SUMPRODUCT((TRIM(tblDados[Visitante])=$A594)*tblDados[Primeira_Ocorrencia]))</f>
        <v/>
      </c>
      <c r="H594" s="14" t="str">
        <f t="shared" si="173"/>
        <v/>
      </c>
      <c r="I594" s="14" t="str" cm="1">
        <f t="array" ref="I594">IF($A594="","",_xlfn.LET(_xlpm.p,IFERROR(INDEX(tblDados[País],MATCH($A594,TRIM(tblDados[Mandante]),0)),INDEX(tblDados[País],MATCH($A594,TRIM(tblDados[Visitante]),0))),_xlpm.l,IFERROR(INDEX(tblDados[Liga],MATCH($A594,TRIM(tblDados[Mandante]),0)),INDEX(tblDados[Liga],MATCH($A594,TRIM(tblDados[Visitante]),0))),IFERROR(SUMIFS(Ligas!$D$2:$D$39,Ligas!$H$2:$H$39,_xlpm.p,Ligas!$I$2:$I$39,_xlpm.l),0)))</f>
        <v/>
      </c>
      <c r="J594" s="16" t="str" cm="1">
        <f t="array" ref="J594">IF($A594="","",IFERROR((SUMPRODUCT((TRIM(tblDados[Mandante])=$A594)*tblDados[Primeira_Ocorrencia]*(tblDados[GM_M]=0))+SUMPRODUCT((TRIM(tblDados[Visitante])=$A594)*tblDados[Primeira_Ocorrencia]*(tblDados[GM_V]=0)))/G594,0))</f>
        <v/>
      </c>
      <c r="K594" s="16" t="str" cm="1">
        <f t="array" ref="K594">IF($A594="","",IFERROR((SUMPRODUCT((TRIM(tblDados[Mandante])=$A594)*tblDados[Primeira_Ocorrencia]*((tblDados[GM_M]+tblDados[GS_M])&gt;0.5))+SUMPRODUCT((TRIM(tblDados[Visitante])=$A594)*tblDados[Primeira_Ocorrencia]*((tblDados[GM_V]+tblDados[GS_V])&gt;0.5)))/G594,0))</f>
        <v/>
      </c>
      <c r="L594" s="16" t="str" cm="1">
        <f t="array" ref="L594">IF($A594="","",IFERROR((SUMPRODUCT((TRIM(tblDados[Mandante])=$A594)*tblDados[Primeira_Ocorrencia]*((tblDados[GM_M]+tblDados[GS_M])&gt;1.5))+SUMPRODUCT((TRIM(tblDados[Visitante])=$A594)*tblDados[Primeira_Ocorrencia]*((tblDados[GM_V]+tblDados[GS_V])&gt;1.5)))/G594,0))</f>
        <v/>
      </c>
      <c r="M594" s="16" t="str" cm="1">
        <f t="array" ref="M594">IF($A594="","",IFERROR((SUMPRODUCT((TRIM(tblDados[Mandante])=$A594)*tblDados[Primeira_Ocorrencia]*((tblDados[GM_M]+tblDados[GS_M])&gt;2.5))+SUMPRODUCT((TRIM(tblDados[Visitante])=$A594)*tblDados[Primeira_Ocorrencia]*((tblDados[GM_V]+tblDados[GS_V])&gt;2.5)))/G594,0))</f>
        <v/>
      </c>
      <c r="N594" s="16" t="str" cm="1">
        <f t="array" ref="N594">IF($A594="","",IFERROR((SUMPRODUCT((TRIM(tblDados[Mandante])=$A594)*tblDados[Primeira_Ocorrencia]*((tblDados[GM_M]+tblDados[GS_M])&gt;3.5))+SUMPRODUCT((TRIM(tblDados[Visitante])=$A594)*tblDados[Primeira_Ocorrencia]*((tblDados[GM_V]+tblDados[GS_V])&gt;3.5)))/G594,0))</f>
        <v/>
      </c>
      <c r="O594" s="16" t="str" cm="1">
        <f t="array" ref="O594">IF($A594="","",IFERROR((SUMPRODUCT((TRIM(tblDados[Mandante])=$A594)*tblDados[Primeira_Ocorrencia]*(tblDados[GM_M]&gt;0)*(tblDados[GS_M]&gt;0))+SUMPRODUCT((TRIM(tblDados[Visitante])=$A594)*tblDados[Primeira_Ocorrencia]*(tblDados[GM_V]&gt;0)*(tblDados[GS_V]&gt;0)))/G594,0))</f>
        <v/>
      </c>
      <c r="P594" s="14" t="str" cm="1">
        <f t="array" ref="P594">IF($A594="","",IFERROR((SUMPRODUCT((TRIM(tblDados[Mandante])=$A594)*tblDados[Primeira_Ocorrencia]*tblDados[GM_M]^2)+SUMPRODUCT((TRIM(tblDados[Visitante])=$A594)*tblDados[Primeira_Ocorrencia]*tblDados[GM_V]^2))/G594-H594^2,0))</f>
        <v/>
      </c>
      <c r="Q594" s="14" t="str">
        <f t="shared" si="174"/>
        <v/>
      </c>
      <c r="R594" s="1" t="str">
        <f t="shared" si="175"/>
        <v/>
      </c>
      <c r="S594" s="14" t="str" cm="1">
        <f t="array" ref="S594">IF($A594="","",SUMPRODUCT((TRIM(tblDados[Mandante])=$A594)*tblDados[Primeira_Ocorrencia]*tblDados[GM_M]))</f>
        <v/>
      </c>
      <c r="T594" s="14" t="str" cm="1">
        <f t="array" ref="T594">IF($A594="","",SUMPRODUCT((TRIM(tblDados[Visitante])=$A594)*tblDados[Primeira_Ocorrencia]*tblDados[GM_V]))</f>
        <v/>
      </c>
      <c r="U594" s="14" t="str">
        <f t="shared" si="176"/>
        <v/>
      </c>
      <c r="V594" s="14" t="str">
        <f t="shared" si="165"/>
        <v/>
      </c>
      <c r="W594" s="14" t="str" cm="1">
        <f t="array" ref="W594">IF($A594="","",SUMPRODUCT((TRIM(tblDados[Mandante])=$A594)*tblDados[Primeira_Ocorrencia]*tblDados[GS_M]))</f>
        <v/>
      </c>
      <c r="X594" s="14" t="str" cm="1">
        <f t="array" ref="X594">IF($A594="","",SUMPRODUCT((TRIM(tblDados[Visitante])=$A594)*tblDados[Primeira_Ocorrencia]*tblDados[GS_V]))</f>
        <v/>
      </c>
      <c r="Y594" s="14" t="str">
        <f t="shared" si="177"/>
        <v/>
      </c>
      <c r="Z594" s="14" t="str">
        <f t="shared" si="166"/>
        <v/>
      </c>
      <c r="AA594" s="14" t="str">
        <f t="shared" si="167"/>
        <v/>
      </c>
      <c r="AB594" s="14" t="str">
        <f t="shared" si="168"/>
        <v/>
      </c>
      <c r="AC594" s="14" t="str">
        <f t="shared" si="169"/>
        <v/>
      </c>
      <c r="AD594" s="14" t="str">
        <f t="shared" si="170"/>
        <v/>
      </c>
    </row>
    <row r="595" spans="2:30" x14ac:dyDescent="0.3">
      <c r="B595" s="13" t="str" cm="1">
        <f t="array" ref="B595">IF($A595="","",_xlfn.LET(_xlpm.p,IFERROR(INDEX(tblDados[País],MATCH($A595,TRIM(tblDados[Mandante]),0)),INDEX(tblDados[País],MATCH($A595,TRIM(tblDados[Visitante]),0))),_xlpm.l,IFERROR(INDEX(tblDados[Liga],MATCH($A595,TRIM(tblDados[Mandante]),0)),INDEX(tblDados[Liga],MATCH($A595,TRIM(tblDados[Visitante]),0))),_xlpm.p&amp;" - "&amp;_xlpm.l))</f>
        <v/>
      </c>
      <c r="C595" s="14" t="str">
        <f t="shared" si="171"/>
        <v/>
      </c>
      <c r="D595" s="14" t="str">
        <f t="shared" si="172"/>
        <v/>
      </c>
      <c r="E595" s="15" t="str" cm="1">
        <f t="array" ref="E595">IF($A595="","",SUMPRODUCT((TRIM(tblDados[Mandante])=$A595)*tblDados[Primeira_Ocorrencia]))</f>
        <v/>
      </c>
      <c r="F595" s="15" t="str" cm="1">
        <f t="array" ref="F595">IF($A595="","",SUMPRODUCT((TRIM(tblDados[Visitante])=$A595)*tblDados[Primeira_Ocorrencia]))</f>
        <v/>
      </c>
      <c r="G595" s="15" t="str" cm="1">
        <f t="array" ref="G595">IF($A595="","",SUMPRODUCT((TRIM(tblDados[Mandante])=$A595)*tblDados[Primeira_Ocorrencia])+SUMPRODUCT((TRIM(tblDados[Visitante])=$A595)*tblDados[Primeira_Ocorrencia]))</f>
        <v/>
      </c>
      <c r="H595" s="14" t="str">
        <f t="shared" si="173"/>
        <v/>
      </c>
      <c r="I595" s="14" t="str" cm="1">
        <f t="array" ref="I595">IF($A595="","",_xlfn.LET(_xlpm.p,IFERROR(INDEX(tblDados[País],MATCH($A595,TRIM(tblDados[Mandante]),0)),INDEX(tblDados[País],MATCH($A595,TRIM(tblDados[Visitante]),0))),_xlpm.l,IFERROR(INDEX(tblDados[Liga],MATCH($A595,TRIM(tblDados[Mandante]),0)),INDEX(tblDados[Liga],MATCH($A595,TRIM(tblDados[Visitante]),0))),IFERROR(SUMIFS(Ligas!$D$2:$D$39,Ligas!$H$2:$H$39,_xlpm.p,Ligas!$I$2:$I$39,_xlpm.l),0)))</f>
        <v/>
      </c>
      <c r="J595" s="16" t="str" cm="1">
        <f t="array" ref="J595">IF($A595="","",IFERROR((SUMPRODUCT((TRIM(tblDados[Mandante])=$A595)*tblDados[Primeira_Ocorrencia]*(tblDados[GM_M]=0))+SUMPRODUCT((TRIM(tblDados[Visitante])=$A595)*tblDados[Primeira_Ocorrencia]*(tblDados[GM_V]=0)))/G595,0))</f>
        <v/>
      </c>
      <c r="K595" s="16" t="str" cm="1">
        <f t="array" ref="K595">IF($A595="","",IFERROR((SUMPRODUCT((TRIM(tblDados[Mandante])=$A595)*tblDados[Primeira_Ocorrencia]*((tblDados[GM_M]+tblDados[GS_M])&gt;0.5))+SUMPRODUCT((TRIM(tblDados[Visitante])=$A595)*tblDados[Primeira_Ocorrencia]*((tblDados[GM_V]+tblDados[GS_V])&gt;0.5)))/G595,0))</f>
        <v/>
      </c>
      <c r="L595" s="16" t="str" cm="1">
        <f t="array" ref="L595">IF($A595="","",IFERROR((SUMPRODUCT((TRIM(tblDados[Mandante])=$A595)*tblDados[Primeira_Ocorrencia]*((tblDados[GM_M]+tblDados[GS_M])&gt;1.5))+SUMPRODUCT((TRIM(tblDados[Visitante])=$A595)*tblDados[Primeira_Ocorrencia]*((tblDados[GM_V]+tblDados[GS_V])&gt;1.5)))/G595,0))</f>
        <v/>
      </c>
      <c r="M595" s="16" t="str" cm="1">
        <f t="array" ref="M595">IF($A595="","",IFERROR((SUMPRODUCT((TRIM(tblDados[Mandante])=$A595)*tblDados[Primeira_Ocorrencia]*((tblDados[GM_M]+tblDados[GS_M])&gt;2.5))+SUMPRODUCT((TRIM(tblDados[Visitante])=$A595)*tblDados[Primeira_Ocorrencia]*((tblDados[GM_V]+tblDados[GS_V])&gt;2.5)))/G595,0))</f>
        <v/>
      </c>
      <c r="N595" s="16" t="str" cm="1">
        <f t="array" ref="N595">IF($A595="","",IFERROR((SUMPRODUCT((TRIM(tblDados[Mandante])=$A595)*tblDados[Primeira_Ocorrencia]*((tblDados[GM_M]+tblDados[GS_M])&gt;3.5))+SUMPRODUCT((TRIM(tblDados[Visitante])=$A595)*tblDados[Primeira_Ocorrencia]*((tblDados[GM_V]+tblDados[GS_V])&gt;3.5)))/G595,0))</f>
        <v/>
      </c>
      <c r="O595" s="16" t="str" cm="1">
        <f t="array" ref="O595">IF($A595="","",IFERROR((SUMPRODUCT((TRIM(tblDados[Mandante])=$A595)*tblDados[Primeira_Ocorrencia]*(tblDados[GM_M]&gt;0)*(tblDados[GS_M]&gt;0))+SUMPRODUCT((TRIM(tblDados[Visitante])=$A595)*tblDados[Primeira_Ocorrencia]*(tblDados[GM_V]&gt;0)*(tblDados[GS_V]&gt;0)))/G595,0))</f>
        <v/>
      </c>
      <c r="P595" s="14" t="str" cm="1">
        <f t="array" ref="P595">IF($A595="","",IFERROR((SUMPRODUCT((TRIM(tblDados[Mandante])=$A595)*tblDados[Primeira_Ocorrencia]*tblDados[GM_M]^2)+SUMPRODUCT((TRIM(tblDados[Visitante])=$A595)*tblDados[Primeira_Ocorrencia]*tblDados[GM_V]^2))/G595-H595^2,0))</f>
        <v/>
      </c>
      <c r="Q595" s="14" t="str">
        <f t="shared" si="174"/>
        <v/>
      </c>
      <c r="R595" s="1" t="str">
        <f t="shared" si="175"/>
        <v/>
      </c>
      <c r="S595" s="14" t="str" cm="1">
        <f t="array" ref="S595">IF($A595="","",SUMPRODUCT((TRIM(tblDados[Mandante])=$A595)*tblDados[Primeira_Ocorrencia]*tblDados[GM_M]))</f>
        <v/>
      </c>
      <c r="T595" s="14" t="str" cm="1">
        <f t="array" ref="T595">IF($A595="","",SUMPRODUCT((TRIM(tblDados[Visitante])=$A595)*tblDados[Primeira_Ocorrencia]*tblDados[GM_V]))</f>
        <v/>
      </c>
      <c r="U595" s="14" t="str">
        <f t="shared" si="176"/>
        <v/>
      </c>
      <c r="V595" s="14" t="str">
        <f t="shared" si="165"/>
        <v/>
      </c>
      <c r="W595" s="14" t="str" cm="1">
        <f t="array" ref="W595">IF($A595="","",SUMPRODUCT((TRIM(tblDados[Mandante])=$A595)*tblDados[Primeira_Ocorrencia]*tblDados[GS_M]))</f>
        <v/>
      </c>
      <c r="X595" s="14" t="str" cm="1">
        <f t="array" ref="X595">IF($A595="","",SUMPRODUCT((TRIM(tblDados[Visitante])=$A595)*tblDados[Primeira_Ocorrencia]*tblDados[GS_V]))</f>
        <v/>
      </c>
      <c r="Y595" s="14" t="str">
        <f t="shared" si="177"/>
        <v/>
      </c>
      <c r="Z595" s="14" t="str">
        <f t="shared" si="166"/>
        <v/>
      </c>
      <c r="AA595" s="14" t="str">
        <f t="shared" si="167"/>
        <v/>
      </c>
      <c r="AB595" s="14" t="str">
        <f t="shared" si="168"/>
        <v/>
      </c>
      <c r="AC595" s="14" t="str">
        <f t="shared" si="169"/>
        <v/>
      </c>
      <c r="AD595" s="14" t="str">
        <f t="shared" si="170"/>
        <v/>
      </c>
    </row>
    <row r="596" spans="2:30" x14ac:dyDescent="0.3">
      <c r="B596" s="13" t="str" cm="1">
        <f t="array" ref="B596">IF($A596="","",_xlfn.LET(_xlpm.p,IFERROR(INDEX(tblDados[País],MATCH($A596,TRIM(tblDados[Mandante]),0)),INDEX(tblDados[País],MATCH($A596,TRIM(tblDados[Visitante]),0))),_xlpm.l,IFERROR(INDEX(tblDados[Liga],MATCH($A596,TRIM(tblDados[Mandante]),0)),INDEX(tblDados[Liga],MATCH($A596,TRIM(tblDados[Visitante]),0))),_xlpm.p&amp;" - "&amp;_xlpm.l))</f>
        <v/>
      </c>
      <c r="C596" s="14" t="str">
        <f t="shared" si="171"/>
        <v/>
      </c>
      <c r="D596" s="14" t="str">
        <f t="shared" si="172"/>
        <v/>
      </c>
      <c r="E596" s="15" t="str" cm="1">
        <f t="array" ref="E596">IF($A596="","",SUMPRODUCT((TRIM(tblDados[Mandante])=$A596)*tblDados[Primeira_Ocorrencia]))</f>
        <v/>
      </c>
      <c r="F596" s="15" t="str" cm="1">
        <f t="array" ref="F596">IF($A596="","",SUMPRODUCT((TRIM(tblDados[Visitante])=$A596)*tblDados[Primeira_Ocorrencia]))</f>
        <v/>
      </c>
      <c r="G596" s="15" t="str" cm="1">
        <f t="array" ref="G596">IF($A596="","",SUMPRODUCT((TRIM(tblDados[Mandante])=$A596)*tblDados[Primeira_Ocorrencia])+SUMPRODUCT((TRIM(tblDados[Visitante])=$A596)*tblDados[Primeira_Ocorrencia]))</f>
        <v/>
      </c>
      <c r="H596" s="14" t="str">
        <f t="shared" si="173"/>
        <v/>
      </c>
      <c r="I596" s="14" t="str" cm="1">
        <f t="array" ref="I596">IF($A596="","",_xlfn.LET(_xlpm.p,IFERROR(INDEX(tblDados[País],MATCH($A596,TRIM(tblDados[Mandante]),0)),INDEX(tblDados[País],MATCH($A596,TRIM(tblDados[Visitante]),0))),_xlpm.l,IFERROR(INDEX(tblDados[Liga],MATCH($A596,TRIM(tblDados[Mandante]),0)),INDEX(tblDados[Liga],MATCH($A596,TRIM(tblDados[Visitante]),0))),IFERROR(SUMIFS(Ligas!$D$2:$D$39,Ligas!$H$2:$H$39,_xlpm.p,Ligas!$I$2:$I$39,_xlpm.l),0)))</f>
        <v/>
      </c>
      <c r="J596" s="16" t="str" cm="1">
        <f t="array" ref="J596">IF($A596="","",IFERROR((SUMPRODUCT((TRIM(tblDados[Mandante])=$A596)*tblDados[Primeira_Ocorrencia]*(tblDados[GM_M]=0))+SUMPRODUCT((TRIM(tblDados[Visitante])=$A596)*tblDados[Primeira_Ocorrencia]*(tblDados[GM_V]=0)))/G596,0))</f>
        <v/>
      </c>
      <c r="K596" s="16" t="str" cm="1">
        <f t="array" ref="K596">IF($A596="","",IFERROR((SUMPRODUCT((TRIM(tblDados[Mandante])=$A596)*tblDados[Primeira_Ocorrencia]*((tblDados[GM_M]+tblDados[GS_M])&gt;0.5))+SUMPRODUCT((TRIM(tblDados[Visitante])=$A596)*tblDados[Primeira_Ocorrencia]*((tblDados[GM_V]+tblDados[GS_V])&gt;0.5)))/G596,0))</f>
        <v/>
      </c>
      <c r="L596" s="16" t="str" cm="1">
        <f t="array" ref="L596">IF($A596="","",IFERROR((SUMPRODUCT((TRIM(tblDados[Mandante])=$A596)*tblDados[Primeira_Ocorrencia]*((tblDados[GM_M]+tblDados[GS_M])&gt;1.5))+SUMPRODUCT((TRIM(tblDados[Visitante])=$A596)*tblDados[Primeira_Ocorrencia]*((tblDados[GM_V]+tblDados[GS_V])&gt;1.5)))/G596,0))</f>
        <v/>
      </c>
      <c r="M596" s="16" t="str" cm="1">
        <f t="array" ref="M596">IF($A596="","",IFERROR((SUMPRODUCT((TRIM(tblDados[Mandante])=$A596)*tblDados[Primeira_Ocorrencia]*((tblDados[GM_M]+tblDados[GS_M])&gt;2.5))+SUMPRODUCT((TRIM(tblDados[Visitante])=$A596)*tblDados[Primeira_Ocorrencia]*((tblDados[GM_V]+tblDados[GS_V])&gt;2.5)))/G596,0))</f>
        <v/>
      </c>
      <c r="N596" s="16" t="str" cm="1">
        <f t="array" ref="N596">IF($A596="","",IFERROR((SUMPRODUCT((TRIM(tblDados[Mandante])=$A596)*tblDados[Primeira_Ocorrencia]*((tblDados[GM_M]+tblDados[GS_M])&gt;3.5))+SUMPRODUCT((TRIM(tblDados[Visitante])=$A596)*tblDados[Primeira_Ocorrencia]*((tblDados[GM_V]+tblDados[GS_V])&gt;3.5)))/G596,0))</f>
        <v/>
      </c>
      <c r="O596" s="16" t="str" cm="1">
        <f t="array" ref="O596">IF($A596="","",IFERROR((SUMPRODUCT((TRIM(tblDados[Mandante])=$A596)*tblDados[Primeira_Ocorrencia]*(tblDados[GM_M]&gt;0)*(tblDados[GS_M]&gt;0))+SUMPRODUCT((TRIM(tblDados[Visitante])=$A596)*tblDados[Primeira_Ocorrencia]*(tblDados[GM_V]&gt;0)*(tblDados[GS_V]&gt;0)))/G596,0))</f>
        <v/>
      </c>
      <c r="P596" s="14" t="str" cm="1">
        <f t="array" ref="P596">IF($A596="","",IFERROR((SUMPRODUCT((TRIM(tblDados[Mandante])=$A596)*tblDados[Primeira_Ocorrencia]*tblDados[GM_M]^2)+SUMPRODUCT((TRIM(tblDados[Visitante])=$A596)*tblDados[Primeira_Ocorrencia]*tblDados[GM_V]^2))/G596-H596^2,0))</f>
        <v/>
      </c>
      <c r="Q596" s="14" t="str">
        <f t="shared" si="174"/>
        <v/>
      </c>
      <c r="R596" s="1" t="str">
        <f t="shared" si="175"/>
        <v/>
      </c>
      <c r="S596" s="14" t="str" cm="1">
        <f t="array" ref="S596">IF($A596="","",SUMPRODUCT((TRIM(tblDados[Mandante])=$A596)*tblDados[Primeira_Ocorrencia]*tblDados[GM_M]))</f>
        <v/>
      </c>
      <c r="T596" s="14" t="str" cm="1">
        <f t="array" ref="T596">IF($A596="","",SUMPRODUCT((TRIM(tblDados[Visitante])=$A596)*tblDados[Primeira_Ocorrencia]*tblDados[GM_V]))</f>
        <v/>
      </c>
      <c r="U596" s="14" t="str">
        <f t="shared" si="176"/>
        <v/>
      </c>
      <c r="V596" s="14" t="str">
        <f t="shared" si="165"/>
        <v/>
      </c>
      <c r="W596" s="14" t="str" cm="1">
        <f t="array" ref="W596">IF($A596="","",SUMPRODUCT((TRIM(tblDados[Mandante])=$A596)*tblDados[Primeira_Ocorrencia]*tblDados[GS_M]))</f>
        <v/>
      </c>
      <c r="X596" s="14" t="str" cm="1">
        <f t="array" ref="X596">IF($A596="","",SUMPRODUCT((TRIM(tblDados[Visitante])=$A596)*tblDados[Primeira_Ocorrencia]*tblDados[GS_V]))</f>
        <v/>
      </c>
      <c r="Y596" s="14" t="str">
        <f t="shared" si="177"/>
        <v/>
      </c>
      <c r="Z596" s="14" t="str">
        <f t="shared" si="166"/>
        <v/>
      </c>
      <c r="AA596" s="14" t="str">
        <f t="shared" si="167"/>
        <v/>
      </c>
      <c r="AB596" s="14" t="str">
        <f t="shared" si="168"/>
        <v/>
      </c>
      <c r="AC596" s="14" t="str">
        <f t="shared" si="169"/>
        <v/>
      </c>
      <c r="AD596" s="14" t="str">
        <f t="shared" si="170"/>
        <v/>
      </c>
    </row>
    <row r="597" spans="2:30" x14ac:dyDescent="0.3">
      <c r="B597" s="13" t="str" cm="1">
        <f t="array" ref="B597">IF($A597="","",_xlfn.LET(_xlpm.p,IFERROR(INDEX(tblDados[País],MATCH($A597,TRIM(tblDados[Mandante]),0)),INDEX(tblDados[País],MATCH($A597,TRIM(tblDados[Visitante]),0))),_xlpm.l,IFERROR(INDEX(tblDados[Liga],MATCH($A597,TRIM(tblDados[Mandante]),0)),INDEX(tblDados[Liga],MATCH($A597,TRIM(tblDados[Visitante]),0))),_xlpm.p&amp;" - "&amp;_xlpm.l))</f>
        <v/>
      </c>
      <c r="C597" s="14" t="str">
        <f t="shared" si="171"/>
        <v/>
      </c>
      <c r="D597" s="14" t="str">
        <f t="shared" si="172"/>
        <v/>
      </c>
      <c r="E597" s="15" t="str" cm="1">
        <f t="array" ref="E597">IF($A597="","",SUMPRODUCT((TRIM(tblDados[Mandante])=$A597)*tblDados[Primeira_Ocorrencia]))</f>
        <v/>
      </c>
      <c r="F597" s="15" t="str" cm="1">
        <f t="array" ref="F597">IF($A597="","",SUMPRODUCT((TRIM(tblDados[Visitante])=$A597)*tblDados[Primeira_Ocorrencia]))</f>
        <v/>
      </c>
      <c r="G597" s="15" t="str" cm="1">
        <f t="array" ref="G597">IF($A597="","",SUMPRODUCT((TRIM(tblDados[Mandante])=$A597)*tblDados[Primeira_Ocorrencia])+SUMPRODUCT((TRIM(tblDados[Visitante])=$A597)*tblDados[Primeira_Ocorrencia]))</f>
        <v/>
      </c>
      <c r="H597" s="14" t="str">
        <f t="shared" si="173"/>
        <v/>
      </c>
      <c r="I597" s="14" t="str" cm="1">
        <f t="array" ref="I597">IF($A597="","",_xlfn.LET(_xlpm.p,IFERROR(INDEX(tblDados[País],MATCH($A597,TRIM(tblDados[Mandante]),0)),INDEX(tblDados[País],MATCH($A597,TRIM(tblDados[Visitante]),0))),_xlpm.l,IFERROR(INDEX(tblDados[Liga],MATCH($A597,TRIM(tblDados[Mandante]),0)),INDEX(tblDados[Liga],MATCH($A597,TRIM(tblDados[Visitante]),0))),IFERROR(SUMIFS(Ligas!$D$2:$D$39,Ligas!$H$2:$H$39,_xlpm.p,Ligas!$I$2:$I$39,_xlpm.l),0)))</f>
        <v/>
      </c>
      <c r="J597" s="16" t="str" cm="1">
        <f t="array" ref="J597">IF($A597="","",IFERROR((SUMPRODUCT((TRIM(tblDados[Mandante])=$A597)*tblDados[Primeira_Ocorrencia]*(tblDados[GM_M]=0))+SUMPRODUCT((TRIM(tblDados[Visitante])=$A597)*tblDados[Primeira_Ocorrencia]*(tblDados[GM_V]=0)))/G597,0))</f>
        <v/>
      </c>
      <c r="K597" s="16" t="str" cm="1">
        <f t="array" ref="K597">IF($A597="","",IFERROR((SUMPRODUCT((TRIM(tblDados[Mandante])=$A597)*tblDados[Primeira_Ocorrencia]*((tblDados[GM_M]+tblDados[GS_M])&gt;0.5))+SUMPRODUCT((TRIM(tblDados[Visitante])=$A597)*tblDados[Primeira_Ocorrencia]*((tblDados[GM_V]+tblDados[GS_V])&gt;0.5)))/G597,0))</f>
        <v/>
      </c>
      <c r="L597" s="16" t="str" cm="1">
        <f t="array" ref="L597">IF($A597="","",IFERROR((SUMPRODUCT((TRIM(tblDados[Mandante])=$A597)*tblDados[Primeira_Ocorrencia]*((tblDados[GM_M]+tblDados[GS_M])&gt;1.5))+SUMPRODUCT((TRIM(tblDados[Visitante])=$A597)*tblDados[Primeira_Ocorrencia]*((tblDados[GM_V]+tblDados[GS_V])&gt;1.5)))/G597,0))</f>
        <v/>
      </c>
      <c r="M597" s="16" t="str" cm="1">
        <f t="array" ref="M597">IF($A597="","",IFERROR((SUMPRODUCT((TRIM(tblDados[Mandante])=$A597)*tblDados[Primeira_Ocorrencia]*((tblDados[GM_M]+tblDados[GS_M])&gt;2.5))+SUMPRODUCT((TRIM(tblDados[Visitante])=$A597)*tblDados[Primeira_Ocorrencia]*((tblDados[GM_V]+tblDados[GS_V])&gt;2.5)))/G597,0))</f>
        <v/>
      </c>
      <c r="N597" s="16" t="str" cm="1">
        <f t="array" ref="N597">IF($A597="","",IFERROR((SUMPRODUCT((TRIM(tblDados[Mandante])=$A597)*tblDados[Primeira_Ocorrencia]*((tblDados[GM_M]+tblDados[GS_M])&gt;3.5))+SUMPRODUCT((TRIM(tblDados[Visitante])=$A597)*tblDados[Primeira_Ocorrencia]*((tblDados[GM_V]+tblDados[GS_V])&gt;3.5)))/G597,0))</f>
        <v/>
      </c>
      <c r="O597" s="16" t="str" cm="1">
        <f t="array" ref="O597">IF($A597="","",IFERROR((SUMPRODUCT((TRIM(tblDados[Mandante])=$A597)*tblDados[Primeira_Ocorrencia]*(tblDados[GM_M]&gt;0)*(tblDados[GS_M]&gt;0))+SUMPRODUCT((TRIM(tblDados[Visitante])=$A597)*tblDados[Primeira_Ocorrencia]*(tblDados[GM_V]&gt;0)*(tblDados[GS_V]&gt;0)))/G597,0))</f>
        <v/>
      </c>
      <c r="P597" s="14" t="str" cm="1">
        <f t="array" ref="P597">IF($A597="","",IFERROR((SUMPRODUCT((TRIM(tblDados[Mandante])=$A597)*tblDados[Primeira_Ocorrencia]*tblDados[GM_M]^2)+SUMPRODUCT((TRIM(tblDados[Visitante])=$A597)*tblDados[Primeira_Ocorrencia]*tblDados[GM_V]^2))/G597-H597^2,0))</f>
        <v/>
      </c>
      <c r="Q597" s="14" t="str">
        <f t="shared" si="174"/>
        <v/>
      </c>
      <c r="R597" s="1" t="str">
        <f t="shared" si="175"/>
        <v/>
      </c>
      <c r="S597" s="14" t="str" cm="1">
        <f t="array" ref="S597">IF($A597="","",SUMPRODUCT((TRIM(tblDados[Mandante])=$A597)*tblDados[Primeira_Ocorrencia]*tblDados[GM_M]))</f>
        <v/>
      </c>
      <c r="T597" s="14" t="str" cm="1">
        <f t="array" ref="T597">IF($A597="","",SUMPRODUCT((TRIM(tblDados[Visitante])=$A597)*tblDados[Primeira_Ocorrencia]*tblDados[GM_V]))</f>
        <v/>
      </c>
      <c r="U597" s="14" t="str">
        <f t="shared" si="176"/>
        <v/>
      </c>
      <c r="V597" s="14" t="str">
        <f t="shared" si="165"/>
        <v/>
      </c>
      <c r="W597" s="14" t="str" cm="1">
        <f t="array" ref="W597">IF($A597="","",SUMPRODUCT((TRIM(tblDados[Mandante])=$A597)*tblDados[Primeira_Ocorrencia]*tblDados[GS_M]))</f>
        <v/>
      </c>
      <c r="X597" s="14" t="str" cm="1">
        <f t="array" ref="X597">IF($A597="","",SUMPRODUCT((TRIM(tblDados[Visitante])=$A597)*tblDados[Primeira_Ocorrencia]*tblDados[GS_V]))</f>
        <v/>
      </c>
      <c r="Y597" s="14" t="str">
        <f t="shared" si="177"/>
        <v/>
      </c>
      <c r="Z597" s="14" t="str">
        <f t="shared" si="166"/>
        <v/>
      </c>
      <c r="AA597" s="14" t="str">
        <f t="shared" si="167"/>
        <v/>
      </c>
      <c r="AB597" s="14" t="str">
        <f t="shared" si="168"/>
        <v/>
      </c>
      <c r="AC597" s="14" t="str">
        <f t="shared" si="169"/>
        <v/>
      </c>
      <c r="AD597" s="14" t="str">
        <f t="shared" si="170"/>
        <v/>
      </c>
    </row>
    <row r="598" spans="2:30" x14ac:dyDescent="0.3">
      <c r="B598" s="13" t="str" cm="1">
        <f t="array" ref="B598">IF($A598="","",_xlfn.LET(_xlpm.p,IFERROR(INDEX(tblDados[País],MATCH($A598,TRIM(tblDados[Mandante]),0)),INDEX(tblDados[País],MATCH($A598,TRIM(tblDados[Visitante]),0))),_xlpm.l,IFERROR(INDEX(tblDados[Liga],MATCH($A598,TRIM(tblDados[Mandante]),0)),INDEX(tblDados[Liga],MATCH($A598,TRIM(tblDados[Visitante]),0))),_xlpm.p&amp;" - "&amp;_xlpm.l))</f>
        <v/>
      </c>
      <c r="C598" s="14" t="str">
        <f t="shared" si="171"/>
        <v/>
      </c>
      <c r="D598" s="14" t="str">
        <f t="shared" si="172"/>
        <v/>
      </c>
      <c r="E598" s="15" t="str" cm="1">
        <f t="array" ref="E598">IF($A598="","",SUMPRODUCT((TRIM(tblDados[Mandante])=$A598)*tblDados[Primeira_Ocorrencia]))</f>
        <v/>
      </c>
      <c r="F598" s="15" t="str" cm="1">
        <f t="array" ref="F598">IF($A598="","",SUMPRODUCT((TRIM(tblDados[Visitante])=$A598)*tblDados[Primeira_Ocorrencia]))</f>
        <v/>
      </c>
      <c r="G598" s="15" t="str" cm="1">
        <f t="array" ref="G598">IF($A598="","",SUMPRODUCT((TRIM(tblDados[Mandante])=$A598)*tblDados[Primeira_Ocorrencia])+SUMPRODUCT((TRIM(tblDados[Visitante])=$A598)*tblDados[Primeira_Ocorrencia]))</f>
        <v/>
      </c>
      <c r="H598" s="14" t="str">
        <f t="shared" si="173"/>
        <v/>
      </c>
      <c r="I598" s="14" t="str" cm="1">
        <f t="array" ref="I598">IF($A598="","",_xlfn.LET(_xlpm.p,IFERROR(INDEX(tblDados[País],MATCH($A598,TRIM(tblDados[Mandante]),0)),INDEX(tblDados[País],MATCH($A598,TRIM(tblDados[Visitante]),0))),_xlpm.l,IFERROR(INDEX(tblDados[Liga],MATCH($A598,TRIM(tblDados[Mandante]),0)),INDEX(tblDados[Liga],MATCH($A598,TRIM(tblDados[Visitante]),0))),IFERROR(SUMIFS(Ligas!$D$2:$D$39,Ligas!$H$2:$H$39,_xlpm.p,Ligas!$I$2:$I$39,_xlpm.l),0)))</f>
        <v/>
      </c>
      <c r="J598" s="16" t="str" cm="1">
        <f t="array" ref="J598">IF($A598="","",IFERROR((SUMPRODUCT((TRIM(tblDados[Mandante])=$A598)*tblDados[Primeira_Ocorrencia]*(tblDados[GM_M]=0))+SUMPRODUCT((TRIM(tblDados[Visitante])=$A598)*tblDados[Primeira_Ocorrencia]*(tblDados[GM_V]=0)))/G598,0))</f>
        <v/>
      </c>
      <c r="K598" s="16" t="str" cm="1">
        <f t="array" ref="K598">IF($A598="","",IFERROR((SUMPRODUCT((TRIM(tblDados[Mandante])=$A598)*tblDados[Primeira_Ocorrencia]*((tblDados[GM_M]+tblDados[GS_M])&gt;0.5))+SUMPRODUCT((TRIM(tblDados[Visitante])=$A598)*tblDados[Primeira_Ocorrencia]*((tblDados[GM_V]+tblDados[GS_V])&gt;0.5)))/G598,0))</f>
        <v/>
      </c>
      <c r="L598" s="16" t="str" cm="1">
        <f t="array" ref="L598">IF($A598="","",IFERROR((SUMPRODUCT((TRIM(tblDados[Mandante])=$A598)*tblDados[Primeira_Ocorrencia]*((tblDados[GM_M]+tblDados[GS_M])&gt;1.5))+SUMPRODUCT((TRIM(tblDados[Visitante])=$A598)*tblDados[Primeira_Ocorrencia]*((tblDados[GM_V]+tblDados[GS_V])&gt;1.5)))/G598,0))</f>
        <v/>
      </c>
      <c r="M598" s="16" t="str" cm="1">
        <f t="array" ref="M598">IF($A598="","",IFERROR((SUMPRODUCT((TRIM(tblDados[Mandante])=$A598)*tblDados[Primeira_Ocorrencia]*((tblDados[GM_M]+tblDados[GS_M])&gt;2.5))+SUMPRODUCT((TRIM(tblDados[Visitante])=$A598)*tblDados[Primeira_Ocorrencia]*((tblDados[GM_V]+tblDados[GS_V])&gt;2.5)))/G598,0))</f>
        <v/>
      </c>
      <c r="N598" s="16" t="str" cm="1">
        <f t="array" ref="N598">IF($A598="","",IFERROR((SUMPRODUCT((TRIM(tblDados[Mandante])=$A598)*tblDados[Primeira_Ocorrencia]*((tblDados[GM_M]+tblDados[GS_M])&gt;3.5))+SUMPRODUCT((TRIM(tblDados[Visitante])=$A598)*tblDados[Primeira_Ocorrencia]*((tblDados[GM_V]+tblDados[GS_V])&gt;3.5)))/G598,0))</f>
        <v/>
      </c>
      <c r="O598" s="16" t="str" cm="1">
        <f t="array" ref="O598">IF($A598="","",IFERROR((SUMPRODUCT((TRIM(tblDados[Mandante])=$A598)*tblDados[Primeira_Ocorrencia]*(tblDados[GM_M]&gt;0)*(tblDados[GS_M]&gt;0))+SUMPRODUCT((TRIM(tblDados[Visitante])=$A598)*tblDados[Primeira_Ocorrencia]*(tblDados[GM_V]&gt;0)*(tblDados[GS_V]&gt;0)))/G598,0))</f>
        <v/>
      </c>
      <c r="P598" s="14" t="str" cm="1">
        <f t="array" ref="P598">IF($A598="","",IFERROR((SUMPRODUCT((TRIM(tblDados[Mandante])=$A598)*tblDados[Primeira_Ocorrencia]*tblDados[GM_M]^2)+SUMPRODUCT((TRIM(tblDados[Visitante])=$A598)*tblDados[Primeira_Ocorrencia]*tblDados[GM_V]^2))/G598-H598^2,0))</f>
        <v/>
      </c>
      <c r="Q598" s="14" t="str">
        <f t="shared" si="174"/>
        <v/>
      </c>
      <c r="R598" s="1" t="str">
        <f t="shared" si="175"/>
        <v/>
      </c>
      <c r="S598" s="14" t="str" cm="1">
        <f t="array" ref="S598">IF($A598="","",SUMPRODUCT((TRIM(tblDados[Mandante])=$A598)*tblDados[Primeira_Ocorrencia]*tblDados[GM_M]))</f>
        <v/>
      </c>
      <c r="T598" s="14" t="str" cm="1">
        <f t="array" ref="T598">IF($A598="","",SUMPRODUCT((TRIM(tblDados[Visitante])=$A598)*tblDados[Primeira_Ocorrencia]*tblDados[GM_V]))</f>
        <v/>
      </c>
      <c r="U598" s="14" t="str">
        <f t="shared" si="176"/>
        <v/>
      </c>
      <c r="V598" s="14" t="str">
        <f t="shared" si="165"/>
        <v/>
      </c>
      <c r="W598" s="14" t="str" cm="1">
        <f t="array" ref="W598">IF($A598="","",SUMPRODUCT((TRIM(tblDados[Mandante])=$A598)*tblDados[Primeira_Ocorrencia]*tblDados[GS_M]))</f>
        <v/>
      </c>
      <c r="X598" s="14" t="str" cm="1">
        <f t="array" ref="X598">IF($A598="","",SUMPRODUCT((TRIM(tblDados[Visitante])=$A598)*tblDados[Primeira_Ocorrencia]*tblDados[GS_V]))</f>
        <v/>
      </c>
      <c r="Y598" s="14" t="str">
        <f t="shared" si="177"/>
        <v/>
      </c>
      <c r="Z598" s="14" t="str">
        <f t="shared" si="166"/>
        <v/>
      </c>
      <c r="AA598" s="14" t="str">
        <f t="shared" si="167"/>
        <v/>
      </c>
      <c r="AB598" s="14" t="str">
        <f t="shared" si="168"/>
        <v/>
      </c>
      <c r="AC598" s="14" t="str">
        <f t="shared" si="169"/>
        <v/>
      </c>
      <c r="AD598" s="14" t="str">
        <f t="shared" si="170"/>
        <v/>
      </c>
    </row>
    <row r="599" spans="2:30" x14ac:dyDescent="0.3">
      <c r="B599" s="13" t="str" cm="1">
        <f t="array" ref="B599">IF($A599="","",_xlfn.LET(_xlpm.p,IFERROR(INDEX(tblDados[País],MATCH($A599,TRIM(tblDados[Mandante]),0)),INDEX(tblDados[País],MATCH($A599,TRIM(tblDados[Visitante]),0))),_xlpm.l,IFERROR(INDEX(tblDados[Liga],MATCH($A599,TRIM(tblDados[Mandante]),0)),INDEX(tblDados[Liga],MATCH($A599,TRIM(tblDados[Visitante]),0))),_xlpm.p&amp;" - "&amp;_xlpm.l))</f>
        <v/>
      </c>
      <c r="C599" s="14" t="str">
        <f t="shared" si="171"/>
        <v/>
      </c>
      <c r="D599" s="14" t="str">
        <f t="shared" si="172"/>
        <v/>
      </c>
      <c r="E599" s="15" t="str" cm="1">
        <f t="array" ref="E599">IF($A599="","",SUMPRODUCT((TRIM(tblDados[Mandante])=$A599)*tblDados[Primeira_Ocorrencia]))</f>
        <v/>
      </c>
      <c r="F599" s="15" t="str" cm="1">
        <f t="array" ref="F599">IF($A599="","",SUMPRODUCT((TRIM(tblDados[Visitante])=$A599)*tblDados[Primeira_Ocorrencia]))</f>
        <v/>
      </c>
      <c r="G599" s="15" t="str" cm="1">
        <f t="array" ref="G599">IF($A599="","",SUMPRODUCT((TRIM(tblDados[Mandante])=$A599)*tblDados[Primeira_Ocorrencia])+SUMPRODUCT((TRIM(tblDados[Visitante])=$A599)*tblDados[Primeira_Ocorrencia]))</f>
        <v/>
      </c>
      <c r="H599" s="14" t="str">
        <f t="shared" si="173"/>
        <v/>
      </c>
      <c r="I599" s="14" t="str" cm="1">
        <f t="array" ref="I599">IF($A599="","",_xlfn.LET(_xlpm.p,IFERROR(INDEX(tblDados[País],MATCH($A599,TRIM(tblDados[Mandante]),0)),INDEX(tblDados[País],MATCH($A599,TRIM(tblDados[Visitante]),0))),_xlpm.l,IFERROR(INDEX(tblDados[Liga],MATCH($A599,TRIM(tblDados[Mandante]),0)),INDEX(tblDados[Liga],MATCH($A599,TRIM(tblDados[Visitante]),0))),IFERROR(SUMIFS(Ligas!$D$2:$D$39,Ligas!$H$2:$H$39,_xlpm.p,Ligas!$I$2:$I$39,_xlpm.l),0)))</f>
        <v/>
      </c>
      <c r="J599" s="16" t="str" cm="1">
        <f t="array" ref="J599">IF($A599="","",IFERROR((SUMPRODUCT((TRIM(tblDados[Mandante])=$A599)*tblDados[Primeira_Ocorrencia]*(tblDados[GM_M]=0))+SUMPRODUCT((TRIM(tblDados[Visitante])=$A599)*tblDados[Primeira_Ocorrencia]*(tblDados[GM_V]=0)))/G599,0))</f>
        <v/>
      </c>
      <c r="K599" s="16" t="str" cm="1">
        <f t="array" ref="K599">IF($A599="","",IFERROR((SUMPRODUCT((TRIM(tblDados[Mandante])=$A599)*tblDados[Primeira_Ocorrencia]*((tblDados[GM_M]+tblDados[GS_M])&gt;0.5))+SUMPRODUCT((TRIM(tblDados[Visitante])=$A599)*tblDados[Primeira_Ocorrencia]*((tblDados[GM_V]+tblDados[GS_V])&gt;0.5)))/G599,0))</f>
        <v/>
      </c>
      <c r="L599" s="16" t="str" cm="1">
        <f t="array" ref="L599">IF($A599="","",IFERROR((SUMPRODUCT((TRIM(tblDados[Mandante])=$A599)*tblDados[Primeira_Ocorrencia]*((tblDados[GM_M]+tblDados[GS_M])&gt;1.5))+SUMPRODUCT((TRIM(tblDados[Visitante])=$A599)*tblDados[Primeira_Ocorrencia]*((tblDados[GM_V]+tblDados[GS_V])&gt;1.5)))/G599,0))</f>
        <v/>
      </c>
      <c r="M599" s="16" t="str" cm="1">
        <f t="array" ref="M599">IF($A599="","",IFERROR((SUMPRODUCT((TRIM(tblDados[Mandante])=$A599)*tblDados[Primeira_Ocorrencia]*((tblDados[GM_M]+tblDados[GS_M])&gt;2.5))+SUMPRODUCT((TRIM(tblDados[Visitante])=$A599)*tblDados[Primeira_Ocorrencia]*((tblDados[GM_V]+tblDados[GS_V])&gt;2.5)))/G599,0))</f>
        <v/>
      </c>
      <c r="N599" s="16" t="str" cm="1">
        <f t="array" ref="N599">IF($A599="","",IFERROR((SUMPRODUCT((TRIM(tblDados[Mandante])=$A599)*tblDados[Primeira_Ocorrencia]*((tblDados[GM_M]+tblDados[GS_M])&gt;3.5))+SUMPRODUCT((TRIM(tblDados[Visitante])=$A599)*tblDados[Primeira_Ocorrencia]*((tblDados[GM_V]+tblDados[GS_V])&gt;3.5)))/G599,0))</f>
        <v/>
      </c>
      <c r="O599" s="16" t="str" cm="1">
        <f t="array" ref="O599">IF($A599="","",IFERROR((SUMPRODUCT((TRIM(tblDados[Mandante])=$A599)*tblDados[Primeira_Ocorrencia]*(tblDados[GM_M]&gt;0)*(tblDados[GS_M]&gt;0))+SUMPRODUCT((TRIM(tblDados[Visitante])=$A599)*tblDados[Primeira_Ocorrencia]*(tblDados[GM_V]&gt;0)*(tblDados[GS_V]&gt;0)))/G599,0))</f>
        <v/>
      </c>
      <c r="P599" s="14" t="str" cm="1">
        <f t="array" ref="P599">IF($A599="","",IFERROR((SUMPRODUCT((TRIM(tblDados[Mandante])=$A599)*tblDados[Primeira_Ocorrencia]*tblDados[GM_M]^2)+SUMPRODUCT((TRIM(tblDados[Visitante])=$A599)*tblDados[Primeira_Ocorrencia]*tblDados[GM_V]^2))/G599-H599^2,0))</f>
        <v/>
      </c>
      <c r="Q599" s="14" t="str">
        <f t="shared" si="174"/>
        <v/>
      </c>
      <c r="R599" s="1" t="str">
        <f t="shared" si="175"/>
        <v/>
      </c>
      <c r="S599" s="14" t="str" cm="1">
        <f t="array" ref="S599">IF($A599="","",SUMPRODUCT((TRIM(tblDados[Mandante])=$A599)*tblDados[Primeira_Ocorrencia]*tblDados[GM_M]))</f>
        <v/>
      </c>
      <c r="T599" s="14" t="str" cm="1">
        <f t="array" ref="T599">IF($A599="","",SUMPRODUCT((TRIM(tblDados[Visitante])=$A599)*tblDados[Primeira_Ocorrencia]*tblDados[GM_V]))</f>
        <v/>
      </c>
      <c r="U599" s="14" t="str">
        <f t="shared" si="176"/>
        <v/>
      </c>
      <c r="V599" s="14" t="str">
        <f t="shared" si="165"/>
        <v/>
      </c>
      <c r="W599" s="14" t="str" cm="1">
        <f t="array" ref="W599">IF($A599="","",SUMPRODUCT((TRIM(tblDados[Mandante])=$A599)*tblDados[Primeira_Ocorrencia]*tblDados[GS_M]))</f>
        <v/>
      </c>
      <c r="X599" s="14" t="str" cm="1">
        <f t="array" ref="X599">IF($A599="","",SUMPRODUCT((TRIM(tblDados[Visitante])=$A599)*tblDados[Primeira_Ocorrencia]*tblDados[GS_V]))</f>
        <v/>
      </c>
      <c r="Y599" s="14" t="str">
        <f t="shared" si="177"/>
        <v/>
      </c>
      <c r="Z599" s="14" t="str">
        <f t="shared" si="166"/>
        <v/>
      </c>
      <c r="AA599" s="14" t="str">
        <f t="shared" si="167"/>
        <v/>
      </c>
      <c r="AB599" s="14" t="str">
        <f t="shared" si="168"/>
        <v/>
      </c>
      <c r="AC599" s="14" t="str">
        <f t="shared" si="169"/>
        <v/>
      </c>
      <c r="AD599" s="14" t="str">
        <f t="shared" si="170"/>
        <v/>
      </c>
    </row>
    <row r="600" spans="2:30" x14ac:dyDescent="0.3">
      <c r="B600" s="13" t="str" cm="1">
        <f t="array" ref="B600">IF($A600="","",_xlfn.LET(_xlpm.p,IFERROR(INDEX(tblDados[País],MATCH($A600,TRIM(tblDados[Mandante]),0)),INDEX(tblDados[País],MATCH($A600,TRIM(tblDados[Visitante]),0))),_xlpm.l,IFERROR(INDEX(tblDados[Liga],MATCH($A600,TRIM(tblDados[Mandante]),0)),INDEX(tblDados[Liga],MATCH($A600,TRIM(tblDados[Visitante]),0))),_xlpm.p&amp;" - "&amp;_xlpm.l))</f>
        <v/>
      </c>
      <c r="C600" s="14" t="str">
        <f t="shared" si="171"/>
        <v/>
      </c>
      <c r="D600" s="14" t="str">
        <f t="shared" si="172"/>
        <v/>
      </c>
      <c r="E600" s="15" t="str" cm="1">
        <f t="array" ref="E600">IF($A600="","",SUMPRODUCT((TRIM(tblDados[Mandante])=$A600)*tblDados[Primeira_Ocorrencia]))</f>
        <v/>
      </c>
      <c r="F600" s="15" t="str" cm="1">
        <f t="array" ref="F600">IF($A600="","",SUMPRODUCT((TRIM(tblDados[Visitante])=$A600)*tblDados[Primeira_Ocorrencia]))</f>
        <v/>
      </c>
      <c r="G600" s="15" t="str" cm="1">
        <f t="array" ref="G600">IF($A600="","",SUMPRODUCT((TRIM(tblDados[Mandante])=$A600)*tblDados[Primeira_Ocorrencia])+SUMPRODUCT((TRIM(tblDados[Visitante])=$A600)*tblDados[Primeira_Ocorrencia]))</f>
        <v/>
      </c>
      <c r="H600" s="14" t="str">
        <f t="shared" si="173"/>
        <v/>
      </c>
      <c r="I600" s="14" t="str" cm="1">
        <f t="array" ref="I600">IF($A600="","",_xlfn.LET(_xlpm.p,IFERROR(INDEX(tblDados[País],MATCH($A600,TRIM(tblDados[Mandante]),0)),INDEX(tblDados[País],MATCH($A600,TRIM(tblDados[Visitante]),0))),_xlpm.l,IFERROR(INDEX(tblDados[Liga],MATCH($A600,TRIM(tblDados[Mandante]),0)),INDEX(tblDados[Liga],MATCH($A600,TRIM(tblDados[Visitante]),0))),IFERROR(SUMIFS(Ligas!$D$2:$D$39,Ligas!$H$2:$H$39,_xlpm.p,Ligas!$I$2:$I$39,_xlpm.l),0)))</f>
        <v/>
      </c>
      <c r="J600" s="16" t="str" cm="1">
        <f t="array" ref="J600">IF($A600="","",IFERROR((SUMPRODUCT((TRIM(tblDados[Mandante])=$A600)*tblDados[Primeira_Ocorrencia]*(tblDados[GM_M]=0))+SUMPRODUCT((TRIM(tblDados[Visitante])=$A600)*tblDados[Primeira_Ocorrencia]*(tblDados[GM_V]=0)))/G600,0))</f>
        <v/>
      </c>
      <c r="K600" s="16" t="str" cm="1">
        <f t="array" ref="K600">IF($A600="","",IFERROR((SUMPRODUCT((TRIM(tblDados[Mandante])=$A600)*tblDados[Primeira_Ocorrencia]*((tblDados[GM_M]+tblDados[GS_M])&gt;0.5))+SUMPRODUCT((TRIM(tblDados[Visitante])=$A600)*tblDados[Primeira_Ocorrencia]*((tblDados[GM_V]+tblDados[GS_V])&gt;0.5)))/G600,0))</f>
        <v/>
      </c>
      <c r="L600" s="16" t="str" cm="1">
        <f t="array" ref="L600">IF($A600="","",IFERROR((SUMPRODUCT((TRIM(tblDados[Mandante])=$A600)*tblDados[Primeira_Ocorrencia]*((tblDados[GM_M]+tblDados[GS_M])&gt;1.5))+SUMPRODUCT((TRIM(tblDados[Visitante])=$A600)*tblDados[Primeira_Ocorrencia]*((tblDados[GM_V]+tblDados[GS_V])&gt;1.5)))/G600,0))</f>
        <v/>
      </c>
      <c r="M600" s="16" t="str" cm="1">
        <f t="array" ref="M600">IF($A600="","",IFERROR((SUMPRODUCT((TRIM(tblDados[Mandante])=$A600)*tblDados[Primeira_Ocorrencia]*((tblDados[GM_M]+tblDados[GS_M])&gt;2.5))+SUMPRODUCT((TRIM(tblDados[Visitante])=$A600)*tblDados[Primeira_Ocorrencia]*((tblDados[GM_V]+tblDados[GS_V])&gt;2.5)))/G600,0))</f>
        <v/>
      </c>
      <c r="N600" s="16" t="str" cm="1">
        <f t="array" ref="N600">IF($A600="","",IFERROR((SUMPRODUCT((TRIM(tblDados[Mandante])=$A600)*tblDados[Primeira_Ocorrencia]*((tblDados[GM_M]+tblDados[GS_M])&gt;3.5))+SUMPRODUCT((TRIM(tblDados[Visitante])=$A600)*tblDados[Primeira_Ocorrencia]*((tblDados[GM_V]+tblDados[GS_V])&gt;3.5)))/G600,0))</f>
        <v/>
      </c>
      <c r="O600" s="16" t="str" cm="1">
        <f t="array" ref="O600">IF($A600="","",IFERROR((SUMPRODUCT((TRIM(tblDados[Mandante])=$A600)*tblDados[Primeira_Ocorrencia]*(tblDados[GM_M]&gt;0)*(tblDados[GS_M]&gt;0))+SUMPRODUCT((TRIM(tblDados[Visitante])=$A600)*tblDados[Primeira_Ocorrencia]*(tblDados[GM_V]&gt;0)*(tblDados[GS_V]&gt;0)))/G600,0))</f>
        <v/>
      </c>
      <c r="P600" s="14" t="str" cm="1">
        <f t="array" ref="P600">IF($A600="","",IFERROR((SUMPRODUCT((TRIM(tblDados[Mandante])=$A600)*tblDados[Primeira_Ocorrencia]*tblDados[GM_M]^2)+SUMPRODUCT((TRIM(tblDados[Visitante])=$A600)*tblDados[Primeira_Ocorrencia]*tblDados[GM_V]^2))/G600-H600^2,0))</f>
        <v/>
      </c>
      <c r="Q600" s="14" t="str">
        <f t="shared" si="174"/>
        <v/>
      </c>
      <c r="R600" s="1" t="str">
        <f t="shared" si="175"/>
        <v/>
      </c>
      <c r="S600" s="14" t="str" cm="1">
        <f t="array" ref="S600">IF($A600="","",SUMPRODUCT((TRIM(tblDados[Mandante])=$A600)*tblDados[Primeira_Ocorrencia]*tblDados[GM_M]))</f>
        <v/>
      </c>
      <c r="T600" s="14" t="str" cm="1">
        <f t="array" ref="T600">IF($A600="","",SUMPRODUCT((TRIM(tblDados[Visitante])=$A600)*tblDados[Primeira_Ocorrencia]*tblDados[GM_V]))</f>
        <v/>
      </c>
      <c r="U600" s="14" t="str">
        <f t="shared" si="176"/>
        <v/>
      </c>
      <c r="V600" s="14" t="str">
        <f t="shared" si="165"/>
        <v/>
      </c>
      <c r="W600" s="14" t="str" cm="1">
        <f t="array" ref="W600">IF($A600="","",SUMPRODUCT((TRIM(tblDados[Mandante])=$A600)*tblDados[Primeira_Ocorrencia]*tblDados[GS_M]))</f>
        <v/>
      </c>
      <c r="X600" s="14" t="str" cm="1">
        <f t="array" ref="X600">IF($A600="","",SUMPRODUCT((TRIM(tblDados[Visitante])=$A600)*tblDados[Primeira_Ocorrencia]*tblDados[GS_V]))</f>
        <v/>
      </c>
      <c r="Y600" s="14" t="str">
        <f t="shared" si="177"/>
        <v/>
      </c>
      <c r="Z600" s="14" t="str">
        <f t="shared" si="166"/>
        <v/>
      </c>
      <c r="AA600" s="14" t="str">
        <f t="shared" si="167"/>
        <v/>
      </c>
      <c r="AB600" s="14" t="str">
        <f t="shared" si="168"/>
        <v/>
      </c>
      <c r="AC600" s="14" t="str">
        <f t="shared" si="169"/>
        <v/>
      </c>
      <c r="AD600" s="14" t="str">
        <f t="shared" si="170"/>
        <v/>
      </c>
    </row>
    <row r="601" spans="2:30" x14ac:dyDescent="0.3">
      <c r="B601" s="13" t="str" cm="1">
        <f t="array" ref="B601">IF($A601="","",_xlfn.LET(_xlpm.p,IFERROR(INDEX(tblDados[País],MATCH($A601,TRIM(tblDados[Mandante]),0)),INDEX(tblDados[País],MATCH($A601,TRIM(tblDados[Visitante]),0))),_xlpm.l,IFERROR(INDEX(tblDados[Liga],MATCH($A601,TRIM(tblDados[Mandante]),0)),INDEX(tblDados[Liga],MATCH($A601,TRIM(tblDados[Visitante]),0))),_xlpm.p&amp;" - "&amp;_xlpm.l))</f>
        <v/>
      </c>
      <c r="C601" s="14" t="str">
        <f t="shared" si="171"/>
        <v/>
      </c>
      <c r="D601" s="14" t="str">
        <f t="shared" si="172"/>
        <v/>
      </c>
      <c r="E601" s="15" t="str" cm="1">
        <f t="array" ref="E601">IF($A601="","",SUMPRODUCT((TRIM(tblDados[Mandante])=$A601)*tblDados[Primeira_Ocorrencia]))</f>
        <v/>
      </c>
      <c r="F601" s="15" t="str" cm="1">
        <f t="array" ref="F601">IF($A601="","",SUMPRODUCT((TRIM(tblDados[Visitante])=$A601)*tblDados[Primeira_Ocorrencia]))</f>
        <v/>
      </c>
      <c r="G601" s="15" t="str" cm="1">
        <f t="array" ref="G601">IF($A601="","",SUMPRODUCT((TRIM(tblDados[Mandante])=$A601)*tblDados[Primeira_Ocorrencia])+SUMPRODUCT((TRIM(tblDados[Visitante])=$A601)*tblDados[Primeira_Ocorrencia]))</f>
        <v/>
      </c>
      <c r="H601" s="14" t="str">
        <f t="shared" si="173"/>
        <v/>
      </c>
      <c r="I601" s="14" t="str" cm="1">
        <f t="array" ref="I601">IF($A601="","",_xlfn.LET(_xlpm.p,IFERROR(INDEX(tblDados[País],MATCH($A601,TRIM(tblDados[Mandante]),0)),INDEX(tblDados[País],MATCH($A601,TRIM(tblDados[Visitante]),0))),_xlpm.l,IFERROR(INDEX(tblDados[Liga],MATCH($A601,TRIM(tblDados[Mandante]),0)),INDEX(tblDados[Liga],MATCH($A601,TRIM(tblDados[Visitante]),0))),IFERROR(SUMIFS(Ligas!$D$2:$D$39,Ligas!$H$2:$H$39,_xlpm.p,Ligas!$I$2:$I$39,_xlpm.l),0)))</f>
        <v/>
      </c>
      <c r="J601" s="16" t="str" cm="1">
        <f t="array" ref="J601">IF($A601="","",IFERROR((SUMPRODUCT((TRIM(tblDados[Mandante])=$A601)*tblDados[Primeira_Ocorrencia]*(tblDados[GM_M]=0))+SUMPRODUCT((TRIM(tblDados[Visitante])=$A601)*tblDados[Primeira_Ocorrencia]*(tblDados[GM_V]=0)))/G601,0))</f>
        <v/>
      </c>
      <c r="K601" s="16" t="str" cm="1">
        <f t="array" ref="K601">IF($A601="","",IFERROR((SUMPRODUCT((TRIM(tblDados[Mandante])=$A601)*tblDados[Primeira_Ocorrencia]*((tblDados[GM_M]+tblDados[GS_M])&gt;0.5))+SUMPRODUCT((TRIM(tblDados[Visitante])=$A601)*tblDados[Primeira_Ocorrencia]*((tblDados[GM_V]+tblDados[GS_V])&gt;0.5)))/G601,0))</f>
        <v/>
      </c>
      <c r="L601" s="16" t="str" cm="1">
        <f t="array" ref="L601">IF($A601="","",IFERROR((SUMPRODUCT((TRIM(tblDados[Mandante])=$A601)*tblDados[Primeira_Ocorrencia]*((tblDados[GM_M]+tblDados[GS_M])&gt;1.5))+SUMPRODUCT((TRIM(tblDados[Visitante])=$A601)*tblDados[Primeira_Ocorrencia]*((tblDados[GM_V]+tblDados[GS_V])&gt;1.5)))/G601,0))</f>
        <v/>
      </c>
      <c r="M601" s="16" t="str" cm="1">
        <f t="array" ref="M601">IF($A601="","",IFERROR((SUMPRODUCT((TRIM(tblDados[Mandante])=$A601)*tblDados[Primeira_Ocorrencia]*((tblDados[GM_M]+tblDados[GS_M])&gt;2.5))+SUMPRODUCT((TRIM(tblDados[Visitante])=$A601)*tblDados[Primeira_Ocorrencia]*((tblDados[GM_V]+tblDados[GS_V])&gt;2.5)))/G601,0))</f>
        <v/>
      </c>
      <c r="N601" s="16" t="str" cm="1">
        <f t="array" ref="N601">IF($A601="","",IFERROR((SUMPRODUCT((TRIM(tblDados[Mandante])=$A601)*tblDados[Primeira_Ocorrencia]*((tblDados[GM_M]+tblDados[GS_M])&gt;3.5))+SUMPRODUCT((TRIM(tblDados[Visitante])=$A601)*tblDados[Primeira_Ocorrencia]*((tblDados[GM_V]+tblDados[GS_V])&gt;3.5)))/G601,0))</f>
        <v/>
      </c>
      <c r="O601" s="16" t="str" cm="1">
        <f t="array" ref="O601">IF($A601="","",IFERROR((SUMPRODUCT((TRIM(tblDados[Mandante])=$A601)*tblDados[Primeira_Ocorrencia]*(tblDados[GM_M]&gt;0)*(tblDados[GS_M]&gt;0))+SUMPRODUCT((TRIM(tblDados[Visitante])=$A601)*tblDados[Primeira_Ocorrencia]*(tblDados[GM_V]&gt;0)*(tblDados[GS_V]&gt;0)))/G601,0))</f>
        <v/>
      </c>
      <c r="P601" s="14" t="str" cm="1">
        <f t="array" ref="P601">IF($A601="","",IFERROR((SUMPRODUCT((TRIM(tblDados[Mandante])=$A601)*tblDados[Primeira_Ocorrencia]*tblDados[GM_M]^2)+SUMPRODUCT((TRIM(tblDados[Visitante])=$A601)*tblDados[Primeira_Ocorrencia]*tblDados[GM_V]^2))/G601-H601^2,0))</f>
        <v/>
      </c>
      <c r="Q601" s="14" t="str">
        <f t="shared" si="174"/>
        <v/>
      </c>
      <c r="R601" s="1" t="str">
        <f t="shared" si="175"/>
        <v/>
      </c>
      <c r="S601" s="14" t="str" cm="1">
        <f t="array" ref="S601">IF($A601="","",SUMPRODUCT((TRIM(tblDados[Mandante])=$A601)*tblDados[Primeira_Ocorrencia]*tblDados[GM_M]))</f>
        <v/>
      </c>
      <c r="T601" s="14" t="str" cm="1">
        <f t="array" ref="T601">IF($A601="","",SUMPRODUCT((TRIM(tblDados[Visitante])=$A601)*tblDados[Primeira_Ocorrencia]*tblDados[GM_V]))</f>
        <v/>
      </c>
      <c r="U601" s="14" t="str">
        <f t="shared" si="176"/>
        <v/>
      </c>
      <c r="V601" s="14" t="str">
        <f t="shared" si="165"/>
        <v/>
      </c>
      <c r="W601" s="14" t="str" cm="1">
        <f t="array" ref="W601">IF($A601="","",SUMPRODUCT((TRIM(tblDados[Mandante])=$A601)*tblDados[Primeira_Ocorrencia]*tblDados[GS_M]))</f>
        <v/>
      </c>
      <c r="X601" s="14" t="str" cm="1">
        <f t="array" ref="X601">IF($A601="","",SUMPRODUCT((TRIM(tblDados[Visitante])=$A601)*tblDados[Primeira_Ocorrencia]*tblDados[GS_V]))</f>
        <v/>
      </c>
      <c r="Y601" s="14" t="str">
        <f t="shared" si="177"/>
        <v/>
      </c>
      <c r="Z601" s="14" t="str">
        <f t="shared" si="166"/>
        <v/>
      </c>
      <c r="AA601" s="14" t="str">
        <f t="shared" si="167"/>
        <v/>
      </c>
      <c r="AB601" s="14" t="str">
        <f t="shared" si="168"/>
        <v/>
      </c>
      <c r="AC601" s="14" t="str">
        <f t="shared" si="169"/>
        <v/>
      </c>
      <c r="AD601" s="14" t="str">
        <f t="shared" si="170"/>
        <v/>
      </c>
    </row>
    <row r="602" spans="2:30" x14ac:dyDescent="0.3">
      <c r="B602" s="13" t="str" cm="1">
        <f t="array" ref="B602">IF($A602="","",_xlfn.LET(_xlpm.p,IFERROR(INDEX(tblDados[País],MATCH($A602,TRIM(tblDados[Mandante]),0)),INDEX(tblDados[País],MATCH($A602,TRIM(tblDados[Visitante]),0))),_xlpm.l,IFERROR(INDEX(tblDados[Liga],MATCH($A602,TRIM(tblDados[Mandante]),0)),INDEX(tblDados[Liga],MATCH($A602,TRIM(tblDados[Visitante]),0))),_xlpm.p&amp;" - "&amp;_xlpm.l))</f>
        <v/>
      </c>
      <c r="C602" s="14" t="str">
        <f t="shared" si="171"/>
        <v/>
      </c>
      <c r="D602" s="14" t="str">
        <f t="shared" si="172"/>
        <v/>
      </c>
      <c r="E602" s="15" t="str" cm="1">
        <f t="array" ref="E602">IF($A602="","",SUMPRODUCT((TRIM(tblDados[Mandante])=$A602)*tblDados[Primeira_Ocorrencia]))</f>
        <v/>
      </c>
      <c r="F602" s="15" t="str" cm="1">
        <f t="array" ref="F602">IF($A602="","",SUMPRODUCT((TRIM(tblDados[Visitante])=$A602)*tblDados[Primeira_Ocorrencia]))</f>
        <v/>
      </c>
      <c r="G602" s="15" t="str" cm="1">
        <f t="array" ref="G602">IF($A602="","",SUMPRODUCT((TRIM(tblDados[Mandante])=$A602)*tblDados[Primeira_Ocorrencia])+SUMPRODUCT((TRIM(tblDados[Visitante])=$A602)*tblDados[Primeira_Ocorrencia]))</f>
        <v/>
      </c>
      <c r="H602" s="14" t="str">
        <f t="shared" si="173"/>
        <v/>
      </c>
      <c r="I602" s="14" t="str" cm="1">
        <f t="array" ref="I602">IF($A602="","",_xlfn.LET(_xlpm.p,IFERROR(INDEX(tblDados[País],MATCH($A602,TRIM(tblDados[Mandante]),0)),INDEX(tblDados[País],MATCH($A602,TRIM(tblDados[Visitante]),0))),_xlpm.l,IFERROR(INDEX(tblDados[Liga],MATCH($A602,TRIM(tblDados[Mandante]),0)),INDEX(tblDados[Liga],MATCH($A602,TRIM(tblDados[Visitante]),0))),IFERROR(SUMIFS(Ligas!$D$2:$D$39,Ligas!$H$2:$H$39,_xlpm.p,Ligas!$I$2:$I$39,_xlpm.l),0)))</f>
        <v/>
      </c>
      <c r="J602" s="16" t="str" cm="1">
        <f t="array" ref="J602">IF($A602="","",IFERROR((SUMPRODUCT((TRIM(tblDados[Mandante])=$A602)*tblDados[Primeira_Ocorrencia]*(tblDados[GM_M]=0))+SUMPRODUCT((TRIM(tblDados[Visitante])=$A602)*tblDados[Primeira_Ocorrencia]*(tblDados[GM_V]=0)))/G602,0))</f>
        <v/>
      </c>
      <c r="K602" s="16" t="str" cm="1">
        <f t="array" ref="K602">IF($A602="","",IFERROR((SUMPRODUCT((TRIM(tblDados[Mandante])=$A602)*tblDados[Primeira_Ocorrencia]*((tblDados[GM_M]+tblDados[GS_M])&gt;0.5))+SUMPRODUCT((TRIM(tblDados[Visitante])=$A602)*tblDados[Primeira_Ocorrencia]*((tblDados[GM_V]+tblDados[GS_V])&gt;0.5)))/G602,0))</f>
        <v/>
      </c>
      <c r="L602" s="16" t="str" cm="1">
        <f t="array" ref="L602">IF($A602="","",IFERROR((SUMPRODUCT((TRIM(tblDados[Mandante])=$A602)*tblDados[Primeira_Ocorrencia]*((tblDados[GM_M]+tblDados[GS_M])&gt;1.5))+SUMPRODUCT((TRIM(tblDados[Visitante])=$A602)*tblDados[Primeira_Ocorrencia]*((tblDados[GM_V]+tblDados[GS_V])&gt;1.5)))/G602,0))</f>
        <v/>
      </c>
      <c r="M602" s="16" t="str" cm="1">
        <f t="array" ref="M602">IF($A602="","",IFERROR((SUMPRODUCT((TRIM(tblDados[Mandante])=$A602)*tblDados[Primeira_Ocorrencia]*((tblDados[GM_M]+tblDados[GS_M])&gt;2.5))+SUMPRODUCT((TRIM(tblDados[Visitante])=$A602)*tblDados[Primeira_Ocorrencia]*((tblDados[GM_V]+tblDados[GS_V])&gt;2.5)))/G602,0))</f>
        <v/>
      </c>
      <c r="N602" s="16" t="str" cm="1">
        <f t="array" ref="N602">IF($A602="","",IFERROR((SUMPRODUCT((TRIM(tblDados[Mandante])=$A602)*tblDados[Primeira_Ocorrencia]*((tblDados[GM_M]+tblDados[GS_M])&gt;3.5))+SUMPRODUCT((TRIM(tblDados[Visitante])=$A602)*tblDados[Primeira_Ocorrencia]*((tblDados[GM_V]+tblDados[GS_V])&gt;3.5)))/G602,0))</f>
        <v/>
      </c>
      <c r="O602" s="16" t="str" cm="1">
        <f t="array" ref="O602">IF($A602="","",IFERROR((SUMPRODUCT((TRIM(tblDados[Mandante])=$A602)*tblDados[Primeira_Ocorrencia]*(tblDados[GM_M]&gt;0)*(tblDados[GS_M]&gt;0))+SUMPRODUCT((TRIM(tblDados[Visitante])=$A602)*tblDados[Primeira_Ocorrencia]*(tblDados[GM_V]&gt;0)*(tblDados[GS_V]&gt;0)))/G602,0))</f>
        <v/>
      </c>
      <c r="P602" s="14" t="str" cm="1">
        <f t="array" ref="P602">IF($A602="","",IFERROR((SUMPRODUCT((TRIM(tblDados[Mandante])=$A602)*tblDados[Primeira_Ocorrencia]*tblDados[GM_M]^2)+SUMPRODUCT((TRIM(tblDados[Visitante])=$A602)*tblDados[Primeira_Ocorrencia]*tblDados[GM_V]^2))/G602-H602^2,0))</f>
        <v/>
      </c>
      <c r="Q602" s="14" t="str">
        <f t="shared" si="174"/>
        <v/>
      </c>
      <c r="R602" s="1" t="str">
        <f t="shared" si="175"/>
        <v/>
      </c>
      <c r="S602" s="14" t="str" cm="1">
        <f t="array" ref="S602">IF($A602="","",SUMPRODUCT((TRIM(tblDados[Mandante])=$A602)*tblDados[Primeira_Ocorrencia]*tblDados[GM_M]))</f>
        <v/>
      </c>
      <c r="T602" s="14" t="str" cm="1">
        <f t="array" ref="T602">IF($A602="","",SUMPRODUCT((TRIM(tblDados[Visitante])=$A602)*tblDados[Primeira_Ocorrencia]*tblDados[GM_V]))</f>
        <v/>
      </c>
      <c r="U602" s="14" t="str">
        <f t="shared" si="176"/>
        <v/>
      </c>
      <c r="V602" s="14" t="str">
        <f t="shared" si="165"/>
        <v/>
      </c>
      <c r="W602" s="14" t="str" cm="1">
        <f t="array" ref="W602">IF($A602="","",SUMPRODUCT((TRIM(tblDados[Mandante])=$A602)*tblDados[Primeira_Ocorrencia]*tblDados[GS_M]))</f>
        <v/>
      </c>
      <c r="X602" s="14" t="str" cm="1">
        <f t="array" ref="X602">IF($A602="","",SUMPRODUCT((TRIM(tblDados[Visitante])=$A602)*tblDados[Primeira_Ocorrencia]*tblDados[GS_V]))</f>
        <v/>
      </c>
      <c r="Y602" s="14" t="str">
        <f t="shared" si="177"/>
        <v/>
      </c>
      <c r="Z602" s="14" t="str">
        <f t="shared" si="166"/>
        <v/>
      </c>
      <c r="AA602" s="14" t="str">
        <f t="shared" si="167"/>
        <v/>
      </c>
      <c r="AB602" s="14" t="str">
        <f t="shared" si="168"/>
        <v/>
      </c>
      <c r="AC602" s="14" t="str">
        <f t="shared" si="169"/>
        <v/>
      </c>
      <c r="AD602" s="14" t="str">
        <f t="shared" si="170"/>
        <v/>
      </c>
    </row>
    <row r="603" spans="2:30" x14ac:dyDescent="0.3">
      <c r="B603" s="13" t="str" cm="1">
        <f t="array" ref="B603">IF($A603="","",_xlfn.LET(_xlpm.p,IFERROR(INDEX(tblDados[País],MATCH($A603,TRIM(tblDados[Mandante]),0)),INDEX(tblDados[País],MATCH($A603,TRIM(tblDados[Visitante]),0))),_xlpm.l,IFERROR(INDEX(tblDados[Liga],MATCH($A603,TRIM(tblDados[Mandante]),0)),INDEX(tblDados[Liga],MATCH($A603,TRIM(tblDados[Visitante]),0))),_xlpm.p&amp;" - "&amp;_xlpm.l))</f>
        <v/>
      </c>
      <c r="C603" s="14" t="str">
        <f t="shared" si="171"/>
        <v/>
      </c>
      <c r="D603" s="14" t="str">
        <f t="shared" si="172"/>
        <v/>
      </c>
      <c r="E603" s="15" t="str" cm="1">
        <f t="array" ref="E603">IF($A603="","",SUMPRODUCT((TRIM(tblDados[Mandante])=$A603)*tblDados[Primeira_Ocorrencia]))</f>
        <v/>
      </c>
      <c r="F603" s="15" t="str" cm="1">
        <f t="array" ref="F603">IF($A603="","",SUMPRODUCT((TRIM(tblDados[Visitante])=$A603)*tblDados[Primeira_Ocorrencia]))</f>
        <v/>
      </c>
      <c r="G603" s="15" t="str" cm="1">
        <f t="array" ref="G603">IF($A603="","",SUMPRODUCT((TRIM(tblDados[Mandante])=$A603)*tblDados[Primeira_Ocorrencia])+SUMPRODUCT((TRIM(tblDados[Visitante])=$A603)*tblDados[Primeira_Ocorrencia]))</f>
        <v/>
      </c>
      <c r="H603" s="14" t="str">
        <f t="shared" si="173"/>
        <v/>
      </c>
      <c r="I603" s="14" t="str" cm="1">
        <f t="array" ref="I603">IF($A603="","",_xlfn.LET(_xlpm.p,IFERROR(INDEX(tblDados[País],MATCH($A603,TRIM(tblDados[Mandante]),0)),INDEX(tblDados[País],MATCH($A603,TRIM(tblDados[Visitante]),0))),_xlpm.l,IFERROR(INDEX(tblDados[Liga],MATCH($A603,TRIM(tblDados[Mandante]),0)),INDEX(tblDados[Liga],MATCH($A603,TRIM(tblDados[Visitante]),0))),IFERROR(SUMIFS(Ligas!$D$2:$D$39,Ligas!$H$2:$H$39,_xlpm.p,Ligas!$I$2:$I$39,_xlpm.l),0)))</f>
        <v/>
      </c>
      <c r="J603" s="16" t="str" cm="1">
        <f t="array" ref="J603">IF($A603="","",IFERROR((SUMPRODUCT((TRIM(tblDados[Mandante])=$A603)*tblDados[Primeira_Ocorrencia]*(tblDados[GM_M]=0))+SUMPRODUCT((TRIM(tblDados[Visitante])=$A603)*tblDados[Primeira_Ocorrencia]*(tblDados[GM_V]=0)))/G603,0))</f>
        <v/>
      </c>
      <c r="K603" s="16" t="str" cm="1">
        <f t="array" ref="K603">IF($A603="","",IFERROR((SUMPRODUCT((TRIM(tblDados[Mandante])=$A603)*tblDados[Primeira_Ocorrencia]*((tblDados[GM_M]+tblDados[GS_M])&gt;0.5))+SUMPRODUCT((TRIM(tblDados[Visitante])=$A603)*tblDados[Primeira_Ocorrencia]*((tblDados[GM_V]+tblDados[GS_V])&gt;0.5)))/G603,0))</f>
        <v/>
      </c>
      <c r="L603" s="16" t="str" cm="1">
        <f t="array" ref="L603">IF($A603="","",IFERROR((SUMPRODUCT((TRIM(tblDados[Mandante])=$A603)*tblDados[Primeira_Ocorrencia]*((tblDados[GM_M]+tblDados[GS_M])&gt;1.5))+SUMPRODUCT((TRIM(tblDados[Visitante])=$A603)*tblDados[Primeira_Ocorrencia]*((tblDados[GM_V]+tblDados[GS_V])&gt;1.5)))/G603,0))</f>
        <v/>
      </c>
      <c r="M603" s="16" t="str" cm="1">
        <f t="array" ref="M603">IF($A603="","",IFERROR((SUMPRODUCT((TRIM(tblDados[Mandante])=$A603)*tblDados[Primeira_Ocorrencia]*((tblDados[GM_M]+tblDados[GS_M])&gt;2.5))+SUMPRODUCT((TRIM(tblDados[Visitante])=$A603)*tblDados[Primeira_Ocorrencia]*((tblDados[GM_V]+tblDados[GS_V])&gt;2.5)))/G603,0))</f>
        <v/>
      </c>
      <c r="N603" s="16" t="str" cm="1">
        <f t="array" ref="N603">IF($A603="","",IFERROR((SUMPRODUCT((TRIM(tblDados[Mandante])=$A603)*tblDados[Primeira_Ocorrencia]*((tblDados[GM_M]+tblDados[GS_M])&gt;3.5))+SUMPRODUCT((TRIM(tblDados[Visitante])=$A603)*tblDados[Primeira_Ocorrencia]*((tblDados[GM_V]+tblDados[GS_V])&gt;3.5)))/G603,0))</f>
        <v/>
      </c>
      <c r="O603" s="16" t="str" cm="1">
        <f t="array" ref="O603">IF($A603="","",IFERROR((SUMPRODUCT((TRIM(tblDados[Mandante])=$A603)*tblDados[Primeira_Ocorrencia]*(tblDados[GM_M]&gt;0)*(tblDados[GS_M]&gt;0))+SUMPRODUCT((TRIM(tblDados[Visitante])=$A603)*tblDados[Primeira_Ocorrencia]*(tblDados[GM_V]&gt;0)*(tblDados[GS_V]&gt;0)))/G603,0))</f>
        <v/>
      </c>
      <c r="P603" s="14" t="str" cm="1">
        <f t="array" ref="P603">IF($A603="","",IFERROR((SUMPRODUCT((TRIM(tblDados[Mandante])=$A603)*tblDados[Primeira_Ocorrencia]*tblDados[GM_M]^2)+SUMPRODUCT((TRIM(tblDados[Visitante])=$A603)*tblDados[Primeira_Ocorrencia]*tblDados[GM_V]^2))/G603-H603^2,0))</f>
        <v/>
      </c>
      <c r="Q603" s="14" t="str">
        <f t="shared" si="174"/>
        <v/>
      </c>
      <c r="R603" s="1" t="str">
        <f t="shared" si="175"/>
        <v/>
      </c>
      <c r="S603" s="14" t="str" cm="1">
        <f t="array" ref="S603">IF($A603="","",SUMPRODUCT((TRIM(tblDados[Mandante])=$A603)*tblDados[Primeira_Ocorrencia]*tblDados[GM_M]))</f>
        <v/>
      </c>
      <c r="T603" s="14" t="str" cm="1">
        <f t="array" ref="T603">IF($A603="","",SUMPRODUCT((TRIM(tblDados[Visitante])=$A603)*tblDados[Primeira_Ocorrencia]*tblDados[GM_V]))</f>
        <v/>
      </c>
      <c r="U603" s="14" t="str">
        <f t="shared" si="176"/>
        <v/>
      </c>
      <c r="V603" s="14" t="str">
        <f t="shared" si="165"/>
        <v/>
      </c>
      <c r="W603" s="14" t="str" cm="1">
        <f t="array" ref="W603">IF($A603="","",SUMPRODUCT((TRIM(tblDados[Mandante])=$A603)*tblDados[Primeira_Ocorrencia]*tblDados[GS_M]))</f>
        <v/>
      </c>
      <c r="X603" s="14" t="str" cm="1">
        <f t="array" ref="X603">IF($A603="","",SUMPRODUCT((TRIM(tblDados[Visitante])=$A603)*tblDados[Primeira_Ocorrencia]*tblDados[GS_V]))</f>
        <v/>
      </c>
      <c r="Y603" s="14" t="str">
        <f t="shared" si="177"/>
        <v/>
      </c>
      <c r="Z603" s="14" t="str">
        <f t="shared" si="166"/>
        <v/>
      </c>
      <c r="AA603" s="14" t="str">
        <f t="shared" si="167"/>
        <v/>
      </c>
      <c r="AB603" s="14" t="str">
        <f t="shared" si="168"/>
        <v/>
      </c>
      <c r="AC603" s="14" t="str">
        <f t="shared" si="169"/>
        <v/>
      </c>
      <c r="AD603" s="14" t="str">
        <f t="shared" si="170"/>
        <v/>
      </c>
    </row>
    <row r="604" spans="2:30" x14ac:dyDescent="0.3">
      <c r="B604" s="13" t="str" cm="1">
        <f t="array" ref="B604">IF($A604="","",_xlfn.LET(_xlpm.p,IFERROR(INDEX(tblDados[País],MATCH($A604,TRIM(tblDados[Mandante]),0)),INDEX(tblDados[País],MATCH($A604,TRIM(tblDados[Visitante]),0))),_xlpm.l,IFERROR(INDEX(tblDados[Liga],MATCH($A604,TRIM(tblDados[Mandante]),0)),INDEX(tblDados[Liga],MATCH($A604,TRIM(tblDados[Visitante]),0))),_xlpm.p&amp;" - "&amp;_xlpm.l))</f>
        <v/>
      </c>
      <c r="C604" s="14" t="str">
        <f t="shared" si="171"/>
        <v/>
      </c>
      <c r="D604" s="14" t="str">
        <f t="shared" si="172"/>
        <v/>
      </c>
      <c r="E604" s="15" t="str" cm="1">
        <f t="array" ref="E604">IF($A604="","",SUMPRODUCT((TRIM(tblDados[Mandante])=$A604)*tblDados[Primeira_Ocorrencia]))</f>
        <v/>
      </c>
      <c r="F604" s="15" t="str" cm="1">
        <f t="array" ref="F604">IF($A604="","",SUMPRODUCT((TRIM(tblDados[Visitante])=$A604)*tblDados[Primeira_Ocorrencia]))</f>
        <v/>
      </c>
      <c r="G604" s="15" t="str" cm="1">
        <f t="array" ref="G604">IF($A604="","",SUMPRODUCT((TRIM(tblDados[Mandante])=$A604)*tblDados[Primeira_Ocorrencia])+SUMPRODUCT((TRIM(tblDados[Visitante])=$A604)*tblDados[Primeira_Ocorrencia]))</f>
        <v/>
      </c>
      <c r="H604" s="14" t="str">
        <f t="shared" si="173"/>
        <v/>
      </c>
      <c r="I604" s="14" t="str" cm="1">
        <f t="array" ref="I604">IF($A604="","",_xlfn.LET(_xlpm.p,IFERROR(INDEX(tblDados[País],MATCH($A604,TRIM(tblDados[Mandante]),0)),INDEX(tblDados[País],MATCH($A604,TRIM(tblDados[Visitante]),0))),_xlpm.l,IFERROR(INDEX(tblDados[Liga],MATCH($A604,TRIM(tblDados[Mandante]),0)),INDEX(tblDados[Liga],MATCH($A604,TRIM(tblDados[Visitante]),0))),IFERROR(SUMIFS(Ligas!$D$2:$D$39,Ligas!$H$2:$H$39,_xlpm.p,Ligas!$I$2:$I$39,_xlpm.l),0)))</f>
        <v/>
      </c>
      <c r="J604" s="16" t="str" cm="1">
        <f t="array" ref="J604">IF($A604="","",IFERROR((SUMPRODUCT((TRIM(tblDados[Mandante])=$A604)*tblDados[Primeira_Ocorrencia]*(tblDados[GM_M]=0))+SUMPRODUCT((TRIM(tblDados[Visitante])=$A604)*tblDados[Primeira_Ocorrencia]*(tblDados[GM_V]=0)))/G604,0))</f>
        <v/>
      </c>
      <c r="K604" s="16" t="str" cm="1">
        <f t="array" ref="K604">IF($A604="","",IFERROR((SUMPRODUCT((TRIM(tblDados[Mandante])=$A604)*tblDados[Primeira_Ocorrencia]*((tblDados[GM_M]+tblDados[GS_M])&gt;0.5))+SUMPRODUCT((TRIM(tblDados[Visitante])=$A604)*tblDados[Primeira_Ocorrencia]*((tblDados[GM_V]+tblDados[GS_V])&gt;0.5)))/G604,0))</f>
        <v/>
      </c>
      <c r="L604" s="16" t="str" cm="1">
        <f t="array" ref="L604">IF($A604="","",IFERROR((SUMPRODUCT((TRIM(tblDados[Mandante])=$A604)*tblDados[Primeira_Ocorrencia]*((tblDados[GM_M]+tblDados[GS_M])&gt;1.5))+SUMPRODUCT((TRIM(tblDados[Visitante])=$A604)*tblDados[Primeira_Ocorrencia]*((tblDados[GM_V]+tblDados[GS_V])&gt;1.5)))/G604,0))</f>
        <v/>
      </c>
      <c r="M604" s="16" t="str" cm="1">
        <f t="array" ref="M604">IF($A604="","",IFERROR((SUMPRODUCT((TRIM(tblDados[Mandante])=$A604)*tblDados[Primeira_Ocorrencia]*((tblDados[GM_M]+tblDados[GS_M])&gt;2.5))+SUMPRODUCT((TRIM(tblDados[Visitante])=$A604)*tblDados[Primeira_Ocorrencia]*((tblDados[GM_V]+tblDados[GS_V])&gt;2.5)))/G604,0))</f>
        <v/>
      </c>
      <c r="N604" s="16" t="str" cm="1">
        <f t="array" ref="N604">IF($A604="","",IFERROR((SUMPRODUCT((TRIM(tblDados[Mandante])=$A604)*tblDados[Primeira_Ocorrencia]*((tblDados[GM_M]+tblDados[GS_M])&gt;3.5))+SUMPRODUCT((TRIM(tblDados[Visitante])=$A604)*tblDados[Primeira_Ocorrencia]*((tblDados[GM_V]+tblDados[GS_V])&gt;3.5)))/G604,0))</f>
        <v/>
      </c>
      <c r="O604" s="16" t="str" cm="1">
        <f t="array" ref="O604">IF($A604="","",IFERROR((SUMPRODUCT((TRIM(tblDados[Mandante])=$A604)*tblDados[Primeira_Ocorrencia]*(tblDados[GM_M]&gt;0)*(tblDados[GS_M]&gt;0))+SUMPRODUCT((TRIM(tblDados[Visitante])=$A604)*tblDados[Primeira_Ocorrencia]*(tblDados[GM_V]&gt;0)*(tblDados[GS_V]&gt;0)))/G604,0))</f>
        <v/>
      </c>
      <c r="P604" s="14" t="str" cm="1">
        <f t="array" ref="P604">IF($A604="","",IFERROR((SUMPRODUCT((TRIM(tblDados[Mandante])=$A604)*tblDados[Primeira_Ocorrencia]*tblDados[GM_M]^2)+SUMPRODUCT((TRIM(tblDados[Visitante])=$A604)*tblDados[Primeira_Ocorrencia]*tblDados[GM_V]^2))/G604-H604^2,0))</f>
        <v/>
      </c>
      <c r="Q604" s="14" t="str">
        <f t="shared" si="174"/>
        <v/>
      </c>
      <c r="R604" s="1" t="str">
        <f t="shared" si="175"/>
        <v/>
      </c>
      <c r="S604" s="14" t="str" cm="1">
        <f t="array" ref="S604">IF($A604="","",SUMPRODUCT((TRIM(tblDados[Mandante])=$A604)*tblDados[Primeira_Ocorrencia]*tblDados[GM_M]))</f>
        <v/>
      </c>
      <c r="T604" s="14" t="str" cm="1">
        <f t="array" ref="T604">IF($A604="","",SUMPRODUCT((TRIM(tblDados[Visitante])=$A604)*tblDados[Primeira_Ocorrencia]*tblDados[GM_V]))</f>
        <v/>
      </c>
      <c r="U604" s="14" t="str">
        <f t="shared" si="176"/>
        <v/>
      </c>
      <c r="V604" s="14" t="str">
        <f t="shared" si="165"/>
        <v/>
      </c>
      <c r="W604" s="14" t="str" cm="1">
        <f t="array" ref="W604">IF($A604="","",SUMPRODUCT((TRIM(tblDados[Mandante])=$A604)*tblDados[Primeira_Ocorrencia]*tblDados[GS_M]))</f>
        <v/>
      </c>
      <c r="X604" s="14" t="str" cm="1">
        <f t="array" ref="X604">IF($A604="","",SUMPRODUCT((TRIM(tblDados[Visitante])=$A604)*tblDados[Primeira_Ocorrencia]*tblDados[GS_V]))</f>
        <v/>
      </c>
      <c r="Y604" s="14" t="str">
        <f t="shared" si="177"/>
        <v/>
      </c>
      <c r="Z604" s="14" t="str">
        <f t="shared" si="166"/>
        <v/>
      </c>
      <c r="AA604" s="14" t="str">
        <f t="shared" si="167"/>
        <v/>
      </c>
      <c r="AB604" s="14" t="str">
        <f t="shared" si="168"/>
        <v/>
      </c>
      <c r="AC604" s="14" t="str">
        <f t="shared" si="169"/>
        <v/>
      </c>
      <c r="AD604" s="14" t="str">
        <f t="shared" si="170"/>
        <v/>
      </c>
    </row>
    <row r="605" spans="2:30" x14ac:dyDescent="0.3">
      <c r="B605" s="13" t="str" cm="1">
        <f t="array" ref="B605">IF($A605="","",_xlfn.LET(_xlpm.p,IFERROR(INDEX(tblDados[País],MATCH($A605,TRIM(tblDados[Mandante]),0)),INDEX(tblDados[País],MATCH($A605,TRIM(tblDados[Visitante]),0))),_xlpm.l,IFERROR(INDEX(tblDados[Liga],MATCH($A605,TRIM(tblDados[Mandante]),0)),INDEX(tblDados[Liga],MATCH($A605,TRIM(tblDados[Visitante]),0))),_xlpm.p&amp;" - "&amp;_xlpm.l))</f>
        <v/>
      </c>
      <c r="C605" s="14" t="str">
        <f t="shared" si="171"/>
        <v/>
      </c>
      <c r="D605" s="14" t="str">
        <f t="shared" si="172"/>
        <v/>
      </c>
      <c r="E605" s="15" t="str" cm="1">
        <f t="array" ref="E605">IF($A605="","",SUMPRODUCT((TRIM(tblDados[Mandante])=$A605)*tblDados[Primeira_Ocorrencia]))</f>
        <v/>
      </c>
      <c r="F605" s="15" t="str" cm="1">
        <f t="array" ref="F605">IF($A605="","",SUMPRODUCT((TRIM(tblDados[Visitante])=$A605)*tblDados[Primeira_Ocorrencia]))</f>
        <v/>
      </c>
      <c r="G605" s="15" t="str" cm="1">
        <f t="array" ref="G605">IF($A605="","",SUMPRODUCT((TRIM(tblDados[Mandante])=$A605)*tblDados[Primeira_Ocorrencia])+SUMPRODUCT((TRIM(tblDados[Visitante])=$A605)*tblDados[Primeira_Ocorrencia]))</f>
        <v/>
      </c>
      <c r="H605" s="14" t="str">
        <f t="shared" si="173"/>
        <v/>
      </c>
      <c r="I605" s="14" t="str" cm="1">
        <f t="array" ref="I605">IF($A605="","",_xlfn.LET(_xlpm.p,IFERROR(INDEX(tblDados[País],MATCH($A605,TRIM(tblDados[Mandante]),0)),INDEX(tblDados[País],MATCH($A605,TRIM(tblDados[Visitante]),0))),_xlpm.l,IFERROR(INDEX(tblDados[Liga],MATCH($A605,TRIM(tblDados[Mandante]),0)),INDEX(tblDados[Liga],MATCH($A605,TRIM(tblDados[Visitante]),0))),IFERROR(SUMIFS(Ligas!$D$2:$D$39,Ligas!$H$2:$H$39,_xlpm.p,Ligas!$I$2:$I$39,_xlpm.l),0)))</f>
        <v/>
      </c>
      <c r="J605" s="16" t="str" cm="1">
        <f t="array" ref="J605">IF($A605="","",IFERROR((SUMPRODUCT((TRIM(tblDados[Mandante])=$A605)*tblDados[Primeira_Ocorrencia]*(tblDados[GM_M]=0))+SUMPRODUCT((TRIM(tblDados[Visitante])=$A605)*tblDados[Primeira_Ocorrencia]*(tblDados[GM_V]=0)))/G605,0))</f>
        <v/>
      </c>
      <c r="K605" s="16" t="str" cm="1">
        <f t="array" ref="K605">IF($A605="","",IFERROR((SUMPRODUCT((TRIM(tblDados[Mandante])=$A605)*tblDados[Primeira_Ocorrencia]*((tblDados[GM_M]+tblDados[GS_M])&gt;0.5))+SUMPRODUCT((TRIM(tblDados[Visitante])=$A605)*tblDados[Primeira_Ocorrencia]*((tblDados[GM_V]+tblDados[GS_V])&gt;0.5)))/G605,0))</f>
        <v/>
      </c>
      <c r="L605" s="16" t="str" cm="1">
        <f t="array" ref="L605">IF($A605="","",IFERROR((SUMPRODUCT((TRIM(tblDados[Mandante])=$A605)*tblDados[Primeira_Ocorrencia]*((tblDados[GM_M]+tblDados[GS_M])&gt;1.5))+SUMPRODUCT((TRIM(tblDados[Visitante])=$A605)*tblDados[Primeira_Ocorrencia]*((tblDados[GM_V]+tblDados[GS_V])&gt;1.5)))/G605,0))</f>
        <v/>
      </c>
      <c r="M605" s="16" t="str" cm="1">
        <f t="array" ref="M605">IF($A605="","",IFERROR((SUMPRODUCT((TRIM(tblDados[Mandante])=$A605)*tblDados[Primeira_Ocorrencia]*((tblDados[GM_M]+tblDados[GS_M])&gt;2.5))+SUMPRODUCT((TRIM(tblDados[Visitante])=$A605)*tblDados[Primeira_Ocorrencia]*((tblDados[GM_V]+tblDados[GS_V])&gt;2.5)))/G605,0))</f>
        <v/>
      </c>
      <c r="N605" s="16" t="str" cm="1">
        <f t="array" ref="N605">IF($A605="","",IFERROR((SUMPRODUCT((TRIM(tblDados[Mandante])=$A605)*tblDados[Primeira_Ocorrencia]*((tblDados[GM_M]+tblDados[GS_M])&gt;3.5))+SUMPRODUCT((TRIM(tblDados[Visitante])=$A605)*tblDados[Primeira_Ocorrencia]*((tblDados[GM_V]+tblDados[GS_V])&gt;3.5)))/G605,0))</f>
        <v/>
      </c>
      <c r="O605" s="16" t="str" cm="1">
        <f t="array" ref="O605">IF($A605="","",IFERROR((SUMPRODUCT((TRIM(tblDados[Mandante])=$A605)*tblDados[Primeira_Ocorrencia]*(tblDados[GM_M]&gt;0)*(tblDados[GS_M]&gt;0))+SUMPRODUCT((TRIM(tblDados[Visitante])=$A605)*tblDados[Primeira_Ocorrencia]*(tblDados[GM_V]&gt;0)*(tblDados[GS_V]&gt;0)))/G605,0))</f>
        <v/>
      </c>
      <c r="P605" s="14" t="str" cm="1">
        <f t="array" ref="P605">IF($A605="","",IFERROR((SUMPRODUCT((TRIM(tblDados[Mandante])=$A605)*tblDados[Primeira_Ocorrencia]*tblDados[GM_M]^2)+SUMPRODUCT((TRIM(tblDados[Visitante])=$A605)*tblDados[Primeira_Ocorrencia]*tblDados[GM_V]^2))/G605-H605^2,0))</f>
        <v/>
      </c>
      <c r="Q605" s="14" t="str">
        <f t="shared" si="174"/>
        <v/>
      </c>
      <c r="R605" s="1" t="str">
        <f t="shared" si="175"/>
        <v/>
      </c>
      <c r="S605" s="14" t="str" cm="1">
        <f t="array" ref="S605">IF($A605="","",SUMPRODUCT((TRIM(tblDados[Mandante])=$A605)*tblDados[Primeira_Ocorrencia]*tblDados[GM_M]))</f>
        <v/>
      </c>
      <c r="T605" s="14" t="str" cm="1">
        <f t="array" ref="T605">IF($A605="","",SUMPRODUCT((TRIM(tblDados[Visitante])=$A605)*tblDados[Primeira_Ocorrencia]*tblDados[GM_V]))</f>
        <v/>
      </c>
      <c r="U605" s="14" t="str">
        <f t="shared" si="176"/>
        <v/>
      </c>
      <c r="V605" s="14" t="str">
        <f t="shared" si="165"/>
        <v/>
      </c>
      <c r="W605" s="14" t="str" cm="1">
        <f t="array" ref="W605">IF($A605="","",SUMPRODUCT((TRIM(tblDados[Mandante])=$A605)*tblDados[Primeira_Ocorrencia]*tblDados[GS_M]))</f>
        <v/>
      </c>
      <c r="X605" s="14" t="str" cm="1">
        <f t="array" ref="X605">IF($A605="","",SUMPRODUCT((TRIM(tblDados[Visitante])=$A605)*tblDados[Primeira_Ocorrencia]*tblDados[GS_V]))</f>
        <v/>
      </c>
      <c r="Y605" s="14" t="str">
        <f t="shared" si="177"/>
        <v/>
      </c>
      <c r="Z605" s="14" t="str">
        <f t="shared" si="166"/>
        <v/>
      </c>
      <c r="AA605" s="14" t="str">
        <f t="shared" si="167"/>
        <v/>
      </c>
      <c r="AB605" s="14" t="str">
        <f t="shared" si="168"/>
        <v/>
      </c>
      <c r="AC605" s="14" t="str">
        <f t="shared" si="169"/>
        <v/>
      </c>
      <c r="AD605" s="14" t="str">
        <f t="shared" si="170"/>
        <v/>
      </c>
    </row>
    <row r="606" spans="2:30" x14ac:dyDescent="0.3">
      <c r="B606" s="13" t="str" cm="1">
        <f t="array" ref="B606">IF($A606="","",_xlfn.LET(_xlpm.p,IFERROR(INDEX(tblDados[País],MATCH($A606,TRIM(tblDados[Mandante]),0)),INDEX(tblDados[País],MATCH($A606,TRIM(tblDados[Visitante]),0))),_xlpm.l,IFERROR(INDEX(tblDados[Liga],MATCH($A606,TRIM(tblDados[Mandante]),0)),INDEX(tblDados[Liga],MATCH($A606,TRIM(tblDados[Visitante]),0))),_xlpm.p&amp;" - "&amp;_xlpm.l))</f>
        <v/>
      </c>
      <c r="C606" s="14" t="str">
        <f t="shared" si="171"/>
        <v/>
      </c>
      <c r="D606" s="14" t="str">
        <f t="shared" si="172"/>
        <v/>
      </c>
      <c r="E606" s="15" t="str" cm="1">
        <f t="array" ref="E606">IF($A606="","",SUMPRODUCT((TRIM(tblDados[Mandante])=$A606)*tblDados[Primeira_Ocorrencia]))</f>
        <v/>
      </c>
      <c r="F606" s="15" t="str" cm="1">
        <f t="array" ref="F606">IF($A606="","",SUMPRODUCT((TRIM(tblDados[Visitante])=$A606)*tblDados[Primeira_Ocorrencia]))</f>
        <v/>
      </c>
      <c r="G606" s="15" t="str" cm="1">
        <f t="array" ref="G606">IF($A606="","",SUMPRODUCT((TRIM(tblDados[Mandante])=$A606)*tblDados[Primeira_Ocorrencia])+SUMPRODUCT((TRIM(tblDados[Visitante])=$A606)*tblDados[Primeira_Ocorrencia]))</f>
        <v/>
      </c>
      <c r="H606" s="14" t="str">
        <f t="shared" si="173"/>
        <v/>
      </c>
      <c r="I606" s="14" t="str" cm="1">
        <f t="array" ref="I606">IF($A606="","",_xlfn.LET(_xlpm.p,IFERROR(INDEX(tblDados[País],MATCH($A606,TRIM(tblDados[Mandante]),0)),INDEX(tblDados[País],MATCH($A606,TRIM(tblDados[Visitante]),0))),_xlpm.l,IFERROR(INDEX(tblDados[Liga],MATCH($A606,TRIM(tblDados[Mandante]),0)),INDEX(tblDados[Liga],MATCH($A606,TRIM(tblDados[Visitante]),0))),IFERROR(SUMIFS(Ligas!$D$2:$D$39,Ligas!$H$2:$H$39,_xlpm.p,Ligas!$I$2:$I$39,_xlpm.l),0)))</f>
        <v/>
      </c>
      <c r="J606" s="16" t="str" cm="1">
        <f t="array" ref="J606">IF($A606="","",IFERROR((SUMPRODUCT((TRIM(tblDados[Mandante])=$A606)*tblDados[Primeira_Ocorrencia]*(tblDados[GM_M]=0))+SUMPRODUCT((TRIM(tblDados[Visitante])=$A606)*tblDados[Primeira_Ocorrencia]*(tblDados[GM_V]=0)))/G606,0))</f>
        <v/>
      </c>
      <c r="K606" s="16" t="str" cm="1">
        <f t="array" ref="K606">IF($A606="","",IFERROR((SUMPRODUCT((TRIM(tblDados[Mandante])=$A606)*tblDados[Primeira_Ocorrencia]*((tblDados[GM_M]+tblDados[GS_M])&gt;0.5))+SUMPRODUCT((TRIM(tblDados[Visitante])=$A606)*tblDados[Primeira_Ocorrencia]*((tblDados[GM_V]+tblDados[GS_V])&gt;0.5)))/G606,0))</f>
        <v/>
      </c>
      <c r="L606" s="16" t="str" cm="1">
        <f t="array" ref="L606">IF($A606="","",IFERROR((SUMPRODUCT((TRIM(tblDados[Mandante])=$A606)*tblDados[Primeira_Ocorrencia]*((tblDados[GM_M]+tblDados[GS_M])&gt;1.5))+SUMPRODUCT((TRIM(tblDados[Visitante])=$A606)*tblDados[Primeira_Ocorrencia]*((tblDados[GM_V]+tblDados[GS_V])&gt;1.5)))/G606,0))</f>
        <v/>
      </c>
      <c r="M606" s="16" t="str" cm="1">
        <f t="array" ref="M606">IF($A606="","",IFERROR((SUMPRODUCT((TRIM(tblDados[Mandante])=$A606)*tblDados[Primeira_Ocorrencia]*((tblDados[GM_M]+tblDados[GS_M])&gt;2.5))+SUMPRODUCT((TRIM(tblDados[Visitante])=$A606)*tblDados[Primeira_Ocorrencia]*((tblDados[GM_V]+tblDados[GS_V])&gt;2.5)))/G606,0))</f>
        <v/>
      </c>
      <c r="N606" s="16" t="str" cm="1">
        <f t="array" ref="N606">IF($A606="","",IFERROR((SUMPRODUCT((TRIM(tblDados[Mandante])=$A606)*tblDados[Primeira_Ocorrencia]*((tblDados[GM_M]+tblDados[GS_M])&gt;3.5))+SUMPRODUCT((TRIM(tblDados[Visitante])=$A606)*tblDados[Primeira_Ocorrencia]*((tblDados[GM_V]+tblDados[GS_V])&gt;3.5)))/G606,0))</f>
        <v/>
      </c>
      <c r="O606" s="16" t="str" cm="1">
        <f t="array" ref="O606">IF($A606="","",IFERROR((SUMPRODUCT((TRIM(tblDados[Mandante])=$A606)*tblDados[Primeira_Ocorrencia]*(tblDados[GM_M]&gt;0)*(tblDados[GS_M]&gt;0))+SUMPRODUCT((TRIM(tblDados[Visitante])=$A606)*tblDados[Primeira_Ocorrencia]*(tblDados[GM_V]&gt;0)*(tblDados[GS_V]&gt;0)))/G606,0))</f>
        <v/>
      </c>
      <c r="P606" s="14" t="str" cm="1">
        <f t="array" ref="P606">IF($A606="","",IFERROR((SUMPRODUCT((TRIM(tblDados[Mandante])=$A606)*tblDados[Primeira_Ocorrencia]*tblDados[GM_M]^2)+SUMPRODUCT((TRIM(tblDados[Visitante])=$A606)*tblDados[Primeira_Ocorrencia]*tblDados[GM_V]^2))/G606-H606^2,0))</f>
        <v/>
      </c>
      <c r="Q606" s="14" t="str">
        <f t="shared" si="174"/>
        <v/>
      </c>
      <c r="R606" s="1" t="str">
        <f t="shared" si="175"/>
        <v/>
      </c>
      <c r="S606" s="14" t="str" cm="1">
        <f t="array" ref="S606">IF($A606="","",SUMPRODUCT((TRIM(tblDados[Mandante])=$A606)*tblDados[Primeira_Ocorrencia]*tblDados[GM_M]))</f>
        <v/>
      </c>
      <c r="T606" s="14" t="str" cm="1">
        <f t="array" ref="T606">IF($A606="","",SUMPRODUCT((TRIM(tblDados[Visitante])=$A606)*tblDados[Primeira_Ocorrencia]*tblDados[GM_V]))</f>
        <v/>
      </c>
      <c r="U606" s="14" t="str">
        <f t="shared" si="176"/>
        <v/>
      </c>
      <c r="V606" s="14" t="str">
        <f t="shared" si="165"/>
        <v/>
      </c>
      <c r="W606" s="14" t="str" cm="1">
        <f t="array" ref="W606">IF($A606="","",SUMPRODUCT((TRIM(tblDados[Mandante])=$A606)*tblDados[Primeira_Ocorrencia]*tblDados[GS_M]))</f>
        <v/>
      </c>
      <c r="X606" s="14" t="str" cm="1">
        <f t="array" ref="X606">IF($A606="","",SUMPRODUCT((TRIM(tblDados[Visitante])=$A606)*tblDados[Primeira_Ocorrencia]*tblDados[GS_V]))</f>
        <v/>
      </c>
      <c r="Y606" s="14" t="str">
        <f t="shared" si="177"/>
        <v/>
      </c>
      <c r="Z606" s="14" t="str">
        <f t="shared" si="166"/>
        <v/>
      </c>
      <c r="AA606" s="14" t="str">
        <f t="shared" si="167"/>
        <v/>
      </c>
      <c r="AB606" s="14" t="str">
        <f t="shared" si="168"/>
        <v/>
      </c>
      <c r="AC606" s="14" t="str">
        <f t="shared" si="169"/>
        <v/>
      </c>
      <c r="AD606" s="14" t="str">
        <f t="shared" si="170"/>
        <v/>
      </c>
    </row>
    <row r="607" spans="2:30" x14ac:dyDescent="0.3">
      <c r="B607" s="13" t="str" cm="1">
        <f t="array" ref="B607">IF($A607="","",_xlfn.LET(_xlpm.p,IFERROR(INDEX(tblDados[País],MATCH($A607,TRIM(tblDados[Mandante]),0)),INDEX(tblDados[País],MATCH($A607,TRIM(tblDados[Visitante]),0))),_xlpm.l,IFERROR(INDEX(tblDados[Liga],MATCH($A607,TRIM(tblDados[Mandante]),0)),INDEX(tblDados[Liga],MATCH($A607,TRIM(tblDados[Visitante]),0))),_xlpm.p&amp;" - "&amp;_xlpm.l))</f>
        <v/>
      </c>
      <c r="C607" s="14" t="str">
        <f t="shared" si="171"/>
        <v/>
      </c>
      <c r="D607" s="14" t="str">
        <f t="shared" si="172"/>
        <v/>
      </c>
      <c r="E607" s="15" t="str" cm="1">
        <f t="array" ref="E607">IF($A607="","",SUMPRODUCT((TRIM(tblDados[Mandante])=$A607)*tblDados[Primeira_Ocorrencia]))</f>
        <v/>
      </c>
      <c r="F607" s="15" t="str" cm="1">
        <f t="array" ref="F607">IF($A607="","",SUMPRODUCT((TRIM(tblDados[Visitante])=$A607)*tblDados[Primeira_Ocorrencia]))</f>
        <v/>
      </c>
      <c r="G607" s="15" t="str" cm="1">
        <f t="array" ref="G607">IF($A607="","",SUMPRODUCT((TRIM(tblDados[Mandante])=$A607)*tblDados[Primeira_Ocorrencia])+SUMPRODUCT((TRIM(tblDados[Visitante])=$A607)*tblDados[Primeira_Ocorrencia]))</f>
        <v/>
      </c>
      <c r="H607" s="14" t="str">
        <f t="shared" si="173"/>
        <v/>
      </c>
      <c r="I607" s="14" t="str" cm="1">
        <f t="array" ref="I607">IF($A607="","",_xlfn.LET(_xlpm.p,IFERROR(INDEX(tblDados[País],MATCH($A607,TRIM(tblDados[Mandante]),0)),INDEX(tblDados[País],MATCH($A607,TRIM(tblDados[Visitante]),0))),_xlpm.l,IFERROR(INDEX(tblDados[Liga],MATCH($A607,TRIM(tblDados[Mandante]),0)),INDEX(tblDados[Liga],MATCH($A607,TRIM(tblDados[Visitante]),0))),IFERROR(SUMIFS(Ligas!$D$2:$D$39,Ligas!$H$2:$H$39,_xlpm.p,Ligas!$I$2:$I$39,_xlpm.l),0)))</f>
        <v/>
      </c>
      <c r="J607" s="16" t="str" cm="1">
        <f t="array" ref="J607">IF($A607="","",IFERROR((SUMPRODUCT((TRIM(tblDados[Mandante])=$A607)*tblDados[Primeira_Ocorrencia]*(tblDados[GM_M]=0))+SUMPRODUCT((TRIM(tblDados[Visitante])=$A607)*tblDados[Primeira_Ocorrencia]*(tblDados[GM_V]=0)))/G607,0))</f>
        <v/>
      </c>
      <c r="K607" s="16" t="str" cm="1">
        <f t="array" ref="K607">IF($A607="","",IFERROR((SUMPRODUCT((TRIM(tblDados[Mandante])=$A607)*tblDados[Primeira_Ocorrencia]*((tblDados[GM_M]+tblDados[GS_M])&gt;0.5))+SUMPRODUCT((TRIM(tblDados[Visitante])=$A607)*tblDados[Primeira_Ocorrencia]*((tblDados[GM_V]+tblDados[GS_V])&gt;0.5)))/G607,0))</f>
        <v/>
      </c>
      <c r="L607" s="16" t="str" cm="1">
        <f t="array" ref="L607">IF($A607="","",IFERROR((SUMPRODUCT((TRIM(tblDados[Mandante])=$A607)*tblDados[Primeira_Ocorrencia]*((tblDados[GM_M]+tblDados[GS_M])&gt;1.5))+SUMPRODUCT((TRIM(tblDados[Visitante])=$A607)*tblDados[Primeira_Ocorrencia]*((tblDados[GM_V]+tblDados[GS_V])&gt;1.5)))/G607,0))</f>
        <v/>
      </c>
      <c r="M607" s="16" t="str" cm="1">
        <f t="array" ref="M607">IF($A607="","",IFERROR((SUMPRODUCT((TRIM(tblDados[Mandante])=$A607)*tblDados[Primeira_Ocorrencia]*((tblDados[GM_M]+tblDados[GS_M])&gt;2.5))+SUMPRODUCT((TRIM(tblDados[Visitante])=$A607)*tblDados[Primeira_Ocorrencia]*((tblDados[GM_V]+tblDados[GS_V])&gt;2.5)))/G607,0))</f>
        <v/>
      </c>
      <c r="N607" s="16" t="str" cm="1">
        <f t="array" ref="N607">IF($A607="","",IFERROR((SUMPRODUCT((TRIM(tblDados[Mandante])=$A607)*tblDados[Primeira_Ocorrencia]*((tblDados[GM_M]+tblDados[GS_M])&gt;3.5))+SUMPRODUCT((TRIM(tblDados[Visitante])=$A607)*tblDados[Primeira_Ocorrencia]*((tblDados[GM_V]+tblDados[GS_V])&gt;3.5)))/G607,0))</f>
        <v/>
      </c>
      <c r="O607" s="16" t="str" cm="1">
        <f t="array" ref="O607">IF($A607="","",IFERROR((SUMPRODUCT((TRIM(tblDados[Mandante])=$A607)*tblDados[Primeira_Ocorrencia]*(tblDados[GM_M]&gt;0)*(tblDados[GS_M]&gt;0))+SUMPRODUCT((TRIM(tblDados[Visitante])=$A607)*tblDados[Primeira_Ocorrencia]*(tblDados[GM_V]&gt;0)*(tblDados[GS_V]&gt;0)))/G607,0))</f>
        <v/>
      </c>
      <c r="P607" s="14" t="str" cm="1">
        <f t="array" ref="P607">IF($A607="","",IFERROR((SUMPRODUCT((TRIM(tblDados[Mandante])=$A607)*tblDados[Primeira_Ocorrencia]*tblDados[GM_M]^2)+SUMPRODUCT((TRIM(tblDados[Visitante])=$A607)*tblDados[Primeira_Ocorrencia]*tblDados[GM_V]^2))/G607-H607^2,0))</f>
        <v/>
      </c>
      <c r="Q607" s="14" t="str">
        <f t="shared" si="174"/>
        <v/>
      </c>
      <c r="R607" s="1" t="str">
        <f t="shared" si="175"/>
        <v/>
      </c>
      <c r="S607" s="14" t="str" cm="1">
        <f t="array" ref="S607">IF($A607="","",SUMPRODUCT((TRIM(tblDados[Mandante])=$A607)*tblDados[Primeira_Ocorrencia]*tblDados[GM_M]))</f>
        <v/>
      </c>
      <c r="T607" s="14" t="str" cm="1">
        <f t="array" ref="T607">IF($A607="","",SUMPRODUCT((TRIM(tblDados[Visitante])=$A607)*tblDados[Primeira_Ocorrencia]*tblDados[GM_V]))</f>
        <v/>
      </c>
      <c r="U607" s="14" t="str">
        <f t="shared" si="176"/>
        <v/>
      </c>
      <c r="V607" s="14" t="str">
        <f t="shared" si="165"/>
        <v/>
      </c>
      <c r="W607" s="14" t="str" cm="1">
        <f t="array" ref="W607">IF($A607="","",SUMPRODUCT((TRIM(tblDados[Mandante])=$A607)*tblDados[Primeira_Ocorrencia]*tblDados[GS_M]))</f>
        <v/>
      </c>
      <c r="X607" s="14" t="str" cm="1">
        <f t="array" ref="X607">IF($A607="","",SUMPRODUCT((TRIM(tblDados[Visitante])=$A607)*tblDados[Primeira_Ocorrencia]*tblDados[GS_V]))</f>
        <v/>
      </c>
      <c r="Y607" s="14" t="str">
        <f t="shared" si="177"/>
        <v/>
      </c>
      <c r="Z607" s="14" t="str">
        <f t="shared" si="166"/>
        <v/>
      </c>
      <c r="AA607" s="14" t="str">
        <f t="shared" si="167"/>
        <v/>
      </c>
      <c r="AB607" s="14" t="str">
        <f t="shared" si="168"/>
        <v/>
      </c>
      <c r="AC607" s="14" t="str">
        <f t="shared" si="169"/>
        <v/>
      </c>
      <c r="AD607" s="14" t="str">
        <f t="shared" si="170"/>
        <v/>
      </c>
    </row>
    <row r="608" spans="2:30" x14ac:dyDescent="0.3">
      <c r="B608" s="13" t="str" cm="1">
        <f t="array" ref="B608">IF($A608="","",_xlfn.LET(_xlpm.p,IFERROR(INDEX(tblDados[País],MATCH($A608,TRIM(tblDados[Mandante]),0)),INDEX(tblDados[País],MATCH($A608,TRIM(tblDados[Visitante]),0))),_xlpm.l,IFERROR(INDEX(tblDados[Liga],MATCH($A608,TRIM(tblDados[Mandante]),0)),INDEX(tblDados[Liga],MATCH($A608,TRIM(tblDados[Visitante]),0))),_xlpm.p&amp;" - "&amp;_xlpm.l))</f>
        <v/>
      </c>
      <c r="C608" s="14" t="str">
        <f t="shared" si="171"/>
        <v/>
      </c>
      <c r="D608" s="14" t="str">
        <f t="shared" si="172"/>
        <v/>
      </c>
      <c r="E608" s="15" t="str" cm="1">
        <f t="array" ref="E608">IF($A608="","",SUMPRODUCT((TRIM(tblDados[Mandante])=$A608)*tblDados[Primeira_Ocorrencia]))</f>
        <v/>
      </c>
      <c r="F608" s="15" t="str" cm="1">
        <f t="array" ref="F608">IF($A608="","",SUMPRODUCT((TRIM(tblDados[Visitante])=$A608)*tblDados[Primeira_Ocorrencia]))</f>
        <v/>
      </c>
      <c r="G608" s="15" t="str" cm="1">
        <f t="array" ref="G608">IF($A608="","",SUMPRODUCT((TRIM(tblDados[Mandante])=$A608)*tblDados[Primeira_Ocorrencia])+SUMPRODUCT((TRIM(tblDados[Visitante])=$A608)*tblDados[Primeira_Ocorrencia]))</f>
        <v/>
      </c>
      <c r="H608" s="14" t="str">
        <f t="shared" si="173"/>
        <v/>
      </c>
      <c r="I608" s="14" t="str" cm="1">
        <f t="array" ref="I608">IF($A608="","",_xlfn.LET(_xlpm.p,IFERROR(INDEX(tblDados[País],MATCH($A608,TRIM(tblDados[Mandante]),0)),INDEX(tblDados[País],MATCH($A608,TRIM(tblDados[Visitante]),0))),_xlpm.l,IFERROR(INDEX(tblDados[Liga],MATCH($A608,TRIM(tblDados[Mandante]),0)),INDEX(tblDados[Liga],MATCH($A608,TRIM(tblDados[Visitante]),0))),IFERROR(SUMIFS(Ligas!$D$2:$D$39,Ligas!$H$2:$H$39,_xlpm.p,Ligas!$I$2:$I$39,_xlpm.l),0)))</f>
        <v/>
      </c>
      <c r="J608" s="16" t="str" cm="1">
        <f t="array" ref="J608">IF($A608="","",IFERROR((SUMPRODUCT((TRIM(tblDados[Mandante])=$A608)*tblDados[Primeira_Ocorrencia]*(tblDados[GM_M]=0))+SUMPRODUCT((TRIM(tblDados[Visitante])=$A608)*tblDados[Primeira_Ocorrencia]*(tblDados[GM_V]=0)))/G608,0))</f>
        <v/>
      </c>
      <c r="K608" s="16" t="str" cm="1">
        <f t="array" ref="K608">IF($A608="","",IFERROR((SUMPRODUCT((TRIM(tblDados[Mandante])=$A608)*tblDados[Primeira_Ocorrencia]*((tblDados[GM_M]+tblDados[GS_M])&gt;0.5))+SUMPRODUCT((TRIM(tblDados[Visitante])=$A608)*tblDados[Primeira_Ocorrencia]*((tblDados[GM_V]+tblDados[GS_V])&gt;0.5)))/G608,0))</f>
        <v/>
      </c>
      <c r="L608" s="16" t="str" cm="1">
        <f t="array" ref="L608">IF($A608="","",IFERROR((SUMPRODUCT((TRIM(tblDados[Mandante])=$A608)*tblDados[Primeira_Ocorrencia]*((tblDados[GM_M]+tblDados[GS_M])&gt;1.5))+SUMPRODUCT((TRIM(tblDados[Visitante])=$A608)*tblDados[Primeira_Ocorrencia]*((tblDados[GM_V]+tblDados[GS_V])&gt;1.5)))/G608,0))</f>
        <v/>
      </c>
      <c r="M608" s="16" t="str" cm="1">
        <f t="array" ref="M608">IF($A608="","",IFERROR((SUMPRODUCT((TRIM(tblDados[Mandante])=$A608)*tblDados[Primeira_Ocorrencia]*((tblDados[GM_M]+tblDados[GS_M])&gt;2.5))+SUMPRODUCT((TRIM(tblDados[Visitante])=$A608)*tblDados[Primeira_Ocorrencia]*((tblDados[GM_V]+tblDados[GS_V])&gt;2.5)))/G608,0))</f>
        <v/>
      </c>
      <c r="N608" s="16" t="str" cm="1">
        <f t="array" ref="N608">IF($A608="","",IFERROR((SUMPRODUCT((TRIM(tblDados[Mandante])=$A608)*tblDados[Primeira_Ocorrencia]*((tblDados[GM_M]+tblDados[GS_M])&gt;3.5))+SUMPRODUCT((TRIM(tblDados[Visitante])=$A608)*tblDados[Primeira_Ocorrencia]*((tblDados[GM_V]+tblDados[GS_V])&gt;3.5)))/G608,0))</f>
        <v/>
      </c>
      <c r="O608" s="16" t="str" cm="1">
        <f t="array" ref="O608">IF($A608="","",IFERROR((SUMPRODUCT((TRIM(tblDados[Mandante])=$A608)*tblDados[Primeira_Ocorrencia]*(tblDados[GM_M]&gt;0)*(tblDados[GS_M]&gt;0))+SUMPRODUCT((TRIM(tblDados[Visitante])=$A608)*tblDados[Primeira_Ocorrencia]*(tblDados[GM_V]&gt;0)*(tblDados[GS_V]&gt;0)))/G608,0))</f>
        <v/>
      </c>
      <c r="P608" s="14" t="str" cm="1">
        <f t="array" ref="P608">IF($A608="","",IFERROR((SUMPRODUCT((TRIM(tblDados[Mandante])=$A608)*tblDados[Primeira_Ocorrencia]*tblDados[GM_M]^2)+SUMPRODUCT((TRIM(tblDados[Visitante])=$A608)*tblDados[Primeira_Ocorrencia]*tblDados[GM_V]^2))/G608-H608^2,0))</f>
        <v/>
      </c>
      <c r="Q608" s="14" t="str">
        <f t="shared" si="174"/>
        <v/>
      </c>
      <c r="R608" s="1" t="str">
        <f t="shared" si="175"/>
        <v/>
      </c>
      <c r="S608" s="14" t="str" cm="1">
        <f t="array" ref="S608">IF($A608="","",SUMPRODUCT((TRIM(tblDados[Mandante])=$A608)*tblDados[Primeira_Ocorrencia]*tblDados[GM_M]))</f>
        <v/>
      </c>
      <c r="T608" s="14" t="str" cm="1">
        <f t="array" ref="T608">IF($A608="","",SUMPRODUCT((TRIM(tblDados[Visitante])=$A608)*tblDados[Primeira_Ocorrencia]*tblDados[GM_V]))</f>
        <v/>
      </c>
      <c r="U608" s="14" t="str">
        <f t="shared" si="176"/>
        <v/>
      </c>
      <c r="V608" s="14" t="str">
        <f t="shared" si="165"/>
        <v/>
      </c>
      <c r="W608" s="14" t="str" cm="1">
        <f t="array" ref="W608">IF($A608="","",SUMPRODUCT((TRIM(tblDados[Mandante])=$A608)*tblDados[Primeira_Ocorrencia]*tblDados[GS_M]))</f>
        <v/>
      </c>
      <c r="X608" s="14" t="str" cm="1">
        <f t="array" ref="X608">IF($A608="","",SUMPRODUCT((TRIM(tblDados[Visitante])=$A608)*tblDados[Primeira_Ocorrencia]*tblDados[GS_V]))</f>
        <v/>
      </c>
      <c r="Y608" s="14" t="str">
        <f t="shared" si="177"/>
        <v/>
      </c>
      <c r="Z608" s="14" t="str">
        <f t="shared" si="166"/>
        <v/>
      </c>
      <c r="AA608" s="14" t="str">
        <f t="shared" si="167"/>
        <v/>
      </c>
      <c r="AB608" s="14" t="str">
        <f t="shared" si="168"/>
        <v/>
      </c>
      <c r="AC608" s="14" t="str">
        <f t="shared" si="169"/>
        <v/>
      </c>
      <c r="AD608" s="14" t="str">
        <f t="shared" si="170"/>
        <v/>
      </c>
    </row>
    <row r="609" spans="2:30" x14ac:dyDescent="0.3">
      <c r="B609" s="13" t="str" cm="1">
        <f t="array" ref="B609">IF($A609="","",_xlfn.LET(_xlpm.p,IFERROR(INDEX(tblDados[País],MATCH($A609,TRIM(tblDados[Mandante]),0)),INDEX(tblDados[País],MATCH($A609,TRIM(tblDados[Visitante]),0))),_xlpm.l,IFERROR(INDEX(tblDados[Liga],MATCH($A609,TRIM(tblDados[Mandante]),0)),INDEX(tblDados[Liga],MATCH($A609,TRIM(tblDados[Visitante]),0))),_xlpm.p&amp;" - "&amp;_xlpm.l))</f>
        <v/>
      </c>
      <c r="C609" s="14" t="str">
        <f t="shared" si="171"/>
        <v/>
      </c>
      <c r="D609" s="14" t="str">
        <f t="shared" si="172"/>
        <v/>
      </c>
      <c r="E609" s="15" t="str" cm="1">
        <f t="array" ref="E609">IF($A609="","",SUMPRODUCT((TRIM(tblDados[Mandante])=$A609)*tblDados[Primeira_Ocorrencia]))</f>
        <v/>
      </c>
      <c r="F609" s="15" t="str" cm="1">
        <f t="array" ref="F609">IF($A609="","",SUMPRODUCT((TRIM(tblDados[Visitante])=$A609)*tblDados[Primeira_Ocorrencia]))</f>
        <v/>
      </c>
      <c r="G609" s="15" t="str" cm="1">
        <f t="array" ref="G609">IF($A609="","",SUMPRODUCT((TRIM(tblDados[Mandante])=$A609)*tblDados[Primeira_Ocorrencia])+SUMPRODUCT((TRIM(tblDados[Visitante])=$A609)*tblDados[Primeira_Ocorrencia]))</f>
        <v/>
      </c>
      <c r="H609" s="14" t="str">
        <f t="shared" si="173"/>
        <v/>
      </c>
      <c r="I609" s="14" t="str" cm="1">
        <f t="array" ref="I609">IF($A609="","",_xlfn.LET(_xlpm.p,IFERROR(INDEX(tblDados[País],MATCH($A609,TRIM(tblDados[Mandante]),0)),INDEX(tblDados[País],MATCH($A609,TRIM(tblDados[Visitante]),0))),_xlpm.l,IFERROR(INDEX(tblDados[Liga],MATCH($A609,TRIM(tblDados[Mandante]),0)),INDEX(tblDados[Liga],MATCH($A609,TRIM(tblDados[Visitante]),0))),IFERROR(SUMIFS(Ligas!$D$2:$D$39,Ligas!$H$2:$H$39,_xlpm.p,Ligas!$I$2:$I$39,_xlpm.l),0)))</f>
        <v/>
      </c>
      <c r="J609" s="16" t="str" cm="1">
        <f t="array" ref="J609">IF($A609="","",IFERROR((SUMPRODUCT((TRIM(tblDados[Mandante])=$A609)*tblDados[Primeira_Ocorrencia]*(tblDados[GM_M]=0))+SUMPRODUCT((TRIM(tblDados[Visitante])=$A609)*tblDados[Primeira_Ocorrencia]*(tblDados[GM_V]=0)))/G609,0))</f>
        <v/>
      </c>
      <c r="K609" s="16" t="str" cm="1">
        <f t="array" ref="K609">IF($A609="","",IFERROR((SUMPRODUCT((TRIM(tblDados[Mandante])=$A609)*tblDados[Primeira_Ocorrencia]*((tblDados[GM_M]+tblDados[GS_M])&gt;0.5))+SUMPRODUCT((TRIM(tblDados[Visitante])=$A609)*tblDados[Primeira_Ocorrencia]*((tblDados[GM_V]+tblDados[GS_V])&gt;0.5)))/G609,0))</f>
        <v/>
      </c>
      <c r="L609" s="16" t="str" cm="1">
        <f t="array" ref="L609">IF($A609="","",IFERROR((SUMPRODUCT((TRIM(tblDados[Mandante])=$A609)*tblDados[Primeira_Ocorrencia]*((tblDados[GM_M]+tblDados[GS_M])&gt;1.5))+SUMPRODUCT((TRIM(tblDados[Visitante])=$A609)*tblDados[Primeira_Ocorrencia]*((tblDados[GM_V]+tblDados[GS_V])&gt;1.5)))/G609,0))</f>
        <v/>
      </c>
      <c r="M609" s="16" t="str" cm="1">
        <f t="array" ref="M609">IF($A609="","",IFERROR((SUMPRODUCT((TRIM(tblDados[Mandante])=$A609)*tblDados[Primeira_Ocorrencia]*((tblDados[GM_M]+tblDados[GS_M])&gt;2.5))+SUMPRODUCT((TRIM(tblDados[Visitante])=$A609)*tblDados[Primeira_Ocorrencia]*((tblDados[GM_V]+tblDados[GS_V])&gt;2.5)))/G609,0))</f>
        <v/>
      </c>
      <c r="N609" s="16" t="str" cm="1">
        <f t="array" ref="N609">IF($A609="","",IFERROR((SUMPRODUCT((TRIM(tblDados[Mandante])=$A609)*tblDados[Primeira_Ocorrencia]*((tblDados[GM_M]+tblDados[GS_M])&gt;3.5))+SUMPRODUCT((TRIM(tblDados[Visitante])=$A609)*tblDados[Primeira_Ocorrencia]*((tblDados[GM_V]+tblDados[GS_V])&gt;3.5)))/G609,0))</f>
        <v/>
      </c>
      <c r="O609" s="16" t="str" cm="1">
        <f t="array" ref="O609">IF($A609="","",IFERROR((SUMPRODUCT((TRIM(tblDados[Mandante])=$A609)*tblDados[Primeira_Ocorrencia]*(tblDados[GM_M]&gt;0)*(tblDados[GS_M]&gt;0))+SUMPRODUCT((TRIM(tblDados[Visitante])=$A609)*tblDados[Primeira_Ocorrencia]*(tblDados[GM_V]&gt;0)*(tblDados[GS_V]&gt;0)))/G609,0))</f>
        <v/>
      </c>
      <c r="P609" s="14" t="str" cm="1">
        <f t="array" ref="P609">IF($A609="","",IFERROR((SUMPRODUCT((TRIM(tblDados[Mandante])=$A609)*tblDados[Primeira_Ocorrencia]*tblDados[GM_M]^2)+SUMPRODUCT((TRIM(tblDados[Visitante])=$A609)*tblDados[Primeira_Ocorrencia]*tblDados[GM_V]^2))/G609-H609^2,0))</f>
        <v/>
      </c>
      <c r="Q609" s="14" t="str">
        <f t="shared" si="174"/>
        <v/>
      </c>
      <c r="R609" s="1" t="str">
        <f t="shared" si="175"/>
        <v/>
      </c>
      <c r="S609" s="14" t="str" cm="1">
        <f t="array" ref="S609">IF($A609="","",SUMPRODUCT((TRIM(tblDados[Mandante])=$A609)*tblDados[Primeira_Ocorrencia]*tblDados[GM_M]))</f>
        <v/>
      </c>
      <c r="T609" s="14" t="str" cm="1">
        <f t="array" ref="T609">IF($A609="","",SUMPRODUCT((TRIM(tblDados[Visitante])=$A609)*tblDados[Primeira_Ocorrencia]*tblDados[GM_V]))</f>
        <v/>
      </c>
      <c r="U609" s="14" t="str">
        <f t="shared" si="176"/>
        <v/>
      </c>
      <c r="V609" s="14" t="str">
        <f t="shared" si="165"/>
        <v/>
      </c>
      <c r="W609" s="14" t="str" cm="1">
        <f t="array" ref="W609">IF($A609="","",SUMPRODUCT((TRIM(tblDados[Mandante])=$A609)*tblDados[Primeira_Ocorrencia]*tblDados[GS_M]))</f>
        <v/>
      </c>
      <c r="X609" s="14" t="str" cm="1">
        <f t="array" ref="X609">IF($A609="","",SUMPRODUCT((TRIM(tblDados[Visitante])=$A609)*tblDados[Primeira_Ocorrencia]*tblDados[GS_V]))</f>
        <v/>
      </c>
      <c r="Y609" s="14" t="str">
        <f t="shared" si="177"/>
        <v/>
      </c>
      <c r="Z609" s="14" t="str">
        <f t="shared" si="166"/>
        <v/>
      </c>
      <c r="AA609" s="14" t="str">
        <f t="shared" si="167"/>
        <v/>
      </c>
      <c r="AB609" s="14" t="str">
        <f t="shared" si="168"/>
        <v/>
      </c>
      <c r="AC609" s="14" t="str">
        <f t="shared" si="169"/>
        <v/>
      </c>
      <c r="AD609" s="14" t="str">
        <f t="shared" si="170"/>
        <v/>
      </c>
    </row>
    <row r="610" spans="2:30" x14ac:dyDescent="0.3">
      <c r="B610" s="13" t="str" cm="1">
        <f t="array" ref="B610">IF($A610="","",_xlfn.LET(_xlpm.p,IFERROR(INDEX(tblDados[País],MATCH($A610,TRIM(tblDados[Mandante]),0)),INDEX(tblDados[País],MATCH($A610,TRIM(tblDados[Visitante]),0))),_xlpm.l,IFERROR(INDEX(tblDados[Liga],MATCH($A610,TRIM(tblDados[Mandante]),0)),INDEX(tblDados[Liga],MATCH($A610,TRIM(tblDados[Visitante]),0))),_xlpm.p&amp;" - "&amp;_xlpm.l))</f>
        <v/>
      </c>
      <c r="C610" s="14" t="str">
        <f t="shared" si="171"/>
        <v/>
      </c>
      <c r="D610" s="14" t="str">
        <f t="shared" si="172"/>
        <v/>
      </c>
      <c r="E610" s="15" t="str" cm="1">
        <f t="array" ref="E610">IF($A610="","",SUMPRODUCT((TRIM(tblDados[Mandante])=$A610)*tblDados[Primeira_Ocorrencia]))</f>
        <v/>
      </c>
      <c r="F610" s="15" t="str" cm="1">
        <f t="array" ref="F610">IF($A610="","",SUMPRODUCT((TRIM(tblDados[Visitante])=$A610)*tblDados[Primeira_Ocorrencia]))</f>
        <v/>
      </c>
      <c r="G610" s="15" t="str" cm="1">
        <f t="array" ref="G610">IF($A610="","",SUMPRODUCT((TRIM(tblDados[Mandante])=$A610)*tblDados[Primeira_Ocorrencia])+SUMPRODUCT((TRIM(tblDados[Visitante])=$A610)*tblDados[Primeira_Ocorrencia]))</f>
        <v/>
      </c>
      <c r="H610" s="14" t="str">
        <f t="shared" si="173"/>
        <v/>
      </c>
      <c r="I610" s="14" t="str" cm="1">
        <f t="array" ref="I610">IF($A610="","",_xlfn.LET(_xlpm.p,IFERROR(INDEX(tblDados[País],MATCH($A610,TRIM(tblDados[Mandante]),0)),INDEX(tblDados[País],MATCH($A610,TRIM(tblDados[Visitante]),0))),_xlpm.l,IFERROR(INDEX(tblDados[Liga],MATCH($A610,TRIM(tblDados[Mandante]),0)),INDEX(tblDados[Liga],MATCH($A610,TRIM(tblDados[Visitante]),0))),IFERROR(SUMIFS(Ligas!$D$2:$D$39,Ligas!$H$2:$H$39,_xlpm.p,Ligas!$I$2:$I$39,_xlpm.l),0)))</f>
        <v/>
      </c>
      <c r="J610" s="16" t="str" cm="1">
        <f t="array" ref="J610">IF($A610="","",IFERROR((SUMPRODUCT((TRIM(tblDados[Mandante])=$A610)*tblDados[Primeira_Ocorrencia]*(tblDados[GM_M]=0))+SUMPRODUCT((TRIM(tblDados[Visitante])=$A610)*tblDados[Primeira_Ocorrencia]*(tblDados[GM_V]=0)))/G610,0))</f>
        <v/>
      </c>
      <c r="K610" s="16" t="str" cm="1">
        <f t="array" ref="K610">IF($A610="","",IFERROR((SUMPRODUCT((TRIM(tblDados[Mandante])=$A610)*tblDados[Primeira_Ocorrencia]*((tblDados[GM_M]+tblDados[GS_M])&gt;0.5))+SUMPRODUCT((TRIM(tblDados[Visitante])=$A610)*tblDados[Primeira_Ocorrencia]*((tblDados[GM_V]+tblDados[GS_V])&gt;0.5)))/G610,0))</f>
        <v/>
      </c>
      <c r="L610" s="16" t="str" cm="1">
        <f t="array" ref="L610">IF($A610="","",IFERROR((SUMPRODUCT((TRIM(tblDados[Mandante])=$A610)*tblDados[Primeira_Ocorrencia]*((tblDados[GM_M]+tblDados[GS_M])&gt;1.5))+SUMPRODUCT((TRIM(tblDados[Visitante])=$A610)*tblDados[Primeira_Ocorrencia]*((tblDados[GM_V]+tblDados[GS_V])&gt;1.5)))/G610,0))</f>
        <v/>
      </c>
      <c r="M610" s="16" t="str" cm="1">
        <f t="array" ref="M610">IF($A610="","",IFERROR((SUMPRODUCT((TRIM(tblDados[Mandante])=$A610)*tblDados[Primeira_Ocorrencia]*((tblDados[GM_M]+tblDados[GS_M])&gt;2.5))+SUMPRODUCT((TRIM(tblDados[Visitante])=$A610)*tblDados[Primeira_Ocorrencia]*((tblDados[GM_V]+tblDados[GS_V])&gt;2.5)))/G610,0))</f>
        <v/>
      </c>
      <c r="N610" s="16" t="str" cm="1">
        <f t="array" ref="N610">IF($A610="","",IFERROR((SUMPRODUCT((TRIM(tblDados[Mandante])=$A610)*tblDados[Primeira_Ocorrencia]*((tblDados[GM_M]+tblDados[GS_M])&gt;3.5))+SUMPRODUCT((TRIM(tblDados[Visitante])=$A610)*tblDados[Primeira_Ocorrencia]*((tblDados[GM_V]+tblDados[GS_V])&gt;3.5)))/G610,0))</f>
        <v/>
      </c>
      <c r="O610" s="16" t="str" cm="1">
        <f t="array" ref="O610">IF($A610="","",IFERROR((SUMPRODUCT((TRIM(tblDados[Mandante])=$A610)*tblDados[Primeira_Ocorrencia]*(tblDados[GM_M]&gt;0)*(tblDados[GS_M]&gt;0))+SUMPRODUCT((TRIM(tblDados[Visitante])=$A610)*tblDados[Primeira_Ocorrencia]*(tblDados[GM_V]&gt;0)*(tblDados[GS_V]&gt;0)))/G610,0))</f>
        <v/>
      </c>
      <c r="P610" s="14" t="str" cm="1">
        <f t="array" ref="P610">IF($A610="","",IFERROR((SUMPRODUCT((TRIM(tblDados[Mandante])=$A610)*tblDados[Primeira_Ocorrencia]*tblDados[GM_M]^2)+SUMPRODUCT((TRIM(tblDados[Visitante])=$A610)*tblDados[Primeira_Ocorrencia]*tblDados[GM_V]^2))/G610-H610^2,0))</f>
        <v/>
      </c>
      <c r="Q610" s="14" t="str">
        <f t="shared" si="174"/>
        <v/>
      </c>
      <c r="R610" s="1" t="str">
        <f t="shared" si="175"/>
        <v/>
      </c>
      <c r="S610" s="14" t="str" cm="1">
        <f t="array" ref="S610">IF($A610="","",SUMPRODUCT((TRIM(tblDados[Mandante])=$A610)*tblDados[Primeira_Ocorrencia]*tblDados[GM_M]))</f>
        <v/>
      </c>
      <c r="T610" s="14" t="str" cm="1">
        <f t="array" ref="T610">IF($A610="","",SUMPRODUCT((TRIM(tblDados[Visitante])=$A610)*tblDados[Primeira_Ocorrencia]*tblDados[GM_V]))</f>
        <v/>
      </c>
      <c r="U610" s="14" t="str">
        <f t="shared" si="176"/>
        <v/>
      </c>
      <c r="V610" s="14" t="str">
        <f t="shared" si="165"/>
        <v/>
      </c>
      <c r="W610" s="14" t="str" cm="1">
        <f t="array" ref="W610">IF($A610="","",SUMPRODUCT((TRIM(tblDados[Mandante])=$A610)*tblDados[Primeira_Ocorrencia]*tblDados[GS_M]))</f>
        <v/>
      </c>
      <c r="X610" s="14" t="str" cm="1">
        <f t="array" ref="X610">IF($A610="","",SUMPRODUCT((TRIM(tblDados[Visitante])=$A610)*tblDados[Primeira_Ocorrencia]*tblDados[GS_V]))</f>
        <v/>
      </c>
      <c r="Y610" s="14" t="str">
        <f t="shared" si="177"/>
        <v/>
      </c>
      <c r="Z610" s="14" t="str">
        <f t="shared" si="166"/>
        <v/>
      </c>
      <c r="AA610" s="14" t="str">
        <f t="shared" si="167"/>
        <v/>
      </c>
      <c r="AB610" s="14" t="str">
        <f t="shared" si="168"/>
        <v/>
      </c>
      <c r="AC610" s="14" t="str">
        <f t="shared" si="169"/>
        <v/>
      </c>
      <c r="AD610" s="14" t="str">
        <f t="shared" si="170"/>
        <v/>
      </c>
    </row>
    <row r="611" spans="2:30" x14ac:dyDescent="0.3">
      <c r="B611" s="13" t="str" cm="1">
        <f t="array" ref="B611">IF($A611="","",_xlfn.LET(_xlpm.p,IFERROR(INDEX(tblDados[País],MATCH($A611,TRIM(tblDados[Mandante]),0)),INDEX(tblDados[País],MATCH($A611,TRIM(tblDados[Visitante]),0))),_xlpm.l,IFERROR(INDEX(tblDados[Liga],MATCH($A611,TRIM(tblDados[Mandante]),0)),INDEX(tblDados[Liga],MATCH($A611,TRIM(tblDados[Visitante]),0))),_xlpm.p&amp;" - "&amp;_xlpm.l))</f>
        <v/>
      </c>
      <c r="C611" s="14" t="str">
        <f t="shared" si="171"/>
        <v/>
      </c>
      <c r="D611" s="14" t="str">
        <f t="shared" si="172"/>
        <v/>
      </c>
      <c r="E611" s="15" t="str" cm="1">
        <f t="array" ref="E611">IF($A611="","",SUMPRODUCT((TRIM(tblDados[Mandante])=$A611)*tblDados[Primeira_Ocorrencia]))</f>
        <v/>
      </c>
      <c r="F611" s="15" t="str" cm="1">
        <f t="array" ref="F611">IF($A611="","",SUMPRODUCT((TRIM(tblDados[Visitante])=$A611)*tblDados[Primeira_Ocorrencia]))</f>
        <v/>
      </c>
      <c r="G611" s="15" t="str" cm="1">
        <f t="array" ref="G611">IF($A611="","",SUMPRODUCT((TRIM(tblDados[Mandante])=$A611)*tblDados[Primeira_Ocorrencia])+SUMPRODUCT((TRIM(tblDados[Visitante])=$A611)*tblDados[Primeira_Ocorrencia]))</f>
        <v/>
      </c>
      <c r="H611" s="14" t="str">
        <f t="shared" si="173"/>
        <v/>
      </c>
      <c r="I611" s="14" t="str" cm="1">
        <f t="array" ref="I611">IF($A611="","",_xlfn.LET(_xlpm.p,IFERROR(INDEX(tblDados[País],MATCH($A611,TRIM(tblDados[Mandante]),0)),INDEX(tblDados[País],MATCH($A611,TRIM(tblDados[Visitante]),0))),_xlpm.l,IFERROR(INDEX(tblDados[Liga],MATCH($A611,TRIM(tblDados[Mandante]),0)),INDEX(tblDados[Liga],MATCH($A611,TRIM(tblDados[Visitante]),0))),IFERROR(SUMIFS(Ligas!$D$2:$D$39,Ligas!$H$2:$H$39,_xlpm.p,Ligas!$I$2:$I$39,_xlpm.l),0)))</f>
        <v/>
      </c>
      <c r="J611" s="16" t="str" cm="1">
        <f t="array" ref="J611">IF($A611="","",IFERROR((SUMPRODUCT((TRIM(tblDados[Mandante])=$A611)*tblDados[Primeira_Ocorrencia]*(tblDados[GM_M]=0))+SUMPRODUCT((TRIM(tblDados[Visitante])=$A611)*tblDados[Primeira_Ocorrencia]*(tblDados[GM_V]=0)))/G611,0))</f>
        <v/>
      </c>
      <c r="K611" s="16" t="str" cm="1">
        <f t="array" ref="K611">IF($A611="","",IFERROR((SUMPRODUCT((TRIM(tblDados[Mandante])=$A611)*tblDados[Primeira_Ocorrencia]*((tblDados[GM_M]+tblDados[GS_M])&gt;0.5))+SUMPRODUCT((TRIM(tblDados[Visitante])=$A611)*tblDados[Primeira_Ocorrencia]*((tblDados[GM_V]+tblDados[GS_V])&gt;0.5)))/G611,0))</f>
        <v/>
      </c>
      <c r="L611" s="16" t="str" cm="1">
        <f t="array" ref="L611">IF($A611="","",IFERROR((SUMPRODUCT((TRIM(tblDados[Mandante])=$A611)*tblDados[Primeira_Ocorrencia]*((tblDados[GM_M]+tblDados[GS_M])&gt;1.5))+SUMPRODUCT((TRIM(tblDados[Visitante])=$A611)*tblDados[Primeira_Ocorrencia]*((tblDados[GM_V]+tblDados[GS_V])&gt;1.5)))/G611,0))</f>
        <v/>
      </c>
      <c r="M611" s="16" t="str" cm="1">
        <f t="array" ref="M611">IF($A611="","",IFERROR((SUMPRODUCT((TRIM(tblDados[Mandante])=$A611)*tblDados[Primeira_Ocorrencia]*((tblDados[GM_M]+tblDados[GS_M])&gt;2.5))+SUMPRODUCT((TRIM(tblDados[Visitante])=$A611)*tblDados[Primeira_Ocorrencia]*((tblDados[GM_V]+tblDados[GS_V])&gt;2.5)))/G611,0))</f>
        <v/>
      </c>
      <c r="N611" s="16" t="str" cm="1">
        <f t="array" ref="N611">IF($A611="","",IFERROR((SUMPRODUCT((TRIM(tblDados[Mandante])=$A611)*tblDados[Primeira_Ocorrencia]*((tblDados[GM_M]+tblDados[GS_M])&gt;3.5))+SUMPRODUCT((TRIM(tblDados[Visitante])=$A611)*tblDados[Primeira_Ocorrencia]*((tblDados[GM_V]+tblDados[GS_V])&gt;3.5)))/G611,0))</f>
        <v/>
      </c>
      <c r="O611" s="16" t="str" cm="1">
        <f t="array" ref="O611">IF($A611="","",IFERROR((SUMPRODUCT((TRIM(tblDados[Mandante])=$A611)*tblDados[Primeira_Ocorrencia]*(tblDados[GM_M]&gt;0)*(tblDados[GS_M]&gt;0))+SUMPRODUCT((TRIM(tblDados[Visitante])=$A611)*tblDados[Primeira_Ocorrencia]*(tblDados[GM_V]&gt;0)*(tblDados[GS_V]&gt;0)))/G611,0))</f>
        <v/>
      </c>
      <c r="P611" s="14" t="str" cm="1">
        <f t="array" ref="P611">IF($A611="","",IFERROR((SUMPRODUCT((TRIM(tblDados[Mandante])=$A611)*tblDados[Primeira_Ocorrencia]*tblDados[GM_M]^2)+SUMPRODUCT((TRIM(tblDados[Visitante])=$A611)*tblDados[Primeira_Ocorrencia]*tblDados[GM_V]^2))/G611-H611^2,0))</f>
        <v/>
      </c>
      <c r="Q611" s="14" t="str">
        <f t="shared" si="174"/>
        <v/>
      </c>
      <c r="R611" s="1" t="str">
        <f t="shared" si="175"/>
        <v/>
      </c>
      <c r="S611" s="14" t="str" cm="1">
        <f t="array" ref="S611">IF($A611="","",SUMPRODUCT((TRIM(tblDados[Mandante])=$A611)*tblDados[Primeira_Ocorrencia]*tblDados[GM_M]))</f>
        <v/>
      </c>
      <c r="T611" s="14" t="str" cm="1">
        <f t="array" ref="T611">IF($A611="","",SUMPRODUCT((TRIM(tblDados[Visitante])=$A611)*tblDados[Primeira_Ocorrencia]*tblDados[GM_V]))</f>
        <v/>
      </c>
      <c r="U611" s="14" t="str">
        <f t="shared" si="176"/>
        <v/>
      </c>
      <c r="V611" s="14" t="str">
        <f t="shared" si="165"/>
        <v/>
      </c>
      <c r="W611" s="14" t="str" cm="1">
        <f t="array" ref="W611">IF($A611="","",SUMPRODUCT((TRIM(tblDados[Mandante])=$A611)*tblDados[Primeira_Ocorrencia]*tblDados[GS_M]))</f>
        <v/>
      </c>
      <c r="X611" s="14" t="str" cm="1">
        <f t="array" ref="X611">IF($A611="","",SUMPRODUCT((TRIM(tblDados[Visitante])=$A611)*tblDados[Primeira_Ocorrencia]*tblDados[GS_V]))</f>
        <v/>
      </c>
      <c r="Y611" s="14" t="str">
        <f t="shared" si="177"/>
        <v/>
      </c>
      <c r="Z611" s="14" t="str">
        <f t="shared" si="166"/>
        <v/>
      </c>
      <c r="AA611" s="14" t="str">
        <f t="shared" si="167"/>
        <v/>
      </c>
      <c r="AB611" s="14" t="str">
        <f t="shared" si="168"/>
        <v/>
      </c>
      <c r="AC611" s="14" t="str">
        <f t="shared" si="169"/>
        <v/>
      </c>
      <c r="AD611" s="14" t="str">
        <f t="shared" si="170"/>
        <v/>
      </c>
    </row>
    <row r="612" spans="2:30" x14ac:dyDescent="0.3">
      <c r="B612" s="13" t="str" cm="1">
        <f t="array" ref="B612">IF($A612="","",_xlfn.LET(_xlpm.p,IFERROR(INDEX(tblDados[País],MATCH($A612,TRIM(tblDados[Mandante]),0)),INDEX(tblDados[País],MATCH($A612,TRIM(tblDados[Visitante]),0))),_xlpm.l,IFERROR(INDEX(tblDados[Liga],MATCH($A612,TRIM(tblDados[Mandante]),0)),INDEX(tblDados[Liga],MATCH($A612,TRIM(tblDados[Visitante]),0))),_xlpm.p&amp;" - "&amp;_xlpm.l))</f>
        <v/>
      </c>
      <c r="C612" s="14" t="str">
        <f t="shared" si="171"/>
        <v/>
      </c>
      <c r="D612" s="14" t="str">
        <f t="shared" si="172"/>
        <v/>
      </c>
      <c r="E612" s="15" t="str" cm="1">
        <f t="array" ref="E612">IF($A612="","",SUMPRODUCT((TRIM(tblDados[Mandante])=$A612)*tblDados[Primeira_Ocorrencia]))</f>
        <v/>
      </c>
      <c r="F612" s="15" t="str" cm="1">
        <f t="array" ref="F612">IF($A612="","",SUMPRODUCT((TRIM(tblDados[Visitante])=$A612)*tblDados[Primeira_Ocorrencia]))</f>
        <v/>
      </c>
      <c r="G612" s="15" t="str" cm="1">
        <f t="array" ref="G612">IF($A612="","",SUMPRODUCT((TRIM(tblDados[Mandante])=$A612)*tblDados[Primeira_Ocorrencia])+SUMPRODUCT((TRIM(tblDados[Visitante])=$A612)*tblDados[Primeira_Ocorrencia]))</f>
        <v/>
      </c>
      <c r="H612" s="14" t="str">
        <f t="shared" si="173"/>
        <v/>
      </c>
      <c r="I612" s="14" t="str" cm="1">
        <f t="array" ref="I612">IF($A612="","",_xlfn.LET(_xlpm.p,IFERROR(INDEX(tblDados[País],MATCH($A612,TRIM(tblDados[Mandante]),0)),INDEX(tblDados[País],MATCH($A612,TRIM(tblDados[Visitante]),0))),_xlpm.l,IFERROR(INDEX(tblDados[Liga],MATCH($A612,TRIM(tblDados[Mandante]),0)),INDEX(tblDados[Liga],MATCH($A612,TRIM(tblDados[Visitante]),0))),IFERROR(SUMIFS(Ligas!$D$2:$D$39,Ligas!$H$2:$H$39,_xlpm.p,Ligas!$I$2:$I$39,_xlpm.l),0)))</f>
        <v/>
      </c>
      <c r="J612" s="16" t="str" cm="1">
        <f t="array" ref="J612">IF($A612="","",IFERROR((SUMPRODUCT((TRIM(tblDados[Mandante])=$A612)*tblDados[Primeira_Ocorrencia]*(tblDados[GM_M]=0))+SUMPRODUCT((TRIM(tblDados[Visitante])=$A612)*tblDados[Primeira_Ocorrencia]*(tblDados[GM_V]=0)))/G612,0))</f>
        <v/>
      </c>
      <c r="K612" s="16" t="str" cm="1">
        <f t="array" ref="K612">IF($A612="","",IFERROR((SUMPRODUCT((TRIM(tblDados[Mandante])=$A612)*tblDados[Primeira_Ocorrencia]*((tblDados[GM_M]+tblDados[GS_M])&gt;0.5))+SUMPRODUCT((TRIM(tblDados[Visitante])=$A612)*tblDados[Primeira_Ocorrencia]*((tblDados[GM_V]+tblDados[GS_V])&gt;0.5)))/G612,0))</f>
        <v/>
      </c>
      <c r="L612" s="16" t="str" cm="1">
        <f t="array" ref="L612">IF($A612="","",IFERROR((SUMPRODUCT((TRIM(tblDados[Mandante])=$A612)*tblDados[Primeira_Ocorrencia]*((tblDados[GM_M]+tblDados[GS_M])&gt;1.5))+SUMPRODUCT((TRIM(tblDados[Visitante])=$A612)*tblDados[Primeira_Ocorrencia]*((tblDados[GM_V]+tblDados[GS_V])&gt;1.5)))/G612,0))</f>
        <v/>
      </c>
      <c r="M612" s="16" t="str" cm="1">
        <f t="array" ref="M612">IF($A612="","",IFERROR((SUMPRODUCT((TRIM(tblDados[Mandante])=$A612)*tblDados[Primeira_Ocorrencia]*((tblDados[GM_M]+tblDados[GS_M])&gt;2.5))+SUMPRODUCT((TRIM(tblDados[Visitante])=$A612)*tblDados[Primeira_Ocorrencia]*((tblDados[GM_V]+tblDados[GS_V])&gt;2.5)))/G612,0))</f>
        <v/>
      </c>
      <c r="N612" s="16" t="str" cm="1">
        <f t="array" ref="N612">IF($A612="","",IFERROR((SUMPRODUCT((TRIM(tblDados[Mandante])=$A612)*tblDados[Primeira_Ocorrencia]*((tblDados[GM_M]+tblDados[GS_M])&gt;3.5))+SUMPRODUCT((TRIM(tblDados[Visitante])=$A612)*tblDados[Primeira_Ocorrencia]*((tblDados[GM_V]+tblDados[GS_V])&gt;3.5)))/G612,0))</f>
        <v/>
      </c>
      <c r="O612" s="16" t="str" cm="1">
        <f t="array" ref="O612">IF($A612="","",IFERROR((SUMPRODUCT((TRIM(tblDados[Mandante])=$A612)*tblDados[Primeira_Ocorrencia]*(tblDados[GM_M]&gt;0)*(tblDados[GS_M]&gt;0))+SUMPRODUCT((TRIM(tblDados[Visitante])=$A612)*tblDados[Primeira_Ocorrencia]*(tblDados[GM_V]&gt;0)*(tblDados[GS_V]&gt;0)))/G612,0))</f>
        <v/>
      </c>
      <c r="P612" s="14" t="str" cm="1">
        <f t="array" ref="P612">IF($A612="","",IFERROR((SUMPRODUCT((TRIM(tblDados[Mandante])=$A612)*tblDados[Primeira_Ocorrencia]*tblDados[GM_M]^2)+SUMPRODUCT((TRIM(tblDados[Visitante])=$A612)*tblDados[Primeira_Ocorrencia]*tblDados[GM_V]^2))/G612-H612^2,0))</f>
        <v/>
      </c>
      <c r="Q612" s="14" t="str">
        <f t="shared" si="174"/>
        <v/>
      </c>
      <c r="R612" s="1" t="str">
        <f t="shared" si="175"/>
        <v/>
      </c>
      <c r="S612" s="14" t="str" cm="1">
        <f t="array" ref="S612">IF($A612="","",SUMPRODUCT((TRIM(tblDados[Mandante])=$A612)*tblDados[Primeira_Ocorrencia]*tblDados[GM_M]))</f>
        <v/>
      </c>
      <c r="T612" s="14" t="str" cm="1">
        <f t="array" ref="T612">IF($A612="","",SUMPRODUCT((TRIM(tblDados[Visitante])=$A612)*tblDados[Primeira_Ocorrencia]*tblDados[GM_V]))</f>
        <v/>
      </c>
      <c r="U612" s="14" t="str">
        <f t="shared" si="176"/>
        <v/>
      </c>
      <c r="V612" s="14" t="str">
        <f t="shared" si="165"/>
        <v/>
      </c>
      <c r="W612" s="14" t="str" cm="1">
        <f t="array" ref="W612">IF($A612="","",SUMPRODUCT((TRIM(tblDados[Mandante])=$A612)*tblDados[Primeira_Ocorrencia]*tblDados[GS_M]))</f>
        <v/>
      </c>
      <c r="X612" s="14" t="str" cm="1">
        <f t="array" ref="X612">IF($A612="","",SUMPRODUCT((TRIM(tblDados[Visitante])=$A612)*tblDados[Primeira_Ocorrencia]*tblDados[GS_V]))</f>
        <v/>
      </c>
      <c r="Y612" s="14" t="str">
        <f t="shared" si="177"/>
        <v/>
      </c>
      <c r="Z612" s="14" t="str">
        <f t="shared" si="166"/>
        <v/>
      </c>
      <c r="AA612" s="14" t="str">
        <f t="shared" si="167"/>
        <v/>
      </c>
      <c r="AB612" s="14" t="str">
        <f t="shared" si="168"/>
        <v/>
      </c>
      <c r="AC612" s="14" t="str">
        <f t="shared" si="169"/>
        <v/>
      </c>
      <c r="AD612" s="14" t="str">
        <f t="shared" si="170"/>
        <v/>
      </c>
    </row>
    <row r="613" spans="2:30" x14ac:dyDescent="0.3">
      <c r="B613" s="13" t="str" cm="1">
        <f t="array" ref="B613">IF($A613="","",_xlfn.LET(_xlpm.p,IFERROR(INDEX(tblDados[País],MATCH($A613,TRIM(tblDados[Mandante]),0)),INDEX(tblDados[País],MATCH($A613,TRIM(tblDados[Visitante]),0))),_xlpm.l,IFERROR(INDEX(tblDados[Liga],MATCH($A613,TRIM(tblDados[Mandante]),0)),INDEX(tblDados[Liga],MATCH($A613,TRIM(tblDados[Visitante]),0))),_xlpm.p&amp;" - "&amp;_xlpm.l))</f>
        <v/>
      </c>
      <c r="C613" s="14" t="str">
        <f t="shared" si="171"/>
        <v/>
      </c>
      <c r="D613" s="14" t="str">
        <f t="shared" si="172"/>
        <v/>
      </c>
      <c r="E613" s="15" t="str" cm="1">
        <f t="array" ref="E613">IF($A613="","",SUMPRODUCT((TRIM(tblDados[Mandante])=$A613)*tblDados[Primeira_Ocorrencia]))</f>
        <v/>
      </c>
      <c r="F613" s="15" t="str" cm="1">
        <f t="array" ref="F613">IF($A613="","",SUMPRODUCT((TRIM(tblDados[Visitante])=$A613)*tblDados[Primeira_Ocorrencia]))</f>
        <v/>
      </c>
      <c r="G613" s="15" t="str" cm="1">
        <f t="array" ref="G613">IF($A613="","",SUMPRODUCT((TRIM(tblDados[Mandante])=$A613)*tblDados[Primeira_Ocorrencia])+SUMPRODUCT((TRIM(tblDados[Visitante])=$A613)*tblDados[Primeira_Ocorrencia]))</f>
        <v/>
      </c>
      <c r="H613" s="14" t="str">
        <f t="shared" si="173"/>
        <v/>
      </c>
      <c r="I613" s="14" t="str" cm="1">
        <f t="array" ref="I613">IF($A613="","",_xlfn.LET(_xlpm.p,IFERROR(INDEX(tblDados[País],MATCH($A613,TRIM(tblDados[Mandante]),0)),INDEX(tblDados[País],MATCH($A613,TRIM(tblDados[Visitante]),0))),_xlpm.l,IFERROR(INDEX(tblDados[Liga],MATCH($A613,TRIM(tblDados[Mandante]),0)),INDEX(tblDados[Liga],MATCH($A613,TRIM(tblDados[Visitante]),0))),IFERROR(SUMIFS(Ligas!$D$2:$D$39,Ligas!$H$2:$H$39,_xlpm.p,Ligas!$I$2:$I$39,_xlpm.l),0)))</f>
        <v/>
      </c>
      <c r="J613" s="16" t="str" cm="1">
        <f t="array" ref="J613">IF($A613="","",IFERROR((SUMPRODUCT((TRIM(tblDados[Mandante])=$A613)*tblDados[Primeira_Ocorrencia]*(tblDados[GM_M]=0))+SUMPRODUCT((TRIM(tblDados[Visitante])=$A613)*tblDados[Primeira_Ocorrencia]*(tblDados[GM_V]=0)))/G613,0))</f>
        <v/>
      </c>
      <c r="K613" s="16" t="str" cm="1">
        <f t="array" ref="K613">IF($A613="","",IFERROR((SUMPRODUCT((TRIM(tblDados[Mandante])=$A613)*tblDados[Primeira_Ocorrencia]*((tblDados[GM_M]+tblDados[GS_M])&gt;0.5))+SUMPRODUCT((TRIM(tblDados[Visitante])=$A613)*tblDados[Primeira_Ocorrencia]*((tblDados[GM_V]+tblDados[GS_V])&gt;0.5)))/G613,0))</f>
        <v/>
      </c>
      <c r="L613" s="16" t="str" cm="1">
        <f t="array" ref="L613">IF($A613="","",IFERROR((SUMPRODUCT((TRIM(tblDados[Mandante])=$A613)*tblDados[Primeira_Ocorrencia]*((tblDados[GM_M]+tblDados[GS_M])&gt;1.5))+SUMPRODUCT((TRIM(tblDados[Visitante])=$A613)*tblDados[Primeira_Ocorrencia]*((tblDados[GM_V]+tblDados[GS_V])&gt;1.5)))/G613,0))</f>
        <v/>
      </c>
      <c r="M613" s="16" t="str" cm="1">
        <f t="array" ref="M613">IF($A613="","",IFERROR((SUMPRODUCT((TRIM(tblDados[Mandante])=$A613)*tblDados[Primeira_Ocorrencia]*((tblDados[GM_M]+tblDados[GS_M])&gt;2.5))+SUMPRODUCT((TRIM(tblDados[Visitante])=$A613)*tblDados[Primeira_Ocorrencia]*((tblDados[GM_V]+tblDados[GS_V])&gt;2.5)))/G613,0))</f>
        <v/>
      </c>
      <c r="N613" s="16" t="str" cm="1">
        <f t="array" ref="N613">IF($A613="","",IFERROR((SUMPRODUCT((TRIM(tblDados[Mandante])=$A613)*tblDados[Primeira_Ocorrencia]*((tblDados[GM_M]+tblDados[GS_M])&gt;3.5))+SUMPRODUCT((TRIM(tblDados[Visitante])=$A613)*tblDados[Primeira_Ocorrencia]*((tblDados[GM_V]+tblDados[GS_V])&gt;3.5)))/G613,0))</f>
        <v/>
      </c>
      <c r="O613" s="16" t="str" cm="1">
        <f t="array" ref="O613">IF($A613="","",IFERROR((SUMPRODUCT((TRIM(tblDados[Mandante])=$A613)*tblDados[Primeira_Ocorrencia]*(tblDados[GM_M]&gt;0)*(tblDados[GS_M]&gt;0))+SUMPRODUCT((TRIM(tblDados[Visitante])=$A613)*tblDados[Primeira_Ocorrencia]*(tblDados[GM_V]&gt;0)*(tblDados[GS_V]&gt;0)))/G613,0))</f>
        <v/>
      </c>
      <c r="P613" s="14" t="str" cm="1">
        <f t="array" ref="P613">IF($A613="","",IFERROR((SUMPRODUCT((TRIM(tblDados[Mandante])=$A613)*tblDados[Primeira_Ocorrencia]*tblDados[GM_M]^2)+SUMPRODUCT((TRIM(tblDados[Visitante])=$A613)*tblDados[Primeira_Ocorrencia]*tblDados[GM_V]^2))/G613-H613^2,0))</f>
        <v/>
      </c>
      <c r="Q613" s="14" t="str">
        <f t="shared" si="174"/>
        <v/>
      </c>
      <c r="R613" s="1" t="str">
        <f t="shared" si="175"/>
        <v/>
      </c>
      <c r="S613" s="14" t="str" cm="1">
        <f t="array" ref="S613">IF($A613="","",SUMPRODUCT((TRIM(tblDados[Mandante])=$A613)*tblDados[Primeira_Ocorrencia]*tblDados[GM_M]))</f>
        <v/>
      </c>
      <c r="T613" s="14" t="str" cm="1">
        <f t="array" ref="T613">IF($A613="","",SUMPRODUCT((TRIM(tblDados[Visitante])=$A613)*tblDados[Primeira_Ocorrencia]*tblDados[GM_V]))</f>
        <v/>
      </c>
      <c r="U613" s="14" t="str">
        <f t="shared" si="176"/>
        <v/>
      </c>
      <c r="V613" s="14" t="str">
        <f t="shared" si="165"/>
        <v/>
      </c>
      <c r="W613" s="14" t="str" cm="1">
        <f t="array" ref="W613">IF($A613="","",SUMPRODUCT((TRIM(tblDados[Mandante])=$A613)*tblDados[Primeira_Ocorrencia]*tblDados[GS_M]))</f>
        <v/>
      </c>
      <c r="X613" s="14" t="str" cm="1">
        <f t="array" ref="X613">IF($A613="","",SUMPRODUCT((TRIM(tblDados[Visitante])=$A613)*tblDados[Primeira_Ocorrencia]*tblDados[GS_V]))</f>
        <v/>
      </c>
      <c r="Y613" s="14" t="str">
        <f t="shared" si="177"/>
        <v/>
      </c>
      <c r="Z613" s="14" t="str">
        <f t="shared" si="166"/>
        <v/>
      </c>
      <c r="AA613" s="14" t="str">
        <f t="shared" si="167"/>
        <v/>
      </c>
      <c r="AB613" s="14" t="str">
        <f t="shared" si="168"/>
        <v/>
      </c>
      <c r="AC613" s="14" t="str">
        <f t="shared" si="169"/>
        <v/>
      </c>
      <c r="AD613" s="14" t="str">
        <f t="shared" si="170"/>
        <v/>
      </c>
    </row>
    <row r="614" spans="2:30" x14ac:dyDescent="0.3">
      <c r="B614" s="13" t="str" cm="1">
        <f t="array" ref="B614">IF($A614="","",_xlfn.LET(_xlpm.p,IFERROR(INDEX(tblDados[País],MATCH($A614,TRIM(tblDados[Mandante]),0)),INDEX(tblDados[País],MATCH($A614,TRIM(tblDados[Visitante]),0))),_xlpm.l,IFERROR(INDEX(tblDados[Liga],MATCH($A614,TRIM(tblDados[Mandante]),0)),INDEX(tblDados[Liga],MATCH($A614,TRIM(tblDados[Visitante]),0))),_xlpm.p&amp;" - "&amp;_xlpm.l))</f>
        <v/>
      </c>
      <c r="C614" s="14" t="str">
        <f t="shared" si="171"/>
        <v/>
      </c>
      <c r="D614" s="14" t="str">
        <f t="shared" si="172"/>
        <v/>
      </c>
      <c r="E614" s="15" t="str" cm="1">
        <f t="array" ref="E614">IF($A614="","",SUMPRODUCT((TRIM(tblDados[Mandante])=$A614)*tblDados[Primeira_Ocorrencia]))</f>
        <v/>
      </c>
      <c r="F614" s="15" t="str" cm="1">
        <f t="array" ref="F614">IF($A614="","",SUMPRODUCT((TRIM(tblDados[Visitante])=$A614)*tblDados[Primeira_Ocorrencia]))</f>
        <v/>
      </c>
      <c r="G614" s="15" t="str" cm="1">
        <f t="array" ref="G614">IF($A614="","",SUMPRODUCT((TRIM(tblDados[Mandante])=$A614)*tblDados[Primeira_Ocorrencia])+SUMPRODUCT((TRIM(tblDados[Visitante])=$A614)*tblDados[Primeira_Ocorrencia]))</f>
        <v/>
      </c>
      <c r="H614" s="14" t="str">
        <f t="shared" si="173"/>
        <v/>
      </c>
      <c r="I614" s="14" t="str" cm="1">
        <f t="array" ref="I614">IF($A614="","",_xlfn.LET(_xlpm.p,IFERROR(INDEX(tblDados[País],MATCH($A614,TRIM(tblDados[Mandante]),0)),INDEX(tblDados[País],MATCH($A614,TRIM(tblDados[Visitante]),0))),_xlpm.l,IFERROR(INDEX(tblDados[Liga],MATCH($A614,TRIM(tblDados[Mandante]),0)),INDEX(tblDados[Liga],MATCH($A614,TRIM(tblDados[Visitante]),0))),IFERROR(SUMIFS(Ligas!$D$2:$D$39,Ligas!$H$2:$H$39,_xlpm.p,Ligas!$I$2:$I$39,_xlpm.l),0)))</f>
        <v/>
      </c>
      <c r="J614" s="16" t="str" cm="1">
        <f t="array" ref="J614">IF($A614="","",IFERROR((SUMPRODUCT((TRIM(tblDados[Mandante])=$A614)*tblDados[Primeira_Ocorrencia]*(tblDados[GM_M]=0))+SUMPRODUCT((TRIM(tblDados[Visitante])=$A614)*tblDados[Primeira_Ocorrencia]*(tblDados[GM_V]=0)))/G614,0))</f>
        <v/>
      </c>
      <c r="K614" s="16" t="str" cm="1">
        <f t="array" ref="K614">IF($A614="","",IFERROR((SUMPRODUCT((TRIM(tblDados[Mandante])=$A614)*tblDados[Primeira_Ocorrencia]*((tblDados[GM_M]+tblDados[GS_M])&gt;0.5))+SUMPRODUCT((TRIM(tblDados[Visitante])=$A614)*tblDados[Primeira_Ocorrencia]*((tblDados[GM_V]+tblDados[GS_V])&gt;0.5)))/G614,0))</f>
        <v/>
      </c>
      <c r="L614" s="16" t="str" cm="1">
        <f t="array" ref="L614">IF($A614="","",IFERROR((SUMPRODUCT((TRIM(tblDados[Mandante])=$A614)*tblDados[Primeira_Ocorrencia]*((tblDados[GM_M]+tblDados[GS_M])&gt;1.5))+SUMPRODUCT((TRIM(tblDados[Visitante])=$A614)*tblDados[Primeira_Ocorrencia]*((tblDados[GM_V]+tblDados[GS_V])&gt;1.5)))/G614,0))</f>
        <v/>
      </c>
      <c r="M614" s="16" t="str" cm="1">
        <f t="array" ref="M614">IF($A614="","",IFERROR((SUMPRODUCT((TRIM(tblDados[Mandante])=$A614)*tblDados[Primeira_Ocorrencia]*((tblDados[GM_M]+tblDados[GS_M])&gt;2.5))+SUMPRODUCT((TRIM(tblDados[Visitante])=$A614)*tblDados[Primeira_Ocorrencia]*((tblDados[GM_V]+tblDados[GS_V])&gt;2.5)))/G614,0))</f>
        <v/>
      </c>
      <c r="N614" s="16" t="str" cm="1">
        <f t="array" ref="N614">IF($A614="","",IFERROR((SUMPRODUCT((TRIM(tblDados[Mandante])=$A614)*tblDados[Primeira_Ocorrencia]*((tblDados[GM_M]+tblDados[GS_M])&gt;3.5))+SUMPRODUCT((TRIM(tblDados[Visitante])=$A614)*tblDados[Primeira_Ocorrencia]*((tblDados[GM_V]+tblDados[GS_V])&gt;3.5)))/G614,0))</f>
        <v/>
      </c>
      <c r="O614" s="16" t="str" cm="1">
        <f t="array" ref="O614">IF($A614="","",IFERROR((SUMPRODUCT((TRIM(tblDados[Mandante])=$A614)*tblDados[Primeira_Ocorrencia]*(tblDados[GM_M]&gt;0)*(tblDados[GS_M]&gt;0))+SUMPRODUCT((TRIM(tblDados[Visitante])=$A614)*tblDados[Primeira_Ocorrencia]*(tblDados[GM_V]&gt;0)*(tblDados[GS_V]&gt;0)))/G614,0))</f>
        <v/>
      </c>
      <c r="P614" s="14" t="str" cm="1">
        <f t="array" ref="P614">IF($A614="","",IFERROR((SUMPRODUCT((TRIM(tblDados[Mandante])=$A614)*tblDados[Primeira_Ocorrencia]*tblDados[GM_M]^2)+SUMPRODUCT((TRIM(tblDados[Visitante])=$A614)*tblDados[Primeira_Ocorrencia]*tblDados[GM_V]^2))/G614-H614^2,0))</f>
        <v/>
      </c>
      <c r="Q614" s="14" t="str">
        <f t="shared" si="174"/>
        <v/>
      </c>
      <c r="R614" s="1" t="str">
        <f t="shared" si="175"/>
        <v/>
      </c>
      <c r="S614" s="14" t="str" cm="1">
        <f t="array" ref="S614">IF($A614="","",SUMPRODUCT((TRIM(tblDados[Mandante])=$A614)*tblDados[Primeira_Ocorrencia]*tblDados[GM_M]))</f>
        <v/>
      </c>
      <c r="T614" s="14" t="str" cm="1">
        <f t="array" ref="T614">IF($A614="","",SUMPRODUCT((TRIM(tblDados[Visitante])=$A614)*tblDados[Primeira_Ocorrencia]*tblDados[GM_V]))</f>
        <v/>
      </c>
      <c r="U614" s="14" t="str">
        <f t="shared" si="176"/>
        <v/>
      </c>
      <c r="V614" s="14" t="str">
        <f t="shared" si="165"/>
        <v/>
      </c>
      <c r="W614" s="14" t="str" cm="1">
        <f t="array" ref="W614">IF($A614="","",SUMPRODUCT((TRIM(tblDados[Mandante])=$A614)*tblDados[Primeira_Ocorrencia]*tblDados[GS_M]))</f>
        <v/>
      </c>
      <c r="X614" s="14" t="str" cm="1">
        <f t="array" ref="X614">IF($A614="","",SUMPRODUCT((TRIM(tblDados[Visitante])=$A614)*tblDados[Primeira_Ocorrencia]*tblDados[GS_V]))</f>
        <v/>
      </c>
      <c r="Y614" s="14" t="str">
        <f t="shared" si="177"/>
        <v/>
      </c>
      <c r="Z614" s="14" t="str">
        <f t="shared" si="166"/>
        <v/>
      </c>
      <c r="AA614" s="14" t="str">
        <f t="shared" si="167"/>
        <v/>
      </c>
      <c r="AB614" s="14" t="str">
        <f t="shared" si="168"/>
        <v/>
      </c>
      <c r="AC614" s="14" t="str">
        <f t="shared" si="169"/>
        <v/>
      </c>
      <c r="AD614" s="14" t="str">
        <f t="shared" si="170"/>
        <v/>
      </c>
    </row>
    <row r="615" spans="2:30" x14ac:dyDescent="0.3">
      <c r="B615" s="13" t="str" cm="1">
        <f t="array" ref="B615">IF($A615="","",_xlfn.LET(_xlpm.p,IFERROR(INDEX(tblDados[País],MATCH($A615,TRIM(tblDados[Mandante]),0)),INDEX(tblDados[País],MATCH($A615,TRIM(tblDados[Visitante]),0))),_xlpm.l,IFERROR(INDEX(tblDados[Liga],MATCH($A615,TRIM(tblDados[Mandante]),0)),INDEX(tblDados[Liga],MATCH($A615,TRIM(tblDados[Visitante]),0))),_xlpm.p&amp;" - "&amp;_xlpm.l))</f>
        <v/>
      </c>
      <c r="C615" s="14" t="str">
        <f t="shared" si="171"/>
        <v/>
      </c>
      <c r="D615" s="14" t="str">
        <f t="shared" si="172"/>
        <v/>
      </c>
      <c r="E615" s="15" t="str" cm="1">
        <f t="array" ref="E615">IF($A615="","",SUMPRODUCT((TRIM(tblDados[Mandante])=$A615)*tblDados[Primeira_Ocorrencia]))</f>
        <v/>
      </c>
      <c r="F615" s="15" t="str" cm="1">
        <f t="array" ref="F615">IF($A615="","",SUMPRODUCT((TRIM(tblDados[Visitante])=$A615)*tblDados[Primeira_Ocorrencia]))</f>
        <v/>
      </c>
      <c r="G615" s="15" t="str" cm="1">
        <f t="array" ref="G615">IF($A615="","",SUMPRODUCT((TRIM(tblDados[Mandante])=$A615)*tblDados[Primeira_Ocorrencia])+SUMPRODUCT((TRIM(tblDados[Visitante])=$A615)*tblDados[Primeira_Ocorrencia]))</f>
        <v/>
      </c>
      <c r="H615" s="14" t="str">
        <f t="shared" si="173"/>
        <v/>
      </c>
      <c r="I615" s="14" t="str" cm="1">
        <f t="array" ref="I615">IF($A615="","",_xlfn.LET(_xlpm.p,IFERROR(INDEX(tblDados[País],MATCH($A615,TRIM(tblDados[Mandante]),0)),INDEX(tblDados[País],MATCH($A615,TRIM(tblDados[Visitante]),0))),_xlpm.l,IFERROR(INDEX(tblDados[Liga],MATCH($A615,TRIM(tblDados[Mandante]),0)),INDEX(tblDados[Liga],MATCH($A615,TRIM(tblDados[Visitante]),0))),IFERROR(SUMIFS(Ligas!$D$2:$D$39,Ligas!$H$2:$H$39,_xlpm.p,Ligas!$I$2:$I$39,_xlpm.l),0)))</f>
        <v/>
      </c>
      <c r="J615" s="16" t="str" cm="1">
        <f t="array" ref="J615">IF($A615="","",IFERROR((SUMPRODUCT((TRIM(tblDados[Mandante])=$A615)*tblDados[Primeira_Ocorrencia]*(tblDados[GM_M]=0))+SUMPRODUCT((TRIM(tblDados[Visitante])=$A615)*tblDados[Primeira_Ocorrencia]*(tblDados[GM_V]=0)))/G615,0))</f>
        <v/>
      </c>
      <c r="K615" s="16" t="str" cm="1">
        <f t="array" ref="K615">IF($A615="","",IFERROR((SUMPRODUCT((TRIM(tblDados[Mandante])=$A615)*tblDados[Primeira_Ocorrencia]*((tblDados[GM_M]+tblDados[GS_M])&gt;0.5))+SUMPRODUCT((TRIM(tblDados[Visitante])=$A615)*tblDados[Primeira_Ocorrencia]*((tblDados[GM_V]+tblDados[GS_V])&gt;0.5)))/G615,0))</f>
        <v/>
      </c>
      <c r="L615" s="16" t="str" cm="1">
        <f t="array" ref="L615">IF($A615="","",IFERROR((SUMPRODUCT((TRIM(tblDados[Mandante])=$A615)*tblDados[Primeira_Ocorrencia]*((tblDados[GM_M]+tblDados[GS_M])&gt;1.5))+SUMPRODUCT((TRIM(tblDados[Visitante])=$A615)*tblDados[Primeira_Ocorrencia]*((tblDados[GM_V]+tblDados[GS_V])&gt;1.5)))/G615,0))</f>
        <v/>
      </c>
      <c r="M615" s="16" t="str" cm="1">
        <f t="array" ref="M615">IF($A615="","",IFERROR((SUMPRODUCT((TRIM(tblDados[Mandante])=$A615)*tblDados[Primeira_Ocorrencia]*((tblDados[GM_M]+tblDados[GS_M])&gt;2.5))+SUMPRODUCT((TRIM(tblDados[Visitante])=$A615)*tblDados[Primeira_Ocorrencia]*((tblDados[GM_V]+tblDados[GS_V])&gt;2.5)))/G615,0))</f>
        <v/>
      </c>
      <c r="N615" s="16" t="str" cm="1">
        <f t="array" ref="N615">IF($A615="","",IFERROR((SUMPRODUCT((TRIM(tblDados[Mandante])=$A615)*tblDados[Primeira_Ocorrencia]*((tblDados[GM_M]+tblDados[GS_M])&gt;3.5))+SUMPRODUCT((TRIM(tblDados[Visitante])=$A615)*tblDados[Primeira_Ocorrencia]*((tblDados[GM_V]+tblDados[GS_V])&gt;3.5)))/G615,0))</f>
        <v/>
      </c>
      <c r="O615" s="16" t="str" cm="1">
        <f t="array" ref="O615">IF($A615="","",IFERROR((SUMPRODUCT((TRIM(tblDados[Mandante])=$A615)*tblDados[Primeira_Ocorrencia]*(tblDados[GM_M]&gt;0)*(tblDados[GS_M]&gt;0))+SUMPRODUCT((TRIM(tblDados[Visitante])=$A615)*tblDados[Primeira_Ocorrencia]*(tblDados[GM_V]&gt;0)*(tblDados[GS_V]&gt;0)))/G615,0))</f>
        <v/>
      </c>
      <c r="P615" s="14" t="str" cm="1">
        <f t="array" ref="P615">IF($A615="","",IFERROR((SUMPRODUCT((TRIM(tblDados[Mandante])=$A615)*tblDados[Primeira_Ocorrencia]*tblDados[GM_M]^2)+SUMPRODUCT((TRIM(tblDados[Visitante])=$A615)*tblDados[Primeira_Ocorrencia]*tblDados[GM_V]^2))/G615-H615^2,0))</f>
        <v/>
      </c>
      <c r="Q615" s="14" t="str">
        <f t="shared" si="174"/>
        <v/>
      </c>
      <c r="R615" s="1" t="str">
        <f t="shared" si="175"/>
        <v/>
      </c>
      <c r="S615" s="14" t="str" cm="1">
        <f t="array" ref="S615">IF($A615="","",SUMPRODUCT((TRIM(tblDados[Mandante])=$A615)*tblDados[Primeira_Ocorrencia]*tblDados[GM_M]))</f>
        <v/>
      </c>
      <c r="T615" s="14" t="str" cm="1">
        <f t="array" ref="T615">IF($A615="","",SUMPRODUCT((TRIM(tblDados[Visitante])=$A615)*tblDados[Primeira_Ocorrencia]*tblDados[GM_V]))</f>
        <v/>
      </c>
      <c r="U615" s="14" t="str">
        <f t="shared" si="176"/>
        <v/>
      </c>
      <c r="V615" s="14" t="str">
        <f t="shared" si="165"/>
        <v/>
      </c>
      <c r="W615" s="14" t="str" cm="1">
        <f t="array" ref="W615">IF($A615="","",SUMPRODUCT((TRIM(tblDados[Mandante])=$A615)*tblDados[Primeira_Ocorrencia]*tblDados[GS_M]))</f>
        <v/>
      </c>
      <c r="X615" s="14" t="str" cm="1">
        <f t="array" ref="X615">IF($A615="","",SUMPRODUCT((TRIM(tblDados[Visitante])=$A615)*tblDados[Primeira_Ocorrencia]*tblDados[GS_V]))</f>
        <v/>
      </c>
      <c r="Y615" s="14" t="str">
        <f t="shared" si="177"/>
        <v/>
      </c>
      <c r="Z615" s="14" t="str">
        <f t="shared" si="166"/>
        <v/>
      </c>
      <c r="AA615" s="14" t="str">
        <f t="shared" si="167"/>
        <v/>
      </c>
      <c r="AB615" s="14" t="str">
        <f t="shared" si="168"/>
        <v/>
      </c>
      <c r="AC615" s="14" t="str">
        <f t="shared" si="169"/>
        <v/>
      </c>
      <c r="AD615" s="14" t="str">
        <f t="shared" si="170"/>
        <v/>
      </c>
    </row>
    <row r="616" spans="2:30" x14ac:dyDescent="0.3">
      <c r="B616" s="13" t="str" cm="1">
        <f t="array" ref="B616">IF($A616="","",_xlfn.LET(_xlpm.p,IFERROR(INDEX(tblDados[País],MATCH($A616,TRIM(tblDados[Mandante]),0)),INDEX(tblDados[País],MATCH($A616,TRIM(tblDados[Visitante]),0))),_xlpm.l,IFERROR(INDEX(tblDados[Liga],MATCH($A616,TRIM(tblDados[Mandante]),0)),INDEX(tblDados[Liga],MATCH($A616,TRIM(tblDados[Visitante]),0))),_xlpm.p&amp;" - "&amp;_xlpm.l))</f>
        <v/>
      </c>
      <c r="C616" s="14" t="str">
        <f t="shared" si="171"/>
        <v/>
      </c>
      <c r="D616" s="14" t="str">
        <f t="shared" si="172"/>
        <v/>
      </c>
      <c r="E616" s="15" t="str" cm="1">
        <f t="array" ref="E616">IF($A616="","",SUMPRODUCT((TRIM(tblDados[Mandante])=$A616)*tblDados[Primeira_Ocorrencia]))</f>
        <v/>
      </c>
      <c r="F616" s="15" t="str" cm="1">
        <f t="array" ref="F616">IF($A616="","",SUMPRODUCT((TRIM(tblDados[Visitante])=$A616)*tblDados[Primeira_Ocorrencia]))</f>
        <v/>
      </c>
      <c r="G616" s="15" t="str" cm="1">
        <f t="array" ref="G616">IF($A616="","",SUMPRODUCT((TRIM(tblDados[Mandante])=$A616)*tblDados[Primeira_Ocorrencia])+SUMPRODUCT((TRIM(tblDados[Visitante])=$A616)*tblDados[Primeira_Ocorrencia]))</f>
        <v/>
      </c>
      <c r="H616" s="14" t="str">
        <f t="shared" si="173"/>
        <v/>
      </c>
      <c r="I616" s="14" t="str" cm="1">
        <f t="array" ref="I616">IF($A616="","",_xlfn.LET(_xlpm.p,IFERROR(INDEX(tblDados[País],MATCH($A616,TRIM(tblDados[Mandante]),0)),INDEX(tblDados[País],MATCH($A616,TRIM(tblDados[Visitante]),0))),_xlpm.l,IFERROR(INDEX(tblDados[Liga],MATCH($A616,TRIM(tblDados[Mandante]),0)),INDEX(tblDados[Liga],MATCH($A616,TRIM(tblDados[Visitante]),0))),IFERROR(SUMIFS(Ligas!$D$2:$D$39,Ligas!$H$2:$H$39,_xlpm.p,Ligas!$I$2:$I$39,_xlpm.l),0)))</f>
        <v/>
      </c>
      <c r="J616" s="16" t="str" cm="1">
        <f t="array" ref="J616">IF($A616="","",IFERROR((SUMPRODUCT((TRIM(tblDados[Mandante])=$A616)*tblDados[Primeira_Ocorrencia]*(tblDados[GM_M]=0))+SUMPRODUCT((TRIM(tblDados[Visitante])=$A616)*tblDados[Primeira_Ocorrencia]*(tblDados[GM_V]=0)))/G616,0))</f>
        <v/>
      </c>
      <c r="K616" s="16" t="str" cm="1">
        <f t="array" ref="K616">IF($A616="","",IFERROR((SUMPRODUCT((TRIM(tblDados[Mandante])=$A616)*tblDados[Primeira_Ocorrencia]*((tblDados[GM_M]+tblDados[GS_M])&gt;0.5))+SUMPRODUCT((TRIM(tblDados[Visitante])=$A616)*tblDados[Primeira_Ocorrencia]*((tblDados[GM_V]+tblDados[GS_V])&gt;0.5)))/G616,0))</f>
        <v/>
      </c>
      <c r="L616" s="16" t="str" cm="1">
        <f t="array" ref="L616">IF($A616="","",IFERROR((SUMPRODUCT((TRIM(tblDados[Mandante])=$A616)*tblDados[Primeira_Ocorrencia]*((tblDados[GM_M]+tblDados[GS_M])&gt;1.5))+SUMPRODUCT((TRIM(tblDados[Visitante])=$A616)*tblDados[Primeira_Ocorrencia]*((tblDados[GM_V]+tblDados[GS_V])&gt;1.5)))/G616,0))</f>
        <v/>
      </c>
      <c r="M616" s="16" t="str" cm="1">
        <f t="array" ref="M616">IF($A616="","",IFERROR((SUMPRODUCT((TRIM(tblDados[Mandante])=$A616)*tblDados[Primeira_Ocorrencia]*((tblDados[GM_M]+tblDados[GS_M])&gt;2.5))+SUMPRODUCT((TRIM(tblDados[Visitante])=$A616)*tblDados[Primeira_Ocorrencia]*((tblDados[GM_V]+tblDados[GS_V])&gt;2.5)))/G616,0))</f>
        <v/>
      </c>
      <c r="N616" s="16" t="str" cm="1">
        <f t="array" ref="N616">IF($A616="","",IFERROR((SUMPRODUCT((TRIM(tblDados[Mandante])=$A616)*tblDados[Primeira_Ocorrencia]*((tblDados[GM_M]+tblDados[GS_M])&gt;3.5))+SUMPRODUCT((TRIM(tblDados[Visitante])=$A616)*tblDados[Primeira_Ocorrencia]*((tblDados[GM_V]+tblDados[GS_V])&gt;3.5)))/G616,0))</f>
        <v/>
      </c>
      <c r="O616" s="16" t="str" cm="1">
        <f t="array" ref="O616">IF($A616="","",IFERROR((SUMPRODUCT((TRIM(tblDados[Mandante])=$A616)*tblDados[Primeira_Ocorrencia]*(tblDados[GM_M]&gt;0)*(tblDados[GS_M]&gt;0))+SUMPRODUCT((TRIM(tblDados[Visitante])=$A616)*tblDados[Primeira_Ocorrencia]*(tblDados[GM_V]&gt;0)*(tblDados[GS_V]&gt;0)))/G616,0))</f>
        <v/>
      </c>
      <c r="P616" s="14" t="str" cm="1">
        <f t="array" ref="P616">IF($A616="","",IFERROR((SUMPRODUCT((TRIM(tblDados[Mandante])=$A616)*tblDados[Primeira_Ocorrencia]*tblDados[GM_M]^2)+SUMPRODUCT((TRIM(tblDados[Visitante])=$A616)*tblDados[Primeira_Ocorrencia]*tblDados[GM_V]^2))/G616-H616^2,0))</f>
        <v/>
      </c>
      <c r="Q616" s="14" t="str">
        <f t="shared" si="174"/>
        <v/>
      </c>
      <c r="R616" s="1" t="str">
        <f t="shared" si="175"/>
        <v/>
      </c>
      <c r="S616" s="14" t="str" cm="1">
        <f t="array" ref="S616">IF($A616="","",SUMPRODUCT((TRIM(tblDados[Mandante])=$A616)*tblDados[Primeira_Ocorrencia]*tblDados[GM_M]))</f>
        <v/>
      </c>
      <c r="T616" s="14" t="str" cm="1">
        <f t="array" ref="T616">IF($A616="","",SUMPRODUCT((TRIM(tblDados[Visitante])=$A616)*tblDados[Primeira_Ocorrencia]*tblDados[GM_V]))</f>
        <v/>
      </c>
      <c r="U616" s="14" t="str">
        <f t="shared" si="176"/>
        <v/>
      </c>
      <c r="V616" s="14" t="str">
        <f t="shared" si="165"/>
        <v/>
      </c>
      <c r="W616" s="14" t="str" cm="1">
        <f t="array" ref="W616">IF($A616="","",SUMPRODUCT((TRIM(tblDados[Mandante])=$A616)*tblDados[Primeira_Ocorrencia]*tblDados[GS_M]))</f>
        <v/>
      </c>
      <c r="X616" s="14" t="str" cm="1">
        <f t="array" ref="X616">IF($A616="","",SUMPRODUCT((TRIM(tblDados[Visitante])=$A616)*tblDados[Primeira_Ocorrencia]*tblDados[GS_V]))</f>
        <v/>
      </c>
      <c r="Y616" s="14" t="str">
        <f t="shared" si="177"/>
        <v/>
      </c>
      <c r="Z616" s="14" t="str">
        <f t="shared" si="166"/>
        <v/>
      </c>
      <c r="AA616" s="14" t="str">
        <f t="shared" si="167"/>
        <v/>
      </c>
      <c r="AB616" s="14" t="str">
        <f t="shared" si="168"/>
        <v/>
      </c>
      <c r="AC616" s="14" t="str">
        <f t="shared" si="169"/>
        <v/>
      </c>
      <c r="AD616" s="14" t="str">
        <f t="shared" si="170"/>
        <v/>
      </c>
    </row>
    <row r="617" spans="2:30" x14ac:dyDescent="0.3">
      <c r="B617" s="13" t="str" cm="1">
        <f t="array" ref="B617">IF($A617="","",_xlfn.LET(_xlpm.p,IFERROR(INDEX(tblDados[País],MATCH($A617,TRIM(tblDados[Mandante]),0)),INDEX(tblDados[País],MATCH($A617,TRIM(tblDados[Visitante]),0))),_xlpm.l,IFERROR(INDEX(tblDados[Liga],MATCH($A617,TRIM(tblDados[Mandante]),0)),INDEX(tblDados[Liga],MATCH($A617,TRIM(tblDados[Visitante]),0))),_xlpm.p&amp;" - "&amp;_xlpm.l))</f>
        <v/>
      </c>
      <c r="C617" s="14" t="str">
        <f t="shared" si="171"/>
        <v/>
      </c>
      <c r="D617" s="14" t="str">
        <f t="shared" si="172"/>
        <v/>
      </c>
      <c r="E617" s="15" t="str" cm="1">
        <f t="array" ref="E617">IF($A617="","",SUMPRODUCT((TRIM(tblDados[Mandante])=$A617)*tblDados[Primeira_Ocorrencia]))</f>
        <v/>
      </c>
      <c r="F617" s="15" t="str" cm="1">
        <f t="array" ref="F617">IF($A617="","",SUMPRODUCT((TRIM(tblDados[Visitante])=$A617)*tblDados[Primeira_Ocorrencia]))</f>
        <v/>
      </c>
      <c r="G617" s="15" t="str" cm="1">
        <f t="array" ref="G617">IF($A617="","",SUMPRODUCT((TRIM(tblDados[Mandante])=$A617)*tblDados[Primeira_Ocorrencia])+SUMPRODUCT((TRIM(tblDados[Visitante])=$A617)*tblDados[Primeira_Ocorrencia]))</f>
        <v/>
      </c>
      <c r="H617" s="14" t="str">
        <f t="shared" si="173"/>
        <v/>
      </c>
      <c r="I617" s="14" t="str" cm="1">
        <f t="array" ref="I617">IF($A617="","",_xlfn.LET(_xlpm.p,IFERROR(INDEX(tblDados[País],MATCH($A617,TRIM(tblDados[Mandante]),0)),INDEX(tblDados[País],MATCH($A617,TRIM(tblDados[Visitante]),0))),_xlpm.l,IFERROR(INDEX(tblDados[Liga],MATCH($A617,TRIM(tblDados[Mandante]),0)),INDEX(tblDados[Liga],MATCH($A617,TRIM(tblDados[Visitante]),0))),IFERROR(SUMIFS(Ligas!$D$2:$D$39,Ligas!$H$2:$H$39,_xlpm.p,Ligas!$I$2:$I$39,_xlpm.l),0)))</f>
        <v/>
      </c>
      <c r="J617" s="16" t="str" cm="1">
        <f t="array" ref="J617">IF($A617="","",IFERROR((SUMPRODUCT((TRIM(tblDados[Mandante])=$A617)*tblDados[Primeira_Ocorrencia]*(tblDados[GM_M]=0))+SUMPRODUCT((TRIM(tblDados[Visitante])=$A617)*tblDados[Primeira_Ocorrencia]*(tblDados[GM_V]=0)))/G617,0))</f>
        <v/>
      </c>
      <c r="K617" s="16" t="str" cm="1">
        <f t="array" ref="K617">IF($A617="","",IFERROR((SUMPRODUCT((TRIM(tblDados[Mandante])=$A617)*tblDados[Primeira_Ocorrencia]*((tblDados[GM_M]+tblDados[GS_M])&gt;0.5))+SUMPRODUCT((TRIM(tblDados[Visitante])=$A617)*tblDados[Primeira_Ocorrencia]*((tblDados[GM_V]+tblDados[GS_V])&gt;0.5)))/G617,0))</f>
        <v/>
      </c>
      <c r="L617" s="16" t="str" cm="1">
        <f t="array" ref="L617">IF($A617="","",IFERROR((SUMPRODUCT((TRIM(tblDados[Mandante])=$A617)*tblDados[Primeira_Ocorrencia]*((tblDados[GM_M]+tblDados[GS_M])&gt;1.5))+SUMPRODUCT((TRIM(tblDados[Visitante])=$A617)*tblDados[Primeira_Ocorrencia]*((tblDados[GM_V]+tblDados[GS_V])&gt;1.5)))/G617,0))</f>
        <v/>
      </c>
      <c r="M617" s="16" t="str" cm="1">
        <f t="array" ref="M617">IF($A617="","",IFERROR((SUMPRODUCT((TRIM(tblDados[Mandante])=$A617)*tblDados[Primeira_Ocorrencia]*((tblDados[GM_M]+tblDados[GS_M])&gt;2.5))+SUMPRODUCT((TRIM(tblDados[Visitante])=$A617)*tblDados[Primeira_Ocorrencia]*((tblDados[GM_V]+tblDados[GS_V])&gt;2.5)))/G617,0))</f>
        <v/>
      </c>
      <c r="N617" s="16" t="str" cm="1">
        <f t="array" ref="N617">IF($A617="","",IFERROR((SUMPRODUCT((TRIM(tblDados[Mandante])=$A617)*tblDados[Primeira_Ocorrencia]*((tblDados[GM_M]+tblDados[GS_M])&gt;3.5))+SUMPRODUCT((TRIM(tblDados[Visitante])=$A617)*tblDados[Primeira_Ocorrencia]*((tblDados[GM_V]+tblDados[GS_V])&gt;3.5)))/G617,0))</f>
        <v/>
      </c>
      <c r="O617" s="16" t="str" cm="1">
        <f t="array" ref="O617">IF($A617="","",IFERROR((SUMPRODUCT((TRIM(tblDados[Mandante])=$A617)*tblDados[Primeira_Ocorrencia]*(tblDados[GM_M]&gt;0)*(tblDados[GS_M]&gt;0))+SUMPRODUCT((TRIM(tblDados[Visitante])=$A617)*tblDados[Primeira_Ocorrencia]*(tblDados[GM_V]&gt;0)*(tblDados[GS_V]&gt;0)))/G617,0))</f>
        <v/>
      </c>
      <c r="P617" s="14" t="str" cm="1">
        <f t="array" ref="P617">IF($A617="","",IFERROR((SUMPRODUCT((TRIM(tblDados[Mandante])=$A617)*tblDados[Primeira_Ocorrencia]*tblDados[GM_M]^2)+SUMPRODUCT((TRIM(tblDados[Visitante])=$A617)*tblDados[Primeira_Ocorrencia]*tblDados[GM_V]^2))/G617-H617^2,0))</f>
        <v/>
      </c>
      <c r="Q617" s="14" t="str">
        <f t="shared" si="174"/>
        <v/>
      </c>
      <c r="R617" s="1" t="str">
        <f t="shared" si="175"/>
        <v/>
      </c>
      <c r="S617" s="14" t="str" cm="1">
        <f t="array" ref="S617">IF($A617="","",SUMPRODUCT((TRIM(tblDados[Mandante])=$A617)*tblDados[Primeira_Ocorrencia]*tblDados[GM_M]))</f>
        <v/>
      </c>
      <c r="T617" s="14" t="str" cm="1">
        <f t="array" ref="T617">IF($A617="","",SUMPRODUCT((TRIM(tblDados[Visitante])=$A617)*tblDados[Primeira_Ocorrencia]*tblDados[GM_V]))</f>
        <v/>
      </c>
      <c r="U617" s="14" t="str">
        <f t="shared" si="176"/>
        <v/>
      </c>
      <c r="V617" s="14" t="str">
        <f t="shared" si="165"/>
        <v/>
      </c>
      <c r="W617" s="14" t="str" cm="1">
        <f t="array" ref="W617">IF($A617="","",SUMPRODUCT((TRIM(tblDados[Mandante])=$A617)*tblDados[Primeira_Ocorrencia]*tblDados[GS_M]))</f>
        <v/>
      </c>
      <c r="X617" s="14" t="str" cm="1">
        <f t="array" ref="X617">IF($A617="","",SUMPRODUCT((TRIM(tblDados[Visitante])=$A617)*tblDados[Primeira_Ocorrencia]*tblDados[GS_V]))</f>
        <v/>
      </c>
      <c r="Y617" s="14" t="str">
        <f t="shared" si="177"/>
        <v/>
      </c>
      <c r="Z617" s="14" t="str">
        <f t="shared" si="166"/>
        <v/>
      </c>
      <c r="AA617" s="14" t="str">
        <f t="shared" si="167"/>
        <v/>
      </c>
      <c r="AB617" s="14" t="str">
        <f t="shared" si="168"/>
        <v/>
      </c>
      <c r="AC617" s="14" t="str">
        <f t="shared" si="169"/>
        <v/>
      </c>
      <c r="AD617" s="14" t="str">
        <f t="shared" si="170"/>
        <v/>
      </c>
    </row>
    <row r="618" spans="2:30" x14ac:dyDescent="0.3">
      <c r="B618" s="13" t="str" cm="1">
        <f t="array" ref="B618">IF($A618="","",_xlfn.LET(_xlpm.p,IFERROR(INDEX(tblDados[País],MATCH($A618,TRIM(tblDados[Mandante]),0)),INDEX(tblDados[País],MATCH($A618,TRIM(tblDados[Visitante]),0))),_xlpm.l,IFERROR(INDEX(tblDados[Liga],MATCH($A618,TRIM(tblDados[Mandante]),0)),INDEX(tblDados[Liga],MATCH($A618,TRIM(tblDados[Visitante]),0))),_xlpm.p&amp;" - "&amp;_xlpm.l))</f>
        <v/>
      </c>
      <c r="C618" s="14" t="str">
        <f t="shared" si="171"/>
        <v/>
      </c>
      <c r="D618" s="14" t="str">
        <f t="shared" si="172"/>
        <v/>
      </c>
      <c r="E618" s="15" t="str" cm="1">
        <f t="array" ref="E618">IF($A618="","",SUMPRODUCT((TRIM(tblDados[Mandante])=$A618)*tblDados[Primeira_Ocorrencia]))</f>
        <v/>
      </c>
      <c r="F618" s="15" t="str" cm="1">
        <f t="array" ref="F618">IF($A618="","",SUMPRODUCT((TRIM(tblDados[Visitante])=$A618)*tblDados[Primeira_Ocorrencia]))</f>
        <v/>
      </c>
      <c r="G618" s="15" t="str" cm="1">
        <f t="array" ref="G618">IF($A618="","",SUMPRODUCT((TRIM(tblDados[Mandante])=$A618)*tblDados[Primeira_Ocorrencia])+SUMPRODUCT((TRIM(tblDados[Visitante])=$A618)*tblDados[Primeira_Ocorrencia]))</f>
        <v/>
      </c>
      <c r="H618" s="14" t="str">
        <f t="shared" si="173"/>
        <v/>
      </c>
      <c r="I618" s="14" t="str" cm="1">
        <f t="array" ref="I618">IF($A618="","",_xlfn.LET(_xlpm.p,IFERROR(INDEX(tblDados[País],MATCH($A618,TRIM(tblDados[Mandante]),0)),INDEX(tblDados[País],MATCH($A618,TRIM(tblDados[Visitante]),0))),_xlpm.l,IFERROR(INDEX(tblDados[Liga],MATCH($A618,TRIM(tblDados[Mandante]),0)),INDEX(tblDados[Liga],MATCH($A618,TRIM(tblDados[Visitante]),0))),IFERROR(SUMIFS(Ligas!$D$2:$D$39,Ligas!$H$2:$H$39,_xlpm.p,Ligas!$I$2:$I$39,_xlpm.l),0)))</f>
        <v/>
      </c>
      <c r="J618" s="16" t="str" cm="1">
        <f t="array" ref="J618">IF($A618="","",IFERROR((SUMPRODUCT((TRIM(tblDados[Mandante])=$A618)*tblDados[Primeira_Ocorrencia]*(tblDados[GM_M]=0))+SUMPRODUCT((TRIM(tblDados[Visitante])=$A618)*tblDados[Primeira_Ocorrencia]*(tblDados[GM_V]=0)))/G618,0))</f>
        <v/>
      </c>
      <c r="K618" s="16" t="str" cm="1">
        <f t="array" ref="K618">IF($A618="","",IFERROR((SUMPRODUCT((TRIM(tblDados[Mandante])=$A618)*tblDados[Primeira_Ocorrencia]*((tblDados[GM_M]+tblDados[GS_M])&gt;0.5))+SUMPRODUCT((TRIM(tblDados[Visitante])=$A618)*tblDados[Primeira_Ocorrencia]*((tblDados[GM_V]+tblDados[GS_V])&gt;0.5)))/G618,0))</f>
        <v/>
      </c>
      <c r="L618" s="16" t="str" cm="1">
        <f t="array" ref="L618">IF($A618="","",IFERROR((SUMPRODUCT((TRIM(tblDados[Mandante])=$A618)*tblDados[Primeira_Ocorrencia]*((tblDados[GM_M]+tblDados[GS_M])&gt;1.5))+SUMPRODUCT((TRIM(tblDados[Visitante])=$A618)*tblDados[Primeira_Ocorrencia]*((tblDados[GM_V]+tblDados[GS_V])&gt;1.5)))/G618,0))</f>
        <v/>
      </c>
      <c r="M618" s="16" t="str" cm="1">
        <f t="array" ref="M618">IF($A618="","",IFERROR((SUMPRODUCT((TRIM(tblDados[Mandante])=$A618)*tblDados[Primeira_Ocorrencia]*((tblDados[GM_M]+tblDados[GS_M])&gt;2.5))+SUMPRODUCT((TRIM(tblDados[Visitante])=$A618)*tblDados[Primeira_Ocorrencia]*((tblDados[GM_V]+tblDados[GS_V])&gt;2.5)))/G618,0))</f>
        <v/>
      </c>
      <c r="N618" s="16" t="str" cm="1">
        <f t="array" ref="N618">IF($A618="","",IFERROR((SUMPRODUCT((TRIM(tblDados[Mandante])=$A618)*tblDados[Primeira_Ocorrencia]*((tblDados[GM_M]+tblDados[GS_M])&gt;3.5))+SUMPRODUCT((TRIM(tblDados[Visitante])=$A618)*tblDados[Primeira_Ocorrencia]*((tblDados[GM_V]+tblDados[GS_V])&gt;3.5)))/G618,0))</f>
        <v/>
      </c>
      <c r="O618" s="16" t="str" cm="1">
        <f t="array" ref="O618">IF($A618="","",IFERROR((SUMPRODUCT((TRIM(tblDados[Mandante])=$A618)*tblDados[Primeira_Ocorrencia]*(tblDados[GM_M]&gt;0)*(tblDados[GS_M]&gt;0))+SUMPRODUCT((TRIM(tblDados[Visitante])=$A618)*tblDados[Primeira_Ocorrencia]*(tblDados[GM_V]&gt;0)*(tblDados[GS_V]&gt;0)))/G618,0))</f>
        <v/>
      </c>
      <c r="P618" s="14" t="str" cm="1">
        <f t="array" ref="P618">IF($A618="","",IFERROR((SUMPRODUCT((TRIM(tblDados[Mandante])=$A618)*tblDados[Primeira_Ocorrencia]*tblDados[GM_M]^2)+SUMPRODUCT((TRIM(tblDados[Visitante])=$A618)*tblDados[Primeira_Ocorrencia]*tblDados[GM_V]^2))/G618-H618^2,0))</f>
        <v/>
      </c>
      <c r="Q618" s="14" t="str">
        <f t="shared" si="174"/>
        <v/>
      </c>
      <c r="R618" s="1" t="str">
        <f t="shared" si="175"/>
        <v/>
      </c>
      <c r="S618" s="14" t="str" cm="1">
        <f t="array" ref="S618">IF($A618="","",SUMPRODUCT((TRIM(tblDados[Mandante])=$A618)*tblDados[Primeira_Ocorrencia]*tblDados[GM_M]))</f>
        <v/>
      </c>
      <c r="T618" s="14" t="str" cm="1">
        <f t="array" ref="T618">IF($A618="","",SUMPRODUCT((TRIM(tblDados[Visitante])=$A618)*tblDados[Primeira_Ocorrencia]*tblDados[GM_V]))</f>
        <v/>
      </c>
      <c r="U618" s="14" t="str">
        <f t="shared" si="176"/>
        <v/>
      </c>
      <c r="V618" s="14" t="str">
        <f t="shared" si="165"/>
        <v/>
      </c>
      <c r="W618" s="14" t="str" cm="1">
        <f t="array" ref="W618">IF($A618="","",SUMPRODUCT((TRIM(tblDados[Mandante])=$A618)*tblDados[Primeira_Ocorrencia]*tblDados[GS_M]))</f>
        <v/>
      </c>
      <c r="X618" s="14" t="str" cm="1">
        <f t="array" ref="X618">IF($A618="","",SUMPRODUCT((TRIM(tblDados[Visitante])=$A618)*tblDados[Primeira_Ocorrencia]*tblDados[GS_V]))</f>
        <v/>
      </c>
      <c r="Y618" s="14" t="str">
        <f t="shared" si="177"/>
        <v/>
      </c>
      <c r="Z618" s="14" t="str">
        <f t="shared" si="166"/>
        <v/>
      </c>
      <c r="AA618" s="14" t="str">
        <f t="shared" si="167"/>
        <v/>
      </c>
      <c r="AB618" s="14" t="str">
        <f t="shared" si="168"/>
        <v/>
      </c>
      <c r="AC618" s="14" t="str">
        <f t="shared" si="169"/>
        <v/>
      </c>
      <c r="AD618" s="14" t="str">
        <f t="shared" si="170"/>
        <v/>
      </c>
    </row>
    <row r="619" spans="2:30" x14ac:dyDescent="0.3">
      <c r="B619" s="13" t="str" cm="1">
        <f t="array" ref="B619">IF($A619="","",_xlfn.LET(_xlpm.p,IFERROR(INDEX(tblDados[País],MATCH($A619,TRIM(tblDados[Mandante]),0)),INDEX(tblDados[País],MATCH($A619,TRIM(tblDados[Visitante]),0))),_xlpm.l,IFERROR(INDEX(tblDados[Liga],MATCH($A619,TRIM(tblDados[Mandante]),0)),INDEX(tblDados[Liga],MATCH($A619,TRIM(tblDados[Visitante]),0))),_xlpm.p&amp;" - "&amp;_xlpm.l))</f>
        <v/>
      </c>
      <c r="C619" s="14" t="str">
        <f t="shared" si="171"/>
        <v/>
      </c>
      <c r="D619" s="14" t="str">
        <f t="shared" si="172"/>
        <v/>
      </c>
      <c r="E619" s="15" t="str" cm="1">
        <f t="array" ref="E619">IF($A619="","",SUMPRODUCT((TRIM(tblDados[Mandante])=$A619)*tblDados[Primeira_Ocorrencia]))</f>
        <v/>
      </c>
      <c r="F619" s="15" t="str" cm="1">
        <f t="array" ref="F619">IF($A619="","",SUMPRODUCT((TRIM(tblDados[Visitante])=$A619)*tblDados[Primeira_Ocorrencia]))</f>
        <v/>
      </c>
      <c r="G619" s="15" t="str" cm="1">
        <f t="array" ref="G619">IF($A619="","",SUMPRODUCT((TRIM(tblDados[Mandante])=$A619)*tblDados[Primeira_Ocorrencia])+SUMPRODUCT((TRIM(tblDados[Visitante])=$A619)*tblDados[Primeira_Ocorrencia]))</f>
        <v/>
      </c>
      <c r="H619" s="14" t="str">
        <f t="shared" si="173"/>
        <v/>
      </c>
      <c r="I619" s="14" t="str" cm="1">
        <f t="array" ref="I619">IF($A619="","",_xlfn.LET(_xlpm.p,IFERROR(INDEX(tblDados[País],MATCH($A619,TRIM(tblDados[Mandante]),0)),INDEX(tblDados[País],MATCH($A619,TRIM(tblDados[Visitante]),0))),_xlpm.l,IFERROR(INDEX(tblDados[Liga],MATCH($A619,TRIM(tblDados[Mandante]),0)),INDEX(tblDados[Liga],MATCH($A619,TRIM(tblDados[Visitante]),0))),IFERROR(SUMIFS(Ligas!$D$2:$D$39,Ligas!$H$2:$H$39,_xlpm.p,Ligas!$I$2:$I$39,_xlpm.l),0)))</f>
        <v/>
      </c>
      <c r="J619" s="16" t="str" cm="1">
        <f t="array" ref="J619">IF($A619="","",IFERROR((SUMPRODUCT((TRIM(tblDados[Mandante])=$A619)*tblDados[Primeira_Ocorrencia]*(tblDados[GM_M]=0))+SUMPRODUCT((TRIM(tblDados[Visitante])=$A619)*tblDados[Primeira_Ocorrencia]*(tblDados[GM_V]=0)))/G619,0))</f>
        <v/>
      </c>
      <c r="K619" s="16" t="str" cm="1">
        <f t="array" ref="K619">IF($A619="","",IFERROR((SUMPRODUCT((TRIM(tblDados[Mandante])=$A619)*tblDados[Primeira_Ocorrencia]*((tblDados[GM_M]+tblDados[GS_M])&gt;0.5))+SUMPRODUCT((TRIM(tblDados[Visitante])=$A619)*tblDados[Primeira_Ocorrencia]*((tblDados[GM_V]+tblDados[GS_V])&gt;0.5)))/G619,0))</f>
        <v/>
      </c>
      <c r="L619" s="16" t="str" cm="1">
        <f t="array" ref="L619">IF($A619="","",IFERROR((SUMPRODUCT((TRIM(tblDados[Mandante])=$A619)*tblDados[Primeira_Ocorrencia]*((tblDados[GM_M]+tblDados[GS_M])&gt;1.5))+SUMPRODUCT((TRIM(tblDados[Visitante])=$A619)*tblDados[Primeira_Ocorrencia]*((tblDados[GM_V]+tblDados[GS_V])&gt;1.5)))/G619,0))</f>
        <v/>
      </c>
      <c r="M619" s="16" t="str" cm="1">
        <f t="array" ref="M619">IF($A619="","",IFERROR((SUMPRODUCT((TRIM(tblDados[Mandante])=$A619)*tblDados[Primeira_Ocorrencia]*((tblDados[GM_M]+tblDados[GS_M])&gt;2.5))+SUMPRODUCT((TRIM(tblDados[Visitante])=$A619)*tblDados[Primeira_Ocorrencia]*((tblDados[GM_V]+tblDados[GS_V])&gt;2.5)))/G619,0))</f>
        <v/>
      </c>
      <c r="N619" s="16" t="str" cm="1">
        <f t="array" ref="N619">IF($A619="","",IFERROR((SUMPRODUCT((TRIM(tblDados[Mandante])=$A619)*tblDados[Primeira_Ocorrencia]*((tblDados[GM_M]+tblDados[GS_M])&gt;3.5))+SUMPRODUCT((TRIM(tblDados[Visitante])=$A619)*tblDados[Primeira_Ocorrencia]*((tblDados[GM_V]+tblDados[GS_V])&gt;3.5)))/G619,0))</f>
        <v/>
      </c>
      <c r="O619" s="16" t="str" cm="1">
        <f t="array" ref="O619">IF($A619="","",IFERROR((SUMPRODUCT((TRIM(tblDados[Mandante])=$A619)*tblDados[Primeira_Ocorrencia]*(tblDados[GM_M]&gt;0)*(tblDados[GS_M]&gt;0))+SUMPRODUCT((TRIM(tblDados[Visitante])=$A619)*tblDados[Primeira_Ocorrencia]*(tblDados[GM_V]&gt;0)*(tblDados[GS_V]&gt;0)))/G619,0))</f>
        <v/>
      </c>
      <c r="P619" s="14" t="str" cm="1">
        <f t="array" ref="P619">IF($A619="","",IFERROR((SUMPRODUCT((TRIM(tblDados[Mandante])=$A619)*tblDados[Primeira_Ocorrencia]*tblDados[GM_M]^2)+SUMPRODUCT((TRIM(tblDados[Visitante])=$A619)*tblDados[Primeira_Ocorrencia]*tblDados[GM_V]^2))/G619-H619^2,0))</f>
        <v/>
      </c>
      <c r="Q619" s="14" t="str">
        <f t="shared" si="174"/>
        <v/>
      </c>
      <c r="R619" s="1" t="str">
        <f t="shared" si="175"/>
        <v/>
      </c>
      <c r="S619" s="14" t="str" cm="1">
        <f t="array" ref="S619">IF($A619="","",SUMPRODUCT((TRIM(tblDados[Mandante])=$A619)*tblDados[Primeira_Ocorrencia]*tblDados[GM_M]))</f>
        <v/>
      </c>
      <c r="T619" s="14" t="str" cm="1">
        <f t="array" ref="T619">IF($A619="","",SUMPRODUCT((TRIM(tblDados[Visitante])=$A619)*tblDados[Primeira_Ocorrencia]*tblDados[GM_V]))</f>
        <v/>
      </c>
      <c r="U619" s="14" t="str">
        <f t="shared" si="176"/>
        <v/>
      </c>
      <c r="V619" s="14" t="str">
        <f t="shared" si="165"/>
        <v/>
      </c>
      <c r="W619" s="14" t="str" cm="1">
        <f t="array" ref="W619">IF($A619="","",SUMPRODUCT((TRIM(tblDados[Mandante])=$A619)*tblDados[Primeira_Ocorrencia]*tblDados[GS_M]))</f>
        <v/>
      </c>
      <c r="X619" s="14" t="str" cm="1">
        <f t="array" ref="X619">IF($A619="","",SUMPRODUCT((TRIM(tblDados[Visitante])=$A619)*tblDados[Primeira_Ocorrencia]*tblDados[GS_V]))</f>
        <v/>
      </c>
      <c r="Y619" s="14" t="str">
        <f t="shared" si="177"/>
        <v/>
      </c>
      <c r="Z619" s="14" t="str">
        <f t="shared" si="166"/>
        <v/>
      </c>
      <c r="AA619" s="14" t="str">
        <f t="shared" si="167"/>
        <v/>
      </c>
      <c r="AB619" s="14" t="str">
        <f t="shared" si="168"/>
        <v/>
      </c>
      <c r="AC619" s="14" t="str">
        <f t="shared" si="169"/>
        <v/>
      </c>
      <c r="AD619" s="14" t="str">
        <f t="shared" si="170"/>
        <v/>
      </c>
    </row>
    <row r="620" spans="2:30" x14ac:dyDescent="0.3">
      <c r="B620" s="13" t="str" cm="1">
        <f t="array" ref="B620">IF($A620="","",_xlfn.LET(_xlpm.p,IFERROR(INDEX(tblDados[País],MATCH($A620,TRIM(tblDados[Mandante]),0)),INDEX(tblDados[País],MATCH($A620,TRIM(tblDados[Visitante]),0))),_xlpm.l,IFERROR(INDEX(tblDados[Liga],MATCH($A620,TRIM(tblDados[Mandante]),0)),INDEX(tblDados[Liga],MATCH($A620,TRIM(tblDados[Visitante]),0))),_xlpm.p&amp;" - "&amp;_xlpm.l))</f>
        <v/>
      </c>
      <c r="C620" s="14" t="str">
        <f t="shared" si="171"/>
        <v/>
      </c>
      <c r="D620" s="14" t="str">
        <f t="shared" si="172"/>
        <v/>
      </c>
      <c r="E620" s="15" t="str" cm="1">
        <f t="array" ref="E620">IF($A620="","",SUMPRODUCT((TRIM(tblDados[Mandante])=$A620)*tblDados[Primeira_Ocorrencia]))</f>
        <v/>
      </c>
      <c r="F620" s="15" t="str" cm="1">
        <f t="array" ref="F620">IF($A620="","",SUMPRODUCT((TRIM(tblDados[Visitante])=$A620)*tblDados[Primeira_Ocorrencia]))</f>
        <v/>
      </c>
      <c r="G620" s="15" t="str" cm="1">
        <f t="array" ref="G620">IF($A620="","",SUMPRODUCT((TRIM(tblDados[Mandante])=$A620)*tblDados[Primeira_Ocorrencia])+SUMPRODUCT((TRIM(tblDados[Visitante])=$A620)*tblDados[Primeira_Ocorrencia]))</f>
        <v/>
      </c>
      <c r="H620" s="14" t="str">
        <f t="shared" si="173"/>
        <v/>
      </c>
      <c r="I620" s="14" t="str" cm="1">
        <f t="array" ref="I620">IF($A620="","",_xlfn.LET(_xlpm.p,IFERROR(INDEX(tblDados[País],MATCH($A620,TRIM(tblDados[Mandante]),0)),INDEX(tblDados[País],MATCH($A620,TRIM(tblDados[Visitante]),0))),_xlpm.l,IFERROR(INDEX(tblDados[Liga],MATCH($A620,TRIM(tblDados[Mandante]),0)),INDEX(tblDados[Liga],MATCH($A620,TRIM(tblDados[Visitante]),0))),IFERROR(SUMIFS(Ligas!$D$2:$D$39,Ligas!$H$2:$H$39,_xlpm.p,Ligas!$I$2:$I$39,_xlpm.l),0)))</f>
        <v/>
      </c>
      <c r="J620" s="16" t="str" cm="1">
        <f t="array" ref="J620">IF($A620="","",IFERROR((SUMPRODUCT((TRIM(tblDados[Mandante])=$A620)*tblDados[Primeira_Ocorrencia]*(tblDados[GM_M]=0))+SUMPRODUCT((TRIM(tblDados[Visitante])=$A620)*tblDados[Primeira_Ocorrencia]*(tblDados[GM_V]=0)))/G620,0))</f>
        <v/>
      </c>
      <c r="K620" s="16" t="str" cm="1">
        <f t="array" ref="K620">IF($A620="","",IFERROR((SUMPRODUCT((TRIM(tblDados[Mandante])=$A620)*tblDados[Primeira_Ocorrencia]*((tblDados[GM_M]+tblDados[GS_M])&gt;0.5))+SUMPRODUCT((TRIM(tblDados[Visitante])=$A620)*tblDados[Primeira_Ocorrencia]*((tblDados[GM_V]+tblDados[GS_V])&gt;0.5)))/G620,0))</f>
        <v/>
      </c>
      <c r="L620" s="16" t="str" cm="1">
        <f t="array" ref="L620">IF($A620="","",IFERROR((SUMPRODUCT((TRIM(tblDados[Mandante])=$A620)*tblDados[Primeira_Ocorrencia]*((tblDados[GM_M]+tblDados[GS_M])&gt;1.5))+SUMPRODUCT((TRIM(tblDados[Visitante])=$A620)*tblDados[Primeira_Ocorrencia]*((tblDados[GM_V]+tblDados[GS_V])&gt;1.5)))/G620,0))</f>
        <v/>
      </c>
      <c r="M620" s="16" t="str" cm="1">
        <f t="array" ref="M620">IF($A620="","",IFERROR((SUMPRODUCT((TRIM(tblDados[Mandante])=$A620)*tblDados[Primeira_Ocorrencia]*((tblDados[GM_M]+tblDados[GS_M])&gt;2.5))+SUMPRODUCT((TRIM(tblDados[Visitante])=$A620)*tblDados[Primeira_Ocorrencia]*((tblDados[GM_V]+tblDados[GS_V])&gt;2.5)))/G620,0))</f>
        <v/>
      </c>
      <c r="N620" s="16" t="str" cm="1">
        <f t="array" ref="N620">IF($A620="","",IFERROR((SUMPRODUCT((TRIM(tblDados[Mandante])=$A620)*tblDados[Primeira_Ocorrencia]*((tblDados[GM_M]+tblDados[GS_M])&gt;3.5))+SUMPRODUCT((TRIM(tblDados[Visitante])=$A620)*tblDados[Primeira_Ocorrencia]*((tblDados[GM_V]+tblDados[GS_V])&gt;3.5)))/G620,0))</f>
        <v/>
      </c>
      <c r="O620" s="16" t="str" cm="1">
        <f t="array" ref="O620">IF($A620="","",IFERROR((SUMPRODUCT((TRIM(tblDados[Mandante])=$A620)*tblDados[Primeira_Ocorrencia]*(tblDados[GM_M]&gt;0)*(tblDados[GS_M]&gt;0))+SUMPRODUCT((TRIM(tblDados[Visitante])=$A620)*tblDados[Primeira_Ocorrencia]*(tblDados[GM_V]&gt;0)*(tblDados[GS_V]&gt;0)))/G620,0))</f>
        <v/>
      </c>
      <c r="P620" s="14" t="str" cm="1">
        <f t="array" ref="P620">IF($A620="","",IFERROR((SUMPRODUCT((TRIM(tblDados[Mandante])=$A620)*tblDados[Primeira_Ocorrencia]*tblDados[GM_M]^2)+SUMPRODUCT((TRIM(tblDados[Visitante])=$A620)*tblDados[Primeira_Ocorrencia]*tblDados[GM_V]^2))/G620-H620^2,0))</f>
        <v/>
      </c>
      <c r="Q620" s="14" t="str">
        <f t="shared" si="174"/>
        <v/>
      </c>
      <c r="R620" s="1" t="str">
        <f t="shared" si="175"/>
        <v/>
      </c>
      <c r="S620" s="14" t="str" cm="1">
        <f t="array" ref="S620">IF($A620="","",SUMPRODUCT((TRIM(tblDados[Mandante])=$A620)*tblDados[Primeira_Ocorrencia]*tblDados[GM_M]))</f>
        <v/>
      </c>
      <c r="T620" s="14" t="str" cm="1">
        <f t="array" ref="T620">IF($A620="","",SUMPRODUCT((TRIM(tblDados[Visitante])=$A620)*tblDados[Primeira_Ocorrencia]*tblDados[GM_V]))</f>
        <v/>
      </c>
      <c r="U620" s="14" t="str">
        <f t="shared" si="176"/>
        <v/>
      </c>
      <c r="V620" s="14" t="str">
        <f t="shared" si="165"/>
        <v/>
      </c>
      <c r="W620" s="14" t="str" cm="1">
        <f t="array" ref="W620">IF($A620="","",SUMPRODUCT((TRIM(tblDados[Mandante])=$A620)*tblDados[Primeira_Ocorrencia]*tblDados[GS_M]))</f>
        <v/>
      </c>
      <c r="X620" s="14" t="str" cm="1">
        <f t="array" ref="X620">IF($A620="","",SUMPRODUCT((TRIM(tblDados[Visitante])=$A620)*tblDados[Primeira_Ocorrencia]*tblDados[GS_V]))</f>
        <v/>
      </c>
      <c r="Y620" s="14" t="str">
        <f t="shared" si="177"/>
        <v/>
      </c>
      <c r="Z620" s="14" t="str">
        <f t="shared" si="166"/>
        <v/>
      </c>
      <c r="AA620" s="14" t="str">
        <f t="shared" si="167"/>
        <v/>
      </c>
      <c r="AB620" s="14" t="str">
        <f t="shared" si="168"/>
        <v/>
      </c>
      <c r="AC620" s="14" t="str">
        <f t="shared" si="169"/>
        <v/>
      </c>
      <c r="AD620" s="14" t="str">
        <f t="shared" si="170"/>
        <v/>
      </c>
    </row>
    <row r="621" spans="2:30" x14ac:dyDescent="0.3">
      <c r="B621" s="13" t="str" cm="1">
        <f t="array" ref="B621">IF($A621="","",_xlfn.LET(_xlpm.p,IFERROR(INDEX(tblDados[País],MATCH($A621,TRIM(tblDados[Mandante]),0)),INDEX(tblDados[País],MATCH($A621,TRIM(tblDados[Visitante]),0))),_xlpm.l,IFERROR(INDEX(tblDados[Liga],MATCH($A621,TRIM(tblDados[Mandante]),0)),INDEX(tblDados[Liga],MATCH($A621,TRIM(tblDados[Visitante]),0))),_xlpm.p&amp;" - "&amp;_xlpm.l))</f>
        <v/>
      </c>
      <c r="C621" s="14" t="str">
        <f t="shared" si="171"/>
        <v/>
      </c>
      <c r="D621" s="14" t="str">
        <f t="shared" si="172"/>
        <v/>
      </c>
      <c r="E621" s="15" t="str" cm="1">
        <f t="array" ref="E621">IF($A621="","",SUMPRODUCT((TRIM(tblDados[Mandante])=$A621)*tblDados[Primeira_Ocorrencia]))</f>
        <v/>
      </c>
      <c r="F621" s="15" t="str" cm="1">
        <f t="array" ref="F621">IF($A621="","",SUMPRODUCT((TRIM(tblDados[Visitante])=$A621)*tblDados[Primeira_Ocorrencia]))</f>
        <v/>
      </c>
      <c r="G621" s="15" t="str" cm="1">
        <f t="array" ref="G621">IF($A621="","",SUMPRODUCT((TRIM(tblDados[Mandante])=$A621)*tblDados[Primeira_Ocorrencia])+SUMPRODUCT((TRIM(tblDados[Visitante])=$A621)*tblDados[Primeira_Ocorrencia]))</f>
        <v/>
      </c>
      <c r="H621" s="14" t="str">
        <f t="shared" si="173"/>
        <v/>
      </c>
      <c r="I621" s="14" t="str" cm="1">
        <f t="array" ref="I621">IF($A621="","",_xlfn.LET(_xlpm.p,IFERROR(INDEX(tblDados[País],MATCH($A621,TRIM(tblDados[Mandante]),0)),INDEX(tblDados[País],MATCH($A621,TRIM(tblDados[Visitante]),0))),_xlpm.l,IFERROR(INDEX(tblDados[Liga],MATCH($A621,TRIM(tblDados[Mandante]),0)),INDEX(tblDados[Liga],MATCH($A621,TRIM(tblDados[Visitante]),0))),IFERROR(SUMIFS(Ligas!$D$2:$D$39,Ligas!$H$2:$H$39,_xlpm.p,Ligas!$I$2:$I$39,_xlpm.l),0)))</f>
        <v/>
      </c>
      <c r="J621" s="16" t="str" cm="1">
        <f t="array" ref="J621">IF($A621="","",IFERROR((SUMPRODUCT((TRIM(tblDados[Mandante])=$A621)*tblDados[Primeira_Ocorrencia]*(tblDados[GM_M]=0))+SUMPRODUCT((TRIM(tblDados[Visitante])=$A621)*tblDados[Primeira_Ocorrencia]*(tblDados[GM_V]=0)))/G621,0))</f>
        <v/>
      </c>
      <c r="K621" s="16" t="str" cm="1">
        <f t="array" ref="K621">IF($A621="","",IFERROR((SUMPRODUCT((TRIM(tblDados[Mandante])=$A621)*tblDados[Primeira_Ocorrencia]*((tblDados[GM_M]+tblDados[GS_M])&gt;0.5))+SUMPRODUCT((TRIM(tblDados[Visitante])=$A621)*tblDados[Primeira_Ocorrencia]*((tblDados[GM_V]+tblDados[GS_V])&gt;0.5)))/G621,0))</f>
        <v/>
      </c>
      <c r="L621" s="16" t="str" cm="1">
        <f t="array" ref="L621">IF($A621="","",IFERROR((SUMPRODUCT((TRIM(tblDados[Mandante])=$A621)*tblDados[Primeira_Ocorrencia]*((tblDados[GM_M]+tblDados[GS_M])&gt;1.5))+SUMPRODUCT((TRIM(tblDados[Visitante])=$A621)*tblDados[Primeira_Ocorrencia]*((tblDados[GM_V]+tblDados[GS_V])&gt;1.5)))/G621,0))</f>
        <v/>
      </c>
      <c r="M621" s="16" t="str" cm="1">
        <f t="array" ref="M621">IF($A621="","",IFERROR((SUMPRODUCT((TRIM(tblDados[Mandante])=$A621)*tblDados[Primeira_Ocorrencia]*((tblDados[GM_M]+tblDados[GS_M])&gt;2.5))+SUMPRODUCT((TRIM(tblDados[Visitante])=$A621)*tblDados[Primeira_Ocorrencia]*((tblDados[GM_V]+tblDados[GS_V])&gt;2.5)))/G621,0))</f>
        <v/>
      </c>
      <c r="N621" s="16" t="str" cm="1">
        <f t="array" ref="N621">IF($A621="","",IFERROR((SUMPRODUCT((TRIM(tblDados[Mandante])=$A621)*tblDados[Primeira_Ocorrencia]*((tblDados[GM_M]+tblDados[GS_M])&gt;3.5))+SUMPRODUCT((TRIM(tblDados[Visitante])=$A621)*tblDados[Primeira_Ocorrencia]*((tblDados[GM_V]+tblDados[GS_V])&gt;3.5)))/G621,0))</f>
        <v/>
      </c>
      <c r="O621" s="16" t="str" cm="1">
        <f t="array" ref="O621">IF($A621="","",IFERROR((SUMPRODUCT((TRIM(tblDados[Mandante])=$A621)*tblDados[Primeira_Ocorrencia]*(tblDados[GM_M]&gt;0)*(tblDados[GS_M]&gt;0))+SUMPRODUCT((TRIM(tblDados[Visitante])=$A621)*tblDados[Primeira_Ocorrencia]*(tblDados[GM_V]&gt;0)*(tblDados[GS_V]&gt;0)))/G621,0))</f>
        <v/>
      </c>
      <c r="P621" s="14" t="str" cm="1">
        <f t="array" ref="P621">IF($A621="","",IFERROR((SUMPRODUCT((TRIM(tblDados[Mandante])=$A621)*tblDados[Primeira_Ocorrencia]*tblDados[GM_M]^2)+SUMPRODUCT((TRIM(tblDados[Visitante])=$A621)*tblDados[Primeira_Ocorrencia]*tblDados[GM_V]^2))/G621-H621^2,0))</f>
        <v/>
      </c>
      <c r="Q621" s="14" t="str">
        <f t="shared" si="174"/>
        <v/>
      </c>
      <c r="R621" s="1" t="str">
        <f t="shared" si="175"/>
        <v/>
      </c>
      <c r="S621" s="14" t="str" cm="1">
        <f t="array" ref="S621">IF($A621="","",SUMPRODUCT((TRIM(tblDados[Mandante])=$A621)*tblDados[Primeira_Ocorrencia]*tblDados[GM_M]))</f>
        <v/>
      </c>
      <c r="T621" s="14" t="str" cm="1">
        <f t="array" ref="T621">IF($A621="","",SUMPRODUCT((TRIM(tblDados[Visitante])=$A621)*tblDados[Primeira_Ocorrencia]*tblDados[GM_V]))</f>
        <v/>
      </c>
      <c r="U621" s="14" t="str">
        <f t="shared" si="176"/>
        <v/>
      </c>
      <c r="V621" s="14" t="str">
        <f t="shared" si="165"/>
        <v/>
      </c>
      <c r="W621" s="14" t="str" cm="1">
        <f t="array" ref="W621">IF($A621="","",SUMPRODUCT((TRIM(tblDados[Mandante])=$A621)*tblDados[Primeira_Ocorrencia]*tblDados[GS_M]))</f>
        <v/>
      </c>
      <c r="X621" s="14" t="str" cm="1">
        <f t="array" ref="X621">IF($A621="","",SUMPRODUCT((TRIM(tblDados[Visitante])=$A621)*tblDados[Primeira_Ocorrencia]*tblDados[GS_V]))</f>
        <v/>
      </c>
      <c r="Y621" s="14" t="str">
        <f t="shared" si="177"/>
        <v/>
      </c>
      <c r="Z621" s="14" t="str">
        <f t="shared" si="166"/>
        <v/>
      </c>
      <c r="AA621" s="14" t="str">
        <f t="shared" si="167"/>
        <v/>
      </c>
      <c r="AB621" s="14" t="str">
        <f t="shared" si="168"/>
        <v/>
      </c>
      <c r="AC621" s="14" t="str">
        <f t="shared" si="169"/>
        <v/>
      </c>
      <c r="AD621" s="14" t="str">
        <f t="shared" si="170"/>
        <v/>
      </c>
    </row>
    <row r="622" spans="2:30" x14ac:dyDescent="0.3">
      <c r="B622" s="13" t="str" cm="1">
        <f t="array" ref="B622">IF($A622="","",_xlfn.LET(_xlpm.p,IFERROR(INDEX(tblDados[País],MATCH($A622,TRIM(tblDados[Mandante]),0)),INDEX(tblDados[País],MATCH($A622,TRIM(tblDados[Visitante]),0))),_xlpm.l,IFERROR(INDEX(tblDados[Liga],MATCH($A622,TRIM(tblDados[Mandante]),0)),INDEX(tblDados[Liga],MATCH($A622,TRIM(tblDados[Visitante]),0))),_xlpm.p&amp;" - "&amp;_xlpm.l))</f>
        <v/>
      </c>
      <c r="C622" s="14" t="str">
        <f t="shared" si="171"/>
        <v/>
      </c>
      <c r="D622" s="14" t="str">
        <f t="shared" si="172"/>
        <v/>
      </c>
      <c r="E622" s="15" t="str" cm="1">
        <f t="array" ref="E622">IF($A622="","",SUMPRODUCT((TRIM(tblDados[Mandante])=$A622)*tblDados[Primeira_Ocorrencia]))</f>
        <v/>
      </c>
      <c r="F622" s="15" t="str" cm="1">
        <f t="array" ref="F622">IF($A622="","",SUMPRODUCT((TRIM(tblDados[Visitante])=$A622)*tblDados[Primeira_Ocorrencia]))</f>
        <v/>
      </c>
      <c r="G622" s="15" t="str" cm="1">
        <f t="array" ref="G622">IF($A622="","",SUMPRODUCT((TRIM(tblDados[Mandante])=$A622)*tblDados[Primeira_Ocorrencia])+SUMPRODUCT((TRIM(tblDados[Visitante])=$A622)*tblDados[Primeira_Ocorrencia]))</f>
        <v/>
      </c>
      <c r="H622" s="14" t="str">
        <f t="shared" si="173"/>
        <v/>
      </c>
      <c r="I622" s="14" t="str" cm="1">
        <f t="array" ref="I622">IF($A622="","",_xlfn.LET(_xlpm.p,IFERROR(INDEX(tblDados[País],MATCH($A622,TRIM(tblDados[Mandante]),0)),INDEX(tblDados[País],MATCH($A622,TRIM(tblDados[Visitante]),0))),_xlpm.l,IFERROR(INDEX(tblDados[Liga],MATCH($A622,TRIM(tblDados[Mandante]),0)),INDEX(tblDados[Liga],MATCH($A622,TRIM(tblDados[Visitante]),0))),IFERROR(SUMIFS(Ligas!$D$2:$D$39,Ligas!$H$2:$H$39,_xlpm.p,Ligas!$I$2:$I$39,_xlpm.l),0)))</f>
        <v/>
      </c>
      <c r="J622" s="16" t="str" cm="1">
        <f t="array" ref="J622">IF($A622="","",IFERROR((SUMPRODUCT((TRIM(tblDados[Mandante])=$A622)*tblDados[Primeira_Ocorrencia]*(tblDados[GM_M]=0))+SUMPRODUCT((TRIM(tblDados[Visitante])=$A622)*tblDados[Primeira_Ocorrencia]*(tblDados[GM_V]=0)))/G622,0))</f>
        <v/>
      </c>
      <c r="K622" s="16" t="str" cm="1">
        <f t="array" ref="K622">IF($A622="","",IFERROR((SUMPRODUCT((TRIM(tblDados[Mandante])=$A622)*tblDados[Primeira_Ocorrencia]*((tblDados[GM_M]+tblDados[GS_M])&gt;0.5))+SUMPRODUCT((TRIM(tblDados[Visitante])=$A622)*tblDados[Primeira_Ocorrencia]*((tblDados[GM_V]+tblDados[GS_V])&gt;0.5)))/G622,0))</f>
        <v/>
      </c>
      <c r="L622" s="16" t="str" cm="1">
        <f t="array" ref="L622">IF($A622="","",IFERROR((SUMPRODUCT((TRIM(tblDados[Mandante])=$A622)*tblDados[Primeira_Ocorrencia]*((tblDados[GM_M]+tblDados[GS_M])&gt;1.5))+SUMPRODUCT((TRIM(tblDados[Visitante])=$A622)*tblDados[Primeira_Ocorrencia]*((tblDados[GM_V]+tblDados[GS_V])&gt;1.5)))/G622,0))</f>
        <v/>
      </c>
      <c r="M622" s="16" t="str" cm="1">
        <f t="array" ref="M622">IF($A622="","",IFERROR((SUMPRODUCT((TRIM(tblDados[Mandante])=$A622)*tblDados[Primeira_Ocorrencia]*((tblDados[GM_M]+tblDados[GS_M])&gt;2.5))+SUMPRODUCT((TRIM(tblDados[Visitante])=$A622)*tblDados[Primeira_Ocorrencia]*((tblDados[GM_V]+tblDados[GS_V])&gt;2.5)))/G622,0))</f>
        <v/>
      </c>
      <c r="N622" s="16" t="str" cm="1">
        <f t="array" ref="N622">IF($A622="","",IFERROR((SUMPRODUCT((TRIM(tblDados[Mandante])=$A622)*tblDados[Primeira_Ocorrencia]*((tblDados[GM_M]+tblDados[GS_M])&gt;3.5))+SUMPRODUCT((TRIM(tblDados[Visitante])=$A622)*tblDados[Primeira_Ocorrencia]*((tblDados[GM_V]+tblDados[GS_V])&gt;3.5)))/G622,0))</f>
        <v/>
      </c>
      <c r="O622" s="16" t="str" cm="1">
        <f t="array" ref="O622">IF($A622="","",IFERROR((SUMPRODUCT((TRIM(tblDados[Mandante])=$A622)*tblDados[Primeira_Ocorrencia]*(tblDados[GM_M]&gt;0)*(tblDados[GS_M]&gt;0))+SUMPRODUCT((TRIM(tblDados[Visitante])=$A622)*tblDados[Primeira_Ocorrencia]*(tblDados[GM_V]&gt;0)*(tblDados[GS_V]&gt;0)))/G622,0))</f>
        <v/>
      </c>
      <c r="P622" s="14" t="str" cm="1">
        <f t="array" ref="P622">IF($A622="","",IFERROR((SUMPRODUCT((TRIM(tblDados[Mandante])=$A622)*tblDados[Primeira_Ocorrencia]*tblDados[GM_M]^2)+SUMPRODUCT((TRIM(tblDados[Visitante])=$A622)*tblDados[Primeira_Ocorrencia]*tblDados[GM_V]^2))/G622-H622^2,0))</f>
        <v/>
      </c>
      <c r="Q622" s="14" t="str">
        <f t="shared" si="174"/>
        <v/>
      </c>
      <c r="R622" s="1" t="str">
        <f t="shared" si="175"/>
        <v/>
      </c>
      <c r="S622" s="14" t="str" cm="1">
        <f t="array" ref="S622">IF($A622="","",SUMPRODUCT((TRIM(tblDados[Mandante])=$A622)*tblDados[Primeira_Ocorrencia]*tblDados[GM_M]))</f>
        <v/>
      </c>
      <c r="T622" s="14" t="str" cm="1">
        <f t="array" ref="T622">IF($A622="","",SUMPRODUCT((TRIM(tblDados[Visitante])=$A622)*tblDados[Primeira_Ocorrencia]*tblDados[GM_V]))</f>
        <v/>
      </c>
      <c r="U622" s="14" t="str">
        <f t="shared" si="176"/>
        <v/>
      </c>
      <c r="V622" s="14" t="str">
        <f t="shared" si="165"/>
        <v/>
      </c>
      <c r="W622" s="14" t="str" cm="1">
        <f t="array" ref="W622">IF($A622="","",SUMPRODUCT((TRIM(tblDados[Mandante])=$A622)*tblDados[Primeira_Ocorrencia]*tblDados[GS_M]))</f>
        <v/>
      </c>
      <c r="X622" s="14" t="str" cm="1">
        <f t="array" ref="X622">IF($A622="","",SUMPRODUCT((TRIM(tblDados[Visitante])=$A622)*tblDados[Primeira_Ocorrencia]*tblDados[GS_V]))</f>
        <v/>
      </c>
      <c r="Y622" s="14" t="str">
        <f t="shared" si="177"/>
        <v/>
      </c>
      <c r="Z622" s="14" t="str">
        <f t="shared" si="166"/>
        <v/>
      </c>
      <c r="AA622" s="14" t="str">
        <f t="shared" si="167"/>
        <v/>
      </c>
      <c r="AB622" s="14" t="str">
        <f t="shared" si="168"/>
        <v/>
      </c>
      <c r="AC622" s="14" t="str">
        <f t="shared" si="169"/>
        <v/>
      </c>
      <c r="AD622" s="14" t="str">
        <f t="shared" si="170"/>
        <v/>
      </c>
    </row>
    <row r="623" spans="2:30" x14ac:dyDescent="0.3">
      <c r="B623" s="13" t="str" cm="1">
        <f t="array" ref="B623">IF($A623="","",_xlfn.LET(_xlpm.p,IFERROR(INDEX(tblDados[País],MATCH($A623,TRIM(tblDados[Mandante]),0)),INDEX(tblDados[País],MATCH($A623,TRIM(tblDados[Visitante]),0))),_xlpm.l,IFERROR(INDEX(tblDados[Liga],MATCH($A623,TRIM(tblDados[Mandante]),0)),INDEX(tblDados[Liga],MATCH($A623,TRIM(tblDados[Visitante]),0))),_xlpm.p&amp;" - "&amp;_xlpm.l))</f>
        <v/>
      </c>
      <c r="C623" s="14" t="str">
        <f t="shared" si="171"/>
        <v/>
      </c>
      <c r="D623" s="14" t="str">
        <f t="shared" si="172"/>
        <v/>
      </c>
      <c r="E623" s="15" t="str" cm="1">
        <f t="array" ref="E623">IF($A623="","",SUMPRODUCT((TRIM(tblDados[Mandante])=$A623)*tblDados[Primeira_Ocorrencia]))</f>
        <v/>
      </c>
      <c r="F623" s="15" t="str" cm="1">
        <f t="array" ref="F623">IF($A623="","",SUMPRODUCT((TRIM(tblDados[Visitante])=$A623)*tblDados[Primeira_Ocorrencia]))</f>
        <v/>
      </c>
      <c r="G623" s="15" t="str" cm="1">
        <f t="array" ref="G623">IF($A623="","",SUMPRODUCT((TRIM(tblDados[Mandante])=$A623)*tblDados[Primeira_Ocorrencia])+SUMPRODUCT((TRIM(tblDados[Visitante])=$A623)*tblDados[Primeira_Ocorrencia]))</f>
        <v/>
      </c>
      <c r="H623" s="14" t="str">
        <f t="shared" si="173"/>
        <v/>
      </c>
      <c r="I623" s="14" t="str" cm="1">
        <f t="array" ref="I623">IF($A623="","",_xlfn.LET(_xlpm.p,IFERROR(INDEX(tblDados[País],MATCH($A623,TRIM(tblDados[Mandante]),0)),INDEX(tblDados[País],MATCH($A623,TRIM(tblDados[Visitante]),0))),_xlpm.l,IFERROR(INDEX(tblDados[Liga],MATCH($A623,TRIM(tblDados[Mandante]),0)),INDEX(tblDados[Liga],MATCH($A623,TRIM(tblDados[Visitante]),0))),IFERROR(SUMIFS(Ligas!$D$2:$D$39,Ligas!$H$2:$H$39,_xlpm.p,Ligas!$I$2:$I$39,_xlpm.l),0)))</f>
        <v/>
      </c>
      <c r="J623" s="16" t="str" cm="1">
        <f t="array" ref="J623">IF($A623="","",IFERROR((SUMPRODUCT((TRIM(tblDados[Mandante])=$A623)*tblDados[Primeira_Ocorrencia]*(tblDados[GM_M]=0))+SUMPRODUCT((TRIM(tblDados[Visitante])=$A623)*tblDados[Primeira_Ocorrencia]*(tblDados[GM_V]=0)))/G623,0))</f>
        <v/>
      </c>
      <c r="K623" s="16" t="str" cm="1">
        <f t="array" ref="K623">IF($A623="","",IFERROR((SUMPRODUCT((TRIM(tblDados[Mandante])=$A623)*tblDados[Primeira_Ocorrencia]*((tblDados[GM_M]+tblDados[GS_M])&gt;0.5))+SUMPRODUCT((TRIM(tblDados[Visitante])=$A623)*tblDados[Primeira_Ocorrencia]*((tblDados[GM_V]+tblDados[GS_V])&gt;0.5)))/G623,0))</f>
        <v/>
      </c>
      <c r="L623" s="16" t="str" cm="1">
        <f t="array" ref="L623">IF($A623="","",IFERROR((SUMPRODUCT((TRIM(tblDados[Mandante])=$A623)*tblDados[Primeira_Ocorrencia]*((tblDados[GM_M]+tblDados[GS_M])&gt;1.5))+SUMPRODUCT((TRIM(tblDados[Visitante])=$A623)*tblDados[Primeira_Ocorrencia]*((tblDados[GM_V]+tblDados[GS_V])&gt;1.5)))/G623,0))</f>
        <v/>
      </c>
      <c r="M623" s="16" t="str" cm="1">
        <f t="array" ref="M623">IF($A623="","",IFERROR((SUMPRODUCT((TRIM(tblDados[Mandante])=$A623)*tblDados[Primeira_Ocorrencia]*((tblDados[GM_M]+tblDados[GS_M])&gt;2.5))+SUMPRODUCT((TRIM(tblDados[Visitante])=$A623)*tblDados[Primeira_Ocorrencia]*((tblDados[GM_V]+tblDados[GS_V])&gt;2.5)))/G623,0))</f>
        <v/>
      </c>
      <c r="N623" s="16" t="str" cm="1">
        <f t="array" ref="N623">IF($A623="","",IFERROR((SUMPRODUCT((TRIM(tblDados[Mandante])=$A623)*tblDados[Primeira_Ocorrencia]*((tblDados[GM_M]+tblDados[GS_M])&gt;3.5))+SUMPRODUCT((TRIM(tblDados[Visitante])=$A623)*tblDados[Primeira_Ocorrencia]*((tblDados[GM_V]+tblDados[GS_V])&gt;3.5)))/G623,0))</f>
        <v/>
      </c>
      <c r="O623" s="16" t="str" cm="1">
        <f t="array" ref="O623">IF($A623="","",IFERROR((SUMPRODUCT((TRIM(tblDados[Mandante])=$A623)*tblDados[Primeira_Ocorrencia]*(tblDados[GM_M]&gt;0)*(tblDados[GS_M]&gt;0))+SUMPRODUCT((TRIM(tblDados[Visitante])=$A623)*tblDados[Primeira_Ocorrencia]*(tblDados[GM_V]&gt;0)*(tblDados[GS_V]&gt;0)))/G623,0))</f>
        <v/>
      </c>
      <c r="P623" s="14" t="str" cm="1">
        <f t="array" ref="P623">IF($A623="","",IFERROR((SUMPRODUCT((TRIM(tblDados[Mandante])=$A623)*tblDados[Primeira_Ocorrencia]*tblDados[GM_M]^2)+SUMPRODUCT((TRIM(tblDados[Visitante])=$A623)*tblDados[Primeira_Ocorrencia]*tblDados[GM_V]^2))/G623-H623^2,0))</f>
        <v/>
      </c>
      <c r="Q623" s="14" t="str">
        <f t="shared" si="174"/>
        <v/>
      </c>
      <c r="R623" s="1" t="str">
        <f t="shared" si="175"/>
        <v/>
      </c>
      <c r="S623" s="14" t="str" cm="1">
        <f t="array" ref="S623">IF($A623="","",SUMPRODUCT((TRIM(tblDados[Mandante])=$A623)*tblDados[Primeira_Ocorrencia]*tblDados[GM_M]))</f>
        <v/>
      </c>
      <c r="T623" s="14" t="str" cm="1">
        <f t="array" ref="T623">IF($A623="","",SUMPRODUCT((TRIM(tblDados[Visitante])=$A623)*tblDados[Primeira_Ocorrencia]*tblDados[GM_V]))</f>
        <v/>
      </c>
      <c r="U623" s="14" t="str">
        <f t="shared" si="176"/>
        <v/>
      </c>
      <c r="V623" s="14" t="str">
        <f t="shared" si="165"/>
        <v/>
      </c>
      <c r="W623" s="14" t="str" cm="1">
        <f t="array" ref="W623">IF($A623="","",SUMPRODUCT((TRIM(tblDados[Mandante])=$A623)*tblDados[Primeira_Ocorrencia]*tblDados[GS_M]))</f>
        <v/>
      </c>
      <c r="X623" s="14" t="str" cm="1">
        <f t="array" ref="X623">IF($A623="","",SUMPRODUCT((TRIM(tblDados[Visitante])=$A623)*tblDados[Primeira_Ocorrencia]*tblDados[GS_V]))</f>
        <v/>
      </c>
      <c r="Y623" s="14" t="str">
        <f t="shared" si="177"/>
        <v/>
      </c>
      <c r="Z623" s="14" t="str">
        <f t="shared" si="166"/>
        <v/>
      </c>
      <c r="AA623" s="14" t="str">
        <f t="shared" si="167"/>
        <v/>
      </c>
      <c r="AB623" s="14" t="str">
        <f t="shared" si="168"/>
        <v/>
      </c>
      <c r="AC623" s="14" t="str">
        <f t="shared" si="169"/>
        <v/>
      </c>
      <c r="AD623" s="14" t="str">
        <f t="shared" si="170"/>
        <v/>
      </c>
    </row>
    <row r="624" spans="2:30" x14ac:dyDescent="0.3">
      <c r="B624" s="13" t="str" cm="1">
        <f t="array" ref="B624">IF($A624="","",_xlfn.LET(_xlpm.p,IFERROR(INDEX(tblDados[País],MATCH($A624,TRIM(tblDados[Mandante]),0)),INDEX(tblDados[País],MATCH($A624,TRIM(tblDados[Visitante]),0))),_xlpm.l,IFERROR(INDEX(tblDados[Liga],MATCH($A624,TRIM(tblDados[Mandante]),0)),INDEX(tblDados[Liga],MATCH($A624,TRIM(tblDados[Visitante]),0))),_xlpm.p&amp;" - "&amp;_xlpm.l))</f>
        <v/>
      </c>
      <c r="C624" s="14" t="str">
        <f t="shared" si="171"/>
        <v/>
      </c>
      <c r="D624" s="14" t="str">
        <f t="shared" si="172"/>
        <v/>
      </c>
      <c r="E624" s="15" t="str" cm="1">
        <f t="array" ref="E624">IF($A624="","",SUMPRODUCT((TRIM(tblDados[Mandante])=$A624)*tblDados[Primeira_Ocorrencia]))</f>
        <v/>
      </c>
      <c r="F624" s="15" t="str" cm="1">
        <f t="array" ref="F624">IF($A624="","",SUMPRODUCT((TRIM(tblDados[Visitante])=$A624)*tblDados[Primeira_Ocorrencia]))</f>
        <v/>
      </c>
      <c r="G624" s="15" t="str" cm="1">
        <f t="array" ref="G624">IF($A624="","",SUMPRODUCT((TRIM(tblDados[Mandante])=$A624)*tblDados[Primeira_Ocorrencia])+SUMPRODUCT((TRIM(tblDados[Visitante])=$A624)*tblDados[Primeira_Ocorrencia]))</f>
        <v/>
      </c>
      <c r="H624" s="14" t="str">
        <f t="shared" si="173"/>
        <v/>
      </c>
      <c r="I624" s="14" t="str" cm="1">
        <f t="array" ref="I624">IF($A624="","",_xlfn.LET(_xlpm.p,IFERROR(INDEX(tblDados[País],MATCH($A624,TRIM(tblDados[Mandante]),0)),INDEX(tblDados[País],MATCH($A624,TRIM(tblDados[Visitante]),0))),_xlpm.l,IFERROR(INDEX(tblDados[Liga],MATCH($A624,TRIM(tblDados[Mandante]),0)),INDEX(tblDados[Liga],MATCH($A624,TRIM(tblDados[Visitante]),0))),IFERROR(SUMIFS(Ligas!$D$2:$D$39,Ligas!$H$2:$H$39,_xlpm.p,Ligas!$I$2:$I$39,_xlpm.l),0)))</f>
        <v/>
      </c>
      <c r="J624" s="16" t="str" cm="1">
        <f t="array" ref="J624">IF($A624="","",IFERROR((SUMPRODUCT((TRIM(tblDados[Mandante])=$A624)*tblDados[Primeira_Ocorrencia]*(tblDados[GM_M]=0))+SUMPRODUCT((TRIM(tblDados[Visitante])=$A624)*tblDados[Primeira_Ocorrencia]*(tblDados[GM_V]=0)))/G624,0))</f>
        <v/>
      </c>
      <c r="K624" s="16" t="str" cm="1">
        <f t="array" ref="K624">IF($A624="","",IFERROR((SUMPRODUCT((TRIM(tblDados[Mandante])=$A624)*tblDados[Primeira_Ocorrencia]*((tblDados[GM_M]+tblDados[GS_M])&gt;0.5))+SUMPRODUCT((TRIM(tblDados[Visitante])=$A624)*tblDados[Primeira_Ocorrencia]*((tblDados[GM_V]+tblDados[GS_V])&gt;0.5)))/G624,0))</f>
        <v/>
      </c>
      <c r="L624" s="16" t="str" cm="1">
        <f t="array" ref="L624">IF($A624="","",IFERROR((SUMPRODUCT((TRIM(tblDados[Mandante])=$A624)*tblDados[Primeira_Ocorrencia]*((tblDados[GM_M]+tblDados[GS_M])&gt;1.5))+SUMPRODUCT((TRIM(tblDados[Visitante])=$A624)*tblDados[Primeira_Ocorrencia]*((tblDados[GM_V]+tblDados[GS_V])&gt;1.5)))/G624,0))</f>
        <v/>
      </c>
      <c r="M624" s="16" t="str" cm="1">
        <f t="array" ref="M624">IF($A624="","",IFERROR((SUMPRODUCT((TRIM(tblDados[Mandante])=$A624)*tblDados[Primeira_Ocorrencia]*((tblDados[GM_M]+tblDados[GS_M])&gt;2.5))+SUMPRODUCT((TRIM(tblDados[Visitante])=$A624)*tblDados[Primeira_Ocorrencia]*((tblDados[GM_V]+tblDados[GS_V])&gt;2.5)))/G624,0))</f>
        <v/>
      </c>
      <c r="N624" s="16" t="str" cm="1">
        <f t="array" ref="N624">IF($A624="","",IFERROR((SUMPRODUCT((TRIM(tblDados[Mandante])=$A624)*tblDados[Primeira_Ocorrencia]*((tblDados[GM_M]+tblDados[GS_M])&gt;3.5))+SUMPRODUCT((TRIM(tblDados[Visitante])=$A624)*tblDados[Primeira_Ocorrencia]*((tblDados[GM_V]+tblDados[GS_V])&gt;3.5)))/G624,0))</f>
        <v/>
      </c>
      <c r="O624" s="16" t="str" cm="1">
        <f t="array" ref="O624">IF($A624="","",IFERROR((SUMPRODUCT((TRIM(tblDados[Mandante])=$A624)*tblDados[Primeira_Ocorrencia]*(tblDados[GM_M]&gt;0)*(tblDados[GS_M]&gt;0))+SUMPRODUCT((TRIM(tblDados[Visitante])=$A624)*tblDados[Primeira_Ocorrencia]*(tblDados[GM_V]&gt;0)*(tblDados[GS_V]&gt;0)))/G624,0))</f>
        <v/>
      </c>
      <c r="P624" s="14" t="str" cm="1">
        <f t="array" ref="P624">IF($A624="","",IFERROR((SUMPRODUCT((TRIM(tblDados[Mandante])=$A624)*tblDados[Primeira_Ocorrencia]*tblDados[GM_M]^2)+SUMPRODUCT((TRIM(tblDados[Visitante])=$A624)*tblDados[Primeira_Ocorrencia]*tblDados[GM_V]^2))/G624-H624^2,0))</f>
        <v/>
      </c>
      <c r="Q624" s="14" t="str">
        <f t="shared" si="174"/>
        <v/>
      </c>
      <c r="R624" s="1" t="str">
        <f t="shared" si="175"/>
        <v/>
      </c>
      <c r="S624" s="14" t="str" cm="1">
        <f t="array" ref="S624">IF($A624="","",SUMPRODUCT((TRIM(tblDados[Mandante])=$A624)*tblDados[Primeira_Ocorrencia]*tblDados[GM_M]))</f>
        <v/>
      </c>
      <c r="T624" s="14" t="str" cm="1">
        <f t="array" ref="T624">IF($A624="","",SUMPRODUCT((TRIM(tblDados[Visitante])=$A624)*tblDados[Primeira_Ocorrencia]*tblDados[GM_V]))</f>
        <v/>
      </c>
      <c r="U624" s="14" t="str">
        <f t="shared" si="176"/>
        <v/>
      </c>
      <c r="V624" s="14" t="str">
        <f t="shared" si="165"/>
        <v/>
      </c>
      <c r="W624" s="14" t="str" cm="1">
        <f t="array" ref="W624">IF($A624="","",SUMPRODUCT((TRIM(tblDados[Mandante])=$A624)*tblDados[Primeira_Ocorrencia]*tblDados[GS_M]))</f>
        <v/>
      </c>
      <c r="X624" s="14" t="str" cm="1">
        <f t="array" ref="X624">IF($A624="","",SUMPRODUCT((TRIM(tblDados[Visitante])=$A624)*tblDados[Primeira_Ocorrencia]*tblDados[GS_V]))</f>
        <v/>
      </c>
      <c r="Y624" s="14" t="str">
        <f t="shared" si="177"/>
        <v/>
      </c>
      <c r="Z624" s="14" t="str">
        <f t="shared" si="166"/>
        <v/>
      </c>
      <c r="AA624" s="14" t="str">
        <f t="shared" si="167"/>
        <v/>
      </c>
      <c r="AB624" s="14" t="str">
        <f t="shared" si="168"/>
        <v/>
      </c>
      <c r="AC624" s="14" t="str">
        <f t="shared" si="169"/>
        <v/>
      </c>
      <c r="AD624" s="14" t="str">
        <f t="shared" si="170"/>
        <v/>
      </c>
    </row>
    <row r="625" spans="2:30" x14ac:dyDescent="0.3">
      <c r="B625" s="13" t="str" cm="1">
        <f t="array" ref="B625">IF($A625="","",_xlfn.LET(_xlpm.p,IFERROR(INDEX(tblDados[País],MATCH($A625,TRIM(tblDados[Mandante]),0)),INDEX(tblDados[País],MATCH($A625,TRIM(tblDados[Visitante]),0))),_xlpm.l,IFERROR(INDEX(tblDados[Liga],MATCH($A625,TRIM(tblDados[Mandante]),0)),INDEX(tblDados[Liga],MATCH($A625,TRIM(tblDados[Visitante]),0))),_xlpm.p&amp;" - "&amp;_xlpm.l))</f>
        <v/>
      </c>
      <c r="C625" s="14" t="str">
        <f t="shared" si="171"/>
        <v/>
      </c>
      <c r="D625" s="14" t="str">
        <f t="shared" si="172"/>
        <v/>
      </c>
      <c r="E625" s="15" t="str" cm="1">
        <f t="array" ref="E625">IF($A625="","",SUMPRODUCT((TRIM(tblDados[Mandante])=$A625)*tblDados[Primeira_Ocorrencia]))</f>
        <v/>
      </c>
      <c r="F625" s="15" t="str" cm="1">
        <f t="array" ref="F625">IF($A625="","",SUMPRODUCT((TRIM(tblDados[Visitante])=$A625)*tblDados[Primeira_Ocorrencia]))</f>
        <v/>
      </c>
      <c r="G625" s="15" t="str" cm="1">
        <f t="array" ref="G625">IF($A625="","",SUMPRODUCT((TRIM(tblDados[Mandante])=$A625)*tblDados[Primeira_Ocorrencia])+SUMPRODUCT((TRIM(tblDados[Visitante])=$A625)*tblDados[Primeira_Ocorrencia]))</f>
        <v/>
      </c>
      <c r="H625" s="14" t="str">
        <f t="shared" si="173"/>
        <v/>
      </c>
      <c r="I625" s="14" t="str" cm="1">
        <f t="array" ref="I625">IF($A625="","",_xlfn.LET(_xlpm.p,IFERROR(INDEX(tblDados[País],MATCH($A625,TRIM(tblDados[Mandante]),0)),INDEX(tblDados[País],MATCH($A625,TRIM(tblDados[Visitante]),0))),_xlpm.l,IFERROR(INDEX(tblDados[Liga],MATCH($A625,TRIM(tblDados[Mandante]),0)),INDEX(tblDados[Liga],MATCH($A625,TRIM(tblDados[Visitante]),0))),IFERROR(SUMIFS(Ligas!$D$2:$D$39,Ligas!$H$2:$H$39,_xlpm.p,Ligas!$I$2:$I$39,_xlpm.l),0)))</f>
        <v/>
      </c>
      <c r="J625" s="16" t="str" cm="1">
        <f t="array" ref="J625">IF($A625="","",IFERROR((SUMPRODUCT((TRIM(tblDados[Mandante])=$A625)*tblDados[Primeira_Ocorrencia]*(tblDados[GM_M]=0))+SUMPRODUCT((TRIM(tblDados[Visitante])=$A625)*tblDados[Primeira_Ocorrencia]*(tblDados[GM_V]=0)))/G625,0))</f>
        <v/>
      </c>
      <c r="K625" s="16" t="str" cm="1">
        <f t="array" ref="K625">IF($A625="","",IFERROR((SUMPRODUCT((TRIM(tblDados[Mandante])=$A625)*tblDados[Primeira_Ocorrencia]*((tblDados[GM_M]+tblDados[GS_M])&gt;0.5))+SUMPRODUCT((TRIM(tblDados[Visitante])=$A625)*tblDados[Primeira_Ocorrencia]*((tblDados[GM_V]+tblDados[GS_V])&gt;0.5)))/G625,0))</f>
        <v/>
      </c>
      <c r="L625" s="16" t="str" cm="1">
        <f t="array" ref="L625">IF($A625="","",IFERROR((SUMPRODUCT((TRIM(tblDados[Mandante])=$A625)*tblDados[Primeira_Ocorrencia]*((tblDados[GM_M]+tblDados[GS_M])&gt;1.5))+SUMPRODUCT((TRIM(tblDados[Visitante])=$A625)*tblDados[Primeira_Ocorrencia]*((tblDados[GM_V]+tblDados[GS_V])&gt;1.5)))/G625,0))</f>
        <v/>
      </c>
      <c r="M625" s="16" t="str" cm="1">
        <f t="array" ref="M625">IF($A625="","",IFERROR((SUMPRODUCT((TRIM(tblDados[Mandante])=$A625)*tblDados[Primeira_Ocorrencia]*((tblDados[GM_M]+tblDados[GS_M])&gt;2.5))+SUMPRODUCT((TRIM(tblDados[Visitante])=$A625)*tblDados[Primeira_Ocorrencia]*((tblDados[GM_V]+tblDados[GS_V])&gt;2.5)))/G625,0))</f>
        <v/>
      </c>
      <c r="N625" s="16" t="str" cm="1">
        <f t="array" ref="N625">IF($A625="","",IFERROR((SUMPRODUCT((TRIM(tblDados[Mandante])=$A625)*tblDados[Primeira_Ocorrencia]*((tblDados[GM_M]+tblDados[GS_M])&gt;3.5))+SUMPRODUCT((TRIM(tblDados[Visitante])=$A625)*tblDados[Primeira_Ocorrencia]*((tblDados[GM_V]+tblDados[GS_V])&gt;3.5)))/G625,0))</f>
        <v/>
      </c>
      <c r="O625" s="16" t="str" cm="1">
        <f t="array" ref="O625">IF($A625="","",IFERROR((SUMPRODUCT((TRIM(tblDados[Mandante])=$A625)*tblDados[Primeira_Ocorrencia]*(tblDados[GM_M]&gt;0)*(tblDados[GS_M]&gt;0))+SUMPRODUCT((TRIM(tblDados[Visitante])=$A625)*tblDados[Primeira_Ocorrencia]*(tblDados[GM_V]&gt;0)*(tblDados[GS_V]&gt;0)))/G625,0))</f>
        <v/>
      </c>
      <c r="P625" s="14" t="str" cm="1">
        <f t="array" ref="P625">IF($A625="","",IFERROR((SUMPRODUCT((TRIM(tblDados[Mandante])=$A625)*tblDados[Primeira_Ocorrencia]*tblDados[GM_M]^2)+SUMPRODUCT((TRIM(tblDados[Visitante])=$A625)*tblDados[Primeira_Ocorrencia]*tblDados[GM_V]^2))/G625-H625^2,0))</f>
        <v/>
      </c>
      <c r="Q625" s="14" t="str">
        <f t="shared" si="174"/>
        <v/>
      </c>
      <c r="R625" s="1" t="str">
        <f t="shared" si="175"/>
        <v/>
      </c>
      <c r="S625" s="14" t="str" cm="1">
        <f t="array" ref="S625">IF($A625="","",SUMPRODUCT((TRIM(tblDados[Mandante])=$A625)*tblDados[Primeira_Ocorrencia]*tblDados[GM_M]))</f>
        <v/>
      </c>
      <c r="T625" s="14" t="str" cm="1">
        <f t="array" ref="T625">IF($A625="","",SUMPRODUCT((TRIM(tblDados[Visitante])=$A625)*tblDados[Primeira_Ocorrencia]*tblDados[GM_V]))</f>
        <v/>
      </c>
      <c r="U625" s="14" t="str">
        <f t="shared" si="176"/>
        <v/>
      </c>
      <c r="V625" s="14" t="str">
        <f t="shared" si="165"/>
        <v/>
      </c>
      <c r="W625" s="14" t="str" cm="1">
        <f t="array" ref="W625">IF($A625="","",SUMPRODUCT((TRIM(tblDados[Mandante])=$A625)*tblDados[Primeira_Ocorrencia]*tblDados[GS_M]))</f>
        <v/>
      </c>
      <c r="X625" s="14" t="str" cm="1">
        <f t="array" ref="X625">IF($A625="","",SUMPRODUCT((TRIM(tblDados[Visitante])=$A625)*tblDados[Primeira_Ocorrencia]*tblDados[GS_V]))</f>
        <v/>
      </c>
      <c r="Y625" s="14" t="str">
        <f t="shared" si="177"/>
        <v/>
      </c>
      <c r="Z625" s="14" t="str">
        <f t="shared" si="166"/>
        <v/>
      </c>
      <c r="AA625" s="14" t="str">
        <f t="shared" si="167"/>
        <v/>
      </c>
      <c r="AB625" s="14" t="str">
        <f t="shared" si="168"/>
        <v/>
      </c>
      <c r="AC625" s="14" t="str">
        <f t="shared" si="169"/>
        <v/>
      </c>
      <c r="AD625" s="14" t="str">
        <f t="shared" si="170"/>
        <v/>
      </c>
    </row>
    <row r="626" spans="2:30" x14ac:dyDescent="0.3">
      <c r="B626" s="13" t="str" cm="1">
        <f t="array" ref="B626">IF($A626="","",_xlfn.LET(_xlpm.p,IFERROR(INDEX(tblDados[País],MATCH($A626,TRIM(tblDados[Mandante]),0)),INDEX(tblDados[País],MATCH($A626,TRIM(tblDados[Visitante]),0))),_xlpm.l,IFERROR(INDEX(tblDados[Liga],MATCH($A626,TRIM(tblDados[Mandante]),0)),INDEX(tblDados[Liga],MATCH($A626,TRIM(tblDados[Visitante]),0))),_xlpm.p&amp;" - "&amp;_xlpm.l))</f>
        <v/>
      </c>
      <c r="C626" s="14" t="str">
        <f t="shared" si="171"/>
        <v/>
      </c>
      <c r="D626" s="14" t="str">
        <f t="shared" si="172"/>
        <v/>
      </c>
      <c r="E626" s="15" t="str" cm="1">
        <f t="array" ref="E626">IF($A626="","",SUMPRODUCT((TRIM(tblDados[Mandante])=$A626)*tblDados[Primeira_Ocorrencia]))</f>
        <v/>
      </c>
      <c r="F626" s="15" t="str" cm="1">
        <f t="array" ref="F626">IF($A626="","",SUMPRODUCT((TRIM(tblDados[Visitante])=$A626)*tblDados[Primeira_Ocorrencia]))</f>
        <v/>
      </c>
      <c r="G626" s="15" t="str" cm="1">
        <f t="array" ref="G626">IF($A626="","",SUMPRODUCT((TRIM(tblDados[Mandante])=$A626)*tblDados[Primeira_Ocorrencia])+SUMPRODUCT((TRIM(tblDados[Visitante])=$A626)*tblDados[Primeira_Ocorrencia]))</f>
        <v/>
      </c>
      <c r="H626" s="14" t="str">
        <f t="shared" si="173"/>
        <v/>
      </c>
      <c r="I626" s="14" t="str" cm="1">
        <f t="array" ref="I626">IF($A626="","",_xlfn.LET(_xlpm.p,IFERROR(INDEX(tblDados[País],MATCH($A626,TRIM(tblDados[Mandante]),0)),INDEX(tblDados[País],MATCH($A626,TRIM(tblDados[Visitante]),0))),_xlpm.l,IFERROR(INDEX(tblDados[Liga],MATCH($A626,TRIM(tblDados[Mandante]),0)),INDEX(tblDados[Liga],MATCH($A626,TRIM(tblDados[Visitante]),0))),IFERROR(SUMIFS(Ligas!$D$2:$D$39,Ligas!$H$2:$H$39,_xlpm.p,Ligas!$I$2:$I$39,_xlpm.l),0)))</f>
        <v/>
      </c>
      <c r="J626" s="16" t="str" cm="1">
        <f t="array" ref="J626">IF($A626="","",IFERROR((SUMPRODUCT((TRIM(tblDados[Mandante])=$A626)*tblDados[Primeira_Ocorrencia]*(tblDados[GM_M]=0))+SUMPRODUCT((TRIM(tblDados[Visitante])=$A626)*tblDados[Primeira_Ocorrencia]*(tblDados[GM_V]=0)))/G626,0))</f>
        <v/>
      </c>
      <c r="K626" s="16" t="str" cm="1">
        <f t="array" ref="K626">IF($A626="","",IFERROR((SUMPRODUCT((TRIM(tblDados[Mandante])=$A626)*tblDados[Primeira_Ocorrencia]*((tblDados[GM_M]+tblDados[GS_M])&gt;0.5))+SUMPRODUCT((TRIM(tblDados[Visitante])=$A626)*tblDados[Primeira_Ocorrencia]*((tblDados[GM_V]+tblDados[GS_V])&gt;0.5)))/G626,0))</f>
        <v/>
      </c>
      <c r="L626" s="16" t="str" cm="1">
        <f t="array" ref="L626">IF($A626="","",IFERROR((SUMPRODUCT((TRIM(tblDados[Mandante])=$A626)*tblDados[Primeira_Ocorrencia]*((tblDados[GM_M]+tblDados[GS_M])&gt;1.5))+SUMPRODUCT((TRIM(tblDados[Visitante])=$A626)*tblDados[Primeira_Ocorrencia]*((tblDados[GM_V]+tblDados[GS_V])&gt;1.5)))/G626,0))</f>
        <v/>
      </c>
      <c r="M626" s="16" t="str" cm="1">
        <f t="array" ref="M626">IF($A626="","",IFERROR((SUMPRODUCT((TRIM(tblDados[Mandante])=$A626)*tblDados[Primeira_Ocorrencia]*((tblDados[GM_M]+tblDados[GS_M])&gt;2.5))+SUMPRODUCT((TRIM(tblDados[Visitante])=$A626)*tblDados[Primeira_Ocorrencia]*((tblDados[GM_V]+tblDados[GS_V])&gt;2.5)))/G626,0))</f>
        <v/>
      </c>
      <c r="N626" s="16" t="str" cm="1">
        <f t="array" ref="N626">IF($A626="","",IFERROR((SUMPRODUCT((TRIM(tblDados[Mandante])=$A626)*tblDados[Primeira_Ocorrencia]*((tblDados[GM_M]+tblDados[GS_M])&gt;3.5))+SUMPRODUCT((TRIM(tblDados[Visitante])=$A626)*tblDados[Primeira_Ocorrencia]*((tblDados[GM_V]+tblDados[GS_V])&gt;3.5)))/G626,0))</f>
        <v/>
      </c>
      <c r="O626" s="16" t="str" cm="1">
        <f t="array" ref="O626">IF($A626="","",IFERROR((SUMPRODUCT((TRIM(tblDados[Mandante])=$A626)*tblDados[Primeira_Ocorrencia]*(tblDados[GM_M]&gt;0)*(tblDados[GS_M]&gt;0))+SUMPRODUCT((TRIM(tblDados[Visitante])=$A626)*tblDados[Primeira_Ocorrencia]*(tblDados[GM_V]&gt;0)*(tblDados[GS_V]&gt;0)))/G626,0))</f>
        <v/>
      </c>
      <c r="P626" s="14" t="str" cm="1">
        <f t="array" ref="P626">IF($A626="","",IFERROR((SUMPRODUCT((TRIM(tblDados[Mandante])=$A626)*tblDados[Primeira_Ocorrencia]*tblDados[GM_M]^2)+SUMPRODUCT((TRIM(tblDados[Visitante])=$A626)*tblDados[Primeira_Ocorrencia]*tblDados[GM_V]^2))/G626-H626^2,0))</f>
        <v/>
      </c>
      <c r="Q626" s="14" t="str">
        <f t="shared" si="174"/>
        <v/>
      </c>
      <c r="R626" s="1" t="str">
        <f t="shared" si="175"/>
        <v/>
      </c>
      <c r="S626" s="14" t="str" cm="1">
        <f t="array" ref="S626">IF($A626="","",SUMPRODUCT((TRIM(tblDados[Mandante])=$A626)*tblDados[Primeira_Ocorrencia]*tblDados[GM_M]))</f>
        <v/>
      </c>
      <c r="T626" s="14" t="str" cm="1">
        <f t="array" ref="T626">IF($A626="","",SUMPRODUCT((TRIM(tblDados[Visitante])=$A626)*tblDados[Primeira_Ocorrencia]*tblDados[GM_V]))</f>
        <v/>
      </c>
      <c r="U626" s="14" t="str">
        <f t="shared" si="176"/>
        <v/>
      </c>
      <c r="V626" s="14" t="str">
        <f t="shared" si="165"/>
        <v/>
      </c>
      <c r="W626" s="14" t="str" cm="1">
        <f t="array" ref="W626">IF($A626="","",SUMPRODUCT((TRIM(tblDados[Mandante])=$A626)*tblDados[Primeira_Ocorrencia]*tblDados[GS_M]))</f>
        <v/>
      </c>
      <c r="X626" s="14" t="str" cm="1">
        <f t="array" ref="X626">IF($A626="","",SUMPRODUCT((TRIM(tblDados[Visitante])=$A626)*tblDados[Primeira_Ocorrencia]*tblDados[GS_V]))</f>
        <v/>
      </c>
      <c r="Y626" s="14" t="str">
        <f t="shared" si="177"/>
        <v/>
      </c>
      <c r="Z626" s="14" t="str">
        <f t="shared" si="166"/>
        <v/>
      </c>
      <c r="AA626" s="14" t="str">
        <f t="shared" si="167"/>
        <v/>
      </c>
      <c r="AB626" s="14" t="str">
        <f t="shared" si="168"/>
        <v/>
      </c>
      <c r="AC626" s="14" t="str">
        <f t="shared" si="169"/>
        <v/>
      </c>
      <c r="AD626" s="14" t="str">
        <f t="shared" si="170"/>
        <v/>
      </c>
    </row>
    <row r="627" spans="2:30" x14ac:dyDescent="0.3">
      <c r="B627" s="13" t="str" cm="1">
        <f t="array" ref="B627">IF($A627="","",_xlfn.LET(_xlpm.p,IFERROR(INDEX(tblDados[País],MATCH($A627,TRIM(tblDados[Mandante]),0)),INDEX(tblDados[País],MATCH($A627,TRIM(tblDados[Visitante]),0))),_xlpm.l,IFERROR(INDEX(tblDados[Liga],MATCH($A627,TRIM(tblDados[Mandante]),0)),INDEX(tblDados[Liga],MATCH($A627,TRIM(tblDados[Visitante]),0))),_xlpm.p&amp;" - "&amp;_xlpm.l))</f>
        <v/>
      </c>
      <c r="C627" s="14" t="str">
        <f t="shared" si="171"/>
        <v/>
      </c>
      <c r="D627" s="14" t="str">
        <f t="shared" si="172"/>
        <v/>
      </c>
      <c r="E627" s="15" t="str" cm="1">
        <f t="array" ref="E627">IF($A627="","",SUMPRODUCT((TRIM(tblDados[Mandante])=$A627)*tblDados[Primeira_Ocorrencia]))</f>
        <v/>
      </c>
      <c r="F627" s="15" t="str" cm="1">
        <f t="array" ref="F627">IF($A627="","",SUMPRODUCT((TRIM(tblDados[Visitante])=$A627)*tblDados[Primeira_Ocorrencia]))</f>
        <v/>
      </c>
      <c r="G627" s="15" t="str" cm="1">
        <f t="array" ref="G627">IF($A627="","",SUMPRODUCT((TRIM(tblDados[Mandante])=$A627)*tblDados[Primeira_Ocorrencia])+SUMPRODUCT((TRIM(tblDados[Visitante])=$A627)*tblDados[Primeira_Ocorrencia]))</f>
        <v/>
      </c>
      <c r="H627" s="14" t="str">
        <f t="shared" si="173"/>
        <v/>
      </c>
      <c r="I627" s="14" t="str" cm="1">
        <f t="array" ref="I627">IF($A627="","",_xlfn.LET(_xlpm.p,IFERROR(INDEX(tblDados[País],MATCH($A627,TRIM(tblDados[Mandante]),0)),INDEX(tblDados[País],MATCH($A627,TRIM(tblDados[Visitante]),0))),_xlpm.l,IFERROR(INDEX(tblDados[Liga],MATCH($A627,TRIM(tblDados[Mandante]),0)),INDEX(tblDados[Liga],MATCH($A627,TRIM(tblDados[Visitante]),0))),IFERROR(SUMIFS(Ligas!$D$2:$D$39,Ligas!$H$2:$H$39,_xlpm.p,Ligas!$I$2:$I$39,_xlpm.l),0)))</f>
        <v/>
      </c>
      <c r="J627" s="16" t="str" cm="1">
        <f t="array" ref="J627">IF($A627="","",IFERROR((SUMPRODUCT((TRIM(tblDados[Mandante])=$A627)*tblDados[Primeira_Ocorrencia]*(tblDados[GM_M]=0))+SUMPRODUCT((TRIM(tblDados[Visitante])=$A627)*tblDados[Primeira_Ocorrencia]*(tblDados[GM_V]=0)))/G627,0))</f>
        <v/>
      </c>
      <c r="K627" s="16" t="str" cm="1">
        <f t="array" ref="K627">IF($A627="","",IFERROR((SUMPRODUCT((TRIM(tblDados[Mandante])=$A627)*tblDados[Primeira_Ocorrencia]*((tblDados[GM_M]+tblDados[GS_M])&gt;0.5))+SUMPRODUCT((TRIM(tblDados[Visitante])=$A627)*tblDados[Primeira_Ocorrencia]*((tblDados[GM_V]+tblDados[GS_V])&gt;0.5)))/G627,0))</f>
        <v/>
      </c>
      <c r="L627" s="16" t="str" cm="1">
        <f t="array" ref="L627">IF($A627="","",IFERROR((SUMPRODUCT((TRIM(tblDados[Mandante])=$A627)*tblDados[Primeira_Ocorrencia]*((tblDados[GM_M]+tblDados[GS_M])&gt;1.5))+SUMPRODUCT((TRIM(tblDados[Visitante])=$A627)*tblDados[Primeira_Ocorrencia]*((tblDados[GM_V]+tblDados[GS_V])&gt;1.5)))/G627,0))</f>
        <v/>
      </c>
      <c r="M627" s="16" t="str" cm="1">
        <f t="array" ref="M627">IF($A627="","",IFERROR((SUMPRODUCT((TRIM(tblDados[Mandante])=$A627)*tblDados[Primeira_Ocorrencia]*((tblDados[GM_M]+tblDados[GS_M])&gt;2.5))+SUMPRODUCT((TRIM(tblDados[Visitante])=$A627)*tblDados[Primeira_Ocorrencia]*((tblDados[GM_V]+tblDados[GS_V])&gt;2.5)))/G627,0))</f>
        <v/>
      </c>
      <c r="N627" s="16" t="str" cm="1">
        <f t="array" ref="N627">IF($A627="","",IFERROR((SUMPRODUCT((TRIM(tblDados[Mandante])=$A627)*tblDados[Primeira_Ocorrencia]*((tblDados[GM_M]+tblDados[GS_M])&gt;3.5))+SUMPRODUCT((TRIM(tblDados[Visitante])=$A627)*tblDados[Primeira_Ocorrencia]*((tblDados[GM_V]+tblDados[GS_V])&gt;3.5)))/G627,0))</f>
        <v/>
      </c>
      <c r="O627" s="16" t="str" cm="1">
        <f t="array" ref="O627">IF($A627="","",IFERROR((SUMPRODUCT((TRIM(tblDados[Mandante])=$A627)*tblDados[Primeira_Ocorrencia]*(tblDados[GM_M]&gt;0)*(tblDados[GS_M]&gt;0))+SUMPRODUCT((TRIM(tblDados[Visitante])=$A627)*tblDados[Primeira_Ocorrencia]*(tblDados[GM_V]&gt;0)*(tblDados[GS_V]&gt;0)))/G627,0))</f>
        <v/>
      </c>
      <c r="P627" s="14" t="str" cm="1">
        <f t="array" ref="P627">IF($A627="","",IFERROR((SUMPRODUCT((TRIM(tblDados[Mandante])=$A627)*tblDados[Primeira_Ocorrencia]*tblDados[GM_M]^2)+SUMPRODUCT((TRIM(tblDados[Visitante])=$A627)*tblDados[Primeira_Ocorrencia]*tblDados[GM_V]^2))/G627-H627^2,0))</f>
        <v/>
      </c>
      <c r="Q627" s="14" t="str">
        <f t="shared" si="174"/>
        <v/>
      </c>
      <c r="R627" s="1" t="str">
        <f t="shared" si="175"/>
        <v/>
      </c>
      <c r="S627" s="14" t="str" cm="1">
        <f t="array" ref="S627">IF($A627="","",SUMPRODUCT((TRIM(tblDados[Mandante])=$A627)*tblDados[Primeira_Ocorrencia]*tblDados[GM_M]))</f>
        <v/>
      </c>
      <c r="T627" s="14" t="str" cm="1">
        <f t="array" ref="T627">IF($A627="","",SUMPRODUCT((TRIM(tblDados[Visitante])=$A627)*tblDados[Primeira_Ocorrencia]*tblDados[GM_V]))</f>
        <v/>
      </c>
      <c r="U627" s="14" t="str">
        <f t="shared" si="176"/>
        <v/>
      </c>
      <c r="V627" s="14" t="str">
        <f t="shared" si="165"/>
        <v/>
      </c>
      <c r="W627" s="14" t="str" cm="1">
        <f t="array" ref="W627">IF($A627="","",SUMPRODUCT((TRIM(tblDados[Mandante])=$A627)*tblDados[Primeira_Ocorrencia]*tblDados[GS_M]))</f>
        <v/>
      </c>
      <c r="X627" s="14" t="str" cm="1">
        <f t="array" ref="X627">IF($A627="","",SUMPRODUCT((TRIM(tblDados[Visitante])=$A627)*tblDados[Primeira_Ocorrencia]*tblDados[GS_V]))</f>
        <v/>
      </c>
      <c r="Y627" s="14" t="str">
        <f t="shared" si="177"/>
        <v/>
      </c>
      <c r="Z627" s="14" t="str">
        <f t="shared" si="166"/>
        <v/>
      </c>
      <c r="AA627" s="14" t="str">
        <f t="shared" si="167"/>
        <v/>
      </c>
      <c r="AB627" s="14" t="str">
        <f t="shared" si="168"/>
        <v/>
      </c>
      <c r="AC627" s="14" t="str">
        <f t="shared" si="169"/>
        <v/>
      </c>
      <c r="AD627" s="14" t="str">
        <f t="shared" si="170"/>
        <v/>
      </c>
    </row>
    <row r="628" spans="2:30" x14ac:dyDescent="0.3">
      <c r="B628" s="13" t="str" cm="1">
        <f t="array" ref="B628">IF($A628="","",_xlfn.LET(_xlpm.p,IFERROR(INDEX(tblDados[País],MATCH($A628,TRIM(tblDados[Mandante]),0)),INDEX(tblDados[País],MATCH($A628,TRIM(tblDados[Visitante]),0))),_xlpm.l,IFERROR(INDEX(tblDados[Liga],MATCH($A628,TRIM(tblDados[Mandante]),0)),INDEX(tblDados[Liga],MATCH($A628,TRIM(tblDados[Visitante]),0))),_xlpm.p&amp;" - "&amp;_xlpm.l))</f>
        <v/>
      </c>
      <c r="C628" s="14" t="str">
        <f t="shared" si="171"/>
        <v/>
      </c>
      <c r="D628" s="14" t="str">
        <f t="shared" si="172"/>
        <v/>
      </c>
      <c r="E628" s="15" t="str" cm="1">
        <f t="array" ref="E628">IF($A628="","",SUMPRODUCT((TRIM(tblDados[Mandante])=$A628)*tblDados[Primeira_Ocorrencia]))</f>
        <v/>
      </c>
      <c r="F628" s="15" t="str" cm="1">
        <f t="array" ref="F628">IF($A628="","",SUMPRODUCT((TRIM(tblDados[Visitante])=$A628)*tblDados[Primeira_Ocorrencia]))</f>
        <v/>
      </c>
      <c r="G628" s="15" t="str" cm="1">
        <f t="array" ref="G628">IF($A628="","",SUMPRODUCT((TRIM(tblDados[Mandante])=$A628)*tblDados[Primeira_Ocorrencia])+SUMPRODUCT((TRIM(tblDados[Visitante])=$A628)*tblDados[Primeira_Ocorrencia]))</f>
        <v/>
      </c>
      <c r="H628" s="14" t="str">
        <f t="shared" si="173"/>
        <v/>
      </c>
      <c r="I628" s="14" t="str" cm="1">
        <f t="array" ref="I628">IF($A628="","",_xlfn.LET(_xlpm.p,IFERROR(INDEX(tblDados[País],MATCH($A628,TRIM(tblDados[Mandante]),0)),INDEX(tblDados[País],MATCH($A628,TRIM(tblDados[Visitante]),0))),_xlpm.l,IFERROR(INDEX(tblDados[Liga],MATCH($A628,TRIM(tblDados[Mandante]),0)),INDEX(tblDados[Liga],MATCH($A628,TRIM(tblDados[Visitante]),0))),IFERROR(SUMIFS(Ligas!$D$2:$D$39,Ligas!$H$2:$H$39,_xlpm.p,Ligas!$I$2:$I$39,_xlpm.l),0)))</f>
        <v/>
      </c>
      <c r="J628" s="16" t="str" cm="1">
        <f t="array" ref="J628">IF($A628="","",IFERROR((SUMPRODUCT((TRIM(tblDados[Mandante])=$A628)*tblDados[Primeira_Ocorrencia]*(tblDados[GM_M]=0))+SUMPRODUCT((TRIM(tblDados[Visitante])=$A628)*tblDados[Primeira_Ocorrencia]*(tblDados[GM_V]=0)))/G628,0))</f>
        <v/>
      </c>
      <c r="K628" s="16" t="str" cm="1">
        <f t="array" ref="K628">IF($A628="","",IFERROR((SUMPRODUCT((TRIM(tblDados[Mandante])=$A628)*tblDados[Primeira_Ocorrencia]*((tblDados[GM_M]+tblDados[GS_M])&gt;0.5))+SUMPRODUCT((TRIM(tblDados[Visitante])=$A628)*tblDados[Primeira_Ocorrencia]*((tblDados[GM_V]+tblDados[GS_V])&gt;0.5)))/G628,0))</f>
        <v/>
      </c>
      <c r="L628" s="16" t="str" cm="1">
        <f t="array" ref="L628">IF($A628="","",IFERROR((SUMPRODUCT((TRIM(tblDados[Mandante])=$A628)*tblDados[Primeira_Ocorrencia]*((tblDados[GM_M]+tblDados[GS_M])&gt;1.5))+SUMPRODUCT((TRIM(tblDados[Visitante])=$A628)*tblDados[Primeira_Ocorrencia]*((tblDados[GM_V]+tblDados[GS_V])&gt;1.5)))/G628,0))</f>
        <v/>
      </c>
      <c r="M628" s="16" t="str" cm="1">
        <f t="array" ref="M628">IF($A628="","",IFERROR((SUMPRODUCT((TRIM(tblDados[Mandante])=$A628)*tblDados[Primeira_Ocorrencia]*((tblDados[GM_M]+tblDados[GS_M])&gt;2.5))+SUMPRODUCT((TRIM(tblDados[Visitante])=$A628)*tblDados[Primeira_Ocorrencia]*((tblDados[GM_V]+tblDados[GS_V])&gt;2.5)))/G628,0))</f>
        <v/>
      </c>
      <c r="N628" s="16" t="str" cm="1">
        <f t="array" ref="N628">IF($A628="","",IFERROR((SUMPRODUCT((TRIM(tblDados[Mandante])=$A628)*tblDados[Primeira_Ocorrencia]*((tblDados[GM_M]+tblDados[GS_M])&gt;3.5))+SUMPRODUCT((TRIM(tblDados[Visitante])=$A628)*tblDados[Primeira_Ocorrencia]*((tblDados[GM_V]+tblDados[GS_V])&gt;3.5)))/G628,0))</f>
        <v/>
      </c>
      <c r="O628" s="16" t="str" cm="1">
        <f t="array" ref="O628">IF($A628="","",IFERROR((SUMPRODUCT((TRIM(tblDados[Mandante])=$A628)*tblDados[Primeira_Ocorrencia]*(tblDados[GM_M]&gt;0)*(tblDados[GS_M]&gt;0))+SUMPRODUCT((TRIM(tblDados[Visitante])=$A628)*tblDados[Primeira_Ocorrencia]*(tblDados[GM_V]&gt;0)*(tblDados[GS_V]&gt;0)))/G628,0))</f>
        <v/>
      </c>
      <c r="P628" s="14" t="str" cm="1">
        <f t="array" ref="P628">IF($A628="","",IFERROR((SUMPRODUCT((TRIM(tblDados[Mandante])=$A628)*tblDados[Primeira_Ocorrencia]*tblDados[GM_M]^2)+SUMPRODUCT((TRIM(tblDados[Visitante])=$A628)*tblDados[Primeira_Ocorrencia]*tblDados[GM_V]^2))/G628-H628^2,0))</f>
        <v/>
      </c>
      <c r="Q628" s="14" t="str">
        <f t="shared" si="174"/>
        <v/>
      </c>
      <c r="R628" s="1" t="str">
        <f t="shared" si="175"/>
        <v/>
      </c>
      <c r="S628" s="14" t="str" cm="1">
        <f t="array" ref="S628">IF($A628="","",SUMPRODUCT((TRIM(tblDados[Mandante])=$A628)*tblDados[Primeira_Ocorrencia]*tblDados[GM_M]))</f>
        <v/>
      </c>
      <c r="T628" s="14" t="str" cm="1">
        <f t="array" ref="T628">IF($A628="","",SUMPRODUCT((TRIM(tblDados[Visitante])=$A628)*tblDados[Primeira_Ocorrencia]*tblDados[GM_V]))</f>
        <v/>
      </c>
      <c r="U628" s="14" t="str">
        <f t="shared" si="176"/>
        <v/>
      </c>
      <c r="V628" s="14" t="str">
        <f t="shared" si="165"/>
        <v/>
      </c>
      <c r="W628" s="14" t="str" cm="1">
        <f t="array" ref="W628">IF($A628="","",SUMPRODUCT((TRIM(tblDados[Mandante])=$A628)*tblDados[Primeira_Ocorrencia]*tblDados[GS_M]))</f>
        <v/>
      </c>
      <c r="X628" s="14" t="str" cm="1">
        <f t="array" ref="X628">IF($A628="","",SUMPRODUCT((TRIM(tblDados[Visitante])=$A628)*tblDados[Primeira_Ocorrencia]*tblDados[GS_V]))</f>
        <v/>
      </c>
      <c r="Y628" s="14" t="str">
        <f t="shared" si="177"/>
        <v/>
      </c>
      <c r="Z628" s="14" t="str">
        <f t="shared" si="166"/>
        <v/>
      </c>
      <c r="AA628" s="14" t="str">
        <f t="shared" si="167"/>
        <v/>
      </c>
      <c r="AB628" s="14" t="str">
        <f t="shared" si="168"/>
        <v/>
      </c>
      <c r="AC628" s="14" t="str">
        <f t="shared" si="169"/>
        <v/>
      </c>
      <c r="AD628" s="14" t="str">
        <f t="shared" si="170"/>
        <v/>
      </c>
    </row>
    <row r="629" spans="2:30" x14ac:dyDescent="0.3">
      <c r="B629" s="13" t="str" cm="1">
        <f t="array" ref="B629">IF($A629="","",_xlfn.LET(_xlpm.p,IFERROR(INDEX(tblDados[País],MATCH($A629,TRIM(tblDados[Mandante]),0)),INDEX(tblDados[País],MATCH($A629,TRIM(tblDados[Visitante]),0))),_xlpm.l,IFERROR(INDEX(tblDados[Liga],MATCH($A629,TRIM(tblDados[Mandante]),0)),INDEX(tblDados[Liga],MATCH($A629,TRIM(tblDados[Visitante]),0))),_xlpm.p&amp;" - "&amp;_xlpm.l))</f>
        <v/>
      </c>
      <c r="C629" s="14" t="str">
        <f t="shared" si="171"/>
        <v/>
      </c>
      <c r="D629" s="14" t="str">
        <f t="shared" si="172"/>
        <v/>
      </c>
      <c r="E629" s="15" t="str" cm="1">
        <f t="array" ref="E629">IF($A629="","",SUMPRODUCT((TRIM(tblDados[Mandante])=$A629)*tblDados[Primeira_Ocorrencia]))</f>
        <v/>
      </c>
      <c r="F629" s="15" t="str" cm="1">
        <f t="array" ref="F629">IF($A629="","",SUMPRODUCT((TRIM(tblDados[Visitante])=$A629)*tblDados[Primeira_Ocorrencia]))</f>
        <v/>
      </c>
      <c r="G629" s="15" t="str" cm="1">
        <f t="array" ref="G629">IF($A629="","",SUMPRODUCT((TRIM(tblDados[Mandante])=$A629)*tblDados[Primeira_Ocorrencia])+SUMPRODUCT((TRIM(tblDados[Visitante])=$A629)*tblDados[Primeira_Ocorrencia]))</f>
        <v/>
      </c>
      <c r="H629" s="14" t="str">
        <f t="shared" si="173"/>
        <v/>
      </c>
      <c r="I629" s="14" t="str" cm="1">
        <f t="array" ref="I629">IF($A629="","",_xlfn.LET(_xlpm.p,IFERROR(INDEX(tblDados[País],MATCH($A629,TRIM(tblDados[Mandante]),0)),INDEX(tblDados[País],MATCH($A629,TRIM(tblDados[Visitante]),0))),_xlpm.l,IFERROR(INDEX(tblDados[Liga],MATCH($A629,TRIM(tblDados[Mandante]),0)),INDEX(tblDados[Liga],MATCH($A629,TRIM(tblDados[Visitante]),0))),IFERROR(SUMIFS(Ligas!$D$2:$D$39,Ligas!$H$2:$H$39,_xlpm.p,Ligas!$I$2:$I$39,_xlpm.l),0)))</f>
        <v/>
      </c>
      <c r="J629" s="16" t="str" cm="1">
        <f t="array" ref="J629">IF($A629="","",IFERROR((SUMPRODUCT((TRIM(tblDados[Mandante])=$A629)*tblDados[Primeira_Ocorrencia]*(tblDados[GM_M]=0))+SUMPRODUCT((TRIM(tblDados[Visitante])=$A629)*tblDados[Primeira_Ocorrencia]*(tblDados[GM_V]=0)))/G629,0))</f>
        <v/>
      </c>
      <c r="K629" s="16" t="str" cm="1">
        <f t="array" ref="K629">IF($A629="","",IFERROR((SUMPRODUCT((TRIM(tblDados[Mandante])=$A629)*tblDados[Primeira_Ocorrencia]*((tblDados[GM_M]+tblDados[GS_M])&gt;0.5))+SUMPRODUCT((TRIM(tblDados[Visitante])=$A629)*tblDados[Primeira_Ocorrencia]*((tblDados[GM_V]+tblDados[GS_V])&gt;0.5)))/G629,0))</f>
        <v/>
      </c>
      <c r="L629" s="16" t="str" cm="1">
        <f t="array" ref="L629">IF($A629="","",IFERROR((SUMPRODUCT((TRIM(tblDados[Mandante])=$A629)*tblDados[Primeira_Ocorrencia]*((tblDados[GM_M]+tblDados[GS_M])&gt;1.5))+SUMPRODUCT((TRIM(tblDados[Visitante])=$A629)*tblDados[Primeira_Ocorrencia]*((tblDados[GM_V]+tblDados[GS_V])&gt;1.5)))/G629,0))</f>
        <v/>
      </c>
      <c r="M629" s="16" t="str" cm="1">
        <f t="array" ref="M629">IF($A629="","",IFERROR((SUMPRODUCT((TRIM(tblDados[Mandante])=$A629)*tblDados[Primeira_Ocorrencia]*((tblDados[GM_M]+tblDados[GS_M])&gt;2.5))+SUMPRODUCT((TRIM(tblDados[Visitante])=$A629)*tblDados[Primeira_Ocorrencia]*((tblDados[GM_V]+tblDados[GS_V])&gt;2.5)))/G629,0))</f>
        <v/>
      </c>
      <c r="N629" s="16" t="str" cm="1">
        <f t="array" ref="N629">IF($A629="","",IFERROR((SUMPRODUCT((TRIM(tblDados[Mandante])=$A629)*tblDados[Primeira_Ocorrencia]*((tblDados[GM_M]+tblDados[GS_M])&gt;3.5))+SUMPRODUCT((TRIM(tblDados[Visitante])=$A629)*tblDados[Primeira_Ocorrencia]*((tblDados[GM_V]+tblDados[GS_V])&gt;3.5)))/G629,0))</f>
        <v/>
      </c>
      <c r="O629" s="16" t="str" cm="1">
        <f t="array" ref="O629">IF($A629="","",IFERROR((SUMPRODUCT((TRIM(tblDados[Mandante])=$A629)*tblDados[Primeira_Ocorrencia]*(tblDados[GM_M]&gt;0)*(tblDados[GS_M]&gt;0))+SUMPRODUCT((TRIM(tblDados[Visitante])=$A629)*tblDados[Primeira_Ocorrencia]*(tblDados[GM_V]&gt;0)*(tblDados[GS_V]&gt;0)))/G629,0))</f>
        <v/>
      </c>
      <c r="P629" s="14" t="str" cm="1">
        <f t="array" ref="P629">IF($A629="","",IFERROR((SUMPRODUCT((TRIM(tblDados[Mandante])=$A629)*tblDados[Primeira_Ocorrencia]*tblDados[GM_M]^2)+SUMPRODUCT((TRIM(tblDados[Visitante])=$A629)*tblDados[Primeira_Ocorrencia]*tblDados[GM_V]^2))/G629-H629^2,0))</f>
        <v/>
      </c>
      <c r="Q629" s="14" t="str">
        <f t="shared" si="174"/>
        <v/>
      </c>
      <c r="R629" s="1" t="str">
        <f t="shared" si="175"/>
        <v/>
      </c>
      <c r="S629" s="14" t="str" cm="1">
        <f t="array" ref="S629">IF($A629="","",SUMPRODUCT((TRIM(tblDados[Mandante])=$A629)*tblDados[Primeira_Ocorrencia]*tblDados[GM_M]))</f>
        <v/>
      </c>
      <c r="T629" s="14" t="str" cm="1">
        <f t="array" ref="T629">IF($A629="","",SUMPRODUCT((TRIM(tblDados[Visitante])=$A629)*tblDados[Primeira_Ocorrencia]*tblDados[GM_V]))</f>
        <v/>
      </c>
      <c r="U629" s="14" t="str">
        <f t="shared" si="176"/>
        <v/>
      </c>
      <c r="V629" s="14" t="str">
        <f t="shared" si="165"/>
        <v/>
      </c>
      <c r="W629" s="14" t="str" cm="1">
        <f t="array" ref="W629">IF($A629="","",SUMPRODUCT((TRIM(tblDados[Mandante])=$A629)*tblDados[Primeira_Ocorrencia]*tblDados[GS_M]))</f>
        <v/>
      </c>
      <c r="X629" s="14" t="str" cm="1">
        <f t="array" ref="X629">IF($A629="","",SUMPRODUCT((TRIM(tblDados[Visitante])=$A629)*tblDados[Primeira_Ocorrencia]*tblDados[GS_V]))</f>
        <v/>
      </c>
      <c r="Y629" s="14" t="str">
        <f t="shared" si="177"/>
        <v/>
      </c>
      <c r="Z629" s="14" t="str">
        <f t="shared" si="166"/>
        <v/>
      </c>
      <c r="AA629" s="14" t="str">
        <f t="shared" si="167"/>
        <v/>
      </c>
      <c r="AB629" s="14" t="str">
        <f t="shared" si="168"/>
        <v/>
      </c>
      <c r="AC629" s="14" t="str">
        <f t="shared" si="169"/>
        <v/>
      </c>
      <c r="AD629" s="14" t="str">
        <f t="shared" si="170"/>
        <v/>
      </c>
    </row>
    <row r="630" spans="2:30" x14ac:dyDescent="0.3">
      <c r="B630" s="13" t="str" cm="1">
        <f t="array" ref="B630">IF($A630="","",_xlfn.LET(_xlpm.p,IFERROR(INDEX(tblDados[País],MATCH($A630,TRIM(tblDados[Mandante]),0)),INDEX(tblDados[País],MATCH($A630,TRIM(tblDados[Visitante]),0))),_xlpm.l,IFERROR(INDEX(tblDados[Liga],MATCH($A630,TRIM(tblDados[Mandante]),0)),INDEX(tblDados[Liga],MATCH($A630,TRIM(tblDados[Visitante]),0))),_xlpm.p&amp;" - "&amp;_xlpm.l))</f>
        <v/>
      </c>
      <c r="C630" s="14" t="str">
        <f t="shared" si="171"/>
        <v/>
      </c>
      <c r="D630" s="14" t="str">
        <f t="shared" si="172"/>
        <v/>
      </c>
      <c r="E630" s="15" t="str" cm="1">
        <f t="array" ref="E630">IF($A630="","",SUMPRODUCT((TRIM(tblDados[Mandante])=$A630)*tblDados[Primeira_Ocorrencia]))</f>
        <v/>
      </c>
      <c r="F630" s="15" t="str" cm="1">
        <f t="array" ref="F630">IF($A630="","",SUMPRODUCT((TRIM(tblDados[Visitante])=$A630)*tblDados[Primeira_Ocorrencia]))</f>
        <v/>
      </c>
      <c r="G630" s="15" t="str" cm="1">
        <f t="array" ref="G630">IF($A630="","",SUMPRODUCT((TRIM(tblDados[Mandante])=$A630)*tblDados[Primeira_Ocorrencia])+SUMPRODUCT((TRIM(tblDados[Visitante])=$A630)*tblDados[Primeira_Ocorrencia]))</f>
        <v/>
      </c>
      <c r="H630" s="14" t="str">
        <f t="shared" si="173"/>
        <v/>
      </c>
      <c r="I630" s="14" t="str" cm="1">
        <f t="array" ref="I630">IF($A630="","",_xlfn.LET(_xlpm.p,IFERROR(INDEX(tblDados[País],MATCH($A630,TRIM(tblDados[Mandante]),0)),INDEX(tblDados[País],MATCH($A630,TRIM(tblDados[Visitante]),0))),_xlpm.l,IFERROR(INDEX(tblDados[Liga],MATCH($A630,TRIM(tblDados[Mandante]),0)),INDEX(tblDados[Liga],MATCH($A630,TRIM(tblDados[Visitante]),0))),IFERROR(SUMIFS(Ligas!$D$2:$D$39,Ligas!$H$2:$H$39,_xlpm.p,Ligas!$I$2:$I$39,_xlpm.l),0)))</f>
        <v/>
      </c>
      <c r="J630" s="16" t="str" cm="1">
        <f t="array" ref="J630">IF($A630="","",IFERROR((SUMPRODUCT((TRIM(tblDados[Mandante])=$A630)*tblDados[Primeira_Ocorrencia]*(tblDados[GM_M]=0))+SUMPRODUCT((TRIM(tblDados[Visitante])=$A630)*tblDados[Primeira_Ocorrencia]*(tblDados[GM_V]=0)))/G630,0))</f>
        <v/>
      </c>
      <c r="K630" s="16" t="str" cm="1">
        <f t="array" ref="K630">IF($A630="","",IFERROR((SUMPRODUCT((TRIM(tblDados[Mandante])=$A630)*tblDados[Primeira_Ocorrencia]*((tblDados[GM_M]+tblDados[GS_M])&gt;0.5))+SUMPRODUCT((TRIM(tblDados[Visitante])=$A630)*tblDados[Primeira_Ocorrencia]*((tblDados[GM_V]+tblDados[GS_V])&gt;0.5)))/G630,0))</f>
        <v/>
      </c>
      <c r="L630" s="16" t="str" cm="1">
        <f t="array" ref="L630">IF($A630="","",IFERROR((SUMPRODUCT((TRIM(tblDados[Mandante])=$A630)*tblDados[Primeira_Ocorrencia]*((tblDados[GM_M]+tblDados[GS_M])&gt;1.5))+SUMPRODUCT((TRIM(tblDados[Visitante])=$A630)*tblDados[Primeira_Ocorrencia]*((tblDados[GM_V]+tblDados[GS_V])&gt;1.5)))/G630,0))</f>
        <v/>
      </c>
      <c r="M630" s="16" t="str" cm="1">
        <f t="array" ref="M630">IF($A630="","",IFERROR((SUMPRODUCT((TRIM(tblDados[Mandante])=$A630)*tblDados[Primeira_Ocorrencia]*((tblDados[GM_M]+tblDados[GS_M])&gt;2.5))+SUMPRODUCT((TRIM(tblDados[Visitante])=$A630)*tblDados[Primeira_Ocorrencia]*((tblDados[GM_V]+tblDados[GS_V])&gt;2.5)))/G630,0))</f>
        <v/>
      </c>
      <c r="N630" s="16" t="str" cm="1">
        <f t="array" ref="N630">IF($A630="","",IFERROR((SUMPRODUCT((TRIM(tblDados[Mandante])=$A630)*tblDados[Primeira_Ocorrencia]*((tblDados[GM_M]+tblDados[GS_M])&gt;3.5))+SUMPRODUCT((TRIM(tblDados[Visitante])=$A630)*tblDados[Primeira_Ocorrencia]*((tblDados[GM_V]+tblDados[GS_V])&gt;3.5)))/G630,0))</f>
        <v/>
      </c>
      <c r="O630" s="16" t="str" cm="1">
        <f t="array" ref="O630">IF($A630="","",IFERROR((SUMPRODUCT((TRIM(tblDados[Mandante])=$A630)*tblDados[Primeira_Ocorrencia]*(tblDados[GM_M]&gt;0)*(tblDados[GS_M]&gt;0))+SUMPRODUCT((TRIM(tblDados[Visitante])=$A630)*tblDados[Primeira_Ocorrencia]*(tblDados[GM_V]&gt;0)*(tblDados[GS_V]&gt;0)))/G630,0))</f>
        <v/>
      </c>
      <c r="P630" s="14" t="str" cm="1">
        <f t="array" ref="P630">IF($A630="","",IFERROR((SUMPRODUCT((TRIM(tblDados[Mandante])=$A630)*tblDados[Primeira_Ocorrencia]*tblDados[GM_M]^2)+SUMPRODUCT((TRIM(tblDados[Visitante])=$A630)*tblDados[Primeira_Ocorrencia]*tblDados[GM_V]^2))/G630-H630^2,0))</f>
        <v/>
      </c>
      <c r="Q630" s="14" t="str">
        <f t="shared" si="174"/>
        <v/>
      </c>
      <c r="R630" s="1" t="str">
        <f t="shared" si="175"/>
        <v/>
      </c>
      <c r="S630" s="14" t="str" cm="1">
        <f t="array" ref="S630">IF($A630="","",SUMPRODUCT((TRIM(tblDados[Mandante])=$A630)*tblDados[Primeira_Ocorrencia]*tblDados[GM_M]))</f>
        <v/>
      </c>
      <c r="T630" s="14" t="str" cm="1">
        <f t="array" ref="T630">IF($A630="","",SUMPRODUCT((TRIM(tblDados[Visitante])=$A630)*tblDados[Primeira_Ocorrencia]*tblDados[GM_V]))</f>
        <v/>
      </c>
      <c r="U630" s="14" t="str">
        <f t="shared" si="176"/>
        <v/>
      </c>
      <c r="V630" s="14" t="str">
        <f t="shared" si="165"/>
        <v/>
      </c>
      <c r="W630" s="14" t="str" cm="1">
        <f t="array" ref="W630">IF($A630="","",SUMPRODUCT((TRIM(tblDados[Mandante])=$A630)*tblDados[Primeira_Ocorrencia]*tblDados[GS_M]))</f>
        <v/>
      </c>
      <c r="X630" s="14" t="str" cm="1">
        <f t="array" ref="X630">IF($A630="","",SUMPRODUCT((TRIM(tblDados[Visitante])=$A630)*tblDados[Primeira_Ocorrencia]*tblDados[GS_V]))</f>
        <v/>
      </c>
      <c r="Y630" s="14" t="str">
        <f t="shared" si="177"/>
        <v/>
      </c>
      <c r="Z630" s="14" t="str">
        <f t="shared" si="166"/>
        <v/>
      </c>
      <c r="AA630" s="14" t="str">
        <f t="shared" si="167"/>
        <v/>
      </c>
      <c r="AB630" s="14" t="str">
        <f t="shared" si="168"/>
        <v/>
      </c>
      <c r="AC630" s="14" t="str">
        <f t="shared" si="169"/>
        <v/>
      </c>
      <c r="AD630" s="14" t="str">
        <f t="shared" si="170"/>
        <v/>
      </c>
    </row>
    <row r="631" spans="2:30" x14ac:dyDescent="0.3">
      <c r="B631" s="13" t="str" cm="1">
        <f t="array" ref="B631">IF($A631="","",_xlfn.LET(_xlpm.p,IFERROR(INDEX(tblDados[País],MATCH($A631,TRIM(tblDados[Mandante]),0)),INDEX(tblDados[País],MATCH($A631,TRIM(tblDados[Visitante]),0))),_xlpm.l,IFERROR(INDEX(tblDados[Liga],MATCH($A631,TRIM(tblDados[Mandante]),0)),INDEX(tblDados[Liga],MATCH($A631,TRIM(tblDados[Visitante]),0))),_xlpm.p&amp;" - "&amp;_xlpm.l))</f>
        <v/>
      </c>
      <c r="C631" s="14" t="str">
        <f t="shared" si="171"/>
        <v/>
      </c>
      <c r="D631" s="14" t="str">
        <f t="shared" si="172"/>
        <v/>
      </c>
      <c r="E631" s="15" t="str" cm="1">
        <f t="array" ref="E631">IF($A631="","",SUMPRODUCT((TRIM(tblDados[Mandante])=$A631)*tblDados[Primeira_Ocorrencia]))</f>
        <v/>
      </c>
      <c r="F631" s="15" t="str" cm="1">
        <f t="array" ref="F631">IF($A631="","",SUMPRODUCT((TRIM(tblDados[Visitante])=$A631)*tblDados[Primeira_Ocorrencia]))</f>
        <v/>
      </c>
      <c r="G631" s="15" t="str" cm="1">
        <f t="array" ref="G631">IF($A631="","",SUMPRODUCT((TRIM(tblDados[Mandante])=$A631)*tblDados[Primeira_Ocorrencia])+SUMPRODUCT((TRIM(tblDados[Visitante])=$A631)*tblDados[Primeira_Ocorrencia]))</f>
        <v/>
      </c>
      <c r="H631" s="14" t="str">
        <f t="shared" si="173"/>
        <v/>
      </c>
      <c r="I631" s="14" t="str" cm="1">
        <f t="array" ref="I631">IF($A631="","",_xlfn.LET(_xlpm.p,IFERROR(INDEX(tblDados[País],MATCH($A631,TRIM(tblDados[Mandante]),0)),INDEX(tblDados[País],MATCH($A631,TRIM(tblDados[Visitante]),0))),_xlpm.l,IFERROR(INDEX(tblDados[Liga],MATCH($A631,TRIM(tblDados[Mandante]),0)),INDEX(tblDados[Liga],MATCH($A631,TRIM(tblDados[Visitante]),0))),IFERROR(SUMIFS(Ligas!$D$2:$D$39,Ligas!$H$2:$H$39,_xlpm.p,Ligas!$I$2:$I$39,_xlpm.l),0)))</f>
        <v/>
      </c>
      <c r="J631" s="16" t="str" cm="1">
        <f t="array" ref="J631">IF($A631="","",IFERROR((SUMPRODUCT((TRIM(tblDados[Mandante])=$A631)*tblDados[Primeira_Ocorrencia]*(tblDados[GM_M]=0))+SUMPRODUCT((TRIM(tblDados[Visitante])=$A631)*tblDados[Primeira_Ocorrencia]*(tblDados[GM_V]=0)))/G631,0))</f>
        <v/>
      </c>
      <c r="K631" s="16" t="str" cm="1">
        <f t="array" ref="K631">IF($A631="","",IFERROR((SUMPRODUCT((TRIM(tblDados[Mandante])=$A631)*tblDados[Primeira_Ocorrencia]*((tblDados[GM_M]+tblDados[GS_M])&gt;0.5))+SUMPRODUCT((TRIM(tblDados[Visitante])=$A631)*tblDados[Primeira_Ocorrencia]*((tblDados[GM_V]+tblDados[GS_V])&gt;0.5)))/G631,0))</f>
        <v/>
      </c>
      <c r="L631" s="16" t="str" cm="1">
        <f t="array" ref="L631">IF($A631="","",IFERROR((SUMPRODUCT((TRIM(tblDados[Mandante])=$A631)*tblDados[Primeira_Ocorrencia]*((tblDados[GM_M]+tblDados[GS_M])&gt;1.5))+SUMPRODUCT((TRIM(tblDados[Visitante])=$A631)*tblDados[Primeira_Ocorrencia]*((tblDados[GM_V]+tblDados[GS_V])&gt;1.5)))/G631,0))</f>
        <v/>
      </c>
      <c r="M631" s="16" t="str" cm="1">
        <f t="array" ref="M631">IF($A631="","",IFERROR((SUMPRODUCT((TRIM(tblDados[Mandante])=$A631)*tblDados[Primeira_Ocorrencia]*((tblDados[GM_M]+tblDados[GS_M])&gt;2.5))+SUMPRODUCT((TRIM(tblDados[Visitante])=$A631)*tblDados[Primeira_Ocorrencia]*((tblDados[GM_V]+tblDados[GS_V])&gt;2.5)))/G631,0))</f>
        <v/>
      </c>
      <c r="N631" s="16" t="str" cm="1">
        <f t="array" ref="N631">IF($A631="","",IFERROR((SUMPRODUCT((TRIM(tblDados[Mandante])=$A631)*tblDados[Primeira_Ocorrencia]*((tblDados[GM_M]+tblDados[GS_M])&gt;3.5))+SUMPRODUCT((TRIM(tblDados[Visitante])=$A631)*tblDados[Primeira_Ocorrencia]*((tblDados[GM_V]+tblDados[GS_V])&gt;3.5)))/G631,0))</f>
        <v/>
      </c>
      <c r="O631" s="16" t="str" cm="1">
        <f t="array" ref="O631">IF($A631="","",IFERROR((SUMPRODUCT((TRIM(tblDados[Mandante])=$A631)*tblDados[Primeira_Ocorrencia]*(tblDados[GM_M]&gt;0)*(tblDados[GS_M]&gt;0))+SUMPRODUCT((TRIM(tblDados[Visitante])=$A631)*tblDados[Primeira_Ocorrencia]*(tblDados[GM_V]&gt;0)*(tblDados[GS_V]&gt;0)))/G631,0))</f>
        <v/>
      </c>
      <c r="P631" s="14" t="str" cm="1">
        <f t="array" ref="P631">IF($A631="","",IFERROR((SUMPRODUCT((TRIM(tblDados[Mandante])=$A631)*tblDados[Primeira_Ocorrencia]*tblDados[GM_M]^2)+SUMPRODUCT((TRIM(tblDados[Visitante])=$A631)*tblDados[Primeira_Ocorrencia]*tblDados[GM_V]^2))/G631-H631^2,0))</f>
        <v/>
      </c>
      <c r="Q631" s="14" t="str">
        <f t="shared" si="174"/>
        <v/>
      </c>
      <c r="R631" s="1" t="str">
        <f t="shared" si="175"/>
        <v/>
      </c>
      <c r="S631" s="14" t="str" cm="1">
        <f t="array" ref="S631">IF($A631="","",SUMPRODUCT((TRIM(tblDados[Mandante])=$A631)*tblDados[Primeira_Ocorrencia]*tblDados[GM_M]))</f>
        <v/>
      </c>
      <c r="T631" s="14" t="str" cm="1">
        <f t="array" ref="T631">IF($A631="","",SUMPRODUCT((TRIM(tblDados[Visitante])=$A631)*tblDados[Primeira_Ocorrencia]*tblDados[GM_V]))</f>
        <v/>
      </c>
      <c r="U631" s="14" t="str">
        <f t="shared" si="176"/>
        <v/>
      </c>
      <c r="V631" s="14" t="str">
        <f t="shared" si="165"/>
        <v/>
      </c>
      <c r="W631" s="14" t="str" cm="1">
        <f t="array" ref="W631">IF($A631="","",SUMPRODUCT((TRIM(tblDados[Mandante])=$A631)*tblDados[Primeira_Ocorrencia]*tblDados[GS_M]))</f>
        <v/>
      </c>
      <c r="X631" s="14" t="str" cm="1">
        <f t="array" ref="X631">IF($A631="","",SUMPRODUCT((TRIM(tblDados[Visitante])=$A631)*tblDados[Primeira_Ocorrencia]*tblDados[GS_V]))</f>
        <v/>
      </c>
      <c r="Y631" s="14" t="str">
        <f t="shared" si="177"/>
        <v/>
      </c>
      <c r="Z631" s="14" t="str">
        <f t="shared" si="166"/>
        <v/>
      </c>
      <c r="AA631" s="14" t="str">
        <f t="shared" si="167"/>
        <v/>
      </c>
      <c r="AB631" s="14" t="str">
        <f t="shared" si="168"/>
        <v/>
      </c>
      <c r="AC631" s="14" t="str">
        <f t="shared" si="169"/>
        <v/>
      </c>
      <c r="AD631" s="14" t="str">
        <f t="shared" si="170"/>
        <v/>
      </c>
    </row>
    <row r="632" spans="2:30" x14ac:dyDescent="0.3">
      <c r="B632" s="13" t="str" cm="1">
        <f t="array" ref="B632">IF($A632="","",_xlfn.LET(_xlpm.p,IFERROR(INDEX(tblDados[País],MATCH($A632,TRIM(tblDados[Mandante]),0)),INDEX(tblDados[País],MATCH($A632,TRIM(tblDados[Visitante]),0))),_xlpm.l,IFERROR(INDEX(tblDados[Liga],MATCH($A632,TRIM(tblDados[Mandante]),0)),INDEX(tblDados[Liga],MATCH($A632,TRIM(tblDados[Visitante]),0))),_xlpm.p&amp;" - "&amp;_xlpm.l))</f>
        <v/>
      </c>
      <c r="C632" s="14" t="str">
        <f t="shared" si="171"/>
        <v/>
      </c>
      <c r="D632" s="14" t="str">
        <f t="shared" si="172"/>
        <v/>
      </c>
      <c r="E632" s="15" t="str" cm="1">
        <f t="array" ref="E632">IF($A632="","",SUMPRODUCT((TRIM(tblDados[Mandante])=$A632)*tblDados[Primeira_Ocorrencia]))</f>
        <v/>
      </c>
      <c r="F632" s="15" t="str" cm="1">
        <f t="array" ref="F632">IF($A632="","",SUMPRODUCT((TRIM(tblDados[Visitante])=$A632)*tblDados[Primeira_Ocorrencia]))</f>
        <v/>
      </c>
      <c r="G632" s="15" t="str" cm="1">
        <f t="array" ref="G632">IF($A632="","",SUMPRODUCT((TRIM(tblDados[Mandante])=$A632)*tblDados[Primeira_Ocorrencia])+SUMPRODUCT((TRIM(tblDados[Visitante])=$A632)*tblDados[Primeira_Ocorrencia]))</f>
        <v/>
      </c>
      <c r="H632" s="14" t="str">
        <f t="shared" si="173"/>
        <v/>
      </c>
      <c r="I632" s="14" t="str" cm="1">
        <f t="array" ref="I632">IF($A632="","",_xlfn.LET(_xlpm.p,IFERROR(INDEX(tblDados[País],MATCH($A632,TRIM(tblDados[Mandante]),0)),INDEX(tblDados[País],MATCH($A632,TRIM(tblDados[Visitante]),0))),_xlpm.l,IFERROR(INDEX(tblDados[Liga],MATCH($A632,TRIM(tblDados[Mandante]),0)),INDEX(tblDados[Liga],MATCH($A632,TRIM(tblDados[Visitante]),0))),IFERROR(SUMIFS(Ligas!$D$2:$D$39,Ligas!$H$2:$H$39,_xlpm.p,Ligas!$I$2:$I$39,_xlpm.l),0)))</f>
        <v/>
      </c>
      <c r="J632" s="16" t="str" cm="1">
        <f t="array" ref="J632">IF($A632="","",IFERROR((SUMPRODUCT((TRIM(tblDados[Mandante])=$A632)*tblDados[Primeira_Ocorrencia]*(tblDados[GM_M]=0))+SUMPRODUCT((TRIM(tblDados[Visitante])=$A632)*tblDados[Primeira_Ocorrencia]*(tblDados[GM_V]=0)))/G632,0))</f>
        <v/>
      </c>
      <c r="K632" s="16" t="str" cm="1">
        <f t="array" ref="K632">IF($A632="","",IFERROR((SUMPRODUCT((TRIM(tblDados[Mandante])=$A632)*tblDados[Primeira_Ocorrencia]*((tblDados[GM_M]+tblDados[GS_M])&gt;0.5))+SUMPRODUCT((TRIM(tblDados[Visitante])=$A632)*tblDados[Primeira_Ocorrencia]*((tblDados[GM_V]+tblDados[GS_V])&gt;0.5)))/G632,0))</f>
        <v/>
      </c>
      <c r="L632" s="16" t="str" cm="1">
        <f t="array" ref="L632">IF($A632="","",IFERROR((SUMPRODUCT((TRIM(tblDados[Mandante])=$A632)*tblDados[Primeira_Ocorrencia]*((tblDados[GM_M]+tblDados[GS_M])&gt;1.5))+SUMPRODUCT((TRIM(tblDados[Visitante])=$A632)*tblDados[Primeira_Ocorrencia]*((tblDados[GM_V]+tblDados[GS_V])&gt;1.5)))/G632,0))</f>
        <v/>
      </c>
      <c r="M632" s="16" t="str" cm="1">
        <f t="array" ref="M632">IF($A632="","",IFERROR((SUMPRODUCT((TRIM(tblDados[Mandante])=$A632)*tblDados[Primeira_Ocorrencia]*((tblDados[GM_M]+tblDados[GS_M])&gt;2.5))+SUMPRODUCT((TRIM(tblDados[Visitante])=$A632)*tblDados[Primeira_Ocorrencia]*((tblDados[GM_V]+tblDados[GS_V])&gt;2.5)))/G632,0))</f>
        <v/>
      </c>
      <c r="N632" s="16" t="str" cm="1">
        <f t="array" ref="N632">IF($A632="","",IFERROR((SUMPRODUCT((TRIM(tblDados[Mandante])=$A632)*tblDados[Primeira_Ocorrencia]*((tblDados[GM_M]+tblDados[GS_M])&gt;3.5))+SUMPRODUCT((TRIM(tblDados[Visitante])=$A632)*tblDados[Primeira_Ocorrencia]*((tblDados[GM_V]+tblDados[GS_V])&gt;3.5)))/G632,0))</f>
        <v/>
      </c>
      <c r="O632" s="16" t="str" cm="1">
        <f t="array" ref="O632">IF($A632="","",IFERROR((SUMPRODUCT((TRIM(tblDados[Mandante])=$A632)*tblDados[Primeira_Ocorrencia]*(tblDados[GM_M]&gt;0)*(tblDados[GS_M]&gt;0))+SUMPRODUCT((TRIM(tblDados[Visitante])=$A632)*tblDados[Primeira_Ocorrencia]*(tblDados[GM_V]&gt;0)*(tblDados[GS_V]&gt;0)))/G632,0))</f>
        <v/>
      </c>
      <c r="P632" s="14" t="str" cm="1">
        <f t="array" ref="P632">IF($A632="","",IFERROR((SUMPRODUCT((TRIM(tblDados[Mandante])=$A632)*tblDados[Primeira_Ocorrencia]*tblDados[GM_M]^2)+SUMPRODUCT((TRIM(tblDados[Visitante])=$A632)*tblDados[Primeira_Ocorrencia]*tblDados[GM_V]^2))/G632-H632^2,0))</f>
        <v/>
      </c>
      <c r="Q632" s="14" t="str">
        <f t="shared" si="174"/>
        <v/>
      </c>
      <c r="R632" s="1" t="str">
        <f t="shared" si="175"/>
        <v/>
      </c>
      <c r="S632" s="14" t="str" cm="1">
        <f t="array" ref="S632">IF($A632="","",SUMPRODUCT((TRIM(tblDados[Mandante])=$A632)*tblDados[Primeira_Ocorrencia]*tblDados[GM_M]))</f>
        <v/>
      </c>
      <c r="T632" s="14" t="str" cm="1">
        <f t="array" ref="T632">IF($A632="","",SUMPRODUCT((TRIM(tblDados[Visitante])=$A632)*tblDados[Primeira_Ocorrencia]*tblDados[GM_V]))</f>
        <v/>
      </c>
      <c r="U632" s="14" t="str">
        <f t="shared" si="176"/>
        <v/>
      </c>
      <c r="V632" s="14" t="str">
        <f t="shared" si="165"/>
        <v/>
      </c>
      <c r="W632" s="14" t="str" cm="1">
        <f t="array" ref="W632">IF($A632="","",SUMPRODUCT((TRIM(tblDados[Mandante])=$A632)*tblDados[Primeira_Ocorrencia]*tblDados[GS_M]))</f>
        <v/>
      </c>
      <c r="X632" s="14" t="str" cm="1">
        <f t="array" ref="X632">IF($A632="","",SUMPRODUCT((TRIM(tblDados[Visitante])=$A632)*tblDados[Primeira_Ocorrencia]*tblDados[GS_V]))</f>
        <v/>
      </c>
      <c r="Y632" s="14" t="str">
        <f t="shared" si="177"/>
        <v/>
      </c>
      <c r="Z632" s="14" t="str">
        <f t="shared" si="166"/>
        <v/>
      </c>
      <c r="AA632" s="14" t="str">
        <f t="shared" si="167"/>
        <v/>
      </c>
      <c r="AB632" s="14" t="str">
        <f t="shared" si="168"/>
        <v/>
      </c>
      <c r="AC632" s="14" t="str">
        <f t="shared" si="169"/>
        <v/>
      </c>
      <c r="AD632" s="14" t="str">
        <f t="shared" si="170"/>
        <v/>
      </c>
    </row>
    <row r="633" spans="2:30" x14ac:dyDescent="0.3">
      <c r="B633" s="13" t="str" cm="1">
        <f t="array" ref="B633">IF($A633="","",_xlfn.LET(_xlpm.p,IFERROR(INDEX(tblDados[País],MATCH($A633,TRIM(tblDados[Mandante]),0)),INDEX(tblDados[País],MATCH($A633,TRIM(tblDados[Visitante]),0))),_xlpm.l,IFERROR(INDEX(tblDados[Liga],MATCH($A633,TRIM(tblDados[Mandante]),0)),INDEX(tblDados[Liga],MATCH($A633,TRIM(tblDados[Visitante]),0))),_xlpm.p&amp;" - "&amp;_xlpm.l))</f>
        <v/>
      </c>
      <c r="C633" s="14" t="str">
        <f t="shared" si="171"/>
        <v/>
      </c>
      <c r="D633" s="14" t="str">
        <f t="shared" si="172"/>
        <v/>
      </c>
      <c r="E633" s="15" t="str" cm="1">
        <f t="array" ref="E633">IF($A633="","",SUMPRODUCT((TRIM(tblDados[Mandante])=$A633)*tblDados[Primeira_Ocorrencia]))</f>
        <v/>
      </c>
      <c r="F633" s="15" t="str" cm="1">
        <f t="array" ref="F633">IF($A633="","",SUMPRODUCT((TRIM(tblDados[Visitante])=$A633)*tblDados[Primeira_Ocorrencia]))</f>
        <v/>
      </c>
      <c r="G633" s="15" t="str" cm="1">
        <f t="array" ref="G633">IF($A633="","",SUMPRODUCT((TRIM(tblDados[Mandante])=$A633)*tblDados[Primeira_Ocorrencia])+SUMPRODUCT((TRIM(tblDados[Visitante])=$A633)*tblDados[Primeira_Ocorrencia]))</f>
        <v/>
      </c>
      <c r="H633" s="14" t="str">
        <f t="shared" si="173"/>
        <v/>
      </c>
      <c r="I633" s="14" t="str" cm="1">
        <f t="array" ref="I633">IF($A633="","",_xlfn.LET(_xlpm.p,IFERROR(INDEX(tblDados[País],MATCH($A633,TRIM(tblDados[Mandante]),0)),INDEX(tblDados[País],MATCH($A633,TRIM(tblDados[Visitante]),0))),_xlpm.l,IFERROR(INDEX(tblDados[Liga],MATCH($A633,TRIM(tblDados[Mandante]),0)),INDEX(tblDados[Liga],MATCH($A633,TRIM(tblDados[Visitante]),0))),IFERROR(SUMIFS(Ligas!$D$2:$D$39,Ligas!$H$2:$H$39,_xlpm.p,Ligas!$I$2:$I$39,_xlpm.l),0)))</f>
        <v/>
      </c>
      <c r="J633" s="16" t="str" cm="1">
        <f t="array" ref="J633">IF($A633="","",IFERROR((SUMPRODUCT((TRIM(tblDados[Mandante])=$A633)*tblDados[Primeira_Ocorrencia]*(tblDados[GM_M]=0))+SUMPRODUCT((TRIM(tblDados[Visitante])=$A633)*tblDados[Primeira_Ocorrencia]*(tblDados[GM_V]=0)))/G633,0))</f>
        <v/>
      </c>
      <c r="K633" s="16" t="str" cm="1">
        <f t="array" ref="K633">IF($A633="","",IFERROR((SUMPRODUCT((TRIM(tblDados[Mandante])=$A633)*tblDados[Primeira_Ocorrencia]*((tblDados[GM_M]+tblDados[GS_M])&gt;0.5))+SUMPRODUCT((TRIM(tblDados[Visitante])=$A633)*tblDados[Primeira_Ocorrencia]*((tblDados[GM_V]+tblDados[GS_V])&gt;0.5)))/G633,0))</f>
        <v/>
      </c>
      <c r="L633" s="16" t="str" cm="1">
        <f t="array" ref="L633">IF($A633="","",IFERROR((SUMPRODUCT((TRIM(tblDados[Mandante])=$A633)*tblDados[Primeira_Ocorrencia]*((tblDados[GM_M]+tblDados[GS_M])&gt;1.5))+SUMPRODUCT((TRIM(tblDados[Visitante])=$A633)*tblDados[Primeira_Ocorrencia]*((tblDados[GM_V]+tblDados[GS_V])&gt;1.5)))/G633,0))</f>
        <v/>
      </c>
      <c r="M633" s="16" t="str" cm="1">
        <f t="array" ref="M633">IF($A633="","",IFERROR((SUMPRODUCT((TRIM(tblDados[Mandante])=$A633)*tblDados[Primeira_Ocorrencia]*((tblDados[GM_M]+tblDados[GS_M])&gt;2.5))+SUMPRODUCT((TRIM(tblDados[Visitante])=$A633)*tblDados[Primeira_Ocorrencia]*((tblDados[GM_V]+tblDados[GS_V])&gt;2.5)))/G633,0))</f>
        <v/>
      </c>
      <c r="N633" s="16" t="str" cm="1">
        <f t="array" ref="N633">IF($A633="","",IFERROR((SUMPRODUCT((TRIM(tblDados[Mandante])=$A633)*tblDados[Primeira_Ocorrencia]*((tblDados[GM_M]+tblDados[GS_M])&gt;3.5))+SUMPRODUCT((TRIM(tblDados[Visitante])=$A633)*tblDados[Primeira_Ocorrencia]*((tblDados[GM_V]+tblDados[GS_V])&gt;3.5)))/G633,0))</f>
        <v/>
      </c>
      <c r="O633" s="16" t="str" cm="1">
        <f t="array" ref="O633">IF($A633="","",IFERROR((SUMPRODUCT((TRIM(tblDados[Mandante])=$A633)*tblDados[Primeira_Ocorrencia]*(tblDados[GM_M]&gt;0)*(tblDados[GS_M]&gt;0))+SUMPRODUCT((TRIM(tblDados[Visitante])=$A633)*tblDados[Primeira_Ocorrencia]*(tblDados[GM_V]&gt;0)*(tblDados[GS_V]&gt;0)))/G633,0))</f>
        <v/>
      </c>
      <c r="P633" s="14" t="str" cm="1">
        <f t="array" ref="P633">IF($A633="","",IFERROR((SUMPRODUCT((TRIM(tblDados[Mandante])=$A633)*tblDados[Primeira_Ocorrencia]*tblDados[GM_M]^2)+SUMPRODUCT((TRIM(tblDados[Visitante])=$A633)*tblDados[Primeira_Ocorrencia]*tblDados[GM_V]^2))/G633-H633^2,0))</f>
        <v/>
      </c>
      <c r="Q633" s="14" t="str">
        <f t="shared" si="174"/>
        <v/>
      </c>
      <c r="R633" s="1" t="str">
        <f t="shared" si="175"/>
        <v/>
      </c>
      <c r="S633" s="14" t="str" cm="1">
        <f t="array" ref="S633">IF($A633="","",SUMPRODUCT((TRIM(tblDados[Mandante])=$A633)*tblDados[Primeira_Ocorrencia]*tblDados[GM_M]))</f>
        <v/>
      </c>
      <c r="T633" s="14" t="str" cm="1">
        <f t="array" ref="T633">IF($A633="","",SUMPRODUCT((TRIM(tblDados[Visitante])=$A633)*tblDados[Primeira_Ocorrencia]*tblDados[GM_V]))</f>
        <v/>
      </c>
      <c r="U633" s="14" t="str">
        <f t="shared" si="176"/>
        <v/>
      </c>
      <c r="V633" s="14" t="str">
        <f t="shared" si="165"/>
        <v/>
      </c>
      <c r="W633" s="14" t="str" cm="1">
        <f t="array" ref="W633">IF($A633="","",SUMPRODUCT((TRIM(tblDados[Mandante])=$A633)*tblDados[Primeira_Ocorrencia]*tblDados[GS_M]))</f>
        <v/>
      </c>
      <c r="X633" s="14" t="str" cm="1">
        <f t="array" ref="X633">IF($A633="","",SUMPRODUCT((TRIM(tblDados[Visitante])=$A633)*tblDados[Primeira_Ocorrencia]*tblDados[GS_V]))</f>
        <v/>
      </c>
      <c r="Y633" s="14" t="str">
        <f t="shared" si="177"/>
        <v/>
      </c>
      <c r="Z633" s="14" t="str">
        <f t="shared" si="166"/>
        <v/>
      </c>
      <c r="AA633" s="14" t="str">
        <f t="shared" si="167"/>
        <v/>
      </c>
      <c r="AB633" s="14" t="str">
        <f t="shared" si="168"/>
        <v/>
      </c>
      <c r="AC633" s="14" t="str">
        <f t="shared" si="169"/>
        <v/>
      </c>
      <c r="AD633" s="14" t="str">
        <f t="shared" si="170"/>
        <v/>
      </c>
    </row>
    <row r="634" spans="2:30" x14ac:dyDescent="0.3">
      <c r="B634" s="13" t="str" cm="1">
        <f t="array" ref="B634">IF($A634="","",_xlfn.LET(_xlpm.p,IFERROR(INDEX(tblDados[País],MATCH($A634,TRIM(tblDados[Mandante]),0)),INDEX(tblDados[País],MATCH($A634,TRIM(tblDados[Visitante]),0))),_xlpm.l,IFERROR(INDEX(tblDados[Liga],MATCH($A634,TRIM(tblDados[Mandante]),0)),INDEX(tblDados[Liga],MATCH($A634,TRIM(tblDados[Visitante]),0))),_xlpm.p&amp;" - "&amp;_xlpm.l))</f>
        <v/>
      </c>
      <c r="C634" s="14" t="str">
        <f t="shared" si="171"/>
        <v/>
      </c>
      <c r="D634" s="14" t="str">
        <f t="shared" si="172"/>
        <v/>
      </c>
      <c r="E634" s="15" t="str" cm="1">
        <f t="array" ref="E634">IF($A634="","",SUMPRODUCT((TRIM(tblDados[Mandante])=$A634)*tblDados[Primeira_Ocorrencia]))</f>
        <v/>
      </c>
      <c r="F634" s="15" t="str" cm="1">
        <f t="array" ref="F634">IF($A634="","",SUMPRODUCT((TRIM(tblDados[Visitante])=$A634)*tblDados[Primeira_Ocorrencia]))</f>
        <v/>
      </c>
      <c r="G634" s="15" t="str" cm="1">
        <f t="array" ref="G634">IF($A634="","",SUMPRODUCT((TRIM(tblDados[Mandante])=$A634)*tblDados[Primeira_Ocorrencia])+SUMPRODUCT((TRIM(tblDados[Visitante])=$A634)*tblDados[Primeira_Ocorrencia]))</f>
        <v/>
      </c>
      <c r="H634" s="14" t="str">
        <f t="shared" si="173"/>
        <v/>
      </c>
      <c r="I634" s="14" t="str" cm="1">
        <f t="array" ref="I634">IF($A634="","",_xlfn.LET(_xlpm.p,IFERROR(INDEX(tblDados[País],MATCH($A634,TRIM(tblDados[Mandante]),0)),INDEX(tblDados[País],MATCH($A634,TRIM(tblDados[Visitante]),0))),_xlpm.l,IFERROR(INDEX(tblDados[Liga],MATCH($A634,TRIM(tblDados[Mandante]),0)),INDEX(tblDados[Liga],MATCH($A634,TRIM(tblDados[Visitante]),0))),IFERROR(SUMIFS(Ligas!$D$2:$D$39,Ligas!$H$2:$H$39,_xlpm.p,Ligas!$I$2:$I$39,_xlpm.l),0)))</f>
        <v/>
      </c>
      <c r="J634" s="16" t="str" cm="1">
        <f t="array" ref="J634">IF($A634="","",IFERROR((SUMPRODUCT((TRIM(tblDados[Mandante])=$A634)*tblDados[Primeira_Ocorrencia]*(tblDados[GM_M]=0))+SUMPRODUCT((TRIM(tblDados[Visitante])=$A634)*tblDados[Primeira_Ocorrencia]*(tblDados[GM_V]=0)))/G634,0))</f>
        <v/>
      </c>
      <c r="K634" s="16" t="str" cm="1">
        <f t="array" ref="K634">IF($A634="","",IFERROR((SUMPRODUCT((TRIM(tblDados[Mandante])=$A634)*tblDados[Primeira_Ocorrencia]*((tblDados[GM_M]+tblDados[GS_M])&gt;0.5))+SUMPRODUCT((TRIM(tblDados[Visitante])=$A634)*tblDados[Primeira_Ocorrencia]*((tblDados[GM_V]+tblDados[GS_V])&gt;0.5)))/G634,0))</f>
        <v/>
      </c>
      <c r="L634" s="16" t="str" cm="1">
        <f t="array" ref="L634">IF($A634="","",IFERROR((SUMPRODUCT((TRIM(tblDados[Mandante])=$A634)*tblDados[Primeira_Ocorrencia]*((tblDados[GM_M]+tblDados[GS_M])&gt;1.5))+SUMPRODUCT((TRIM(tblDados[Visitante])=$A634)*tblDados[Primeira_Ocorrencia]*((tblDados[GM_V]+tblDados[GS_V])&gt;1.5)))/G634,0))</f>
        <v/>
      </c>
      <c r="M634" s="16" t="str" cm="1">
        <f t="array" ref="M634">IF($A634="","",IFERROR((SUMPRODUCT((TRIM(tblDados[Mandante])=$A634)*tblDados[Primeira_Ocorrencia]*((tblDados[GM_M]+tblDados[GS_M])&gt;2.5))+SUMPRODUCT((TRIM(tblDados[Visitante])=$A634)*tblDados[Primeira_Ocorrencia]*((tblDados[GM_V]+tblDados[GS_V])&gt;2.5)))/G634,0))</f>
        <v/>
      </c>
      <c r="N634" s="16" t="str" cm="1">
        <f t="array" ref="N634">IF($A634="","",IFERROR((SUMPRODUCT((TRIM(tblDados[Mandante])=$A634)*tblDados[Primeira_Ocorrencia]*((tblDados[GM_M]+tblDados[GS_M])&gt;3.5))+SUMPRODUCT((TRIM(tblDados[Visitante])=$A634)*tblDados[Primeira_Ocorrencia]*((tblDados[GM_V]+tblDados[GS_V])&gt;3.5)))/G634,0))</f>
        <v/>
      </c>
      <c r="O634" s="16" t="str" cm="1">
        <f t="array" ref="O634">IF($A634="","",IFERROR((SUMPRODUCT((TRIM(tblDados[Mandante])=$A634)*tblDados[Primeira_Ocorrencia]*(tblDados[GM_M]&gt;0)*(tblDados[GS_M]&gt;0))+SUMPRODUCT((TRIM(tblDados[Visitante])=$A634)*tblDados[Primeira_Ocorrencia]*(tblDados[GM_V]&gt;0)*(tblDados[GS_V]&gt;0)))/G634,0))</f>
        <v/>
      </c>
      <c r="P634" s="14" t="str" cm="1">
        <f t="array" ref="P634">IF($A634="","",IFERROR((SUMPRODUCT((TRIM(tblDados[Mandante])=$A634)*tblDados[Primeira_Ocorrencia]*tblDados[GM_M]^2)+SUMPRODUCT((TRIM(tblDados[Visitante])=$A634)*tblDados[Primeira_Ocorrencia]*tblDados[GM_V]^2))/G634-H634^2,0))</f>
        <v/>
      </c>
      <c r="Q634" s="14" t="str">
        <f t="shared" si="174"/>
        <v/>
      </c>
      <c r="R634" s="1" t="str">
        <f t="shared" si="175"/>
        <v/>
      </c>
      <c r="S634" s="14" t="str" cm="1">
        <f t="array" ref="S634">IF($A634="","",SUMPRODUCT((TRIM(tblDados[Mandante])=$A634)*tblDados[Primeira_Ocorrencia]*tblDados[GM_M]))</f>
        <v/>
      </c>
      <c r="T634" s="14" t="str" cm="1">
        <f t="array" ref="T634">IF($A634="","",SUMPRODUCT((TRIM(tblDados[Visitante])=$A634)*tblDados[Primeira_Ocorrencia]*tblDados[GM_V]))</f>
        <v/>
      </c>
      <c r="U634" s="14" t="str">
        <f t="shared" si="176"/>
        <v/>
      </c>
      <c r="V634" s="14" t="str">
        <f t="shared" si="165"/>
        <v/>
      </c>
      <c r="W634" s="14" t="str" cm="1">
        <f t="array" ref="W634">IF($A634="","",SUMPRODUCT((TRIM(tblDados[Mandante])=$A634)*tblDados[Primeira_Ocorrencia]*tblDados[GS_M]))</f>
        <v/>
      </c>
      <c r="X634" s="14" t="str" cm="1">
        <f t="array" ref="X634">IF($A634="","",SUMPRODUCT((TRIM(tblDados[Visitante])=$A634)*tblDados[Primeira_Ocorrencia]*tblDados[GS_V]))</f>
        <v/>
      </c>
      <c r="Y634" s="14" t="str">
        <f t="shared" si="177"/>
        <v/>
      </c>
      <c r="Z634" s="14" t="str">
        <f t="shared" si="166"/>
        <v/>
      </c>
      <c r="AA634" s="14" t="str">
        <f t="shared" si="167"/>
        <v/>
      </c>
      <c r="AB634" s="14" t="str">
        <f t="shared" si="168"/>
        <v/>
      </c>
      <c r="AC634" s="14" t="str">
        <f t="shared" si="169"/>
        <v/>
      </c>
      <c r="AD634" s="14" t="str">
        <f t="shared" si="170"/>
        <v/>
      </c>
    </row>
    <row r="635" spans="2:30" x14ac:dyDescent="0.3">
      <c r="B635" s="13" t="str" cm="1">
        <f t="array" ref="B635">IF($A635="","",_xlfn.LET(_xlpm.p,IFERROR(INDEX(tblDados[País],MATCH($A635,TRIM(tblDados[Mandante]),0)),INDEX(tblDados[País],MATCH($A635,TRIM(tblDados[Visitante]),0))),_xlpm.l,IFERROR(INDEX(tblDados[Liga],MATCH($A635,TRIM(tblDados[Mandante]),0)),INDEX(tblDados[Liga],MATCH($A635,TRIM(tblDados[Visitante]),0))),_xlpm.p&amp;" - "&amp;_xlpm.l))</f>
        <v/>
      </c>
      <c r="C635" s="14" t="str">
        <f t="shared" si="171"/>
        <v/>
      </c>
      <c r="D635" s="14" t="str">
        <f t="shared" si="172"/>
        <v/>
      </c>
      <c r="E635" s="15" t="str" cm="1">
        <f t="array" ref="E635">IF($A635="","",SUMPRODUCT((TRIM(tblDados[Mandante])=$A635)*tblDados[Primeira_Ocorrencia]))</f>
        <v/>
      </c>
      <c r="F635" s="15" t="str" cm="1">
        <f t="array" ref="F635">IF($A635="","",SUMPRODUCT((TRIM(tblDados[Visitante])=$A635)*tblDados[Primeira_Ocorrencia]))</f>
        <v/>
      </c>
      <c r="G635" s="15" t="str" cm="1">
        <f t="array" ref="G635">IF($A635="","",SUMPRODUCT((TRIM(tblDados[Mandante])=$A635)*tblDados[Primeira_Ocorrencia])+SUMPRODUCT((TRIM(tblDados[Visitante])=$A635)*tblDados[Primeira_Ocorrencia]))</f>
        <v/>
      </c>
      <c r="H635" s="14" t="str">
        <f t="shared" si="173"/>
        <v/>
      </c>
      <c r="I635" s="14" t="str" cm="1">
        <f t="array" ref="I635">IF($A635="","",_xlfn.LET(_xlpm.p,IFERROR(INDEX(tblDados[País],MATCH($A635,TRIM(tblDados[Mandante]),0)),INDEX(tblDados[País],MATCH($A635,TRIM(tblDados[Visitante]),0))),_xlpm.l,IFERROR(INDEX(tblDados[Liga],MATCH($A635,TRIM(tblDados[Mandante]),0)),INDEX(tblDados[Liga],MATCH($A635,TRIM(tblDados[Visitante]),0))),IFERROR(SUMIFS(Ligas!$D$2:$D$39,Ligas!$H$2:$H$39,_xlpm.p,Ligas!$I$2:$I$39,_xlpm.l),0)))</f>
        <v/>
      </c>
      <c r="J635" s="16" t="str" cm="1">
        <f t="array" ref="J635">IF($A635="","",IFERROR((SUMPRODUCT((TRIM(tblDados[Mandante])=$A635)*tblDados[Primeira_Ocorrencia]*(tblDados[GM_M]=0))+SUMPRODUCT((TRIM(tblDados[Visitante])=$A635)*tblDados[Primeira_Ocorrencia]*(tblDados[GM_V]=0)))/G635,0))</f>
        <v/>
      </c>
      <c r="K635" s="16" t="str" cm="1">
        <f t="array" ref="K635">IF($A635="","",IFERROR((SUMPRODUCT((TRIM(tblDados[Mandante])=$A635)*tblDados[Primeira_Ocorrencia]*((tblDados[GM_M]+tblDados[GS_M])&gt;0.5))+SUMPRODUCT((TRIM(tblDados[Visitante])=$A635)*tblDados[Primeira_Ocorrencia]*((tblDados[GM_V]+tblDados[GS_V])&gt;0.5)))/G635,0))</f>
        <v/>
      </c>
      <c r="L635" s="16" t="str" cm="1">
        <f t="array" ref="L635">IF($A635="","",IFERROR((SUMPRODUCT((TRIM(tblDados[Mandante])=$A635)*tblDados[Primeira_Ocorrencia]*((tblDados[GM_M]+tblDados[GS_M])&gt;1.5))+SUMPRODUCT((TRIM(tblDados[Visitante])=$A635)*tblDados[Primeira_Ocorrencia]*((tblDados[GM_V]+tblDados[GS_V])&gt;1.5)))/G635,0))</f>
        <v/>
      </c>
      <c r="M635" s="16" t="str" cm="1">
        <f t="array" ref="M635">IF($A635="","",IFERROR((SUMPRODUCT((TRIM(tblDados[Mandante])=$A635)*tblDados[Primeira_Ocorrencia]*((tblDados[GM_M]+tblDados[GS_M])&gt;2.5))+SUMPRODUCT((TRIM(tblDados[Visitante])=$A635)*tblDados[Primeira_Ocorrencia]*((tblDados[GM_V]+tblDados[GS_V])&gt;2.5)))/G635,0))</f>
        <v/>
      </c>
      <c r="N635" s="16" t="str" cm="1">
        <f t="array" ref="N635">IF($A635="","",IFERROR((SUMPRODUCT((TRIM(tblDados[Mandante])=$A635)*tblDados[Primeira_Ocorrencia]*((tblDados[GM_M]+tblDados[GS_M])&gt;3.5))+SUMPRODUCT((TRIM(tblDados[Visitante])=$A635)*tblDados[Primeira_Ocorrencia]*((tblDados[GM_V]+tblDados[GS_V])&gt;3.5)))/G635,0))</f>
        <v/>
      </c>
      <c r="O635" s="16" t="str" cm="1">
        <f t="array" ref="O635">IF($A635="","",IFERROR((SUMPRODUCT((TRIM(tblDados[Mandante])=$A635)*tblDados[Primeira_Ocorrencia]*(tblDados[GM_M]&gt;0)*(tblDados[GS_M]&gt;0))+SUMPRODUCT((TRIM(tblDados[Visitante])=$A635)*tblDados[Primeira_Ocorrencia]*(tblDados[GM_V]&gt;0)*(tblDados[GS_V]&gt;0)))/G635,0))</f>
        <v/>
      </c>
      <c r="P635" s="14" t="str" cm="1">
        <f t="array" ref="P635">IF($A635="","",IFERROR((SUMPRODUCT((TRIM(tblDados[Mandante])=$A635)*tblDados[Primeira_Ocorrencia]*tblDados[GM_M]^2)+SUMPRODUCT((TRIM(tblDados[Visitante])=$A635)*tblDados[Primeira_Ocorrencia]*tblDados[GM_V]^2))/G635-H635^2,0))</f>
        <v/>
      </c>
      <c r="Q635" s="14" t="str">
        <f t="shared" si="174"/>
        <v/>
      </c>
      <c r="R635" s="1" t="str">
        <f t="shared" si="175"/>
        <v/>
      </c>
      <c r="S635" s="14" t="str" cm="1">
        <f t="array" ref="S635">IF($A635="","",SUMPRODUCT((TRIM(tblDados[Mandante])=$A635)*tblDados[Primeira_Ocorrencia]*tblDados[GM_M]))</f>
        <v/>
      </c>
      <c r="T635" s="14" t="str" cm="1">
        <f t="array" ref="T635">IF($A635="","",SUMPRODUCT((TRIM(tblDados[Visitante])=$A635)*tblDados[Primeira_Ocorrencia]*tblDados[GM_V]))</f>
        <v/>
      </c>
      <c r="U635" s="14" t="str">
        <f t="shared" si="176"/>
        <v/>
      </c>
      <c r="V635" s="14" t="str">
        <f t="shared" si="165"/>
        <v/>
      </c>
      <c r="W635" s="14" t="str" cm="1">
        <f t="array" ref="W635">IF($A635="","",SUMPRODUCT((TRIM(tblDados[Mandante])=$A635)*tblDados[Primeira_Ocorrencia]*tblDados[GS_M]))</f>
        <v/>
      </c>
      <c r="X635" s="14" t="str" cm="1">
        <f t="array" ref="X635">IF($A635="","",SUMPRODUCT((TRIM(tblDados[Visitante])=$A635)*tblDados[Primeira_Ocorrencia]*tblDados[GS_V]))</f>
        <v/>
      </c>
      <c r="Y635" s="14" t="str">
        <f t="shared" si="177"/>
        <v/>
      </c>
      <c r="Z635" s="14" t="str">
        <f t="shared" si="166"/>
        <v/>
      </c>
      <c r="AA635" s="14" t="str">
        <f t="shared" si="167"/>
        <v/>
      </c>
      <c r="AB635" s="14" t="str">
        <f t="shared" si="168"/>
        <v/>
      </c>
      <c r="AC635" s="14" t="str">
        <f t="shared" si="169"/>
        <v/>
      </c>
      <c r="AD635" s="14" t="str">
        <f t="shared" si="170"/>
        <v/>
      </c>
    </row>
    <row r="636" spans="2:30" x14ac:dyDescent="0.3">
      <c r="B636" s="13" t="str" cm="1">
        <f t="array" ref="B636">IF($A636="","",_xlfn.LET(_xlpm.p,IFERROR(INDEX(tblDados[País],MATCH($A636,TRIM(tblDados[Mandante]),0)),INDEX(tblDados[País],MATCH($A636,TRIM(tblDados[Visitante]),0))),_xlpm.l,IFERROR(INDEX(tblDados[Liga],MATCH($A636,TRIM(tblDados[Mandante]),0)),INDEX(tblDados[Liga],MATCH($A636,TRIM(tblDados[Visitante]),0))),_xlpm.p&amp;" - "&amp;_xlpm.l))</f>
        <v/>
      </c>
      <c r="C636" s="14" t="str">
        <f t="shared" si="171"/>
        <v/>
      </c>
      <c r="D636" s="14" t="str">
        <f t="shared" si="172"/>
        <v/>
      </c>
      <c r="E636" s="15" t="str" cm="1">
        <f t="array" ref="E636">IF($A636="","",SUMPRODUCT((TRIM(tblDados[Mandante])=$A636)*tblDados[Primeira_Ocorrencia]))</f>
        <v/>
      </c>
      <c r="F636" s="15" t="str" cm="1">
        <f t="array" ref="F636">IF($A636="","",SUMPRODUCT((TRIM(tblDados[Visitante])=$A636)*tblDados[Primeira_Ocorrencia]))</f>
        <v/>
      </c>
      <c r="G636" s="15" t="str" cm="1">
        <f t="array" ref="G636">IF($A636="","",SUMPRODUCT((TRIM(tblDados[Mandante])=$A636)*tblDados[Primeira_Ocorrencia])+SUMPRODUCT((TRIM(tblDados[Visitante])=$A636)*tblDados[Primeira_Ocorrencia]))</f>
        <v/>
      </c>
      <c r="H636" s="14" t="str">
        <f t="shared" si="173"/>
        <v/>
      </c>
      <c r="I636" s="14" t="str" cm="1">
        <f t="array" ref="I636">IF($A636="","",_xlfn.LET(_xlpm.p,IFERROR(INDEX(tblDados[País],MATCH($A636,TRIM(tblDados[Mandante]),0)),INDEX(tblDados[País],MATCH($A636,TRIM(tblDados[Visitante]),0))),_xlpm.l,IFERROR(INDEX(tblDados[Liga],MATCH($A636,TRIM(tblDados[Mandante]),0)),INDEX(tblDados[Liga],MATCH($A636,TRIM(tblDados[Visitante]),0))),IFERROR(SUMIFS(Ligas!$D$2:$D$39,Ligas!$H$2:$H$39,_xlpm.p,Ligas!$I$2:$I$39,_xlpm.l),0)))</f>
        <v/>
      </c>
      <c r="J636" s="16" t="str" cm="1">
        <f t="array" ref="J636">IF($A636="","",IFERROR((SUMPRODUCT((TRIM(tblDados[Mandante])=$A636)*tblDados[Primeira_Ocorrencia]*(tblDados[GM_M]=0))+SUMPRODUCT((TRIM(tblDados[Visitante])=$A636)*tblDados[Primeira_Ocorrencia]*(tblDados[GM_V]=0)))/G636,0))</f>
        <v/>
      </c>
      <c r="K636" s="16" t="str" cm="1">
        <f t="array" ref="K636">IF($A636="","",IFERROR((SUMPRODUCT((TRIM(tblDados[Mandante])=$A636)*tblDados[Primeira_Ocorrencia]*((tblDados[GM_M]+tblDados[GS_M])&gt;0.5))+SUMPRODUCT((TRIM(tblDados[Visitante])=$A636)*tblDados[Primeira_Ocorrencia]*((tblDados[GM_V]+tblDados[GS_V])&gt;0.5)))/G636,0))</f>
        <v/>
      </c>
      <c r="L636" s="16" t="str" cm="1">
        <f t="array" ref="L636">IF($A636="","",IFERROR((SUMPRODUCT((TRIM(tblDados[Mandante])=$A636)*tblDados[Primeira_Ocorrencia]*((tblDados[GM_M]+tblDados[GS_M])&gt;1.5))+SUMPRODUCT((TRIM(tblDados[Visitante])=$A636)*tblDados[Primeira_Ocorrencia]*((tblDados[GM_V]+tblDados[GS_V])&gt;1.5)))/G636,0))</f>
        <v/>
      </c>
      <c r="M636" s="16" t="str" cm="1">
        <f t="array" ref="M636">IF($A636="","",IFERROR((SUMPRODUCT((TRIM(tblDados[Mandante])=$A636)*tblDados[Primeira_Ocorrencia]*((tblDados[GM_M]+tblDados[GS_M])&gt;2.5))+SUMPRODUCT((TRIM(tblDados[Visitante])=$A636)*tblDados[Primeira_Ocorrencia]*((tblDados[GM_V]+tblDados[GS_V])&gt;2.5)))/G636,0))</f>
        <v/>
      </c>
      <c r="N636" s="16" t="str" cm="1">
        <f t="array" ref="N636">IF($A636="","",IFERROR((SUMPRODUCT((TRIM(tblDados[Mandante])=$A636)*tblDados[Primeira_Ocorrencia]*((tblDados[GM_M]+tblDados[GS_M])&gt;3.5))+SUMPRODUCT((TRIM(tblDados[Visitante])=$A636)*tblDados[Primeira_Ocorrencia]*((tblDados[GM_V]+tblDados[GS_V])&gt;3.5)))/G636,0))</f>
        <v/>
      </c>
      <c r="O636" s="16" t="str" cm="1">
        <f t="array" ref="O636">IF($A636="","",IFERROR((SUMPRODUCT((TRIM(tblDados[Mandante])=$A636)*tblDados[Primeira_Ocorrencia]*(tblDados[GM_M]&gt;0)*(tblDados[GS_M]&gt;0))+SUMPRODUCT((TRIM(tblDados[Visitante])=$A636)*tblDados[Primeira_Ocorrencia]*(tblDados[GM_V]&gt;0)*(tblDados[GS_V]&gt;0)))/G636,0))</f>
        <v/>
      </c>
      <c r="P636" s="14" t="str" cm="1">
        <f t="array" ref="P636">IF($A636="","",IFERROR((SUMPRODUCT((TRIM(tblDados[Mandante])=$A636)*tblDados[Primeira_Ocorrencia]*tblDados[GM_M]^2)+SUMPRODUCT((TRIM(tblDados[Visitante])=$A636)*tblDados[Primeira_Ocorrencia]*tblDados[GM_V]^2))/G636-H636^2,0))</f>
        <v/>
      </c>
      <c r="Q636" s="14" t="str">
        <f t="shared" si="174"/>
        <v/>
      </c>
      <c r="R636" s="1" t="str">
        <f t="shared" si="175"/>
        <v/>
      </c>
      <c r="S636" s="14" t="str" cm="1">
        <f t="array" ref="S636">IF($A636="","",SUMPRODUCT((TRIM(tblDados[Mandante])=$A636)*tblDados[Primeira_Ocorrencia]*tblDados[GM_M]))</f>
        <v/>
      </c>
      <c r="T636" s="14" t="str" cm="1">
        <f t="array" ref="T636">IF($A636="","",SUMPRODUCT((TRIM(tblDados[Visitante])=$A636)*tblDados[Primeira_Ocorrencia]*tblDados[GM_V]))</f>
        <v/>
      </c>
      <c r="U636" s="14" t="str">
        <f t="shared" si="176"/>
        <v/>
      </c>
      <c r="V636" s="14" t="str">
        <f t="shared" si="165"/>
        <v/>
      </c>
      <c r="W636" s="14" t="str" cm="1">
        <f t="array" ref="W636">IF($A636="","",SUMPRODUCT((TRIM(tblDados[Mandante])=$A636)*tblDados[Primeira_Ocorrencia]*tblDados[GS_M]))</f>
        <v/>
      </c>
      <c r="X636" s="14" t="str" cm="1">
        <f t="array" ref="X636">IF($A636="","",SUMPRODUCT((TRIM(tblDados[Visitante])=$A636)*tblDados[Primeira_Ocorrencia]*tblDados[GS_V]))</f>
        <v/>
      </c>
      <c r="Y636" s="14" t="str">
        <f t="shared" si="177"/>
        <v/>
      </c>
      <c r="Z636" s="14" t="str">
        <f t="shared" si="166"/>
        <v/>
      </c>
      <c r="AA636" s="14" t="str">
        <f t="shared" si="167"/>
        <v/>
      </c>
      <c r="AB636" s="14" t="str">
        <f t="shared" si="168"/>
        <v/>
      </c>
      <c r="AC636" s="14" t="str">
        <f t="shared" si="169"/>
        <v/>
      </c>
      <c r="AD636" s="14" t="str">
        <f t="shared" si="170"/>
        <v/>
      </c>
    </row>
    <row r="637" spans="2:30" x14ac:dyDescent="0.3">
      <c r="B637" s="13" t="str" cm="1">
        <f t="array" ref="B637">IF($A637="","",_xlfn.LET(_xlpm.p,IFERROR(INDEX(tblDados[País],MATCH($A637,TRIM(tblDados[Mandante]),0)),INDEX(tblDados[País],MATCH($A637,TRIM(tblDados[Visitante]),0))),_xlpm.l,IFERROR(INDEX(tblDados[Liga],MATCH($A637,TRIM(tblDados[Mandante]),0)),INDEX(tblDados[Liga],MATCH($A637,TRIM(tblDados[Visitante]),0))),_xlpm.p&amp;" - "&amp;_xlpm.l))</f>
        <v/>
      </c>
      <c r="C637" s="14" t="str">
        <f t="shared" si="171"/>
        <v/>
      </c>
      <c r="D637" s="14" t="str">
        <f t="shared" si="172"/>
        <v/>
      </c>
      <c r="E637" s="15" t="str" cm="1">
        <f t="array" ref="E637">IF($A637="","",SUMPRODUCT((TRIM(tblDados[Mandante])=$A637)*tblDados[Primeira_Ocorrencia]))</f>
        <v/>
      </c>
      <c r="F637" s="15" t="str" cm="1">
        <f t="array" ref="F637">IF($A637="","",SUMPRODUCT((TRIM(tblDados[Visitante])=$A637)*tblDados[Primeira_Ocorrencia]))</f>
        <v/>
      </c>
      <c r="G637" s="15" t="str" cm="1">
        <f t="array" ref="G637">IF($A637="","",SUMPRODUCT((TRIM(tblDados[Mandante])=$A637)*tblDados[Primeira_Ocorrencia])+SUMPRODUCT((TRIM(tblDados[Visitante])=$A637)*tblDados[Primeira_Ocorrencia]))</f>
        <v/>
      </c>
      <c r="H637" s="14" t="str">
        <f t="shared" si="173"/>
        <v/>
      </c>
      <c r="I637" s="14" t="str" cm="1">
        <f t="array" ref="I637">IF($A637="","",_xlfn.LET(_xlpm.p,IFERROR(INDEX(tblDados[País],MATCH($A637,TRIM(tblDados[Mandante]),0)),INDEX(tblDados[País],MATCH($A637,TRIM(tblDados[Visitante]),0))),_xlpm.l,IFERROR(INDEX(tblDados[Liga],MATCH($A637,TRIM(tblDados[Mandante]),0)),INDEX(tblDados[Liga],MATCH($A637,TRIM(tblDados[Visitante]),0))),IFERROR(SUMIFS(Ligas!$D$2:$D$39,Ligas!$H$2:$H$39,_xlpm.p,Ligas!$I$2:$I$39,_xlpm.l),0)))</f>
        <v/>
      </c>
      <c r="J637" s="16" t="str" cm="1">
        <f t="array" ref="J637">IF($A637="","",IFERROR((SUMPRODUCT((TRIM(tblDados[Mandante])=$A637)*tblDados[Primeira_Ocorrencia]*(tblDados[GM_M]=0))+SUMPRODUCT((TRIM(tblDados[Visitante])=$A637)*tblDados[Primeira_Ocorrencia]*(tblDados[GM_V]=0)))/G637,0))</f>
        <v/>
      </c>
      <c r="K637" s="16" t="str" cm="1">
        <f t="array" ref="K637">IF($A637="","",IFERROR((SUMPRODUCT((TRIM(tblDados[Mandante])=$A637)*tblDados[Primeira_Ocorrencia]*((tblDados[GM_M]+tblDados[GS_M])&gt;0.5))+SUMPRODUCT((TRIM(tblDados[Visitante])=$A637)*tblDados[Primeira_Ocorrencia]*((tblDados[GM_V]+tblDados[GS_V])&gt;0.5)))/G637,0))</f>
        <v/>
      </c>
      <c r="L637" s="16" t="str" cm="1">
        <f t="array" ref="L637">IF($A637="","",IFERROR((SUMPRODUCT((TRIM(tblDados[Mandante])=$A637)*tblDados[Primeira_Ocorrencia]*((tblDados[GM_M]+tblDados[GS_M])&gt;1.5))+SUMPRODUCT((TRIM(tblDados[Visitante])=$A637)*tblDados[Primeira_Ocorrencia]*((tblDados[GM_V]+tblDados[GS_V])&gt;1.5)))/G637,0))</f>
        <v/>
      </c>
      <c r="M637" s="16" t="str" cm="1">
        <f t="array" ref="M637">IF($A637="","",IFERROR((SUMPRODUCT((TRIM(tblDados[Mandante])=$A637)*tblDados[Primeira_Ocorrencia]*((tblDados[GM_M]+tblDados[GS_M])&gt;2.5))+SUMPRODUCT((TRIM(tblDados[Visitante])=$A637)*tblDados[Primeira_Ocorrencia]*((tblDados[GM_V]+tblDados[GS_V])&gt;2.5)))/G637,0))</f>
        <v/>
      </c>
      <c r="N637" s="16" t="str" cm="1">
        <f t="array" ref="N637">IF($A637="","",IFERROR((SUMPRODUCT((TRIM(tblDados[Mandante])=$A637)*tblDados[Primeira_Ocorrencia]*((tblDados[GM_M]+tblDados[GS_M])&gt;3.5))+SUMPRODUCT((TRIM(tblDados[Visitante])=$A637)*tblDados[Primeira_Ocorrencia]*((tblDados[GM_V]+tblDados[GS_V])&gt;3.5)))/G637,0))</f>
        <v/>
      </c>
      <c r="O637" s="16" t="str" cm="1">
        <f t="array" ref="O637">IF($A637="","",IFERROR((SUMPRODUCT((TRIM(tblDados[Mandante])=$A637)*tblDados[Primeira_Ocorrencia]*(tblDados[GM_M]&gt;0)*(tblDados[GS_M]&gt;0))+SUMPRODUCT((TRIM(tblDados[Visitante])=$A637)*tblDados[Primeira_Ocorrencia]*(tblDados[GM_V]&gt;0)*(tblDados[GS_V]&gt;0)))/G637,0))</f>
        <v/>
      </c>
      <c r="P637" s="14" t="str" cm="1">
        <f t="array" ref="P637">IF($A637="","",IFERROR((SUMPRODUCT((TRIM(tblDados[Mandante])=$A637)*tblDados[Primeira_Ocorrencia]*tblDados[GM_M]^2)+SUMPRODUCT((TRIM(tblDados[Visitante])=$A637)*tblDados[Primeira_Ocorrencia]*tblDados[GM_V]^2))/G637-H637^2,0))</f>
        <v/>
      </c>
      <c r="Q637" s="14" t="str">
        <f t="shared" si="174"/>
        <v/>
      </c>
      <c r="R637" s="1" t="str">
        <f t="shared" si="175"/>
        <v/>
      </c>
      <c r="S637" s="14" t="str" cm="1">
        <f t="array" ref="S637">IF($A637="","",SUMPRODUCT((TRIM(tblDados[Mandante])=$A637)*tblDados[Primeira_Ocorrencia]*tblDados[GM_M]))</f>
        <v/>
      </c>
      <c r="T637" s="14" t="str" cm="1">
        <f t="array" ref="T637">IF($A637="","",SUMPRODUCT((TRIM(tblDados[Visitante])=$A637)*tblDados[Primeira_Ocorrencia]*tblDados[GM_V]))</f>
        <v/>
      </c>
      <c r="U637" s="14" t="str">
        <f t="shared" si="176"/>
        <v/>
      </c>
      <c r="V637" s="14" t="str">
        <f t="shared" si="165"/>
        <v/>
      </c>
      <c r="W637" s="14" t="str" cm="1">
        <f t="array" ref="W637">IF($A637="","",SUMPRODUCT((TRIM(tblDados[Mandante])=$A637)*tblDados[Primeira_Ocorrencia]*tblDados[GS_M]))</f>
        <v/>
      </c>
      <c r="X637" s="14" t="str" cm="1">
        <f t="array" ref="X637">IF($A637="","",SUMPRODUCT((TRIM(tblDados[Visitante])=$A637)*tblDados[Primeira_Ocorrencia]*tblDados[GS_V]))</f>
        <v/>
      </c>
      <c r="Y637" s="14" t="str">
        <f t="shared" si="177"/>
        <v/>
      </c>
      <c r="Z637" s="14" t="str">
        <f t="shared" si="166"/>
        <v/>
      </c>
      <c r="AA637" s="14" t="str">
        <f t="shared" si="167"/>
        <v/>
      </c>
      <c r="AB637" s="14" t="str">
        <f t="shared" si="168"/>
        <v/>
      </c>
      <c r="AC637" s="14" t="str">
        <f t="shared" si="169"/>
        <v/>
      </c>
      <c r="AD637" s="14" t="str">
        <f t="shared" si="170"/>
        <v/>
      </c>
    </row>
    <row r="638" spans="2:30" x14ac:dyDescent="0.3">
      <c r="B638" s="13" t="str" cm="1">
        <f t="array" ref="B638">IF($A638="","",_xlfn.LET(_xlpm.p,IFERROR(INDEX(tblDados[País],MATCH($A638,TRIM(tblDados[Mandante]),0)),INDEX(tblDados[País],MATCH($A638,TRIM(tblDados[Visitante]),0))),_xlpm.l,IFERROR(INDEX(tblDados[Liga],MATCH($A638,TRIM(tblDados[Mandante]),0)),INDEX(tblDados[Liga],MATCH($A638,TRIM(tblDados[Visitante]),0))),_xlpm.p&amp;" - "&amp;_xlpm.l))</f>
        <v/>
      </c>
      <c r="C638" s="14" t="str">
        <f t="shared" si="171"/>
        <v/>
      </c>
      <c r="D638" s="14" t="str">
        <f t="shared" si="172"/>
        <v/>
      </c>
      <c r="E638" s="15" t="str" cm="1">
        <f t="array" ref="E638">IF($A638="","",SUMPRODUCT((TRIM(tblDados[Mandante])=$A638)*tblDados[Primeira_Ocorrencia]))</f>
        <v/>
      </c>
      <c r="F638" s="15" t="str" cm="1">
        <f t="array" ref="F638">IF($A638="","",SUMPRODUCT((TRIM(tblDados[Visitante])=$A638)*tblDados[Primeira_Ocorrencia]))</f>
        <v/>
      </c>
      <c r="G638" s="15" t="str" cm="1">
        <f t="array" ref="G638">IF($A638="","",SUMPRODUCT((TRIM(tblDados[Mandante])=$A638)*tblDados[Primeira_Ocorrencia])+SUMPRODUCT((TRIM(tblDados[Visitante])=$A638)*tblDados[Primeira_Ocorrencia]))</f>
        <v/>
      </c>
      <c r="H638" s="14" t="str">
        <f t="shared" si="173"/>
        <v/>
      </c>
      <c r="I638" s="14" t="str" cm="1">
        <f t="array" ref="I638">IF($A638="","",_xlfn.LET(_xlpm.p,IFERROR(INDEX(tblDados[País],MATCH($A638,TRIM(tblDados[Mandante]),0)),INDEX(tblDados[País],MATCH($A638,TRIM(tblDados[Visitante]),0))),_xlpm.l,IFERROR(INDEX(tblDados[Liga],MATCH($A638,TRIM(tblDados[Mandante]),0)),INDEX(tblDados[Liga],MATCH($A638,TRIM(tblDados[Visitante]),0))),IFERROR(SUMIFS(Ligas!$D$2:$D$39,Ligas!$H$2:$H$39,_xlpm.p,Ligas!$I$2:$I$39,_xlpm.l),0)))</f>
        <v/>
      </c>
      <c r="J638" s="16" t="str" cm="1">
        <f t="array" ref="J638">IF($A638="","",IFERROR((SUMPRODUCT((TRIM(tblDados[Mandante])=$A638)*tblDados[Primeira_Ocorrencia]*(tblDados[GM_M]=0))+SUMPRODUCT((TRIM(tblDados[Visitante])=$A638)*tblDados[Primeira_Ocorrencia]*(tblDados[GM_V]=0)))/G638,0))</f>
        <v/>
      </c>
      <c r="K638" s="16" t="str" cm="1">
        <f t="array" ref="K638">IF($A638="","",IFERROR((SUMPRODUCT((TRIM(tblDados[Mandante])=$A638)*tblDados[Primeira_Ocorrencia]*((tblDados[GM_M]+tblDados[GS_M])&gt;0.5))+SUMPRODUCT((TRIM(tblDados[Visitante])=$A638)*tblDados[Primeira_Ocorrencia]*((tblDados[GM_V]+tblDados[GS_V])&gt;0.5)))/G638,0))</f>
        <v/>
      </c>
      <c r="L638" s="16" t="str" cm="1">
        <f t="array" ref="L638">IF($A638="","",IFERROR((SUMPRODUCT((TRIM(tblDados[Mandante])=$A638)*tblDados[Primeira_Ocorrencia]*((tblDados[GM_M]+tblDados[GS_M])&gt;1.5))+SUMPRODUCT((TRIM(tblDados[Visitante])=$A638)*tblDados[Primeira_Ocorrencia]*((tblDados[GM_V]+tblDados[GS_V])&gt;1.5)))/G638,0))</f>
        <v/>
      </c>
      <c r="M638" s="16" t="str" cm="1">
        <f t="array" ref="M638">IF($A638="","",IFERROR((SUMPRODUCT((TRIM(tblDados[Mandante])=$A638)*tblDados[Primeira_Ocorrencia]*((tblDados[GM_M]+tblDados[GS_M])&gt;2.5))+SUMPRODUCT((TRIM(tblDados[Visitante])=$A638)*tblDados[Primeira_Ocorrencia]*((tblDados[GM_V]+tblDados[GS_V])&gt;2.5)))/G638,0))</f>
        <v/>
      </c>
      <c r="N638" s="16" t="str" cm="1">
        <f t="array" ref="N638">IF($A638="","",IFERROR((SUMPRODUCT((TRIM(tblDados[Mandante])=$A638)*tblDados[Primeira_Ocorrencia]*((tblDados[GM_M]+tblDados[GS_M])&gt;3.5))+SUMPRODUCT((TRIM(tblDados[Visitante])=$A638)*tblDados[Primeira_Ocorrencia]*((tblDados[GM_V]+tblDados[GS_V])&gt;3.5)))/G638,0))</f>
        <v/>
      </c>
      <c r="O638" s="16" t="str" cm="1">
        <f t="array" ref="O638">IF($A638="","",IFERROR((SUMPRODUCT((TRIM(tblDados[Mandante])=$A638)*tblDados[Primeira_Ocorrencia]*(tblDados[GM_M]&gt;0)*(tblDados[GS_M]&gt;0))+SUMPRODUCT((TRIM(tblDados[Visitante])=$A638)*tblDados[Primeira_Ocorrencia]*(tblDados[GM_V]&gt;0)*(tblDados[GS_V]&gt;0)))/G638,0))</f>
        <v/>
      </c>
      <c r="P638" s="14" t="str" cm="1">
        <f t="array" ref="P638">IF($A638="","",IFERROR((SUMPRODUCT((TRIM(tblDados[Mandante])=$A638)*tblDados[Primeira_Ocorrencia]*tblDados[GM_M]^2)+SUMPRODUCT((TRIM(tblDados[Visitante])=$A638)*tblDados[Primeira_Ocorrencia]*tblDados[GM_V]^2))/G638-H638^2,0))</f>
        <v/>
      </c>
      <c r="Q638" s="14" t="str">
        <f t="shared" si="174"/>
        <v/>
      </c>
      <c r="R638" s="1" t="str">
        <f t="shared" si="175"/>
        <v/>
      </c>
      <c r="S638" s="14" t="str" cm="1">
        <f t="array" ref="S638">IF($A638="","",SUMPRODUCT((TRIM(tblDados[Mandante])=$A638)*tblDados[Primeira_Ocorrencia]*tblDados[GM_M]))</f>
        <v/>
      </c>
      <c r="T638" s="14" t="str" cm="1">
        <f t="array" ref="T638">IF($A638="","",SUMPRODUCT((TRIM(tblDados[Visitante])=$A638)*tblDados[Primeira_Ocorrencia]*tblDados[GM_V]))</f>
        <v/>
      </c>
      <c r="U638" s="14" t="str">
        <f t="shared" si="176"/>
        <v/>
      </c>
      <c r="V638" s="14" t="str">
        <f t="shared" si="165"/>
        <v/>
      </c>
      <c r="W638" s="14" t="str" cm="1">
        <f t="array" ref="W638">IF($A638="","",SUMPRODUCT((TRIM(tblDados[Mandante])=$A638)*tblDados[Primeira_Ocorrencia]*tblDados[GS_M]))</f>
        <v/>
      </c>
      <c r="X638" s="14" t="str" cm="1">
        <f t="array" ref="X638">IF($A638="","",SUMPRODUCT((TRIM(tblDados[Visitante])=$A638)*tblDados[Primeira_Ocorrencia]*tblDados[GS_V]))</f>
        <v/>
      </c>
      <c r="Y638" s="14" t="str">
        <f t="shared" si="177"/>
        <v/>
      </c>
      <c r="Z638" s="14" t="str">
        <f t="shared" si="166"/>
        <v/>
      </c>
      <c r="AA638" s="14" t="str">
        <f t="shared" si="167"/>
        <v/>
      </c>
      <c r="AB638" s="14" t="str">
        <f t="shared" si="168"/>
        <v/>
      </c>
      <c r="AC638" s="14" t="str">
        <f t="shared" si="169"/>
        <v/>
      </c>
      <c r="AD638" s="14" t="str">
        <f t="shared" si="170"/>
        <v/>
      </c>
    </row>
    <row r="639" spans="2:30" x14ac:dyDescent="0.3">
      <c r="B639" s="13" t="str" cm="1">
        <f t="array" ref="B639">IF($A639="","",_xlfn.LET(_xlpm.p,IFERROR(INDEX(tblDados[País],MATCH($A639,TRIM(tblDados[Mandante]),0)),INDEX(tblDados[País],MATCH($A639,TRIM(tblDados[Visitante]),0))),_xlpm.l,IFERROR(INDEX(tblDados[Liga],MATCH($A639,TRIM(tblDados[Mandante]),0)),INDEX(tblDados[Liga],MATCH($A639,TRIM(tblDados[Visitante]),0))),_xlpm.p&amp;" - "&amp;_xlpm.l))</f>
        <v/>
      </c>
      <c r="C639" s="14" t="str">
        <f t="shared" si="171"/>
        <v/>
      </c>
      <c r="D639" s="14" t="str">
        <f t="shared" si="172"/>
        <v/>
      </c>
      <c r="E639" s="15" t="str" cm="1">
        <f t="array" ref="E639">IF($A639="","",SUMPRODUCT((TRIM(tblDados[Mandante])=$A639)*tblDados[Primeira_Ocorrencia]))</f>
        <v/>
      </c>
      <c r="F639" s="15" t="str" cm="1">
        <f t="array" ref="F639">IF($A639="","",SUMPRODUCT((TRIM(tblDados[Visitante])=$A639)*tblDados[Primeira_Ocorrencia]))</f>
        <v/>
      </c>
      <c r="G639" s="15" t="str" cm="1">
        <f t="array" ref="G639">IF($A639="","",SUMPRODUCT((TRIM(tblDados[Mandante])=$A639)*tblDados[Primeira_Ocorrencia])+SUMPRODUCT((TRIM(tblDados[Visitante])=$A639)*tblDados[Primeira_Ocorrencia]))</f>
        <v/>
      </c>
      <c r="H639" s="14" t="str">
        <f t="shared" si="173"/>
        <v/>
      </c>
      <c r="I639" s="14" t="str" cm="1">
        <f t="array" ref="I639">IF($A639="","",_xlfn.LET(_xlpm.p,IFERROR(INDEX(tblDados[País],MATCH($A639,TRIM(tblDados[Mandante]),0)),INDEX(tblDados[País],MATCH($A639,TRIM(tblDados[Visitante]),0))),_xlpm.l,IFERROR(INDEX(tblDados[Liga],MATCH($A639,TRIM(tblDados[Mandante]),0)),INDEX(tblDados[Liga],MATCH($A639,TRIM(tblDados[Visitante]),0))),IFERROR(SUMIFS(Ligas!$D$2:$D$39,Ligas!$H$2:$H$39,_xlpm.p,Ligas!$I$2:$I$39,_xlpm.l),0)))</f>
        <v/>
      </c>
      <c r="J639" s="16" t="str" cm="1">
        <f t="array" ref="J639">IF($A639="","",IFERROR((SUMPRODUCT((TRIM(tblDados[Mandante])=$A639)*tblDados[Primeira_Ocorrencia]*(tblDados[GM_M]=0))+SUMPRODUCT((TRIM(tblDados[Visitante])=$A639)*tblDados[Primeira_Ocorrencia]*(tblDados[GM_V]=0)))/G639,0))</f>
        <v/>
      </c>
      <c r="K639" s="16" t="str" cm="1">
        <f t="array" ref="K639">IF($A639="","",IFERROR((SUMPRODUCT((TRIM(tblDados[Mandante])=$A639)*tblDados[Primeira_Ocorrencia]*((tblDados[GM_M]+tblDados[GS_M])&gt;0.5))+SUMPRODUCT((TRIM(tblDados[Visitante])=$A639)*tblDados[Primeira_Ocorrencia]*((tblDados[GM_V]+tblDados[GS_V])&gt;0.5)))/G639,0))</f>
        <v/>
      </c>
      <c r="L639" s="16" t="str" cm="1">
        <f t="array" ref="L639">IF($A639="","",IFERROR((SUMPRODUCT((TRIM(tblDados[Mandante])=$A639)*tblDados[Primeira_Ocorrencia]*((tblDados[GM_M]+tblDados[GS_M])&gt;1.5))+SUMPRODUCT((TRIM(tblDados[Visitante])=$A639)*tblDados[Primeira_Ocorrencia]*((tblDados[GM_V]+tblDados[GS_V])&gt;1.5)))/G639,0))</f>
        <v/>
      </c>
      <c r="M639" s="16" t="str" cm="1">
        <f t="array" ref="M639">IF($A639="","",IFERROR((SUMPRODUCT((TRIM(tblDados[Mandante])=$A639)*tblDados[Primeira_Ocorrencia]*((tblDados[GM_M]+tblDados[GS_M])&gt;2.5))+SUMPRODUCT((TRIM(tblDados[Visitante])=$A639)*tblDados[Primeira_Ocorrencia]*((tblDados[GM_V]+tblDados[GS_V])&gt;2.5)))/G639,0))</f>
        <v/>
      </c>
      <c r="N639" s="16" t="str" cm="1">
        <f t="array" ref="N639">IF($A639="","",IFERROR((SUMPRODUCT((TRIM(tblDados[Mandante])=$A639)*tblDados[Primeira_Ocorrencia]*((tblDados[GM_M]+tblDados[GS_M])&gt;3.5))+SUMPRODUCT((TRIM(tblDados[Visitante])=$A639)*tblDados[Primeira_Ocorrencia]*((tblDados[GM_V]+tblDados[GS_V])&gt;3.5)))/G639,0))</f>
        <v/>
      </c>
      <c r="O639" s="16" t="str" cm="1">
        <f t="array" ref="O639">IF($A639="","",IFERROR((SUMPRODUCT((TRIM(tblDados[Mandante])=$A639)*tblDados[Primeira_Ocorrencia]*(tblDados[GM_M]&gt;0)*(tblDados[GS_M]&gt;0))+SUMPRODUCT((TRIM(tblDados[Visitante])=$A639)*tblDados[Primeira_Ocorrencia]*(tblDados[GM_V]&gt;0)*(tblDados[GS_V]&gt;0)))/G639,0))</f>
        <v/>
      </c>
      <c r="P639" s="14" t="str" cm="1">
        <f t="array" ref="P639">IF($A639="","",IFERROR((SUMPRODUCT((TRIM(tblDados[Mandante])=$A639)*tblDados[Primeira_Ocorrencia]*tblDados[GM_M]^2)+SUMPRODUCT((TRIM(tblDados[Visitante])=$A639)*tblDados[Primeira_Ocorrencia]*tblDados[GM_V]^2))/G639-H639^2,0))</f>
        <v/>
      </c>
      <c r="Q639" s="14" t="str">
        <f t="shared" si="174"/>
        <v/>
      </c>
      <c r="R639" s="1" t="str">
        <f t="shared" si="175"/>
        <v/>
      </c>
      <c r="S639" s="14" t="str" cm="1">
        <f t="array" ref="S639">IF($A639="","",SUMPRODUCT((TRIM(tblDados[Mandante])=$A639)*tblDados[Primeira_Ocorrencia]*tblDados[GM_M]))</f>
        <v/>
      </c>
      <c r="T639" s="14" t="str" cm="1">
        <f t="array" ref="T639">IF($A639="","",SUMPRODUCT((TRIM(tblDados[Visitante])=$A639)*tblDados[Primeira_Ocorrencia]*tblDados[GM_V]))</f>
        <v/>
      </c>
      <c r="U639" s="14" t="str">
        <f t="shared" si="176"/>
        <v/>
      </c>
      <c r="V639" s="14" t="str">
        <f t="shared" si="165"/>
        <v/>
      </c>
      <c r="W639" s="14" t="str" cm="1">
        <f t="array" ref="W639">IF($A639="","",SUMPRODUCT((TRIM(tblDados[Mandante])=$A639)*tblDados[Primeira_Ocorrencia]*tblDados[GS_M]))</f>
        <v/>
      </c>
      <c r="X639" s="14" t="str" cm="1">
        <f t="array" ref="X639">IF($A639="","",SUMPRODUCT((TRIM(tblDados[Visitante])=$A639)*tblDados[Primeira_Ocorrencia]*tblDados[GS_V]))</f>
        <v/>
      </c>
      <c r="Y639" s="14" t="str">
        <f t="shared" si="177"/>
        <v/>
      </c>
      <c r="Z639" s="14" t="str">
        <f t="shared" si="166"/>
        <v/>
      </c>
      <c r="AA639" s="14" t="str">
        <f t="shared" si="167"/>
        <v/>
      </c>
      <c r="AB639" s="14" t="str">
        <f t="shared" si="168"/>
        <v/>
      </c>
      <c r="AC639" s="14" t="str">
        <f t="shared" si="169"/>
        <v/>
      </c>
      <c r="AD639" s="14" t="str">
        <f t="shared" si="170"/>
        <v/>
      </c>
    </row>
    <row r="640" spans="2:30" x14ac:dyDescent="0.3">
      <c r="B640" s="13" t="str" cm="1">
        <f t="array" ref="B640">IF($A640="","",_xlfn.LET(_xlpm.p,IFERROR(INDEX(tblDados[País],MATCH($A640,TRIM(tblDados[Mandante]),0)),INDEX(tblDados[País],MATCH($A640,TRIM(tblDados[Visitante]),0))),_xlpm.l,IFERROR(INDEX(tblDados[Liga],MATCH($A640,TRIM(tblDados[Mandante]),0)),INDEX(tblDados[Liga],MATCH($A640,TRIM(tblDados[Visitante]),0))),_xlpm.p&amp;" - "&amp;_xlpm.l))</f>
        <v/>
      </c>
      <c r="C640" s="14" t="str">
        <f t="shared" si="171"/>
        <v/>
      </c>
      <c r="D640" s="14" t="str">
        <f t="shared" si="172"/>
        <v/>
      </c>
      <c r="E640" s="15" t="str" cm="1">
        <f t="array" ref="E640">IF($A640="","",SUMPRODUCT((TRIM(tblDados[Mandante])=$A640)*tblDados[Primeira_Ocorrencia]))</f>
        <v/>
      </c>
      <c r="F640" s="15" t="str" cm="1">
        <f t="array" ref="F640">IF($A640="","",SUMPRODUCT((TRIM(tblDados[Visitante])=$A640)*tblDados[Primeira_Ocorrencia]))</f>
        <v/>
      </c>
      <c r="G640" s="15" t="str" cm="1">
        <f t="array" ref="G640">IF($A640="","",SUMPRODUCT((TRIM(tblDados[Mandante])=$A640)*tblDados[Primeira_Ocorrencia])+SUMPRODUCT((TRIM(tblDados[Visitante])=$A640)*tblDados[Primeira_Ocorrencia]))</f>
        <v/>
      </c>
      <c r="H640" s="14" t="str">
        <f t="shared" si="173"/>
        <v/>
      </c>
      <c r="I640" s="14" t="str" cm="1">
        <f t="array" ref="I640">IF($A640="","",_xlfn.LET(_xlpm.p,IFERROR(INDEX(tblDados[País],MATCH($A640,TRIM(tblDados[Mandante]),0)),INDEX(tblDados[País],MATCH($A640,TRIM(tblDados[Visitante]),0))),_xlpm.l,IFERROR(INDEX(tblDados[Liga],MATCH($A640,TRIM(tblDados[Mandante]),0)),INDEX(tblDados[Liga],MATCH($A640,TRIM(tblDados[Visitante]),0))),IFERROR(SUMIFS(Ligas!$D$2:$D$39,Ligas!$H$2:$H$39,_xlpm.p,Ligas!$I$2:$I$39,_xlpm.l),0)))</f>
        <v/>
      </c>
      <c r="J640" s="16" t="str" cm="1">
        <f t="array" ref="J640">IF($A640="","",IFERROR((SUMPRODUCT((TRIM(tblDados[Mandante])=$A640)*tblDados[Primeira_Ocorrencia]*(tblDados[GM_M]=0))+SUMPRODUCT((TRIM(tblDados[Visitante])=$A640)*tblDados[Primeira_Ocorrencia]*(tblDados[GM_V]=0)))/G640,0))</f>
        <v/>
      </c>
      <c r="K640" s="16" t="str" cm="1">
        <f t="array" ref="K640">IF($A640="","",IFERROR((SUMPRODUCT((TRIM(tblDados[Mandante])=$A640)*tblDados[Primeira_Ocorrencia]*((tblDados[GM_M]+tblDados[GS_M])&gt;0.5))+SUMPRODUCT((TRIM(tblDados[Visitante])=$A640)*tblDados[Primeira_Ocorrencia]*((tblDados[GM_V]+tblDados[GS_V])&gt;0.5)))/G640,0))</f>
        <v/>
      </c>
      <c r="L640" s="16" t="str" cm="1">
        <f t="array" ref="L640">IF($A640="","",IFERROR((SUMPRODUCT((TRIM(tblDados[Mandante])=$A640)*tblDados[Primeira_Ocorrencia]*((tblDados[GM_M]+tblDados[GS_M])&gt;1.5))+SUMPRODUCT((TRIM(tblDados[Visitante])=$A640)*tblDados[Primeira_Ocorrencia]*((tblDados[GM_V]+tblDados[GS_V])&gt;1.5)))/G640,0))</f>
        <v/>
      </c>
      <c r="M640" s="16" t="str" cm="1">
        <f t="array" ref="M640">IF($A640="","",IFERROR((SUMPRODUCT((TRIM(tblDados[Mandante])=$A640)*tblDados[Primeira_Ocorrencia]*((tblDados[GM_M]+tblDados[GS_M])&gt;2.5))+SUMPRODUCT((TRIM(tblDados[Visitante])=$A640)*tblDados[Primeira_Ocorrencia]*((tblDados[GM_V]+tblDados[GS_V])&gt;2.5)))/G640,0))</f>
        <v/>
      </c>
      <c r="N640" s="16" t="str" cm="1">
        <f t="array" ref="N640">IF($A640="","",IFERROR((SUMPRODUCT((TRIM(tblDados[Mandante])=$A640)*tblDados[Primeira_Ocorrencia]*((tblDados[GM_M]+tblDados[GS_M])&gt;3.5))+SUMPRODUCT((TRIM(tblDados[Visitante])=$A640)*tblDados[Primeira_Ocorrencia]*((tblDados[GM_V]+tblDados[GS_V])&gt;3.5)))/G640,0))</f>
        <v/>
      </c>
      <c r="O640" s="16" t="str" cm="1">
        <f t="array" ref="O640">IF($A640="","",IFERROR((SUMPRODUCT((TRIM(tblDados[Mandante])=$A640)*tblDados[Primeira_Ocorrencia]*(tblDados[GM_M]&gt;0)*(tblDados[GS_M]&gt;0))+SUMPRODUCT((TRIM(tblDados[Visitante])=$A640)*tblDados[Primeira_Ocorrencia]*(tblDados[GM_V]&gt;0)*(tblDados[GS_V]&gt;0)))/G640,0))</f>
        <v/>
      </c>
      <c r="P640" s="14" t="str" cm="1">
        <f t="array" ref="P640">IF($A640="","",IFERROR((SUMPRODUCT((TRIM(tblDados[Mandante])=$A640)*tblDados[Primeira_Ocorrencia]*tblDados[GM_M]^2)+SUMPRODUCT((TRIM(tblDados[Visitante])=$A640)*tblDados[Primeira_Ocorrencia]*tblDados[GM_V]^2))/G640-H640^2,0))</f>
        <v/>
      </c>
      <c r="Q640" s="14" t="str">
        <f t="shared" si="174"/>
        <v/>
      </c>
      <c r="R640" s="1" t="str">
        <f t="shared" si="175"/>
        <v/>
      </c>
      <c r="S640" s="14" t="str" cm="1">
        <f t="array" ref="S640">IF($A640="","",SUMPRODUCT((TRIM(tblDados[Mandante])=$A640)*tblDados[Primeira_Ocorrencia]*tblDados[GM_M]))</f>
        <v/>
      </c>
      <c r="T640" s="14" t="str" cm="1">
        <f t="array" ref="T640">IF($A640="","",SUMPRODUCT((TRIM(tblDados[Visitante])=$A640)*tblDados[Primeira_Ocorrencia]*tblDados[GM_V]))</f>
        <v/>
      </c>
      <c r="U640" s="14" t="str">
        <f t="shared" si="176"/>
        <v/>
      </c>
      <c r="V640" s="14" t="str">
        <f t="shared" si="165"/>
        <v/>
      </c>
      <c r="W640" s="14" t="str" cm="1">
        <f t="array" ref="W640">IF($A640="","",SUMPRODUCT((TRIM(tblDados[Mandante])=$A640)*tblDados[Primeira_Ocorrencia]*tblDados[GS_M]))</f>
        <v/>
      </c>
      <c r="X640" s="14" t="str" cm="1">
        <f t="array" ref="X640">IF($A640="","",SUMPRODUCT((TRIM(tblDados[Visitante])=$A640)*tblDados[Primeira_Ocorrencia]*tblDados[GS_V]))</f>
        <v/>
      </c>
      <c r="Y640" s="14" t="str">
        <f t="shared" si="177"/>
        <v/>
      </c>
      <c r="Z640" s="14" t="str">
        <f t="shared" si="166"/>
        <v/>
      </c>
      <c r="AA640" s="14" t="str">
        <f t="shared" si="167"/>
        <v/>
      </c>
      <c r="AB640" s="14" t="str">
        <f t="shared" si="168"/>
        <v/>
      </c>
      <c r="AC640" s="14" t="str">
        <f t="shared" si="169"/>
        <v/>
      </c>
      <c r="AD640" s="14" t="str">
        <f t="shared" si="170"/>
        <v/>
      </c>
    </row>
    <row r="641" spans="2:30" x14ac:dyDescent="0.3">
      <c r="B641" s="13" t="str" cm="1">
        <f t="array" ref="B641">IF($A641="","",_xlfn.LET(_xlpm.p,IFERROR(INDEX(tblDados[País],MATCH($A641,TRIM(tblDados[Mandante]),0)),INDEX(tblDados[País],MATCH($A641,TRIM(tblDados[Visitante]),0))),_xlpm.l,IFERROR(INDEX(tblDados[Liga],MATCH($A641,TRIM(tblDados[Mandante]),0)),INDEX(tblDados[Liga],MATCH($A641,TRIM(tblDados[Visitante]),0))),_xlpm.p&amp;" - "&amp;_xlpm.l))</f>
        <v/>
      </c>
      <c r="C641" s="14" t="str">
        <f t="shared" si="171"/>
        <v/>
      </c>
      <c r="D641" s="14" t="str">
        <f t="shared" si="172"/>
        <v/>
      </c>
      <c r="E641" s="15" t="str" cm="1">
        <f t="array" ref="E641">IF($A641="","",SUMPRODUCT((TRIM(tblDados[Mandante])=$A641)*tblDados[Primeira_Ocorrencia]))</f>
        <v/>
      </c>
      <c r="F641" s="15" t="str" cm="1">
        <f t="array" ref="F641">IF($A641="","",SUMPRODUCT((TRIM(tblDados[Visitante])=$A641)*tblDados[Primeira_Ocorrencia]))</f>
        <v/>
      </c>
      <c r="G641" s="15" t="str" cm="1">
        <f t="array" ref="G641">IF($A641="","",SUMPRODUCT((TRIM(tblDados[Mandante])=$A641)*tblDados[Primeira_Ocorrencia])+SUMPRODUCT((TRIM(tblDados[Visitante])=$A641)*tblDados[Primeira_Ocorrencia]))</f>
        <v/>
      </c>
      <c r="H641" s="14" t="str">
        <f t="shared" si="173"/>
        <v/>
      </c>
      <c r="I641" s="14" t="str" cm="1">
        <f t="array" ref="I641">IF($A641="","",_xlfn.LET(_xlpm.p,IFERROR(INDEX(tblDados[País],MATCH($A641,TRIM(tblDados[Mandante]),0)),INDEX(tblDados[País],MATCH($A641,TRIM(tblDados[Visitante]),0))),_xlpm.l,IFERROR(INDEX(tblDados[Liga],MATCH($A641,TRIM(tblDados[Mandante]),0)),INDEX(tblDados[Liga],MATCH($A641,TRIM(tblDados[Visitante]),0))),IFERROR(SUMIFS(Ligas!$D$2:$D$39,Ligas!$H$2:$H$39,_xlpm.p,Ligas!$I$2:$I$39,_xlpm.l),0)))</f>
        <v/>
      </c>
      <c r="J641" s="16" t="str" cm="1">
        <f t="array" ref="J641">IF($A641="","",IFERROR((SUMPRODUCT((TRIM(tblDados[Mandante])=$A641)*tblDados[Primeira_Ocorrencia]*(tblDados[GM_M]=0))+SUMPRODUCT((TRIM(tblDados[Visitante])=$A641)*tblDados[Primeira_Ocorrencia]*(tblDados[GM_V]=0)))/G641,0))</f>
        <v/>
      </c>
      <c r="K641" s="16" t="str" cm="1">
        <f t="array" ref="K641">IF($A641="","",IFERROR((SUMPRODUCT((TRIM(tblDados[Mandante])=$A641)*tblDados[Primeira_Ocorrencia]*((tblDados[GM_M]+tblDados[GS_M])&gt;0.5))+SUMPRODUCT((TRIM(tblDados[Visitante])=$A641)*tblDados[Primeira_Ocorrencia]*((tblDados[GM_V]+tblDados[GS_V])&gt;0.5)))/G641,0))</f>
        <v/>
      </c>
      <c r="L641" s="16" t="str" cm="1">
        <f t="array" ref="L641">IF($A641="","",IFERROR((SUMPRODUCT((TRIM(tblDados[Mandante])=$A641)*tblDados[Primeira_Ocorrencia]*((tblDados[GM_M]+tblDados[GS_M])&gt;1.5))+SUMPRODUCT((TRIM(tblDados[Visitante])=$A641)*tblDados[Primeira_Ocorrencia]*((tblDados[GM_V]+tblDados[GS_V])&gt;1.5)))/G641,0))</f>
        <v/>
      </c>
      <c r="M641" s="16" t="str" cm="1">
        <f t="array" ref="M641">IF($A641="","",IFERROR((SUMPRODUCT((TRIM(tblDados[Mandante])=$A641)*tblDados[Primeira_Ocorrencia]*((tblDados[GM_M]+tblDados[GS_M])&gt;2.5))+SUMPRODUCT((TRIM(tblDados[Visitante])=$A641)*tblDados[Primeira_Ocorrencia]*((tblDados[GM_V]+tblDados[GS_V])&gt;2.5)))/G641,0))</f>
        <v/>
      </c>
      <c r="N641" s="16" t="str" cm="1">
        <f t="array" ref="N641">IF($A641="","",IFERROR((SUMPRODUCT((TRIM(tblDados[Mandante])=$A641)*tblDados[Primeira_Ocorrencia]*((tblDados[GM_M]+tblDados[GS_M])&gt;3.5))+SUMPRODUCT((TRIM(tblDados[Visitante])=$A641)*tblDados[Primeira_Ocorrencia]*((tblDados[GM_V]+tblDados[GS_V])&gt;3.5)))/G641,0))</f>
        <v/>
      </c>
      <c r="O641" s="16" t="str" cm="1">
        <f t="array" ref="O641">IF($A641="","",IFERROR((SUMPRODUCT((TRIM(tblDados[Mandante])=$A641)*tblDados[Primeira_Ocorrencia]*(tblDados[GM_M]&gt;0)*(tblDados[GS_M]&gt;0))+SUMPRODUCT((TRIM(tblDados[Visitante])=$A641)*tblDados[Primeira_Ocorrencia]*(tblDados[GM_V]&gt;0)*(tblDados[GS_V]&gt;0)))/G641,0))</f>
        <v/>
      </c>
      <c r="P641" s="14" t="str" cm="1">
        <f t="array" ref="P641">IF($A641="","",IFERROR((SUMPRODUCT((TRIM(tblDados[Mandante])=$A641)*tblDados[Primeira_Ocorrencia]*tblDados[GM_M]^2)+SUMPRODUCT((TRIM(tblDados[Visitante])=$A641)*tblDados[Primeira_Ocorrencia]*tblDados[GM_V]^2))/G641-H641^2,0))</f>
        <v/>
      </c>
      <c r="Q641" s="14" t="str">
        <f t="shared" si="174"/>
        <v/>
      </c>
      <c r="R641" s="1" t="str">
        <f t="shared" si="175"/>
        <v/>
      </c>
      <c r="S641" s="14" t="str" cm="1">
        <f t="array" ref="S641">IF($A641="","",SUMPRODUCT((TRIM(tblDados[Mandante])=$A641)*tblDados[Primeira_Ocorrencia]*tblDados[GM_M]))</f>
        <v/>
      </c>
      <c r="T641" s="14" t="str" cm="1">
        <f t="array" ref="T641">IF($A641="","",SUMPRODUCT((TRIM(tblDados[Visitante])=$A641)*tblDados[Primeira_Ocorrencia]*tblDados[GM_V]))</f>
        <v/>
      </c>
      <c r="U641" s="14" t="str">
        <f t="shared" si="176"/>
        <v/>
      </c>
      <c r="V641" s="14" t="str">
        <f t="shared" si="165"/>
        <v/>
      </c>
      <c r="W641" s="14" t="str" cm="1">
        <f t="array" ref="W641">IF($A641="","",SUMPRODUCT((TRIM(tblDados[Mandante])=$A641)*tblDados[Primeira_Ocorrencia]*tblDados[GS_M]))</f>
        <v/>
      </c>
      <c r="X641" s="14" t="str" cm="1">
        <f t="array" ref="X641">IF($A641="","",SUMPRODUCT((TRIM(tblDados[Visitante])=$A641)*tblDados[Primeira_Ocorrencia]*tblDados[GS_V]))</f>
        <v/>
      </c>
      <c r="Y641" s="14" t="str">
        <f t="shared" si="177"/>
        <v/>
      </c>
      <c r="Z641" s="14" t="str">
        <f t="shared" si="166"/>
        <v/>
      </c>
      <c r="AA641" s="14" t="str">
        <f t="shared" si="167"/>
        <v/>
      </c>
      <c r="AB641" s="14" t="str">
        <f t="shared" si="168"/>
        <v/>
      </c>
      <c r="AC641" s="14" t="str">
        <f t="shared" si="169"/>
        <v/>
      </c>
      <c r="AD641" s="14" t="str">
        <f t="shared" si="170"/>
        <v/>
      </c>
    </row>
    <row r="642" spans="2:30" x14ac:dyDescent="0.3">
      <c r="B642" s="13" t="str" cm="1">
        <f t="array" ref="B642">IF($A642="","",_xlfn.LET(_xlpm.p,IFERROR(INDEX(tblDados[País],MATCH($A642,TRIM(tblDados[Mandante]),0)),INDEX(tblDados[País],MATCH($A642,TRIM(tblDados[Visitante]),0))),_xlpm.l,IFERROR(INDEX(tblDados[Liga],MATCH($A642,TRIM(tblDados[Mandante]),0)),INDEX(tblDados[Liga],MATCH($A642,TRIM(tblDados[Visitante]),0))),_xlpm.p&amp;" - "&amp;_xlpm.l))</f>
        <v/>
      </c>
      <c r="C642" s="14" t="str">
        <f t="shared" si="171"/>
        <v/>
      </c>
      <c r="D642" s="14" t="str">
        <f t="shared" si="172"/>
        <v/>
      </c>
      <c r="E642" s="15" t="str" cm="1">
        <f t="array" ref="E642">IF($A642="","",SUMPRODUCT((TRIM(tblDados[Mandante])=$A642)*tblDados[Primeira_Ocorrencia]))</f>
        <v/>
      </c>
      <c r="F642" s="15" t="str" cm="1">
        <f t="array" ref="F642">IF($A642="","",SUMPRODUCT((TRIM(tblDados[Visitante])=$A642)*tblDados[Primeira_Ocorrencia]))</f>
        <v/>
      </c>
      <c r="G642" s="15" t="str" cm="1">
        <f t="array" ref="G642">IF($A642="","",SUMPRODUCT((TRIM(tblDados[Mandante])=$A642)*tblDados[Primeira_Ocorrencia])+SUMPRODUCT((TRIM(tblDados[Visitante])=$A642)*tblDados[Primeira_Ocorrencia]))</f>
        <v/>
      </c>
      <c r="H642" s="14" t="str">
        <f t="shared" si="173"/>
        <v/>
      </c>
      <c r="I642" s="14" t="str" cm="1">
        <f t="array" ref="I642">IF($A642="","",_xlfn.LET(_xlpm.p,IFERROR(INDEX(tblDados[País],MATCH($A642,TRIM(tblDados[Mandante]),0)),INDEX(tblDados[País],MATCH($A642,TRIM(tblDados[Visitante]),0))),_xlpm.l,IFERROR(INDEX(tblDados[Liga],MATCH($A642,TRIM(tblDados[Mandante]),0)),INDEX(tblDados[Liga],MATCH($A642,TRIM(tblDados[Visitante]),0))),IFERROR(SUMIFS(Ligas!$D$2:$D$39,Ligas!$H$2:$H$39,_xlpm.p,Ligas!$I$2:$I$39,_xlpm.l),0)))</f>
        <v/>
      </c>
      <c r="J642" s="16" t="str" cm="1">
        <f t="array" ref="J642">IF($A642="","",IFERROR((SUMPRODUCT((TRIM(tblDados[Mandante])=$A642)*tblDados[Primeira_Ocorrencia]*(tblDados[GM_M]=0))+SUMPRODUCT((TRIM(tblDados[Visitante])=$A642)*tblDados[Primeira_Ocorrencia]*(tblDados[GM_V]=0)))/G642,0))</f>
        <v/>
      </c>
      <c r="K642" s="16" t="str" cm="1">
        <f t="array" ref="K642">IF($A642="","",IFERROR((SUMPRODUCT((TRIM(tblDados[Mandante])=$A642)*tblDados[Primeira_Ocorrencia]*((tblDados[GM_M]+tblDados[GS_M])&gt;0.5))+SUMPRODUCT((TRIM(tblDados[Visitante])=$A642)*tblDados[Primeira_Ocorrencia]*((tblDados[GM_V]+tblDados[GS_V])&gt;0.5)))/G642,0))</f>
        <v/>
      </c>
      <c r="L642" s="16" t="str" cm="1">
        <f t="array" ref="L642">IF($A642="","",IFERROR((SUMPRODUCT((TRIM(tblDados[Mandante])=$A642)*tblDados[Primeira_Ocorrencia]*((tblDados[GM_M]+tblDados[GS_M])&gt;1.5))+SUMPRODUCT((TRIM(tblDados[Visitante])=$A642)*tblDados[Primeira_Ocorrencia]*((tblDados[GM_V]+tblDados[GS_V])&gt;1.5)))/G642,0))</f>
        <v/>
      </c>
      <c r="M642" s="16" t="str" cm="1">
        <f t="array" ref="M642">IF($A642="","",IFERROR((SUMPRODUCT((TRIM(tblDados[Mandante])=$A642)*tblDados[Primeira_Ocorrencia]*((tblDados[GM_M]+tblDados[GS_M])&gt;2.5))+SUMPRODUCT((TRIM(tblDados[Visitante])=$A642)*tblDados[Primeira_Ocorrencia]*((tblDados[GM_V]+tblDados[GS_V])&gt;2.5)))/G642,0))</f>
        <v/>
      </c>
      <c r="N642" s="16" t="str" cm="1">
        <f t="array" ref="N642">IF($A642="","",IFERROR((SUMPRODUCT((TRIM(tblDados[Mandante])=$A642)*tblDados[Primeira_Ocorrencia]*((tblDados[GM_M]+tblDados[GS_M])&gt;3.5))+SUMPRODUCT((TRIM(tblDados[Visitante])=$A642)*tblDados[Primeira_Ocorrencia]*((tblDados[GM_V]+tblDados[GS_V])&gt;3.5)))/G642,0))</f>
        <v/>
      </c>
      <c r="O642" s="16" t="str" cm="1">
        <f t="array" ref="O642">IF($A642="","",IFERROR((SUMPRODUCT((TRIM(tblDados[Mandante])=$A642)*tblDados[Primeira_Ocorrencia]*(tblDados[GM_M]&gt;0)*(tblDados[GS_M]&gt;0))+SUMPRODUCT((TRIM(tblDados[Visitante])=$A642)*tblDados[Primeira_Ocorrencia]*(tblDados[GM_V]&gt;0)*(tblDados[GS_V]&gt;0)))/G642,0))</f>
        <v/>
      </c>
      <c r="P642" s="14" t="str" cm="1">
        <f t="array" ref="P642">IF($A642="","",IFERROR((SUMPRODUCT((TRIM(tblDados[Mandante])=$A642)*tblDados[Primeira_Ocorrencia]*tblDados[GM_M]^2)+SUMPRODUCT((TRIM(tblDados[Visitante])=$A642)*tblDados[Primeira_Ocorrencia]*tblDados[GM_V]^2))/G642-H642^2,0))</f>
        <v/>
      </c>
      <c r="Q642" s="14" t="str">
        <f t="shared" si="174"/>
        <v/>
      </c>
      <c r="R642" s="1" t="str">
        <f t="shared" si="175"/>
        <v/>
      </c>
      <c r="S642" s="14" t="str" cm="1">
        <f t="array" ref="S642">IF($A642="","",SUMPRODUCT((TRIM(tblDados[Mandante])=$A642)*tblDados[Primeira_Ocorrencia]*tblDados[GM_M]))</f>
        <v/>
      </c>
      <c r="T642" s="14" t="str" cm="1">
        <f t="array" ref="T642">IF($A642="","",SUMPRODUCT((TRIM(tblDados[Visitante])=$A642)*tblDados[Primeira_Ocorrencia]*tblDados[GM_V]))</f>
        <v/>
      </c>
      <c r="U642" s="14" t="str">
        <f t="shared" si="176"/>
        <v/>
      </c>
      <c r="V642" s="14" t="str">
        <f t="shared" ref="V642:V705" si="178">IF($A642="","",IFERROR(U642/G642,0))</f>
        <v/>
      </c>
      <c r="W642" s="14" t="str" cm="1">
        <f t="array" ref="W642">IF($A642="","",SUMPRODUCT((TRIM(tblDados[Mandante])=$A642)*tblDados[Primeira_Ocorrencia]*tblDados[GS_M]))</f>
        <v/>
      </c>
      <c r="X642" s="14" t="str" cm="1">
        <f t="array" ref="X642">IF($A642="","",SUMPRODUCT((TRIM(tblDados[Visitante])=$A642)*tblDados[Primeira_Ocorrencia]*tblDados[GS_V]))</f>
        <v/>
      </c>
      <c r="Y642" s="14" t="str">
        <f t="shared" si="177"/>
        <v/>
      </c>
      <c r="Z642" s="14" t="str">
        <f t="shared" ref="Z642:Z705" si="179">IF($A642="","",IFERROR(Y642/G642,0))</f>
        <v/>
      </c>
      <c r="AA642" s="14" t="str">
        <f t="shared" ref="AA642:AA705" si="180">IF($A642="","",IF($E642=0,"",$S642/$E642))</f>
        <v/>
      </c>
      <c r="AB642" s="14" t="str">
        <f t="shared" ref="AB642:AB705" si="181">IF($A642="","",IF($E642=0,"",$W642/$E642))</f>
        <v/>
      </c>
      <c r="AC642" s="14" t="str">
        <f t="shared" ref="AC642:AC705" si="182">IF($A642="","",IF($F642=0,"",$T642/$F642))</f>
        <v/>
      </c>
      <c r="AD642" s="14" t="str">
        <f t="shared" ref="AD642:AD705" si="183">IF($A642="","",IF($F642=0,"",$X642/$F642))</f>
        <v/>
      </c>
    </row>
    <row r="643" spans="2:30" x14ac:dyDescent="0.3">
      <c r="B643" s="13" t="str" cm="1">
        <f t="array" ref="B643">IF($A643="","",_xlfn.LET(_xlpm.p,IFERROR(INDEX(tblDados[País],MATCH($A643,TRIM(tblDados[Mandante]),0)),INDEX(tblDados[País],MATCH($A643,TRIM(tblDados[Visitante]),0))),_xlpm.l,IFERROR(INDEX(tblDados[Liga],MATCH($A643,TRIM(tblDados[Mandante]),0)),INDEX(tblDados[Liga],MATCH($A643,TRIM(tblDados[Visitante]),0))),_xlpm.p&amp;" - "&amp;_xlpm.l))</f>
        <v/>
      </c>
      <c r="C643" s="14" t="str">
        <f t="shared" ref="C643:C706" si="184">IF($A643="","",IF($E643=0,"",$AA643+$AB643))</f>
        <v/>
      </c>
      <c r="D643" s="14" t="str">
        <f t="shared" ref="D643:D706" si="185">IF($A643="","",IF($F643=0,"",$AC643+$AD643))</f>
        <v/>
      </c>
      <c r="E643" s="15" t="str" cm="1">
        <f t="array" ref="E643">IF($A643="","",SUMPRODUCT((TRIM(tblDados[Mandante])=$A643)*tblDados[Primeira_Ocorrencia]))</f>
        <v/>
      </c>
      <c r="F643" s="15" t="str" cm="1">
        <f t="array" ref="F643">IF($A643="","",SUMPRODUCT((TRIM(tblDados[Visitante])=$A643)*tblDados[Primeira_Ocorrencia]))</f>
        <v/>
      </c>
      <c r="G643" s="15" t="str" cm="1">
        <f t="array" ref="G643">IF($A643="","",SUMPRODUCT((TRIM(tblDados[Mandante])=$A643)*tblDados[Primeira_Ocorrencia])+SUMPRODUCT((TRIM(tblDados[Visitante])=$A643)*tblDados[Primeira_Ocorrencia]))</f>
        <v/>
      </c>
      <c r="H643" s="14" t="str">
        <f t="shared" ref="H643:H706" si="186">IF($A643="","",IFERROR($U643/$G643,0))</f>
        <v/>
      </c>
      <c r="I643" s="14" t="str" cm="1">
        <f t="array" ref="I643">IF($A643="","",_xlfn.LET(_xlpm.p,IFERROR(INDEX(tblDados[País],MATCH($A643,TRIM(tblDados[Mandante]),0)),INDEX(tblDados[País],MATCH($A643,TRIM(tblDados[Visitante]),0))),_xlpm.l,IFERROR(INDEX(tblDados[Liga],MATCH($A643,TRIM(tblDados[Mandante]),0)),INDEX(tblDados[Liga],MATCH($A643,TRIM(tblDados[Visitante]),0))),IFERROR(SUMIFS(Ligas!$D$2:$D$39,Ligas!$H$2:$H$39,_xlpm.p,Ligas!$I$2:$I$39,_xlpm.l),0)))</f>
        <v/>
      </c>
      <c r="J643" s="16" t="str" cm="1">
        <f t="array" ref="J643">IF($A643="","",IFERROR((SUMPRODUCT((TRIM(tblDados[Mandante])=$A643)*tblDados[Primeira_Ocorrencia]*(tblDados[GM_M]=0))+SUMPRODUCT((TRIM(tblDados[Visitante])=$A643)*tblDados[Primeira_Ocorrencia]*(tblDados[GM_V]=0)))/G643,0))</f>
        <v/>
      </c>
      <c r="K643" s="16" t="str" cm="1">
        <f t="array" ref="K643">IF($A643="","",IFERROR((SUMPRODUCT((TRIM(tblDados[Mandante])=$A643)*tblDados[Primeira_Ocorrencia]*((tblDados[GM_M]+tblDados[GS_M])&gt;0.5))+SUMPRODUCT((TRIM(tblDados[Visitante])=$A643)*tblDados[Primeira_Ocorrencia]*((tblDados[GM_V]+tblDados[GS_V])&gt;0.5)))/G643,0))</f>
        <v/>
      </c>
      <c r="L643" s="16" t="str" cm="1">
        <f t="array" ref="L643">IF($A643="","",IFERROR((SUMPRODUCT((TRIM(tblDados[Mandante])=$A643)*tblDados[Primeira_Ocorrencia]*((tblDados[GM_M]+tblDados[GS_M])&gt;1.5))+SUMPRODUCT((TRIM(tblDados[Visitante])=$A643)*tblDados[Primeira_Ocorrencia]*((tblDados[GM_V]+tblDados[GS_V])&gt;1.5)))/G643,0))</f>
        <v/>
      </c>
      <c r="M643" s="16" t="str" cm="1">
        <f t="array" ref="M643">IF($A643="","",IFERROR((SUMPRODUCT((TRIM(tblDados[Mandante])=$A643)*tblDados[Primeira_Ocorrencia]*((tblDados[GM_M]+tblDados[GS_M])&gt;2.5))+SUMPRODUCT((TRIM(tblDados[Visitante])=$A643)*tblDados[Primeira_Ocorrencia]*((tblDados[GM_V]+tblDados[GS_V])&gt;2.5)))/G643,0))</f>
        <v/>
      </c>
      <c r="N643" s="16" t="str" cm="1">
        <f t="array" ref="N643">IF($A643="","",IFERROR((SUMPRODUCT((TRIM(tblDados[Mandante])=$A643)*tblDados[Primeira_Ocorrencia]*((tblDados[GM_M]+tblDados[GS_M])&gt;3.5))+SUMPRODUCT((TRIM(tblDados[Visitante])=$A643)*tblDados[Primeira_Ocorrencia]*((tblDados[GM_V]+tblDados[GS_V])&gt;3.5)))/G643,0))</f>
        <v/>
      </c>
      <c r="O643" s="16" t="str" cm="1">
        <f t="array" ref="O643">IF($A643="","",IFERROR((SUMPRODUCT((TRIM(tblDados[Mandante])=$A643)*tblDados[Primeira_Ocorrencia]*(tblDados[GM_M]&gt;0)*(tblDados[GS_M]&gt;0))+SUMPRODUCT((TRIM(tblDados[Visitante])=$A643)*tblDados[Primeira_Ocorrencia]*(tblDados[GM_V]&gt;0)*(tblDados[GS_V]&gt;0)))/G643,0))</f>
        <v/>
      </c>
      <c r="P643" s="14" t="str" cm="1">
        <f t="array" ref="P643">IF($A643="","",IFERROR((SUMPRODUCT((TRIM(tblDados[Mandante])=$A643)*tblDados[Primeira_Ocorrencia]*tblDados[GM_M]^2)+SUMPRODUCT((TRIM(tblDados[Visitante])=$A643)*tblDados[Primeira_Ocorrencia]*tblDados[GM_V]^2))/G643-H643^2,0))</f>
        <v/>
      </c>
      <c r="Q643" s="14" t="str">
        <f t="shared" ref="Q643:Q706" si="187">IF($A643="","",IFERROR(SQRT(MAX(P643,0)),0))</f>
        <v/>
      </c>
      <c r="R643" s="1" t="str">
        <f t="shared" ref="R643:R706" si="188">IF(A643="","",IF(OR(G643&lt;5,H643=0),"Amostra Insuficiente",IF(_xlfn.CHISQ.DIST.RT(G643*P643/H643,G643-1)&lt;0.05,"Binomial Negativa","Poisson")))</f>
        <v/>
      </c>
      <c r="S643" s="14" t="str" cm="1">
        <f t="array" ref="S643">IF($A643="","",SUMPRODUCT((TRIM(tblDados[Mandante])=$A643)*tblDados[Primeira_Ocorrencia]*tblDados[GM_M]))</f>
        <v/>
      </c>
      <c r="T643" s="14" t="str" cm="1">
        <f t="array" ref="T643">IF($A643="","",SUMPRODUCT((TRIM(tblDados[Visitante])=$A643)*tblDados[Primeira_Ocorrencia]*tblDados[GM_V]))</f>
        <v/>
      </c>
      <c r="U643" s="14" t="str">
        <f t="shared" ref="U643:U706" si="189">IF($A643="","",S643+T643)</f>
        <v/>
      </c>
      <c r="V643" s="14" t="str">
        <f t="shared" si="178"/>
        <v/>
      </c>
      <c r="W643" s="14" t="str" cm="1">
        <f t="array" ref="W643">IF($A643="","",SUMPRODUCT((TRIM(tblDados[Mandante])=$A643)*tblDados[Primeira_Ocorrencia]*tblDados[GS_M]))</f>
        <v/>
      </c>
      <c r="X643" s="14" t="str" cm="1">
        <f t="array" ref="X643">IF($A643="","",SUMPRODUCT((TRIM(tblDados[Visitante])=$A643)*tblDados[Primeira_Ocorrencia]*tblDados[GS_V]))</f>
        <v/>
      </c>
      <c r="Y643" s="14" t="str">
        <f t="shared" ref="Y643:Y706" si="190">IF($A643="","",W643+X643)</f>
        <v/>
      </c>
      <c r="Z643" s="14" t="str">
        <f t="shared" si="179"/>
        <v/>
      </c>
      <c r="AA643" s="14" t="str">
        <f t="shared" si="180"/>
        <v/>
      </c>
      <c r="AB643" s="14" t="str">
        <f t="shared" si="181"/>
        <v/>
      </c>
      <c r="AC643" s="14" t="str">
        <f t="shared" si="182"/>
        <v/>
      </c>
      <c r="AD643" s="14" t="str">
        <f t="shared" si="183"/>
        <v/>
      </c>
    </row>
    <row r="644" spans="2:30" x14ac:dyDescent="0.3">
      <c r="B644" s="13" t="str" cm="1">
        <f t="array" ref="B644">IF($A644="","",_xlfn.LET(_xlpm.p,IFERROR(INDEX(tblDados[País],MATCH($A644,TRIM(tblDados[Mandante]),0)),INDEX(tblDados[País],MATCH($A644,TRIM(tblDados[Visitante]),0))),_xlpm.l,IFERROR(INDEX(tblDados[Liga],MATCH($A644,TRIM(tblDados[Mandante]),0)),INDEX(tblDados[Liga],MATCH($A644,TRIM(tblDados[Visitante]),0))),_xlpm.p&amp;" - "&amp;_xlpm.l))</f>
        <v/>
      </c>
      <c r="C644" s="14" t="str">
        <f t="shared" si="184"/>
        <v/>
      </c>
      <c r="D644" s="14" t="str">
        <f t="shared" si="185"/>
        <v/>
      </c>
      <c r="E644" s="15" t="str" cm="1">
        <f t="array" ref="E644">IF($A644="","",SUMPRODUCT((TRIM(tblDados[Mandante])=$A644)*tblDados[Primeira_Ocorrencia]))</f>
        <v/>
      </c>
      <c r="F644" s="15" t="str" cm="1">
        <f t="array" ref="F644">IF($A644="","",SUMPRODUCT((TRIM(tblDados[Visitante])=$A644)*tblDados[Primeira_Ocorrencia]))</f>
        <v/>
      </c>
      <c r="G644" s="15" t="str" cm="1">
        <f t="array" ref="G644">IF($A644="","",SUMPRODUCT((TRIM(tblDados[Mandante])=$A644)*tblDados[Primeira_Ocorrencia])+SUMPRODUCT((TRIM(tblDados[Visitante])=$A644)*tblDados[Primeira_Ocorrencia]))</f>
        <v/>
      </c>
      <c r="H644" s="14" t="str">
        <f t="shared" si="186"/>
        <v/>
      </c>
      <c r="I644" s="14" t="str" cm="1">
        <f t="array" ref="I644">IF($A644="","",_xlfn.LET(_xlpm.p,IFERROR(INDEX(tblDados[País],MATCH($A644,TRIM(tblDados[Mandante]),0)),INDEX(tblDados[País],MATCH($A644,TRIM(tblDados[Visitante]),0))),_xlpm.l,IFERROR(INDEX(tblDados[Liga],MATCH($A644,TRIM(tblDados[Mandante]),0)),INDEX(tblDados[Liga],MATCH($A644,TRIM(tblDados[Visitante]),0))),IFERROR(SUMIFS(Ligas!$D$2:$D$39,Ligas!$H$2:$H$39,_xlpm.p,Ligas!$I$2:$I$39,_xlpm.l),0)))</f>
        <v/>
      </c>
      <c r="J644" s="16" t="str" cm="1">
        <f t="array" ref="J644">IF($A644="","",IFERROR((SUMPRODUCT((TRIM(tblDados[Mandante])=$A644)*tblDados[Primeira_Ocorrencia]*(tblDados[GM_M]=0))+SUMPRODUCT((TRIM(tblDados[Visitante])=$A644)*tblDados[Primeira_Ocorrencia]*(tblDados[GM_V]=0)))/G644,0))</f>
        <v/>
      </c>
      <c r="K644" s="16" t="str" cm="1">
        <f t="array" ref="K644">IF($A644="","",IFERROR((SUMPRODUCT((TRIM(tblDados[Mandante])=$A644)*tblDados[Primeira_Ocorrencia]*((tblDados[GM_M]+tblDados[GS_M])&gt;0.5))+SUMPRODUCT((TRIM(tblDados[Visitante])=$A644)*tblDados[Primeira_Ocorrencia]*((tblDados[GM_V]+tblDados[GS_V])&gt;0.5)))/G644,0))</f>
        <v/>
      </c>
      <c r="L644" s="16" t="str" cm="1">
        <f t="array" ref="L644">IF($A644="","",IFERROR((SUMPRODUCT((TRIM(tblDados[Mandante])=$A644)*tblDados[Primeira_Ocorrencia]*((tblDados[GM_M]+tblDados[GS_M])&gt;1.5))+SUMPRODUCT((TRIM(tblDados[Visitante])=$A644)*tblDados[Primeira_Ocorrencia]*((tblDados[GM_V]+tblDados[GS_V])&gt;1.5)))/G644,0))</f>
        <v/>
      </c>
      <c r="M644" s="16" t="str" cm="1">
        <f t="array" ref="M644">IF($A644="","",IFERROR((SUMPRODUCT((TRIM(tblDados[Mandante])=$A644)*tblDados[Primeira_Ocorrencia]*((tblDados[GM_M]+tblDados[GS_M])&gt;2.5))+SUMPRODUCT((TRIM(tblDados[Visitante])=$A644)*tblDados[Primeira_Ocorrencia]*((tblDados[GM_V]+tblDados[GS_V])&gt;2.5)))/G644,0))</f>
        <v/>
      </c>
      <c r="N644" s="16" t="str" cm="1">
        <f t="array" ref="N644">IF($A644="","",IFERROR((SUMPRODUCT((TRIM(tblDados[Mandante])=$A644)*tblDados[Primeira_Ocorrencia]*((tblDados[GM_M]+tblDados[GS_M])&gt;3.5))+SUMPRODUCT((TRIM(tblDados[Visitante])=$A644)*tblDados[Primeira_Ocorrencia]*((tblDados[GM_V]+tblDados[GS_V])&gt;3.5)))/G644,0))</f>
        <v/>
      </c>
      <c r="O644" s="16" t="str" cm="1">
        <f t="array" ref="O644">IF($A644="","",IFERROR((SUMPRODUCT((TRIM(tblDados[Mandante])=$A644)*tblDados[Primeira_Ocorrencia]*(tblDados[GM_M]&gt;0)*(tblDados[GS_M]&gt;0))+SUMPRODUCT((TRIM(tblDados[Visitante])=$A644)*tblDados[Primeira_Ocorrencia]*(tblDados[GM_V]&gt;0)*(tblDados[GS_V]&gt;0)))/G644,0))</f>
        <v/>
      </c>
      <c r="P644" s="14" t="str" cm="1">
        <f t="array" ref="P644">IF($A644="","",IFERROR((SUMPRODUCT((TRIM(tblDados[Mandante])=$A644)*tblDados[Primeira_Ocorrencia]*tblDados[GM_M]^2)+SUMPRODUCT((TRIM(tblDados[Visitante])=$A644)*tblDados[Primeira_Ocorrencia]*tblDados[GM_V]^2))/G644-H644^2,0))</f>
        <v/>
      </c>
      <c r="Q644" s="14" t="str">
        <f t="shared" si="187"/>
        <v/>
      </c>
      <c r="R644" s="1" t="str">
        <f t="shared" si="188"/>
        <v/>
      </c>
      <c r="S644" s="14" t="str" cm="1">
        <f t="array" ref="S644">IF($A644="","",SUMPRODUCT((TRIM(tblDados[Mandante])=$A644)*tblDados[Primeira_Ocorrencia]*tblDados[GM_M]))</f>
        <v/>
      </c>
      <c r="T644" s="14" t="str" cm="1">
        <f t="array" ref="T644">IF($A644="","",SUMPRODUCT((TRIM(tblDados[Visitante])=$A644)*tblDados[Primeira_Ocorrencia]*tblDados[GM_V]))</f>
        <v/>
      </c>
      <c r="U644" s="14" t="str">
        <f t="shared" si="189"/>
        <v/>
      </c>
      <c r="V644" s="14" t="str">
        <f t="shared" si="178"/>
        <v/>
      </c>
      <c r="W644" s="14" t="str" cm="1">
        <f t="array" ref="W644">IF($A644="","",SUMPRODUCT((TRIM(tblDados[Mandante])=$A644)*tblDados[Primeira_Ocorrencia]*tblDados[GS_M]))</f>
        <v/>
      </c>
      <c r="X644" s="14" t="str" cm="1">
        <f t="array" ref="X644">IF($A644="","",SUMPRODUCT((TRIM(tblDados[Visitante])=$A644)*tblDados[Primeira_Ocorrencia]*tblDados[GS_V]))</f>
        <v/>
      </c>
      <c r="Y644" s="14" t="str">
        <f t="shared" si="190"/>
        <v/>
      </c>
      <c r="Z644" s="14" t="str">
        <f t="shared" si="179"/>
        <v/>
      </c>
      <c r="AA644" s="14" t="str">
        <f t="shared" si="180"/>
        <v/>
      </c>
      <c r="AB644" s="14" t="str">
        <f t="shared" si="181"/>
        <v/>
      </c>
      <c r="AC644" s="14" t="str">
        <f t="shared" si="182"/>
        <v/>
      </c>
      <c r="AD644" s="14" t="str">
        <f t="shared" si="183"/>
        <v/>
      </c>
    </row>
    <row r="645" spans="2:30" x14ac:dyDescent="0.3">
      <c r="B645" s="13" t="str" cm="1">
        <f t="array" ref="B645">IF($A645="","",_xlfn.LET(_xlpm.p,IFERROR(INDEX(tblDados[País],MATCH($A645,TRIM(tblDados[Mandante]),0)),INDEX(tblDados[País],MATCH($A645,TRIM(tblDados[Visitante]),0))),_xlpm.l,IFERROR(INDEX(tblDados[Liga],MATCH($A645,TRIM(tblDados[Mandante]),0)),INDEX(tblDados[Liga],MATCH($A645,TRIM(tblDados[Visitante]),0))),_xlpm.p&amp;" - "&amp;_xlpm.l))</f>
        <v/>
      </c>
      <c r="C645" s="14" t="str">
        <f t="shared" si="184"/>
        <v/>
      </c>
      <c r="D645" s="14" t="str">
        <f t="shared" si="185"/>
        <v/>
      </c>
      <c r="E645" s="15" t="str" cm="1">
        <f t="array" ref="E645">IF($A645="","",SUMPRODUCT((TRIM(tblDados[Mandante])=$A645)*tblDados[Primeira_Ocorrencia]))</f>
        <v/>
      </c>
      <c r="F645" s="15" t="str" cm="1">
        <f t="array" ref="F645">IF($A645="","",SUMPRODUCT((TRIM(tblDados[Visitante])=$A645)*tblDados[Primeira_Ocorrencia]))</f>
        <v/>
      </c>
      <c r="G645" s="15" t="str" cm="1">
        <f t="array" ref="G645">IF($A645="","",SUMPRODUCT((TRIM(tblDados[Mandante])=$A645)*tblDados[Primeira_Ocorrencia])+SUMPRODUCT((TRIM(tblDados[Visitante])=$A645)*tblDados[Primeira_Ocorrencia]))</f>
        <v/>
      </c>
      <c r="H645" s="14" t="str">
        <f t="shared" si="186"/>
        <v/>
      </c>
      <c r="I645" s="14" t="str" cm="1">
        <f t="array" ref="I645">IF($A645="","",_xlfn.LET(_xlpm.p,IFERROR(INDEX(tblDados[País],MATCH($A645,TRIM(tblDados[Mandante]),0)),INDEX(tblDados[País],MATCH($A645,TRIM(tblDados[Visitante]),0))),_xlpm.l,IFERROR(INDEX(tblDados[Liga],MATCH($A645,TRIM(tblDados[Mandante]),0)),INDEX(tblDados[Liga],MATCH($A645,TRIM(tblDados[Visitante]),0))),IFERROR(SUMIFS(Ligas!$D$2:$D$39,Ligas!$H$2:$H$39,_xlpm.p,Ligas!$I$2:$I$39,_xlpm.l),0)))</f>
        <v/>
      </c>
      <c r="J645" s="16" t="str" cm="1">
        <f t="array" ref="J645">IF($A645="","",IFERROR((SUMPRODUCT((TRIM(tblDados[Mandante])=$A645)*tblDados[Primeira_Ocorrencia]*(tblDados[GM_M]=0))+SUMPRODUCT((TRIM(tblDados[Visitante])=$A645)*tblDados[Primeira_Ocorrencia]*(tblDados[GM_V]=0)))/G645,0))</f>
        <v/>
      </c>
      <c r="K645" s="16" t="str" cm="1">
        <f t="array" ref="K645">IF($A645="","",IFERROR((SUMPRODUCT((TRIM(tblDados[Mandante])=$A645)*tblDados[Primeira_Ocorrencia]*((tblDados[GM_M]+tblDados[GS_M])&gt;0.5))+SUMPRODUCT((TRIM(tblDados[Visitante])=$A645)*tblDados[Primeira_Ocorrencia]*((tblDados[GM_V]+tblDados[GS_V])&gt;0.5)))/G645,0))</f>
        <v/>
      </c>
      <c r="L645" s="16" t="str" cm="1">
        <f t="array" ref="L645">IF($A645="","",IFERROR((SUMPRODUCT((TRIM(tblDados[Mandante])=$A645)*tblDados[Primeira_Ocorrencia]*((tblDados[GM_M]+tblDados[GS_M])&gt;1.5))+SUMPRODUCT((TRIM(tblDados[Visitante])=$A645)*tblDados[Primeira_Ocorrencia]*((tblDados[GM_V]+tblDados[GS_V])&gt;1.5)))/G645,0))</f>
        <v/>
      </c>
      <c r="M645" s="16" t="str" cm="1">
        <f t="array" ref="M645">IF($A645="","",IFERROR((SUMPRODUCT((TRIM(tblDados[Mandante])=$A645)*tblDados[Primeira_Ocorrencia]*((tblDados[GM_M]+tblDados[GS_M])&gt;2.5))+SUMPRODUCT((TRIM(tblDados[Visitante])=$A645)*tblDados[Primeira_Ocorrencia]*((tblDados[GM_V]+tblDados[GS_V])&gt;2.5)))/G645,0))</f>
        <v/>
      </c>
      <c r="N645" s="16" t="str" cm="1">
        <f t="array" ref="N645">IF($A645="","",IFERROR((SUMPRODUCT((TRIM(tblDados[Mandante])=$A645)*tblDados[Primeira_Ocorrencia]*((tblDados[GM_M]+tblDados[GS_M])&gt;3.5))+SUMPRODUCT((TRIM(tblDados[Visitante])=$A645)*tblDados[Primeira_Ocorrencia]*((tblDados[GM_V]+tblDados[GS_V])&gt;3.5)))/G645,0))</f>
        <v/>
      </c>
      <c r="O645" s="16" t="str" cm="1">
        <f t="array" ref="O645">IF($A645="","",IFERROR((SUMPRODUCT((TRIM(tblDados[Mandante])=$A645)*tblDados[Primeira_Ocorrencia]*(tblDados[GM_M]&gt;0)*(tblDados[GS_M]&gt;0))+SUMPRODUCT((TRIM(tblDados[Visitante])=$A645)*tblDados[Primeira_Ocorrencia]*(tblDados[GM_V]&gt;0)*(tblDados[GS_V]&gt;0)))/G645,0))</f>
        <v/>
      </c>
      <c r="P645" s="14" t="str" cm="1">
        <f t="array" ref="P645">IF($A645="","",IFERROR((SUMPRODUCT((TRIM(tblDados[Mandante])=$A645)*tblDados[Primeira_Ocorrencia]*tblDados[GM_M]^2)+SUMPRODUCT((TRIM(tblDados[Visitante])=$A645)*tblDados[Primeira_Ocorrencia]*tblDados[GM_V]^2))/G645-H645^2,0))</f>
        <v/>
      </c>
      <c r="Q645" s="14" t="str">
        <f t="shared" si="187"/>
        <v/>
      </c>
      <c r="R645" s="1" t="str">
        <f t="shared" si="188"/>
        <v/>
      </c>
      <c r="S645" s="14" t="str" cm="1">
        <f t="array" ref="S645">IF($A645="","",SUMPRODUCT((TRIM(tblDados[Mandante])=$A645)*tblDados[Primeira_Ocorrencia]*tblDados[GM_M]))</f>
        <v/>
      </c>
      <c r="T645" s="14" t="str" cm="1">
        <f t="array" ref="T645">IF($A645="","",SUMPRODUCT((TRIM(tblDados[Visitante])=$A645)*tblDados[Primeira_Ocorrencia]*tblDados[GM_V]))</f>
        <v/>
      </c>
      <c r="U645" s="14" t="str">
        <f t="shared" si="189"/>
        <v/>
      </c>
      <c r="V645" s="14" t="str">
        <f t="shared" si="178"/>
        <v/>
      </c>
      <c r="W645" s="14" t="str" cm="1">
        <f t="array" ref="W645">IF($A645="","",SUMPRODUCT((TRIM(tblDados[Mandante])=$A645)*tblDados[Primeira_Ocorrencia]*tblDados[GS_M]))</f>
        <v/>
      </c>
      <c r="X645" s="14" t="str" cm="1">
        <f t="array" ref="X645">IF($A645="","",SUMPRODUCT((TRIM(tblDados[Visitante])=$A645)*tblDados[Primeira_Ocorrencia]*tblDados[GS_V]))</f>
        <v/>
      </c>
      <c r="Y645" s="14" t="str">
        <f t="shared" si="190"/>
        <v/>
      </c>
      <c r="Z645" s="14" t="str">
        <f t="shared" si="179"/>
        <v/>
      </c>
      <c r="AA645" s="14" t="str">
        <f t="shared" si="180"/>
        <v/>
      </c>
      <c r="AB645" s="14" t="str">
        <f t="shared" si="181"/>
        <v/>
      </c>
      <c r="AC645" s="14" t="str">
        <f t="shared" si="182"/>
        <v/>
      </c>
      <c r="AD645" s="14" t="str">
        <f t="shared" si="183"/>
        <v/>
      </c>
    </row>
    <row r="646" spans="2:30" x14ac:dyDescent="0.3">
      <c r="B646" s="13" t="str" cm="1">
        <f t="array" ref="B646">IF($A646="","",_xlfn.LET(_xlpm.p,IFERROR(INDEX(tblDados[País],MATCH($A646,TRIM(tblDados[Mandante]),0)),INDEX(tblDados[País],MATCH($A646,TRIM(tblDados[Visitante]),0))),_xlpm.l,IFERROR(INDEX(tblDados[Liga],MATCH($A646,TRIM(tblDados[Mandante]),0)),INDEX(tblDados[Liga],MATCH($A646,TRIM(tblDados[Visitante]),0))),_xlpm.p&amp;" - "&amp;_xlpm.l))</f>
        <v/>
      </c>
      <c r="C646" s="14" t="str">
        <f t="shared" si="184"/>
        <v/>
      </c>
      <c r="D646" s="14" t="str">
        <f t="shared" si="185"/>
        <v/>
      </c>
      <c r="E646" s="15" t="str" cm="1">
        <f t="array" ref="E646">IF($A646="","",SUMPRODUCT((TRIM(tblDados[Mandante])=$A646)*tblDados[Primeira_Ocorrencia]))</f>
        <v/>
      </c>
      <c r="F646" s="15" t="str" cm="1">
        <f t="array" ref="F646">IF($A646="","",SUMPRODUCT((TRIM(tblDados[Visitante])=$A646)*tblDados[Primeira_Ocorrencia]))</f>
        <v/>
      </c>
      <c r="G646" s="15" t="str" cm="1">
        <f t="array" ref="G646">IF($A646="","",SUMPRODUCT((TRIM(tblDados[Mandante])=$A646)*tblDados[Primeira_Ocorrencia])+SUMPRODUCT((TRIM(tblDados[Visitante])=$A646)*tblDados[Primeira_Ocorrencia]))</f>
        <v/>
      </c>
      <c r="H646" s="14" t="str">
        <f t="shared" si="186"/>
        <v/>
      </c>
      <c r="I646" s="14" t="str" cm="1">
        <f t="array" ref="I646">IF($A646="","",_xlfn.LET(_xlpm.p,IFERROR(INDEX(tblDados[País],MATCH($A646,TRIM(tblDados[Mandante]),0)),INDEX(tblDados[País],MATCH($A646,TRIM(tblDados[Visitante]),0))),_xlpm.l,IFERROR(INDEX(tblDados[Liga],MATCH($A646,TRIM(tblDados[Mandante]),0)),INDEX(tblDados[Liga],MATCH($A646,TRIM(tblDados[Visitante]),0))),IFERROR(SUMIFS(Ligas!$D$2:$D$39,Ligas!$H$2:$H$39,_xlpm.p,Ligas!$I$2:$I$39,_xlpm.l),0)))</f>
        <v/>
      </c>
      <c r="J646" s="16" t="str" cm="1">
        <f t="array" ref="J646">IF($A646="","",IFERROR((SUMPRODUCT((TRIM(tblDados[Mandante])=$A646)*tblDados[Primeira_Ocorrencia]*(tblDados[GM_M]=0))+SUMPRODUCT((TRIM(tblDados[Visitante])=$A646)*tblDados[Primeira_Ocorrencia]*(tblDados[GM_V]=0)))/G646,0))</f>
        <v/>
      </c>
      <c r="K646" s="16" t="str" cm="1">
        <f t="array" ref="K646">IF($A646="","",IFERROR((SUMPRODUCT((TRIM(tblDados[Mandante])=$A646)*tblDados[Primeira_Ocorrencia]*((tblDados[GM_M]+tblDados[GS_M])&gt;0.5))+SUMPRODUCT((TRIM(tblDados[Visitante])=$A646)*tblDados[Primeira_Ocorrencia]*((tblDados[GM_V]+tblDados[GS_V])&gt;0.5)))/G646,0))</f>
        <v/>
      </c>
      <c r="L646" s="16" t="str" cm="1">
        <f t="array" ref="L646">IF($A646="","",IFERROR((SUMPRODUCT((TRIM(tblDados[Mandante])=$A646)*tblDados[Primeira_Ocorrencia]*((tblDados[GM_M]+tblDados[GS_M])&gt;1.5))+SUMPRODUCT((TRIM(tblDados[Visitante])=$A646)*tblDados[Primeira_Ocorrencia]*((tblDados[GM_V]+tblDados[GS_V])&gt;1.5)))/G646,0))</f>
        <v/>
      </c>
      <c r="M646" s="16" t="str" cm="1">
        <f t="array" ref="M646">IF($A646="","",IFERROR((SUMPRODUCT((TRIM(tblDados[Mandante])=$A646)*tblDados[Primeira_Ocorrencia]*((tblDados[GM_M]+tblDados[GS_M])&gt;2.5))+SUMPRODUCT((TRIM(tblDados[Visitante])=$A646)*tblDados[Primeira_Ocorrencia]*((tblDados[GM_V]+tblDados[GS_V])&gt;2.5)))/G646,0))</f>
        <v/>
      </c>
      <c r="N646" s="16" t="str" cm="1">
        <f t="array" ref="N646">IF($A646="","",IFERROR((SUMPRODUCT((TRIM(tblDados[Mandante])=$A646)*tblDados[Primeira_Ocorrencia]*((tblDados[GM_M]+tblDados[GS_M])&gt;3.5))+SUMPRODUCT((TRIM(tblDados[Visitante])=$A646)*tblDados[Primeira_Ocorrencia]*((tblDados[GM_V]+tblDados[GS_V])&gt;3.5)))/G646,0))</f>
        <v/>
      </c>
      <c r="O646" s="16" t="str" cm="1">
        <f t="array" ref="O646">IF($A646="","",IFERROR((SUMPRODUCT((TRIM(tblDados[Mandante])=$A646)*tblDados[Primeira_Ocorrencia]*(tblDados[GM_M]&gt;0)*(tblDados[GS_M]&gt;0))+SUMPRODUCT((TRIM(tblDados[Visitante])=$A646)*tblDados[Primeira_Ocorrencia]*(tblDados[GM_V]&gt;0)*(tblDados[GS_V]&gt;0)))/G646,0))</f>
        <v/>
      </c>
      <c r="P646" s="14" t="str" cm="1">
        <f t="array" ref="P646">IF($A646="","",IFERROR((SUMPRODUCT((TRIM(tblDados[Mandante])=$A646)*tblDados[Primeira_Ocorrencia]*tblDados[GM_M]^2)+SUMPRODUCT((TRIM(tblDados[Visitante])=$A646)*tblDados[Primeira_Ocorrencia]*tblDados[GM_V]^2))/G646-H646^2,0))</f>
        <v/>
      </c>
      <c r="Q646" s="14" t="str">
        <f t="shared" si="187"/>
        <v/>
      </c>
      <c r="R646" s="1" t="str">
        <f t="shared" si="188"/>
        <v/>
      </c>
      <c r="S646" s="14" t="str" cm="1">
        <f t="array" ref="S646">IF($A646="","",SUMPRODUCT((TRIM(tblDados[Mandante])=$A646)*tblDados[Primeira_Ocorrencia]*tblDados[GM_M]))</f>
        <v/>
      </c>
      <c r="T646" s="14" t="str" cm="1">
        <f t="array" ref="T646">IF($A646="","",SUMPRODUCT((TRIM(tblDados[Visitante])=$A646)*tblDados[Primeira_Ocorrencia]*tblDados[GM_V]))</f>
        <v/>
      </c>
      <c r="U646" s="14" t="str">
        <f t="shared" si="189"/>
        <v/>
      </c>
      <c r="V646" s="14" t="str">
        <f t="shared" si="178"/>
        <v/>
      </c>
      <c r="W646" s="14" t="str" cm="1">
        <f t="array" ref="W646">IF($A646="","",SUMPRODUCT((TRIM(tblDados[Mandante])=$A646)*tblDados[Primeira_Ocorrencia]*tblDados[GS_M]))</f>
        <v/>
      </c>
      <c r="X646" s="14" t="str" cm="1">
        <f t="array" ref="X646">IF($A646="","",SUMPRODUCT((TRIM(tblDados[Visitante])=$A646)*tblDados[Primeira_Ocorrencia]*tblDados[GS_V]))</f>
        <v/>
      </c>
      <c r="Y646" s="14" t="str">
        <f t="shared" si="190"/>
        <v/>
      </c>
      <c r="Z646" s="14" t="str">
        <f t="shared" si="179"/>
        <v/>
      </c>
      <c r="AA646" s="14" t="str">
        <f t="shared" si="180"/>
        <v/>
      </c>
      <c r="AB646" s="14" t="str">
        <f t="shared" si="181"/>
        <v/>
      </c>
      <c r="AC646" s="14" t="str">
        <f t="shared" si="182"/>
        <v/>
      </c>
      <c r="AD646" s="14" t="str">
        <f t="shared" si="183"/>
        <v/>
      </c>
    </row>
    <row r="647" spans="2:30" x14ac:dyDescent="0.3">
      <c r="B647" s="13" t="str" cm="1">
        <f t="array" ref="B647">IF($A647="","",_xlfn.LET(_xlpm.p,IFERROR(INDEX(tblDados[País],MATCH($A647,TRIM(tblDados[Mandante]),0)),INDEX(tblDados[País],MATCH($A647,TRIM(tblDados[Visitante]),0))),_xlpm.l,IFERROR(INDEX(tblDados[Liga],MATCH($A647,TRIM(tblDados[Mandante]),0)),INDEX(tblDados[Liga],MATCH($A647,TRIM(tblDados[Visitante]),0))),_xlpm.p&amp;" - "&amp;_xlpm.l))</f>
        <v/>
      </c>
      <c r="C647" s="14" t="str">
        <f t="shared" si="184"/>
        <v/>
      </c>
      <c r="D647" s="14" t="str">
        <f t="shared" si="185"/>
        <v/>
      </c>
      <c r="E647" s="15" t="str" cm="1">
        <f t="array" ref="E647">IF($A647="","",SUMPRODUCT((TRIM(tblDados[Mandante])=$A647)*tblDados[Primeira_Ocorrencia]))</f>
        <v/>
      </c>
      <c r="F647" s="15" t="str" cm="1">
        <f t="array" ref="F647">IF($A647="","",SUMPRODUCT((TRIM(tblDados[Visitante])=$A647)*tblDados[Primeira_Ocorrencia]))</f>
        <v/>
      </c>
      <c r="G647" s="15" t="str" cm="1">
        <f t="array" ref="G647">IF($A647="","",SUMPRODUCT((TRIM(tblDados[Mandante])=$A647)*tblDados[Primeira_Ocorrencia])+SUMPRODUCT((TRIM(tblDados[Visitante])=$A647)*tblDados[Primeira_Ocorrencia]))</f>
        <v/>
      </c>
      <c r="H647" s="14" t="str">
        <f t="shared" si="186"/>
        <v/>
      </c>
      <c r="I647" s="14" t="str" cm="1">
        <f t="array" ref="I647">IF($A647="","",_xlfn.LET(_xlpm.p,IFERROR(INDEX(tblDados[País],MATCH($A647,TRIM(tblDados[Mandante]),0)),INDEX(tblDados[País],MATCH($A647,TRIM(tblDados[Visitante]),0))),_xlpm.l,IFERROR(INDEX(tblDados[Liga],MATCH($A647,TRIM(tblDados[Mandante]),0)),INDEX(tblDados[Liga],MATCH($A647,TRIM(tblDados[Visitante]),0))),IFERROR(SUMIFS(Ligas!$D$2:$D$39,Ligas!$H$2:$H$39,_xlpm.p,Ligas!$I$2:$I$39,_xlpm.l),0)))</f>
        <v/>
      </c>
      <c r="J647" s="16" t="str" cm="1">
        <f t="array" ref="J647">IF($A647="","",IFERROR((SUMPRODUCT((TRIM(tblDados[Mandante])=$A647)*tblDados[Primeira_Ocorrencia]*(tblDados[GM_M]=0))+SUMPRODUCT((TRIM(tblDados[Visitante])=$A647)*tblDados[Primeira_Ocorrencia]*(tblDados[GM_V]=0)))/G647,0))</f>
        <v/>
      </c>
      <c r="K647" s="16" t="str" cm="1">
        <f t="array" ref="K647">IF($A647="","",IFERROR((SUMPRODUCT((TRIM(tblDados[Mandante])=$A647)*tblDados[Primeira_Ocorrencia]*((tblDados[GM_M]+tblDados[GS_M])&gt;0.5))+SUMPRODUCT((TRIM(tblDados[Visitante])=$A647)*tblDados[Primeira_Ocorrencia]*((tblDados[GM_V]+tblDados[GS_V])&gt;0.5)))/G647,0))</f>
        <v/>
      </c>
      <c r="L647" s="16" t="str" cm="1">
        <f t="array" ref="L647">IF($A647="","",IFERROR((SUMPRODUCT((TRIM(tblDados[Mandante])=$A647)*tblDados[Primeira_Ocorrencia]*((tblDados[GM_M]+tblDados[GS_M])&gt;1.5))+SUMPRODUCT((TRIM(tblDados[Visitante])=$A647)*tblDados[Primeira_Ocorrencia]*((tblDados[GM_V]+tblDados[GS_V])&gt;1.5)))/G647,0))</f>
        <v/>
      </c>
      <c r="M647" s="16" t="str" cm="1">
        <f t="array" ref="M647">IF($A647="","",IFERROR((SUMPRODUCT((TRIM(tblDados[Mandante])=$A647)*tblDados[Primeira_Ocorrencia]*((tblDados[GM_M]+tblDados[GS_M])&gt;2.5))+SUMPRODUCT((TRIM(tblDados[Visitante])=$A647)*tblDados[Primeira_Ocorrencia]*((tblDados[GM_V]+tblDados[GS_V])&gt;2.5)))/G647,0))</f>
        <v/>
      </c>
      <c r="N647" s="16" t="str" cm="1">
        <f t="array" ref="N647">IF($A647="","",IFERROR((SUMPRODUCT((TRIM(tblDados[Mandante])=$A647)*tblDados[Primeira_Ocorrencia]*((tblDados[GM_M]+tblDados[GS_M])&gt;3.5))+SUMPRODUCT((TRIM(tblDados[Visitante])=$A647)*tblDados[Primeira_Ocorrencia]*((tblDados[GM_V]+tblDados[GS_V])&gt;3.5)))/G647,0))</f>
        <v/>
      </c>
      <c r="O647" s="16" t="str" cm="1">
        <f t="array" ref="O647">IF($A647="","",IFERROR((SUMPRODUCT((TRIM(tblDados[Mandante])=$A647)*tblDados[Primeira_Ocorrencia]*(tblDados[GM_M]&gt;0)*(tblDados[GS_M]&gt;0))+SUMPRODUCT((TRIM(tblDados[Visitante])=$A647)*tblDados[Primeira_Ocorrencia]*(tblDados[GM_V]&gt;0)*(tblDados[GS_V]&gt;0)))/G647,0))</f>
        <v/>
      </c>
      <c r="P647" s="14" t="str" cm="1">
        <f t="array" ref="P647">IF($A647="","",IFERROR((SUMPRODUCT((TRIM(tblDados[Mandante])=$A647)*tblDados[Primeira_Ocorrencia]*tblDados[GM_M]^2)+SUMPRODUCT((TRIM(tblDados[Visitante])=$A647)*tblDados[Primeira_Ocorrencia]*tblDados[GM_V]^2))/G647-H647^2,0))</f>
        <v/>
      </c>
      <c r="Q647" s="14" t="str">
        <f t="shared" si="187"/>
        <v/>
      </c>
      <c r="R647" s="1" t="str">
        <f t="shared" si="188"/>
        <v/>
      </c>
      <c r="S647" s="14" t="str" cm="1">
        <f t="array" ref="S647">IF($A647="","",SUMPRODUCT((TRIM(tblDados[Mandante])=$A647)*tblDados[Primeira_Ocorrencia]*tblDados[GM_M]))</f>
        <v/>
      </c>
      <c r="T647" s="14" t="str" cm="1">
        <f t="array" ref="T647">IF($A647="","",SUMPRODUCT((TRIM(tblDados[Visitante])=$A647)*tblDados[Primeira_Ocorrencia]*tblDados[GM_V]))</f>
        <v/>
      </c>
      <c r="U647" s="14" t="str">
        <f t="shared" si="189"/>
        <v/>
      </c>
      <c r="V647" s="14" t="str">
        <f t="shared" si="178"/>
        <v/>
      </c>
      <c r="W647" s="14" t="str" cm="1">
        <f t="array" ref="W647">IF($A647="","",SUMPRODUCT((TRIM(tblDados[Mandante])=$A647)*tblDados[Primeira_Ocorrencia]*tblDados[GS_M]))</f>
        <v/>
      </c>
      <c r="X647" s="14" t="str" cm="1">
        <f t="array" ref="X647">IF($A647="","",SUMPRODUCT((TRIM(tblDados[Visitante])=$A647)*tblDados[Primeira_Ocorrencia]*tblDados[GS_V]))</f>
        <v/>
      </c>
      <c r="Y647" s="14" t="str">
        <f t="shared" si="190"/>
        <v/>
      </c>
      <c r="Z647" s="14" t="str">
        <f t="shared" si="179"/>
        <v/>
      </c>
      <c r="AA647" s="14" t="str">
        <f t="shared" si="180"/>
        <v/>
      </c>
      <c r="AB647" s="14" t="str">
        <f t="shared" si="181"/>
        <v/>
      </c>
      <c r="AC647" s="14" t="str">
        <f t="shared" si="182"/>
        <v/>
      </c>
      <c r="AD647" s="14" t="str">
        <f t="shared" si="183"/>
        <v/>
      </c>
    </row>
    <row r="648" spans="2:30" x14ac:dyDescent="0.3">
      <c r="B648" s="13" t="str" cm="1">
        <f t="array" ref="B648">IF($A648="","",_xlfn.LET(_xlpm.p,IFERROR(INDEX(tblDados[País],MATCH($A648,TRIM(tblDados[Mandante]),0)),INDEX(tblDados[País],MATCH($A648,TRIM(tblDados[Visitante]),0))),_xlpm.l,IFERROR(INDEX(tblDados[Liga],MATCH($A648,TRIM(tblDados[Mandante]),0)),INDEX(tblDados[Liga],MATCH($A648,TRIM(tblDados[Visitante]),0))),_xlpm.p&amp;" - "&amp;_xlpm.l))</f>
        <v/>
      </c>
      <c r="C648" s="14" t="str">
        <f t="shared" si="184"/>
        <v/>
      </c>
      <c r="D648" s="14" t="str">
        <f t="shared" si="185"/>
        <v/>
      </c>
      <c r="E648" s="15" t="str" cm="1">
        <f t="array" ref="E648">IF($A648="","",SUMPRODUCT((TRIM(tblDados[Mandante])=$A648)*tblDados[Primeira_Ocorrencia]))</f>
        <v/>
      </c>
      <c r="F648" s="15" t="str" cm="1">
        <f t="array" ref="F648">IF($A648="","",SUMPRODUCT((TRIM(tblDados[Visitante])=$A648)*tblDados[Primeira_Ocorrencia]))</f>
        <v/>
      </c>
      <c r="G648" s="15" t="str" cm="1">
        <f t="array" ref="G648">IF($A648="","",SUMPRODUCT((TRIM(tblDados[Mandante])=$A648)*tblDados[Primeira_Ocorrencia])+SUMPRODUCT((TRIM(tblDados[Visitante])=$A648)*tblDados[Primeira_Ocorrencia]))</f>
        <v/>
      </c>
      <c r="H648" s="14" t="str">
        <f t="shared" si="186"/>
        <v/>
      </c>
      <c r="I648" s="14" t="str" cm="1">
        <f t="array" ref="I648">IF($A648="","",_xlfn.LET(_xlpm.p,IFERROR(INDEX(tblDados[País],MATCH($A648,TRIM(tblDados[Mandante]),0)),INDEX(tblDados[País],MATCH($A648,TRIM(tblDados[Visitante]),0))),_xlpm.l,IFERROR(INDEX(tblDados[Liga],MATCH($A648,TRIM(tblDados[Mandante]),0)),INDEX(tblDados[Liga],MATCH($A648,TRIM(tblDados[Visitante]),0))),IFERROR(SUMIFS(Ligas!$D$2:$D$39,Ligas!$H$2:$H$39,_xlpm.p,Ligas!$I$2:$I$39,_xlpm.l),0)))</f>
        <v/>
      </c>
      <c r="J648" s="16" t="str" cm="1">
        <f t="array" ref="J648">IF($A648="","",IFERROR((SUMPRODUCT((TRIM(tblDados[Mandante])=$A648)*tblDados[Primeira_Ocorrencia]*(tblDados[GM_M]=0))+SUMPRODUCT((TRIM(tblDados[Visitante])=$A648)*tblDados[Primeira_Ocorrencia]*(tblDados[GM_V]=0)))/G648,0))</f>
        <v/>
      </c>
      <c r="K648" s="16" t="str" cm="1">
        <f t="array" ref="K648">IF($A648="","",IFERROR((SUMPRODUCT((TRIM(tblDados[Mandante])=$A648)*tblDados[Primeira_Ocorrencia]*((tblDados[GM_M]+tblDados[GS_M])&gt;0.5))+SUMPRODUCT((TRIM(tblDados[Visitante])=$A648)*tblDados[Primeira_Ocorrencia]*((tblDados[GM_V]+tblDados[GS_V])&gt;0.5)))/G648,0))</f>
        <v/>
      </c>
      <c r="L648" s="16" t="str" cm="1">
        <f t="array" ref="L648">IF($A648="","",IFERROR((SUMPRODUCT((TRIM(tblDados[Mandante])=$A648)*tblDados[Primeira_Ocorrencia]*((tblDados[GM_M]+tblDados[GS_M])&gt;1.5))+SUMPRODUCT((TRIM(tblDados[Visitante])=$A648)*tblDados[Primeira_Ocorrencia]*((tblDados[GM_V]+tblDados[GS_V])&gt;1.5)))/G648,0))</f>
        <v/>
      </c>
      <c r="M648" s="16" t="str" cm="1">
        <f t="array" ref="M648">IF($A648="","",IFERROR((SUMPRODUCT((TRIM(tblDados[Mandante])=$A648)*tblDados[Primeira_Ocorrencia]*((tblDados[GM_M]+tblDados[GS_M])&gt;2.5))+SUMPRODUCT((TRIM(tblDados[Visitante])=$A648)*tblDados[Primeira_Ocorrencia]*((tblDados[GM_V]+tblDados[GS_V])&gt;2.5)))/G648,0))</f>
        <v/>
      </c>
      <c r="N648" s="16" t="str" cm="1">
        <f t="array" ref="N648">IF($A648="","",IFERROR((SUMPRODUCT((TRIM(tblDados[Mandante])=$A648)*tblDados[Primeira_Ocorrencia]*((tblDados[GM_M]+tblDados[GS_M])&gt;3.5))+SUMPRODUCT((TRIM(tblDados[Visitante])=$A648)*tblDados[Primeira_Ocorrencia]*((tblDados[GM_V]+tblDados[GS_V])&gt;3.5)))/G648,0))</f>
        <v/>
      </c>
      <c r="O648" s="16" t="str" cm="1">
        <f t="array" ref="O648">IF($A648="","",IFERROR((SUMPRODUCT((TRIM(tblDados[Mandante])=$A648)*tblDados[Primeira_Ocorrencia]*(tblDados[GM_M]&gt;0)*(tblDados[GS_M]&gt;0))+SUMPRODUCT((TRIM(tblDados[Visitante])=$A648)*tblDados[Primeira_Ocorrencia]*(tblDados[GM_V]&gt;0)*(tblDados[GS_V]&gt;0)))/G648,0))</f>
        <v/>
      </c>
      <c r="P648" s="14" t="str" cm="1">
        <f t="array" ref="P648">IF($A648="","",IFERROR((SUMPRODUCT((TRIM(tblDados[Mandante])=$A648)*tblDados[Primeira_Ocorrencia]*tblDados[GM_M]^2)+SUMPRODUCT((TRIM(tblDados[Visitante])=$A648)*tblDados[Primeira_Ocorrencia]*tblDados[GM_V]^2))/G648-H648^2,0))</f>
        <v/>
      </c>
      <c r="Q648" s="14" t="str">
        <f t="shared" si="187"/>
        <v/>
      </c>
      <c r="R648" s="1" t="str">
        <f t="shared" si="188"/>
        <v/>
      </c>
      <c r="S648" s="14" t="str" cm="1">
        <f t="array" ref="S648">IF($A648="","",SUMPRODUCT((TRIM(tblDados[Mandante])=$A648)*tblDados[Primeira_Ocorrencia]*tblDados[GM_M]))</f>
        <v/>
      </c>
      <c r="T648" s="14" t="str" cm="1">
        <f t="array" ref="T648">IF($A648="","",SUMPRODUCT((TRIM(tblDados[Visitante])=$A648)*tblDados[Primeira_Ocorrencia]*tblDados[GM_V]))</f>
        <v/>
      </c>
      <c r="U648" s="14" t="str">
        <f t="shared" si="189"/>
        <v/>
      </c>
      <c r="V648" s="14" t="str">
        <f t="shared" si="178"/>
        <v/>
      </c>
      <c r="W648" s="14" t="str" cm="1">
        <f t="array" ref="W648">IF($A648="","",SUMPRODUCT((TRIM(tblDados[Mandante])=$A648)*tblDados[Primeira_Ocorrencia]*tblDados[GS_M]))</f>
        <v/>
      </c>
      <c r="X648" s="14" t="str" cm="1">
        <f t="array" ref="X648">IF($A648="","",SUMPRODUCT((TRIM(tblDados[Visitante])=$A648)*tblDados[Primeira_Ocorrencia]*tblDados[GS_V]))</f>
        <v/>
      </c>
      <c r="Y648" s="14" t="str">
        <f t="shared" si="190"/>
        <v/>
      </c>
      <c r="Z648" s="14" t="str">
        <f t="shared" si="179"/>
        <v/>
      </c>
      <c r="AA648" s="14" t="str">
        <f t="shared" si="180"/>
        <v/>
      </c>
      <c r="AB648" s="14" t="str">
        <f t="shared" si="181"/>
        <v/>
      </c>
      <c r="AC648" s="14" t="str">
        <f t="shared" si="182"/>
        <v/>
      </c>
      <c r="AD648" s="14" t="str">
        <f t="shared" si="183"/>
        <v/>
      </c>
    </row>
    <row r="649" spans="2:30" x14ac:dyDescent="0.3">
      <c r="B649" s="13" t="str" cm="1">
        <f t="array" ref="B649">IF($A649="","",_xlfn.LET(_xlpm.p,IFERROR(INDEX(tblDados[País],MATCH($A649,TRIM(tblDados[Mandante]),0)),INDEX(tblDados[País],MATCH($A649,TRIM(tblDados[Visitante]),0))),_xlpm.l,IFERROR(INDEX(tblDados[Liga],MATCH($A649,TRIM(tblDados[Mandante]),0)),INDEX(tblDados[Liga],MATCH($A649,TRIM(tblDados[Visitante]),0))),_xlpm.p&amp;" - "&amp;_xlpm.l))</f>
        <v/>
      </c>
      <c r="C649" s="14" t="str">
        <f t="shared" si="184"/>
        <v/>
      </c>
      <c r="D649" s="14" t="str">
        <f t="shared" si="185"/>
        <v/>
      </c>
      <c r="E649" s="15" t="str" cm="1">
        <f t="array" ref="E649">IF($A649="","",SUMPRODUCT((TRIM(tblDados[Mandante])=$A649)*tblDados[Primeira_Ocorrencia]))</f>
        <v/>
      </c>
      <c r="F649" s="15" t="str" cm="1">
        <f t="array" ref="F649">IF($A649="","",SUMPRODUCT((TRIM(tblDados[Visitante])=$A649)*tblDados[Primeira_Ocorrencia]))</f>
        <v/>
      </c>
      <c r="G649" s="15" t="str" cm="1">
        <f t="array" ref="G649">IF($A649="","",SUMPRODUCT((TRIM(tblDados[Mandante])=$A649)*tblDados[Primeira_Ocorrencia])+SUMPRODUCT((TRIM(tblDados[Visitante])=$A649)*tblDados[Primeira_Ocorrencia]))</f>
        <v/>
      </c>
      <c r="H649" s="14" t="str">
        <f t="shared" si="186"/>
        <v/>
      </c>
      <c r="I649" s="14" t="str" cm="1">
        <f t="array" ref="I649">IF($A649="","",_xlfn.LET(_xlpm.p,IFERROR(INDEX(tblDados[País],MATCH($A649,TRIM(tblDados[Mandante]),0)),INDEX(tblDados[País],MATCH($A649,TRIM(tblDados[Visitante]),0))),_xlpm.l,IFERROR(INDEX(tblDados[Liga],MATCH($A649,TRIM(tblDados[Mandante]),0)),INDEX(tblDados[Liga],MATCH($A649,TRIM(tblDados[Visitante]),0))),IFERROR(SUMIFS(Ligas!$D$2:$D$39,Ligas!$H$2:$H$39,_xlpm.p,Ligas!$I$2:$I$39,_xlpm.l),0)))</f>
        <v/>
      </c>
      <c r="J649" s="16" t="str" cm="1">
        <f t="array" ref="J649">IF($A649="","",IFERROR((SUMPRODUCT((TRIM(tblDados[Mandante])=$A649)*tblDados[Primeira_Ocorrencia]*(tblDados[GM_M]=0))+SUMPRODUCT((TRIM(tblDados[Visitante])=$A649)*tblDados[Primeira_Ocorrencia]*(tblDados[GM_V]=0)))/G649,0))</f>
        <v/>
      </c>
      <c r="K649" s="16" t="str" cm="1">
        <f t="array" ref="K649">IF($A649="","",IFERROR((SUMPRODUCT((TRIM(tblDados[Mandante])=$A649)*tblDados[Primeira_Ocorrencia]*((tblDados[GM_M]+tblDados[GS_M])&gt;0.5))+SUMPRODUCT((TRIM(tblDados[Visitante])=$A649)*tblDados[Primeira_Ocorrencia]*((tblDados[GM_V]+tblDados[GS_V])&gt;0.5)))/G649,0))</f>
        <v/>
      </c>
      <c r="L649" s="16" t="str" cm="1">
        <f t="array" ref="L649">IF($A649="","",IFERROR((SUMPRODUCT((TRIM(tblDados[Mandante])=$A649)*tblDados[Primeira_Ocorrencia]*((tblDados[GM_M]+tblDados[GS_M])&gt;1.5))+SUMPRODUCT((TRIM(tblDados[Visitante])=$A649)*tblDados[Primeira_Ocorrencia]*((tblDados[GM_V]+tblDados[GS_V])&gt;1.5)))/G649,0))</f>
        <v/>
      </c>
      <c r="M649" s="16" t="str" cm="1">
        <f t="array" ref="M649">IF($A649="","",IFERROR((SUMPRODUCT((TRIM(tblDados[Mandante])=$A649)*tblDados[Primeira_Ocorrencia]*((tblDados[GM_M]+tblDados[GS_M])&gt;2.5))+SUMPRODUCT((TRIM(tblDados[Visitante])=$A649)*tblDados[Primeira_Ocorrencia]*((tblDados[GM_V]+tblDados[GS_V])&gt;2.5)))/G649,0))</f>
        <v/>
      </c>
      <c r="N649" s="16" t="str" cm="1">
        <f t="array" ref="N649">IF($A649="","",IFERROR((SUMPRODUCT((TRIM(tblDados[Mandante])=$A649)*tblDados[Primeira_Ocorrencia]*((tblDados[GM_M]+tblDados[GS_M])&gt;3.5))+SUMPRODUCT((TRIM(tblDados[Visitante])=$A649)*tblDados[Primeira_Ocorrencia]*((tblDados[GM_V]+tblDados[GS_V])&gt;3.5)))/G649,0))</f>
        <v/>
      </c>
      <c r="O649" s="16" t="str" cm="1">
        <f t="array" ref="O649">IF($A649="","",IFERROR((SUMPRODUCT((TRIM(tblDados[Mandante])=$A649)*tblDados[Primeira_Ocorrencia]*(tblDados[GM_M]&gt;0)*(tblDados[GS_M]&gt;0))+SUMPRODUCT((TRIM(tblDados[Visitante])=$A649)*tblDados[Primeira_Ocorrencia]*(tblDados[GM_V]&gt;0)*(tblDados[GS_V]&gt;0)))/G649,0))</f>
        <v/>
      </c>
      <c r="P649" s="14" t="str" cm="1">
        <f t="array" ref="P649">IF($A649="","",IFERROR((SUMPRODUCT((TRIM(tblDados[Mandante])=$A649)*tblDados[Primeira_Ocorrencia]*tblDados[GM_M]^2)+SUMPRODUCT((TRIM(tblDados[Visitante])=$A649)*tblDados[Primeira_Ocorrencia]*tblDados[GM_V]^2))/G649-H649^2,0))</f>
        <v/>
      </c>
      <c r="Q649" s="14" t="str">
        <f t="shared" si="187"/>
        <v/>
      </c>
      <c r="R649" s="1" t="str">
        <f t="shared" si="188"/>
        <v/>
      </c>
      <c r="S649" s="14" t="str" cm="1">
        <f t="array" ref="S649">IF($A649="","",SUMPRODUCT((TRIM(tblDados[Mandante])=$A649)*tblDados[Primeira_Ocorrencia]*tblDados[GM_M]))</f>
        <v/>
      </c>
      <c r="T649" s="14" t="str" cm="1">
        <f t="array" ref="T649">IF($A649="","",SUMPRODUCT((TRIM(tblDados[Visitante])=$A649)*tblDados[Primeira_Ocorrencia]*tblDados[GM_V]))</f>
        <v/>
      </c>
      <c r="U649" s="14" t="str">
        <f t="shared" si="189"/>
        <v/>
      </c>
      <c r="V649" s="14" t="str">
        <f t="shared" si="178"/>
        <v/>
      </c>
      <c r="W649" s="14" t="str" cm="1">
        <f t="array" ref="W649">IF($A649="","",SUMPRODUCT((TRIM(tblDados[Mandante])=$A649)*tblDados[Primeira_Ocorrencia]*tblDados[GS_M]))</f>
        <v/>
      </c>
      <c r="X649" s="14" t="str" cm="1">
        <f t="array" ref="X649">IF($A649="","",SUMPRODUCT((TRIM(tblDados[Visitante])=$A649)*tblDados[Primeira_Ocorrencia]*tblDados[GS_V]))</f>
        <v/>
      </c>
      <c r="Y649" s="14" t="str">
        <f t="shared" si="190"/>
        <v/>
      </c>
      <c r="Z649" s="14" t="str">
        <f t="shared" si="179"/>
        <v/>
      </c>
      <c r="AA649" s="14" t="str">
        <f t="shared" si="180"/>
        <v/>
      </c>
      <c r="AB649" s="14" t="str">
        <f t="shared" si="181"/>
        <v/>
      </c>
      <c r="AC649" s="14" t="str">
        <f t="shared" si="182"/>
        <v/>
      </c>
      <c r="AD649" s="14" t="str">
        <f t="shared" si="183"/>
        <v/>
      </c>
    </row>
    <row r="650" spans="2:30" x14ac:dyDescent="0.3">
      <c r="B650" s="13" t="str" cm="1">
        <f t="array" ref="B650">IF($A650="","",_xlfn.LET(_xlpm.p,IFERROR(INDEX(tblDados[País],MATCH($A650,TRIM(tblDados[Mandante]),0)),INDEX(tblDados[País],MATCH($A650,TRIM(tblDados[Visitante]),0))),_xlpm.l,IFERROR(INDEX(tblDados[Liga],MATCH($A650,TRIM(tblDados[Mandante]),0)),INDEX(tblDados[Liga],MATCH($A650,TRIM(tblDados[Visitante]),0))),_xlpm.p&amp;" - "&amp;_xlpm.l))</f>
        <v/>
      </c>
      <c r="C650" s="14" t="str">
        <f t="shared" si="184"/>
        <v/>
      </c>
      <c r="D650" s="14" t="str">
        <f t="shared" si="185"/>
        <v/>
      </c>
      <c r="E650" s="15" t="str" cm="1">
        <f t="array" ref="E650">IF($A650="","",SUMPRODUCT((TRIM(tblDados[Mandante])=$A650)*tblDados[Primeira_Ocorrencia]))</f>
        <v/>
      </c>
      <c r="F650" s="15" t="str" cm="1">
        <f t="array" ref="F650">IF($A650="","",SUMPRODUCT((TRIM(tblDados[Visitante])=$A650)*tblDados[Primeira_Ocorrencia]))</f>
        <v/>
      </c>
      <c r="G650" s="15" t="str" cm="1">
        <f t="array" ref="G650">IF($A650="","",SUMPRODUCT((TRIM(tblDados[Mandante])=$A650)*tblDados[Primeira_Ocorrencia])+SUMPRODUCT((TRIM(tblDados[Visitante])=$A650)*tblDados[Primeira_Ocorrencia]))</f>
        <v/>
      </c>
      <c r="H650" s="14" t="str">
        <f t="shared" si="186"/>
        <v/>
      </c>
      <c r="I650" s="14" t="str" cm="1">
        <f t="array" ref="I650">IF($A650="","",_xlfn.LET(_xlpm.p,IFERROR(INDEX(tblDados[País],MATCH($A650,TRIM(tblDados[Mandante]),0)),INDEX(tblDados[País],MATCH($A650,TRIM(tblDados[Visitante]),0))),_xlpm.l,IFERROR(INDEX(tblDados[Liga],MATCH($A650,TRIM(tblDados[Mandante]),0)),INDEX(tblDados[Liga],MATCH($A650,TRIM(tblDados[Visitante]),0))),IFERROR(SUMIFS(Ligas!$D$2:$D$39,Ligas!$H$2:$H$39,_xlpm.p,Ligas!$I$2:$I$39,_xlpm.l),0)))</f>
        <v/>
      </c>
      <c r="J650" s="16" t="str" cm="1">
        <f t="array" ref="J650">IF($A650="","",IFERROR((SUMPRODUCT((TRIM(tblDados[Mandante])=$A650)*tblDados[Primeira_Ocorrencia]*(tblDados[GM_M]=0))+SUMPRODUCT((TRIM(tblDados[Visitante])=$A650)*tblDados[Primeira_Ocorrencia]*(tblDados[GM_V]=0)))/G650,0))</f>
        <v/>
      </c>
      <c r="K650" s="16" t="str" cm="1">
        <f t="array" ref="K650">IF($A650="","",IFERROR((SUMPRODUCT((TRIM(tblDados[Mandante])=$A650)*tblDados[Primeira_Ocorrencia]*((tblDados[GM_M]+tblDados[GS_M])&gt;0.5))+SUMPRODUCT((TRIM(tblDados[Visitante])=$A650)*tblDados[Primeira_Ocorrencia]*((tblDados[GM_V]+tblDados[GS_V])&gt;0.5)))/G650,0))</f>
        <v/>
      </c>
      <c r="L650" s="16" t="str" cm="1">
        <f t="array" ref="L650">IF($A650="","",IFERROR((SUMPRODUCT((TRIM(tblDados[Mandante])=$A650)*tblDados[Primeira_Ocorrencia]*((tblDados[GM_M]+tblDados[GS_M])&gt;1.5))+SUMPRODUCT((TRIM(tblDados[Visitante])=$A650)*tblDados[Primeira_Ocorrencia]*((tblDados[GM_V]+tblDados[GS_V])&gt;1.5)))/G650,0))</f>
        <v/>
      </c>
      <c r="M650" s="16" t="str" cm="1">
        <f t="array" ref="M650">IF($A650="","",IFERROR((SUMPRODUCT((TRIM(tblDados[Mandante])=$A650)*tblDados[Primeira_Ocorrencia]*((tblDados[GM_M]+tblDados[GS_M])&gt;2.5))+SUMPRODUCT((TRIM(tblDados[Visitante])=$A650)*tblDados[Primeira_Ocorrencia]*((tblDados[GM_V]+tblDados[GS_V])&gt;2.5)))/G650,0))</f>
        <v/>
      </c>
      <c r="N650" s="16" t="str" cm="1">
        <f t="array" ref="N650">IF($A650="","",IFERROR((SUMPRODUCT((TRIM(tblDados[Mandante])=$A650)*tblDados[Primeira_Ocorrencia]*((tblDados[GM_M]+tblDados[GS_M])&gt;3.5))+SUMPRODUCT((TRIM(tblDados[Visitante])=$A650)*tblDados[Primeira_Ocorrencia]*((tblDados[GM_V]+tblDados[GS_V])&gt;3.5)))/G650,0))</f>
        <v/>
      </c>
      <c r="O650" s="16" t="str" cm="1">
        <f t="array" ref="O650">IF($A650="","",IFERROR((SUMPRODUCT((TRIM(tblDados[Mandante])=$A650)*tblDados[Primeira_Ocorrencia]*(tblDados[GM_M]&gt;0)*(tblDados[GS_M]&gt;0))+SUMPRODUCT((TRIM(tblDados[Visitante])=$A650)*tblDados[Primeira_Ocorrencia]*(tblDados[GM_V]&gt;0)*(tblDados[GS_V]&gt;0)))/G650,0))</f>
        <v/>
      </c>
      <c r="P650" s="14" t="str" cm="1">
        <f t="array" ref="P650">IF($A650="","",IFERROR((SUMPRODUCT((TRIM(tblDados[Mandante])=$A650)*tblDados[Primeira_Ocorrencia]*tblDados[GM_M]^2)+SUMPRODUCT((TRIM(tblDados[Visitante])=$A650)*tblDados[Primeira_Ocorrencia]*tblDados[GM_V]^2))/G650-H650^2,0))</f>
        <v/>
      </c>
      <c r="Q650" s="14" t="str">
        <f t="shared" si="187"/>
        <v/>
      </c>
      <c r="R650" s="1" t="str">
        <f t="shared" si="188"/>
        <v/>
      </c>
      <c r="S650" s="14" t="str" cm="1">
        <f t="array" ref="S650">IF($A650="","",SUMPRODUCT((TRIM(tblDados[Mandante])=$A650)*tblDados[Primeira_Ocorrencia]*tblDados[GM_M]))</f>
        <v/>
      </c>
      <c r="T650" s="14" t="str" cm="1">
        <f t="array" ref="T650">IF($A650="","",SUMPRODUCT((TRIM(tblDados[Visitante])=$A650)*tblDados[Primeira_Ocorrencia]*tblDados[GM_V]))</f>
        <v/>
      </c>
      <c r="U650" s="14" t="str">
        <f t="shared" si="189"/>
        <v/>
      </c>
      <c r="V650" s="14" t="str">
        <f t="shared" si="178"/>
        <v/>
      </c>
      <c r="W650" s="14" t="str" cm="1">
        <f t="array" ref="W650">IF($A650="","",SUMPRODUCT((TRIM(tblDados[Mandante])=$A650)*tblDados[Primeira_Ocorrencia]*tblDados[GS_M]))</f>
        <v/>
      </c>
      <c r="X650" s="14" t="str" cm="1">
        <f t="array" ref="X650">IF($A650="","",SUMPRODUCT((TRIM(tblDados[Visitante])=$A650)*tblDados[Primeira_Ocorrencia]*tblDados[GS_V]))</f>
        <v/>
      </c>
      <c r="Y650" s="14" t="str">
        <f t="shared" si="190"/>
        <v/>
      </c>
      <c r="Z650" s="14" t="str">
        <f t="shared" si="179"/>
        <v/>
      </c>
      <c r="AA650" s="14" t="str">
        <f t="shared" si="180"/>
        <v/>
      </c>
      <c r="AB650" s="14" t="str">
        <f t="shared" si="181"/>
        <v/>
      </c>
      <c r="AC650" s="14" t="str">
        <f t="shared" si="182"/>
        <v/>
      </c>
      <c r="AD650" s="14" t="str">
        <f t="shared" si="183"/>
        <v/>
      </c>
    </row>
    <row r="651" spans="2:30" x14ac:dyDescent="0.3">
      <c r="B651" s="13" t="str" cm="1">
        <f t="array" ref="B651">IF($A651="","",_xlfn.LET(_xlpm.p,IFERROR(INDEX(tblDados[País],MATCH($A651,TRIM(tblDados[Mandante]),0)),INDEX(tblDados[País],MATCH($A651,TRIM(tblDados[Visitante]),0))),_xlpm.l,IFERROR(INDEX(tblDados[Liga],MATCH($A651,TRIM(tblDados[Mandante]),0)),INDEX(tblDados[Liga],MATCH($A651,TRIM(tblDados[Visitante]),0))),_xlpm.p&amp;" - "&amp;_xlpm.l))</f>
        <v/>
      </c>
      <c r="C651" s="14" t="str">
        <f t="shared" si="184"/>
        <v/>
      </c>
      <c r="D651" s="14" t="str">
        <f t="shared" si="185"/>
        <v/>
      </c>
      <c r="E651" s="15" t="str" cm="1">
        <f t="array" ref="E651">IF($A651="","",SUMPRODUCT((TRIM(tblDados[Mandante])=$A651)*tblDados[Primeira_Ocorrencia]))</f>
        <v/>
      </c>
      <c r="F651" s="15" t="str" cm="1">
        <f t="array" ref="F651">IF($A651="","",SUMPRODUCT((TRIM(tblDados[Visitante])=$A651)*tblDados[Primeira_Ocorrencia]))</f>
        <v/>
      </c>
      <c r="G651" s="15" t="str" cm="1">
        <f t="array" ref="G651">IF($A651="","",SUMPRODUCT((TRIM(tblDados[Mandante])=$A651)*tblDados[Primeira_Ocorrencia])+SUMPRODUCT((TRIM(tblDados[Visitante])=$A651)*tblDados[Primeira_Ocorrencia]))</f>
        <v/>
      </c>
      <c r="H651" s="14" t="str">
        <f t="shared" si="186"/>
        <v/>
      </c>
      <c r="I651" s="14" t="str" cm="1">
        <f t="array" ref="I651">IF($A651="","",_xlfn.LET(_xlpm.p,IFERROR(INDEX(tblDados[País],MATCH($A651,TRIM(tblDados[Mandante]),0)),INDEX(tblDados[País],MATCH($A651,TRIM(tblDados[Visitante]),0))),_xlpm.l,IFERROR(INDEX(tblDados[Liga],MATCH($A651,TRIM(tblDados[Mandante]),0)),INDEX(tblDados[Liga],MATCH($A651,TRIM(tblDados[Visitante]),0))),IFERROR(SUMIFS(Ligas!$D$2:$D$39,Ligas!$H$2:$H$39,_xlpm.p,Ligas!$I$2:$I$39,_xlpm.l),0)))</f>
        <v/>
      </c>
      <c r="J651" s="16" t="str" cm="1">
        <f t="array" ref="J651">IF($A651="","",IFERROR((SUMPRODUCT((TRIM(tblDados[Mandante])=$A651)*tblDados[Primeira_Ocorrencia]*(tblDados[GM_M]=0))+SUMPRODUCT((TRIM(tblDados[Visitante])=$A651)*tblDados[Primeira_Ocorrencia]*(tblDados[GM_V]=0)))/G651,0))</f>
        <v/>
      </c>
      <c r="K651" s="16" t="str" cm="1">
        <f t="array" ref="K651">IF($A651="","",IFERROR((SUMPRODUCT((TRIM(tblDados[Mandante])=$A651)*tblDados[Primeira_Ocorrencia]*((tblDados[GM_M]+tblDados[GS_M])&gt;0.5))+SUMPRODUCT((TRIM(tblDados[Visitante])=$A651)*tblDados[Primeira_Ocorrencia]*((tblDados[GM_V]+tblDados[GS_V])&gt;0.5)))/G651,0))</f>
        <v/>
      </c>
      <c r="L651" s="16" t="str" cm="1">
        <f t="array" ref="L651">IF($A651="","",IFERROR((SUMPRODUCT((TRIM(tblDados[Mandante])=$A651)*tblDados[Primeira_Ocorrencia]*((tblDados[GM_M]+tblDados[GS_M])&gt;1.5))+SUMPRODUCT((TRIM(tblDados[Visitante])=$A651)*tblDados[Primeira_Ocorrencia]*((tblDados[GM_V]+tblDados[GS_V])&gt;1.5)))/G651,0))</f>
        <v/>
      </c>
      <c r="M651" s="16" t="str" cm="1">
        <f t="array" ref="M651">IF($A651="","",IFERROR((SUMPRODUCT((TRIM(tblDados[Mandante])=$A651)*tblDados[Primeira_Ocorrencia]*((tblDados[GM_M]+tblDados[GS_M])&gt;2.5))+SUMPRODUCT((TRIM(tblDados[Visitante])=$A651)*tblDados[Primeira_Ocorrencia]*((tblDados[GM_V]+tblDados[GS_V])&gt;2.5)))/G651,0))</f>
        <v/>
      </c>
      <c r="N651" s="16" t="str" cm="1">
        <f t="array" ref="N651">IF($A651="","",IFERROR((SUMPRODUCT((TRIM(tblDados[Mandante])=$A651)*tblDados[Primeira_Ocorrencia]*((tblDados[GM_M]+tblDados[GS_M])&gt;3.5))+SUMPRODUCT((TRIM(tblDados[Visitante])=$A651)*tblDados[Primeira_Ocorrencia]*((tblDados[GM_V]+tblDados[GS_V])&gt;3.5)))/G651,0))</f>
        <v/>
      </c>
      <c r="O651" s="16" t="str" cm="1">
        <f t="array" ref="O651">IF($A651="","",IFERROR((SUMPRODUCT((TRIM(tblDados[Mandante])=$A651)*tblDados[Primeira_Ocorrencia]*(tblDados[GM_M]&gt;0)*(tblDados[GS_M]&gt;0))+SUMPRODUCT((TRIM(tblDados[Visitante])=$A651)*tblDados[Primeira_Ocorrencia]*(tblDados[GM_V]&gt;0)*(tblDados[GS_V]&gt;0)))/G651,0))</f>
        <v/>
      </c>
      <c r="P651" s="14" t="str" cm="1">
        <f t="array" ref="P651">IF($A651="","",IFERROR((SUMPRODUCT((TRIM(tblDados[Mandante])=$A651)*tblDados[Primeira_Ocorrencia]*tblDados[GM_M]^2)+SUMPRODUCT((TRIM(tblDados[Visitante])=$A651)*tblDados[Primeira_Ocorrencia]*tblDados[GM_V]^2))/G651-H651^2,0))</f>
        <v/>
      </c>
      <c r="Q651" s="14" t="str">
        <f t="shared" si="187"/>
        <v/>
      </c>
      <c r="R651" s="1" t="str">
        <f t="shared" si="188"/>
        <v/>
      </c>
      <c r="S651" s="14" t="str" cm="1">
        <f t="array" ref="S651">IF($A651="","",SUMPRODUCT((TRIM(tblDados[Mandante])=$A651)*tblDados[Primeira_Ocorrencia]*tblDados[GM_M]))</f>
        <v/>
      </c>
      <c r="T651" s="14" t="str" cm="1">
        <f t="array" ref="T651">IF($A651="","",SUMPRODUCT((TRIM(tblDados[Visitante])=$A651)*tblDados[Primeira_Ocorrencia]*tblDados[GM_V]))</f>
        <v/>
      </c>
      <c r="U651" s="14" t="str">
        <f t="shared" si="189"/>
        <v/>
      </c>
      <c r="V651" s="14" t="str">
        <f t="shared" si="178"/>
        <v/>
      </c>
      <c r="W651" s="14" t="str" cm="1">
        <f t="array" ref="W651">IF($A651="","",SUMPRODUCT((TRIM(tblDados[Mandante])=$A651)*tblDados[Primeira_Ocorrencia]*tblDados[GS_M]))</f>
        <v/>
      </c>
      <c r="X651" s="14" t="str" cm="1">
        <f t="array" ref="X651">IF($A651="","",SUMPRODUCT((TRIM(tblDados[Visitante])=$A651)*tblDados[Primeira_Ocorrencia]*tblDados[GS_V]))</f>
        <v/>
      </c>
      <c r="Y651" s="14" t="str">
        <f t="shared" si="190"/>
        <v/>
      </c>
      <c r="Z651" s="14" t="str">
        <f t="shared" si="179"/>
        <v/>
      </c>
      <c r="AA651" s="14" t="str">
        <f t="shared" si="180"/>
        <v/>
      </c>
      <c r="AB651" s="14" t="str">
        <f t="shared" si="181"/>
        <v/>
      </c>
      <c r="AC651" s="14" t="str">
        <f t="shared" si="182"/>
        <v/>
      </c>
      <c r="AD651" s="14" t="str">
        <f t="shared" si="183"/>
        <v/>
      </c>
    </row>
    <row r="652" spans="2:30" x14ac:dyDescent="0.3">
      <c r="B652" s="13" t="str" cm="1">
        <f t="array" ref="B652">IF($A652="","",_xlfn.LET(_xlpm.p,IFERROR(INDEX(tblDados[País],MATCH($A652,TRIM(tblDados[Mandante]),0)),INDEX(tblDados[País],MATCH($A652,TRIM(tblDados[Visitante]),0))),_xlpm.l,IFERROR(INDEX(tblDados[Liga],MATCH($A652,TRIM(tblDados[Mandante]),0)),INDEX(tblDados[Liga],MATCH($A652,TRIM(tblDados[Visitante]),0))),_xlpm.p&amp;" - "&amp;_xlpm.l))</f>
        <v/>
      </c>
      <c r="C652" s="14" t="str">
        <f t="shared" si="184"/>
        <v/>
      </c>
      <c r="D652" s="14" t="str">
        <f t="shared" si="185"/>
        <v/>
      </c>
      <c r="E652" s="15" t="str" cm="1">
        <f t="array" ref="E652">IF($A652="","",SUMPRODUCT((TRIM(tblDados[Mandante])=$A652)*tblDados[Primeira_Ocorrencia]))</f>
        <v/>
      </c>
      <c r="F652" s="15" t="str" cm="1">
        <f t="array" ref="F652">IF($A652="","",SUMPRODUCT((TRIM(tblDados[Visitante])=$A652)*tblDados[Primeira_Ocorrencia]))</f>
        <v/>
      </c>
      <c r="G652" s="15" t="str" cm="1">
        <f t="array" ref="G652">IF($A652="","",SUMPRODUCT((TRIM(tblDados[Mandante])=$A652)*tblDados[Primeira_Ocorrencia])+SUMPRODUCT((TRIM(tblDados[Visitante])=$A652)*tblDados[Primeira_Ocorrencia]))</f>
        <v/>
      </c>
      <c r="H652" s="14" t="str">
        <f t="shared" si="186"/>
        <v/>
      </c>
      <c r="I652" s="14" t="str" cm="1">
        <f t="array" ref="I652">IF($A652="","",_xlfn.LET(_xlpm.p,IFERROR(INDEX(tblDados[País],MATCH($A652,TRIM(tblDados[Mandante]),0)),INDEX(tblDados[País],MATCH($A652,TRIM(tblDados[Visitante]),0))),_xlpm.l,IFERROR(INDEX(tblDados[Liga],MATCH($A652,TRIM(tblDados[Mandante]),0)),INDEX(tblDados[Liga],MATCH($A652,TRIM(tblDados[Visitante]),0))),IFERROR(SUMIFS(Ligas!$D$2:$D$39,Ligas!$H$2:$H$39,_xlpm.p,Ligas!$I$2:$I$39,_xlpm.l),0)))</f>
        <v/>
      </c>
      <c r="J652" s="16" t="str" cm="1">
        <f t="array" ref="J652">IF($A652="","",IFERROR((SUMPRODUCT((TRIM(tblDados[Mandante])=$A652)*tblDados[Primeira_Ocorrencia]*(tblDados[GM_M]=0))+SUMPRODUCT((TRIM(tblDados[Visitante])=$A652)*tblDados[Primeira_Ocorrencia]*(tblDados[GM_V]=0)))/G652,0))</f>
        <v/>
      </c>
      <c r="K652" s="16" t="str" cm="1">
        <f t="array" ref="K652">IF($A652="","",IFERROR((SUMPRODUCT((TRIM(tblDados[Mandante])=$A652)*tblDados[Primeira_Ocorrencia]*((tblDados[GM_M]+tblDados[GS_M])&gt;0.5))+SUMPRODUCT((TRIM(tblDados[Visitante])=$A652)*tblDados[Primeira_Ocorrencia]*((tblDados[GM_V]+tblDados[GS_V])&gt;0.5)))/G652,0))</f>
        <v/>
      </c>
      <c r="L652" s="16" t="str" cm="1">
        <f t="array" ref="L652">IF($A652="","",IFERROR((SUMPRODUCT((TRIM(tblDados[Mandante])=$A652)*tblDados[Primeira_Ocorrencia]*((tblDados[GM_M]+tblDados[GS_M])&gt;1.5))+SUMPRODUCT((TRIM(tblDados[Visitante])=$A652)*tblDados[Primeira_Ocorrencia]*((tblDados[GM_V]+tblDados[GS_V])&gt;1.5)))/G652,0))</f>
        <v/>
      </c>
      <c r="M652" s="16" t="str" cm="1">
        <f t="array" ref="M652">IF($A652="","",IFERROR((SUMPRODUCT((TRIM(tblDados[Mandante])=$A652)*tblDados[Primeira_Ocorrencia]*((tblDados[GM_M]+tblDados[GS_M])&gt;2.5))+SUMPRODUCT((TRIM(tblDados[Visitante])=$A652)*tblDados[Primeira_Ocorrencia]*((tblDados[GM_V]+tblDados[GS_V])&gt;2.5)))/G652,0))</f>
        <v/>
      </c>
      <c r="N652" s="16" t="str" cm="1">
        <f t="array" ref="N652">IF($A652="","",IFERROR((SUMPRODUCT((TRIM(tblDados[Mandante])=$A652)*tblDados[Primeira_Ocorrencia]*((tblDados[GM_M]+tblDados[GS_M])&gt;3.5))+SUMPRODUCT((TRIM(tblDados[Visitante])=$A652)*tblDados[Primeira_Ocorrencia]*((tblDados[GM_V]+tblDados[GS_V])&gt;3.5)))/G652,0))</f>
        <v/>
      </c>
      <c r="O652" s="16" t="str" cm="1">
        <f t="array" ref="O652">IF($A652="","",IFERROR((SUMPRODUCT((TRIM(tblDados[Mandante])=$A652)*tblDados[Primeira_Ocorrencia]*(tblDados[GM_M]&gt;0)*(tblDados[GS_M]&gt;0))+SUMPRODUCT((TRIM(tblDados[Visitante])=$A652)*tblDados[Primeira_Ocorrencia]*(tblDados[GM_V]&gt;0)*(tblDados[GS_V]&gt;0)))/G652,0))</f>
        <v/>
      </c>
      <c r="P652" s="14" t="str" cm="1">
        <f t="array" ref="P652">IF($A652="","",IFERROR((SUMPRODUCT((TRIM(tblDados[Mandante])=$A652)*tblDados[Primeira_Ocorrencia]*tblDados[GM_M]^2)+SUMPRODUCT((TRIM(tblDados[Visitante])=$A652)*tblDados[Primeira_Ocorrencia]*tblDados[GM_V]^2))/G652-H652^2,0))</f>
        <v/>
      </c>
      <c r="Q652" s="14" t="str">
        <f t="shared" si="187"/>
        <v/>
      </c>
      <c r="R652" s="1" t="str">
        <f t="shared" si="188"/>
        <v/>
      </c>
      <c r="S652" s="14" t="str" cm="1">
        <f t="array" ref="S652">IF($A652="","",SUMPRODUCT((TRIM(tblDados[Mandante])=$A652)*tblDados[Primeira_Ocorrencia]*tblDados[GM_M]))</f>
        <v/>
      </c>
      <c r="T652" s="14" t="str" cm="1">
        <f t="array" ref="T652">IF($A652="","",SUMPRODUCT((TRIM(tblDados[Visitante])=$A652)*tblDados[Primeira_Ocorrencia]*tblDados[GM_V]))</f>
        <v/>
      </c>
      <c r="U652" s="14" t="str">
        <f t="shared" si="189"/>
        <v/>
      </c>
      <c r="V652" s="14" t="str">
        <f t="shared" si="178"/>
        <v/>
      </c>
      <c r="W652" s="14" t="str" cm="1">
        <f t="array" ref="W652">IF($A652="","",SUMPRODUCT((TRIM(tblDados[Mandante])=$A652)*tblDados[Primeira_Ocorrencia]*tblDados[GS_M]))</f>
        <v/>
      </c>
      <c r="X652" s="14" t="str" cm="1">
        <f t="array" ref="X652">IF($A652="","",SUMPRODUCT((TRIM(tblDados[Visitante])=$A652)*tblDados[Primeira_Ocorrencia]*tblDados[GS_V]))</f>
        <v/>
      </c>
      <c r="Y652" s="14" t="str">
        <f t="shared" si="190"/>
        <v/>
      </c>
      <c r="Z652" s="14" t="str">
        <f t="shared" si="179"/>
        <v/>
      </c>
      <c r="AA652" s="14" t="str">
        <f t="shared" si="180"/>
        <v/>
      </c>
      <c r="AB652" s="14" t="str">
        <f t="shared" si="181"/>
        <v/>
      </c>
      <c r="AC652" s="14" t="str">
        <f t="shared" si="182"/>
        <v/>
      </c>
      <c r="AD652" s="14" t="str">
        <f t="shared" si="183"/>
        <v/>
      </c>
    </row>
    <row r="653" spans="2:30" x14ac:dyDescent="0.3">
      <c r="B653" s="13" t="str" cm="1">
        <f t="array" ref="B653">IF($A653="","",_xlfn.LET(_xlpm.p,IFERROR(INDEX(tblDados[País],MATCH($A653,TRIM(tblDados[Mandante]),0)),INDEX(tblDados[País],MATCH($A653,TRIM(tblDados[Visitante]),0))),_xlpm.l,IFERROR(INDEX(tblDados[Liga],MATCH($A653,TRIM(tblDados[Mandante]),0)),INDEX(tblDados[Liga],MATCH($A653,TRIM(tblDados[Visitante]),0))),_xlpm.p&amp;" - "&amp;_xlpm.l))</f>
        <v/>
      </c>
      <c r="C653" s="14" t="str">
        <f t="shared" si="184"/>
        <v/>
      </c>
      <c r="D653" s="14" t="str">
        <f t="shared" si="185"/>
        <v/>
      </c>
      <c r="E653" s="15" t="str" cm="1">
        <f t="array" ref="E653">IF($A653="","",SUMPRODUCT((TRIM(tblDados[Mandante])=$A653)*tblDados[Primeira_Ocorrencia]))</f>
        <v/>
      </c>
      <c r="F653" s="15" t="str" cm="1">
        <f t="array" ref="F653">IF($A653="","",SUMPRODUCT((TRIM(tblDados[Visitante])=$A653)*tblDados[Primeira_Ocorrencia]))</f>
        <v/>
      </c>
      <c r="G653" s="15" t="str" cm="1">
        <f t="array" ref="G653">IF($A653="","",SUMPRODUCT((TRIM(tblDados[Mandante])=$A653)*tblDados[Primeira_Ocorrencia])+SUMPRODUCT((TRIM(tblDados[Visitante])=$A653)*tblDados[Primeira_Ocorrencia]))</f>
        <v/>
      </c>
      <c r="H653" s="14" t="str">
        <f t="shared" si="186"/>
        <v/>
      </c>
      <c r="I653" s="14" t="str" cm="1">
        <f t="array" ref="I653">IF($A653="","",_xlfn.LET(_xlpm.p,IFERROR(INDEX(tblDados[País],MATCH($A653,TRIM(tblDados[Mandante]),0)),INDEX(tblDados[País],MATCH($A653,TRIM(tblDados[Visitante]),0))),_xlpm.l,IFERROR(INDEX(tblDados[Liga],MATCH($A653,TRIM(tblDados[Mandante]),0)),INDEX(tblDados[Liga],MATCH($A653,TRIM(tblDados[Visitante]),0))),IFERROR(SUMIFS(Ligas!$D$2:$D$39,Ligas!$H$2:$H$39,_xlpm.p,Ligas!$I$2:$I$39,_xlpm.l),0)))</f>
        <v/>
      </c>
      <c r="J653" s="16" t="str" cm="1">
        <f t="array" ref="J653">IF($A653="","",IFERROR((SUMPRODUCT((TRIM(tblDados[Mandante])=$A653)*tblDados[Primeira_Ocorrencia]*(tblDados[GM_M]=0))+SUMPRODUCT((TRIM(tblDados[Visitante])=$A653)*tblDados[Primeira_Ocorrencia]*(tblDados[GM_V]=0)))/G653,0))</f>
        <v/>
      </c>
      <c r="K653" s="16" t="str" cm="1">
        <f t="array" ref="K653">IF($A653="","",IFERROR((SUMPRODUCT((TRIM(tblDados[Mandante])=$A653)*tblDados[Primeira_Ocorrencia]*((tblDados[GM_M]+tblDados[GS_M])&gt;0.5))+SUMPRODUCT((TRIM(tblDados[Visitante])=$A653)*tblDados[Primeira_Ocorrencia]*((tblDados[GM_V]+tblDados[GS_V])&gt;0.5)))/G653,0))</f>
        <v/>
      </c>
      <c r="L653" s="16" t="str" cm="1">
        <f t="array" ref="L653">IF($A653="","",IFERROR((SUMPRODUCT((TRIM(tblDados[Mandante])=$A653)*tblDados[Primeira_Ocorrencia]*((tblDados[GM_M]+tblDados[GS_M])&gt;1.5))+SUMPRODUCT((TRIM(tblDados[Visitante])=$A653)*tblDados[Primeira_Ocorrencia]*((tblDados[GM_V]+tblDados[GS_V])&gt;1.5)))/G653,0))</f>
        <v/>
      </c>
      <c r="M653" s="16" t="str" cm="1">
        <f t="array" ref="M653">IF($A653="","",IFERROR((SUMPRODUCT((TRIM(tblDados[Mandante])=$A653)*tblDados[Primeira_Ocorrencia]*((tblDados[GM_M]+tblDados[GS_M])&gt;2.5))+SUMPRODUCT((TRIM(tblDados[Visitante])=$A653)*tblDados[Primeira_Ocorrencia]*((tblDados[GM_V]+tblDados[GS_V])&gt;2.5)))/G653,0))</f>
        <v/>
      </c>
      <c r="N653" s="16" t="str" cm="1">
        <f t="array" ref="N653">IF($A653="","",IFERROR((SUMPRODUCT((TRIM(tblDados[Mandante])=$A653)*tblDados[Primeira_Ocorrencia]*((tblDados[GM_M]+tblDados[GS_M])&gt;3.5))+SUMPRODUCT((TRIM(tblDados[Visitante])=$A653)*tblDados[Primeira_Ocorrencia]*((tblDados[GM_V]+tblDados[GS_V])&gt;3.5)))/G653,0))</f>
        <v/>
      </c>
      <c r="O653" s="16" t="str" cm="1">
        <f t="array" ref="O653">IF($A653="","",IFERROR((SUMPRODUCT((TRIM(tblDados[Mandante])=$A653)*tblDados[Primeira_Ocorrencia]*(tblDados[GM_M]&gt;0)*(tblDados[GS_M]&gt;0))+SUMPRODUCT((TRIM(tblDados[Visitante])=$A653)*tblDados[Primeira_Ocorrencia]*(tblDados[GM_V]&gt;0)*(tblDados[GS_V]&gt;0)))/G653,0))</f>
        <v/>
      </c>
      <c r="P653" s="14" t="str" cm="1">
        <f t="array" ref="P653">IF($A653="","",IFERROR((SUMPRODUCT((TRIM(tblDados[Mandante])=$A653)*tblDados[Primeira_Ocorrencia]*tblDados[GM_M]^2)+SUMPRODUCT((TRIM(tblDados[Visitante])=$A653)*tblDados[Primeira_Ocorrencia]*tblDados[GM_V]^2))/G653-H653^2,0))</f>
        <v/>
      </c>
      <c r="Q653" s="14" t="str">
        <f t="shared" si="187"/>
        <v/>
      </c>
      <c r="R653" s="1" t="str">
        <f t="shared" si="188"/>
        <v/>
      </c>
      <c r="S653" s="14" t="str" cm="1">
        <f t="array" ref="S653">IF($A653="","",SUMPRODUCT((TRIM(tblDados[Mandante])=$A653)*tblDados[Primeira_Ocorrencia]*tblDados[GM_M]))</f>
        <v/>
      </c>
      <c r="T653" s="14" t="str" cm="1">
        <f t="array" ref="T653">IF($A653="","",SUMPRODUCT((TRIM(tblDados[Visitante])=$A653)*tblDados[Primeira_Ocorrencia]*tblDados[GM_V]))</f>
        <v/>
      </c>
      <c r="U653" s="14" t="str">
        <f t="shared" si="189"/>
        <v/>
      </c>
      <c r="V653" s="14" t="str">
        <f t="shared" si="178"/>
        <v/>
      </c>
      <c r="W653" s="14" t="str" cm="1">
        <f t="array" ref="W653">IF($A653="","",SUMPRODUCT((TRIM(tblDados[Mandante])=$A653)*tblDados[Primeira_Ocorrencia]*tblDados[GS_M]))</f>
        <v/>
      </c>
      <c r="X653" s="14" t="str" cm="1">
        <f t="array" ref="X653">IF($A653="","",SUMPRODUCT((TRIM(tblDados[Visitante])=$A653)*tblDados[Primeira_Ocorrencia]*tblDados[GS_V]))</f>
        <v/>
      </c>
      <c r="Y653" s="14" t="str">
        <f t="shared" si="190"/>
        <v/>
      </c>
      <c r="Z653" s="14" t="str">
        <f t="shared" si="179"/>
        <v/>
      </c>
      <c r="AA653" s="14" t="str">
        <f t="shared" si="180"/>
        <v/>
      </c>
      <c r="AB653" s="14" t="str">
        <f t="shared" si="181"/>
        <v/>
      </c>
      <c r="AC653" s="14" t="str">
        <f t="shared" si="182"/>
        <v/>
      </c>
      <c r="AD653" s="14" t="str">
        <f t="shared" si="183"/>
        <v/>
      </c>
    </row>
    <row r="654" spans="2:30" x14ac:dyDescent="0.3">
      <c r="B654" s="13" t="str" cm="1">
        <f t="array" ref="B654">IF($A654="","",_xlfn.LET(_xlpm.p,IFERROR(INDEX(tblDados[País],MATCH($A654,TRIM(tblDados[Mandante]),0)),INDEX(tblDados[País],MATCH($A654,TRIM(tblDados[Visitante]),0))),_xlpm.l,IFERROR(INDEX(tblDados[Liga],MATCH($A654,TRIM(tblDados[Mandante]),0)),INDEX(tblDados[Liga],MATCH($A654,TRIM(tblDados[Visitante]),0))),_xlpm.p&amp;" - "&amp;_xlpm.l))</f>
        <v/>
      </c>
      <c r="C654" s="14" t="str">
        <f t="shared" si="184"/>
        <v/>
      </c>
      <c r="D654" s="14" t="str">
        <f t="shared" si="185"/>
        <v/>
      </c>
      <c r="E654" s="15" t="str" cm="1">
        <f t="array" ref="E654">IF($A654="","",SUMPRODUCT((TRIM(tblDados[Mandante])=$A654)*tblDados[Primeira_Ocorrencia]))</f>
        <v/>
      </c>
      <c r="F654" s="15" t="str" cm="1">
        <f t="array" ref="F654">IF($A654="","",SUMPRODUCT((TRIM(tblDados[Visitante])=$A654)*tblDados[Primeira_Ocorrencia]))</f>
        <v/>
      </c>
      <c r="G654" s="15" t="str" cm="1">
        <f t="array" ref="G654">IF($A654="","",SUMPRODUCT((TRIM(tblDados[Mandante])=$A654)*tblDados[Primeira_Ocorrencia])+SUMPRODUCT((TRIM(tblDados[Visitante])=$A654)*tblDados[Primeira_Ocorrencia]))</f>
        <v/>
      </c>
      <c r="H654" s="14" t="str">
        <f t="shared" si="186"/>
        <v/>
      </c>
      <c r="I654" s="14" t="str" cm="1">
        <f t="array" ref="I654">IF($A654="","",_xlfn.LET(_xlpm.p,IFERROR(INDEX(tblDados[País],MATCH($A654,TRIM(tblDados[Mandante]),0)),INDEX(tblDados[País],MATCH($A654,TRIM(tblDados[Visitante]),0))),_xlpm.l,IFERROR(INDEX(tblDados[Liga],MATCH($A654,TRIM(tblDados[Mandante]),0)),INDEX(tblDados[Liga],MATCH($A654,TRIM(tblDados[Visitante]),0))),IFERROR(SUMIFS(Ligas!$D$2:$D$39,Ligas!$H$2:$H$39,_xlpm.p,Ligas!$I$2:$I$39,_xlpm.l),0)))</f>
        <v/>
      </c>
      <c r="J654" s="16" t="str" cm="1">
        <f t="array" ref="J654">IF($A654="","",IFERROR((SUMPRODUCT((TRIM(tblDados[Mandante])=$A654)*tblDados[Primeira_Ocorrencia]*(tblDados[GM_M]=0))+SUMPRODUCT((TRIM(tblDados[Visitante])=$A654)*tblDados[Primeira_Ocorrencia]*(tblDados[GM_V]=0)))/G654,0))</f>
        <v/>
      </c>
      <c r="K654" s="16" t="str" cm="1">
        <f t="array" ref="K654">IF($A654="","",IFERROR((SUMPRODUCT((TRIM(tblDados[Mandante])=$A654)*tblDados[Primeira_Ocorrencia]*((tblDados[GM_M]+tblDados[GS_M])&gt;0.5))+SUMPRODUCT((TRIM(tblDados[Visitante])=$A654)*tblDados[Primeira_Ocorrencia]*((tblDados[GM_V]+tblDados[GS_V])&gt;0.5)))/G654,0))</f>
        <v/>
      </c>
      <c r="L654" s="16" t="str" cm="1">
        <f t="array" ref="L654">IF($A654="","",IFERROR((SUMPRODUCT((TRIM(tblDados[Mandante])=$A654)*tblDados[Primeira_Ocorrencia]*((tblDados[GM_M]+tblDados[GS_M])&gt;1.5))+SUMPRODUCT((TRIM(tblDados[Visitante])=$A654)*tblDados[Primeira_Ocorrencia]*((tblDados[GM_V]+tblDados[GS_V])&gt;1.5)))/G654,0))</f>
        <v/>
      </c>
      <c r="M654" s="16" t="str" cm="1">
        <f t="array" ref="M654">IF($A654="","",IFERROR((SUMPRODUCT((TRIM(tblDados[Mandante])=$A654)*tblDados[Primeira_Ocorrencia]*((tblDados[GM_M]+tblDados[GS_M])&gt;2.5))+SUMPRODUCT((TRIM(tblDados[Visitante])=$A654)*tblDados[Primeira_Ocorrencia]*((tblDados[GM_V]+tblDados[GS_V])&gt;2.5)))/G654,0))</f>
        <v/>
      </c>
      <c r="N654" s="16" t="str" cm="1">
        <f t="array" ref="N654">IF($A654="","",IFERROR((SUMPRODUCT((TRIM(tblDados[Mandante])=$A654)*tblDados[Primeira_Ocorrencia]*((tblDados[GM_M]+tblDados[GS_M])&gt;3.5))+SUMPRODUCT((TRIM(tblDados[Visitante])=$A654)*tblDados[Primeira_Ocorrencia]*((tblDados[GM_V]+tblDados[GS_V])&gt;3.5)))/G654,0))</f>
        <v/>
      </c>
      <c r="O654" s="16" t="str" cm="1">
        <f t="array" ref="O654">IF($A654="","",IFERROR((SUMPRODUCT((TRIM(tblDados[Mandante])=$A654)*tblDados[Primeira_Ocorrencia]*(tblDados[GM_M]&gt;0)*(tblDados[GS_M]&gt;0))+SUMPRODUCT((TRIM(tblDados[Visitante])=$A654)*tblDados[Primeira_Ocorrencia]*(tblDados[GM_V]&gt;0)*(tblDados[GS_V]&gt;0)))/G654,0))</f>
        <v/>
      </c>
      <c r="P654" s="14" t="str" cm="1">
        <f t="array" ref="P654">IF($A654="","",IFERROR((SUMPRODUCT((TRIM(tblDados[Mandante])=$A654)*tblDados[Primeira_Ocorrencia]*tblDados[GM_M]^2)+SUMPRODUCT((TRIM(tblDados[Visitante])=$A654)*tblDados[Primeira_Ocorrencia]*tblDados[GM_V]^2))/G654-H654^2,0))</f>
        <v/>
      </c>
      <c r="Q654" s="14" t="str">
        <f t="shared" si="187"/>
        <v/>
      </c>
      <c r="R654" s="1" t="str">
        <f t="shared" si="188"/>
        <v/>
      </c>
      <c r="S654" s="14" t="str" cm="1">
        <f t="array" ref="S654">IF($A654="","",SUMPRODUCT((TRIM(tblDados[Mandante])=$A654)*tblDados[Primeira_Ocorrencia]*tblDados[GM_M]))</f>
        <v/>
      </c>
      <c r="T654" s="14" t="str" cm="1">
        <f t="array" ref="T654">IF($A654="","",SUMPRODUCT((TRIM(tblDados[Visitante])=$A654)*tblDados[Primeira_Ocorrencia]*tblDados[GM_V]))</f>
        <v/>
      </c>
      <c r="U654" s="14" t="str">
        <f t="shared" si="189"/>
        <v/>
      </c>
      <c r="V654" s="14" t="str">
        <f t="shared" si="178"/>
        <v/>
      </c>
      <c r="W654" s="14" t="str" cm="1">
        <f t="array" ref="W654">IF($A654="","",SUMPRODUCT((TRIM(tblDados[Mandante])=$A654)*tblDados[Primeira_Ocorrencia]*tblDados[GS_M]))</f>
        <v/>
      </c>
      <c r="X654" s="14" t="str" cm="1">
        <f t="array" ref="X654">IF($A654="","",SUMPRODUCT((TRIM(tblDados[Visitante])=$A654)*tblDados[Primeira_Ocorrencia]*tblDados[GS_V]))</f>
        <v/>
      </c>
      <c r="Y654" s="14" t="str">
        <f t="shared" si="190"/>
        <v/>
      </c>
      <c r="Z654" s="14" t="str">
        <f t="shared" si="179"/>
        <v/>
      </c>
      <c r="AA654" s="14" t="str">
        <f t="shared" si="180"/>
        <v/>
      </c>
      <c r="AB654" s="14" t="str">
        <f t="shared" si="181"/>
        <v/>
      </c>
      <c r="AC654" s="14" t="str">
        <f t="shared" si="182"/>
        <v/>
      </c>
      <c r="AD654" s="14" t="str">
        <f t="shared" si="183"/>
        <v/>
      </c>
    </row>
    <row r="655" spans="2:30" x14ac:dyDescent="0.3">
      <c r="B655" s="13" t="str" cm="1">
        <f t="array" ref="B655">IF($A655="","",_xlfn.LET(_xlpm.p,IFERROR(INDEX(tblDados[País],MATCH($A655,TRIM(tblDados[Mandante]),0)),INDEX(tblDados[País],MATCH($A655,TRIM(tblDados[Visitante]),0))),_xlpm.l,IFERROR(INDEX(tblDados[Liga],MATCH($A655,TRIM(tblDados[Mandante]),0)),INDEX(tblDados[Liga],MATCH($A655,TRIM(tblDados[Visitante]),0))),_xlpm.p&amp;" - "&amp;_xlpm.l))</f>
        <v/>
      </c>
      <c r="C655" s="14" t="str">
        <f t="shared" si="184"/>
        <v/>
      </c>
      <c r="D655" s="14" t="str">
        <f t="shared" si="185"/>
        <v/>
      </c>
      <c r="E655" s="15" t="str" cm="1">
        <f t="array" ref="E655">IF($A655="","",SUMPRODUCT((TRIM(tblDados[Mandante])=$A655)*tblDados[Primeira_Ocorrencia]))</f>
        <v/>
      </c>
      <c r="F655" s="15" t="str" cm="1">
        <f t="array" ref="F655">IF($A655="","",SUMPRODUCT((TRIM(tblDados[Visitante])=$A655)*tblDados[Primeira_Ocorrencia]))</f>
        <v/>
      </c>
      <c r="G655" s="15" t="str" cm="1">
        <f t="array" ref="G655">IF($A655="","",SUMPRODUCT((TRIM(tblDados[Mandante])=$A655)*tblDados[Primeira_Ocorrencia])+SUMPRODUCT((TRIM(tblDados[Visitante])=$A655)*tblDados[Primeira_Ocorrencia]))</f>
        <v/>
      </c>
      <c r="H655" s="14" t="str">
        <f t="shared" si="186"/>
        <v/>
      </c>
      <c r="I655" s="14" t="str" cm="1">
        <f t="array" ref="I655">IF($A655="","",_xlfn.LET(_xlpm.p,IFERROR(INDEX(tblDados[País],MATCH($A655,TRIM(tblDados[Mandante]),0)),INDEX(tblDados[País],MATCH($A655,TRIM(tblDados[Visitante]),0))),_xlpm.l,IFERROR(INDEX(tblDados[Liga],MATCH($A655,TRIM(tblDados[Mandante]),0)),INDEX(tblDados[Liga],MATCH($A655,TRIM(tblDados[Visitante]),0))),IFERROR(SUMIFS(Ligas!$D$2:$D$39,Ligas!$H$2:$H$39,_xlpm.p,Ligas!$I$2:$I$39,_xlpm.l),0)))</f>
        <v/>
      </c>
      <c r="J655" s="16" t="str" cm="1">
        <f t="array" ref="J655">IF($A655="","",IFERROR((SUMPRODUCT((TRIM(tblDados[Mandante])=$A655)*tblDados[Primeira_Ocorrencia]*(tblDados[GM_M]=0))+SUMPRODUCT((TRIM(tblDados[Visitante])=$A655)*tblDados[Primeira_Ocorrencia]*(tblDados[GM_V]=0)))/G655,0))</f>
        <v/>
      </c>
      <c r="K655" s="16" t="str" cm="1">
        <f t="array" ref="K655">IF($A655="","",IFERROR((SUMPRODUCT((TRIM(tblDados[Mandante])=$A655)*tblDados[Primeira_Ocorrencia]*((tblDados[GM_M]+tblDados[GS_M])&gt;0.5))+SUMPRODUCT((TRIM(tblDados[Visitante])=$A655)*tblDados[Primeira_Ocorrencia]*((tblDados[GM_V]+tblDados[GS_V])&gt;0.5)))/G655,0))</f>
        <v/>
      </c>
      <c r="L655" s="16" t="str" cm="1">
        <f t="array" ref="L655">IF($A655="","",IFERROR((SUMPRODUCT((TRIM(tblDados[Mandante])=$A655)*tblDados[Primeira_Ocorrencia]*((tblDados[GM_M]+tblDados[GS_M])&gt;1.5))+SUMPRODUCT((TRIM(tblDados[Visitante])=$A655)*tblDados[Primeira_Ocorrencia]*((tblDados[GM_V]+tblDados[GS_V])&gt;1.5)))/G655,0))</f>
        <v/>
      </c>
      <c r="M655" s="16" t="str" cm="1">
        <f t="array" ref="M655">IF($A655="","",IFERROR((SUMPRODUCT((TRIM(tblDados[Mandante])=$A655)*tblDados[Primeira_Ocorrencia]*((tblDados[GM_M]+tblDados[GS_M])&gt;2.5))+SUMPRODUCT((TRIM(tblDados[Visitante])=$A655)*tblDados[Primeira_Ocorrencia]*((tblDados[GM_V]+tblDados[GS_V])&gt;2.5)))/G655,0))</f>
        <v/>
      </c>
      <c r="N655" s="16" t="str" cm="1">
        <f t="array" ref="N655">IF($A655="","",IFERROR((SUMPRODUCT((TRIM(tblDados[Mandante])=$A655)*tblDados[Primeira_Ocorrencia]*((tblDados[GM_M]+tblDados[GS_M])&gt;3.5))+SUMPRODUCT((TRIM(tblDados[Visitante])=$A655)*tblDados[Primeira_Ocorrencia]*((tblDados[GM_V]+tblDados[GS_V])&gt;3.5)))/G655,0))</f>
        <v/>
      </c>
      <c r="O655" s="16" t="str" cm="1">
        <f t="array" ref="O655">IF($A655="","",IFERROR((SUMPRODUCT((TRIM(tblDados[Mandante])=$A655)*tblDados[Primeira_Ocorrencia]*(tblDados[GM_M]&gt;0)*(tblDados[GS_M]&gt;0))+SUMPRODUCT((TRIM(tblDados[Visitante])=$A655)*tblDados[Primeira_Ocorrencia]*(tblDados[GM_V]&gt;0)*(tblDados[GS_V]&gt;0)))/G655,0))</f>
        <v/>
      </c>
      <c r="P655" s="14" t="str" cm="1">
        <f t="array" ref="P655">IF($A655="","",IFERROR((SUMPRODUCT((TRIM(tblDados[Mandante])=$A655)*tblDados[Primeira_Ocorrencia]*tblDados[GM_M]^2)+SUMPRODUCT((TRIM(tblDados[Visitante])=$A655)*tblDados[Primeira_Ocorrencia]*tblDados[GM_V]^2))/G655-H655^2,0))</f>
        <v/>
      </c>
      <c r="Q655" s="14" t="str">
        <f t="shared" si="187"/>
        <v/>
      </c>
      <c r="R655" s="1" t="str">
        <f t="shared" si="188"/>
        <v/>
      </c>
      <c r="S655" s="14" t="str" cm="1">
        <f t="array" ref="S655">IF($A655="","",SUMPRODUCT((TRIM(tblDados[Mandante])=$A655)*tblDados[Primeira_Ocorrencia]*tblDados[GM_M]))</f>
        <v/>
      </c>
      <c r="T655" s="14" t="str" cm="1">
        <f t="array" ref="T655">IF($A655="","",SUMPRODUCT((TRIM(tblDados[Visitante])=$A655)*tblDados[Primeira_Ocorrencia]*tblDados[GM_V]))</f>
        <v/>
      </c>
      <c r="U655" s="14" t="str">
        <f t="shared" si="189"/>
        <v/>
      </c>
      <c r="V655" s="14" t="str">
        <f t="shared" si="178"/>
        <v/>
      </c>
      <c r="W655" s="14" t="str" cm="1">
        <f t="array" ref="W655">IF($A655="","",SUMPRODUCT((TRIM(tblDados[Mandante])=$A655)*tblDados[Primeira_Ocorrencia]*tblDados[GS_M]))</f>
        <v/>
      </c>
      <c r="X655" s="14" t="str" cm="1">
        <f t="array" ref="X655">IF($A655="","",SUMPRODUCT((TRIM(tblDados[Visitante])=$A655)*tblDados[Primeira_Ocorrencia]*tblDados[GS_V]))</f>
        <v/>
      </c>
      <c r="Y655" s="14" t="str">
        <f t="shared" si="190"/>
        <v/>
      </c>
      <c r="Z655" s="14" t="str">
        <f t="shared" si="179"/>
        <v/>
      </c>
      <c r="AA655" s="14" t="str">
        <f t="shared" si="180"/>
        <v/>
      </c>
      <c r="AB655" s="14" t="str">
        <f t="shared" si="181"/>
        <v/>
      </c>
      <c r="AC655" s="14" t="str">
        <f t="shared" si="182"/>
        <v/>
      </c>
      <c r="AD655" s="14" t="str">
        <f t="shared" si="183"/>
        <v/>
      </c>
    </row>
    <row r="656" spans="2:30" x14ac:dyDescent="0.3">
      <c r="B656" s="13" t="str" cm="1">
        <f t="array" ref="B656">IF($A656="","",_xlfn.LET(_xlpm.p,IFERROR(INDEX(tblDados[País],MATCH($A656,TRIM(tblDados[Mandante]),0)),INDEX(tblDados[País],MATCH($A656,TRIM(tblDados[Visitante]),0))),_xlpm.l,IFERROR(INDEX(tblDados[Liga],MATCH($A656,TRIM(tblDados[Mandante]),0)),INDEX(tblDados[Liga],MATCH($A656,TRIM(tblDados[Visitante]),0))),_xlpm.p&amp;" - "&amp;_xlpm.l))</f>
        <v/>
      </c>
      <c r="C656" s="14" t="str">
        <f t="shared" si="184"/>
        <v/>
      </c>
      <c r="D656" s="14" t="str">
        <f t="shared" si="185"/>
        <v/>
      </c>
      <c r="E656" s="15" t="str" cm="1">
        <f t="array" ref="E656">IF($A656="","",SUMPRODUCT((TRIM(tblDados[Mandante])=$A656)*tblDados[Primeira_Ocorrencia]))</f>
        <v/>
      </c>
      <c r="F656" s="15" t="str" cm="1">
        <f t="array" ref="F656">IF($A656="","",SUMPRODUCT((TRIM(tblDados[Visitante])=$A656)*tblDados[Primeira_Ocorrencia]))</f>
        <v/>
      </c>
      <c r="G656" s="15" t="str" cm="1">
        <f t="array" ref="G656">IF($A656="","",SUMPRODUCT((TRIM(tblDados[Mandante])=$A656)*tblDados[Primeira_Ocorrencia])+SUMPRODUCT((TRIM(tblDados[Visitante])=$A656)*tblDados[Primeira_Ocorrencia]))</f>
        <v/>
      </c>
      <c r="H656" s="14" t="str">
        <f t="shared" si="186"/>
        <v/>
      </c>
      <c r="I656" s="14" t="str" cm="1">
        <f t="array" ref="I656">IF($A656="","",_xlfn.LET(_xlpm.p,IFERROR(INDEX(tblDados[País],MATCH($A656,TRIM(tblDados[Mandante]),0)),INDEX(tblDados[País],MATCH($A656,TRIM(tblDados[Visitante]),0))),_xlpm.l,IFERROR(INDEX(tblDados[Liga],MATCH($A656,TRIM(tblDados[Mandante]),0)),INDEX(tblDados[Liga],MATCH($A656,TRIM(tblDados[Visitante]),0))),IFERROR(SUMIFS(Ligas!$D$2:$D$39,Ligas!$H$2:$H$39,_xlpm.p,Ligas!$I$2:$I$39,_xlpm.l),0)))</f>
        <v/>
      </c>
      <c r="J656" s="16" t="str" cm="1">
        <f t="array" ref="J656">IF($A656="","",IFERROR((SUMPRODUCT((TRIM(tblDados[Mandante])=$A656)*tblDados[Primeira_Ocorrencia]*(tblDados[GM_M]=0))+SUMPRODUCT((TRIM(tblDados[Visitante])=$A656)*tblDados[Primeira_Ocorrencia]*(tblDados[GM_V]=0)))/G656,0))</f>
        <v/>
      </c>
      <c r="K656" s="16" t="str" cm="1">
        <f t="array" ref="K656">IF($A656="","",IFERROR((SUMPRODUCT((TRIM(tblDados[Mandante])=$A656)*tblDados[Primeira_Ocorrencia]*((tblDados[GM_M]+tblDados[GS_M])&gt;0.5))+SUMPRODUCT((TRIM(tblDados[Visitante])=$A656)*tblDados[Primeira_Ocorrencia]*((tblDados[GM_V]+tblDados[GS_V])&gt;0.5)))/G656,0))</f>
        <v/>
      </c>
      <c r="L656" s="16" t="str" cm="1">
        <f t="array" ref="L656">IF($A656="","",IFERROR((SUMPRODUCT((TRIM(tblDados[Mandante])=$A656)*tblDados[Primeira_Ocorrencia]*((tblDados[GM_M]+tblDados[GS_M])&gt;1.5))+SUMPRODUCT((TRIM(tblDados[Visitante])=$A656)*tblDados[Primeira_Ocorrencia]*((tblDados[GM_V]+tblDados[GS_V])&gt;1.5)))/G656,0))</f>
        <v/>
      </c>
      <c r="M656" s="16" t="str" cm="1">
        <f t="array" ref="M656">IF($A656="","",IFERROR((SUMPRODUCT((TRIM(tblDados[Mandante])=$A656)*tblDados[Primeira_Ocorrencia]*((tblDados[GM_M]+tblDados[GS_M])&gt;2.5))+SUMPRODUCT((TRIM(tblDados[Visitante])=$A656)*tblDados[Primeira_Ocorrencia]*((tblDados[GM_V]+tblDados[GS_V])&gt;2.5)))/G656,0))</f>
        <v/>
      </c>
      <c r="N656" s="16" t="str" cm="1">
        <f t="array" ref="N656">IF($A656="","",IFERROR((SUMPRODUCT((TRIM(tblDados[Mandante])=$A656)*tblDados[Primeira_Ocorrencia]*((tblDados[GM_M]+tblDados[GS_M])&gt;3.5))+SUMPRODUCT((TRIM(tblDados[Visitante])=$A656)*tblDados[Primeira_Ocorrencia]*((tblDados[GM_V]+tblDados[GS_V])&gt;3.5)))/G656,0))</f>
        <v/>
      </c>
      <c r="O656" s="16" t="str" cm="1">
        <f t="array" ref="O656">IF($A656="","",IFERROR((SUMPRODUCT((TRIM(tblDados[Mandante])=$A656)*tblDados[Primeira_Ocorrencia]*(tblDados[GM_M]&gt;0)*(tblDados[GS_M]&gt;0))+SUMPRODUCT((TRIM(tblDados[Visitante])=$A656)*tblDados[Primeira_Ocorrencia]*(tblDados[GM_V]&gt;0)*(tblDados[GS_V]&gt;0)))/G656,0))</f>
        <v/>
      </c>
      <c r="P656" s="14" t="str" cm="1">
        <f t="array" ref="P656">IF($A656="","",IFERROR((SUMPRODUCT((TRIM(tblDados[Mandante])=$A656)*tblDados[Primeira_Ocorrencia]*tblDados[GM_M]^2)+SUMPRODUCT((TRIM(tblDados[Visitante])=$A656)*tblDados[Primeira_Ocorrencia]*tblDados[GM_V]^2))/G656-H656^2,0))</f>
        <v/>
      </c>
      <c r="Q656" s="14" t="str">
        <f t="shared" si="187"/>
        <v/>
      </c>
      <c r="R656" s="1" t="str">
        <f t="shared" si="188"/>
        <v/>
      </c>
      <c r="S656" s="14" t="str" cm="1">
        <f t="array" ref="S656">IF($A656="","",SUMPRODUCT((TRIM(tblDados[Mandante])=$A656)*tblDados[Primeira_Ocorrencia]*tblDados[GM_M]))</f>
        <v/>
      </c>
      <c r="T656" s="14" t="str" cm="1">
        <f t="array" ref="T656">IF($A656="","",SUMPRODUCT((TRIM(tblDados[Visitante])=$A656)*tblDados[Primeira_Ocorrencia]*tblDados[GM_V]))</f>
        <v/>
      </c>
      <c r="U656" s="14" t="str">
        <f t="shared" si="189"/>
        <v/>
      </c>
      <c r="V656" s="14" t="str">
        <f t="shared" si="178"/>
        <v/>
      </c>
      <c r="W656" s="14" t="str" cm="1">
        <f t="array" ref="W656">IF($A656="","",SUMPRODUCT((TRIM(tblDados[Mandante])=$A656)*tblDados[Primeira_Ocorrencia]*tblDados[GS_M]))</f>
        <v/>
      </c>
      <c r="X656" s="14" t="str" cm="1">
        <f t="array" ref="X656">IF($A656="","",SUMPRODUCT((TRIM(tblDados[Visitante])=$A656)*tblDados[Primeira_Ocorrencia]*tblDados[GS_V]))</f>
        <v/>
      </c>
      <c r="Y656" s="14" t="str">
        <f t="shared" si="190"/>
        <v/>
      </c>
      <c r="Z656" s="14" t="str">
        <f t="shared" si="179"/>
        <v/>
      </c>
      <c r="AA656" s="14" t="str">
        <f t="shared" si="180"/>
        <v/>
      </c>
      <c r="AB656" s="14" t="str">
        <f t="shared" si="181"/>
        <v/>
      </c>
      <c r="AC656" s="14" t="str">
        <f t="shared" si="182"/>
        <v/>
      </c>
      <c r="AD656" s="14" t="str">
        <f t="shared" si="183"/>
        <v/>
      </c>
    </row>
    <row r="657" spans="2:30" x14ac:dyDescent="0.3">
      <c r="B657" s="13" t="str" cm="1">
        <f t="array" ref="B657">IF($A657="","",_xlfn.LET(_xlpm.p,IFERROR(INDEX(tblDados[País],MATCH($A657,TRIM(tblDados[Mandante]),0)),INDEX(tblDados[País],MATCH($A657,TRIM(tblDados[Visitante]),0))),_xlpm.l,IFERROR(INDEX(tblDados[Liga],MATCH($A657,TRIM(tblDados[Mandante]),0)),INDEX(tblDados[Liga],MATCH($A657,TRIM(tblDados[Visitante]),0))),_xlpm.p&amp;" - "&amp;_xlpm.l))</f>
        <v/>
      </c>
      <c r="C657" s="14" t="str">
        <f t="shared" si="184"/>
        <v/>
      </c>
      <c r="D657" s="14" t="str">
        <f t="shared" si="185"/>
        <v/>
      </c>
      <c r="E657" s="15" t="str" cm="1">
        <f t="array" ref="E657">IF($A657="","",SUMPRODUCT((TRIM(tblDados[Mandante])=$A657)*tblDados[Primeira_Ocorrencia]))</f>
        <v/>
      </c>
      <c r="F657" s="15" t="str" cm="1">
        <f t="array" ref="F657">IF($A657="","",SUMPRODUCT((TRIM(tblDados[Visitante])=$A657)*tblDados[Primeira_Ocorrencia]))</f>
        <v/>
      </c>
      <c r="G657" s="15" t="str" cm="1">
        <f t="array" ref="G657">IF($A657="","",SUMPRODUCT((TRIM(tblDados[Mandante])=$A657)*tblDados[Primeira_Ocorrencia])+SUMPRODUCT((TRIM(tblDados[Visitante])=$A657)*tblDados[Primeira_Ocorrencia]))</f>
        <v/>
      </c>
      <c r="H657" s="14" t="str">
        <f t="shared" si="186"/>
        <v/>
      </c>
      <c r="I657" s="14" t="str" cm="1">
        <f t="array" ref="I657">IF($A657="","",_xlfn.LET(_xlpm.p,IFERROR(INDEX(tblDados[País],MATCH($A657,TRIM(tblDados[Mandante]),0)),INDEX(tblDados[País],MATCH($A657,TRIM(tblDados[Visitante]),0))),_xlpm.l,IFERROR(INDEX(tblDados[Liga],MATCH($A657,TRIM(tblDados[Mandante]),0)),INDEX(tblDados[Liga],MATCH($A657,TRIM(tblDados[Visitante]),0))),IFERROR(SUMIFS(Ligas!$D$2:$D$39,Ligas!$H$2:$H$39,_xlpm.p,Ligas!$I$2:$I$39,_xlpm.l),0)))</f>
        <v/>
      </c>
      <c r="J657" s="16" t="str" cm="1">
        <f t="array" ref="J657">IF($A657="","",IFERROR((SUMPRODUCT((TRIM(tblDados[Mandante])=$A657)*tblDados[Primeira_Ocorrencia]*(tblDados[GM_M]=0))+SUMPRODUCT((TRIM(tblDados[Visitante])=$A657)*tblDados[Primeira_Ocorrencia]*(tblDados[GM_V]=0)))/G657,0))</f>
        <v/>
      </c>
      <c r="K657" s="16" t="str" cm="1">
        <f t="array" ref="K657">IF($A657="","",IFERROR((SUMPRODUCT((TRIM(tblDados[Mandante])=$A657)*tblDados[Primeira_Ocorrencia]*((tblDados[GM_M]+tblDados[GS_M])&gt;0.5))+SUMPRODUCT((TRIM(tblDados[Visitante])=$A657)*tblDados[Primeira_Ocorrencia]*((tblDados[GM_V]+tblDados[GS_V])&gt;0.5)))/G657,0))</f>
        <v/>
      </c>
      <c r="L657" s="16" t="str" cm="1">
        <f t="array" ref="L657">IF($A657="","",IFERROR((SUMPRODUCT((TRIM(tblDados[Mandante])=$A657)*tblDados[Primeira_Ocorrencia]*((tblDados[GM_M]+tblDados[GS_M])&gt;1.5))+SUMPRODUCT((TRIM(tblDados[Visitante])=$A657)*tblDados[Primeira_Ocorrencia]*((tblDados[GM_V]+tblDados[GS_V])&gt;1.5)))/G657,0))</f>
        <v/>
      </c>
      <c r="M657" s="16" t="str" cm="1">
        <f t="array" ref="M657">IF($A657="","",IFERROR((SUMPRODUCT((TRIM(tblDados[Mandante])=$A657)*tblDados[Primeira_Ocorrencia]*((tblDados[GM_M]+tblDados[GS_M])&gt;2.5))+SUMPRODUCT((TRIM(tblDados[Visitante])=$A657)*tblDados[Primeira_Ocorrencia]*((tblDados[GM_V]+tblDados[GS_V])&gt;2.5)))/G657,0))</f>
        <v/>
      </c>
      <c r="N657" s="16" t="str" cm="1">
        <f t="array" ref="N657">IF($A657="","",IFERROR((SUMPRODUCT((TRIM(tblDados[Mandante])=$A657)*tblDados[Primeira_Ocorrencia]*((tblDados[GM_M]+tblDados[GS_M])&gt;3.5))+SUMPRODUCT((TRIM(tblDados[Visitante])=$A657)*tblDados[Primeira_Ocorrencia]*((tblDados[GM_V]+tblDados[GS_V])&gt;3.5)))/G657,0))</f>
        <v/>
      </c>
      <c r="O657" s="16" t="str" cm="1">
        <f t="array" ref="O657">IF($A657="","",IFERROR((SUMPRODUCT((TRIM(tblDados[Mandante])=$A657)*tblDados[Primeira_Ocorrencia]*(tblDados[GM_M]&gt;0)*(tblDados[GS_M]&gt;0))+SUMPRODUCT((TRIM(tblDados[Visitante])=$A657)*tblDados[Primeira_Ocorrencia]*(tblDados[GM_V]&gt;0)*(tblDados[GS_V]&gt;0)))/G657,0))</f>
        <v/>
      </c>
      <c r="P657" s="14" t="str" cm="1">
        <f t="array" ref="P657">IF($A657="","",IFERROR((SUMPRODUCT((TRIM(tblDados[Mandante])=$A657)*tblDados[Primeira_Ocorrencia]*tblDados[GM_M]^2)+SUMPRODUCT((TRIM(tblDados[Visitante])=$A657)*tblDados[Primeira_Ocorrencia]*tblDados[GM_V]^2))/G657-H657^2,0))</f>
        <v/>
      </c>
      <c r="Q657" s="14" t="str">
        <f t="shared" si="187"/>
        <v/>
      </c>
      <c r="R657" s="1" t="str">
        <f t="shared" si="188"/>
        <v/>
      </c>
      <c r="S657" s="14" t="str" cm="1">
        <f t="array" ref="S657">IF($A657="","",SUMPRODUCT((TRIM(tblDados[Mandante])=$A657)*tblDados[Primeira_Ocorrencia]*tblDados[GM_M]))</f>
        <v/>
      </c>
      <c r="T657" s="14" t="str" cm="1">
        <f t="array" ref="T657">IF($A657="","",SUMPRODUCT((TRIM(tblDados[Visitante])=$A657)*tblDados[Primeira_Ocorrencia]*tblDados[GM_V]))</f>
        <v/>
      </c>
      <c r="U657" s="14" t="str">
        <f t="shared" si="189"/>
        <v/>
      </c>
      <c r="V657" s="14" t="str">
        <f t="shared" si="178"/>
        <v/>
      </c>
      <c r="W657" s="14" t="str" cm="1">
        <f t="array" ref="W657">IF($A657="","",SUMPRODUCT((TRIM(tblDados[Mandante])=$A657)*tblDados[Primeira_Ocorrencia]*tblDados[GS_M]))</f>
        <v/>
      </c>
      <c r="X657" s="14" t="str" cm="1">
        <f t="array" ref="X657">IF($A657="","",SUMPRODUCT((TRIM(tblDados[Visitante])=$A657)*tblDados[Primeira_Ocorrencia]*tblDados[GS_V]))</f>
        <v/>
      </c>
      <c r="Y657" s="14" t="str">
        <f t="shared" si="190"/>
        <v/>
      </c>
      <c r="Z657" s="14" t="str">
        <f t="shared" si="179"/>
        <v/>
      </c>
      <c r="AA657" s="14" t="str">
        <f t="shared" si="180"/>
        <v/>
      </c>
      <c r="AB657" s="14" t="str">
        <f t="shared" si="181"/>
        <v/>
      </c>
      <c r="AC657" s="14" t="str">
        <f t="shared" si="182"/>
        <v/>
      </c>
      <c r="AD657" s="14" t="str">
        <f t="shared" si="183"/>
        <v/>
      </c>
    </row>
    <row r="658" spans="2:30" x14ac:dyDescent="0.3">
      <c r="B658" s="13" t="str" cm="1">
        <f t="array" ref="B658">IF($A658="","",_xlfn.LET(_xlpm.p,IFERROR(INDEX(tblDados[País],MATCH($A658,TRIM(tblDados[Mandante]),0)),INDEX(tblDados[País],MATCH($A658,TRIM(tblDados[Visitante]),0))),_xlpm.l,IFERROR(INDEX(tblDados[Liga],MATCH($A658,TRIM(tblDados[Mandante]),0)),INDEX(tblDados[Liga],MATCH($A658,TRIM(tblDados[Visitante]),0))),_xlpm.p&amp;" - "&amp;_xlpm.l))</f>
        <v/>
      </c>
      <c r="C658" s="14" t="str">
        <f t="shared" si="184"/>
        <v/>
      </c>
      <c r="D658" s="14" t="str">
        <f t="shared" si="185"/>
        <v/>
      </c>
      <c r="E658" s="15" t="str" cm="1">
        <f t="array" ref="E658">IF($A658="","",SUMPRODUCT((TRIM(tblDados[Mandante])=$A658)*tblDados[Primeira_Ocorrencia]))</f>
        <v/>
      </c>
      <c r="F658" s="15" t="str" cm="1">
        <f t="array" ref="F658">IF($A658="","",SUMPRODUCT((TRIM(tblDados[Visitante])=$A658)*tblDados[Primeira_Ocorrencia]))</f>
        <v/>
      </c>
      <c r="G658" s="15" t="str" cm="1">
        <f t="array" ref="G658">IF($A658="","",SUMPRODUCT((TRIM(tblDados[Mandante])=$A658)*tblDados[Primeira_Ocorrencia])+SUMPRODUCT((TRIM(tblDados[Visitante])=$A658)*tblDados[Primeira_Ocorrencia]))</f>
        <v/>
      </c>
      <c r="H658" s="14" t="str">
        <f t="shared" si="186"/>
        <v/>
      </c>
      <c r="I658" s="14" t="str" cm="1">
        <f t="array" ref="I658">IF($A658="","",_xlfn.LET(_xlpm.p,IFERROR(INDEX(tblDados[País],MATCH($A658,TRIM(tblDados[Mandante]),0)),INDEX(tblDados[País],MATCH($A658,TRIM(tblDados[Visitante]),0))),_xlpm.l,IFERROR(INDEX(tblDados[Liga],MATCH($A658,TRIM(tblDados[Mandante]),0)),INDEX(tblDados[Liga],MATCH($A658,TRIM(tblDados[Visitante]),0))),IFERROR(SUMIFS(Ligas!$D$2:$D$39,Ligas!$H$2:$H$39,_xlpm.p,Ligas!$I$2:$I$39,_xlpm.l),0)))</f>
        <v/>
      </c>
      <c r="J658" s="16" t="str" cm="1">
        <f t="array" ref="J658">IF($A658="","",IFERROR((SUMPRODUCT((TRIM(tblDados[Mandante])=$A658)*tblDados[Primeira_Ocorrencia]*(tblDados[GM_M]=0))+SUMPRODUCT((TRIM(tblDados[Visitante])=$A658)*tblDados[Primeira_Ocorrencia]*(tblDados[GM_V]=0)))/G658,0))</f>
        <v/>
      </c>
      <c r="K658" s="16" t="str" cm="1">
        <f t="array" ref="K658">IF($A658="","",IFERROR((SUMPRODUCT((TRIM(tblDados[Mandante])=$A658)*tblDados[Primeira_Ocorrencia]*((tblDados[GM_M]+tblDados[GS_M])&gt;0.5))+SUMPRODUCT((TRIM(tblDados[Visitante])=$A658)*tblDados[Primeira_Ocorrencia]*((tblDados[GM_V]+tblDados[GS_V])&gt;0.5)))/G658,0))</f>
        <v/>
      </c>
      <c r="L658" s="16" t="str" cm="1">
        <f t="array" ref="L658">IF($A658="","",IFERROR((SUMPRODUCT((TRIM(tblDados[Mandante])=$A658)*tblDados[Primeira_Ocorrencia]*((tblDados[GM_M]+tblDados[GS_M])&gt;1.5))+SUMPRODUCT((TRIM(tblDados[Visitante])=$A658)*tblDados[Primeira_Ocorrencia]*((tblDados[GM_V]+tblDados[GS_V])&gt;1.5)))/G658,0))</f>
        <v/>
      </c>
      <c r="M658" s="16" t="str" cm="1">
        <f t="array" ref="M658">IF($A658="","",IFERROR((SUMPRODUCT((TRIM(tblDados[Mandante])=$A658)*tblDados[Primeira_Ocorrencia]*((tblDados[GM_M]+tblDados[GS_M])&gt;2.5))+SUMPRODUCT((TRIM(tblDados[Visitante])=$A658)*tblDados[Primeira_Ocorrencia]*((tblDados[GM_V]+tblDados[GS_V])&gt;2.5)))/G658,0))</f>
        <v/>
      </c>
      <c r="N658" s="16" t="str" cm="1">
        <f t="array" ref="N658">IF($A658="","",IFERROR((SUMPRODUCT((TRIM(tblDados[Mandante])=$A658)*tblDados[Primeira_Ocorrencia]*((tblDados[GM_M]+tblDados[GS_M])&gt;3.5))+SUMPRODUCT((TRIM(tblDados[Visitante])=$A658)*tblDados[Primeira_Ocorrencia]*((tblDados[GM_V]+tblDados[GS_V])&gt;3.5)))/G658,0))</f>
        <v/>
      </c>
      <c r="O658" s="16" t="str" cm="1">
        <f t="array" ref="O658">IF($A658="","",IFERROR((SUMPRODUCT((TRIM(tblDados[Mandante])=$A658)*tblDados[Primeira_Ocorrencia]*(tblDados[GM_M]&gt;0)*(tblDados[GS_M]&gt;0))+SUMPRODUCT((TRIM(tblDados[Visitante])=$A658)*tblDados[Primeira_Ocorrencia]*(tblDados[GM_V]&gt;0)*(tblDados[GS_V]&gt;0)))/G658,0))</f>
        <v/>
      </c>
      <c r="P658" s="14" t="str" cm="1">
        <f t="array" ref="P658">IF($A658="","",IFERROR((SUMPRODUCT((TRIM(tblDados[Mandante])=$A658)*tblDados[Primeira_Ocorrencia]*tblDados[GM_M]^2)+SUMPRODUCT((TRIM(tblDados[Visitante])=$A658)*tblDados[Primeira_Ocorrencia]*tblDados[GM_V]^2))/G658-H658^2,0))</f>
        <v/>
      </c>
      <c r="Q658" s="14" t="str">
        <f t="shared" si="187"/>
        <v/>
      </c>
      <c r="R658" s="1" t="str">
        <f t="shared" si="188"/>
        <v/>
      </c>
      <c r="S658" s="14" t="str" cm="1">
        <f t="array" ref="S658">IF($A658="","",SUMPRODUCT((TRIM(tblDados[Mandante])=$A658)*tblDados[Primeira_Ocorrencia]*tblDados[GM_M]))</f>
        <v/>
      </c>
      <c r="T658" s="14" t="str" cm="1">
        <f t="array" ref="T658">IF($A658="","",SUMPRODUCT((TRIM(tblDados[Visitante])=$A658)*tblDados[Primeira_Ocorrencia]*tblDados[GM_V]))</f>
        <v/>
      </c>
      <c r="U658" s="14" t="str">
        <f t="shared" si="189"/>
        <v/>
      </c>
      <c r="V658" s="14" t="str">
        <f t="shared" si="178"/>
        <v/>
      </c>
      <c r="W658" s="14" t="str" cm="1">
        <f t="array" ref="W658">IF($A658="","",SUMPRODUCT((TRIM(tblDados[Mandante])=$A658)*tblDados[Primeira_Ocorrencia]*tblDados[GS_M]))</f>
        <v/>
      </c>
      <c r="X658" s="14" t="str" cm="1">
        <f t="array" ref="X658">IF($A658="","",SUMPRODUCT((TRIM(tblDados[Visitante])=$A658)*tblDados[Primeira_Ocorrencia]*tblDados[GS_V]))</f>
        <v/>
      </c>
      <c r="Y658" s="14" t="str">
        <f t="shared" si="190"/>
        <v/>
      </c>
      <c r="Z658" s="14" t="str">
        <f t="shared" si="179"/>
        <v/>
      </c>
      <c r="AA658" s="14" t="str">
        <f t="shared" si="180"/>
        <v/>
      </c>
      <c r="AB658" s="14" t="str">
        <f t="shared" si="181"/>
        <v/>
      </c>
      <c r="AC658" s="14" t="str">
        <f t="shared" si="182"/>
        <v/>
      </c>
      <c r="AD658" s="14" t="str">
        <f t="shared" si="183"/>
        <v/>
      </c>
    </row>
    <row r="659" spans="2:30" x14ac:dyDescent="0.3">
      <c r="B659" s="13" t="str" cm="1">
        <f t="array" ref="B659">IF($A659="","",_xlfn.LET(_xlpm.p,IFERROR(INDEX(tblDados[País],MATCH($A659,TRIM(tblDados[Mandante]),0)),INDEX(tblDados[País],MATCH($A659,TRIM(tblDados[Visitante]),0))),_xlpm.l,IFERROR(INDEX(tblDados[Liga],MATCH($A659,TRIM(tblDados[Mandante]),0)),INDEX(tblDados[Liga],MATCH($A659,TRIM(tblDados[Visitante]),0))),_xlpm.p&amp;" - "&amp;_xlpm.l))</f>
        <v/>
      </c>
      <c r="C659" s="14" t="str">
        <f t="shared" si="184"/>
        <v/>
      </c>
      <c r="D659" s="14" t="str">
        <f t="shared" si="185"/>
        <v/>
      </c>
      <c r="E659" s="15" t="str" cm="1">
        <f t="array" ref="E659">IF($A659="","",SUMPRODUCT((TRIM(tblDados[Mandante])=$A659)*tblDados[Primeira_Ocorrencia]))</f>
        <v/>
      </c>
      <c r="F659" s="15" t="str" cm="1">
        <f t="array" ref="F659">IF($A659="","",SUMPRODUCT((TRIM(tblDados[Visitante])=$A659)*tblDados[Primeira_Ocorrencia]))</f>
        <v/>
      </c>
      <c r="G659" s="15" t="str" cm="1">
        <f t="array" ref="G659">IF($A659="","",SUMPRODUCT((TRIM(tblDados[Mandante])=$A659)*tblDados[Primeira_Ocorrencia])+SUMPRODUCT((TRIM(tblDados[Visitante])=$A659)*tblDados[Primeira_Ocorrencia]))</f>
        <v/>
      </c>
      <c r="H659" s="14" t="str">
        <f t="shared" si="186"/>
        <v/>
      </c>
      <c r="I659" s="14" t="str" cm="1">
        <f t="array" ref="I659">IF($A659="","",_xlfn.LET(_xlpm.p,IFERROR(INDEX(tblDados[País],MATCH($A659,TRIM(tblDados[Mandante]),0)),INDEX(tblDados[País],MATCH($A659,TRIM(tblDados[Visitante]),0))),_xlpm.l,IFERROR(INDEX(tblDados[Liga],MATCH($A659,TRIM(tblDados[Mandante]),0)),INDEX(tblDados[Liga],MATCH($A659,TRIM(tblDados[Visitante]),0))),IFERROR(SUMIFS(Ligas!$D$2:$D$39,Ligas!$H$2:$H$39,_xlpm.p,Ligas!$I$2:$I$39,_xlpm.l),0)))</f>
        <v/>
      </c>
      <c r="J659" s="16" t="str" cm="1">
        <f t="array" ref="J659">IF($A659="","",IFERROR((SUMPRODUCT((TRIM(tblDados[Mandante])=$A659)*tblDados[Primeira_Ocorrencia]*(tblDados[GM_M]=0))+SUMPRODUCT((TRIM(tblDados[Visitante])=$A659)*tblDados[Primeira_Ocorrencia]*(tblDados[GM_V]=0)))/G659,0))</f>
        <v/>
      </c>
      <c r="K659" s="16" t="str" cm="1">
        <f t="array" ref="K659">IF($A659="","",IFERROR((SUMPRODUCT((TRIM(tblDados[Mandante])=$A659)*tblDados[Primeira_Ocorrencia]*((tblDados[GM_M]+tblDados[GS_M])&gt;0.5))+SUMPRODUCT((TRIM(tblDados[Visitante])=$A659)*tblDados[Primeira_Ocorrencia]*((tblDados[GM_V]+tblDados[GS_V])&gt;0.5)))/G659,0))</f>
        <v/>
      </c>
      <c r="L659" s="16" t="str" cm="1">
        <f t="array" ref="L659">IF($A659="","",IFERROR((SUMPRODUCT((TRIM(tblDados[Mandante])=$A659)*tblDados[Primeira_Ocorrencia]*((tblDados[GM_M]+tblDados[GS_M])&gt;1.5))+SUMPRODUCT((TRIM(tblDados[Visitante])=$A659)*tblDados[Primeira_Ocorrencia]*((tblDados[GM_V]+tblDados[GS_V])&gt;1.5)))/G659,0))</f>
        <v/>
      </c>
      <c r="M659" s="16" t="str" cm="1">
        <f t="array" ref="M659">IF($A659="","",IFERROR((SUMPRODUCT((TRIM(tblDados[Mandante])=$A659)*tblDados[Primeira_Ocorrencia]*((tblDados[GM_M]+tblDados[GS_M])&gt;2.5))+SUMPRODUCT((TRIM(tblDados[Visitante])=$A659)*tblDados[Primeira_Ocorrencia]*((tblDados[GM_V]+tblDados[GS_V])&gt;2.5)))/G659,0))</f>
        <v/>
      </c>
      <c r="N659" s="16" t="str" cm="1">
        <f t="array" ref="N659">IF($A659="","",IFERROR((SUMPRODUCT((TRIM(tblDados[Mandante])=$A659)*tblDados[Primeira_Ocorrencia]*((tblDados[GM_M]+tblDados[GS_M])&gt;3.5))+SUMPRODUCT((TRIM(tblDados[Visitante])=$A659)*tblDados[Primeira_Ocorrencia]*((tblDados[GM_V]+tblDados[GS_V])&gt;3.5)))/G659,0))</f>
        <v/>
      </c>
      <c r="O659" s="16" t="str" cm="1">
        <f t="array" ref="O659">IF($A659="","",IFERROR((SUMPRODUCT((TRIM(tblDados[Mandante])=$A659)*tblDados[Primeira_Ocorrencia]*(tblDados[GM_M]&gt;0)*(tblDados[GS_M]&gt;0))+SUMPRODUCT((TRIM(tblDados[Visitante])=$A659)*tblDados[Primeira_Ocorrencia]*(tblDados[GM_V]&gt;0)*(tblDados[GS_V]&gt;0)))/G659,0))</f>
        <v/>
      </c>
      <c r="P659" s="14" t="str" cm="1">
        <f t="array" ref="P659">IF($A659="","",IFERROR((SUMPRODUCT((TRIM(tblDados[Mandante])=$A659)*tblDados[Primeira_Ocorrencia]*tblDados[GM_M]^2)+SUMPRODUCT((TRIM(tblDados[Visitante])=$A659)*tblDados[Primeira_Ocorrencia]*tblDados[GM_V]^2))/G659-H659^2,0))</f>
        <v/>
      </c>
      <c r="Q659" s="14" t="str">
        <f t="shared" si="187"/>
        <v/>
      </c>
      <c r="R659" s="1" t="str">
        <f t="shared" si="188"/>
        <v/>
      </c>
      <c r="S659" s="14" t="str" cm="1">
        <f t="array" ref="S659">IF($A659="","",SUMPRODUCT((TRIM(tblDados[Mandante])=$A659)*tblDados[Primeira_Ocorrencia]*tblDados[GM_M]))</f>
        <v/>
      </c>
      <c r="T659" s="14" t="str" cm="1">
        <f t="array" ref="T659">IF($A659="","",SUMPRODUCT((TRIM(tblDados[Visitante])=$A659)*tblDados[Primeira_Ocorrencia]*tblDados[GM_V]))</f>
        <v/>
      </c>
      <c r="U659" s="14" t="str">
        <f t="shared" si="189"/>
        <v/>
      </c>
      <c r="V659" s="14" t="str">
        <f t="shared" si="178"/>
        <v/>
      </c>
      <c r="W659" s="14" t="str" cm="1">
        <f t="array" ref="W659">IF($A659="","",SUMPRODUCT((TRIM(tblDados[Mandante])=$A659)*tblDados[Primeira_Ocorrencia]*tblDados[GS_M]))</f>
        <v/>
      </c>
      <c r="X659" s="14" t="str" cm="1">
        <f t="array" ref="X659">IF($A659="","",SUMPRODUCT((TRIM(tblDados[Visitante])=$A659)*tblDados[Primeira_Ocorrencia]*tblDados[GS_V]))</f>
        <v/>
      </c>
      <c r="Y659" s="14" t="str">
        <f t="shared" si="190"/>
        <v/>
      </c>
      <c r="Z659" s="14" t="str">
        <f t="shared" si="179"/>
        <v/>
      </c>
      <c r="AA659" s="14" t="str">
        <f t="shared" si="180"/>
        <v/>
      </c>
      <c r="AB659" s="14" t="str">
        <f t="shared" si="181"/>
        <v/>
      </c>
      <c r="AC659" s="14" t="str">
        <f t="shared" si="182"/>
        <v/>
      </c>
      <c r="AD659" s="14" t="str">
        <f t="shared" si="183"/>
        <v/>
      </c>
    </row>
    <row r="660" spans="2:30" x14ac:dyDescent="0.3">
      <c r="B660" s="13" t="str" cm="1">
        <f t="array" ref="B660">IF($A660="","",_xlfn.LET(_xlpm.p,IFERROR(INDEX(tblDados[País],MATCH($A660,TRIM(tblDados[Mandante]),0)),INDEX(tblDados[País],MATCH($A660,TRIM(tblDados[Visitante]),0))),_xlpm.l,IFERROR(INDEX(tblDados[Liga],MATCH($A660,TRIM(tblDados[Mandante]),0)),INDEX(tblDados[Liga],MATCH($A660,TRIM(tblDados[Visitante]),0))),_xlpm.p&amp;" - "&amp;_xlpm.l))</f>
        <v/>
      </c>
      <c r="C660" s="14" t="str">
        <f t="shared" si="184"/>
        <v/>
      </c>
      <c r="D660" s="14" t="str">
        <f t="shared" si="185"/>
        <v/>
      </c>
      <c r="E660" s="15" t="str" cm="1">
        <f t="array" ref="E660">IF($A660="","",SUMPRODUCT((TRIM(tblDados[Mandante])=$A660)*tblDados[Primeira_Ocorrencia]))</f>
        <v/>
      </c>
      <c r="F660" s="15" t="str" cm="1">
        <f t="array" ref="F660">IF($A660="","",SUMPRODUCT((TRIM(tblDados[Visitante])=$A660)*tblDados[Primeira_Ocorrencia]))</f>
        <v/>
      </c>
      <c r="G660" s="15" t="str" cm="1">
        <f t="array" ref="G660">IF($A660="","",SUMPRODUCT((TRIM(tblDados[Mandante])=$A660)*tblDados[Primeira_Ocorrencia])+SUMPRODUCT((TRIM(tblDados[Visitante])=$A660)*tblDados[Primeira_Ocorrencia]))</f>
        <v/>
      </c>
      <c r="H660" s="14" t="str">
        <f t="shared" si="186"/>
        <v/>
      </c>
      <c r="I660" s="14" t="str" cm="1">
        <f t="array" ref="I660">IF($A660="","",_xlfn.LET(_xlpm.p,IFERROR(INDEX(tblDados[País],MATCH($A660,TRIM(tblDados[Mandante]),0)),INDEX(tblDados[País],MATCH($A660,TRIM(tblDados[Visitante]),0))),_xlpm.l,IFERROR(INDEX(tblDados[Liga],MATCH($A660,TRIM(tblDados[Mandante]),0)),INDEX(tblDados[Liga],MATCH($A660,TRIM(tblDados[Visitante]),0))),IFERROR(SUMIFS(Ligas!$D$2:$D$39,Ligas!$H$2:$H$39,_xlpm.p,Ligas!$I$2:$I$39,_xlpm.l),0)))</f>
        <v/>
      </c>
      <c r="J660" s="16" t="str" cm="1">
        <f t="array" ref="J660">IF($A660="","",IFERROR((SUMPRODUCT((TRIM(tblDados[Mandante])=$A660)*tblDados[Primeira_Ocorrencia]*(tblDados[GM_M]=0))+SUMPRODUCT((TRIM(tblDados[Visitante])=$A660)*tblDados[Primeira_Ocorrencia]*(tblDados[GM_V]=0)))/G660,0))</f>
        <v/>
      </c>
      <c r="K660" s="16" t="str" cm="1">
        <f t="array" ref="K660">IF($A660="","",IFERROR((SUMPRODUCT((TRIM(tblDados[Mandante])=$A660)*tblDados[Primeira_Ocorrencia]*((tblDados[GM_M]+tblDados[GS_M])&gt;0.5))+SUMPRODUCT((TRIM(tblDados[Visitante])=$A660)*tblDados[Primeira_Ocorrencia]*((tblDados[GM_V]+tblDados[GS_V])&gt;0.5)))/G660,0))</f>
        <v/>
      </c>
      <c r="L660" s="16" t="str" cm="1">
        <f t="array" ref="L660">IF($A660="","",IFERROR((SUMPRODUCT((TRIM(tblDados[Mandante])=$A660)*tblDados[Primeira_Ocorrencia]*((tblDados[GM_M]+tblDados[GS_M])&gt;1.5))+SUMPRODUCT((TRIM(tblDados[Visitante])=$A660)*tblDados[Primeira_Ocorrencia]*((tblDados[GM_V]+tblDados[GS_V])&gt;1.5)))/G660,0))</f>
        <v/>
      </c>
      <c r="M660" s="16" t="str" cm="1">
        <f t="array" ref="M660">IF($A660="","",IFERROR((SUMPRODUCT((TRIM(tblDados[Mandante])=$A660)*tblDados[Primeira_Ocorrencia]*((tblDados[GM_M]+tblDados[GS_M])&gt;2.5))+SUMPRODUCT((TRIM(tblDados[Visitante])=$A660)*tblDados[Primeira_Ocorrencia]*((tblDados[GM_V]+tblDados[GS_V])&gt;2.5)))/G660,0))</f>
        <v/>
      </c>
      <c r="N660" s="16" t="str" cm="1">
        <f t="array" ref="N660">IF($A660="","",IFERROR((SUMPRODUCT((TRIM(tblDados[Mandante])=$A660)*tblDados[Primeira_Ocorrencia]*((tblDados[GM_M]+tblDados[GS_M])&gt;3.5))+SUMPRODUCT((TRIM(tblDados[Visitante])=$A660)*tblDados[Primeira_Ocorrencia]*((tblDados[GM_V]+tblDados[GS_V])&gt;3.5)))/G660,0))</f>
        <v/>
      </c>
      <c r="O660" s="16" t="str" cm="1">
        <f t="array" ref="O660">IF($A660="","",IFERROR((SUMPRODUCT((TRIM(tblDados[Mandante])=$A660)*tblDados[Primeira_Ocorrencia]*(tblDados[GM_M]&gt;0)*(tblDados[GS_M]&gt;0))+SUMPRODUCT((TRIM(tblDados[Visitante])=$A660)*tblDados[Primeira_Ocorrencia]*(tblDados[GM_V]&gt;0)*(tblDados[GS_V]&gt;0)))/G660,0))</f>
        <v/>
      </c>
      <c r="P660" s="14" t="str" cm="1">
        <f t="array" ref="P660">IF($A660="","",IFERROR((SUMPRODUCT((TRIM(tblDados[Mandante])=$A660)*tblDados[Primeira_Ocorrencia]*tblDados[GM_M]^2)+SUMPRODUCT((TRIM(tblDados[Visitante])=$A660)*tblDados[Primeira_Ocorrencia]*tblDados[GM_V]^2))/G660-H660^2,0))</f>
        <v/>
      </c>
      <c r="Q660" s="14" t="str">
        <f t="shared" si="187"/>
        <v/>
      </c>
      <c r="R660" s="1" t="str">
        <f t="shared" si="188"/>
        <v/>
      </c>
      <c r="S660" s="14" t="str" cm="1">
        <f t="array" ref="S660">IF($A660="","",SUMPRODUCT((TRIM(tblDados[Mandante])=$A660)*tblDados[Primeira_Ocorrencia]*tblDados[GM_M]))</f>
        <v/>
      </c>
      <c r="T660" s="14" t="str" cm="1">
        <f t="array" ref="T660">IF($A660="","",SUMPRODUCT((TRIM(tblDados[Visitante])=$A660)*tblDados[Primeira_Ocorrencia]*tblDados[GM_V]))</f>
        <v/>
      </c>
      <c r="U660" s="14" t="str">
        <f t="shared" si="189"/>
        <v/>
      </c>
      <c r="V660" s="14" t="str">
        <f t="shared" si="178"/>
        <v/>
      </c>
      <c r="W660" s="14" t="str" cm="1">
        <f t="array" ref="W660">IF($A660="","",SUMPRODUCT((TRIM(tblDados[Mandante])=$A660)*tblDados[Primeira_Ocorrencia]*tblDados[GS_M]))</f>
        <v/>
      </c>
      <c r="X660" s="14" t="str" cm="1">
        <f t="array" ref="X660">IF($A660="","",SUMPRODUCT((TRIM(tblDados[Visitante])=$A660)*tblDados[Primeira_Ocorrencia]*tblDados[GS_V]))</f>
        <v/>
      </c>
      <c r="Y660" s="14" t="str">
        <f t="shared" si="190"/>
        <v/>
      </c>
      <c r="Z660" s="14" t="str">
        <f t="shared" si="179"/>
        <v/>
      </c>
      <c r="AA660" s="14" t="str">
        <f t="shared" si="180"/>
        <v/>
      </c>
      <c r="AB660" s="14" t="str">
        <f t="shared" si="181"/>
        <v/>
      </c>
      <c r="AC660" s="14" t="str">
        <f t="shared" si="182"/>
        <v/>
      </c>
      <c r="AD660" s="14" t="str">
        <f t="shared" si="183"/>
        <v/>
      </c>
    </row>
    <row r="661" spans="2:30" x14ac:dyDescent="0.3">
      <c r="B661" s="13" t="str" cm="1">
        <f t="array" ref="B661">IF($A661="","",_xlfn.LET(_xlpm.p,IFERROR(INDEX(tblDados[País],MATCH($A661,TRIM(tblDados[Mandante]),0)),INDEX(tblDados[País],MATCH($A661,TRIM(tblDados[Visitante]),0))),_xlpm.l,IFERROR(INDEX(tblDados[Liga],MATCH($A661,TRIM(tblDados[Mandante]),0)),INDEX(tblDados[Liga],MATCH($A661,TRIM(tblDados[Visitante]),0))),_xlpm.p&amp;" - "&amp;_xlpm.l))</f>
        <v/>
      </c>
      <c r="C661" s="14" t="str">
        <f t="shared" si="184"/>
        <v/>
      </c>
      <c r="D661" s="14" t="str">
        <f t="shared" si="185"/>
        <v/>
      </c>
      <c r="E661" s="15" t="str" cm="1">
        <f t="array" ref="E661">IF($A661="","",SUMPRODUCT((TRIM(tblDados[Mandante])=$A661)*tblDados[Primeira_Ocorrencia]))</f>
        <v/>
      </c>
      <c r="F661" s="15" t="str" cm="1">
        <f t="array" ref="F661">IF($A661="","",SUMPRODUCT((TRIM(tblDados[Visitante])=$A661)*tblDados[Primeira_Ocorrencia]))</f>
        <v/>
      </c>
      <c r="G661" s="15" t="str" cm="1">
        <f t="array" ref="G661">IF($A661="","",SUMPRODUCT((TRIM(tblDados[Mandante])=$A661)*tblDados[Primeira_Ocorrencia])+SUMPRODUCT((TRIM(tblDados[Visitante])=$A661)*tblDados[Primeira_Ocorrencia]))</f>
        <v/>
      </c>
      <c r="H661" s="14" t="str">
        <f t="shared" si="186"/>
        <v/>
      </c>
      <c r="I661" s="14" t="str" cm="1">
        <f t="array" ref="I661">IF($A661="","",_xlfn.LET(_xlpm.p,IFERROR(INDEX(tblDados[País],MATCH($A661,TRIM(tblDados[Mandante]),0)),INDEX(tblDados[País],MATCH($A661,TRIM(tblDados[Visitante]),0))),_xlpm.l,IFERROR(INDEX(tblDados[Liga],MATCH($A661,TRIM(tblDados[Mandante]),0)),INDEX(tblDados[Liga],MATCH($A661,TRIM(tblDados[Visitante]),0))),IFERROR(SUMIFS(Ligas!$D$2:$D$39,Ligas!$H$2:$H$39,_xlpm.p,Ligas!$I$2:$I$39,_xlpm.l),0)))</f>
        <v/>
      </c>
      <c r="J661" s="16" t="str" cm="1">
        <f t="array" ref="J661">IF($A661="","",IFERROR((SUMPRODUCT((TRIM(tblDados[Mandante])=$A661)*tblDados[Primeira_Ocorrencia]*(tblDados[GM_M]=0))+SUMPRODUCT((TRIM(tblDados[Visitante])=$A661)*tblDados[Primeira_Ocorrencia]*(tblDados[GM_V]=0)))/G661,0))</f>
        <v/>
      </c>
      <c r="K661" s="16" t="str" cm="1">
        <f t="array" ref="K661">IF($A661="","",IFERROR((SUMPRODUCT((TRIM(tblDados[Mandante])=$A661)*tblDados[Primeira_Ocorrencia]*((tblDados[GM_M]+tblDados[GS_M])&gt;0.5))+SUMPRODUCT((TRIM(tblDados[Visitante])=$A661)*tblDados[Primeira_Ocorrencia]*((tblDados[GM_V]+tblDados[GS_V])&gt;0.5)))/G661,0))</f>
        <v/>
      </c>
      <c r="L661" s="16" t="str" cm="1">
        <f t="array" ref="L661">IF($A661="","",IFERROR((SUMPRODUCT((TRIM(tblDados[Mandante])=$A661)*tblDados[Primeira_Ocorrencia]*((tblDados[GM_M]+tblDados[GS_M])&gt;1.5))+SUMPRODUCT((TRIM(tblDados[Visitante])=$A661)*tblDados[Primeira_Ocorrencia]*((tblDados[GM_V]+tblDados[GS_V])&gt;1.5)))/G661,0))</f>
        <v/>
      </c>
      <c r="M661" s="16" t="str" cm="1">
        <f t="array" ref="M661">IF($A661="","",IFERROR((SUMPRODUCT((TRIM(tblDados[Mandante])=$A661)*tblDados[Primeira_Ocorrencia]*((tblDados[GM_M]+tblDados[GS_M])&gt;2.5))+SUMPRODUCT((TRIM(tblDados[Visitante])=$A661)*tblDados[Primeira_Ocorrencia]*((tblDados[GM_V]+tblDados[GS_V])&gt;2.5)))/G661,0))</f>
        <v/>
      </c>
      <c r="N661" s="16" t="str" cm="1">
        <f t="array" ref="N661">IF($A661="","",IFERROR((SUMPRODUCT((TRIM(tblDados[Mandante])=$A661)*tblDados[Primeira_Ocorrencia]*((tblDados[GM_M]+tblDados[GS_M])&gt;3.5))+SUMPRODUCT((TRIM(tblDados[Visitante])=$A661)*tblDados[Primeira_Ocorrencia]*((tblDados[GM_V]+tblDados[GS_V])&gt;3.5)))/G661,0))</f>
        <v/>
      </c>
      <c r="O661" s="16" t="str" cm="1">
        <f t="array" ref="O661">IF($A661="","",IFERROR((SUMPRODUCT((TRIM(tblDados[Mandante])=$A661)*tblDados[Primeira_Ocorrencia]*(tblDados[GM_M]&gt;0)*(tblDados[GS_M]&gt;0))+SUMPRODUCT((TRIM(tblDados[Visitante])=$A661)*tblDados[Primeira_Ocorrencia]*(tblDados[GM_V]&gt;0)*(tblDados[GS_V]&gt;0)))/G661,0))</f>
        <v/>
      </c>
      <c r="P661" s="14" t="str" cm="1">
        <f t="array" ref="P661">IF($A661="","",IFERROR((SUMPRODUCT((TRIM(tblDados[Mandante])=$A661)*tblDados[Primeira_Ocorrencia]*tblDados[GM_M]^2)+SUMPRODUCT((TRIM(tblDados[Visitante])=$A661)*tblDados[Primeira_Ocorrencia]*tblDados[GM_V]^2))/G661-H661^2,0))</f>
        <v/>
      </c>
      <c r="Q661" s="14" t="str">
        <f t="shared" si="187"/>
        <v/>
      </c>
      <c r="R661" s="1" t="str">
        <f t="shared" si="188"/>
        <v/>
      </c>
      <c r="S661" s="14" t="str" cm="1">
        <f t="array" ref="S661">IF($A661="","",SUMPRODUCT((TRIM(tblDados[Mandante])=$A661)*tblDados[Primeira_Ocorrencia]*tblDados[GM_M]))</f>
        <v/>
      </c>
      <c r="T661" s="14" t="str" cm="1">
        <f t="array" ref="T661">IF($A661="","",SUMPRODUCT((TRIM(tblDados[Visitante])=$A661)*tblDados[Primeira_Ocorrencia]*tblDados[GM_V]))</f>
        <v/>
      </c>
      <c r="U661" s="14" t="str">
        <f t="shared" si="189"/>
        <v/>
      </c>
      <c r="V661" s="14" t="str">
        <f t="shared" si="178"/>
        <v/>
      </c>
      <c r="W661" s="14" t="str" cm="1">
        <f t="array" ref="W661">IF($A661="","",SUMPRODUCT((TRIM(tblDados[Mandante])=$A661)*tblDados[Primeira_Ocorrencia]*tblDados[GS_M]))</f>
        <v/>
      </c>
      <c r="X661" s="14" t="str" cm="1">
        <f t="array" ref="X661">IF($A661="","",SUMPRODUCT((TRIM(tblDados[Visitante])=$A661)*tblDados[Primeira_Ocorrencia]*tblDados[GS_V]))</f>
        <v/>
      </c>
      <c r="Y661" s="14" t="str">
        <f t="shared" si="190"/>
        <v/>
      </c>
      <c r="Z661" s="14" t="str">
        <f t="shared" si="179"/>
        <v/>
      </c>
      <c r="AA661" s="14" t="str">
        <f t="shared" si="180"/>
        <v/>
      </c>
      <c r="AB661" s="14" t="str">
        <f t="shared" si="181"/>
        <v/>
      </c>
      <c r="AC661" s="14" t="str">
        <f t="shared" si="182"/>
        <v/>
      </c>
      <c r="AD661" s="14" t="str">
        <f t="shared" si="183"/>
        <v/>
      </c>
    </row>
    <row r="662" spans="2:30" x14ac:dyDescent="0.3">
      <c r="B662" s="13" t="str" cm="1">
        <f t="array" ref="B662">IF($A662="","",_xlfn.LET(_xlpm.p,IFERROR(INDEX(tblDados[País],MATCH($A662,TRIM(tblDados[Mandante]),0)),INDEX(tblDados[País],MATCH($A662,TRIM(tblDados[Visitante]),0))),_xlpm.l,IFERROR(INDEX(tblDados[Liga],MATCH($A662,TRIM(tblDados[Mandante]),0)),INDEX(tblDados[Liga],MATCH($A662,TRIM(tblDados[Visitante]),0))),_xlpm.p&amp;" - "&amp;_xlpm.l))</f>
        <v/>
      </c>
      <c r="C662" s="14" t="str">
        <f t="shared" si="184"/>
        <v/>
      </c>
      <c r="D662" s="14" t="str">
        <f t="shared" si="185"/>
        <v/>
      </c>
      <c r="E662" s="15" t="str" cm="1">
        <f t="array" ref="E662">IF($A662="","",SUMPRODUCT((TRIM(tblDados[Mandante])=$A662)*tblDados[Primeira_Ocorrencia]))</f>
        <v/>
      </c>
      <c r="F662" s="15" t="str" cm="1">
        <f t="array" ref="F662">IF($A662="","",SUMPRODUCT((TRIM(tblDados[Visitante])=$A662)*tblDados[Primeira_Ocorrencia]))</f>
        <v/>
      </c>
      <c r="G662" s="15" t="str" cm="1">
        <f t="array" ref="G662">IF($A662="","",SUMPRODUCT((TRIM(tblDados[Mandante])=$A662)*tblDados[Primeira_Ocorrencia])+SUMPRODUCT((TRIM(tblDados[Visitante])=$A662)*tblDados[Primeira_Ocorrencia]))</f>
        <v/>
      </c>
      <c r="H662" s="14" t="str">
        <f t="shared" si="186"/>
        <v/>
      </c>
      <c r="I662" s="14" t="str" cm="1">
        <f t="array" ref="I662">IF($A662="","",_xlfn.LET(_xlpm.p,IFERROR(INDEX(tblDados[País],MATCH($A662,TRIM(tblDados[Mandante]),0)),INDEX(tblDados[País],MATCH($A662,TRIM(tblDados[Visitante]),0))),_xlpm.l,IFERROR(INDEX(tblDados[Liga],MATCH($A662,TRIM(tblDados[Mandante]),0)),INDEX(tblDados[Liga],MATCH($A662,TRIM(tblDados[Visitante]),0))),IFERROR(SUMIFS(Ligas!$D$2:$D$39,Ligas!$H$2:$H$39,_xlpm.p,Ligas!$I$2:$I$39,_xlpm.l),0)))</f>
        <v/>
      </c>
      <c r="J662" s="16" t="str" cm="1">
        <f t="array" ref="J662">IF($A662="","",IFERROR((SUMPRODUCT((TRIM(tblDados[Mandante])=$A662)*tblDados[Primeira_Ocorrencia]*(tblDados[GM_M]=0))+SUMPRODUCT((TRIM(tblDados[Visitante])=$A662)*tblDados[Primeira_Ocorrencia]*(tblDados[GM_V]=0)))/G662,0))</f>
        <v/>
      </c>
      <c r="K662" s="16" t="str" cm="1">
        <f t="array" ref="K662">IF($A662="","",IFERROR((SUMPRODUCT((TRIM(tblDados[Mandante])=$A662)*tblDados[Primeira_Ocorrencia]*((tblDados[GM_M]+tblDados[GS_M])&gt;0.5))+SUMPRODUCT((TRIM(tblDados[Visitante])=$A662)*tblDados[Primeira_Ocorrencia]*((tblDados[GM_V]+tblDados[GS_V])&gt;0.5)))/G662,0))</f>
        <v/>
      </c>
      <c r="L662" s="16" t="str" cm="1">
        <f t="array" ref="L662">IF($A662="","",IFERROR((SUMPRODUCT((TRIM(tblDados[Mandante])=$A662)*tblDados[Primeira_Ocorrencia]*((tblDados[GM_M]+tblDados[GS_M])&gt;1.5))+SUMPRODUCT((TRIM(tblDados[Visitante])=$A662)*tblDados[Primeira_Ocorrencia]*((tblDados[GM_V]+tblDados[GS_V])&gt;1.5)))/G662,0))</f>
        <v/>
      </c>
      <c r="M662" s="16" t="str" cm="1">
        <f t="array" ref="M662">IF($A662="","",IFERROR((SUMPRODUCT((TRIM(tblDados[Mandante])=$A662)*tblDados[Primeira_Ocorrencia]*((tblDados[GM_M]+tblDados[GS_M])&gt;2.5))+SUMPRODUCT((TRIM(tblDados[Visitante])=$A662)*tblDados[Primeira_Ocorrencia]*((tblDados[GM_V]+tblDados[GS_V])&gt;2.5)))/G662,0))</f>
        <v/>
      </c>
      <c r="N662" s="16" t="str" cm="1">
        <f t="array" ref="N662">IF($A662="","",IFERROR((SUMPRODUCT((TRIM(tblDados[Mandante])=$A662)*tblDados[Primeira_Ocorrencia]*((tblDados[GM_M]+tblDados[GS_M])&gt;3.5))+SUMPRODUCT((TRIM(tblDados[Visitante])=$A662)*tblDados[Primeira_Ocorrencia]*((tblDados[GM_V]+tblDados[GS_V])&gt;3.5)))/G662,0))</f>
        <v/>
      </c>
      <c r="O662" s="16" t="str" cm="1">
        <f t="array" ref="O662">IF($A662="","",IFERROR((SUMPRODUCT((TRIM(tblDados[Mandante])=$A662)*tblDados[Primeira_Ocorrencia]*(tblDados[GM_M]&gt;0)*(tblDados[GS_M]&gt;0))+SUMPRODUCT((TRIM(tblDados[Visitante])=$A662)*tblDados[Primeira_Ocorrencia]*(tblDados[GM_V]&gt;0)*(tblDados[GS_V]&gt;0)))/G662,0))</f>
        <v/>
      </c>
      <c r="P662" s="14" t="str" cm="1">
        <f t="array" ref="P662">IF($A662="","",IFERROR((SUMPRODUCT((TRIM(tblDados[Mandante])=$A662)*tblDados[Primeira_Ocorrencia]*tblDados[GM_M]^2)+SUMPRODUCT((TRIM(tblDados[Visitante])=$A662)*tblDados[Primeira_Ocorrencia]*tblDados[GM_V]^2))/G662-H662^2,0))</f>
        <v/>
      </c>
      <c r="Q662" s="14" t="str">
        <f t="shared" si="187"/>
        <v/>
      </c>
      <c r="R662" s="1" t="str">
        <f t="shared" si="188"/>
        <v/>
      </c>
      <c r="S662" s="14" t="str" cm="1">
        <f t="array" ref="S662">IF($A662="","",SUMPRODUCT((TRIM(tblDados[Mandante])=$A662)*tblDados[Primeira_Ocorrencia]*tblDados[GM_M]))</f>
        <v/>
      </c>
      <c r="T662" s="14" t="str" cm="1">
        <f t="array" ref="T662">IF($A662="","",SUMPRODUCT((TRIM(tblDados[Visitante])=$A662)*tblDados[Primeira_Ocorrencia]*tblDados[GM_V]))</f>
        <v/>
      </c>
      <c r="U662" s="14" t="str">
        <f t="shared" si="189"/>
        <v/>
      </c>
      <c r="V662" s="14" t="str">
        <f t="shared" si="178"/>
        <v/>
      </c>
      <c r="W662" s="14" t="str" cm="1">
        <f t="array" ref="W662">IF($A662="","",SUMPRODUCT((TRIM(tblDados[Mandante])=$A662)*tblDados[Primeira_Ocorrencia]*tblDados[GS_M]))</f>
        <v/>
      </c>
      <c r="X662" s="14" t="str" cm="1">
        <f t="array" ref="X662">IF($A662="","",SUMPRODUCT((TRIM(tblDados[Visitante])=$A662)*tblDados[Primeira_Ocorrencia]*tblDados[GS_V]))</f>
        <v/>
      </c>
      <c r="Y662" s="14" t="str">
        <f t="shared" si="190"/>
        <v/>
      </c>
      <c r="Z662" s="14" t="str">
        <f t="shared" si="179"/>
        <v/>
      </c>
      <c r="AA662" s="14" t="str">
        <f t="shared" si="180"/>
        <v/>
      </c>
      <c r="AB662" s="14" t="str">
        <f t="shared" si="181"/>
        <v/>
      </c>
      <c r="AC662" s="14" t="str">
        <f t="shared" si="182"/>
        <v/>
      </c>
      <c r="AD662" s="14" t="str">
        <f t="shared" si="183"/>
        <v/>
      </c>
    </row>
    <row r="663" spans="2:30" x14ac:dyDescent="0.3">
      <c r="B663" s="13" t="str" cm="1">
        <f t="array" ref="B663">IF($A663="","",_xlfn.LET(_xlpm.p,IFERROR(INDEX(tblDados[País],MATCH($A663,TRIM(tblDados[Mandante]),0)),INDEX(tblDados[País],MATCH($A663,TRIM(tblDados[Visitante]),0))),_xlpm.l,IFERROR(INDEX(tblDados[Liga],MATCH($A663,TRIM(tblDados[Mandante]),0)),INDEX(tblDados[Liga],MATCH($A663,TRIM(tblDados[Visitante]),0))),_xlpm.p&amp;" - "&amp;_xlpm.l))</f>
        <v/>
      </c>
      <c r="C663" s="14" t="str">
        <f t="shared" si="184"/>
        <v/>
      </c>
      <c r="D663" s="14" t="str">
        <f t="shared" si="185"/>
        <v/>
      </c>
      <c r="E663" s="15" t="str" cm="1">
        <f t="array" ref="E663">IF($A663="","",SUMPRODUCT((TRIM(tblDados[Mandante])=$A663)*tblDados[Primeira_Ocorrencia]))</f>
        <v/>
      </c>
      <c r="F663" s="15" t="str" cm="1">
        <f t="array" ref="F663">IF($A663="","",SUMPRODUCT((TRIM(tblDados[Visitante])=$A663)*tblDados[Primeira_Ocorrencia]))</f>
        <v/>
      </c>
      <c r="G663" s="15" t="str" cm="1">
        <f t="array" ref="G663">IF($A663="","",SUMPRODUCT((TRIM(tblDados[Mandante])=$A663)*tblDados[Primeira_Ocorrencia])+SUMPRODUCT((TRIM(tblDados[Visitante])=$A663)*tblDados[Primeira_Ocorrencia]))</f>
        <v/>
      </c>
      <c r="H663" s="14" t="str">
        <f t="shared" si="186"/>
        <v/>
      </c>
      <c r="I663" s="14" t="str" cm="1">
        <f t="array" ref="I663">IF($A663="","",_xlfn.LET(_xlpm.p,IFERROR(INDEX(tblDados[País],MATCH($A663,TRIM(tblDados[Mandante]),0)),INDEX(tblDados[País],MATCH($A663,TRIM(tblDados[Visitante]),0))),_xlpm.l,IFERROR(INDEX(tblDados[Liga],MATCH($A663,TRIM(tblDados[Mandante]),0)),INDEX(tblDados[Liga],MATCH($A663,TRIM(tblDados[Visitante]),0))),IFERROR(SUMIFS(Ligas!$D$2:$D$39,Ligas!$H$2:$H$39,_xlpm.p,Ligas!$I$2:$I$39,_xlpm.l),0)))</f>
        <v/>
      </c>
      <c r="J663" s="16" t="str" cm="1">
        <f t="array" ref="J663">IF($A663="","",IFERROR((SUMPRODUCT((TRIM(tblDados[Mandante])=$A663)*tblDados[Primeira_Ocorrencia]*(tblDados[GM_M]=0))+SUMPRODUCT((TRIM(tblDados[Visitante])=$A663)*tblDados[Primeira_Ocorrencia]*(tblDados[GM_V]=0)))/G663,0))</f>
        <v/>
      </c>
      <c r="K663" s="16" t="str" cm="1">
        <f t="array" ref="K663">IF($A663="","",IFERROR((SUMPRODUCT((TRIM(tblDados[Mandante])=$A663)*tblDados[Primeira_Ocorrencia]*((tblDados[GM_M]+tblDados[GS_M])&gt;0.5))+SUMPRODUCT((TRIM(tblDados[Visitante])=$A663)*tblDados[Primeira_Ocorrencia]*((tblDados[GM_V]+tblDados[GS_V])&gt;0.5)))/G663,0))</f>
        <v/>
      </c>
      <c r="L663" s="16" t="str" cm="1">
        <f t="array" ref="L663">IF($A663="","",IFERROR((SUMPRODUCT((TRIM(tblDados[Mandante])=$A663)*tblDados[Primeira_Ocorrencia]*((tblDados[GM_M]+tblDados[GS_M])&gt;1.5))+SUMPRODUCT((TRIM(tblDados[Visitante])=$A663)*tblDados[Primeira_Ocorrencia]*((tblDados[GM_V]+tblDados[GS_V])&gt;1.5)))/G663,0))</f>
        <v/>
      </c>
      <c r="M663" s="16" t="str" cm="1">
        <f t="array" ref="M663">IF($A663="","",IFERROR((SUMPRODUCT((TRIM(tblDados[Mandante])=$A663)*tblDados[Primeira_Ocorrencia]*((tblDados[GM_M]+tblDados[GS_M])&gt;2.5))+SUMPRODUCT((TRIM(tblDados[Visitante])=$A663)*tblDados[Primeira_Ocorrencia]*((tblDados[GM_V]+tblDados[GS_V])&gt;2.5)))/G663,0))</f>
        <v/>
      </c>
      <c r="N663" s="16" t="str" cm="1">
        <f t="array" ref="N663">IF($A663="","",IFERROR((SUMPRODUCT((TRIM(tblDados[Mandante])=$A663)*tblDados[Primeira_Ocorrencia]*((tblDados[GM_M]+tblDados[GS_M])&gt;3.5))+SUMPRODUCT((TRIM(tblDados[Visitante])=$A663)*tblDados[Primeira_Ocorrencia]*((tblDados[GM_V]+tblDados[GS_V])&gt;3.5)))/G663,0))</f>
        <v/>
      </c>
      <c r="O663" s="16" t="str" cm="1">
        <f t="array" ref="O663">IF($A663="","",IFERROR((SUMPRODUCT((TRIM(tblDados[Mandante])=$A663)*tblDados[Primeira_Ocorrencia]*(tblDados[GM_M]&gt;0)*(tblDados[GS_M]&gt;0))+SUMPRODUCT((TRIM(tblDados[Visitante])=$A663)*tblDados[Primeira_Ocorrencia]*(tblDados[GM_V]&gt;0)*(tblDados[GS_V]&gt;0)))/G663,0))</f>
        <v/>
      </c>
      <c r="P663" s="14" t="str" cm="1">
        <f t="array" ref="P663">IF($A663="","",IFERROR((SUMPRODUCT((TRIM(tblDados[Mandante])=$A663)*tblDados[Primeira_Ocorrencia]*tblDados[GM_M]^2)+SUMPRODUCT((TRIM(tblDados[Visitante])=$A663)*tblDados[Primeira_Ocorrencia]*tblDados[GM_V]^2))/G663-H663^2,0))</f>
        <v/>
      </c>
      <c r="Q663" s="14" t="str">
        <f t="shared" si="187"/>
        <v/>
      </c>
      <c r="R663" s="1" t="str">
        <f t="shared" si="188"/>
        <v/>
      </c>
      <c r="S663" s="14" t="str" cm="1">
        <f t="array" ref="S663">IF($A663="","",SUMPRODUCT((TRIM(tblDados[Mandante])=$A663)*tblDados[Primeira_Ocorrencia]*tblDados[GM_M]))</f>
        <v/>
      </c>
      <c r="T663" s="14" t="str" cm="1">
        <f t="array" ref="T663">IF($A663="","",SUMPRODUCT((TRIM(tblDados[Visitante])=$A663)*tblDados[Primeira_Ocorrencia]*tblDados[GM_V]))</f>
        <v/>
      </c>
      <c r="U663" s="14" t="str">
        <f t="shared" si="189"/>
        <v/>
      </c>
      <c r="V663" s="14" t="str">
        <f t="shared" si="178"/>
        <v/>
      </c>
      <c r="W663" s="14" t="str" cm="1">
        <f t="array" ref="W663">IF($A663="","",SUMPRODUCT((TRIM(tblDados[Mandante])=$A663)*tblDados[Primeira_Ocorrencia]*tblDados[GS_M]))</f>
        <v/>
      </c>
      <c r="X663" s="14" t="str" cm="1">
        <f t="array" ref="X663">IF($A663="","",SUMPRODUCT((TRIM(tblDados[Visitante])=$A663)*tblDados[Primeira_Ocorrencia]*tblDados[GS_V]))</f>
        <v/>
      </c>
      <c r="Y663" s="14" t="str">
        <f t="shared" si="190"/>
        <v/>
      </c>
      <c r="Z663" s="14" t="str">
        <f t="shared" si="179"/>
        <v/>
      </c>
      <c r="AA663" s="14" t="str">
        <f t="shared" si="180"/>
        <v/>
      </c>
      <c r="AB663" s="14" t="str">
        <f t="shared" si="181"/>
        <v/>
      </c>
      <c r="AC663" s="14" t="str">
        <f t="shared" si="182"/>
        <v/>
      </c>
      <c r="AD663" s="14" t="str">
        <f t="shared" si="183"/>
        <v/>
      </c>
    </row>
    <row r="664" spans="2:30" x14ac:dyDescent="0.3">
      <c r="B664" s="13" t="str" cm="1">
        <f t="array" ref="B664">IF($A664="","",_xlfn.LET(_xlpm.p,IFERROR(INDEX(tblDados[País],MATCH($A664,TRIM(tblDados[Mandante]),0)),INDEX(tblDados[País],MATCH($A664,TRIM(tblDados[Visitante]),0))),_xlpm.l,IFERROR(INDEX(tblDados[Liga],MATCH($A664,TRIM(tblDados[Mandante]),0)),INDEX(tblDados[Liga],MATCH($A664,TRIM(tblDados[Visitante]),0))),_xlpm.p&amp;" - "&amp;_xlpm.l))</f>
        <v/>
      </c>
      <c r="C664" s="14" t="str">
        <f t="shared" si="184"/>
        <v/>
      </c>
      <c r="D664" s="14" t="str">
        <f t="shared" si="185"/>
        <v/>
      </c>
      <c r="E664" s="15" t="str" cm="1">
        <f t="array" ref="E664">IF($A664="","",SUMPRODUCT((TRIM(tblDados[Mandante])=$A664)*tblDados[Primeira_Ocorrencia]))</f>
        <v/>
      </c>
      <c r="F664" s="15" t="str" cm="1">
        <f t="array" ref="F664">IF($A664="","",SUMPRODUCT((TRIM(tblDados[Visitante])=$A664)*tblDados[Primeira_Ocorrencia]))</f>
        <v/>
      </c>
      <c r="G664" s="15" t="str" cm="1">
        <f t="array" ref="G664">IF($A664="","",SUMPRODUCT((TRIM(tblDados[Mandante])=$A664)*tblDados[Primeira_Ocorrencia])+SUMPRODUCT((TRIM(tblDados[Visitante])=$A664)*tblDados[Primeira_Ocorrencia]))</f>
        <v/>
      </c>
      <c r="H664" s="14" t="str">
        <f t="shared" si="186"/>
        <v/>
      </c>
      <c r="I664" s="14" t="str" cm="1">
        <f t="array" ref="I664">IF($A664="","",_xlfn.LET(_xlpm.p,IFERROR(INDEX(tblDados[País],MATCH($A664,TRIM(tblDados[Mandante]),0)),INDEX(tblDados[País],MATCH($A664,TRIM(tblDados[Visitante]),0))),_xlpm.l,IFERROR(INDEX(tblDados[Liga],MATCH($A664,TRIM(tblDados[Mandante]),0)),INDEX(tblDados[Liga],MATCH($A664,TRIM(tblDados[Visitante]),0))),IFERROR(SUMIFS(Ligas!$D$2:$D$39,Ligas!$H$2:$H$39,_xlpm.p,Ligas!$I$2:$I$39,_xlpm.l),0)))</f>
        <v/>
      </c>
      <c r="J664" s="16" t="str" cm="1">
        <f t="array" ref="J664">IF($A664="","",IFERROR((SUMPRODUCT((TRIM(tblDados[Mandante])=$A664)*tblDados[Primeira_Ocorrencia]*(tblDados[GM_M]=0))+SUMPRODUCT((TRIM(tblDados[Visitante])=$A664)*tblDados[Primeira_Ocorrencia]*(tblDados[GM_V]=0)))/G664,0))</f>
        <v/>
      </c>
      <c r="K664" s="16" t="str" cm="1">
        <f t="array" ref="K664">IF($A664="","",IFERROR((SUMPRODUCT((TRIM(tblDados[Mandante])=$A664)*tblDados[Primeira_Ocorrencia]*((tblDados[GM_M]+tblDados[GS_M])&gt;0.5))+SUMPRODUCT((TRIM(tblDados[Visitante])=$A664)*tblDados[Primeira_Ocorrencia]*((tblDados[GM_V]+tblDados[GS_V])&gt;0.5)))/G664,0))</f>
        <v/>
      </c>
      <c r="L664" s="16" t="str" cm="1">
        <f t="array" ref="L664">IF($A664="","",IFERROR((SUMPRODUCT((TRIM(tblDados[Mandante])=$A664)*tblDados[Primeira_Ocorrencia]*((tblDados[GM_M]+tblDados[GS_M])&gt;1.5))+SUMPRODUCT((TRIM(tblDados[Visitante])=$A664)*tblDados[Primeira_Ocorrencia]*((tblDados[GM_V]+tblDados[GS_V])&gt;1.5)))/G664,0))</f>
        <v/>
      </c>
      <c r="M664" s="16" t="str" cm="1">
        <f t="array" ref="M664">IF($A664="","",IFERROR((SUMPRODUCT((TRIM(tblDados[Mandante])=$A664)*tblDados[Primeira_Ocorrencia]*((tblDados[GM_M]+tblDados[GS_M])&gt;2.5))+SUMPRODUCT((TRIM(tblDados[Visitante])=$A664)*tblDados[Primeira_Ocorrencia]*((tblDados[GM_V]+tblDados[GS_V])&gt;2.5)))/G664,0))</f>
        <v/>
      </c>
      <c r="N664" s="16" t="str" cm="1">
        <f t="array" ref="N664">IF($A664="","",IFERROR((SUMPRODUCT((TRIM(tblDados[Mandante])=$A664)*tblDados[Primeira_Ocorrencia]*((tblDados[GM_M]+tblDados[GS_M])&gt;3.5))+SUMPRODUCT((TRIM(tblDados[Visitante])=$A664)*tblDados[Primeira_Ocorrencia]*((tblDados[GM_V]+tblDados[GS_V])&gt;3.5)))/G664,0))</f>
        <v/>
      </c>
      <c r="O664" s="16" t="str" cm="1">
        <f t="array" ref="O664">IF($A664="","",IFERROR((SUMPRODUCT((TRIM(tblDados[Mandante])=$A664)*tblDados[Primeira_Ocorrencia]*(tblDados[GM_M]&gt;0)*(tblDados[GS_M]&gt;0))+SUMPRODUCT((TRIM(tblDados[Visitante])=$A664)*tblDados[Primeira_Ocorrencia]*(tblDados[GM_V]&gt;0)*(tblDados[GS_V]&gt;0)))/G664,0))</f>
        <v/>
      </c>
      <c r="P664" s="14" t="str" cm="1">
        <f t="array" ref="P664">IF($A664="","",IFERROR((SUMPRODUCT((TRIM(tblDados[Mandante])=$A664)*tblDados[Primeira_Ocorrencia]*tblDados[GM_M]^2)+SUMPRODUCT((TRIM(tblDados[Visitante])=$A664)*tblDados[Primeira_Ocorrencia]*tblDados[GM_V]^2))/G664-H664^2,0))</f>
        <v/>
      </c>
      <c r="Q664" s="14" t="str">
        <f t="shared" si="187"/>
        <v/>
      </c>
      <c r="R664" s="1" t="str">
        <f t="shared" si="188"/>
        <v/>
      </c>
      <c r="S664" s="14" t="str" cm="1">
        <f t="array" ref="S664">IF($A664="","",SUMPRODUCT((TRIM(tblDados[Mandante])=$A664)*tblDados[Primeira_Ocorrencia]*tblDados[GM_M]))</f>
        <v/>
      </c>
      <c r="T664" s="14" t="str" cm="1">
        <f t="array" ref="T664">IF($A664="","",SUMPRODUCT((TRIM(tblDados[Visitante])=$A664)*tblDados[Primeira_Ocorrencia]*tblDados[GM_V]))</f>
        <v/>
      </c>
      <c r="U664" s="14" t="str">
        <f t="shared" si="189"/>
        <v/>
      </c>
      <c r="V664" s="14" t="str">
        <f t="shared" si="178"/>
        <v/>
      </c>
      <c r="W664" s="14" t="str" cm="1">
        <f t="array" ref="W664">IF($A664="","",SUMPRODUCT((TRIM(tblDados[Mandante])=$A664)*tblDados[Primeira_Ocorrencia]*tblDados[GS_M]))</f>
        <v/>
      </c>
      <c r="X664" s="14" t="str" cm="1">
        <f t="array" ref="X664">IF($A664="","",SUMPRODUCT((TRIM(tblDados[Visitante])=$A664)*tblDados[Primeira_Ocorrencia]*tblDados[GS_V]))</f>
        <v/>
      </c>
      <c r="Y664" s="14" t="str">
        <f t="shared" si="190"/>
        <v/>
      </c>
      <c r="Z664" s="14" t="str">
        <f t="shared" si="179"/>
        <v/>
      </c>
      <c r="AA664" s="14" t="str">
        <f t="shared" si="180"/>
        <v/>
      </c>
      <c r="AB664" s="14" t="str">
        <f t="shared" si="181"/>
        <v/>
      </c>
      <c r="AC664" s="14" t="str">
        <f t="shared" si="182"/>
        <v/>
      </c>
      <c r="AD664" s="14" t="str">
        <f t="shared" si="183"/>
        <v/>
      </c>
    </row>
    <row r="665" spans="2:30" x14ac:dyDescent="0.3">
      <c r="B665" s="13" t="str" cm="1">
        <f t="array" ref="B665">IF($A665="","",_xlfn.LET(_xlpm.p,IFERROR(INDEX(tblDados[País],MATCH($A665,TRIM(tblDados[Mandante]),0)),INDEX(tblDados[País],MATCH($A665,TRIM(tblDados[Visitante]),0))),_xlpm.l,IFERROR(INDEX(tblDados[Liga],MATCH($A665,TRIM(tblDados[Mandante]),0)),INDEX(tblDados[Liga],MATCH($A665,TRIM(tblDados[Visitante]),0))),_xlpm.p&amp;" - "&amp;_xlpm.l))</f>
        <v/>
      </c>
      <c r="C665" s="14" t="str">
        <f t="shared" si="184"/>
        <v/>
      </c>
      <c r="D665" s="14" t="str">
        <f t="shared" si="185"/>
        <v/>
      </c>
      <c r="E665" s="15" t="str" cm="1">
        <f t="array" ref="E665">IF($A665="","",SUMPRODUCT((TRIM(tblDados[Mandante])=$A665)*tblDados[Primeira_Ocorrencia]))</f>
        <v/>
      </c>
      <c r="F665" s="15" t="str" cm="1">
        <f t="array" ref="F665">IF($A665="","",SUMPRODUCT((TRIM(tblDados[Visitante])=$A665)*tblDados[Primeira_Ocorrencia]))</f>
        <v/>
      </c>
      <c r="G665" s="15" t="str" cm="1">
        <f t="array" ref="G665">IF($A665="","",SUMPRODUCT((TRIM(tblDados[Mandante])=$A665)*tblDados[Primeira_Ocorrencia])+SUMPRODUCT((TRIM(tblDados[Visitante])=$A665)*tblDados[Primeira_Ocorrencia]))</f>
        <v/>
      </c>
      <c r="H665" s="14" t="str">
        <f t="shared" si="186"/>
        <v/>
      </c>
      <c r="I665" s="14" t="str" cm="1">
        <f t="array" ref="I665">IF($A665="","",_xlfn.LET(_xlpm.p,IFERROR(INDEX(tblDados[País],MATCH($A665,TRIM(tblDados[Mandante]),0)),INDEX(tblDados[País],MATCH($A665,TRIM(tblDados[Visitante]),0))),_xlpm.l,IFERROR(INDEX(tblDados[Liga],MATCH($A665,TRIM(tblDados[Mandante]),0)),INDEX(tblDados[Liga],MATCH($A665,TRIM(tblDados[Visitante]),0))),IFERROR(SUMIFS(Ligas!$D$2:$D$39,Ligas!$H$2:$H$39,_xlpm.p,Ligas!$I$2:$I$39,_xlpm.l),0)))</f>
        <v/>
      </c>
      <c r="J665" s="16" t="str" cm="1">
        <f t="array" ref="J665">IF($A665="","",IFERROR((SUMPRODUCT((TRIM(tblDados[Mandante])=$A665)*tblDados[Primeira_Ocorrencia]*(tblDados[GM_M]=0))+SUMPRODUCT((TRIM(tblDados[Visitante])=$A665)*tblDados[Primeira_Ocorrencia]*(tblDados[GM_V]=0)))/G665,0))</f>
        <v/>
      </c>
      <c r="K665" s="16" t="str" cm="1">
        <f t="array" ref="K665">IF($A665="","",IFERROR((SUMPRODUCT((TRIM(tblDados[Mandante])=$A665)*tblDados[Primeira_Ocorrencia]*((tblDados[GM_M]+tblDados[GS_M])&gt;0.5))+SUMPRODUCT((TRIM(tblDados[Visitante])=$A665)*tblDados[Primeira_Ocorrencia]*((tblDados[GM_V]+tblDados[GS_V])&gt;0.5)))/G665,0))</f>
        <v/>
      </c>
      <c r="L665" s="16" t="str" cm="1">
        <f t="array" ref="L665">IF($A665="","",IFERROR((SUMPRODUCT((TRIM(tblDados[Mandante])=$A665)*tblDados[Primeira_Ocorrencia]*((tblDados[GM_M]+tblDados[GS_M])&gt;1.5))+SUMPRODUCT((TRIM(tblDados[Visitante])=$A665)*tblDados[Primeira_Ocorrencia]*((tblDados[GM_V]+tblDados[GS_V])&gt;1.5)))/G665,0))</f>
        <v/>
      </c>
      <c r="M665" s="16" t="str" cm="1">
        <f t="array" ref="M665">IF($A665="","",IFERROR((SUMPRODUCT((TRIM(tblDados[Mandante])=$A665)*tblDados[Primeira_Ocorrencia]*((tblDados[GM_M]+tblDados[GS_M])&gt;2.5))+SUMPRODUCT((TRIM(tblDados[Visitante])=$A665)*tblDados[Primeira_Ocorrencia]*((tblDados[GM_V]+tblDados[GS_V])&gt;2.5)))/G665,0))</f>
        <v/>
      </c>
      <c r="N665" s="16" t="str" cm="1">
        <f t="array" ref="N665">IF($A665="","",IFERROR((SUMPRODUCT((TRIM(tblDados[Mandante])=$A665)*tblDados[Primeira_Ocorrencia]*((tblDados[GM_M]+tblDados[GS_M])&gt;3.5))+SUMPRODUCT((TRIM(tblDados[Visitante])=$A665)*tblDados[Primeira_Ocorrencia]*((tblDados[GM_V]+tblDados[GS_V])&gt;3.5)))/G665,0))</f>
        <v/>
      </c>
      <c r="O665" s="16" t="str" cm="1">
        <f t="array" ref="O665">IF($A665="","",IFERROR((SUMPRODUCT((TRIM(tblDados[Mandante])=$A665)*tblDados[Primeira_Ocorrencia]*(tblDados[GM_M]&gt;0)*(tblDados[GS_M]&gt;0))+SUMPRODUCT((TRIM(tblDados[Visitante])=$A665)*tblDados[Primeira_Ocorrencia]*(tblDados[GM_V]&gt;0)*(tblDados[GS_V]&gt;0)))/G665,0))</f>
        <v/>
      </c>
      <c r="P665" s="14" t="str" cm="1">
        <f t="array" ref="P665">IF($A665="","",IFERROR((SUMPRODUCT((TRIM(tblDados[Mandante])=$A665)*tblDados[Primeira_Ocorrencia]*tblDados[GM_M]^2)+SUMPRODUCT((TRIM(tblDados[Visitante])=$A665)*tblDados[Primeira_Ocorrencia]*tblDados[GM_V]^2))/G665-H665^2,0))</f>
        <v/>
      </c>
      <c r="Q665" s="14" t="str">
        <f t="shared" si="187"/>
        <v/>
      </c>
      <c r="R665" s="1" t="str">
        <f t="shared" si="188"/>
        <v/>
      </c>
      <c r="S665" s="14" t="str" cm="1">
        <f t="array" ref="S665">IF($A665="","",SUMPRODUCT((TRIM(tblDados[Mandante])=$A665)*tblDados[Primeira_Ocorrencia]*tblDados[GM_M]))</f>
        <v/>
      </c>
      <c r="T665" s="14" t="str" cm="1">
        <f t="array" ref="T665">IF($A665="","",SUMPRODUCT((TRIM(tblDados[Visitante])=$A665)*tblDados[Primeira_Ocorrencia]*tblDados[GM_V]))</f>
        <v/>
      </c>
      <c r="U665" s="14" t="str">
        <f t="shared" si="189"/>
        <v/>
      </c>
      <c r="V665" s="14" t="str">
        <f t="shared" si="178"/>
        <v/>
      </c>
      <c r="W665" s="14" t="str" cm="1">
        <f t="array" ref="W665">IF($A665="","",SUMPRODUCT((TRIM(tblDados[Mandante])=$A665)*tblDados[Primeira_Ocorrencia]*tblDados[GS_M]))</f>
        <v/>
      </c>
      <c r="X665" s="14" t="str" cm="1">
        <f t="array" ref="X665">IF($A665="","",SUMPRODUCT((TRIM(tblDados[Visitante])=$A665)*tblDados[Primeira_Ocorrencia]*tblDados[GS_V]))</f>
        <v/>
      </c>
      <c r="Y665" s="14" t="str">
        <f t="shared" si="190"/>
        <v/>
      </c>
      <c r="Z665" s="14" t="str">
        <f t="shared" si="179"/>
        <v/>
      </c>
      <c r="AA665" s="14" t="str">
        <f t="shared" si="180"/>
        <v/>
      </c>
      <c r="AB665" s="14" t="str">
        <f t="shared" si="181"/>
        <v/>
      </c>
      <c r="AC665" s="14" t="str">
        <f t="shared" si="182"/>
        <v/>
      </c>
      <c r="AD665" s="14" t="str">
        <f t="shared" si="183"/>
        <v/>
      </c>
    </row>
    <row r="666" spans="2:30" x14ac:dyDescent="0.3">
      <c r="B666" s="13" t="str" cm="1">
        <f t="array" ref="B666">IF($A666="","",_xlfn.LET(_xlpm.p,IFERROR(INDEX(tblDados[País],MATCH($A666,TRIM(tblDados[Mandante]),0)),INDEX(tblDados[País],MATCH($A666,TRIM(tblDados[Visitante]),0))),_xlpm.l,IFERROR(INDEX(tblDados[Liga],MATCH($A666,TRIM(tblDados[Mandante]),0)),INDEX(tblDados[Liga],MATCH($A666,TRIM(tblDados[Visitante]),0))),_xlpm.p&amp;" - "&amp;_xlpm.l))</f>
        <v/>
      </c>
      <c r="C666" s="14" t="str">
        <f t="shared" si="184"/>
        <v/>
      </c>
      <c r="D666" s="14" t="str">
        <f t="shared" si="185"/>
        <v/>
      </c>
      <c r="E666" s="15" t="str" cm="1">
        <f t="array" ref="E666">IF($A666="","",SUMPRODUCT((TRIM(tblDados[Mandante])=$A666)*tblDados[Primeira_Ocorrencia]))</f>
        <v/>
      </c>
      <c r="F666" s="15" t="str" cm="1">
        <f t="array" ref="F666">IF($A666="","",SUMPRODUCT((TRIM(tblDados[Visitante])=$A666)*tblDados[Primeira_Ocorrencia]))</f>
        <v/>
      </c>
      <c r="G666" s="15" t="str" cm="1">
        <f t="array" ref="G666">IF($A666="","",SUMPRODUCT((TRIM(tblDados[Mandante])=$A666)*tblDados[Primeira_Ocorrencia])+SUMPRODUCT((TRIM(tblDados[Visitante])=$A666)*tblDados[Primeira_Ocorrencia]))</f>
        <v/>
      </c>
      <c r="H666" s="14" t="str">
        <f t="shared" si="186"/>
        <v/>
      </c>
      <c r="I666" s="14" t="str" cm="1">
        <f t="array" ref="I666">IF($A666="","",_xlfn.LET(_xlpm.p,IFERROR(INDEX(tblDados[País],MATCH($A666,TRIM(tblDados[Mandante]),0)),INDEX(tblDados[País],MATCH($A666,TRIM(tblDados[Visitante]),0))),_xlpm.l,IFERROR(INDEX(tblDados[Liga],MATCH($A666,TRIM(tblDados[Mandante]),0)),INDEX(tblDados[Liga],MATCH($A666,TRIM(tblDados[Visitante]),0))),IFERROR(SUMIFS(Ligas!$D$2:$D$39,Ligas!$H$2:$H$39,_xlpm.p,Ligas!$I$2:$I$39,_xlpm.l),0)))</f>
        <v/>
      </c>
      <c r="J666" s="16" t="str" cm="1">
        <f t="array" ref="J666">IF($A666="","",IFERROR((SUMPRODUCT((TRIM(tblDados[Mandante])=$A666)*tblDados[Primeira_Ocorrencia]*(tblDados[GM_M]=0))+SUMPRODUCT((TRIM(tblDados[Visitante])=$A666)*tblDados[Primeira_Ocorrencia]*(tblDados[GM_V]=0)))/G666,0))</f>
        <v/>
      </c>
      <c r="K666" s="16" t="str" cm="1">
        <f t="array" ref="K666">IF($A666="","",IFERROR((SUMPRODUCT((TRIM(tblDados[Mandante])=$A666)*tblDados[Primeira_Ocorrencia]*((tblDados[GM_M]+tblDados[GS_M])&gt;0.5))+SUMPRODUCT((TRIM(tblDados[Visitante])=$A666)*tblDados[Primeira_Ocorrencia]*((tblDados[GM_V]+tblDados[GS_V])&gt;0.5)))/G666,0))</f>
        <v/>
      </c>
      <c r="L666" s="16" t="str" cm="1">
        <f t="array" ref="L666">IF($A666="","",IFERROR((SUMPRODUCT((TRIM(tblDados[Mandante])=$A666)*tblDados[Primeira_Ocorrencia]*((tblDados[GM_M]+tblDados[GS_M])&gt;1.5))+SUMPRODUCT((TRIM(tblDados[Visitante])=$A666)*tblDados[Primeira_Ocorrencia]*((tblDados[GM_V]+tblDados[GS_V])&gt;1.5)))/G666,0))</f>
        <v/>
      </c>
      <c r="M666" s="16" t="str" cm="1">
        <f t="array" ref="M666">IF($A666="","",IFERROR((SUMPRODUCT((TRIM(tblDados[Mandante])=$A666)*tblDados[Primeira_Ocorrencia]*((tblDados[GM_M]+tblDados[GS_M])&gt;2.5))+SUMPRODUCT((TRIM(tblDados[Visitante])=$A666)*tblDados[Primeira_Ocorrencia]*((tblDados[GM_V]+tblDados[GS_V])&gt;2.5)))/G666,0))</f>
        <v/>
      </c>
      <c r="N666" s="16" t="str" cm="1">
        <f t="array" ref="N666">IF($A666="","",IFERROR((SUMPRODUCT((TRIM(tblDados[Mandante])=$A666)*tblDados[Primeira_Ocorrencia]*((tblDados[GM_M]+tblDados[GS_M])&gt;3.5))+SUMPRODUCT((TRIM(tblDados[Visitante])=$A666)*tblDados[Primeira_Ocorrencia]*((tblDados[GM_V]+tblDados[GS_V])&gt;3.5)))/G666,0))</f>
        <v/>
      </c>
      <c r="O666" s="16" t="str" cm="1">
        <f t="array" ref="O666">IF($A666="","",IFERROR((SUMPRODUCT((TRIM(tblDados[Mandante])=$A666)*tblDados[Primeira_Ocorrencia]*(tblDados[GM_M]&gt;0)*(tblDados[GS_M]&gt;0))+SUMPRODUCT((TRIM(tblDados[Visitante])=$A666)*tblDados[Primeira_Ocorrencia]*(tblDados[GM_V]&gt;0)*(tblDados[GS_V]&gt;0)))/G666,0))</f>
        <v/>
      </c>
      <c r="P666" s="14" t="str" cm="1">
        <f t="array" ref="P666">IF($A666="","",IFERROR((SUMPRODUCT((TRIM(tblDados[Mandante])=$A666)*tblDados[Primeira_Ocorrencia]*tblDados[GM_M]^2)+SUMPRODUCT((TRIM(tblDados[Visitante])=$A666)*tblDados[Primeira_Ocorrencia]*tblDados[GM_V]^2))/G666-H666^2,0))</f>
        <v/>
      </c>
      <c r="Q666" s="14" t="str">
        <f t="shared" si="187"/>
        <v/>
      </c>
      <c r="R666" s="1" t="str">
        <f t="shared" si="188"/>
        <v/>
      </c>
      <c r="S666" s="14" t="str" cm="1">
        <f t="array" ref="S666">IF($A666="","",SUMPRODUCT((TRIM(tblDados[Mandante])=$A666)*tblDados[Primeira_Ocorrencia]*tblDados[GM_M]))</f>
        <v/>
      </c>
      <c r="T666" s="14" t="str" cm="1">
        <f t="array" ref="T666">IF($A666="","",SUMPRODUCT((TRIM(tblDados[Visitante])=$A666)*tblDados[Primeira_Ocorrencia]*tblDados[GM_V]))</f>
        <v/>
      </c>
      <c r="U666" s="14" t="str">
        <f t="shared" si="189"/>
        <v/>
      </c>
      <c r="V666" s="14" t="str">
        <f t="shared" si="178"/>
        <v/>
      </c>
      <c r="W666" s="14" t="str" cm="1">
        <f t="array" ref="W666">IF($A666="","",SUMPRODUCT((TRIM(tblDados[Mandante])=$A666)*tblDados[Primeira_Ocorrencia]*tblDados[GS_M]))</f>
        <v/>
      </c>
      <c r="X666" s="14" t="str" cm="1">
        <f t="array" ref="X666">IF($A666="","",SUMPRODUCT((TRIM(tblDados[Visitante])=$A666)*tblDados[Primeira_Ocorrencia]*tblDados[GS_V]))</f>
        <v/>
      </c>
      <c r="Y666" s="14" t="str">
        <f t="shared" si="190"/>
        <v/>
      </c>
      <c r="Z666" s="14" t="str">
        <f t="shared" si="179"/>
        <v/>
      </c>
      <c r="AA666" s="14" t="str">
        <f t="shared" si="180"/>
        <v/>
      </c>
      <c r="AB666" s="14" t="str">
        <f t="shared" si="181"/>
        <v/>
      </c>
      <c r="AC666" s="14" t="str">
        <f t="shared" si="182"/>
        <v/>
      </c>
      <c r="AD666" s="14" t="str">
        <f t="shared" si="183"/>
        <v/>
      </c>
    </row>
    <row r="667" spans="2:30" x14ac:dyDescent="0.3">
      <c r="B667" s="13" t="str" cm="1">
        <f t="array" ref="B667">IF($A667="","",_xlfn.LET(_xlpm.p,IFERROR(INDEX(tblDados[País],MATCH($A667,TRIM(tblDados[Mandante]),0)),INDEX(tblDados[País],MATCH($A667,TRIM(tblDados[Visitante]),0))),_xlpm.l,IFERROR(INDEX(tblDados[Liga],MATCH($A667,TRIM(tblDados[Mandante]),0)),INDEX(tblDados[Liga],MATCH($A667,TRIM(tblDados[Visitante]),0))),_xlpm.p&amp;" - "&amp;_xlpm.l))</f>
        <v/>
      </c>
      <c r="C667" s="14" t="str">
        <f t="shared" si="184"/>
        <v/>
      </c>
      <c r="D667" s="14" t="str">
        <f t="shared" si="185"/>
        <v/>
      </c>
      <c r="E667" s="15" t="str" cm="1">
        <f t="array" ref="E667">IF($A667="","",SUMPRODUCT((TRIM(tblDados[Mandante])=$A667)*tblDados[Primeira_Ocorrencia]))</f>
        <v/>
      </c>
      <c r="F667" s="15" t="str" cm="1">
        <f t="array" ref="F667">IF($A667="","",SUMPRODUCT((TRIM(tblDados[Visitante])=$A667)*tblDados[Primeira_Ocorrencia]))</f>
        <v/>
      </c>
      <c r="G667" s="15" t="str" cm="1">
        <f t="array" ref="G667">IF($A667="","",SUMPRODUCT((TRIM(tblDados[Mandante])=$A667)*tblDados[Primeira_Ocorrencia])+SUMPRODUCT((TRIM(tblDados[Visitante])=$A667)*tblDados[Primeira_Ocorrencia]))</f>
        <v/>
      </c>
      <c r="H667" s="14" t="str">
        <f t="shared" si="186"/>
        <v/>
      </c>
      <c r="I667" s="14" t="str" cm="1">
        <f t="array" ref="I667">IF($A667="","",_xlfn.LET(_xlpm.p,IFERROR(INDEX(tblDados[País],MATCH($A667,TRIM(tblDados[Mandante]),0)),INDEX(tblDados[País],MATCH($A667,TRIM(tblDados[Visitante]),0))),_xlpm.l,IFERROR(INDEX(tblDados[Liga],MATCH($A667,TRIM(tblDados[Mandante]),0)),INDEX(tblDados[Liga],MATCH($A667,TRIM(tblDados[Visitante]),0))),IFERROR(SUMIFS(Ligas!$D$2:$D$39,Ligas!$H$2:$H$39,_xlpm.p,Ligas!$I$2:$I$39,_xlpm.l),0)))</f>
        <v/>
      </c>
      <c r="J667" s="16" t="str" cm="1">
        <f t="array" ref="J667">IF($A667="","",IFERROR((SUMPRODUCT((TRIM(tblDados[Mandante])=$A667)*tblDados[Primeira_Ocorrencia]*(tblDados[GM_M]=0))+SUMPRODUCT((TRIM(tblDados[Visitante])=$A667)*tblDados[Primeira_Ocorrencia]*(tblDados[GM_V]=0)))/G667,0))</f>
        <v/>
      </c>
      <c r="K667" s="16" t="str" cm="1">
        <f t="array" ref="K667">IF($A667="","",IFERROR((SUMPRODUCT((TRIM(tblDados[Mandante])=$A667)*tblDados[Primeira_Ocorrencia]*((tblDados[GM_M]+tblDados[GS_M])&gt;0.5))+SUMPRODUCT((TRIM(tblDados[Visitante])=$A667)*tblDados[Primeira_Ocorrencia]*((tblDados[GM_V]+tblDados[GS_V])&gt;0.5)))/G667,0))</f>
        <v/>
      </c>
      <c r="L667" s="16" t="str" cm="1">
        <f t="array" ref="L667">IF($A667="","",IFERROR((SUMPRODUCT((TRIM(tblDados[Mandante])=$A667)*tblDados[Primeira_Ocorrencia]*((tblDados[GM_M]+tblDados[GS_M])&gt;1.5))+SUMPRODUCT((TRIM(tblDados[Visitante])=$A667)*tblDados[Primeira_Ocorrencia]*((tblDados[GM_V]+tblDados[GS_V])&gt;1.5)))/G667,0))</f>
        <v/>
      </c>
      <c r="M667" s="16" t="str" cm="1">
        <f t="array" ref="M667">IF($A667="","",IFERROR((SUMPRODUCT((TRIM(tblDados[Mandante])=$A667)*tblDados[Primeira_Ocorrencia]*((tblDados[GM_M]+tblDados[GS_M])&gt;2.5))+SUMPRODUCT((TRIM(tblDados[Visitante])=$A667)*tblDados[Primeira_Ocorrencia]*((tblDados[GM_V]+tblDados[GS_V])&gt;2.5)))/G667,0))</f>
        <v/>
      </c>
      <c r="N667" s="16" t="str" cm="1">
        <f t="array" ref="N667">IF($A667="","",IFERROR((SUMPRODUCT((TRIM(tblDados[Mandante])=$A667)*tblDados[Primeira_Ocorrencia]*((tblDados[GM_M]+tblDados[GS_M])&gt;3.5))+SUMPRODUCT((TRIM(tblDados[Visitante])=$A667)*tblDados[Primeira_Ocorrencia]*((tblDados[GM_V]+tblDados[GS_V])&gt;3.5)))/G667,0))</f>
        <v/>
      </c>
      <c r="O667" s="16" t="str" cm="1">
        <f t="array" ref="O667">IF($A667="","",IFERROR((SUMPRODUCT((TRIM(tblDados[Mandante])=$A667)*tblDados[Primeira_Ocorrencia]*(tblDados[GM_M]&gt;0)*(tblDados[GS_M]&gt;0))+SUMPRODUCT((TRIM(tblDados[Visitante])=$A667)*tblDados[Primeira_Ocorrencia]*(tblDados[GM_V]&gt;0)*(tblDados[GS_V]&gt;0)))/G667,0))</f>
        <v/>
      </c>
      <c r="P667" s="14" t="str" cm="1">
        <f t="array" ref="P667">IF($A667="","",IFERROR((SUMPRODUCT((TRIM(tblDados[Mandante])=$A667)*tblDados[Primeira_Ocorrencia]*tblDados[GM_M]^2)+SUMPRODUCT((TRIM(tblDados[Visitante])=$A667)*tblDados[Primeira_Ocorrencia]*tblDados[GM_V]^2))/G667-H667^2,0))</f>
        <v/>
      </c>
      <c r="Q667" s="14" t="str">
        <f t="shared" si="187"/>
        <v/>
      </c>
      <c r="R667" s="1" t="str">
        <f t="shared" si="188"/>
        <v/>
      </c>
      <c r="S667" s="14" t="str" cm="1">
        <f t="array" ref="S667">IF($A667="","",SUMPRODUCT((TRIM(tblDados[Mandante])=$A667)*tblDados[Primeira_Ocorrencia]*tblDados[GM_M]))</f>
        <v/>
      </c>
      <c r="T667" s="14" t="str" cm="1">
        <f t="array" ref="T667">IF($A667="","",SUMPRODUCT((TRIM(tblDados[Visitante])=$A667)*tblDados[Primeira_Ocorrencia]*tblDados[GM_V]))</f>
        <v/>
      </c>
      <c r="U667" s="14" t="str">
        <f t="shared" si="189"/>
        <v/>
      </c>
      <c r="V667" s="14" t="str">
        <f t="shared" si="178"/>
        <v/>
      </c>
      <c r="W667" s="14" t="str" cm="1">
        <f t="array" ref="W667">IF($A667="","",SUMPRODUCT((TRIM(tblDados[Mandante])=$A667)*tblDados[Primeira_Ocorrencia]*tblDados[GS_M]))</f>
        <v/>
      </c>
      <c r="X667" s="14" t="str" cm="1">
        <f t="array" ref="X667">IF($A667="","",SUMPRODUCT((TRIM(tblDados[Visitante])=$A667)*tblDados[Primeira_Ocorrencia]*tblDados[GS_V]))</f>
        <v/>
      </c>
      <c r="Y667" s="14" t="str">
        <f t="shared" si="190"/>
        <v/>
      </c>
      <c r="Z667" s="14" t="str">
        <f t="shared" si="179"/>
        <v/>
      </c>
      <c r="AA667" s="14" t="str">
        <f t="shared" si="180"/>
        <v/>
      </c>
      <c r="AB667" s="14" t="str">
        <f t="shared" si="181"/>
        <v/>
      </c>
      <c r="AC667" s="14" t="str">
        <f t="shared" si="182"/>
        <v/>
      </c>
      <c r="AD667" s="14" t="str">
        <f t="shared" si="183"/>
        <v/>
      </c>
    </row>
    <row r="668" spans="2:30" x14ac:dyDescent="0.3">
      <c r="B668" s="13" t="str" cm="1">
        <f t="array" ref="B668">IF($A668="","",_xlfn.LET(_xlpm.p,IFERROR(INDEX(tblDados[País],MATCH($A668,TRIM(tblDados[Mandante]),0)),INDEX(tblDados[País],MATCH($A668,TRIM(tblDados[Visitante]),0))),_xlpm.l,IFERROR(INDEX(tblDados[Liga],MATCH($A668,TRIM(tblDados[Mandante]),0)),INDEX(tblDados[Liga],MATCH($A668,TRIM(tblDados[Visitante]),0))),_xlpm.p&amp;" - "&amp;_xlpm.l))</f>
        <v/>
      </c>
      <c r="C668" s="14" t="str">
        <f t="shared" si="184"/>
        <v/>
      </c>
      <c r="D668" s="14" t="str">
        <f t="shared" si="185"/>
        <v/>
      </c>
      <c r="E668" s="15" t="str" cm="1">
        <f t="array" ref="E668">IF($A668="","",SUMPRODUCT((TRIM(tblDados[Mandante])=$A668)*tblDados[Primeira_Ocorrencia]))</f>
        <v/>
      </c>
      <c r="F668" s="15" t="str" cm="1">
        <f t="array" ref="F668">IF($A668="","",SUMPRODUCT((TRIM(tblDados[Visitante])=$A668)*tblDados[Primeira_Ocorrencia]))</f>
        <v/>
      </c>
      <c r="G668" s="15" t="str" cm="1">
        <f t="array" ref="G668">IF($A668="","",SUMPRODUCT((TRIM(tblDados[Mandante])=$A668)*tblDados[Primeira_Ocorrencia])+SUMPRODUCT((TRIM(tblDados[Visitante])=$A668)*tblDados[Primeira_Ocorrencia]))</f>
        <v/>
      </c>
      <c r="H668" s="14" t="str">
        <f t="shared" si="186"/>
        <v/>
      </c>
      <c r="I668" s="14" t="str" cm="1">
        <f t="array" ref="I668">IF($A668="","",_xlfn.LET(_xlpm.p,IFERROR(INDEX(tblDados[País],MATCH($A668,TRIM(tblDados[Mandante]),0)),INDEX(tblDados[País],MATCH($A668,TRIM(tblDados[Visitante]),0))),_xlpm.l,IFERROR(INDEX(tblDados[Liga],MATCH($A668,TRIM(tblDados[Mandante]),0)),INDEX(tblDados[Liga],MATCH($A668,TRIM(tblDados[Visitante]),0))),IFERROR(SUMIFS(Ligas!$D$2:$D$39,Ligas!$H$2:$H$39,_xlpm.p,Ligas!$I$2:$I$39,_xlpm.l),0)))</f>
        <v/>
      </c>
      <c r="J668" s="16" t="str" cm="1">
        <f t="array" ref="J668">IF($A668="","",IFERROR((SUMPRODUCT((TRIM(tblDados[Mandante])=$A668)*tblDados[Primeira_Ocorrencia]*(tblDados[GM_M]=0))+SUMPRODUCT((TRIM(tblDados[Visitante])=$A668)*tblDados[Primeira_Ocorrencia]*(tblDados[GM_V]=0)))/G668,0))</f>
        <v/>
      </c>
      <c r="K668" s="16" t="str" cm="1">
        <f t="array" ref="K668">IF($A668="","",IFERROR((SUMPRODUCT((TRIM(tblDados[Mandante])=$A668)*tblDados[Primeira_Ocorrencia]*((tblDados[GM_M]+tblDados[GS_M])&gt;0.5))+SUMPRODUCT((TRIM(tblDados[Visitante])=$A668)*tblDados[Primeira_Ocorrencia]*((tblDados[GM_V]+tblDados[GS_V])&gt;0.5)))/G668,0))</f>
        <v/>
      </c>
      <c r="L668" s="16" t="str" cm="1">
        <f t="array" ref="L668">IF($A668="","",IFERROR((SUMPRODUCT((TRIM(tblDados[Mandante])=$A668)*tblDados[Primeira_Ocorrencia]*((tblDados[GM_M]+tblDados[GS_M])&gt;1.5))+SUMPRODUCT((TRIM(tblDados[Visitante])=$A668)*tblDados[Primeira_Ocorrencia]*((tblDados[GM_V]+tblDados[GS_V])&gt;1.5)))/G668,0))</f>
        <v/>
      </c>
      <c r="M668" s="16" t="str" cm="1">
        <f t="array" ref="M668">IF($A668="","",IFERROR((SUMPRODUCT((TRIM(tblDados[Mandante])=$A668)*tblDados[Primeira_Ocorrencia]*((tblDados[GM_M]+tblDados[GS_M])&gt;2.5))+SUMPRODUCT((TRIM(tblDados[Visitante])=$A668)*tblDados[Primeira_Ocorrencia]*((tblDados[GM_V]+tblDados[GS_V])&gt;2.5)))/G668,0))</f>
        <v/>
      </c>
      <c r="N668" s="16" t="str" cm="1">
        <f t="array" ref="N668">IF($A668="","",IFERROR((SUMPRODUCT((TRIM(tblDados[Mandante])=$A668)*tblDados[Primeira_Ocorrencia]*((tblDados[GM_M]+tblDados[GS_M])&gt;3.5))+SUMPRODUCT((TRIM(tblDados[Visitante])=$A668)*tblDados[Primeira_Ocorrencia]*((tblDados[GM_V]+tblDados[GS_V])&gt;3.5)))/G668,0))</f>
        <v/>
      </c>
      <c r="O668" s="16" t="str" cm="1">
        <f t="array" ref="O668">IF($A668="","",IFERROR((SUMPRODUCT((TRIM(tblDados[Mandante])=$A668)*tblDados[Primeira_Ocorrencia]*(tblDados[GM_M]&gt;0)*(tblDados[GS_M]&gt;0))+SUMPRODUCT((TRIM(tblDados[Visitante])=$A668)*tblDados[Primeira_Ocorrencia]*(tblDados[GM_V]&gt;0)*(tblDados[GS_V]&gt;0)))/G668,0))</f>
        <v/>
      </c>
      <c r="P668" s="14" t="str" cm="1">
        <f t="array" ref="P668">IF($A668="","",IFERROR((SUMPRODUCT((TRIM(tblDados[Mandante])=$A668)*tblDados[Primeira_Ocorrencia]*tblDados[GM_M]^2)+SUMPRODUCT((TRIM(tblDados[Visitante])=$A668)*tblDados[Primeira_Ocorrencia]*tblDados[GM_V]^2))/G668-H668^2,0))</f>
        <v/>
      </c>
      <c r="Q668" s="14" t="str">
        <f t="shared" si="187"/>
        <v/>
      </c>
      <c r="R668" s="1" t="str">
        <f t="shared" si="188"/>
        <v/>
      </c>
      <c r="S668" s="14" t="str" cm="1">
        <f t="array" ref="S668">IF($A668="","",SUMPRODUCT((TRIM(tblDados[Mandante])=$A668)*tblDados[Primeira_Ocorrencia]*tblDados[GM_M]))</f>
        <v/>
      </c>
      <c r="T668" s="14" t="str" cm="1">
        <f t="array" ref="T668">IF($A668="","",SUMPRODUCT((TRIM(tblDados[Visitante])=$A668)*tblDados[Primeira_Ocorrencia]*tblDados[GM_V]))</f>
        <v/>
      </c>
      <c r="U668" s="14" t="str">
        <f t="shared" si="189"/>
        <v/>
      </c>
      <c r="V668" s="14" t="str">
        <f t="shared" si="178"/>
        <v/>
      </c>
      <c r="W668" s="14" t="str" cm="1">
        <f t="array" ref="W668">IF($A668="","",SUMPRODUCT((TRIM(tblDados[Mandante])=$A668)*tblDados[Primeira_Ocorrencia]*tblDados[GS_M]))</f>
        <v/>
      </c>
      <c r="X668" s="14" t="str" cm="1">
        <f t="array" ref="X668">IF($A668="","",SUMPRODUCT((TRIM(tblDados[Visitante])=$A668)*tblDados[Primeira_Ocorrencia]*tblDados[GS_V]))</f>
        <v/>
      </c>
      <c r="Y668" s="14" t="str">
        <f t="shared" si="190"/>
        <v/>
      </c>
      <c r="Z668" s="14" t="str">
        <f t="shared" si="179"/>
        <v/>
      </c>
      <c r="AA668" s="14" t="str">
        <f t="shared" si="180"/>
        <v/>
      </c>
      <c r="AB668" s="14" t="str">
        <f t="shared" si="181"/>
        <v/>
      </c>
      <c r="AC668" s="14" t="str">
        <f t="shared" si="182"/>
        <v/>
      </c>
      <c r="AD668" s="14" t="str">
        <f t="shared" si="183"/>
        <v/>
      </c>
    </row>
    <row r="669" spans="2:30" x14ac:dyDescent="0.3">
      <c r="B669" s="13" t="str" cm="1">
        <f t="array" ref="B669">IF($A669="","",_xlfn.LET(_xlpm.p,IFERROR(INDEX(tblDados[País],MATCH($A669,TRIM(tblDados[Mandante]),0)),INDEX(tblDados[País],MATCH($A669,TRIM(tblDados[Visitante]),0))),_xlpm.l,IFERROR(INDEX(tblDados[Liga],MATCH($A669,TRIM(tblDados[Mandante]),0)),INDEX(tblDados[Liga],MATCH($A669,TRIM(tblDados[Visitante]),0))),_xlpm.p&amp;" - "&amp;_xlpm.l))</f>
        <v/>
      </c>
      <c r="C669" s="14" t="str">
        <f t="shared" si="184"/>
        <v/>
      </c>
      <c r="D669" s="14" t="str">
        <f t="shared" si="185"/>
        <v/>
      </c>
      <c r="E669" s="15" t="str" cm="1">
        <f t="array" ref="E669">IF($A669="","",SUMPRODUCT((TRIM(tblDados[Mandante])=$A669)*tblDados[Primeira_Ocorrencia]))</f>
        <v/>
      </c>
      <c r="F669" s="15" t="str" cm="1">
        <f t="array" ref="F669">IF($A669="","",SUMPRODUCT((TRIM(tblDados[Visitante])=$A669)*tblDados[Primeira_Ocorrencia]))</f>
        <v/>
      </c>
      <c r="G669" s="15" t="str" cm="1">
        <f t="array" ref="G669">IF($A669="","",SUMPRODUCT((TRIM(tblDados[Mandante])=$A669)*tblDados[Primeira_Ocorrencia])+SUMPRODUCT((TRIM(tblDados[Visitante])=$A669)*tblDados[Primeira_Ocorrencia]))</f>
        <v/>
      </c>
      <c r="H669" s="14" t="str">
        <f t="shared" si="186"/>
        <v/>
      </c>
      <c r="I669" s="14" t="str" cm="1">
        <f t="array" ref="I669">IF($A669="","",_xlfn.LET(_xlpm.p,IFERROR(INDEX(tblDados[País],MATCH($A669,TRIM(tblDados[Mandante]),0)),INDEX(tblDados[País],MATCH($A669,TRIM(tblDados[Visitante]),0))),_xlpm.l,IFERROR(INDEX(tblDados[Liga],MATCH($A669,TRIM(tblDados[Mandante]),0)),INDEX(tblDados[Liga],MATCH($A669,TRIM(tblDados[Visitante]),0))),IFERROR(SUMIFS(Ligas!$D$2:$D$39,Ligas!$H$2:$H$39,_xlpm.p,Ligas!$I$2:$I$39,_xlpm.l),0)))</f>
        <v/>
      </c>
      <c r="J669" s="16" t="str" cm="1">
        <f t="array" ref="J669">IF($A669="","",IFERROR((SUMPRODUCT((TRIM(tblDados[Mandante])=$A669)*tblDados[Primeira_Ocorrencia]*(tblDados[GM_M]=0))+SUMPRODUCT((TRIM(tblDados[Visitante])=$A669)*tblDados[Primeira_Ocorrencia]*(tblDados[GM_V]=0)))/G669,0))</f>
        <v/>
      </c>
      <c r="K669" s="16" t="str" cm="1">
        <f t="array" ref="K669">IF($A669="","",IFERROR((SUMPRODUCT((TRIM(tblDados[Mandante])=$A669)*tblDados[Primeira_Ocorrencia]*((tblDados[GM_M]+tblDados[GS_M])&gt;0.5))+SUMPRODUCT((TRIM(tblDados[Visitante])=$A669)*tblDados[Primeira_Ocorrencia]*((tblDados[GM_V]+tblDados[GS_V])&gt;0.5)))/G669,0))</f>
        <v/>
      </c>
      <c r="L669" s="16" t="str" cm="1">
        <f t="array" ref="L669">IF($A669="","",IFERROR((SUMPRODUCT((TRIM(tblDados[Mandante])=$A669)*tblDados[Primeira_Ocorrencia]*((tblDados[GM_M]+tblDados[GS_M])&gt;1.5))+SUMPRODUCT((TRIM(tblDados[Visitante])=$A669)*tblDados[Primeira_Ocorrencia]*((tblDados[GM_V]+tblDados[GS_V])&gt;1.5)))/G669,0))</f>
        <v/>
      </c>
      <c r="M669" s="16" t="str" cm="1">
        <f t="array" ref="M669">IF($A669="","",IFERROR((SUMPRODUCT((TRIM(tblDados[Mandante])=$A669)*tblDados[Primeira_Ocorrencia]*((tblDados[GM_M]+tblDados[GS_M])&gt;2.5))+SUMPRODUCT((TRIM(tblDados[Visitante])=$A669)*tblDados[Primeira_Ocorrencia]*((tblDados[GM_V]+tblDados[GS_V])&gt;2.5)))/G669,0))</f>
        <v/>
      </c>
      <c r="N669" s="16" t="str" cm="1">
        <f t="array" ref="N669">IF($A669="","",IFERROR((SUMPRODUCT((TRIM(tblDados[Mandante])=$A669)*tblDados[Primeira_Ocorrencia]*((tblDados[GM_M]+tblDados[GS_M])&gt;3.5))+SUMPRODUCT((TRIM(tblDados[Visitante])=$A669)*tblDados[Primeira_Ocorrencia]*((tblDados[GM_V]+tblDados[GS_V])&gt;3.5)))/G669,0))</f>
        <v/>
      </c>
      <c r="O669" s="16" t="str" cm="1">
        <f t="array" ref="O669">IF($A669="","",IFERROR((SUMPRODUCT((TRIM(tblDados[Mandante])=$A669)*tblDados[Primeira_Ocorrencia]*(tblDados[GM_M]&gt;0)*(tblDados[GS_M]&gt;0))+SUMPRODUCT((TRIM(tblDados[Visitante])=$A669)*tblDados[Primeira_Ocorrencia]*(tblDados[GM_V]&gt;0)*(tblDados[GS_V]&gt;0)))/G669,0))</f>
        <v/>
      </c>
      <c r="P669" s="14" t="str" cm="1">
        <f t="array" ref="P669">IF($A669="","",IFERROR((SUMPRODUCT((TRIM(tblDados[Mandante])=$A669)*tblDados[Primeira_Ocorrencia]*tblDados[GM_M]^2)+SUMPRODUCT((TRIM(tblDados[Visitante])=$A669)*tblDados[Primeira_Ocorrencia]*tblDados[GM_V]^2))/G669-H669^2,0))</f>
        <v/>
      </c>
      <c r="Q669" s="14" t="str">
        <f t="shared" si="187"/>
        <v/>
      </c>
      <c r="R669" s="1" t="str">
        <f t="shared" si="188"/>
        <v/>
      </c>
      <c r="S669" s="14" t="str" cm="1">
        <f t="array" ref="S669">IF($A669="","",SUMPRODUCT((TRIM(tblDados[Mandante])=$A669)*tblDados[Primeira_Ocorrencia]*tblDados[GM_M]))</f>
        <v/>
      </c>
      <c r="T669" s="14" t="str" cm="1">
        <f t="array" ref="T669">IF($A669="","",SUMPRODUCT((TRIM(tblDados[Visitante])=$A669)*tblDados[Primeira_Ocorrencia]*tblDados[GM_V]))</f>
        <v/>
      </c>
      <c r="U669" s="14" t="str">
        <f t="shared" si="189"/>
        <v/>
      </c>
      <c r="V669" s="14" t="str">
        <f t="shared" si="178"/>
        <v/>
      </c>
      <c r="W669" s="14" t="str" cm="1">
        <f t="array" ref="W669">IF($A669="","",SUMPRODUCT((TRIM(tblDados[Mandante])=$A669)*tblDados[Primeira_Ocorrencia]*tblDados[GS_M]))</f>
        <v/>
      </c>
      <c r="X669" s="14" t="str" cm="1">
        <f t="array" ref="X669">IF($A669="","",SUMPRODUCT((TRIM(tblDados[Visitante])=$A669)*tblDados[Primeira_Ocorrencia]*tblDados[GS_V]))</f>
        <v/>
      </c>
      <c r="Y669" s="14" t="str">
        <f t="shared" si="190"/>
        <v/>
      </c>
      <c r="Z669" s="14" t="str">
        <f t="shared" si="179"/>
        <v/>
      </c>
      <c r="AA669" s="14" t="str">
        <f t="shared" si="180"/>
        <v/>
      </c>
      <c r="AB669" s="14" t="str">
        <f t="shared" si="181"/>
        <v/>
      </c>
      <c r="AC669" s="14" t="str">
        <f t="shared" si="182"/>
        <v/>
      </c>
      <c r="AD669" s="14" t="str">
        <f t="shared" si="183"/>
        <v/>
      </c>
    </row>
    <row r="670" spans="2:30" x14ac:dyDescent="0.3">
      <c r="B670" s="13" t="str" cm="1">
        <f t="array" ref="B670">IF($A670="","",_xlfn.LET(_xlpm.p,IFERROR(INDEX(tblDados[País],MATCH($A670,TRIM(tblDados[Mandante]),0)),INDEX(tblDados[País],MATCH($A670,TRIM(tblDados[Visitante]),0))),_xlpm.l,IFERROR(INDEX(tblDados[Liga],MATCH($A670,TRIM(tblDados[Mandante]),0)),INDEX(tblDados[Liga],MATCH($A670,TRIM(tblDados[Visitante]),0))),_xlpm.p&amp;" - "&amp;_xlpm.l))</f>
        <v/>
      </c>
      <c r="C670" s="14" t="str">
        <f t="shared" si="184"/>
        <v/>
      </c>
      <c r="D670" s="14" t="str">
        <f t="shared" si="185"/>
        <v/>
      </c>
      <c r="E670" s="15" t="str" cm="1">
        <f t="array" ref="E670">IF($A670="","",SUMPRODUCT((TRIM(tblDados[Mandante])=$A670)*tblDados[Primeira_Ocorrencia]))</f>
        <v/>
      </c>
      <c r="F670" s="15" t="str" cm="1">
        <f t="array" ref="F670">IF($A670="","",SUMPRODUCT((TRIM(tblDados[Visitante])=$A670)*tblDados[Primeira_Ocorrencia]))</f>
        <v/>
      </c>
      <c r="G670" s="15" t="str" cm="1">
        <f t="array" ref="G670">IF($A670="","",SUMPRODUCT((TRIM(tblDados[Mandante])=$A670)*tblDados[Primeira_Ocorrencia])+SUMPRODUCT((TRIM(tblDados[Visitante])=$A670)*tblDados[Primeira_Ocorrencia]))</f>
        <v/>
      </c>
      <c r="H670" s="14" t="str">
        <f t="shared" si="186"/>
        <v/>
      </c>
      <c r="I670" s="14" t="str" cm="1">
        <f t="array" ref="I670">IF($A670="","",_xlfn.LET(_xlpm.p,IFERROR(INDEX(tblDados[País],MATCH($A670,TRIM(tblDados[Mandante]),0)),INDEX(tblDados[País],MATCH($A670,TRIM(tblDados[Visitante]),0))),_xlpm.l,IFERROR(INDEX(tblDados[Liga],MATCH($A670,TRIM(tblDados[Mandante]),0)),INDEX(tblDados[Liga],MATCH($A670,TRIM(tblDados[Visitante]),0))),IFERROR(SUMIFS(Ligas!$D$2:$D$39,Ligas!$H$2:$H$39,_xlpm.p,Ligas!$I$2:$I$39,_xlpm.l),0)))</f>
        <v/>
      </c>
      <c r="J670" s="16" t="str" cm="1">
        <f t="array" ref="J670">IF($A670="","",IFERROR((SUMPRODUCT((TRIM(tblDados[Mandante])=$A670)*tblDados[Primeira_Ocorrencia]*(tblDados[GM_M]=0))+SUMPRODUCT((TRIM(tblDados[Visitante])=$A670)*tblDados[Primeira_Ocorrencia]*(tblDados[GM_V]=0)))/G670,0))</f>
        <v/>
      </c>
      <c r="K670" s="16" t="str" cm="1">
        <f t="array" ref="K670">IF($A670="","",IFERROR((SUMPRODUCT((TRIM(tblDados[Mandante])=$A670)*tblDados[Primeira_Ocorrencia]*((tblDados[GM_M]+tblDados[GS_M])&gt;0.5))+SUMPRODUCT((TRIM(tblDados[Visitante])=$A670)*tblDados[Primeira_Ocorrencia]*((tblDados[GM_V]+tblDados[GS_V])&gt;0.5)))/G670,0))</f>
        <v/>
      </c>
      <c r="L670" s="16" t="str" cm="1">
        <f t="array" ref="L670">IF($A670="","",IFERROR((SUMPRODUCT((TRIM(tblDados[Mandante])=$A670)*tblDados[Primeira_Ocorrencia]*((tblDados[GM_M]+tblDados[GS_M])&gt;1.5))+SUMPRODUCT((TRIM(tblDados[Visitante])=$A670)*tblDados[Primeira_Ocorrencia]*((tblDados[GM_V]+tblDados[GS_V])&gt;1.5)))/G670,0))</f>
        <v/>
      </c>
      <c r="M670" s="16" t="str" cm="1">
        <f t="array" ref="M670">IF($A670="","",IFERROR((SUMPRODUCT((TRIM(tblDados[Mandante])=$A670)*tblDados[Primeira_Ocorrencia]*((tblDados[GM_M]+tblDados[GS_M])&gt;2.5))+SUMPRODUCT((TRIM(tblDados[Visitante])=$A670)*tblDados[Primeira_Ocorrencia]*((tblDados[GM_V]+tblDados[GS_V])&gt;2.5)))/G670,0))</f>
        <v/>
      </c>
      <c r="N670" s="16" t="str" cm="1">
        <f t="array" ref="N670">IF($A670="","",IFERROR((SUMPRODUCT((TRIM(tblDados[Mandante])=$A670)*tblDados[Primeira_Ocorrencia]*((tblDados[GM_M]+tblDados[GS_M])&gt;3.5))+SUMPRODUCT((TRIM(tblDados[Visitante])=$A670)*tblDados[Primeira_Ocorrencia]*((tblDados[GM_V]+tblDados[GS_V])&gt;3.5)))/G670,0))</f>
        <v/>
      </c>
      <c r="O670" s="16" t="str" cm="1">
        <f t="array" ref="O670">IF($A670="","",IFERROR((SUMPRODUCT((TRIM(tblDados[Mandante])=$A670)*tblDados[Primeira_Ocorrencia]*(tblDados[GM_M]&gt;0)*(tblDados[GS_M]&gt;0))+SUMPRODUCT((TRIM(tblDados[Visitante])=$A670)*tblDados[Primeira_Ocorrencia]*(tblDados[GM_V]&gt;0)*(tblDados[GS_V]&gt;0)))/G670,0))</f>
        <v/>
      </c>
      <c r="P670" s="14" t="str" cm="1">
        <f t="array" ref="P670">IF($A670="","",IFERROR((SUMPRODUCT((TRIM(tblDados[Mandante])=$A670)*tblDados[Primeira_Ocorrencia]*tblDados[GM_M]^2)+SUMPRODUCT((TRIM(tblDados[Visitante])=$A670)*tblDados[Primeira_Ocorrencia]*tblDados[GM_V]^2))/G670-H670^2,0))</f>
        <v/>
      </c>
      <c r="Q670" s="14" t="str">
        <f t="shared" si="187"/>
        <v/>
      </c>
      <c r="R670" s="1" t="str">
        <f t="shared" si="188"/>
        <v/>
      </c>
      <c r="S670" s="14" t="str" cm="1">
        <f t="array" ref="S670">IF($A670="","",SUMPRODUCT((TRIM(tblDados[Mandante])=$A670)*tblDados[Primeira_Ocorrencia]*tblDados[GM_M]))</f>
        <v/>
      </c>
      <c r="T670" s="14" t="str" cm="1">
        <f t="array" ref="T670">IF($A670="","",SUMPRODUCT((TRIM(tblDados[Visitante])=$A670)*tblDados[Primeira_Ocorrencia]*tblDados[GM_V]))</f>
        <v/>
      </c>
      <c r="U670" s="14" t="str">
        <f t="shared" si="189"/>
        <v/>
      </c>
      <c r="V670" s="14" t="str">
        <f t="shared" si="178"/>
        <v/>
      </c>
      <c r="W670" s="14" t="str" cm="1">
        <f t="array" ref="W670">IF($A670="","",SUMPRODUCT((TRIM(tblDados[Mandante])=$A670)*tblDados[Primeira_Ocorrencia]*tblDados[GS_M]))</f>
        <v/>
      </c>
      <c r="X670" s="14" t="str" cm="1">
        <f t="array" ref="X670">IF($A670="","",SUMPRODUCT((TRIM(tblDados[Visitante])=$A670)*tblDados[Primeira_Ocorrencia]*tblDados[GS_V]))</f>
        <v/>
      </c>
      <c r="Y670" s="14" t="str">
        <f t="shared" si="190"/>
        <v/>
      </c>
      <c r="Z670" s="14" t="str">
        <f t="shared" si="179"/>
        <v/>
      </c>
      <c r="AA670" s="14" t="str">
        <f t="shared" si="180"/>
        <v/>
      </c>
      <c r="AB670" s="14" t="str">
        <f t="shared" si="181"/>
        <v/>
      </c>
      <c r="AC670" s="14" t="str">
        <f t="shared" si="182"/>
        <v/>
      </c>
      <c r="AD670" s="14" t="str">
        <f t="shared" si="183"/>
        <v/>
      </c>
    </row>
    <row r="671" spans="2:30" x14ac:dyDescent="0.3">
      <c r="B671" s="13" t="str" cm="1">
        <f t="array" ref="B671">IF($A671="","",_xlfn.LET(_xlpm.p,IFERROR(INDEX(tblDados[País],MATCH($A671,TRIM(tblDados[Mandante]),0)),INDEX(tblDados[País],MATCH($A671,TRIM(tblDados[Visitante]),0))),_xlpm.l,IFERROR(INDEX(tblDados[Liga],MATCH($A671,TRIM(tblDados[Mandante]),0)),INDEX(tblDados[Liga],MATCH($A671,TRIM(tblDados[Visitante]),0))),_xlpm.p&amp;" - "&amp;_xlpm.l))</f>
        <v/>
      </c>
      <c r="C671" s="14" t="str">
        <f t="shared" si="184"/>
        <v/>
      </c>
      <c r="D671" s="14" t="str">
        <f t="shared" si="185"/>
        <v/>
      </c>
      <c r="E671" s="15" t="str" cm="1">
        <f t="array" ref="E671">IF($A671="","",SUMPRODUCT((TRIM(tblDados[Mandante])=$A671)*tblDados[Primeira_Ocorrencia]))</f>
        <v/>
      </c>
      <c r="F671" s="15" t="str" cm="1">
        <f t="array" ref="F671">IF($A671="","",SUMPRODUCT((TRIM(tblDados[Visitante])=$A671)*tblDados[Primeira_Ocorrencia]))</f>
        <v/>
      </c>
      <c r="G671" s="15" t="str" cm="1">
        <f t="array" ref="G671">IF($A671="","",SUMPRODUCT((TRIM(tblDados[Mandante])=$A671)*tblDados[Primeira_Ocorrencia])+SUMPRODUCT((TRIM(tblDados[Visitante])=$A671)*tblDados[Primeira_Ocorrencia]))</f>
        <v/>
      </c>
      <c r="H671" s="14" t="str">
        <f t="shared" si="186"/>
        <v/>
      </c>
      <c r="I671" s="14" t="str" cm="1">
        <f t="array" ref="I671">IF($A671="","",_xlfn.LET(_xlpm.p,IFERROR(INDEX(tblDados[País],MATCH($A671,TRIM(tblDados[Mandante]),0)),INDEX(tblDados[País],MATCH($A671,TRIM(tblDados[Visitante]),0))),_xlpm.l,IFERROR(INDEX(tblDados[Liga],MATCH($A671,TRIM(tblDados[Mandante]),0)),INDEX(tblDados[Liga],MATCH($A671,TRIM(tblDados[Visitante]),0))),IFERROR(SUMIFS(Ligas!$D$2:$D$39,Ligas!$H$2:$H$39,_xlpm.p,Ligas!$I$2:$I$39,_xlpm.l),0)))</f>
        <v/>
      </c>
      <c r="J671" s="16" t="str" cm="1">
        <f t="array" ref="J671">IF($A671="","",IFERROR((SUMPRODUCT((TRIM(tblDados[Mandante])=$A671)*tblDados[Primeira_Ocorrencia]*(tblDados[GM_M]=0))+SUMPRODUCT((TRIM(tblDados[Visitante])=$A671)*tblDados[Primeira_Ocorrencia]*(tblDados[GM_V]=0)))/G671,0))</f>
        <v/>
      </c>
      <c r="K671" s="16" t="str" cm="1">
        <f t="array" ref="K671">IF($A671="","",IFERROR((SUMPRODUCT((TRIM(tblDados[Mandante])=$A671)*tblDados[Primeira_Ocorrencia]*((tblDados[GM_M]+tblDados[GS_M])&gt;0.5))+SUMPRODUCT((TRIM(tblDados[Visitante])=$A671)*tblDados[Primeira_Ocorrencia]*((tblDados[GM_V]+tblDados[GS_V])&gt;0.5)))/G671,0))</f>
        <v/>
      </c>
      <c r="L671" s="16" t="str" cm="1">
        <f t="array" ref="L671">IF($A671="","",IFERROR((SUMPRODUCT((TRIM(tblDados[Mandante])=$A671)*tblDados[Primeira_Ocorrencia]*((tblDados[GM_M]+tblDados[GS_M])&gt;1.5))+SUMPRODUCT((TRIM(tblDados[Visitante])=$A671)*tblDados[Primeira_Ocorrencia]*((tblDados[GM_V]+tblDados[GS_V])&gt;1.5)))/G671,0))</f>
        <v/>
      </c>
      <c r="M671" s="16" t="str" cm="1">
        <f t="array" ref="M671">IF($A671="","",IFERROR((SUMPRODUCT((TRIM(tblDados[Mandante])=$A671)*tblDados[Primeira_Ocorrencia]*((tblDados[GM_M]+tblDados[GS_M])&gt;2.5))+SUMPRODUCT((TRIM(tblDados[Visitante])=$A671)*tblDados[Primeira_Ocorrencia]*((tblDados[GM_V]+tblDados[GS_V])&gt;2.5)))/G671,0))</f>
        <v/>
      </c>
      <c r="N671" s="16" t="str" cm="1">
        <f t="array" ref="N671">IF($A671="","",IFERROR((SUMPRODUCT((TRIM(tblDados[Mandante])=$A671)*tblDados[Primeira_Ocorrencia]*((tblDados[GM_M]+tblDados[GS_M])&gt;3.5))+SUMPRODUCT((TRIM(tblDados[Visitante])=$A671)*tblDados[Primeira_Ocorrencia]*((tblDados[GM_V]+tblDados[GS_V])&gt;3.5)))/G671,0))</f>
        <v/>
      </c>
      <c r="O671" s="16" t="str" cm="1">
        <f t="array" ref="O671">IF($A671="","",IFERROR((SUMPRODUCT((TRIM(tblDados[Mandante])=$A671)*tblDados[Primeira_Ocorrencia]*(tblDados[GM_M]&gt;0)*(tblDados[GS_M]&gt;0))+SUMPRODUCT((TRIM(tblDados[Visitante])=$A671)*tblDados[Primeira_Ocorrencia]*(tblDados[GM_V]&gt;0)*(tblDados[GS_V]&gt;0)))/G671,0))</f>
        <v/>
      </c>
      <c r="P671" s="14" t="str" cm="1">
        <f t="array" ref="P671">IF($A671="","",IFERROR((SUMPRODUCT((TRIM(tblDados[Mandante])=$A671)*tblDados[Primeira_Ocorrencia]*tblDados[GM_M]^2)+SUMPRODUCT((TRIM(tblDados[Visitante])=$A671)*tblDados[Primeira_Ocorrencia]*tblDados[GM_V]^2))/G671-H671^2,0))</f>
        <v/>
      </c>
      <c r="Q671" s="14" t="str">
        <f t="shared" si="187"/>
        <v/>
      </c>
      <c r="R671" s="1" t="str">
        <f t="shared" si="188"/>
        <v/>
      </c>
      <c r="S671" s="14" t="str" cm="1">
        <f t="array" ref="S671">IF($A671="","",SUMPRODUCT((TRIM(tblDados[Mandante])=$A671)*tblDados[Primeira_Ocorrencia]*tblDados[GM_M]))</f>
        <v/>
      </c>
      <c r="T671" s="14" t="str" cm="1">
        <f t="array" ref="T671">IF($A671="","",SUMPRODUCT((TRIM(tblDados[Visitante])=$A671)*tblDados[Primeira_Ocorrencia]*tblDados[GM_V]))</f>
        <v/>
      </c>
      <c r="U671" s="14" t="str">
        <f t="shared" si="189"/>
        <v/>
      </c>
      <c r="V671" s="14" t="str">
        <f t="shared" si="178"/>
        <v/>
      </c>
      <c r="W671" s="14" t="str" cm="1">
        <f t="array" ref="W671">IF($A671="","",SUMPRODUCT((TRIM(tblDados[Mandante])=$A671)*tblDados[Primeira_Ocorrencia]*tblDados[GS_M]))</f>
        <v/>
      </c>
      <c r="X671" s="14" t="str" cm="1">
        <f t="array" ref="X671">IF($A671="","",SUMPRODUCT((TRIM(tblDados[Visitante])=$A671)*tblDados[Primeira_Ocorrencia]*tblDados[GS_V]))</f>
        <v/>
      </c>
      <c r="Y671" s="14" t="str">
        <f t="shared" si="190"/>
        <v/>
      </c>
      <c r="Z671" s="14" t="str">
        <f t="shared" si="179"/>
        <v/>
      </c>
      <c r="AA671" s="14" t="str">
        <f t="shared" si="180"/>
        <v/>
      </c>
      <c r="AB671" s="14" t="str">
        <f t="shared" si="181"/>
        <v/>
      </c>
      <c r="AC671" s="14" t="str">
        <f t="shared" si="182"/>
        <v/>
      </c>
      <c r="AD671" s="14" t="str">
        <f t="shared" si="183"/>
        <v/>
      </c>
    </row>
    <row r="672" spans="2:30" x14ac:dyDescent="0.3">
      <c r="B672" s="13" t="str" cm="1">
        <f t="array" ref="B672">IF($A672="","",_xlfn.LET(_xlpm.p,IFERROR(INDEX(tblDados[País],MATCH($A672,TRIM(tblDados[Mandante]),0)),INDEX(tblDados[País],MATCH($A672,TRIM(tblDados[Visitante]),0))),_xlpm.l,IFERROR(INDEX(tblDados[Liga],MATCH($A672,TRIM(tblDados[Mandante]),0)),INDEX(tblDados[Liga],MATCH($A672,TRIM(tblDados[Visitante]),0))),_xlpm.p&amp;" - "&amp;_xlpm.l))</f>
        <v/>
      </c>
      <c r="C672" s="14" t="str">
        <f t="shared" si="184"/>
        <v/>
      </c>
      <c r="D672" s="14" t="str">
        <f t="shared" si="185"/>
        <v/>
      </c>
      <c r="E672" s="15" t="str" cm="1">
        <f t="array" ref="E672">IF($A672="","",SUMPRODUCT((TRIM(tblDados[Mandante])=$A672)*tblDados[Primeira_Ocorrencia]))</f>
        <v/>
      </c>
      <c r="F672" s="15" t="str" cm="1">
        <f t="array" ref="F672">IF($A672="","",SUMPRODUCT((TRIM(tblDados[Visitante])=$A672)*tblDados[Primeira_Ocorrencia]))</f>
        <v/>
      </c>
      <c r="G672" s="15" t="str" cm="1">
        <f t="array" ref="G672">IF($A672="","",SUMPRODUCT((TRIM(tblDados[Mandante])=$A672)*tblDados[Primeira_Ocorrencia])+SUMPRODUCT((TRIM(tblDados[Visitante])=$A672)*tblDados[Primeira_Ocorrencia]))</f>
        <v/>
      </c>
      <c r="H672" s="14" t="str">
        <f t="shared" si="186"/>
        <v/>
      </c>
      <c r="I672" s="14" t="str" cm="1">
        <f t="array" ref="I672">IF($A672="","",_xlfn.LET(_xlpm.p,IFERROR(INDEX(tblDados[País],MATCH($A672,TRIM(tblDados[Mandante]),0)),INDEX(tblDados[País],MATCH($A672,TRIM(tblDados[Visitante]),0))),_xlpm.l,IFERROR(INDEX(tblDados[Liga],MATCH($A672,TRIM(tblDados[Mandante]),0)),INDEX(tblDados[Liga],MATCH($A672,TRIM(tblDados[Visitante]),0))),IFERROR(SUMIFS(Ligas!$D$2:$D$39,Ligas!$H$2:$H$39,_xlpm.p,Ligas!$I$2:$I$39,_xlpm.l),0)))</f>
        <v/>
      </c>
      <c r="J672" s="16" t="str" cm="1">
        <f t="array" ref="J672">IF($A672="","",IFERROR((SUMPRODUCT((TRIM(tblDados[Mandante])=$A672)*tblDados[Primeira_Ocorrencia]*(tblDados[GM_M]=0))+SUMPRODUCT((TRIM(tblDados[Visitante])=$A672)*tblDados[Primeira_Ocorrencia]*(tblDados[GM_V]=0)))/G672,0))</f>
        <v/>
      </c>
      <c r="K672" s="16" t="str" cm="1">
        <f t="array" ref="K672">IF($A672="","",IFERROR((SUMPRODUCT((TRIM(tblDados[Mandante])=$A672)*tblDados[Primeira_Ocorrencia]*((tblDados[GM_M]+tblDados[GS_M])&gt;0.5))+SUMPRODUCT((TRIM(tblDados[Visitante])=$A672)*tblDados[Primeira_Ocorrencia]*((tblDados[GM_V]+tblDados[GS_V])&gt;0.5)))/G672,0))</f>
        <v/>
      </c>
      <c r="L672" s="16" t="str" cm="1">
        <f t="array" ref="L672">IF($A672="","",IFERROR((SUMPRODUCT((TRIM(tblDados[Mandante])=$A672)*tblDados[Primeira_Ocorrencia]*((tblDados[GM_M]+tblDados[GS_M])&gt;1.5))+SUMPRODUCT((TRIM(tblDados[Visitante])=$A672)*tblDados[Primeira_Ocorrencia]*((tblDados[GM_V]+tblDados[GS_V])&gt;1.5)))/G672,0))</f>
        <v/>
      </c>
      <c r="M672" s="16" t="str" cm="1">
        <f t="array" ref="M672">IF($A672="","",IFERROR((SUMPRODUCT((TRIM(tblDados[Mandante])=$A672)*tblDados[Primeira_Ocorrencia]*((tblDados[GM_M]+tblDados[GS_M])&gt;2.5))+SUMPRODUCT((TRIM(tblDados[Visitante])=$A672)*tblDados[Primeira_Ocorrencia]*((tblDados[GM_V]+tblDados[GS_V])&gt;2.5)))/G672,0))</f>
        <v/>
      </c>
      <c r="N672" s="16" t="str" cm="1">
        <f t="array" ref="N672">IF($A672="","",IFERROR((SUMPRODUCT((TRIM(tblDados[Mandante])=$A672)*tblDados[Primeira_Ocorrencia]*((tblDados[GM_M]+tblDados[GS_M])&gt;3.5))+SUMPRODUCT((TRIM(tblDados[Visitante])=$A672)*tblDados[Primeira_Ocorrencia]*((tblDados[GM_V]+tblDados[GS_V])&gt;3.5)))/G672,0))</f>
        <v/>
      </c>
      <c r="O672" s="16" t="str" cm="1">
        <f t="array" ref="O672">IF($A672="","",IFERROR((SUMPRODUCT((TRIM(tblDados[Mandante])=$A672)*tblDados[Primeira_Ocorrencia]*(tblDados[GM_M]&gt;0)*(tblDados[GS_M]&gt;0))+SUMPRODUCT((TRIM(tblDados[Visitante])=$A672)*tblDados[Primeira_Ocorrencia]*(tblDados[GM_V]&gt;0)*(tblDados[GS_V]&gt;0)))/G672,0))</f>
        <v/>
      </c>
      <c r="P672" s="14" t="str" cm="1">
        <f t="array" ref="P672">IF($A672="","",IFERROR((SUMPRODUCT((TRIM(tblDados[Mandante])=$A672)*tblDados[Primeira_Ocorrencia]*tblDados[GM_M]^2)+SUMPRODUCT((TRIM(tblDados[Visitante])=$A672)*tblDados[Primeira_Ocorrencia]*tblDados[GM_V]^2))/G672-H672^2,0))</f>
        <v/>
      </c>
      <c r="Q672" s="14" t="str">
        <f t="shared" si="187"/>
        <v/>
      </c>
      <c r="R672" s="1" t="str">
        <f t="shared" si="188"/>
        <v/>
      </c>
      <c r="S672" s="14" t="str" cm="1">
        <f t="array" ref="S672">IF($A672="","",SUMPRODUCT((TRIM(tblDados[Mandante])=$A672)*tblDados[Primeira_Ocorrencia]*tblDados[GM_M]))</f>
        <v/>
      </c>
      <c r="T672" s="14" t="str" cm="1">
        <f t="array" ref="T672">IF($A672="","",SUMPRODUCT((TRIM(tblDados[Visitante])=$A672)*tblDados[Primeira_Ocorrencia]*tblDados[GM_V]))</f>
        <v/>
      </c>
      <c r="U672" s="14" t="str">
        <f t="shared" si="189"/>
        <v/>
      </c>
      <c r="V672" s="14" t="str">
        <f t="shared" si="178"/>
        <v/>
      </c>
      <c r="W672" s="14" t="str" cm="1">
        <f t="array" ref="W672">IF($A672="","",SUMPRODUCT((TRIM(tblDados[Mandante])=$A672)*tblDados[Primeira_Ocorrencia]*tblDados[GS_M]))</f>
        <v/>
      </c>
      <c r="X672" s="14" t="str" cm="1">
        <f t="array" ref="X672">IF($A672="","",SUMPRODUCT((TRIM(tblDados[Visitante])=$A672)*tblDados[Primeira_Ocorrencia]*tblDados[GS_V]))</f>
        <v/>
      </c>
      <c r="Y672" s="14" t="str">
        <f t="shared" si="190"/>
        <v/>
      </c>
      <c r="Z672" s="14" t="str">
        <f t="shared" si="179"/>
        <v/>
      </c>
      <c r="AA672" s="14" t="str">
        <f t="shared" si="180"/>
        <v/>
      </c>
      <c r="AB672" s="14" t="str">
        <f t="shared" si="181"/>
        <v/>
      </c>
      <c r="AC672" s="14" t="str">
        <f t="shared" si="182"/>
        <v/>
      </c>
      <c r="AD672" s="14" t="str">
        <f t="shared" si="183"/>
        <v/>
      </c>
    </row>
    <row r="673" spans="2:30" x14ac:dyDescent="0.3">
      <c r="B673" s="13" t="str" cm="1">
        <f t="array" ref="B673">IF($A673="","",_xlfn.LET(_xlpm.p,IFERROR(INDEX(tblDados[País],MATCH($A673,TRIM(tblDados[Mandante]),0)),INDEX(tblDados[País],MATCH($A673,TRIM(tblDados[Visitante]),0))),_xlpm.l,IFERROR(INDEX(tblDados[Liga],MATCH($A673,TRIM(tblDados[Mandante]),0)),INDEX(tblDados[Liga],MATCH($A673,TRIM(tblDados[Visitante]),0))),_xlpm.p&amp;" - "&amp;_xlpm.l))</f>
        <v/>
      </c>
      <c r="C673" s="14" t="str">
        <f t="shared" si="184"/>
        <v/>
      </c>
      <c r="D673" s="14" t="str">
        <f t="shared" si="185"/>
        <v/>
      </c>
      <c r="E673" s="15" t="str" cm="1">
        <f t="array" ref="E673">IF($A673="","",SUMPRODUCT((TRIM(tblDados[Mandante])=$A673)*tblDados[Primeira_Ocorrencia]))</f>
        <v/>
      </c>
      <c r="F673" s="15" t="str" cm="1">
        <f t="array" ref="F673">IF($A673="","",SUMPRODUCT((TRIM(tblDados[Visitante])=$A673)*tblDados[Primeira_Ocorrencia]))</f>
        <v/>
      </c>
      <c r="G673" s="15" t="str" cm="1">
        <f t="array" ref="G673">IF($A673="","",SUMPRODUCT((TRIM(tblDados[Mandante])=$A673)*tblDados[Primeira_Ocorrencia])+SUMPRODUCT((TRIM(tblDados[Visitante])=$A673)*tblDados[Primeira_Ocorrencia]))</f>
        <v/>
      </c>
      <c r="H673" s="14" t="str">
        <f t="shared" si="186"/>
        <v/>
      </c>
      <c r="I673" s="14" t="str" cm="1">
        <f t="array" ref="I673">IF($A673="","",_xlfn.LET(_xlpm.p,IFERROR(INDEX(tblDados[País],MATCH($A673,TRIM(tblDados[Mandante]),0)),INDEX(tblDados[País],MATCH($A673,TRIM(tblDados[Visitante]),0))),_xlpm.l,IFERROR(INDEX(tblDados[Liga],MATCH($A673,TRIM(tblDados[Mandante]),0)),INDEX(tblDados[Liga],MATCH($A673,TRIM(tblDados[Visitante]),0))),IFERROR(SUMIFS(Ligas!$D$2:$D$39,Ligas!$H$2:$H$39,_xlpm.p,Ligas!$I$2:$I$39,_xlpm.l),0)))</f>
        <v/>
      </c>
      <c r="J673" s="16" t="str" cm="1">
        <f t="array" ref="J673">IF($A673="","",IFERROR((SUMPRODUCT((TRIM(tblDados[Mandante])=$A673)*tblDados[Primeira_Ocorrencia]*(tblDados[GM_M]=0))+SUMPRODUCT((TRIM(tblDados[Visitante])=$A673)*tblDados[Primeira_Ocorrencia]*(tblDados[GM_V]=0)))/G673,0))</f>
        <v/>
      </c>
      <c r="K673" s="16" t="str" cm="1">
        <f t="array" ref="K673">IF($A673="","",IFERROR((SUMPRODUCT((TRIM(tblDados[Mandante])=$A673)*tblDados[Primeira_Ocorrencia]*((tblDados[GM_M]+tblDados[GS_M])&gt;0.5))+SUMPRODUCT((TRIM(tblDados[Visitante])=$A673)*tblDados[Primeira_Ocorrencia]*((tblDados[GM_V]+tblDados[GS_V])&gt;0.5)))/G673,0))</f>
        <v/>
      </c>
      <c r="L673" s="16" t="str" cm="1">
        <f t="array" ref="L673">IF($A673="","",IFERROR((SUMPRODUCT((TRIM(tblDados[Mandante])=$A673)*tblDados[Primeira_Ocorrencia]*((tblDados[GM_M]+tblDados[GS_M])&gt;1.5))+SUMPRODUCT((TRIM(tblDados[Visitante])=$A673)*tblDados[Primeira_Ocorrencia]*((tblDados[GM_V]+tblDados[GS_V])&gt;1.5)))/G673,0))</f>
        <v/>
      </c>
      <c r="M673" s="16" t="str" cm="1">
        <f t="array" ref="M673">IF($A673="","",IFERROR((SUMPRODUCT((TRIM(tblDados[Mandante])=$A673)*tblDados[Primeira_Ocorrencia]*((tblDados[GM_M]+tblDados[GS_M])&gt;2.5))+SUMPRODUCT((TRIM(tblDados[Visitante])=$A673)*tblDados[Primeira_Ocorrencia]*((tblDados[GM_V]+tblDados[GS_V])&gt;2.5)))/G673,0))</f>
        <v/>
      </c>
      <c r="N673" s="16" t="str" cm="1">
        <f t="array" ref="N673">IF($A673="","",IFERROR((SUMPRODUCT((TRIM(tblDados[Mandante])=$A673)*tblDados[Primeira_Ocorrencia]*((tblDados[GM_M]+tblDados[GS_M])&gt;3.5))+SUMPRODUCT((TRIM(tblDados[Visitante])=$A673)*tblDados[Primeira_Ocorrencia]*((tblDados[GM_V]+tblDados[GS_V])&gt;3.5)))/G673,0))</f>
        <v/>
      </c>
      <c r="O673" s="16" t="str" cm="1">
        <f t="array" ref="O673">IF($A673="","",IFERROR((SUMPRODUCT((TRIM(tblDados[Mandante])=$A673)*tblDados[Primeira_Ocorrencia]*(tblDados[GM_M]&gt;0)*(tblDados[GS_M]&gt;0))+SUMPRODUCT((TRIM(tblDados[Visitante])=$A673)*tblDados[Primeira_Ocorrencia]*(tblDados[GM_V]&gt;0)*(tblDados[GS_V]&gt;0)))/G673,0))</f>
        <v/>
      </c>
      <c r="P673" s="14" t="str" cm="1">
        <f t="array" ref="P673">IF($A673="","",IFERROR((SUMPRODUCT((TRIM(tblDados[Mandante])=$A673)*tblDados[Primeira_Ocorrencia]*tblDados[GM_M]^2)+SUMPRODUCT((TRIM(tblDados[Visitante])=$A673)*tblDados[Primeira_Ocorrencia]*tblDados[GM_V]^2))/G673-H673^2,0))</f>
        <v/>
      </c>
      <c r="Q673" s="14" t="str">
        <f t="shared" si="187"/>
        <v/>
      </c>
      <c r="R673" s="1" t="str">
        <f t="shared" si="188"/>
        <v/>
      </c>
      <c r="S673" s="14" t="str" cm="1">
        <f t="array" ref="S673">IF($A673="","",SUMPRODUCT((TRIM(tblDados[Mandante])=$A673)*tblDados[Primeira_Ocorrencia]*tblDados[GM_M]))</f>
        <v/>
      </c>
      <c r="T673" s="14" t="str" cm="1">
        <f t="array" ref="T673">IF($A673="","",SUMPRODUCT((TRIM(tblDados[Visitante])=$A673)*tblDados[Primeira_Ocorrencia]*tblDados[GM_V]))</f>
        <v/>
      </c>
      <c r="U673" s="14" t="str">
        <f t="shared" si="189"/>
        <v/>
      </c>
      <c r="V673" s="14" t="str">
        <f t="shared" si="178"/>
        <v/>
      </c>
      <c r="W673" s="14" t="str" cm="1">
        <f t="array" ref="W673">IF($A673="","",SUMPRODUCT((TRIM(tblDados[Mandante])=$A673)*tblDados[Primeira_Ocorrencia]*tblDados[GS_M]))</f>
        <v/>
      </c>
      <c r="X673" s="14" t="str" cm="1">
        <f t="array" ref="X673">IF($A673="","",SUMPRODUCT((TRIM(tblDados[Visitante])=$A673)*tblDados[Primeira_Ocorrencia]*tblDados[GS_V]))</f>
        <v/>
      </c>
      <c r="Y673" s="14" t="str">
        <f t="shared" si="190"/>
        <v/>
      </c>
      <c r="Z673" s="14" t="str">
        <f t="shared" si="179"/>
        <v/>
      </c>
      <c r="AA673" s="14" t="str">
        <f t="shared" si="180"/>
        <v/>
      </c>
      <c r="AB673" s="14" t="str">
        <f t="shared" si="181"/>
        <v/>
      </c>
      <c r="AC673" s="14" t="str">
        <f t="shared" si="182"/>
        <v/>
      </c>
      <c r="AD673" s="14" t="str">
        <f t="shared" si="183"/>
        <v/>
      </c>
    </row>
    <row r="674" spans="2:30" x14ac:dyDescent="0.3">
      <c r="B674" s="13" t="str" cm="1">
        <f t="array" ref="B674">IF($A674="","",_xlfn.LET(_xlpm.p,IFERROR(INDEX(tblDados[País],MATCH($A674,TRIM(tblDados[Mandante]),0)),INDEX(tblDados[País],MATCH($A674,TRIM(tblDados[Visitante]),0))),_xlpm.l,IFERROR(INDEX(tblDados[Liga],MATCH($A674,TRIM(tblDados[Mandante]),0)),INDEX(tblDados[Liga],MATCH($A674,TRIM(tblDados[Visitante]),0))),_xlpm.p&amp;" - "&amp;_xlpm.l))</f>
        <v/>
      </c>
      <c r="C674" s="14" t="str">
        <f t="shared" si="184"/>
        <v/>
      </c>
      <c r="D674" s="14" t="str">
        <f t="shared" si="185"/>
        <v/>
      </c>
      <c r="E674" s="15" t="str" cm="1">
        <f t="array" ref="E674">IF($A674="","",SUMPRODUCT((TRIM(tblDados[Mandante])=$A674)*tblDados[Primeira_Ocorrencia]))</f>
        <v/>
      </c>
      <c r="F674" s="15" t="str" cm="1">
        <f t="array" ref="F674">IF($A674="","",SUMPRODUCT((TRIM(tblDados[Visitante])=$A674)*tblDados[Primeira_Ocorrencia]))</f>
        <v/>
      </c>
      <c r="G674" s="15" t="str" cm="1">
        <f t="array" ref="G674">IF($A674="","",SUMPRODUCT((TRIM(tblDados[Mandante])=$A674)*tblDados[Primeira_Ocorrencia])+SUMPRODUCT((TRIM(tblDados[Visitante])=$A674)*tblDados[Primeira_Ocorrencia]))</f>
        <v/>
      </c>
      <c r="H674" s="14" t="str">
        <f t="shared" si="186"/>
        <v/>
      </c>
      <c r="I674" s="14" t="str" cm="1">
        <f t="array" ref="I674">IF($A674="","",_xlfn.LET(_xlpm.p,IFERROR(INDEX(tblDados[País],MATCH($A674,TRIM(tblDados[Mandante]),0)),INDEX(tblDados[País],MATCH($A674,TRIM(tblDados[Visitante]),0))),_xlpm.l,IFERROR(INDEX(tblDados[Liga],MATCH($A674,TRIM(tblDados[Mandante]),0)),INDEX(tblDados[Liga],MATCH($A674,TRIM(tblDados[Visitante]),0))),IFERROR(SUMIFS(Ligas!$D$2:$D$39,Ligas!$H$2:$H$39,_xlpm.p,Ligas!$I$2:$I$39,_xlpm.l),0)))</f>
        <v/>
      </c>
      <c r="J674" s="16" t="str" cm="1">
        <f t="array" ref="J674">IF($A674="","",IFERROR((SUMPRODUCT((TRIM(tblDados[Mandante])=$A674)*tblDados[Primeira_Ocorrencia]*(tblDados[GM_M]=0))+SUMPRODUCT((TRIM(tblDados[Visitante])=$A674)*tblDados[Primeira_Ocorrencia]*(tblDados[GM_V]=0)))/G674,0))</f>
        <v/>
      </c>
      <c r="K674" s="16" t="str" cm="1">
        <f t="array" ref="K674">IF($A674="","",IFERROR((SUMPRODUCT((TRIM(tblDados[Mandante])=$A674)*tblDados[Primeira_Ocorrencia]*((tblDados[GM_M]+tblDados[GS_M])&gt;0.5))+SUMPRODUCT((TRIM(tblDados[Visitante])=$A674)*tblDados[Primeira_Ocorrencia]*((tblDados[GM_V]+tblDados[GS_V])&gt;0.5)))/G674,0))</f>
        <v/>
      </c>
      <c r="L674" s="16" t="str" cm="1">
        <f t="array" ref="L674">IF($A674="","",IFERROR((SUMPRODUCT((TRIM(tblDados[Mandante])=$A674)*tblDados[Primeira_Ocorrencia]*((tblDados[GM_M]+tblDados[GS_M])&gt;1.5))+SUMPRODUCT((TRIM(tblDados[Visitante])=$A674)*tblDados[Primeira_Ocorrencia]*((tblDados[GM_V]+tblDados[GS_V])&gt;1.5)))/G674,0))</f>
        <v/>
      </c>
      <c r="M674" s="16" t="str" cm="1">
        <f t="array" ref="M674">IF($A674="","",IFERROR((SUMPRODUCT((TRIM(tblDados[Mandante])=$A674)*tblDados[Primeira_Ocorrencia]*((tblDados[GM_M]+tblDados[GS_M])&gt;2.5))+SUMPRODUCT((TRIM(tblDados[Visitante])=$A674)*tblDados[Primeira_Ocorrencia]*((tblDados[GM_V]+tblDados[GS_V])&gt;2.5)))/G674,0))</f>
        <v/>
      </c>
      <c r="N674" s="16" t="str" cm="1">
        <f t="array" ref="N674">IF($A674="","",IFERROR((SUMPRODUCT((TRIM(tblDados[Mandante])=$A674)*tblDados[Primeira_Ocorrencia]*((tblDados[GM_M]+tblDados[GS_M])&gt;3.5))+SUMPRODUCT((TRIM(tblDados[Visitante])=$A674)*tblDados[Primeira_Ocorrencia]*((tblDados[GM_V]+tblDados[GS_V])&gt;3.5)))/G674,0))</f>
        <v/>
      </c>
      <c r="O674" s="16" t="str" cm="1">
        <f t="array" ref="O674">IF($A674="","",IFERROR((SUMPRODUCT((TRIM(tblDados[Mandante])=$A674)*tblDados[Primeira_Ocorrencia]*(tblDados[GM_M]&gt;0)*(tblDados[GS_M]&gt;0))+SUMPRODUCT((TRIM(tblDados[Visitante])=$A674)*tblDados[Primeira_Ocorrencia]*(tblDados[GM_V]&gt;0)*(tblDados[GS_V]&gt;0)))/G674,0))</f>
        <v/>
      </c>
      <c r="P674" s="14" t="str" cm="1">
        <f t="array" ref="P674">IF($A674="","",IFERROR((SUMPRODUCT((TRIM(tblDados[Mandante])=$A674)*tblDados[Primeira_Ocorrencia]*tblDados[GM_M]^2)+SUMPRODUCT((TRIM(tblDados[Visitante])=$A674)*tblDados[Primeira_Ocorrencia]*tblDados[GM_V]^2))/G674-H674^2,0))</f>
        <v/>
      </c>
      <c r="Q674" s="14" t="str">
        <f t="shared" si="187"/>
        <v/>
      </c>
      <c r="R674" s="1" t="str">
        <f t="shared" si="188"/>
        <v/>
      </c>
      <c r="S674" s="14" t="str" cm="1">
        <f t="array" ref="S674">IF($A674="","",SUMPRODUCT((TRIM(tblDados[Mandante])=$A674)*tblDados[Primeira_Ocorrencia]*tblDados[GM_M]))</f>
        <v/>
      </c>
      <c r="T674" s="14" t="str" cm="1">
        <f t="array" ref="T674">IF($A674="","",SUMPRODUCT((TRIM(tblDados[Visitante])=$A674)*tblDados[Primeira_Ocorrencia]*tblDados[GM_V]))</f>
        <v/>
      </c>
      <c r="U674" s="14" t="str">
        <f t="shared" si="189"/>
        <v/>
      </c>
      <c r="V674" s="14" t="str">
        <f t="shared" si="178"/>
        <v/>
      </c>
      <c r="W674" s="14" t="str" cm="1">
        <f t="array" ref="W674">IF($A674="","",SUMPRODUCT((TRIM(tblDados[Mandante])=$A674)*tblDados[Primeira_Ocorrencia]*tblDados[GS_M]))</f>
        <v/>
      </c>
      <c r="X674" s="14" t="str" cm="1">
        <f t="array" ref="X674">IF($A674="","",SUMPRODUCT((TRIM(tblDados[Visitante])=$A674)*tblDados[Primeira_Ocorrencia]*tblDados[GS_V]))</f>
        <v/>
      </c>
      <c r="Y674" s="14" t="str">
        <f t="shared" si="190"/>
        <v/>
      </c>
      <c r="Z674" s="14" t="str">
        <f t="shared" si="179"/>
        <v/>
      </c>
      <c r="AA674" s="14" t="str">
        <f t="shared" si="180"/>
        <v/>
      </c>
      <c r="AB674" s="14" t="str">
        <f t="shared" si="181"/>
        <v/>
      </c>
      <c r="AC674" s="14" t="str">
        <f t="shared" si="182"/>
        <v/>
      </c>
      <c r="AD674" s="14" t="str">
        <f t="shared" si="183"/>
        <v/>
      </c>
    </row>
    <row r="675" spans="2:30" x14ac:dyDescent="0.3">
      <c r="B675" s="13" t="str" cm="1">
        <f t="array" ref="B675">IF($A675="","",_xlfn.LET(_xlpm.p,IFERROR(INDEX(tblDados[País],MATCH($A675,TRIM(tblDados[Mandante]),0)),INDEX(tblDados[País],MATCH($A675,TRIM(tblDados[Visitante]),0))),_xlpm.l,IFERROR(INDEX(tblDados[Liga],MATCH($A675,TRIM(tblDados[Mandante]),0)),INDEX(tblDados[Liga],MATCH($A675,TRIM(tblDados[Visitante]),0))),_xlpm.p&amp;" - "&amp;_xlpm.l))</f>
        <v/>
      </c>
      <c r="C675" s="14" t="str">
        <f t="shared" si="184"/>
        <v/>
      </c>
      <c r="D675" s="14" t="str">
        <f t="shared" si="185"/>
        <v/>
      </c>
      <c r="E675" s="15" t="str" cm="1">
        <f t="array" ref="E675">IF($A675="","",SUMPRODUCT((TRIM(tblDados[Mandante])=$A675)*tblDados[Primeira_Ocorrencia]))</f>
        <v/>
      </c>
      <c r="F675" s="15" t="str" cm="1">
        <f t="array" ref="F675">IF($A675="","",SUMPRODUCT((TRIM(tblDados[Visitante])=$A675)*tblDados[Primeira_Ocorrencia]))</f>
        <v/>
      </c>
      <c r="G675" s="15" t="str" cm="1">
        <f t="array" ref="G675">IF($A675="","",SUMPRODUCT((TRIM(tblDados[Mandante])=$A675)*tblDados[Primeira_Ocorrencia])+SUMPRODUCT((TRIM(tblDados[Visitante])=$A675)*tblDados[Primeira_Ocorrencia]))</f>
        <v/>
      </c>
      <c r="H675" s="14" t="str">
        <f t="shared" si="186"/>
        <v/>
      </c>
      <c r="I675" s="14" t="str" cm="1">
        <f t="array" ref="I675">IF($A675="","",_xlfn.LET(_xlpm.p,IFERROR(INDEX(tblDados[País],MATCH($A675,TRIM(tblDados[Mandante]),0)),INDEX(tblDados[País],MATCH($A675,TRIM(tblDados[Visitante]),0))),_xlpm.l,IFERROR(INDEX(tblDados[Liga],MATCH($A675,TRIM(tblDados[Mandante]),0)),INDEX(tblDados[Liga],MATCH($A675,TRIM(tblDados[Visitante]),0))),IFERROR(SUMIFS(Ligas!$D$2:$D$39,Ligas!$H$2:$H$39,_xlpm.p,Ligas!$I$2:$I$39,_xlpm.l),0)))</f>
        <v/>
      </c>
      <c r="J675" s="16" t="str" cm="1">
        <f t="array" ref="J675">IF($A675="","",IFERROR((SUMPRODUCT((TRIM(tblDados[Mandante])=$A675)*tblDados[Primeira_Ocorrencia]*(tblDados[GM_M]=0))+SUMPRODUCT((TRIM(tblDados[Visitante])=$A675)*tblDados[Primeira_Ocorrencia]*(tblDados[GM_V]=0)))/G675,0))</f>
        <v/>
      </c>
      <c r="K675" s="16" t="str" cm="1">
        <f t="array" ref="K675">IF($A675="","",IFERROR((SUMPRODUCT((TRIM(tblDados[Mandante])=$A675)*tblDados[Primeira_Ocorrencia]*((tblDados[GM_M]+tblDados[GS_M])&gt;0.5))+SUMPRODUCT((TRIM(tblDados[Visitante])=$A675)*tblDados[Primeira_Ocorrencia]*((tblDados[GM_V]+tblDados[GS_V])&gt;0.5)))/G675,0))</f>
        <v/>
      </c>
      <c r="L675" s="16" t="str" cm="1">
        <f t="array" ref="L675">IF($A675="","",IFERROR((SUMPRODUCT((TRIM(tblDados[Mandante])=$A675)*tblDados[Primeira_Ocorrencia]*((tblDados[GM_M]+tblDados[GS_M])&gt;1.5))+SUMPRODUCT((TRIM(tblDados[Visitante])=$A675)*tblDados[Primeira_Ocorrencia]*((tblDados[GM_V]+tblDados[GS_V])&gt;1.5)))/G675,0))</f>
        <v/>
      </c>
      <c r="M675" s="16" t="str" cm="1">
        <f t="array" ref="M675">IF($A675="","",IFERROR((SUMPRODUCT((TRIM(tblDados[Mandante])=$A675)*tblDados[Primeira_Ocorrencia]*((tblDados[GM_M]+tblDados[GS_M])&gt;2.5))+SUMPRODUCT((TRIM(tblDados[Visitante])=$A675)*tblDados[Primeira_Ocorrencia]*((tblDados[GM_V]+tblDados[GS_V])&gt;2.5)))/G675,0))</f>
        <v/>
      </c>
      <c r="N675" s="16" t="str" cm="1">
        <f t="array" ref="N675">IF($A675="","",IFERROR((SUMPRODUCT((TRIM(tblDados[Mandante])=$A675)*tblDados[Primeira_Ocorrencia]*((tblDados[GM_M]+tblDados[GS_M])&gt;3.5))+SUMPRODUCT((TRIM(tblDados[Visitante])=$A675)*tblDados[Primeira_Ocorrencia]*((tblDados[GM_V]+tblDados[GS_V])&gt;3.5)))/G675,0))</f>
        <v/>
      </c>
      <c r="O675" s="16" t="str" cm="1">
        <f t="array" ref="O675">IF($A675="","",IFERROR((SUMPRODUCT((TRIM(tblDados[Mandante])=$A675)*tblDados[Primeira_Ocorrencia]*(tblDados[GM_M]&gt;0)*(tblDados[GS_M]&gt;0))+SUMPRODUCT((TRIM(tblDados[Visitante])=$A675)*tblDados[Primeira_Ocorrencia]*(tblDados[GM_V]&gt;0)*(tblDados[GS_V]&gt;0)))/G675,0))</f>
        <v/>
      </c>
      <c r="P675" s="14" t="str" cm="1">
        <f t="array" ref="P675">IF($A675="","",IFERROR((SUMPRODUCT((TRIM(tblDados[Mandante])=$A675)*tblDados[Primeira_Ocorrencia]*tblDados[GM_M]^2)+SUMPRODUCT((TRIM(tblDados[Visitante])=$A675)*tblDados[Primeira_Ocorrencia]*tblDados[GM_V]^2))/G675-H675^2,0))</f>
        <v/>
      </c>
      <c r="Q675" s="14" t="str">
        <f t="shared" si="187"/>
        <v/>
      </c>
      <c r="R675" s="1" t="str">
        <f t="shared" si="188"/>
        <v/>
      </c>
      <c r="S675" s="14" t="str" cm="1">
        <f t="array" ref="S675">IF($A675="","",SUMPRODUCT((TRIM(tblDados[Mandante])=$A675)*tblDados[Primeira_Ocorrencia]*tblDados[GM_M]))</f>
        <v/>
      </c>
      <c r="T675" s="14" t="str" cm="1">
        <f t="array" ref="T675">IF($A675="","",SUMPRODUCT((TRIM(tblDados[Visitante])=$A675)*tblDados[Primeira_Ocorrencia]*tblDados[GM_V]))</f>
        <v/>
      </c>
      <c r="U675" s="14" t="str">
        <f t="shared" si="189"/>
        <v/>
      </c>
      <c r="V675" s="14" t="str">
        <f t="shared" si="178"/>
        <v/>
      </c>
      <c r="W675" s="14" t="str" cm="1">
        <f t="array" ref="W675">IF($A675="","",SUMPRODUCT((TRIM(tblDados[Mandante])=$A675)*tblDados[Primeira_Ocorrencia]*tblDados[GS_M]))</f>
        <v/>
      </c>
      <c r="X675" s="14" t="str" cm="1">
        <f t="array" ref="X675">IF($A675="","",SUMPRODUCT((TRIM(tblDados[Visitante])=$A675)*tblDados[Primeira_Ocorrencia]*tblDados[GS_V]))</f>
        <v/>
      </c>
      <c r="Y675" s="14" t="str">
        <f t="shared" si="190"/>
        <v/>
      </c>
      <c r="Z675" s="14" t="str">
        <f t="shared" si="179"/>
        <v/>
      </c>
      <c r="AA675" s="14" t="str">
        <f t="shared" si="180"/>
        <v/>
      </c>
      <c r="AB675" s="14" t="str">
        <f t="shared" si="181"/>
        <v/>
      </c>
      <c r="AC675" s="14" t="str">
        <f t="shared" si="182"/>
        <v/>
      </c>
      <c r="AD675" s="14" t="str">
        <f t="shared" si="183"/>
        <v/>
      </c>
    </row>
    <row r="676" spans="2:30" x14ac:dyDescent="0.3">
      <c r="B676" s="13" t="str" cm="1">
        <f t="array" ref="B676">IF($A676="","",_xlfn.LET(_xlpm.p,IFERROR(INDEX(tblDados[País],MATCH($A676,TRIM(tblDados[Mandante]),0)),INDEX(tblDados[País],MATCH($A676,TRIM(tblDados[Visitante]),0))),_xlpm.l,IFERROR(INDEX(tblDados[Liga],MATCH($A676,TRIM(tblDados[Mandante]),0)),INDEX(tblDados[Liga],MATCH($A676,TRIM(tblDados[Visitante]),0))),_xlpm.p&amp;" - "&amp;_xlpm.l))</f>
        <v/>
      </c>
      <c r="C676" s="14" t="str">
        <f t="shared" si="184"/>
        <v/>
      </c>
      <c r="D676" s="14" t="str">
        <f t="shared" si="185"/>
        <v/>
      </c>
      <c r="E676" s="15" t="str" cm="1">
        <f t="array" ref="E676">IF($A676="","",SUMPRODUCT((TRIM(tblDados[Mandante])=$A676)*tblDados[Primeira_Ocorrencia]))</f>
        <v/>
      </c>
      <c r="F676" s="15" t="str" cm="1">
        <f t="array" ref="F676">IF($A676="","",SUMPRODUCT((TRIM(tblDados[Visitante])=$A676)*tblDados[Primeira_Ocorrencia]))</f>
        <v/>
      </c>
      <c r="G676" s="15" t="str" cm="1">
        <f t="array" ref="G676">IF($A676="","",SUMPRODUCT((TRIM(tblDados[Mandante])=$A676)*tblDados[Primeira_Ocorrencia])+SUMPRODUCT((TRIM(tblDados[Visitante])=$A676)*tblDados[Primeira_Ocorrencia]))</f>
        <v/>
      </c>
      <c r="H676" s="14" t="str">
        <f t="shared" si="186"/>
        <v/>
      </c>
      <c r="I676" s="14" t="str" cm="1">
        <f t="array" ref="I676">IF($A676="","",_xlfn.LET(_xlpm.p,IFERROR(INDEX(tblDados[País],MATCH($A676,TRIM(tblDados[Mandante]),0)),INDEX(tblDados[País],MATCH($A676,TRIM(tblDados[Visitante]),0))),_xlpm.l,IFERROR(INDEX(tblDados[Liga],MATCH($A676,TRIM(tblDados[Mandante]),0)),INDEX(tblDados[Liga],MATCH($A676,TRIM(tblDados[Visitante]),0))),IFERROR(SUMIFS(Ligas!$D$2:$D$39,Ligas!$H$2:$H$39,_xlpm.p,Ligas!$I$2:$I$39,_xlpm.l),0)))</f>
        <v/>
      </c>
      <c r="J676" s="16" t="str" cm="1">
        <f t="array" ref="J676">IF($A676="","",IFERROR((SUMPRODUCT((TRIM(tblDados[Mandante])=$A676)*tblDados[Primeira_Ocorrencia]*(tblDados[GM_M]=0))+SUMPRODUCT((TRIM(tblDados[Visitante])=$A676)*tblDados[Primeira_Ocorrencia]*(tblDados[GM_V]=0)))/G676,0))</f>
        <v/>
      </c>
      <c r="K676" s="16" t="str" cm="1">
        <f t="array" ref="K676">IF($A676="","",IFERROR((SUMPRODUCT((TRIM(tblDados[Mandante])=$A676)*tblDados[Primeira_Ocorrencia]*((tblDados[GM_M]+tblDados[GS_M])&gt;0.5))+SUMPRODUCT((TRIM(tblDados[Visitante])=$A676)*tblDados[Primeira_Ocorrencia]*((tblDados[GM_V]+tblDados[GS_V])&gt;0.5)))/G676,0))</f>
        <v/>
      </c>
      <c r="L676" s="16" t="str" cm="1">
        <f t="array" ref="L676">IF($A676="","",IFERROR((SUMPRODUCT((TRIM(tblDados[Mandante])=$A676)*tblDados[Primeira_Ocorrencia]*((tblDados[GM_M]+tblDados[GS_M])&gt;1.5))+SUMPRODUCT((TRIM(tblDados[Visitante])=$A676)*tblDados[Primeira_Ocorrencia]*((tblDados[GM_V]+tblDados[GS_V])&gt;1.5)))/G676,0))</f>
        <v/>
      </c>
      <c r="M676" s="16" t="str" cm="1">
        <f t="array" ref="M676">IF($A676="","",IFERROR((SUMPRODUCT((TRIM(tblDados[Mandante])=$A676)*tblDados[Primeira_Ocorrencia]*((tblDados[GM_M]+tblDados[GS_M])&gt;2.5))+SUMPRODUCT((TRIM(tblDados[Visitante])=$A676)*tblDados[Primeira_Ocorrencia]*((tblDados[GM_V]+tblDados[GS_V])&gt;2.5)))/G676,0))</f>
        <v/>
      </c>
      <c r="N676" s="16" t="str" cm="1">
        <f t="array" ref="N676">IF($A676="","",IFERROR((SUMPRODUCT((TRIM(tblDados[Mandante])=$A676)*tblDados[Primeira_Ocorrencia]*((tblDados[GM_M]+tblDados[GS_M])&gt;3.5))+SUMPRODUCT((TRIM(tblDados[Visitante])=$A676)*tblDados[Primeira_Ocorrencia]*((tblDados[GM_V]+tblDados[GS_V])&gt;3.5)))/G676,0))</f>
        <v/>
      </c>
      <c r="O676" s="16" t="str" cm="1">
        <f t="array" ref="O676">IF($A676="","",IFERROR((SUMPRODUCT((TRIM(tblDados[Mandante])=$A676)*tblDados[Primeira_Ocorrencia]*(tblDados[GM_M]&gt;0)*(tblDados[GS_M]&gt;0))+SUMPRODUCT((TRIM(tblDados[Visitante])=$A676)*tblDados[Primeira_Ocorrencia]*(tblDados[GM_V]&gt;0)*(tblDados[GS_V]&gt;0)))/G676,0))</f>
        <v/>
      </c>
      <c r="P676" s="14" t="str" cm="1">
        <f t="array" ref="P676">IF($A676="","",IFERROR((SUMPRODUCT((TRIM(tblDados[Mandante])=$A676)*tblDados[Primeira_Ocorrencia]*tblDados[GM_M]^2)+SUMPRODUCT((TRIM(tblDados[Visitante])=$A676)*tblDados[Primeira_Ocorrencia]*tblDados[GM_V]^2))/G676-H676^2,0))</f>
        <v/>
      </c>
      <c r="Q676" s="14" t="str">
        <f t="shared" si="187"/>
        <v/>
      </c>
      <c r="R676" s="1" t="str">
        <f t="shared" si="188"/>
        <v/>
      </c>
      <c r="S676" s="14" t="str" cm="1">
        <f t="array" ref="S676">IF($A676="","",SUMPRODUCT((TRIM(tblDados[Mandante])=$A676)*tblDados[Primeira_Ocorrencia]*tblDados[GM_M]))</f>
        <v/>
      </c>
      <c r="T676" s="14" t="str" cm="1">
        <f t="array" ref="T676">IF($A676="","",SUMPRODUCT((TRIM(tblDados[Visitante])=$A676)*tblDados[Primeira_Ocorrencia]*tblDados[GM_V]))</f>
        <v/>
      </c>
      <c r="U676" s="14" t="str">
        <f t="shared" si="189"/>
        <v/>
      </c>
      <c r="V676" s="14" t="str">
        <f t="shared" si="178"/>
        <v/>
      </c>
      <c r="W676" s="14" t="str" cm="1">
        <f t="array" ref="W676">IF($A676="","",SUMPRODUCT((TRIM(tblDados[Mandante])=$A676)*tblDados[Primeira_Ocorrencia]*tblDados[GS_M]))</f>
        <v/>
      </c>
      <c r="X676" s="14" t="str" cm="1">
        <f t="array" ref="X676">IF($A676="","",SUMPRODUCT((TRIM(tblDados[Visitante])=$A676)*tblDados[Primeira_Ocorrencia]*tblDados[GS_V]))</f>
        <v/>
      </c>
      <c r="Y676" s="14" t="str">
        <f t="shared" si="190"/>
        <v/>
      </c>
      <c r="Z676" s="14" t="str">
        <f t="shared" si="179"/>
        <v/>
      </c>
      <c r="AA676" s="14" t="str">
        <f t="shared" si="180"/>
        <v/>
      </c>
      <c r="AB676" s="14" t="str">
        <f t="shared" si="181"/>
        <v/>
      </c>
      <c r="AC676" s="14" t="str">
        <f t="shared" si="182"/>
        <v/>
      </c>
      <c r="AD676" s="14" t="str">
        <f t="shared" si="183"/>
        <v/>
      </c>
    </row>
    <row r="677" spans="2:30" x14ac:dyDescent="0.3">
      <c r="B677" s="13" t="str" cm="1">
        <f t="array" ref="B677">IF($A677="","",_xlfn.LET(_xlpm.p,IFERROR(INDEX(tblDados[País],MATCH($A677,TRIM(tblDados[Mandante]),0)),INDEX(tblDados[País],MATCH($A677,TRIM(tblDados[Visitante]),0))),_xlpm.l,IFERROR(INDEX(tblDados[Liga],MATCH($A677,TRIM(tblDados[Mandante]),0)),INDEX(tblDados[Liga],MATCH($A677,TRIM(tblDados[Visitante]),0))),_xlpm.p&amp;" - "&amp;_xlpm.l))</f>
        <v/>
      </c>
      <c r="C677" s="14" t="str">
        <f t="shared" si="184"/>
        <v/>
      </c>
      <c r="D677" s="14" t="str">
        <f t="shared" si="185"/>
        <v/>
      </c>
      <c r="E677" s="15" t="str" cm="1">
        <f t="array" ref="E677">IF($A677="","",SUMPRODUCT((TRIM(tblDados[Mandante])=$A677)*tblDados[Primeira_Ocorrencia]))</f>
        <v/>
      </c>
      <c r="F677" s="15" t="str" cm="1">
        <f t="array" ref="F677">IF($A677="","",SUMPRODUCT((TRIM(tblDados[Visitante])=$A677)*tblDados[Primeira_Ocorrencia]))</f>
        <v/>
      </c>
      <c r="G677" s="15" t="str" cm="1">
        <f t="array" ref="G677">IF($A677="","",SUMPRODUCT((TRIM(tblDados[Mandante])=$A677)*tblDados[Primeira_Ocorrencia])+SUMPRODUCT((TRIM(tblDados[Visitante])=$A677)*tblDados[Primeira_Ocorrencia]))</f>
        <v/>
      </c>
      <c r="H677" s="14" t="str">
        <f t="shared" si="186"/>
        <v/>
      </c>
      <c r="I677" s="14" t="str" cm="1">
        <f t="array" ref="I677">IF($A677="","",_xlfn.LET(_xlpm.p,IFERROR(INDEX(tblDados[País],MATCH($A677,TRIM(tblDados[Mandante]),0)),INDEX(tblDados[País],MATCH($A677,TRIM(tblDados[Visitante]),0))),_xlpm.l,IFERROR(INDEX(tblDados[Liga],MATCH($A677,TRIM(tblDados[Mandante]),0)),INDEX(tblDados[Liga],MATCH($A677,TRIM(tblDados[Visitante]),0))),IFERROR(SUMIFS(Ligas!$D$2:$D$39,Ligas!$H$2:$H$39,_xlpm.p,Ligas!$I$2:$I$39,_xlpm.l),0)))</f>
        <v/>
      </c>
      <c r="J677" s="16" t="str" cm="1">
        <f t="array" ref="J677">IF($A677="","",IFERROR((SUMPRODUCT((TRIM(tblDados[Mandante])=$A677)*tblDados[Primeira_Ocorrencia]*(tblDados[GM_M]=0))+SUMPRODUCT((TRIM(tblDados[Visitante])=$A677)*tblDados[Primeira_Ocorrencia]*(tblDados[GM_V]=0)))/G677,0))</f>
        <v/>
      </c>
      <c r="K677" s="16" t="str" cm="1">
        <f t="array" ref="K677">IF($A677="","",IFERROR((SUMPRODUCT((TRIM(tblDados[Mandante])=$A677)*tblDados[Primeira_Ocorrencia]*((tblDados[GM_M]+tblDados[GS_M])&gt;0.5))+SUMPRODUCT((TRIM(tblDados[Visitante])=$A677)*tblDados[Primeira_Ocorrencia]*((tblDados[GM_V]+tblDados[GS_V])&gt;0.5)))/G677,0))</f>
        <v/>
      </c>
      <c r="L677" s="16" t="str" cm="1">
        <f t="array" ref="L677">IF($A677="","",IFERROR((SUMPRODUCT((TRIM(tblDados[Mandante])=$A677)*tblDados[Primeira_Ocorrencia]*((tblDados[GM_M]+tblDados[GS_M])&gt;1.5))+SUMPRODUCT((TRIM(tblDados[Visitante])=$A677)*tblDados[Primeira_Ocorrencia]*((tblDados[GM_V]+tblDados[GS_V])&gt;1.5)))/G677,0))</f>
        <v/>
      </c>
      <c r="M677" s="16" t="str" cm="1">
        <f t="array" ref="M677">IF($A677="","",IFERROR((SUMPRODUCT((TRIM(tblDados[Mandante])=$A677)*tblDados[Primeira_Ocorrencia]*((tblDados[GM_M]+tblDados[GS_M])&gt;2.5))+SUMPRODUCT((TRIM(tblDados[Visitante])=$A677)*tblDados[Primeira_Ocorrencia]*((tblDados[GM_V]+tblDados[GS_V])&gt;2.5)))/G677,0))</f>
        <v/>
      </c>
      <c r="N677" s="16" t="str" cm="1">
        <f t="array" ref="N677">IF($A677="","",IFERROR((SUMPRODUCT((TRIM(tblDados[Mandante])=$A677)*tblDados[Primeira_Ocorrencia]*((tblDados[GM_M]+tblDados[GS_M])&gt;3.5))+SUMPRODUCT((TRIM(tblDados[Visitante])=$A677)*tblDados[Primeira_Ocorrencia]*((tblDados[GM_V]+tblDados[GS_V])&gt;3.5)))/G677,0))</f>
        <v/>
      </c>
      <c r="O677" s="16" t="str" cm="1">
        <f t="array" ref="O677">IF($A677="","",IFERROR((SUMPRODUCT((TRIM(tblDados[Mandante])=$A677)*tblDados[Primeira_Ocorrencia]*(tblDados[GM_M]&gt;0)*(tblDados[GS_M]&gt;0))+SUMPRODUCT((TRIM(tblDados[Visitante])=$A677)*tblDados[Primeira_Ocorrencia]*(tblDados[GM_V]&gt;0)*(tblDados[GS_V]&gt;0)))/G677,0))</f>
        <v/>
      </c>
      <c r="P677" s="14" t="str" cm="1">
        <f t="array" ref="P677">IF($A677="","",IFERROR((SUMPRODUCT((TRIM(tblDados[Mandante])=$A677)*tblDados[Primeira_Ocorrencia]*tblDados[GM_M]^2)+SUMPRODUCT((TRIM(tblDados[Visitante])=$A677)*tblDados[Primeira_Ocorrencia]*tblDados[GM_V]^2))/G677-H677^2,0))</f>
        <v/>
      </c>
      <c r="Q677" s="14" t="str">
        <f t="shared" si="187"/>
        <v/>
      </c>
      <c r="R677" s="1" t="str">
        <f t="shared" si="188"/>
        <v/>
      </c>
      <c r="S677" s="14" t="str" cm="1">
        <f t="array" ref="S677">IF($A677="","",SUMPRODUCT((TRIM(tblDados[Mandante])=$A677)*tblDados[Primeira_Ocorrencia]*tblDados[GM_M]))</f>
        <v/>
      </c>
      <c r="T677" s="14" t="str" cm="1">
        <f t="array" ref="T677">IF($A677="","",SUMPRODUCT((TRIM(tblDados[Visitante])=$A677)*tblDados[Primeira_Ocorrencia]*tblDados[GM_V]))</f>
        <v/>
      </c>
      <c r="U677" s="14" t="str">
        <f t="shared" si="189"/>
        <v/>
      </c>
      <c r="V677" s="14" t="str">
        <f t="shared" si="178"/>
        <v/>
      </c>
      <c r="W677" s="14" t="str" cm="1">
        <f t="array" ref="W677">IF($A677="","",SUMPRODUCT((TRIM(tblDados[Mandante])=$A677)*tblDados[Primeira_Ocorrencia]*tblDados[GS_M]))</f>
        <v/>
      </c>
      <c r="X677" s="14" t="str" cm="1">
        <f t="array" ref="X677">IF($A677="","",SUMPRODUCT((TRIM(tblDados[Visitante])=$A677)*tblDados[Primeira_Ocorrencia]*tblDados[GS_V]))</f>
        <v/>
      </c>
      <c r="Y677" s="14" t="str">
        <f t="shared" si="190"/>
        <v/>
      </c>
      <c r="Z677" s="14" t="str">
        <f t="shared" si="179"/>
        <v/>
      </c>
      <c r="AA677" s="14" t="str">
        <f t="shared" si="180"/>
        <v/>
      </c>
      <c r="AB677" s="14" t="str">
        <f t="shared" si="181"/>
        <v/>
      </c>
      <c r="AC677" s="14" t="str">
        <f t="shared" si="182"/>
        <v/>
      </c>
      <c r="AD677" s="14" t="str">
        <f t="shared" si="183"/>
        <v/>
      </c>
    </row>
    <row r="678" spans="2:30" x14ac:dyDescent="0.3">
      <c r="B678" s="13" t="str" cm="1">
        <f t="array" ref="B678">IF($A678="","",_xlfn.LET(_xlpm.p,IFERROR(INDEX(tblDados[País],MATCH($A678,TRIM(tblDados[Mandante]),0)),INDEX(tblDados[País],MATCH($A678,TRIM(tblDados[Visitante]),0))),_xlpm.l,IFERROR(INDEX(tblDados[Liga],MATCH($A678,TRIM(tblDados[Mandante]),0)),INDEX(tblDados[Liga],MATCH($A678,TRIM(tblDados[Visitante]),0))),_xlpm.p&amp;" - "&amp;_xlpm.l))</f>
        <v/>
      </c>
      <c r="C678" s="14" t="str">
        <f t="shared" si="184"/>
        <v/>
      </c>
      <c r="D678" s="14" t="str">
        <f t="shared" si="185"/>
        <v/>
      </c>
      <c r="E678" s="15" t="str" cm="1">
        <f t="array" ref="E678">IF($A678="","",SUMPRODUCT((TRIM(tblDados[Mandante])=$A678)*tblDados[Primeira_Ocorrencia]))</f>
        <v/>
      </c>
      <c r="F678" s="15" t="str" cm="1">
        <f t="array" ref="F678">IF($A678="","",SUMPRODUCT((TRIM(tblDados[Visitante])=$A678)*tblDados[Primeira_Ocorrencia]))</f>
        <v/>
      </c>
      <c r="G678" s="15" t="str" cm="1">
        <f t="array" ref="G678">IF($A678="","",SUMPRODUCT((TRIM(tblDados[Mandante])=$A678)*tblDados[Primeira_Ocorrencia])+SUMPRODUCT((TRIM(tblDados[Visitante])=$A678)*tblDados[Primeira_Ocorrencia]))</f>
        <v/>
      </c>
      <c r="H678" s="14" t="str">
        <f t="shared" si="186"/>
        <v/>
      </c>
      <c r="I678" s="14" t="str" cm="1">
        <f t="array" ref="I678">IF($A678="","",_xlfn.LET(_xlpm.p,IFERROR(INDEX(tblDados[País],MATCH($A678,TRIM(tblDados[Mandante]),0)),INDEX(tblDados[País],MATCH($A678,TRIM(tblDados[Visitante]),0))),_xlpm.l,IFERROR(INDEX(tblDados[Liga],MATCH($A678,TRIM(tblDados[Mandante]),0)),INDEX(tblDados[Liga],MATCH($A678,TRIM(tblDados[Visitante]),0))),IFERROR(SUMIFS(Ligas!$D$2:$D$39,Ligas!$H$2:$H$39,_xlpm.p,Ligas!$I$2:$I$39,_xlpm.l),0)))</f>
        <v/>
      </c>
      <c r="J678" s="16" t="str" cm="1">
        <f t="array" ref="J678">IF($A678="","",IFERROR((SUMPRODUCT((TRIM(tblDados[Mandante])=$A678)*tblDados[Primeira_Ocorrencia]*(tblDados[GM_M]=0))+SUMPRODUCT((TRIM(tblDados[Visitante])=$A678)*tblDados[Primeira_Ocorrencia]*(tblDados[GM_V]=0)))/G678,0))</f>
        <v/>
      </c>
      <c r="K678" s="16" t="str" cm="1">
        <f t="array" ref="K678">IF($A678="","",IFERROR((SUMPRODUCT((TRIM(tblDados[Mandante])=$A678)*tblDados[Primeira_Ocorrencia]*((tblDados[GM_M]+tblDados[GS_M])&gt;0.5))+SUMPRODUCT((TRIM(tblDados[Visitante])=$A678)*tblDados[Primeira_Ocorrencia]*((tblDados[GM_V]+tblDados[GS_V])&gt;0.5)))/G678,0))</f>
        <v/>
      </c>
      <c r="L678" s="16" t="str" cm="1">
        <f t="array" ref="L678">IF($A678="","",IFERROR((SUMPRODUCT((TRIM(tblDados[Mandante])=$A678)*tblDados[Primeira_Ocorrencia]*((tblDados[GM_M]+tblDados[GS_M])&gt;1.5))+SUMPRODUCT((TRIM(tblDados[Visitante])=$A678)*tblDados[Primeira_Ocorrencia]*((tblDados[GM_V]+tblDados[GS_V])&gt;1.5)))/G678,0))</f>
        <v/>
      </c>
      <c r="M678" s="16" t="str" cm="1">
        <f t="array" ref="M678">IF($A678="","",IFERROR((SUMPRODUCT((TRIM(tblDados[Mandante])=$A678)*tblDados[Primeira_Ocorrencia]*((tblDados[GM_M]+tblDados[GS_M])&gt;2.5))+SUMPRODUCT((TRIM(tblDados[Visitante])=$A678)*tblDados[Primeira_Ocorrencia]*((tblDados[GM_V]+tblDados[GS_V])&gt;2.5)))/G678,0))</f>
        <v/>
      </c>
      <c r="N678" s="16" t="str" cm="1">
        <f t="array" ref="N678">IF($A678="","",IFERROR((SUMPRODUCT((TRIM(tblDados[Mandante])=$A678)*tblDados[Primeira_Ocorrencia]*((tblDados[GM_M]+tblDados[GS_M])&gt;3.5))+SUMPRODUCT((TRIM(tblDados[Visitante])=$A678)*tblDados[Primeira_Ocorrencia]*((tblDados[GM_V]+tblDados[GS_V])&gt;3.5)))/G678,0))</f>
        <v/>
      </c>
      <c r="O678" s="16" t="str" cm="1">
        <f t="array" ref="O678">IF($A678="","",IFERROR((SUMPRODUCT((TRIM(tblDados[Mandante])=$A678)*tblDados[Primeira_Ocorrencia]*(tblDados[GM_M]&gt;0)*(tblDados[GS_M]&gt;0))+SUMPRODUCT((TRIM(tblDados[Visitante])=$A678)*tblDados[Primeira_Ocorrencia]*(tblDados[GM_V]&gt;0)*(tblDados[GS_V]&gt;0)))/G678,0))</f>
        <v/>
      </c>
      <c r="P678" s="14" t="str" cm="1">
        <f t="array" ref="P678">IF($A678="","",IFERROR((SUMPRODUCT((TRIM(tblDados[Mandante])=$A678)*tblDados[Primeira_Ocorrencia]*tblDados[GM_M]^2)+SUMPRODUCT((TRIM(tblDados[Visitante])=$A678)*tblDados[Primeira_Ocorrencia]*tblDados[GM_V]^2))/G678-H678^2,0))</f>
        <v/>
      </c>
      <c r="Q678" s="14" t="str">
        <f t="shared" si="187"/>
        <v/>
      </c>
      <c r="R678" s="1" t="str">
        <f t="shared" si="188"/>
        <v/>
      </c>
      <c r="S678" s="14" t="str" cm="1">
        <f t="array" ref="S678">IF($A678="","",SUMPRODUCT((TRIM(tblDados[Mandante])=$A678)*tblDados[Primeira_Ocorrencia]*tblDados[GM_M]))</f>
        <v/>
      </c>
      <c r="T678" s="14" t="str" cm="1">
        <f t="array" ref="T678">IF($A678="","",SUMPRODUCT((TRIM(tblDados[Visitante])=$A678)*tblDados[Primeira_Ocorrencia]*tblDados[GM_V]))</f>
        <v/>
      </c>
      <c r="U678" s="14" t="str">
        <f t="shared" si="189"/>
        <v/>
      </c>
      <c r="V678" s="14" t="str">
        <f t="shared" si="178"/>
        <v/>
      </c>
      <c r="W678" s="14" t="str" cm="1">
        <f t="array" ref="W678">IF($A678="","",SUMPRODUCT((TRIM(tblDados[Mandante])=$A678)*tblDados[Primeira_Ocorrencia]*tblDados[GS_M]))</f>
        <v/>
      </c>
      <c r="X678" s="14" t="str" cm="1">
        <f t="array" ref="X678">IF($A678="","",SUMPRODUCT((TRIM(tblDados[Visitante])=$A678)*tblDados[Primeira_Ocorrencia]*tblDados[GS_V]))</f>
        <v/>
      </c>
      <c r="Y678" s="14" t="str">
        <f t="shared" si="190"/>
        <v/>
      </c>
      <c r="Z678" s="14" t="str">
        <f t="shared" si="179"/>
        <v/>
      </c>
      <c r="AA678" s="14" t="str">
        <f t="shared" si="180"/>
        <v/>
      </c>
      <c r="AB678" s="14" t="str">
        <f t="shared" si="181"/>
        <v/>
      </c>
      <c r="AC678" s="14" t="str">
        <f t="shared" si="182"/>
        <v/>
      </c>
      <c r="AD678" s="14" t="str">
        <f t="shared" si="183"/>
        <v/>
      </c>
    </row>
    <row r="679" spans="2:30" x14ac:dyDescent="0.3">
      <c r="B679" s="13" t="str" cm="1">
        <f t="array" ref="B679">IF($A679="","",_xlfn.LET(_xlpm.p,IFERROR(INDEX(tblDados[País],MATCH($A679,TRIM(tblDados[Mandante]),0)),INDEX(tblDados[País],MATCH($A679,TRIM(tblDados[Visitante]),0))),_xlpm.l,IFERROR(INDEX(tblDados[Liga],MATCH($A679,TRIM(tblDados[Mandante]),0)),INDEX(tblDados[Liga],MATCH($A679,TRIM(tblDados[Visitante]),0))),_xlpm.p&amp;" - "&amp;_xlpm.l))</f>
        <v/>
      </c>
      <c r="C679" s="14" t="str">
        <f t="shared" si="184"/>
        <v/>
      </c>
      <c r="D679" s="14" t="str">
        <f t="shared" si="185"/>
        <v/>
      </c>
      <c r="E679" s="15" t="str" cm="1">
        <f t="array" ref="E679">IF($A679="","",SUMPRODUCT((TRIM(tblDados[Mandante])=$A679)*tblDados[Primeira_Ocorrencia]))</f>
        <v/>
      </c>
      <c r="F679" s="15" t="str" cm="1">
        <f t="array" ref="F679">IF($A679="","",SUMPRODUCT((TRIM(tblDados[Visitante])=$A679)*tblDados[Primeira_Ocorrencia]))</f>
        <v/>
      </c>
      <c r="G679" s="15" t="str" cm="1">
        <f t="array" ref="G679">IF($A679="","",SUMPRODUCT((TRIM(tblDados[Mandante])=$A679)*tblDados[Primeira_Ocorrencia])+SUMPRODUCT((TRIM(tblDados[Visitante])=$A679)*tblDados[Primeira_Ocorrencia]))</f>
        <v/>
      </c>
      <c r="H679" s="14" t="str">
        <f t="shared" si="186"/>
        <v/>
      </c>
      <c r="I679" s="14" t="str" cm="1">
        <f t="array" ref="I679">IF($A679="","",_xlfn.LET(_xlpm.p,IFERROR(INDEX(tblDados[País],MATCH($A679,TRIM(tblDados[Mandante]),0)),INDEX(tblDados[País],MATCH($A679,TRIM(tblDados[Visitante]),0))),_xlpm.l,IFERROR(INDEX(tblDados[Liga],MATCH($A679,TRIM(tblDados[Mandante]),0)),INDEX(tblDados[Liga],MATCH($A679,TRIM(tblDados[Visitante]),0))),IFERROR(SUMIFS(Ligas!$D$2:$D$39,Ligas!$H$2:$H$39,_xlpm.p,Ligas!$I$2:$I$39,_xlpm.l),0)))</f>
        <v/>
      </c>
      <c r="J679" s="16" t="str" cm="1">
        <f t="array" ref="J679">IF($A679="","",IFERROR((SUMPRODUCT((TRIM(tblDados[Mandante])=$A679)*tblDados[Primeira_Ocorrencia]*(tblDados[GM_M]=0))+SUMPRODUCT((TRIM(tblDados[Visitante])=$A679)*tblDados[Primeira_Ocorrencia]*(tblDados[GM_V]=0)))/G679,0))</f>
        <v/>
      </c>
      <c r="K679" s="16" t="str" cm="1">
        <f t="array" ref="K679">IF($A679="","",IFERROR((SUMPRODUCT((TRIM(tblDados[Mandante])=$A679)*tblDados[Primeira_Ocorrencia]*((tblDados[GM_M]+tblDados[GS_M])&gt;0.5))+SUMPRODUCT((TRIM(tblDados[Visitante])=$A679)*tblDados[Primeira_Ocorrencia]*((tblDados[GM_V]+tblDados[GS_V])&gt;0.5)))/G679,0))</f>
        <v/>
      </c>
      <c r="L679" s="16" t="str" cm="1">
        <f t="array" ref="L679">IF($A679="","",IFERROR((SUMPRODUCT((TRIM(tblDados[Mandante])=$A679)*tblDados[Primeira_Ocorrencia]*((tblDados[GM_M]+tblDados[GS_M])&gt;1.5))+SUMPRODUCT((TRIM(tblDados[Visitante])=$A679)*tblDados[Primeira_Ocorrencia]*((tblDados[GM_V]+tblDados[GS_V])&gt;1.5)))/G679,0))</f>
        <v/>
      </c>
      <c r="M679" s="16" t="str" cm="1">
        <f t="array" ref="M679">IF($A679="","",IFERROR((SUMPRODUCT((TRIM(tblDados[Mandante])=$A679)*tblDados[Primeira_Ocorrencia]*((tblDados[GM_M]+tblDados[GS_M])&gt;2.5))+SUMPRODUCT((TRIM(tblDados[Visitante])=$A679)*tblDados[Primeira_Ocorrencia]*((tblDados[GM_V]+tblDados[GS_V])&gt;2.5)))/G679,0))</f>
        <v/>
      </c>
      <c r="N679" s="16" t="str" cm="1">
        <f t="array" ref="N679">IF($A679="","",IFERROR((SUMPRODUCT((TRIM(tblDados[Mandante])=$A679)*tblDados[Primeira_Ocorrencia]*((tblDados[GM_M]+tblDados[GS_M])&gt;3.5))+SUMPRODUCT((TRIM(tblDados[Visitante])=$A679)*tblDados[Primeira_Ocorrencia]*((tblDados[GM_V]+tblDados[GS_V])&gt;3.5)))/G679,0))</f>
        <v/>
      </c>
      <c r="O679" s="16" t="str" cm="1">
        <f t="array" ref="O679">IF($A679="","",IFERROR((SUMPRODUCT((TRIM(tblDados[Mandante])=$A679)*tblDados[Primeira_Ocorrencia]*(tblDados[GM_M]&gt;0)*(tblDados[GS_M]&gt;0))+SUMPRODUCT((TRIM(tblDados[Visitante])=$A679)*tblDados[Primeira_Ocorrencia]*(tblDados[GM_V]&gt;0)*(tblDados[GS_V]&gt;0)))/G679,0))</f>
        <v/>
      </c>
      <c r="P679" s="14" t="str" cm="1">
        <f t="array" ref="P679">IF($A679="","",IFERROR((SUMPRODUCT((TRIM(tblDados[Mandante])=$A679)*tblDados[Primeira_Ocorrencia]*tblDados[GM_M]^2)+SUMPRODUCT((TRIM(tblDados[Visitante])=$A679)*tblDados[Primeira_Ocorrencia]*tblDados[GM_V]^2))/G679-H679^2,0))</f>
        <v/>
      </c>
      <c r="Q679" s="14" t="str">
        <f t="shared" si="187"/>
        <v/>
      </c>
      <c r="R679" s="1" t="str">
        <f t="shared" si="188"/>
        <v/>
      </c>
      <c r="S679" s="14" t="str" cm="1">
        <f t="array" ref="S679">IF($A679="","",SUMPRODUCT((TRIM(tblDados[Mandante])=$A679)*tblDados[Primeira_Ocorrencia]*tblDados[GM_M]))</f>
        <v/>
      </c>
      <c r="T679" s="14" t="str" cm="1">
        <f t="array" ref="T679">IF($A679="","",SUMPRODUCT((TRIM(tblDados[Visitante])=$A679)*tblDados[Primeira_Ocorrencia]*tblDados[GM_V]))</f>
        <v/>
      </c>
      <c r="U679" s="14" t="str">
        <f t="shared" si="189"/>
        <v/>
      </c>
      <c r="V679" s="14" t="str">
        <f t="shared" si="178"/>
        <v/>
      </c>
      <c r="W679" s="14" t="str" cm="1">
        <f t="array" ref="W679">IF($A679="","",SUMPRODUCT((TRIM(tblDados[Mandante])=$A679)*tblDados[Primeira_Ocorrencia]*tblDados[GS_M]))</f>
        <v/>
      </c>
      <c r="X679" s="14" t="str" cm="1">
        <f t="array" ref="X679">IF($A679="","",SUMPRODUCT((TRIM(tblDados[Visitante])=$A679)*tblDados[Primeira_Ocorrencia]*tblDados[GS_V]))</f>
        <v/>
      </c>
      <c r="Y679" s="14" t="str">
        <f t="shared" si="190"/>
        <v/>
      </c>
      <c r="Z679" s="14" t="str">
        <f t="shared" si="179"/>
        <v/>
      </c>
      <c r="AA679" s="14" t="str">
        <f t="shared" si="180"/>
        <v/>
      </c>
      <c r="AB679" s="14" t="str">
        <f t="shared" si="181"/>
        <v/>
      </c>
      <c r="AC679" s="14" t="str">
        <f t="shared" si="182"/>
        <v/>
      </c>
      <c r="AD679" s="14" t="str">
        <f t="shared" si="183"/>
        <v/>
      </c>
    </row>
    <row r="680" spans="2:30" x14ac:dyDescent="0.3">
      <c r="B680" s="13" t="str" cm="1">
        <f t="array" ref="B680">IF($A680="","",_xlfn.LET(_xlpm.p,IFERROR(INDEX(tblDados[País],MATCH($A680,TRIM(tblDados[Mandante]),0)),INDEX(tblDados[País],MATCH($A680,TRIM(tblDados[Visitante]),0))),_xlpm.l,IFERROR(INDEX(tblDados[Liga],MATCH($A680,TRIM(tblDados[Mandante]),0)),INDEX(tblDados[Liga],MATCH($A680,TRIM(tblDados[Visitante]),0))),_xlpm.p&amp;" - "&amp;_xlpm.l))</f>
        <v/>
      </c>
      <c r="C680" s="14" t="str">
        <f t="shared" si="184"/>
        <v/>
      </c>
      <c r="D680" s="14" t="str">
        <f t="shared" si="185"/>
        <v/>
      </c>
      <c r="E680" s="15" t="str" cm="1">
        <f t="array" ref="E680">IF($A680="","",SUMPRODUCT((TRIM(tblDados[Mandante])=$A680)*tblDados[Primeira_Ocorrencia]))</f>
        <v/>
      </c>
      <c r="F680" s="15" t="str" cm="1">
        <f t="array" ref="F680">IF($A680="","",SUMPRODUCT((TRIM(tblDados[Visitante])=$A680)*tblDados[Primeira_Ocorrencia]))</f>
        <v/>
      </c>
      <c r="G680" s="15" t="str" cm="1">
        <f t="array" ref="G680">IF($A680="","",SUMPRODUCT((TRIM(tblDados[Mandante])=$A680)*tblDados[Primeira_Ocorrencia])+SUMPRODUCT((TRIM(tblDados[Visitante])=$A680)*tblDados[Primeira_Ocorrencia]))</f>
        <v/>
      </c>
      <c r="H680" s="14" t="str">
        <f t="shared" si="186"/>
        <v/>
      </c>
      <c r="I680" s="14" t="str" cm="1">
        <f t="array" ref="I680">IF($A680="","",_xlfn.LET(_xlpm.p,IFERROR(INDEX(tblDados[País],MATCH($A680,TRIM(tblDados[Mandante]),0)),INDEX(tblDados[País],MATCH($A680,TRIM(tblDados[Visitante]),0))),_xlpm.l,IFERROR(INDEX(tblDados[Liga],MATCH($A680,TRIM(tblDados[Mandante]),0)),INDEX(tblDados[Liga],MATCH($A680,TRIM(tblDados[Visitante]),0))),IFERROR(SUMIFS(Ligas!$D$2:$D$39,Ligas!$H$2:$H$39,_xlpm.p,Ligas!$I$2:$I$39,_xlpm.l),0)))</f>
        <v/>
      </c>
      <c r="J680" s="16" t="str" cm="1">
        <f t="array" ref="J680">IF($A680="","",IFERROR((SUMPRODUCT((TRIM(tblDados[Mandante])=$A680)*tblDados[Primeira_Ocorrencia]*(tblDados[GM_M]=0))+SUMPRODUCT((TRIM(tblDados[Visitante])=$A680)*tblDados[Primeira_Ocorrencia]*(tblDados[GM_V]=0)))/G680,0))</f>
        <v/>
      </c>
      <c r="K680" s="16" t="str" cm="1">
        <f t="array" ref="K680">IF($A680="","",IFERROR((SUMPRODUCT((TRIM(tblDados[Mandante])=$A680)*tblDados[Primeira_Ocorrencia]*((tblDados[GM_M]+tblDados[GS_M])&gt;0.5))+SUMPRODUCT((TRIM(tblDados[Visitante])=$A680)*tblDados[Primeira_Ocorrencia]*((tblDados[GM_V]+tblDados[GS_V])&gt;0.5)))/G680,0))</f>
        <v/>
      </c>
      <c r="L680" s="16" t="str" cm="1">
        <f t="array" ref="L680">IF($A680="","",IFERROR((SUMPRODUCT((TRIM(tblDados[Mandante])=$A680)*tblDados[Primeira_Ocorrencia]*((tblDados[GM_M]+tblDados[GS_M])&gt;1.5))+SUMPRODUCT((TRIM(tblDados[Visitante])=$A680)*tblDados[Primeira_Ocorrencia]*((tblDados[GM_V]+tblDados[GS_V])&gt;1.5)))/G680,0))</f>
        <v/>
      </c>
      <c r="M680" s="16" t="str" cm="1">
        <f t="array" ref="M680">IF($A680="","",IFERROR((SUMPRODUCT((TRIM(tblDados[Mandante])=$A680)*tblDados[Primeira_Ocorrencia]*((tblDados[GM_M]+tblDados[GS_M])&gt;2.5))+SUMPRODUCT((TRIM(tblDados[Visitante])=$A680)*tblDados[Primeira_Ocorrencia]*((tblDados[GM_V]+tblDados[GS_V])&gt;2.5)))/G680,0))</f>
        <v/>
      </c>
      <c r="N680" s="16" t="str" cm="1">
        <f t="array" ref="N680">IF($A680="","",IFERROR((SUMPRODUCT((TRIM(tblDados[Mandante])=$A680)*tblDados[Primeira_Ocorrencia]*((tblDados[GM_M]+tblDados[GS_M])&gt;3.5))+SUMPRODUCT((TRIM(tblDados[Visitante])=$A680)*tblDados[Primeira_Ocorrencia]*((tblDados[GM_V]+tblDados[GS_V])&gt;3.5)))/G680,0))</f>
        <v/>
      </c>
      <c r="O680" s="16" t="str" cm="1">
        <f t="array" ref="O680">IF($A680="","",IFERROR((SUMPRODUCT((TRIM(tblDados[Mandante])=$A680)*tblDados[Primeira_Ocorrencia]*(tblDados[GM_M]&gt;0)*(tblDados[GS_M]&gt;0))+SUMPRODUCT((TRIM(tblDados[Visitante])=$A680)*tblDados[Primeira_Ocorrencia]*(tblDados[GM_V]&gt;0)*(tblDados[GS_V]&gt;0)))/G680,0))</f>
        <v/>
      </c>
      <c r="P680" s="14" t="str" cm="1">
        <f t="array" ref="P680">IF($A680="","",IFERROR((SUMPRODUCT((TRIM(tblDados[Mandante])=$A680)*tblDados[Primeira_Ocorrencia]*tblDados[GM_M]^2)+SUMPRODUCT((TRIM(tblDados[Visitante])=$A680)*tblDados[Primeira_Ocorrencia]*tblDados[GM_V]^2))/G680-H680^2,0))</f>
        <v/>
      </c>
      <c r="Q680" s="14" t="str">
        <f t="shared" si="187"/>
        <v/>
      </c>
      <c r="R680" s="1" t="str">
        <f t="shared" si="188"/>
        <v/>
      </c>
      <c r="S680" s="14" t="str" cm="1">
        <f t="array" ref="S680">IF($A680="","",SUMPRODUCT((TRIM(tblDados[Mandante])=$A680)*tblDados[Primeira_Ocorrencia]*tblDados[GM_M]))</f>
        <v/>
      </c>
      <c r="T680" s="14" t="str" cm="1">
        <f t="array" ref="T680">IF($A680="","",SUMPRODUCT((TRIM(tblDados[Visitante])=$A680)*tblDados[Primeira_Ocorrencia]*tblDados[GM_V]))</f>
        <v/>
      </c>
      <c r="U680" s="14" t="str">
        <f t="shared" si="189"/>
        <v/>
      </c>
      <c r="V680" s="14" t="str">
        <f t="shared" si="178"/>
        <v/>
      </c>
      <c r="W680" s="14" t="str" cm="1">
        <f t="array" ref="W680">IF($A680="","",SUMPRODUCT((TRIM(tblDados[Mandante])=$A680)*tblDados[Primeira_Ocorrencia]*tblDados[GS_M]))</f>
        <v/>
      </c>
      <c r="X680" s="14" t="str" cm="1">
        <f t="array" ref="X680">IF($A680="","",SUMPRODUCT((TRIM(tblDados[Visitante])=$A680)*tblDados[Primeira_Ocorrencia]*tblDados[GS_V]))</f>
        <v/>
      </c>
      <c r="Y680" s="14" t="str">
        <f t="shared" si="190"/>
        <v/>
      </c>
      <c r="Z680" s="14" t="str">
        <f t="shared" si="179"/>
        <v/>
      </c>
      <c r="AA680" s="14" t="str">
        <f t="shared" si="180"/>
        <v/>
      </c>
      <c r="AB680" s="14" t="str">
        <f t="shared" si="181"/>
        <v/>
      </c>
      <c r="AC680" s="14" t="str">
        <f t="shared" si="182"/>
        <v/>
      </c>
      <c r="AD680" s="14" t="str">
        <f t="shared" si="183"/>
        <v/>
      </c>
    </row>
    <row r="681" spans="2:30" x14ac:dyDescent="0.3">
      <c r="B681" s="13" t="str" cm="1">
        <f t="array" ref="B681">IF($A681="","",_xlfn.LET(_xlpm.p,IFERROR(INDEX(tblDados[País],MATCH($A681,TRIM(tblDados[Mandante]),0)),INDEX(tblDados[País],MATCH($A681,TRIM(tblDados[Visitante]),0))),_xlpm.l,IFERROR(INDEX(tblDados[Liga],MATCH($A681,TRIM(tblDados[Mandante]),0)),INDEX(tblDados[Liga],MATCH($A681,TRIM(tblDados[Visitante]),0))),_xlpm.p&amp;" - "&amp;_xlpm.l))</f>
        <v/>
      </c>
      <c r="C681" s="14" t="str">
        <f t="shared" si="184"/>
        <v/>
      </c>
      <c r="D681" s="14" t="str">
        <f t="shared" si="185"/>
        <v/>
      </c>
      <c r="E681" s="15" t="str" cm="1">
        <f t="array" ref="E681">IF($A681="","",SUMPRODUCT((TRIM(tblDados[Mandante])=$A681)*tblDados[Primeira_Ocorrencia]))</f>
        <v/>
      </c>
      <c r="F681" s="15" t="str" cm="1">
        <f t="array" ref="F681">IF($A681="","",SUMPRODUCT((TRIM(tblDados[Visitante])=$A681)*tblDados[Primeira_Ocorrencia]))</f>
        <v/>
      </c>
      <c r="G681" s="15" t="str" cm="1">
        <f t="array" ref="G681">IF($A681="","",SUMPRODUCT((TRIM(tblDados[Mandante])=$A681)*tblDados[Primeira_Ocorrencia])+SUMPRODUCT((TRIM(tblDados[Visitante])=$A681)*tblDados[Primeira_Ocorrencia]))</f>
        <v/>
      </c>
      <c r="H681" s="14" t="str">
        <f t="shared" si="186"/>
        <v/>
      </c>
      <c r="I681" s="14" t="str" cm="1">
        <f t="array" ref="I681">IF($A681="","",_xlfn.LET(_xlpm.p,IFERROR(INDEX(tblDados[País],MATCH($A681,TRIM(tblDados[Mandante]),0)),INDEX(tblDados[País],MATCH($A681,TRIM(tblDados[Visitante]),0))),_xlpm.l,IFERROR(INDEX(tblDados[Liga],MATCH($A681,TRIM(tblDados[Mandante]),0)),INDEX(tblDados[Liga],MATCH($A681,TRIM(tblDados[Visitante]),0))),IFERROR(SUMIFS(Ligas!$D$2:$D$39,Ligas!$H$2:$H$39,_xlpm.p,Ligas!$I$2:$I$39,_xlpm.l),0)))</f>
        <v/>
      </c>
      <c r="J681" s="16" t="str" cm="1">
        <f t="array" ref="J681">IF($A681="","",IFERROR((SUMPRODUCT((TRIM(tblDados[Mandante])=$A681)*tblDados[Primeira_Ocorrencia]*(tblDados[GM_M]=0))+SUMPRODUCT((TRIM(tblDados[Visitante])=$A681)*tblDados[Primeira_Ocorrencia]*(tblDados[GM_V]=0)))/G681,0))</f>
        <v/>
      </c>
      <c r="K681" s="16" t="str" cm="1">
        <f t="array" ref="K681">IF($A681="","",IFERROR((SUMPRODUCT((TRIM(tblDados[Mandante])=$A681)*tblDados[Primeira_Ocorrencia]*((tblDados[GM_M]+tblDados[GS_M])&gt;0.5))+SUMPRODUCT((TRIM(tblDados[Visitante])=$A681)*tblDados[Primeira_Ocorrencia]*((tblDados[GM_V]+tblDados[GS_V])&gt;0.5)))/G681,0))</f>
        <v/>
      </c>
      <c r="L681" s="16" t="str" cm="1">
        <f t="array" ref="L681">IF($A681="","",IFERROR((SUMPRODUCT((TRIM(tblDados[Mandante])=$A681)*tblDados[Primeira_Ocorrencia]*((tblDados[GM_M]+tblDados[GS_M])&gt;1.5))+SUMPRODUCT((TRIM(tblDados[Visitante])=$A681)*tblDados[Primeira_Ocorrencia]*((tblDados[GM_V]+tblDados[GS_V])&gt;1.5)))/G681,0))</f>
        <v/>
      </c>
      <c r="M681" s="16" t="str" cm="1">
        <f t="array" ref="M681">IF($A681="","",IFERROR((SUMPRODUCT((TRIM(tblDados[Mandante])=$A681)*tblDados[Primeira_Ocorrencia]*((tblDados[GM_M]+tblDados[GS_M])&gt;2.5))+SUMPRODUCT((TRIM(tblDados[Visitante])=$A681)*tblDados[Primeira_Ocorrencia]*((tblDados[GM_V]+tblDados[GS_V])&gt;2.5)))/G681,0))</f>
        <v/>
      </c>
      <c r="N681" s="16" t="str" cm="1">
        <f t="array" ref="N681">IF($A681="","",IFERROR((SUMPRODUCT((TRIM(tblDados[Mandante])=$A681)*tblDados[Primeira_Ocorrencia]*((tblDados[GM_M]+tblDados[GS_M])&gt;3.5))+SUMPRODUCT((TRIM(tblDados[Visitante])=$A681)*tblDados[Primeira_Ocorrencia]*((tblDados[GM_V]+tblDados[GS_V])&gt;3.5)))/G681,0))</f>
        <v/>
      </c>
      <c r="O681" s="16" t="str" cm="1">
        <f t="array" ref="O681">IF($A681="","",IFERROR((SUMPRODUCT((TRIM(tblDados[Mandante])=$A681)*tblDados[Primeira_Ocorrencia]*(tblDados[GM_M]&gt;0)*(tblDados[GS_M]&gt;0))+SUMPRODUCT((TRIM(tblDados[Visitante])=$A681)*tblDados[Primeira_Ocorrencia]*(tblDados[GM_V]&gt;0)*(tblDados[GS_V]&gt;0)))/G681,0))</f>
        <v/>
      </c>
      <c r="P681" s="14" t="str" cm="1">
        <f t="array" ref="P681">IF($A681="","",IFERROR((SUMPRODUCT((TRIM(tblDados[Mandante])=$A681)*tblDados[Primeira_Ocorrencia]*tblDados[GM_M]^2)+SUMPRODUCT((TRIM(tblDados[Visitante])=$A681)*tblDados[Primeira_Ocorrencia]*tblDados[GM_V]^2))/G681-H681^2,0))</f>
        <v/>
      </c>
      <c r="Q681" s="14" t="str">
        <f t="shared" si="187"/>
        <v/>
      </c>
      <c r="R681" s="1" t="str">
        <f t="shared" si="188"/>
        <v/>
      </c>
      <c r="S681" s="14" t="str" cm="1">
        <f t="array" ref="S681">IF($A681="","",SUMPRODUCT((TRIM(tblDados[Mandante])=$A681)*tblDados[Primeira_Ocorrencia]*tblDados[GM_M]))</f>
        <v/>
      </c>
      <c r="T681" s="14" t="str" cm="1">
        <f t="array" ref="T681">IF($A681="","",SUMPRODUCT((TRIM(tblDados[Visitante])=$A681)*tblDados[Primeira_Ocorrencia]*tblDados[GM_V]))</f>
        <v/>
      </c>
      <c r="U681" s="14" t="str">
        <f t="shared" si="189"/>
        <v/>
      </c>
      <c r="V681" s="14" t="str">
        <f t="shared" si="178"/>
        <v/>
      </c>
      <c r="W681" s="14" t="str" cm="1">
        <f t="array" ref="W681">IF($A681="","",SUMPRODUCT((TRIM(tblDados[Mandante])=$A681)*tblDados[Primeira_Ocorrencia]*tblDados[GS_M]))</f>
        <v/>
      </c>
      <c r="X681" s="14" t="str" cm="1">
        <f t="array" ref="X681">IF($A681="","",SUMPRODUCT((TRIM(tblDados[Visitante])=$A681)*tblDados[Primeira_Ocorrencia]*tblDados[GS_V]))</f>
        <v/>
      </c>
      <c r="Y681" s="14" t="str">
        <f t="shared" si="190"/>
        <v/>
      </c>
      <c r="Z681" s="14" t="str">
        <f t="shared" si="179"/>
        <v/>
      </c>
      <c r="AA681" s="14" t="str">
        <f t="shared" si="180"/>
        <v/>
      </c>
      <c r="AB681" s="14" t="str">
        <f t="shared" si="181"/>
        <v/>
      </c>
      <c r="AC681" s="14" t="str">
        <f t="shared" si="182"/>
        <v/>
      </c>
      <c r="AD681" s="14" t="str">
        <f t="shared" si="183"/>
        <v/>
      </c>
    </row>
    <row r="682" spans="2:30" x14ac:dyDescent="0.3">
      <c r="B682" s="13" t="str" cm="1">
        <f t="array" ref="B682">IF($A682="","",_xlfn.LET(_xlpm.p,IFERROR(INDEX(tblDados[País],MATCH($A682,TRIM(tblDados[Mandante]),0)),INDEX(tblDados[País],MATCH($A682,TRIM(tblDados[Visitante]),0))),_xlpm.l,IFERROR(INDEX(tblDados[Liga],MATCH($A682,TRIM(tblDados[Mandante]),0)),INDEX(tblDados[Liga],MATCH($A682,TRIM(tblDados[Visitante]),0))),_xlpm.p&amp;" - "&amp;_xlpm.l))</f>
        <v/>
      </c>
      <c r="C682" s="14" t="str">
        <f t="shared" si="184"/>
        <v/>
      </c>
      <c r="D682" s="14" t="str">
        <f t="shared" si="185"/>
        <v/>
      </c>
      <c r="E682" s="15" t="str" cm="1">
        <f t="array" ref="E682">IF($A682="","",SUMPRODUCT((TRIM(tblDados[Mandante])=$A682)*tblDados[Primeira_Ocorrencia]))</f>
        <v/>
      </c>
      <c r="F682" s="15" t="str" cm="1">
        <f t="array" ref="F682">IF($A682="","",SUMPRODUCT((TRIM(tblDados[Visitante])=$A682)*tblDados[Primeira_Ocorrencia]))</f>
        <v/>
      </c>
      <c r="G682" s="15" t="str" cm="1">
        <f t="array" ref="G682">IF($A682="","",SUMPRODUCT((TRIM(tblDados[Mandante])=$A682)*tblDados[Primeira_Ocorrencia])+SUMPRODUCT((TRIM(tblDados[Visitante])=$A682)*tblDados[Primeira_Ocorrencia]))</f>
        <v/>
      </c>
      <c r="H682" s="14" t="str">
        <f t="shared" si="186"/>
        <v/>
      </c>
      <c r="I682" s="14" t="str" cm="1">
        <f t="array" ref="I682">IF($A682="","",_xlfn.LET(_xlpm.p,IFERROR(INDEX(tblDados[País],MATCH($A682,TRIM(tblDados[Mandante]),0)),INDEX(tblDados[País],MATCH($A682,TRIM(tblDados[Visitante]),0))),_xlpm.l,IFERROR(INDEX(tblDados[Liga],MATCH($A682,TRIM(tblDados[Mandante]),0)),INDEX(tblDados[Liga],MATCH($A682,TRIM(tblDados[Visitante]),0))),IFERROR(SUMIFS(Ligas!$D$2:$D$39,Ligas!$H$2:$H$39,_xlpm.p,Ligas!$I$2:$I$39,_xlpm.l),0)))</f>
        <v/>
      </c>
      <c r="J682" s="16" t="str" cm="1">
        <f t="array" ref="J682">IF($A682="","",IFERROR((SUMPRODUCT((TRIM(tblDados[Mandante])=$A682)*tblDados[Primeira_Ocorrencia]*(tblDados[GM_M]=0))+SUMPRODUCT((TRIM(tblDados[Visitante])=$A682)*tblDados[Primeira_Ocorrencia]*(tblDados[GM_V]=0)))/G682,0))</f>
        <v/>
      </c>
      <c r="K682" s="16" t="str" cm="1">
        <f t="array" ref="K682">IF($A682="","",IFERROR((SUMPRODUCT((TRIM(tblDados[Mandante])=$A682)*tblDados[Primeira_Ocorrencia]*((tblDados[GM_M]+tblDados[GS_M])&gt;0.5))+SUMPRODUCT((TRIM(tblDados[Visitante])=$A682)*tblDados[Primeira_Ocorrencia]*((tblDados[GM_V]+tblDados[GS_V])&gt;0.5)))/G682,0))</f>
        <v/>
      </c>
      <c r="L682" s="16" t="str" cm="1">
        <f t="array" ref="L682">IF($A682="","",IFERROR((SUMPRODUCT((TRIM(tblDados[Mandante])=$A682)*tblDados[Primeira_Ocorrencia]*((tblDados[GM_M]+tblDados[GS_M])&gt;1.5))+SUMPRODUCT((TRIM(tblDados[Visitante])=$A682)*tblDados[Primeira_Ocorrencia]*((tblDados[GM_V]+tblDados[GS_V])&gt;1.5)))/G682,0))</f>
        <v/>
      </c>
      <c r="M682" s="16" t="str" cm="1">
        <f t="array" ref="M682">IF($A682="","",IFERROR((SUMPRODUCT((TRIM(tblDados[Mandante])=$A682)*tblDados[Primeira_Ocorrencia]*((tblDados[GM_M]+tblDados[GS_M])&gt;2.5))+SUMPRODUCT((TRIM(tblDados[Visitante])=$A682)*tblDados[Primeira_Ocorrencia]*((tblDados[GM_V]+tblDados[GS_V])&gt;2.5)))/G682,0))</f>
        <v/>
      </c>
      <c r="N682" s="16" t="str" cm="1">
        <f t="array" ref="N682">IF($A682="","",IFERROR((SUMPRODUCT((TRIM(tblDados[Mandante])=$A682)*tblDados[Primeira_Ocorrencia]*((tblDados[GM_M]+tblDados[GS_M])&gt;3.5))+SUMPRODUCT((TRIM(tblDados[Visitante])=$A682)*tblDados[Primeira_Ocorrencia]*((tblDados[GM_V]+tblDados[GS_V])&gt;3.5)))/G682,0))</f>
        <v/>
      </c>
      <c r="O682" s="16" t="str" cm="1">
        <f t="array" ref="O682">IF($A682="","",IFERROR((SUMPRODUCT((TRIM(tblDados[Mandante])=$A682)*tblDados[Primeira_Ocorrencia]*(tblDados[GM_M]&gt;0)*(tblDados[GS_M]&gt;0))+SUMPRODUCT((TRIM(tblDados[Visitante])=$A682)*tblDados[Primeira_Ocorrencia]*(tblDados[GM_V]&gt;0)*(tblDados[GS_V]&gt;0)))/G682,0))</f>
        <v/>
      </c>
      <c r="P682" s="14" t="str" cm="1">
        <f t="array" ref="P682">IF($A682="","",IFERROR((SUMPRODUCT((TRIM(tblDados[Mandante])=$A682)*tblDados[Primeira_Ocorrencia]*tblDados[GM_M]^2)+SUMPRODUCT((TRIM(tblDados[Visitante])=$A682)*tblDados[Primeira_Ocorrencia]*tblDados[GM_V]^2))/G682-H682^2,0))</f>
        <v/>
      </c>
      <c r="Q682" s="14" t="str">
        <f t="shared" si="187"/>
        <v/>
      </c>
      <c r="R682" s="1" t="str">
        <f t="shared" si="188"/>
        <v/>
      </c>
      <c r="S682" s="14" t="str" cm="1">
        <f t="array" ref="S682">IF($A682="","",SUMPRODUCT((TRIM(tblDados[Mandante])=$A682)*tblDados[Primeira_Ocorrencia]*tblDados[GM_M]))</f>
        <v/>
      </c>
      <c r="T682" s="14" t="str" cm="1">
        <f t="array" ref="T682">IF($A682="","",SUMPRODUCT((TRIM(tblDados[Visitante])=$A682)*tblDados[Primeira_Ocorrencia]*tblDados[GM_V]))</f>
        <v/>
      </c>
      <c r="U682" s="14" t="str">
        <f t="shared" si="189"/>
        <v/>
      </c>
      <c r="V682" s="14" t="str">
        <f t="shared" si="178"/>
        <v/>
      </c>
      <c r="W682" s="14" t="str" cm="1">
        <f t="array" ref="W682">IF($A682="","",SUMPRODUCT((TRIM(tblDados[Mandante])=$A682)*tblDados[Primeira_Ocorrencia]*tblDados[GS_M]))</f>
        <v/>
      </c>
      <c r="X682" s="14" t="str" cm="1">
        <f t="array" ref="X682">IF($A682="","",SUMPRODUCT((TRIM(tblDados[Visitante])=$A682)*tblDados[Primeira_Ocorrencia]*tblDados[GS_V]))</f>
        <v/>
      </c>
      <c r="Y682" s="14" t="str">
        <f t="shared" si="190"/>
        <v/>
      </c>
      <c r="Z682" s="14" t="str">
        <f t="shared" si="179"/>
        <v/>
      </c>
      <c r="AA682" s="14" t="str">
        <f t="shared" si="180"/>
        <v/>
      </c>
      <c r="AB682" s="14" t="str">
        <f t="shared" si="181"/>
        <v/>
      </c>
      <c r="AC682" s="14" t="str">
        <f t="shared" si="182"/>
        <v/>
      </c>
      <c r="AD682" s="14" t="str">
        <f t="shared" si="183"/>
        <v/>
      </c>
    </row>
    <row r="683" spans="2:30" x14ac:dyDescent="0.3">
      <c r="B683" s="13" t="str" cm="1">
        <f t="array" ref="B683">IF($A683="","",_xlfn.LET(_xlpm.p,IFERROR(INDEX(tblDados[País],MATCH($A683,TRIM(tblDados[Mandante]),0)),INDEX(tblDados[País],MATCH($A683,TRIM(tblDados[Visitante]),0))),_xlpm.l,IFERROR(INDEX(tblDados[Liga],MATCH($A683,TRIM(tblDados[Mandante]),0)),INDEX(tblDados[Liga],MATCH($A683,TRIM(tblDados[Visitante]),0))),_xlpm.p&amp;" - "&amp;_xlpm.l))</f>
        <v/>
      </c>
      <c r="C683" s="14" t="str">
        <f t="shared" si="184"/>
        <v/>
      </c>
      <c r="D683" s="14" t="str">
        <f t="shared" si="185"/>
        <v/>
      </c>
      <c r="E683" s="15" t="str" cm="1">
        <f t="array" ref="E683">IF($A683="","",SUMPRODUCT((TRIM(tblDados[Mandante])=$A683)*tblDados[Primeira_Ocorrencia]))</f>
        <v/>
      </c>
      <c r="F683" s="15" t="str" cm="1">
        <f t="array" ref="F683">IF($A683="","",SUMPRODUCT((TRIM(tblDados[Visitante])=$A683)*tblDados[Primeira_Ocorrencia]))</f>
        <v/>
      </c>
      <c r="G683" s="15" t="str" cm="1">
        <f t="array" ref="G683">IF($A683="","",SUMPRODUCT((TRIM(tblDados[Mandante])=$A683)*tblDados[Primeira_Ocorrencia])+SUMPRODUCT((TRIM(tblDados[Visitante])=$A683)*tblDados[Primeira_Ocorrencia]))</f>
        <v/>
      </c>
      <c r="H683" s="14" t="str">
        <f t="shared" si="186"/>
        <v/>
      </c>
      <c r="I683" s="14" t="str" cm="1">
        <f t="array" ref="I683">IF($A683="","",_xlfn.LET(_xlpm.p,IFERROR(INDEX(tblDados[País],MATCH($A683,TRIM(tblDados[Mandante]),0)),INDEX(tblDados[País],MATCH($A683,TRIM(tblDados[Visitante]),0))),_xlpm.l,IFERROR(INDEX(tblDados[Liga],MATCH($A683,TRIM(tblDados[Mandante]),0)),INDEX(tblDados[Liga],MATCH($A683,TRIM(tblDados[Visitante]),0))),IFERROR(SUMIFS(Ligas!$D$2:$D$39,Ligas!$H$2:$H$39,_xlpm.p,Ligas!$I$2:$I$39,_xlpm.l),0)))</f>
        <v/>
      </c>
      <c r="J683" s="16" t="str" cm="1">
        <f t="array" ref="J683">IF($A683="","",IFERROR((SUMPRODUCT((TRIM(tblDados[Mandante])=$A683)*tblDados[Primeira_Ocorrencia]*(tblDados[GM_M]=0))+SUMPRODUCT((TRIM(tblDados[Visitante])=$A683)*tblDados[Primeira_Ocorrencia]*(tblDados[GM_V]=0)))/G683,0))</f>
        <v/>
      </c>
      <c r="K683" s="16" t="str" cm="1">
        <f t="array" ref="K683">IF($A683="","",IFERROR((SUMPRODUCT((TRIM(tblDados[Mandante])=$A683)*tblDados[Primeira_Ocorrencia]*((tblDados[GM_M]+tblDados[GS_M])&gt;0.5))+SUMPRODUCT((TRIM(tblDados[Visitante])=$A683)*tblDados[Primeira_Ocorrencia]*((tblDados[GM_V]+tblDados[GS_V])&gt;0.5)))/G683,0))</f>
        <v/>
      </c>
      <c r="L683" s="16" t="str" cm="1">
        <f t="array" ref="L683">IF($A683="","",IFERROR((SUMPRODUCT((TRIM(tblDados[Mandante])=$A683)*tblDados[Primeira_Ocorrencia]*((tblDados[GM_M]+tblDados[GS_M])&gt;1.5))+SUMPRODUCT((TRIM(tblDados[Visitante])=$A683)*tblDados[Primeira_Ocorrencia]*((tblDados[GM_V]+tblDados[GS_V])&gt;1.5)))/G683,0))</f>
        <v/>
      </c>
      <c r="M683" s="16" t="str" cm="1">
        <f t="array" ref="M683">IF($A683="","",IFERROR((SUMPRODUCT((TRIM(tblDados[Mandante])=$A683)*tblDados[Primeira_Ocorrencia]*((tblDados[GM_M]+tblDados[GS_M])&gt;2.5))+SUMPRODUCT((TRIM(tblDados[Visitante])=$A683)*tblDados[Primeira_Ocorrencia]*((tblDados[GM_V]+tblDados[GS_V])&gt;2.5)))/G683,0))</f>
        <v/>
      </c>
      <c r="N683" s="16" t="str" cm="1">
        <f t="array" ref="N683">IF($A683="","",IFERROR((SUMPRODUCT((TRIM(tblDados[Mandante])=$A683)*tblDados[Primeira_Ocorrencia]*((tblDados[GM_M]+tblDados[GS_M])&gt;3.5))+SUMPRODUCT((TRIM(tblDados[Visitante])=$A683)*tblDados[Primeira_Ocorrencia]*((tblDados[GM_V]+tblDados[GS_V])&gt;3.5)))/G683,0))</f>
        <v/>
      </c>
      <c r="O683" s="16" t="str" cm="1">
        <f t="array" ref="O683">IF($A683="","",IFERROR((SUMPRODUCT((TRIM(tblDados[Mandante])=$A683)*tblDados[Primeira_Ocorrencia]*(tblDados[GM_M]&gt;0)*(tblDados[GS_M]&gt;0))+SUMPRODUCT((TRIM(tblDados[Visitante])=$A683)*tblDados[Primeira_Ocorrencia]*(tblDados[GM_V]&gt;0)*(tblDados[GS_V]&gt;0)))/G683,0))</f>
        <v/>
      </c>
      <c r="P683" s="14" t="str" cm="1">
        <f t="array" ref="P683">IF($A683="","",IFERROR((SUMPRODUCT((TRIM(tblDados[Mandante])=$A683)*tblDados[Primeira_Ocorrencia]*tblDados[GM_M]^2)+SUMPRODUCT((TRIM(tblDados[Visitante])=$A683)*tblDados[Primeira_Ocorrencia]*tblDados[GM_V]^2))/G683-H683^2,0))</f>
        <v/>
      </c>
      <c r="Q683" s="14" t="str">
        <f t="shared" si="187"/>
        <v/>
      </c>
      <c r="R683" s="1" t="str">
        <f t="shared" si="188"/>
        <v/>
      </c>
      <c r="S683" s="14" t="str" cm="1">
        <f t="array" ref="S683">IF($A683="","",SUMPRODUCT((TRIM(tblDados[Mandante])=$A683)*tblDados[Primeira_Ocorrencia]*tblDados[GM_M]))</f>
        <v/>
      </c>
      <c r="T683" s="14" t="str" cm="1">
        <f t="array" ref="T683">IF($A683="","",SUMPRODUCT((TRIM(tblDados[Visitante])=$A683)*tblDados[Primeira_Ocorrencia]*tblDados[GM_V]))</f>
        <v/>
      </c>
      <c r="U683" s="14" t="str">
        <f t="shared" si="189"/>
        <v/>
      </c>
      <c r="V683" s="14" t="str">
        <f t="shared" si="178"/>
        <v/>
      </c>
      <c r="W683" s="14" t="str" cm="1">
        <f t="array" ref="W683">IF($A683="","",SUMPRODUCT((TRIM(tblDados[Mandante])=$A683)*tblDados[Primeira_Ocorrencia]*tblDados[GS_M]))</f>
        <v/>
      </c>
      <c r="X683" s="14" t="str" cm="1">
        <f t="array" ref="X683">IF($A683="","",SUMPRODUCT((TRIM(tblDados[Visitante])=$A683)*tblDados[Primeira_Ocorrencia]*tblDados[GS_V]))</f>
        <v/>
      </c>
      <c r="Y683" s="14" t="str">
        <f t="shared" si="190"/>
        <v/>
      </c>
      <c r="Z683" s="14" t="str">
        <f t="shared" si="179"/>
        <v/>
      </c>
      <c r="AA683" s="14" t="str">
        <f t="shared" si="180"/>
        <v/>
      </c>
      <c r="AB683" s="14" t="str">
        <f t="shared" si="181"/>
        <v/>
      </c>
      <c r="AC683" s="14" t="str">
        <f t="shared" si="182"/>
        <v/>
      </c>
      <c r="AD683" s="14" t="str">
        <f t="shared" si="183"/>
        <v/>
      </c>
    </row>
    <row r="684" spans="2:30" x14ac:dyDescent="0.3">
      <c r="B684" s="13" t="str" cm="1">
        <f t="array" ref="B684">IF($A684="","",_xlfn.LET(_xlpm.p,IFERROR(INDEX(tblDados[País],MATCH($A684,TRIM(tblDados[Mandante]),0)),INDEX(tblDados[País],MATCH($A684,TRIM(tblDados[Visitante]),0))),_xlpm.l,IFERROR(INDEX(tblDados[Liga],MATCH($A684,TRIM(tblDados[Mandante]),0)),INDEX(tblDados[Liga],MATCH($A684,TRIM(tblDados[Visitante]),0))),_xlpm.p&amp;" - "&amp;_xlpm.l))</f>
        <v/>
      </c>
      <c r="C684" s="14" t="str">
        <f t="shared" si="184"/>
        <v/>
      </c>
      <c r="D684" s="14" t="str">
        <f t="shared" si="185"/>
        <v/>
      </c>
      <c r="E684" s="15" t="str" cm="1">
        <f t="array" ref="E684">IF($A684="","",SUMPRODUCT((TRIM(tblDados[Mandante])=$A684)*tblDados[Primeira_Ocorrencia]))</f>
        <v/>
      </c>
      <c r="F684" s="15" t="str" cm="1">
        <f t="array" ref="F684">IF($A684="","",SUMPRODUCT((TRIM(tblDados[Visitante])=$A684)*tblDados[Primeira_Ocorrencia]))</f>
        <v/>
      </c>
      <c r="G684" s="15" t="str" cm="1">
        <f t="array" ref="G684">IF($A684="","",SUMPRODUCT((TRIM(tblDados[Mandante])=$A684)*tblDados[Primeira_Ocorrencia])+SUMPRODUCT((TRIM(tblDados[Visitante])=$A684)*tblDados[Primeira_Ocorrencia]))</f>
        <v/>
      </c>
      <c r="H684" s="14" t="str">
        <f t="shared" si="186"/>
        <v/>
      </c>
      <c r="I684" s="14" t="str" cm="1">
        <f t="array" ref="I684">IF($A684="","",_xlfn.LET(_xlpm.p,IFERROR(INDEX(tblDados[País],MATCH($A684,TRIM(tblDados[Mandante]),0)),INDEX(tblDados[País],MATCH($A684,TRIM(tblDados[Visitante]),0))),_xlpm.l,IFERROR(INDEX(tblDados[Liga],MATCH($A684,TRIM(tblDados[Mandante]),0)),INDEX(tblDados[Liga],MATCH($A684,TRIM(tblDados[Visitante]),0))),IFERROR(SUMIFS(Ligas!$D$2:$D$39,Ligas!$H$2:$H$39,_xlpm.p,Ligas!$I$2:$I$39,_xlpm.l),0)))</f>
        <v/>
      </c>
      <c r="J684" s="16" t="str" cm="1">
        <f t="array" ref="J684">IF($A684="","",IFERROR((SUMPRODUCT((TRIM(tblDados[Mandante])=$A684)*tblDados[Primeira_Ocorrencia]*(tblDados[GM_M]=0))+SUMPRODUCT((TRIM(tblDados[Visitante])=$A684)*tblDados[Primeira_Ocorrencia]*(tblDados[GM_V]=0)))/G684,0))</f>
        <v/>
      </c>
      <c r="K684" s="16" t="str" cm="1">
        <f t="array" ref="K684">IF($A684="","",IFERROR((SUMPRODUCT((TRIM(tblDados[Mandante])=$A684)*tblDados[Primeira_Ocorrencia]*((tblDados[GM_M]+tblDados[GS_M])&gt;0.5))+SUMPRODUCT((TRIM(tblDados[Visitante])=$A684)*tblDados[Primeira_Ocorrencia]*((tblDados[GM_V]+tblDados[GS_V])&gt;0.5)))/G684,0))</f>
        <v/>
      </c>
      <c r="L684" s="16" t="str" cm="1">
        <f t="array" ref="L684">IF($A684="","",IFERROR((SUMPRODUCT((TRIM(tblDados[Mandante])=$A684)*tblDados[Primeira_Ocorrencia]*((tblDados[GM_M]+tblDados[GS_M])&gt;1.5))+SUMPRODUCT((TRIM(tblDados[Visitante])=$A684)*tblDados[Primeira_Ocorrencia]*((tblDados[GM_V]+tblDados[GS_V])&gt;1.5)))/G684,0))</f>
        <v/>
      </c>
      <c r="M684" s="16" t="str" cm="1">
        <f t="array" ref="M684">IF($A684="","",IFERROR((SUMPRODUCT((TRIM(tblDados[Mandante])=$A684)*tblDados[Primeira_Ocorrencia]*((tblDados[GM_M]+tblDados[GS_M])&gt;2.5))+SUMPRODUCT((TRIM(tblDados[Visitante])=$A684)*tblDados[Primeira_Ocorrencia]*((tblDados[GM_V]+tblDados[GS_V])&gt;2.5)))/G684,0))</f>
        <v/>
      </c>
      <c r="N684" s="16" t="str" cm="1">
        <f t="array" ref="N684">IF($A684="","",IFERROR((SUMPRODUCT((TRIM(tblDados[Mandante])=$A684)*tblDados[Primeira_Ocorrencia]*((tblDados[GM_M]+tblDados[GS_M])&gt;3.5))+SUMPRODUCT((TRIM(tblDados[Visitante])=$A684)*tblDados[Primeira_Ocorrencia]*((tblDados[GM_V]+tblDados[GS_V])&gt;3.5)))/G684,0))</f>
        <v/>
      </c>
      <c r="O684" s="16" t="str" cm="1">
        <f t="array" ref="O684">IF($A684="","",IFERROR((SUMPRODUCT((TRIM(tblDados[Mandante])=$A684)*tblDados[Primeira_Ocorrencia]*(tblDados[GM_M]&gt;0)*(tblDados[GS_M]&gt;0))+SUMPRODUCT((TRIM(tblDados[Visitante])=$A684)*tblDados[Primeira_Ocorrencia]*(tblDados[GM_V]&gt;0)*(tblDados[GS_V]&gt;0)))/G684,0))</f>
        <v/>
      </c>
      <c r="P684" s="14" t="str" cm="1">
        <f t="array" ref="P684">IF($A684="","",IFERROR((SUMPRODUCT((TRIM(tblDados[Mandante])=$A684)*tblDados[Primeira_Ocorrencia]*tblDados[GM_M]^2)+SUMPRODUCT((TRIM(tblDados[Visitante])=$A684)*tblDados[Primeira_Ocorrencia]*tblDados[GM_V]^2))/G684-H684^2,0))</f>
        <v/>
      </c>
      <c r="Q684" s="14" t="str">
        <f t="shared" si="187"/>
        <v/>
      </c>
      <c r="R684" s="1" t="str">
        <f t="shared" si="188"/>
        <v/>
      </c>
      <c r="S684" s="14" t="str" cm="1">
        <f t="array" ref="S684">IF($A684="","",SUMPRODUCT((TRIM(tblDados[Mandante])=$A684)*tblDados[Primeira_Ocorrencia]*tblDados[GM_M]))</f>
        <v/>
      </c>
      <c r="T684" s="14" t="str" cm="1">
        <f t="array" ref="T684">IF($A684="","",SUMPRODUCT((TRIM(tblDados[Visitante])=$A684)*tblDados[Primeira_Ocorrencia]*tblDados[GM_V]))</f>
        <v/>
      </c>
      <c r="U684" s="14" t="str">
        <f t="shared" si="189"/>
        <v/>
      </c>
      <c r="V684" s="14" t="str">
        <f t="shared" si="178"/>
        <v/>
      </c>
      <c r="W684" s="14" t="str" cm="1">
        <f t="array" ref="W684">IF($A684="","",SUMPRODUCT((TRIM(tblDados[Mandante])=$A684)*tblDados[Primeira_Ocorrencia]*tblDados[GS_M]))</f>
        <v/>
      </c>
      <c r="X684" s="14" t="str" cm="1">
        <f t="array" ref="X684">IF($A684="","",SUMPRODUCT((TRIM(tblDados[Visitante])=$A684)*tblDados[Primeira_Ocorrencia]*tblDados[GS_V]))</f>
        <v/>
      </c>
      <c r="Y684" s="14" t="str">
        <f t="shared" si="190"/>
        <v/>
      </c>
      <c r="Z684" s="14" t="str">
        <f t="shared" si="179"/>
        <v/>
      </c>
      <c r="AA684" s="14" t="str">
        <f t="shared" si="180"/>
        <v/>
      </c>
      <c r="AB684" s="14" t="str">
        <f t="shared" si="181"/>
        <v/>
      </c>
      <c r="AC684" s="14" t="str">
        <f t="shared" si="182"/>
        <v/>
      </c>
      <c r="AD684" s="14" t="str">
        <f t="shared" si="183"/>
        <v/>
      </c>
    </row>
    <row r="685" spans="2:30" x14ac:dyDescent="0.3">
      <c r="B685" s="13" t="str" cm="1">
        <f t="array" ref="B685">IF($A685="","",_xlfn.LET(_xlpm.p,IFERROR(INDEX(tblDados[País],MATCH($A685,TRIM(tblDados[Mandante]),0)),INDEX(tblDados[País],MATCH($A685,TRIM(tblDados[Visitante]),0))),_xlpm.l,IFERROR(INDEX(tblDados[Liga],MATCH($A685,TRIM(tblDados[Mandante]),0)),INDEX(tblDados[Liga],MATCH($A685,TRIM(tblDados[Visitante]),0))),_xlpm.p&amp;" - "&amp;_xlpm.l))</f>
        <v/>
      </c>
      <c r="C685" s="14" t="str">
        <f t="shared" si="184"/>
        <v/>
      </c>
      <c r="D685" s="14" t="str">
        <f t="shared" si="185"/>
        <v/>
      </c>
      <c r="E685" s="15" t="str" cm="1">
        <f t="array" ref="E685">IF($A685="","",SUMPRODUCT((TRIM(tblDados[Mandante])=$A685)*tblDados[Primeira_Ocorrencia]))</f>
        <v/>
      </c>
      <c r="F685" s="15" t="str" cm="1">
        <f t="array" ref="F685">IF($A685="","",SUMPRODUCT((TRIM(tblDados[Visitante])=$A685)*tblDados[Primeira_Ocorrencia]))</f>
        <v/>
      </c>
      <c r="G685" s="15" t="str" cm="1">
        <f t="array" ref="G685">IF($A685="","",SUMPRODUCT((TRIM(tblDados[Mandante])=$A685)*tblDados[Primeira_Ocorrencia])+SUMPRODUCT((TRIM(tblDados[Visitante])=$A685)*tblDados[Primeira_Ocorrencia]))</f>
        <v/>
      </c>
      <c r="H685" s="14" t="str">
        <f t="shared" si="186"/>
        <v/>
      </c>
      <c r="I685" s="14" t="str" cm="1">
        <f t="array" ref="I685">IF($A685="","",_xlfn.LET(_xlpm.p,IFERROR(INDEX(tblDados[País],MATCH($A685,TRIM(tblDados[Mandante]),0)),INDEX(tblDados[País],MATCH($A685,TRIM(tblDados[Visitante]),0))),_xlpm.l,IFERROR(INDEX(tblDados[Liga],MATCH($A685,TRIM(tblDados[Mandante]),0)),INDEX(tblDados[Liga],MATCH($A685,TRIM(tblDados[Visitante]),0))),IFERROR(SUMIFS(Ligas!$D$2:$D$39,Ligas!$H$2:$H$39,_xlpm.p,Ligas!$I$2:$I$39,_xlpm.l),0)))</f>
        <v/>
      </c>
      <c r="J685" s="16" t="str" cm="1">
        <f t="array" ref="J685">IF($A685="","",IFERROR((SUMPRODUCT((TRIM(tblDados[Mandante])=$A685)*tblDados[Primeira_Ocorrencia]*(tblDados[GM_M]=0))+SUMPRODUCT((TRIM(tblDados[Visitante])=$A685)*tblDados[Primeira_Ocorrencia]*(tblDados[GM_V]=0)))/G685,0))</f>
        <v/>
      </c>
      <c r="K685" s="16" t="str" cm="1">
        <f t="array" ref="K685">IF($A685="","",IFERROR((SUMPRODUCT((TRIM(tblDados[Mandante])=$A685)*tblDados[Primeira_Ocorrencia]*((tblDados[GM_M]+tblDados[GS_M])&gt;0.5))+SUMPRODUCT((TRIM(tblDados[Visitante])=$A685)*tblDados[Primeira_Ocorrencia]*((tblDados[GM_V]+tblDados[GS_V])&gt;0.5)))/G685,0))</f>
        <v/>
      </c>
      <c r="L685" s="16" t="str" cm="1">
        <f t="array" ref="L685">IF($A685="","",IFERROR((SUMPRODUCT((TRIM(tblDados[Mandante])=$A685)*tblDados[Primeira_Ocorrencia]*((tblDados[GM_M]+tblDados[GS_M])&gt;1.5))+SUMPRODUCT((TRIM(tblDados[Visitante])=$A685)*tblDados[Primeira_Ocorrencia]*((tblDados[GM_V]+tblDados[GS_V])&gt;1.5)))/G685,0))</f>
        <v/>
      </c>
      <c r="M685" s="16" t="str" cm="1">
        <f t="array" ref="M685">IF($A685="","",IFERROR((SUMPRODUCT((TRIM(tblDados[Mandante])=$A685)*tblDados[Primeira_Ocorrencia]*((tblDados[GM_M]+tblDados[GS_M])&gt;2.5))+SUMPRODUCT((TRIM(tblDados[Visitante])=$A685)*tblDados[Primeira_Ocorrencia]*((tblDados[GM_V]+tblDados[GS_V])&gt;2.5)))/G685,0))</f>
        <v/>
      </c>
      <c r="N685" s="16" t="str" cm="1">
        <f t="array" ref="N685">IF($A685="","",IFERROR((SUMPRODUCT((TRIM(tblDados[Mandante])=$A685)*tblDados[Primeira_Ocorrencia]*((tblDados[GM_M]+tblDados[GS_M])&gt;3.5))+SUMPRODUCT((TRIM(tblDados[Visitante])=$A685)*tblDados[Primeira_Ocorrencia]*((tblDados[GM_V]+tblDados[GS_V])&gt;3.5)))/G685,0))</f>
        <v/>
      </c>
      <c r="O685" s="16" t="str" cm="1">
        <f t="array" ref="O685">IF($A685="","",IFERROR((SUMPRODUCT((TRIM(tblDados[Mandante])=$A685)*tblDados[Primeira_Ocorrencia]*(tblDados[GM_M]&gt;0)*(tblDados[GS_M]&gt;0))+SUMPRODUCT((TRIM(tblDados[Visitante])=$A685)*tblDados[Primeira_Ocorrencia]*(tblDados[GM_V]&gt;0)*(tblDados[GS_V]&gt;0)))/G685,0))</f>
        <v/>
      </c>
      <c r="P685" s="14" t="str" cm="1">
        <f t="array" ref="P685">IF($A685="","",IFERROR((SUMPRODUCT((TRIM(tblDados[Mandante])=$A685)*tblDados[Primeira_Ocorrencia]*tblDados[GM_M]^2)+SUMPRODUCT((TRIM(tblDados[Visitante])=$A685)*tblDados[Primeira_Ocorrencia]*tblDados[GM_V]^2))/G685-H685^2,0))</f>
        <v/>
      </c>
      <c r="Q685" s="14" t="str">
        <f t="shared" si="187"/>
        <v/>
      </c>
      <c r="R685" s="1" t="str">
        <f t="shared" si="188"/>
        <v/>
      </c>
      <c r="S685" s="14" t="str" cm="1">
        <f t="array" ref="S685">IF($A685="","",SUMPRODUCT((TRIM(tblDados[Mandante])=$A685)*tblDados[Primeira_Ocorrencia]*tblDados[GM_M]))</f>
        <v/>
      </c>
      <c r="T685" s="14" t="str" cm="1">
        <f t="array" ref="T685">IF($A685="","",SUMPRODUCT((TRIM(tblDados[Visitante])=$A685)*tblDados[Primeira_Ocorrencia]*tblDados[GM_V]))</f>
        <v/>
      </c>
      <c r="U685" s="14" t="str">
        <f t="shared" si="189"/>
        <v/>
      </c>
      <c r="V685" s="14" t="str">
        <f t="shared" si="178"/>
        <v/>
      </c>
      <c r="W685" s="14" t="str" cm="1">
        <f t="array" ref="W685">IF($A685="","",SUMPRODUCT((TRIM(tblDados[Mandante])=$A685)*tblDados[Primeira_Ocorrencia]*tblDados[GS_M]))</f>
        <v/>
      </c>
      <c r="X685" s="14" t="str" cm="1">
        <f t="array" ref="X685">IF($A685="","",SUMPRODUCT((TRIM(tblDados[Visitante])=$A685)*tblDados[Primeira_Ocorrencia]*tblDados[GS_V]))</f>
        <v/>
      </c>
      <c r="Y685" s="14" t="str">
        <f t="shared" si="190"/>
        <v/>
      </c>
      <c r="Z685" s="14" t="str">
        <f t="shared" si="179"/>
        <v/>
      </c>
      <c r="AA685" s="14" t="str">
        <f t="shared" si="180"/>
        <v/>
      </c>
      <c r="AB685" s="14" t="str">
        <f t="shared" si="181"/>
        <v/>
      </c>
      <c r="AC685" s="14" t="str">
        <f t="shared" si="182"/>
        <v/>
      </c>
      <c r="AD685" s="14" t="str">
        <f t="shared" si="183"/>
        <v/>
      </c>
    </row>
    <row r="686" spans="2:30" x14ac:dyDescent="0.3">
      <c r="B686" s="13" t="str" cm="1">
        <f t="array" ref="B686">IF($A686="","",_xlfn.LET(_xlpm.p,IFERROR(INDEX(tblDados[País],MATCH($A686,TRIM(tblDados[Mandante]),0)),INDEX(tblDados[País],MATCH($A686,TRIM(tblDados[Visitante]),0))),_xlpm.l,IFERROR(INDEX(tblDados[Liga],MATCH($A686,TRIM(tblDados[Mandante]),0)),INDEX(tblDados[Liga],MATCH($A686,TRIM(tblDados[Visitante]),0))),_xlpm.p&amp;" - "&amp;_xlpm.l))</f>
        <v/>
      </c>
      <c r="C686" s="14" t="str">
        <f t="shared" si="184"/>
        <v/>
      </c>
      <c r="D686" s="14" t="str">
        <f t="shared" si="185"/>
        <v/>
      </c>
      <c r="E686" s="15" t="str" cm="1">
        <f t="array" ref="E686">IF($A686="","",SUMPRODUCT((TRIM(tblDados[Mandante])=$A686)*tblDados[Primeira_Ocorrencia]))</f>
        <v/>
      </c>
      <c r="F686" s="15" t="str" cm="1">
        <f t="array" ref="F686">IF($A686="","",SUMPRODUCT((TRIM(tblDados[Visitante])=$A686)*tblDados[Primeira_Ocorrencia]))</f>
        <v/>
      </c>
      <c r="G686" s="15" t="str" cm="1">
        <f t="array" ref="G686">IF($A686="","",SUMPRODUCT((TRIM(tblDados[Mandante])=$A686)*tblDados[Primeira_Ocorrencia])+SUMPRODUCT((TRIM(tblDados[Visitante])=$A686)*tblDados[Primeira_Ocorrencia]))</f>
        <v/>
      </c>
      <c r="H686" s="14" t="str">
        <f t="shared" si="186"/>
        <v/>
      </c>
      <c r="I686" s="14" t="str" cm="1">
        <f t="array" ref="I686">IF($A686="","",_xlfn.LET(_xlpm.p,IFERROR(INDEX(tblDados[País],MATCH($A686,TRIM(tblDados[Mandante]),0)),INDEX(tblDados[País],MATCH($A686,TRIM(tblDados[Visitante]),0))),_xlpm.l,IFERROR(INDEX(tblDados[Liga],MATCH($A686,TRIM(tblDados[Mandante]),0)),INDEX(tblDados[Liga],MATCH($A686,TRIM(tblDados[Visitante]),0))),IFERROR(SUMIFS(Ligas!$D$2:$D$39,Ligas!$H$2:$H$39,_xlpm.p,Ligas!$I$2:$I$39,_xlpm.l),0)))</f>
        <v/>
      </c>
      <c r="J686" s="16" t="str" cm="1">
        <f t="array" ref="J686">IF($A686="","",IFERROR((SUMPRODUCT((TRIM(tblDados[Mandante])=$A686)*tblDados[Primeira_Ocorrencia]*(tblDados[GM_M]=0))+SUMPRODUCT((TRIM(tblDados[Visitante])=$A686)*tblDados[Primeira_Ocorrencia]*(tblDados[GM_V]=0)))/G686,0))</f>
        <v/>
      </c>
      <c r="K686" s="16" t="str" cm="1">
        <f t="array" ref="K686">IF($A686="","",IFERROR((SUMPRODUCT((TRIM(tblDados[Mandante])=$A686)*tblDados[Primeira_Ocorrencia]*((tblDados[GM_M]+tblDados[GS_M])&gt;0.5))+SUMPRODUCT((TRIM(tblDados[Visitante])=$A686)*tblDados[Primeira_Ocorrencia]*((tblDados[GM_V]+tblDados[GS_V])&gt;0.5)))/G686,0))</f>
        <v/>
      </c>
      <c r="L686" s="16" t="str" cm="1">
        <f t="array" ref="L686">IF($A686="","",IFERROR((SUMPRODUCT((TRIM(tblDados[Mandante])=$A686)*tblDados[Primeira_Ocorrencia]*((tblDados[GM_M]+tblDados[GS_M])&gt;1.5))+SUMPRODUCT((TRIM(tblDados[Visitante])=$A686)*tblDados[Primeira_Ocorrencia]*((tblDados[GM_V]+tblDados[GS_V])&gt;1.5)))/G686,0))</f>
        <v/>
      </c>
      <c r="M686" s="16" t="str" cm="1">
        <f t="array" ref="M686">IF($A686="","",IFERROR((SUMPRODUCT((TRIM(tblDados[Mandante])=$A686)*tblDados[Primeira_Ocorrencia]*((tblDados[GM_M]+tblDados[GS_M])&gt;2.5))+SUMPRODUCT((TRIM(tblDados[Visitante])=$A686)*tblDados[Primeira_Ocorrencia]*((tblDados[GM_V]+tblDados[GS_V])&gt;2.5)))/G686,0))</f>
        <v/>
      </c>
      <c r="N686" s="16" t="str" cm="1">
        <f t="array" ref="N686">IF($A686="","",IFERROR((SUMPRODUCT((TRIM(tblDados[Mandante])=$A686)*tblDados[Primeira_Ocorrencia]*((tblDados[GM_M]+tblDados[GS_M])&gt;3.5))+SUMPRODUCT((TRIM(tblDados[Visitante])=$A686)*tblDados[Primeira_Ocorrencia]*((tblDados[GM_V]+tblDados[GS_V])&gt;3.5)))/G686,0))</f>
        <v/>
      </c>
      <c r="O686" s="16" t="str" cm="1">
        <f t="array" ref="O686">IF($A686="","",IFERROR((SUMPRODUCT((TRIM(tblDados[Mandante])=$A686)*tblDados[Primeira_Ocorrencia]*(tblDados[GM_M]&gt;0)*(tblDados[GS_M]&gt;0))+SUMPRODUCT((TRIM(tblDados[Visitante])=$A686)*tblDados[Primeira_Ocorrencia]*(tblDados[GM_V]&gt;0)*(tblDados[GS_V]&gt;0)))/G686,0))</f>
        <v/>
      </c>
      <c r="P686" s="14" t="str" cm="1">
        <f t="array" ref="P686">IF($A686="","",IFERROR((SUMPRODUCT((TRIM(tblDados[Mandante])=$A686)*tblDados[Primeira_Ocorrencia]*tblDados[GM_M]^2)+SUMPRODUCT((TRIM(tblDados[Visitante])=$A686)*tblDados[Primeira_Ocorrencia]*tblDados[GM_V]^2))/G686-H686^2,0))</f>
        <v/>
      </c>
      <c r="Q686" s="14" t="str">
        <f t="shared" si="187"/>
        <v/>
      </c>
      <c r="R686" s="1" t="str">
        <f t="shared" si="188"/>
        <v/>
      </c>
      <c r="S686" s="14" t="str" cm="1">
        <f t="array" ref="S686">IF($A686="","",SUMPRODUCT((TRIM(tblDados[Mandante])=$A686)*tblDados[Primeira_Ocorrencia]*tblDados[GM_M]))</f>
        <v/>
      </c>
      <c r="T686" s="14" t="str" cm="1">
        <f t="array" ref="T686">IF($A686="","",SUMPRODUCT((TRIM(tblDados[Visitante])=$A686)*tblDados[Primeira_Ocorrencia]*tblDados[GM_V]))</f>
        <v/>
      </c>
      <c r="U686" s="14" t="str">
        <f t="shared" si="189"/>
        <v/>
      </c>
      <c r="V686" s="14" t="str">
        <f t="shared" si="178"/>
        <v/>
      </c>
      <c r="W686" s="14" t="str" cm="1">
        <f t="array" ref="W686">IF($A686="","",SUMPRODUCT((TRIM(tblDados[Mandante])=$A686)*tblDados[Primeira_Ocorrencia]*tblDados[GS_M]))</f>
        <v/>
      </c>
      <c r="X686" s="14" t="str" cm="1">
        <f t="array" ref="X686">IF($A686="","",SUMPRODUCT((TRIM(tblDados[Visitante])=$A686)*tblDados[Primeira_Ocorrencia]*tblDados[GS_V]))</f>
        <v/>
      </c>
      <c r="Y686" s="14" t="str">
        <f t="shared" si="190"/>
        <v/>
      </c>
      <c r="Z686" s="14" t="str">
        <f t="shared" si="179"/>
        <v/>
      </c>
      <c r="AA686" s="14" t="str">
        <f t="shared" si="180"/>
        <v/>
      </c>
      <c r="AB686" s="14" t="str">
        <f t="shared" si="181"/>
        <v/>
      </c>
      <c r="AC686" s="14" t="str">
        <f t="shared" si="182"/>
        <v/>
      </c>
      <c r="AD686" s="14" t="str">
        <f t="shared" si="183"/>
        <v/>
      </c>
    </row>
    <row r="687" spans="2:30" x14ac:dyDescent="0.3">
      <c r="B687" s="13" t="str" cm="1">
        <f t="array" ref="B687">IF($A687="","",_xlfn.LET(_xlpm.p,IFERROR(INDEX(tblDados[País],MATCH($A687,TRIM(tblDados[Mandante]),0)),INDEX(tblDados[País],MATCH($A687,TRIM(tblDados[Visitante]),0))),_xlpm.l,IFERROR(INDEX(tblDados[Liga],MATCH($A687,TRIM(tblDados[Mandante]),0)),INDEX(tblDados[Liga],MATCH($A687,TRIM(tblDados[Visitante]),0))),_xlpm.p&amp;" - "&amp;_xlpm.l))</f>
        <v/>
      </c>
      <c r="C687" s="14" t="str">
        <f t="shared" si="184"/>
        <v/>
      </c>
      <c r="D687" s="14" t="str">
        <f t="shared" si="185"/>
        <v/>
      </c>
      <c r="E687" s="15" t="str" cm="1">
        <f t="array" ref="E687">IF($A687="","",SUMPRODUCT((TRIM(tblDados[Mandante])=$A687)*tblDados[Primeira_Ocorrencia]))</f>
        <v/>
      </c>
      <c r="F687" s="15" t="str" cm="1">
        <f t="array" ref="F687">IF($A687="","",SUMPRODUCT((TRIM(tblDados[Visitante])=$A687)*tblDados[Primeira_Ocorrencia]))</f>
        <v/>
      </c>
      <c r="G687" s="15" t="str" cm="1">
        <f t="array" ref="G687">IF($A687="","",SUMPRODUCT((TRIM(tblDados[Mandante])=$A687)*tblDados[Primeira_Ocorrencia])+SUMPRODUCT((TRIM(tblDados[Visitante])=$A687)*tblDados[Primeira_Ocorrencia]))</f>
        <v/>
      </c>
      <c r="H687" s="14" t="str">
        <f t="shared" si="186"/>
        <v/>
      </c>
      <c r="I687" s="14" t="str" cm="1">
        <f t="array" ref="I687">IF($A687="","",_xlfn.LET(_xlpm.p,IFERROR(INDEX(tblDados[País],MATCH($A687,TRIM(tblDados[Mandante]),0)),INDEX(tblDados[País],MATCH($A687,TRIM(tblDados[Visitante]),0))),_xlpm.l,IFERROR(INDEX(tblDados[Liga],MATCH($A687,TRIM(tblDados[Mandante]),0)),INDEX(tblDados[Liga],MATCH($A687,TRIM(tblDados[Visitante]),0))),IFERROR(SUMIFS(Ligas!$D$2:$D$39,Ligas!$H$2:$H$39,_xlpm.p,Ligas!$I$2:$I$39,_xlpm.l),0)))</f>
        <v/>
      </c>
      <c r="J687" s="16" t="str" cm="1">
        <f t="array" ref="J687">IF($A687="","",IFERROR((SUMPRODUCT((TRIM(tblDados[Mandante])=$A687)*tblDados[Primeira_Ocorrencia]*(tblDados[GM_M]=0))+SUMPRODUCT((TRIM(tblDados[Visitante])=$A687)*tblDados[Primeira_Ocorrencia]*(tblDados[GM_V]=0)))/G687,0))</f>
        <v/>
      </c>
      <c r="K687" s="16" t="str" cm="1">
        <f t="array" ref="K687">IF($A687="","",IFERROR((SUMPRODUCT((TRIM(tblDados[Mandante])=$A687)*tblDados[Primeira_Ocorrencia]*((tblDados[GM_M]+tblDados[GS_M])&gt;0.5))+SUMPRODUCT((TRIM(tblDados[Visitante])=$A687)*tblDados[Primeira_Ocorrencia]*((tblDados[GM_V]+tblDados[GS_V])&gt;0.5)))/G687,0))</f>
        <v/>
      </c>
      <c r="L687" s="16" t="str" cm="1">
        <f t="array" ref="L687">IF($A687="","",IFERROR((SUMPRODUCT((TRIM(tblDados[Mandante])=$A687)*tblDados[Primeira_Ocorrencia]*((tblDados[GM_M]+tblDados[GS_M])&gt;1.5))+SUMPRODUCT((TRIM(tblDados[Visitante])=$A687)*tblDados[Primeira_Ocorrencia]*((tblDados[GM_V]+tblDados[GS_V])&gt;1.5)))/G687,0))</f>
        <v/>
      </c>
      <c r="M687" s="16" t="str" cm="1">
        <f t="array" ref="M687">IF($A687="","",IFERROR((SUMPRODUCT((TRIM(tblDados[Mandante])=$A687)*tblDados[Primeira_Ocorrencia]*((tblDados[GM_M]+tblDados[GS_M])&gt;2.5))+SUMPRODUCT((TRIM(tblDados[Visitante])=$A687)*tblDados[Primeira_Ocorrencia]*((tblDados[GM_V]+tblDados[GS_V])&gt;2.5)))/G687,0))</f>
        <v/>
      </c>
      <c r="N687" s="16" t="str" cm="1">
        <f t="array" ref="N687">IF($A687="","",IFERROR((SUMPRODUCT((TRIM(tblDados[Mandante])=$A687)*tblDados[Primeira_Ocorrencia]*((tblDados[GM_M]+tblDados[GS_M])&gt;3.5))+SUMPRODUCT((TRIM(tblDados[Visitante])=$A687)*tblDados[Primeira_Ocorrencia]*((tblDados[GM_V]+tblDados[GS_V])&gt;3.5)))/G687,0))</f>
        <v/>
      </c>
      <c r="O687" s="16" t="str" cm="1">
        <f t="array" ref="O687">IF($A687="","",IFERROR((SUMPRODUCT((TRIM(tblDados[Mandante])=$A687)*tblDados[Primeira_Ocorrencia]*(tblDados[GM_M]&gt;0)*(tblDados[GS_M]&gt;0))+SUMPRODUCT((TRIM(tblDados[Visitante])=$A687)*tblDados[Primeira_Ocorrencia]*(tblDados[GM_V]&gt;0)*(tblDados[GS_V]&gt;0)))/G687,0))</f>
        <v/>
      </c>
      <c r="P687" s="14" t="str" cm="1">
        <f t="array" ref="P687">IF($A687="","",IFERROR((SUMPRODUCT((TRIM(tblDados[Mandante])=$A687)*tblDados[Primeira_Ocorrencia]*tblDados[GM_M]^2)+SUMPRODUCT((TRIM(tblDados[Visitante])=$A687)*tblDados[Primeira_Ocorrencia]*tblDados[GM_V]^2))/G687-H687^2,0))</f>
        <v/>
      </c>
      <c r="Q687" s="14" t="str">
        <f t="shared" si="187"/>
        <v/>
      </c>
      <c r="R687" s="1" t="str">
        <f t="shared" si="188"/>
        <v/>
      </c>
      <c r="S687" s="14" t="str" cm="1">
        <f t="array" ref="S687">IF($A687="","",SUMPRODUCT((TRIM(tblDados[Mandante])=$A687)*tblDados[Primeira_Ocorrencia]*tblDados[GM_M]))</f>
        <v/>
      </c>
      <c r="T687" s="14" t="str" cm="1">
        <f t="array" ref="T687">IF($A687="","",SUMPRODUCT((TRIM(tblDados[Visitante])=$A687)*tblDados[Primeira_Ocorrencia]*tblDados[GM_V]))</f>
        <v/>
      </c>
      <c r="U687" s="14" t="str">
        <f t="shared" si="189"/>
        <v/>
      </c>
      <c r="V687" s="14" t="str">
        <f t="shared" si="178"/>
        <v/>
      </c>
      <c r="W687" s="14" t="str" cm="1">
        <f t="array" ref="W687">IF($A687="","",SUMPRODUCT((TRIM(tblDados[Mandante])=$A687)*tblDados[Primeira_Ocorrencia]*tblDados[GS_M]))</f>
        <v/>
      </c>
      <c r="X687" s="14" t="str" cm="1">
        <f t="array" ref="X687">IF($A687="","",SUMPRODUCT((TRIM(tblDados[Visitante])=$A687)*tblDados[Primeira_Ocorrencia]*tblDados[GS_V]))</f>
        <v/>
      </c>
      <c r="Y687" s="14" t="str">
        <f t="shared" si="190"/>
        <v/>
      </c>
      <c r="Z687" s="14" t="str">
        <f t="shared" si="179"/>
        <v/>
      </c>
      <c r="AA687" s="14" t="str">
        <f t="shared" si="180"/>
        <v/>
      </c>
      <c r="AB687" s="14" t="str">
        <f t="shared" si="181"/>
        <v/>
      </c>
      <c r="AC687" s="14" t="str">
        <f t="shared" si="182"/>
        <v/>
      </c>
      <c r="AD687" s="14" t="str">
        <f t="shared" si="183"/>
        <v/>
      </c>
    </row>
    <row r="688" spans="2:30" x14ac:dyDescent="0.3">
      <c r="B688" s="13" t="str" cm="1">
        <f t="array" ref="B688">IF($A688="","",_xlfn.LET(_xlpm.p,IFERROR(INDEX(tblDados[País],MATCH($A688,TRIM(tblDados[Mandante]),0)),INDEX(tblDados[País],MATCH($A688,TRIM(tblDados[Visitante]),0))),_xlpm.l,IFERROR(INDEX(tblDados[Liga],MATCH($A688,TRIM(tblDados[Mandante]),0)),INDEX(tblDados[Liga],MATCH($A688,TRIM(tblDados[Visitante]),0))),_xlpm.p&amp;" - "&amp;_xlpm.l))</f>
        <v/>
      </c>
      <c r="C688" s="14" t="str">
        <f t="shared" si="184"/>
        <v/>
      </c>
      <c r="D688" s="14" t="str">
        <f t="shared" si="185"/>
        <v/>
      </c>
      <c r="E688" s="15" t="str" cm="1">
        <f t="array" ref="E688">IF($A688="","",SUMPRODUCT((TRIM(tblDados[Mandante])=$A688)*tblDados[Primeira_Ocorrencia]))</f>
        <v/>
      </c>
      <c r="F688" s="15" t="str" cm="1">
        <f t="array" ref="F688">IF($A688="","",SUMPRODUCT((TRIM(tblDados[Visitante])=$A688)*tblDados[Primeira_Ocorrencia]))</f>
        <v/>
      </c>
      <c r="G688" s="15" t="str" cm="1">
        <f t="array" ref="G688">IF($A688="","",SUMPRODUCT((TRIM(tblDados[Mandante])=$A688)*tblDados[Primeira_Ocorrencia])+SUMPRODUCT((TRIM(tblDados[Visitante])=$A688)*tblDados[Primeira_Ocorrencia]))</f>
        <v/>
      </c>
      <c r="H688" s="14" t="str">
        <f t="shared" si="186"/>
        <v/>
      </c>
      <c r="I688" s="14" t="str" cm="1">
        <f t="array" ref="I688">IF($A688="","",_xlfn.LET(_xlpm.p,IFERROR(INDEX(tblDados[País],MATCH($A688,TRIM(tblDados[Mandante]),0)),INDEX(tblDados[País],MATCH($A688,TRIM(tblDados[Visitante]),0))),_xlpm.l,IFERROR(INDEX(tblDados[Liga],MATCH($A688,TRIM(tblDados[Mandante]),0)),INDEX(tblDados[Liga],MATCH($A688,TRIM(tblDados[Visitante]),0))),IFERROR(SUMIFS(Ligas!$D$2:$D$39,Ligas!$H$2:$H$39,_xlpm.p,Ligas!$I$2:$I$39,_xlpm.l),0)))</f>
        <v/>
      </c>
      <c r="J688" s="16" t="str" cm="1">
        <f t="array" ref="J688">IF($A688="","",IFERROR((SUMPRODUCT((TRIM(tblDados[Mandante])=$A688)*tblDados[Primeira_Ocorrencia]*(tblDados[GM_M]=0))+SUMPRODUCT((TRIM(tblDados[Visitante])=$A688)*tblDados[Primeira_Ocorrencia]*(tblDados[GM_V]=0)))/G688,0))</f>
        <v/>
      </c>
      <c r="K688" s="16" t="str" cm="1">
        <f t="array" ref="K688">IF($A688="","",IFERROR((SUMPRODUCT((TRIM(tblDados[Mandante])=$A688)*tblDados[Primeira_Ocorrencia]*((tblDados[GM_M]+tblDados[GS_M])&gt;0.5))+SUMPRODUCT((TRIM(tblDados[Visitante])=$A688)*tblDados[Primeira_Ocorrencia]*((tblDados[GM_V]+tblDados[GS_V])&gt;0.5)))/G688,0))</f>
        <v/>
      </c>
      <c r="L688" s="16" t="str" cm="1">
        <f t="array" ref="L688">IF($A688="","",IFERROR((SUMPRODUCT((TRIM(tblDados[Mandante])=$A688)*tblDados[Primeira_Ocorrencia]*((tblDados[GM_M]+tblDados[GS_M])&gt;1.5))+SUMPRODUCT((TRIM(tblDados[Visitante])=$A688)*tblDados[Primeira_Ocorrencia]*((tblDados[GM_V]+tblDados[GS_V])&gt;1.5)))/G688,0))</f>
        <v/>
      </c>
      <c r="M688" s="16" t="str" cm="1">
        <f t="array" ref="M688">IF($A688="","",IFERROR((SUMPRODUCT((TRIM(tblDados[Mandante])=$A688)*tblDados[Primeira_Ocorrencia]*((tblDados[GM_M]+tblDados[GS_M])&gt;2.5))+SUMPRODUCT((TRIM(tblDados[Visitante])=$A688)*tblDados[Primeira_Ocorrencia]*((tblDados[GM_V]+tblDados[GS_V])&gt;2.5)))/G688,0))</f>
        <v/>
      </c>
      <c r="N688" s="16" t="str" cm="1">
        <f t="array" ref="N688">IF($A688="","",IFERROR((SUMPRODUCT((TRIM(tblDados[Mandante])=$A688)*tblDados[Primeira_Ocorrencia]*((tblDados[GM_M]+tblDados[GS_M])&gt;3.5))+SUMPRODUCT((TRIM(tblDados[Visitante])=$A688)*tblDados[Primeira_Ocorrencia]*((tblDados[GM_V]+tblDados[GS_V])&gt;3.5)))/G688,0))</f>
        <v/>
      </c>
      <c r="O688" s="16" t="str" cm="1">
        <f t="array" ref="O688">IF($A688="","",IFERROR((SUMPRODUCT((TRIM(tblDados[Mandante])=$A688)*tblDados[Primeira_Ocorrencia]*(tblDados[GM_M]&gt;0)*(tblDados[GS_M]&gt;0))+SUMPRODUCT((TRIM(tblDados[Visitante])=$A688)*tblDados[Primeira_Ocorrencia]*(tblDados[GM_V]&gt;0)*(tblDados[GS_V]&gt;0)))/G688,0))</f>
        <v/>
      </c>
      <c r="P688" s="14" t="str" cm="1">
        <f t="array" ref="P688">IF($A688="","",IFERROR((SUMPRODUCT((TRIM(tblDados[Mandante])=$A688)*tblDados[Primeira_Ocorrencia]*tblDados[GM_M]^2)+SUMPRODUCT((TRIM(tblDados[Visitante])=$A688)*tblDados[Primeira_Ocorrencia]*tblDados[GM_V]^2))/G688-H688^2,0))</f>
        <v/>
      </c>
      <c r="Q688" s="14" t="str">
        <f t="shared" si="187"/>
        <v/>
      </c>
      <c r="R688" s="1" t="str">
        <f t="shared" si="188"/>
        <v/>
      </c>
      <c r="S688" s="14" t="str" cm="1">
        <f t="array" ref="S688">IF($A688="","",SUMPRODUCT((TRIM(tblDados[Mandante])=$A688)*tblDados[Primeira_Ocorrencia]*tblDados[GM_M]))</f>
        <v/>
      </c>
      <c r="T688" s="14" t="str" cm="1">
        <f t="array" ref="T688">IF($A688="","",SUMPRODUCT((TRIM(tblDados[Visitante])=$A688)*tblDados[Primeira_Ocorrencia]*tblDados[GM_V]))</f>
        <v/>
      </c>
      <c r="U688" s="14" t="str">
        <f t="shared" si="189"/>
        <v/>
      </c>
      <c r="V688" s="14" t="str">
        <f t="shared" si="178"/>
        <v/>
      </c>
      <c r="W688" s="14" t="str" cm="1">
        <f t="array" ref="W688">IF($A688="","",SUMPRODUCT((TRIM(tblDados[Mandante])=$A688)*tblDados[Primeira_Ocorrencia]*tblDados[GS_M]))</f>
        <v/>
      </c>
      <c r="X688" s="14" t="str" cm="1">
        <f t="array" ref="X688">IF($A688="","",SUMPRODUCT((TRIM(tblDados[Visitante])=$A688)*tblDados[Primeira_Ocorrencia]*tblDados[GS_V]))</f>
        <v/>
      </c>
      <c r="Y688" s="14" t="str">
        <f t="shared" si="190"/>
        <v/>
      </c>
      <c r="Z688" s="14" t="str">
        <f t="shared" si="179"/>
        <v/>
      </c>
      <c r="AA688" s="14" t="str">
        <f t="shared" si="180"/>
        <v/>
      </c>
      <c r="AB688" s="14" t="str">
        <f t="shared" si="181"/>
        <v/>
      </c>
      <c r="AC688" s="14" t="str">
        <f t="shared" si="182"/>
        <v/>
      </c>
      <c r="AD688" s="14" t="str">
        <f t="shared" si="183"/>
        <v/>
      </c>
    </row>
    <row r="689" spans="2:30" x14ac:dyDescent="0.3">
      <c r="B689" s="13" t="str" cm="1">
        <f t="array" ref="B689">IF($A689="","",_xlfn.LET(_xlpm.p,IFERROR(INDEX(tblDados[País],MATCH($A689,TRIM(tblDados[Mandante]),0)),INDEX(tblDados[País],MATCH($A689,TRIM(tblDados[Visitante]),0))),_xlpm.l,IFERROR(INDEX(tblDados[Liga],MATCH($A689,TRIM(tblDados[Mandante]),0)),INDEX(tblDados[Liga],MATCH($A689,TRIM(tblDados[Visitante]),0))),_xlpm.p&amp;" - "&amp;_xlpm.l))</f>
        <v/>
      </c>
      <c r="C689" s="14" t="str">
        <f t="shared" si="184"/>
        <v/>
      </c>
      <c r="D689" s="14" t="str">
        <f t="shared" si="185"/>
        <v/>
      </c>
      <c r="E689" s="15" t="str" cm="1">
        <f t="array" ref="E689">IF($A689="","",SUMPRODUCT((TRIM(tblDados[Mandante])=$A689)*tblDados[Primeira_Ocorrencia]))</f>
        <v/>
      </c>
      <c r="F689" s="15" t="str" cm="1">
        <f t="array" ref="F689">IF($A689="","",SUMPRODUCT((TRIM(tblDados[Visitante])=$A689)*tblDados[Primeira_Ocorrencia]))</f>
        <v/>
      </c>
      <c r="G689" s="15" t="str" cm="1">
        <f t="array" ref="G689">IF($A689="","",SUMPRODUCT((TRIM(tblDados[Mandante])=$A689)*tblDados[Primeira_Ocorrencia])+SUMPRODUCT((TRIM(tblDados[Visitante])=$A689)*tblDados[Primeira_Ocorrencia]))</f>
        <v/>
      </c>
      <c r="H689" s="14" t="str">
        <f t="shared" si="186"/>
        <v/>
      </c>
      <c r="I689" s="14" t="str" cm="1">
        <f t="array" ref="I689">IF($A689="","",_xlfn.LET(_xlpm.p,IFERROR(INDEX(tblDados[País],MATCH($A689,TRIM(tblDados[Mandante]),0)),INDEX(tblDados[País],MATCH($A689,TRIM(tblDados[Visitante]),0))),_xlpm.l,IFERROR(INDEX(tblDados[Liga],MATCH($A689,TRIM(tblDados[Mandante]),0)),INDEX(tblDados[Liga],MATCH($A689,TRIM(tblDados[Visitante]),0))),IFERROR(SUMIFS(Ligas!$D$2:$D$39,Ligas!$H$2:$H$39,_xlpm.p,Ligas!$I$2:$I$39,_xlpm.l),0)))</f>
        <v/>
      </c>
      <c r="J689" s="16" t="str" cm="1">
        <f t="array" ref="J689">IF($A689="","",IFERROR((SUMPRODUCT((TRIM(tblDados[Mandante])=$A689)*tblDados[Primeira_Ocorrencia]*(tblDados[GM_M]=0))+SUMPRODUCT((TRIM(tblDados[Visitante])=$A689)*tblDados[Primeira_Ocorrencia]*(tblDados[GM_V]=0)))/G689,0))</f>
        <v/>
      </c>
      <c r="K689" s="16" t="str" cm="1">
        <f t="array" ref="K689">IF($A689="","",IFERROR((SUMPRODUCT((TRIM(tblDados[Mandante])=$A689)*tblDados[Primeira_Ocorrencia]*((tblDados[GM_M]+tblDados[GS_M])&gt;0.5))+SUMPRODUCT((TRIM(tblDados[Visitante])=$A689)*tblDados[Primeira_Ocorrencia]*((tblDados[GM_V]+tblDados[GS_V])&gt;0.5)))/G689,0))</f>
        <v/>
      </c>
      <c r="L689" s="16" t="str" cm="1">
        <f t="array" ref="L689">IF($A689="","",IFERROR((SUMPRODUCT((TRIM(tblDados[Mandante])=$A689)*tblDados[Primeira_Ocorrencia]*((tblDados[GM_M]+tblDados[GS_M])&gt;1.5))+SUMPRODUCT((TRIM(tblDados[Visitante])=$A689)*tblDados[Primeira_Ocorrencia]*((tblDados[GM_V]+tblDados[GS_V])&gt;1.5)))/G689,0))</f>
        <v/>
      </c>
      <c r="M689" s="16" t="str" cm="1">
        <f t="array" ref="M689">IF($A689="","",IFERROR((SUMPRODUCT((TRIM(tblDados[Mandante])=$A689)*tblDados[Primeira_Ocorrencia]*((tblDados[GM_M]+tblDados[GS_M])&gt;2.5))+SUMPRODUCT((TRIM(tblDados[Visitante])=$A689)*tblDados[Primeira_Ocorrencia]*((tblDados[GM_V]+tblDados[GS_V])&gt;2.5)))/G689,0))</f>
        <v/>
      </c>
      <c r="N689" s="16" t="str" cm="1">
        <f t="array" ref="N689">IF($A689="","",IFERROR((SUMPRODUCT((TRIM(tblDados[Mandante])=$A689)*tblDados[Primeira_Ocorrencia]*((tblDados[GM_M]+tblDados[GS_M])&gt;3.5))+SUMPRODUCT((TRIM(tblDados[Visitante])=$A689)*tblDados[Primeira_Ocorrencia]*((tblDados[GM_V]+tblDados[GS_V])&gt;3.5)))/G689,0))</f>
        <v/>
      </c>
      <c r="O689" s="16" t="str" cm="1">
        <f t="array" ref="O689">IF($A689="","",IFERROR((SUMPRODUCT((TRIM(tblDados[Mandante])=$A689)*tblDados[Primeira_Ocorrencia]*(tblDados[GM_M]&gt;0)*(tblDados[GS_M]&gt;0))+SUMPRODUCT((TRIM(tblDados[Visitante])=$A689)*tblDados[Primeira_Ocorrencia]*(tblDados[GM_V]&gt;0)*(tblDados[GS_V]&gt;0)))/G689,0))</f>
        <v/>
      </c>
      <c r="P689" s="14" t="str" cm="1">
        <f t="array" ref="P689">IF($A689="","",IFERROR((SUMPRODUCT((TRIM(tblDados[Mandante])=$A689)*tblDados[Primeira_Ocorrencia]*tblDados[GM_M]^2)+SUMPRODUCT((TRIM(tblDados[Visitante])=$A689)*tblDados[Primeira_Ocorrencia]*tblDados[GM_V]^2))/G689-H689^2,0))</f>
        <v/>
      </c>
      <c r="Q689" s="14" t="str">
        <f t="shared" si="187"/>
        <v/>
      </c>
      <c r="R689" s="1" t="str">
        <f t="shared" si="188"/>
        <v/>
      </c>
      <c r="S689" s="14" t="str" cm="1">
        <f t="array" ref="S689">IF($A689="","",SUMPRODUCT((TRIM(tblDados[Mandante])=$A689)*tblDados[Primeira_Ocorrencia]*tblDados[GM_M]))</f>
        <v/>
      </c>
      <c r="T689" s="14" t="str" cm="1">
        <f t="array" ref="T689">IF($A689="","",SUMPRODUCT((TRIM(tblDados[Visitante])=$A689)*tblDados[Primeira_Ocorrencia]*tblDados[GM_V]))</f>
        <v/>
      </c>
      <c r="U689" s="14" t="str">
        <f t="shared" si="189"/>
        <v/>
      </c>
      <c r="V689" s="14" t="str">
        <f t="shared" si="178"/>
        <v/>
      </c>
      <c r="W689" s="14" t="str" cm="1">
        <f t="array" ref="W689">IF($A689="","",SUMPRODUCT((TRIM(tblDados[Mandante])=$A689)*tblDados[Primeira_Ocorrencia]*tblDados[GS_M]))</f>
        <v/>
      </c>
      <c r="X689" s="14" t="str" cm="1">
        <f t="array" ref="X689">IF($A689="","",SUMPRODUCT((TRIM(tblDados[Visitante])=$A689)*tblDados[Primeira_Ocorrencia]*tblDados[GS_V]))</f>
        <v/>
      </c>
      <c r="Y689" s="14" t="str">
        <f t="shared" si="190"/>
        <v/>
      </c>
      <c r="Z689" s="14" t="str">
        <f t="shared" si="179"/>
        <v/>
      </c>
      <c r="AA689" s="14" t="str">
        <f t="shared" si="180"/>
        <v/>
      </c>
      <c r="AB689" s="14" t="str">
        <f t="shared" si="181"/>
        <v/>
      </c>
      <c r="AC689" s="14" t="str">
        <f t="shared" si="182"/>
        <v/>
      </c>
      <c r="AD689" s="14" t="str">
        <f t="shared" si="183"/>
        <v/>
      </c>
    </row>
    <row r="690" spans="2:30" x14ac:dyDescent="0.3">
      <c r="B690" s="13" t="str" cm="1">
        <f t="array" ref="B690">IF($A690="","",_xlfn.LET(_xlpm.p,IFERROR(INDEX(tblDados[País],MATCH($A690,TRIM(tblDados[Mandante]),0)),INDEX(tblDados[País],MATCH($A690,TRIM(tblDados[Visitante]),0))),_xlpm.l,IFERROR(INDEX(tblDados[Liga],MATCH($A690,TRIM(tblDados[Mandante]),0)),INDEX(tblDados[Liga],MATCH($A690,TRIM(tblDados[Visitante]),0))),_xlpm.p&amp;" - "&amp;_xlpm.l))</f>
        <v/>
      </c>
      <c r="C690" s="14" t="str">
        <f t="shared" si="184"/>
        <v/>
      </c>
      <c r="D690" s="14" t="str">
        <f t="shared" si="185"/>
        <v/>
      </c>
      <c r="E690" s="15" t="str" cm="1">
        <f t="array" ref="E690">IF($A690="","",SUMPRODUCT((TRIM(tblDados[Mandante])=$A690)*tblDados[Primeira_Ocorrencia]))</f>
        <v/>
      </c>
      <c r="F690" s="15" t="str" cm="1">
        <f t="array" ref="F690">IF($A690="","",SUMPRODUCT((TRIM(tblDados[Visitante])=$A690)*tblDados[Primeira_Ocorrencia]))</f>
        <v/>
      </c>
      <c r="G690" s="15" t="str" cm="1">
        <f t="array" ref="G690">IF($A690="","",SUMPRODUCT((TRIM(tblDados[Mandante])=$A690)*tblDados[Primeira_Ocorrencia])+SUMPRODUCT((TRIM(tblDados[Visitante])=$A690)*tblDados[Primeira_Ocorrencia]))</f>
        <v/>
      </c>
      <c r="H690" s="14" t="str">
        <f t="shared" si="186"/>
        <v/>
      </c>
      <c r="I690" s="14" t="str" cm="1">
        <f t="array" ref="I690">IF($A690="","",_xlfn.LET(_xlpm.p,IFERROR(INDEX(tblDados[País],MATCH($A690,TRIM(tblDados[Mandante]),0)),INDEX(tblDados[País],MATCH($A690,TRIM(tblDados[Visitante]),0))),_xlpm.l,IFERROR(INDEX(tblDados[Liga],MATCH($A690,TRIM(tblDados[Mandante]),0)),INDEX(tblDados[Liga],MATCH($A690,TRIM(tblDados[Visitante]),0))),IFERROR(SUMIFS(Ligas!$D$2:$D$39,Ligas!$H$2:$H$39,_xlpm.p,Ligas!$I$2:$I$39,_xlpm.l),0)))</f>
        <v/>
      </c>
      <c r="J690" s="16" t="str" cm="1">
        <f t="array" ref="J690">IF($A690="","",IFERROR((SUMPRODUCT((TRIM(tblDados[Mandante])=$A690)*tblDados[Primeira_Ocorrencia]*(tblDados[GM_M]=0))+SUMPRODUCT((TRIM(tblDados[Visitante])=$A690)*tblDados[Primeira_Ocorrencia]*(tblDados[GM_V]=0)))/G690,0))</f>
        <v/>
      </c>
      <c r="K690" s="16" t="str" cm="1">
        <f t="array" ref="K690">IF($A690="","",IFERROR((SUMPRODUCT((TRIM(tblDados[Mandante])=$A690)*tblDados[Primeira_Ocorrencia]*((tblDados[GM_M]+tblDados[GS_M])&gt;0.5))+SUMPRODUCT((TRIM(tblDados[Visitante])=$A690)*tblDados[Primeira_Ocorrencia]*((tblDados[GM_V]+tblDados[GS_V])&gt;0.5)))/G690,0))</f>
        <v/>
      </c>
      <c r="L690" s="16" t="str" cm="1">
        <f t="array" ref="L690">IF($A690="","",IFERROR((SUMPRODUCT((TRIM(tblDados[Mandante])=$A690)*tblDados[Primeira_Ocorrencia]*((tblDados[GM_M]+tblDados[GS_M])&gt;1.5))+SUMPRODUCT((TRIM(tblDados[Visitante])=$A690)*tblDados[Primeira_Ocorrencia]*((tblDados[GM_V]+tblDados[GS_V])&gt;1.5)))/G690,0))</f>
        <v/>
      </c>
      <c r="M690" s="16" t="str" cm="1">
        <f t="array" ref="M690">IF($A690="","",IFERROR((SUMPRODUCT((TRIM(tblDados[Mandante])=$A690)*tblDados[Primeira_Ocorrencia]*((tblDados[GM_M]+tblDados[GS_M])&gt;2.5))+SUMPRODUCT((TRIM(tblDados[Visitante])=$A690)*tblDados[Primeira_Ocorrencia]*((tblDados[GM_V]+tblDados[GS_V])&gt;2.5)))/G690,0))</f>
        <v/>
      </c>
      <c r="N690" s="16" t="str" cm="1">
        <f t="array" ref="N690">IF($A690="","",IFERROR((SUMPRODUCT((TRIM(tblDados[Mandante])=$A690)*tblDados[Primeira_Ocorrencia]*((tblDados[GM_M]+tblDados[GS_M])&gt;3.5))+SUMPRODUCT((TRIM(tblDados[Visitante])=$A690)*tblDados[Primeira_Ocorrencia]*((tblDados[GM_V]+tblDados[GS_V])&gt;3.5)))/G690,0))</f>
        <v/>
      </c>
      <c r="O690" s="16" t="str" cm="1">
        <f t="array" ref="O690">IF($A690="","",IFERROR((SUMPRODUCT((TRIM(tblDados[Mandante])=$A690)*tblDados[Primeira_Ocorrencia]*(tblDados[GM_M]&gt;0)*(tblDados[GS_M]&gt;0))+SUMPRODUCT((TRIM(tblDados[Visitante])=$A690)*tblDados[Primeira_Ocorrencia]*(tblDados[GM_V]&gt;0)*(tblDados[GS_V]&gt;0)))/G690,0))</f>
        <v/>
      </c>
      <c r="P690" s="14" t="str" cm="1">
        <f t="array" ref="P690">IF($A690="","",IFERROR((SUMPRODUCT((TRIM(tblDados[Mandante])=$A690)*tblDados[Primeira_Ocorrencia]*tblDados[GM_M]^2)+SUMPRODUCT((TRIM(tblDados[Visitante])=$A690)*tblDados[Primeira_Ocorrencia]*tblDados[GM_V]^2))/G690-H690^2,0))</f>
        <v/>
      </c>
      <c r="Q690" s="14" t="str">
        <f t="shared" si="187"/>
        <v/>
      </c>
      <c r="R690" s="1" t="str">
        <f t="shared" si="188"/>
        <v/>
      </c>
      <c r="S690" s="14" t="str" cm="1">
        <f t="array" ref="S690">IF($A690="","",SUMPRODUCT((TRIM(tblDados[Mandante])=$A690)*tblDados[Primeira_Ocorrencia]*tblDados[GM_M]))</f>
        <v/>
      </c>
      <c r="T690" s="14" t="str" cm="1">
        <f t="array" ref="T690">IF($A690="","",SUMPRODUCT((TRIM(tblDados[Visitante])=$A690)*tblDados[Primeira_Ocorrencia]*tblDados[GM_V]))</f>
        <v/>
      </c>
      <c r="U690" s="14" t="str">
        <f t="shared" si="189"/>
        <v/>
      </c>
      <c r="V690" s="14" t="str">
        <f t="shared" si="178"/>
        <v/>
      </c>
      <c r="W690" s="14" t="str" cm="1">
        <f t="array" ref="W690">IF($A690="","",SUMPRODUCT((TRIM(tblDados[Mandante])=$A690)*tblDados[Primeira_Ocorrencia]*tblDados[GS_M]))</f>
        <v/>
      </c>
      <c r="X690" s="14" t="str" cm="1">
        <f t="array" ref="X690">IF($A690="","",SUMPRODUCT((TRIM(tblDados[Visitante])=$A690)*tblDados[Primeira_Ocorrencia]*tblDados[GS_V]))</f>
        <v/>
      </c>
      <c r="Y690" s="14" t="str">
        <f t="shared" si="190"/>
        <v/>
      </c>
      <c r="Z690" s="14" t="str">
        <f t="shared" si="179"/>
        <v/>
      </c>
      <c r="AA690" s="14" t="str">
        <f t="shared" si="180"/>
        <v/>
      </c>
      <c r="AB690" s="14" t="str">
        <f t="shared" si="181"/>
        <v/>
      </c>
      <c r="AC690" s="14" t="str">
        <f t="shared" si="182"/>
        <v/>
      </c>
      <c r="AD690" s="14" t="str">
        <f t="shared" si="183"/>
        <v/>
      </c>
    </row>
    <row r="691" spans="2:30" x14ac:dyDescent="0.3">
      <c r="B691" s="13" t="str" cm="1">
        <f t="array" ref="B691">IF($A691="","",_xlfn.LET(_xlpm.p,IFERROR(INDEX(tblDados[País],MATCH($A691,TRIM(tblDados[Mandante]),0)),INDEX(tblDados[País],MATCH($A691,TRIM(tblDados[Visitante]),0))),_xlpm.l,IFERROR(INDEX(tblDados[Liga],MATCH($A691,TRIM(tblDados[Mandante]),0)),INDEX(tblDados[Liga],MATCH($A691,TRIM(tblDados[Visitante]),0))),_xlpm.p&amp;" - "&amp;_xlpm.l))</f>
        <v/>
      </c>
      <c r="C691" s="14" t="str">
        <f t="shared" si="184"/>
        <v/>
      </c>
      <c r="D691" s="14" t="str">
        <f t="shared" si="185"/>
        <v/>
      </c>
      <c r="E691" s="15" t="str" cm="1">
        <f t="array" ref="E691">IF($A691="","",SUMPRODUCT((TRIM(tblDados[Mandante])=$A691)*tblDados[Primeira_Ocorrencia]))</f>
        <v/>
      </c>
      <c r="F691" s="15" t="str" cm="1">
        <f t="array" ref="F691">IF($A691="","",SUMPRODUCT((TRIM(tblDados[Visitante])=$A691)*tblDados[Primeira_Ocorrencia]))</f>
        <v/>
      </c>
      <c r="G691" s="15" t="str" cm="1">
        <f t="array" ref="G691">IF($A691="","",SUMPRODUCT((TRIM(tblDados[Mandante])=$A691)*tblDados[Primeira_Ocorrencia])+SUMPRODUCT((TRIM(tblDados[Visitante])=$A691)*tblDados[Primeira_Ocorrencia]))</f>
        <v/>
      </c>
      <c r="H691" s="14" t="str">
        <f t="shared" si="186"/>
        <v/>
      </c>
      <c r="I691" s="14" t="str" cm="1">
        <f t="array" ref="I691">IF($A691="","",_xlfn.LET(_xlpm.p,IFERROR(INDEX(tblDados[País],MATCH($A691,TRIM(tblDados[Mandante]),0)),INDEX(tblDados[País],MATCH($A691,TRIM(tblDados[Visitante]),0))),_xlpm.l,IFERROR(INDEX(tblDados[Liga],MATCH($A691,TRIM(tblDados[Mandante]),0)),INDEX(tblDados[Liga],MATCH($A691,TRIM(tblDados[Visitante]),0))),IFERROR(SUMIFS(Ligas!$D$2:$D$39,Ligas!$H$2:$H$39,_xlpm.p,Ligas!$I$2:$I$39,_xlpm.l),0)))</f>
        <v/>
      </c>
      <c r="J691" s="16" t="str" cm="1">
        <f t="array" ref="J691">IF($A691="","",IFERROR((SUMPRODUCT((TRIM(tblDados[Mandante])=$A691)*tblDados[Primeira_Ocorrencia]*(tblDados[GM_M]=0))+SUMPRODUCT((TRIM(tblDados[Visitante])=$A691)*tblDados[Primeira_Ocorrencia]*(tblDados[GM_V]=0)))/G691,0))</f>
        <v/>
      </c>
      <c r="K691" s="16" t="str" cm="1">
        <f t="array" ref="K691">IF($A691="","",IFERROR((SUMPRODUCT((TRIM(tblDados[Mandante])=$A691)*tblDados[Primeira_Ocorrencia]*((tblDados[GM_M]+tblDados[GS_M])&gt;0.5))+SUMPRODUCT((TRIM(tblDados[Visitante])=$A691)*tblDados[Primeira_Ocorrencia]*((tblDados[GM_V]+tblDados[GS_V])&gt;0.5)))/G691,0))</f>
        <v/>
      </c>
      <c r="L691" s="16" t="str" cm="1">
        <f t="array" ref="L691">IF($A691="","",IFERROR((SUMPRODUCT((TRIM(tblDados[Mandante])=$A691)*tblDados[Primeira_Ocorrencia]*((tblDados[GM_M]+tblDados[GS_M])&gt;1.5))+SUMPRODUCT((TRIM(tblDados[Visitante])=$A691)*tblDados[Primeira_Ocorrencia]*((tblDados[GM_V]+tblDados[GS_V])&gt;1.5)))/G691,0))</f>
        <v/>
      </c>
      <c r="M691" s="16" t="str" cm="1">
        <f t="array" ref="M691">IF($A691="","",IFERROR((SUMPRODUCT((TRIM(tblDados[Mandante])=$A691)*tblDados[Primeira_Ocorrencia]*((tblDados[GM_M]+tblDados[GS_M])&gt;2.5))+SUMPRODUCT((TRIM(tblDados[Visitante])=$A691)*tblDados[Primeira_Ocorrencia]*((tblDados[GM_V]+tblDados[GS_V])&gt;2.5)))/G691,0))</f>
        <v/>
      </c>
      <c r="N691" s="16" t="str" cm="1">
        <f t="array" ref="N691">IF($A691="","",IFERROR((SUMPRODUCT((TRIM(tblDados[Mandante])=$A691)*tblDados[Primeira_Ocorrencia]*((tblDados[GM_M]+tblDados[GS_M])&gt;3.5))+SUMPRODUCT((TRIM(tblDados[Visitante])=$A691)*tblDados[Primeira_Ocorrencia]*((tblDados[GM_V]+tblDados[GS_V])&gt;3.5)))/G691,0))</f>
        <v/>
      </c>
      <c r="O691" s="16" t="str" cm="1">
        <f t="array" ref="O691">IF($A691="","",IFERROR((SUMPRODUCT((TRIM(tblDados[Mandante])=$A691)*tblDados[Primeira_Ocorrencia]*(tblDados[GM_M]&gt;0)*(tblDados[GS_M]&gt;0))+SUMPRODUCT((TRIM(tblDados[Visitante])=$A691)*tblDados[Primeira_Ocorrencia]*(tblDados[GM_V]&gt;0)*(tblDados[GS_V]&gt;0)))/G691,0))</f>
        <v/>
      </c>
      <c r="P691" s="14" t="str" cm="1">
        <f t="array" ref="P691">IF($A691="","",IFERROR((SUMPRODUCT((TRIM(tblDados[Mandante])=$A691)*tblDados[Primeira_Ocorrencia]*tblDados[GM_M]^2)+SUMPRODUCT((TRIM(tblDados[Visitante])=$A691)*tblDados[Primeira_Ocorrencia]*tblDados[GM_V]^2))/G691-H691^2,0))</f>
        <v/>
      </c>
      <c r="Q691" s="14" t="str">
        <f t="shared" si="187"/>
        <v/>
      </c>
      <c r="R691" s="1" t="str">
        <f t="shared" si="188"/>
        <v/>
      </c>
      <c r="S691" s="14" t="str" cm="1">
        <f t="array" ref="S691">IF($A691="","",SUMPRODUCT((TRIM(tblDados[Mandante])=$A691)*tblDados[Primeira_Ocorrencia]*tblDados[GM_M]))</f>
        <v/>
      </c>
      <c r="T691" s="14" t="str" cm="1">
        <f t="array" ref="T691">IF($A691="","",SUMPRODUCT((TRIM(tblDados[Visitante])=$A691)*tblDados[Primeira_Ocorrencia]*tblDados[GM_V]))</f>
        <v/>
      </c>
      <c r="U691" s="14" t="str">
        <f t="shared" si="189"/>
        <v/>
      </c>
      <c r="V691" s="14" t="str">
        <f t="shared" si="178"/>
        <v/>
      </c>
      <c r="W691" s="14" t="str" cm="1">
        <f t="array" ref="W691">IF($A691="","",SUMPRODUCT((TRIM(tblDados[Mandante])=$A691)*tblDados[Primeira_Ocorrencia]*tblDados[GS_M]))</f>
        <v/>
      </c>
      <c r="X691" s="14" t="str" cm="1">
        <f t="array" ref="X691">IF($A691="","",SUMPRODUCT((TRIM(tblDados[Visitante])=$A691)*tblDados[Primeira_Ocorrencia]*tblDados[GS_V]))</f>
        <v/>
      </c>
      <c r="Y691" s="14" t="str">
        <f t="shared" si="190"/>
        <v/>
      </c>
      <c r="Z691" s="14" t="str">
        <f t="shared" si="179"/>
        <v/>
      </c>
      <c r="AA691" s="14" t="str">
        <f t="shared" si="180"/>
        <v/>
      </c>
      <c r="AB691" s="14" t="str">
        <f t="shared" si="181"/>
        <v/>
      </c>
      <c r="AC691" s="14" t="str">
        <f t="shared" si="182"/>
        <v/>
      </c>
      <c r="AD691" s="14" t="str">
        <f t="shared" si="183"/>
        <v/>
      </c>
    </row>
    <row r="692" spans="2:30" x14ac:dyDescent="0.3">
      <c r="B692" s="13" t="str" cm="1">
        <f t="array" ref="B692">IF($A692="","",_xlfn.LET(_xlpm.p,IFERROR(INDEX(tblDados[País],MATCH($A692,TRIM(tblDados[Mandante]),0)),INDEX(tblDados[País],MATCH($A692,TRIM(tblDados[Visitante]),0))),_xlpm.l,IFERROR(INDEX(tblDados[Liga],MATCH($A692,TRIM(tblDados[Mandante]),0)),INDEX(tblDados[Liga],MATCH($A692,TRIM(tblDados[Visitante]),0))),_xlpm.p&amp;" - "&amp;_xlpm.l))</f>
        <v/>
      </c>
      <c r="C692" s="14" t="str">
        <f t="shared" si="184"/>
        <v/>
      </c>
      <c r="D692" s="14" t="str">
        <f t="shared" si="185"/>
        <v/>
      </c>
      <c r="E692" s="15" t="str" cm="1">
        <f t="array" ref="E692">IF($A692="","",SUMPRODUCT((TRIM(tblDados[Mandante])=$A692)*tblDados[Primeira_Ocorrencia]))</f>
        <v/>
      </c>
      <c r="F692" s="15" t="str" cm="1">
        <f t="array" ref="F692">IF($A692="","",SUMPRODUCT((TRIM(tblDados[Visitante])=$A692)*tblDados[Primeira_Ocorrencia]))</f>
        <v/>
      </c>
      <c r="G692" s="15" t="str" cm="1">
        <f t="array" ref="G692">IF($A692="","",SUMPRODUCT((TRIM(tblDados[Mandante])=$A692)*tblDados[Primeira_Ocorrencia])+SUMPRODUCT((TRIM(tblDados[Visitante])=$A692)*tblDados[Primeira_Ocorrencia]))</f>
        <v/>
      </c>
      <c r="H692" s="14" t="str">
        <f t="shared" si="186"/>
        <v/>
      </c>
      <c r="I692" s="14" t="str" cm="1">
        <f t="array" ref="I692">IF($A692="","",_xlfn.LET(_xlpm.p,IFERROR(INDEX(tblDados[País],MATCH($A692,TRIM(tblDados[Mandante]),0)),INDEX(tblDados[País],MATCH($A692,TRIM(tblDados[Visitante]),0))),_xlpm.l,IFERROR(INDEX(tblDados[Liga],MATCH($A692,TRIM(tblDados[Mandante]),0)),INDEX(tblDados[Liga],MATCH($A692,TRIM(tblDados[Visitante]),0))),IFERROR(SUMIFS(Ligas!$D$2:$D$39,Ligas!$H$2:$H$39,_xlpm.p,Ligas!$I$2:$I$39,_xlpm.l),0)))</f>
        <v/>
      </c>
      <c r="J692" s="16" t="str" cm="1">
        <f t="array" ref="J692">IF($A692="","",IFERROR((SUMPRODUCT((TRIM(tblDados[Mandante])=$A692)*tblDados[Primeira_Ocorrencia]*(tblDados[GM_M]=0))+SUMPRODUCT((TRIM(tblDados[Visitante])=$A692)*tblDados[Primeira_Ocorrencia]*(tblDados[GM_V]=0)))/G692,0))</f>
        <v/>
      </c>
      <c r="K692" s="16" t="str" cm="1">
        <f t="array" ref="K692">IF($A692="","",IFERROR((SUMPRODUCT((TRIM(tblDados[Mandante])=$A692)*tblDados[Primeira_Ocorrencia]*((tblDados[GM_M]+tblDados[GS_M])&gt;0.5))+SUMPRODUCT((TRIM(tblDados[Visitante])=$A692)*tblDados[Primeira_Ocorrencia]*((tblDados[GM_V]+tblDados[GS_V])&gt;0.5)))/G692,0))</f>
        <v/>
      </c>
      <c r="L692" s="16" t="str" cm="1">
        <f t="array" ref="L692">IF($A692="","",IFERROR((SUMPRODUCT((TRIM(tblDados[Mandante])=$A692)*tblDados[Primeira_Ocorrencia]*((tblDados[GM_M]+tblDados[GS_M])&gt;1.5))+SUMPRODUCT((TRIM(tblDados[Visitante])=$A692)*tblDados[Primeira_Ocorrencia]*((tblDados[GM_V]+tblDados[GS_V])&gt;1.5)))/G692,0))</f>
        <v/>
      </c>
      <c r="M692" s="16" t="str" cm="1">
        <f t="array" ref="M692">IF($A692="","",IFERROR((SUMPRODUCT((TRIM(tblDados[Mandante])=$A692)*tblDados[Primeira_Ocorrencia]*((tblDados[GM_M]+tblDados[GS_M])&gt;2.5))+SUMPRODUCT((TRIM(tblDados[Visitante])=$A692)*tblDados[Primeira_Ocorrencia]*((tblDados[GM_V]+tblDados[GS_V])&gt;2.5)))/G692,0))</f>
        <v/>
      </c>
      <c r="N692" s="16" t="str" cm="1">
        <f t="array" ref="N692">IF($A692="","",IFERROR((SUMPRODUCT((TRIM(tblDados[Mandante])=$A692)*tblDados[Primeira_Ocorrencia]*((tblDados[GM_M]+tblDados[GS_M])&gt;3.5))+SUMPRODUCT((TRIM(tblDados[Visitante])=$A692)*tblDados[Primeira_Ocorrencia]*((tblDados[GM_V]+tblDados[GS_V])&gt;3.5)))/G692,0))</f>
        <v/>
      </c>
      <c r="O692" s="16" t="str" cm="1">
        <f t="array" ref="O692">IF($A692="","",IFERROR((SUMPRODUCT((TRIM(tblDados[Mandante])=$A692)*tblDados[Primeira_Ocorrencia]*(tblDados[GM_M]&gt;0)*(tblDados[GS_M]&gt;0))+SUMPRODUCT((TRIM(tblDados[Visitante])=$A692)*tblDados[Primeira_Ocorrencia]*(tblDados[GM_V]&gt;0)*(tblDados[GS_V]&gt;0)))/G692,0))</f>
        <v/>
      </c>
      <c r="P692" s="14" t="str" cm="1">
        <f t="array" ref="P692">IF($A692="","",IFERROR((SUMPRODUCT((TRIM(tblDados[Mandante])=$A692)*tblDados[Primeira_Ocorrencia]*tblDados[GM_M]^2)+SUMPRODUCT((TRIM(tblDados[Visitante])=$A692)*tblDados[Primeira_Ocorrencia]*tblDados[GM_V]^2))/G692-H692^2,0))</f>
        <v/>
      </c>
      <c r="Q692" s="14" t="str">
        <f t="shared" si="187"/>
        <v/>
      </c>
      <c r="R692" s="1" t="str">
        <f t="shared" si="188"/>
        <v/>
      </c>
      <c r="S692" s="14" t="str" cm="1">
        <f t="array" ref="S692">IF($A692="","",SUMPRODUCT((TRIM(tblDados[Mandante])=$A692)*tblDados[Primeira_Ocorrencia]*tblDados[GM_M]))</f>
        <v/>
      </c>
      <c r="T692" s="14" t="str" cm="1">
        <f t="array" ref="T692">IF($A692="","",SUMPRODUCT((TRIM(tblDados[Visitante])=$A692)*tblDados[Primeira_Ocorrencia]*tblDados[GM_V]))</f>
        <v/>
      </c>
      <c r="U692" s="14" t="str">
        <f t="shared" si="189"/>
        <v/>
      </c>
      <c r="V692" s="14" t="str">
        <f t="shared" si="178"/>
        <v/>
      </c>
      <c r="W692" s="14" t="str" cm="1">
        <f t="array" ref="W692">IF($A692="","",SUMPRODUCT((TRIM(tblDados[Mandante])=$A692)*tblDados[Primeira_Ocorrencia]*tblDados[GS_M]))</f>
        <v/>
      </c>
      <c r="X692" s="14" t="str" cm="1">
        <f t="array" ref="X692">IF($A692="","",SUMPRODUCT((TRIM(tblDados[Visitante])=$A692)*tblDados[Primeira_Ocorrencia]*tblDados[GS_V]))</f>
        <v/>
      </c>
      <c r="Y692" s="14" t="str">
        <f t="shared" si="190"/>
        <v/>
      </c>
      <c r="Z692" s="14" t="str">
        <f t="shared" si="179"/>
        <v/>
      </c>
      <c r="AA692" s="14" t="str">
        <f t="shared" si="180"/>
        <v/>
      </c>
      <c r="AB692" s="14" t="str">
        <f t="shared" si="181"/>
        <v/>
      </c>
      <c r="AC692" s="14" t="str">
        <f t="shared" si="182"/>
        <v/>
      </c>
      <c r="AD692" s="14" t="str">
        <f t="shared" si="183"/>
        <v/>
      </c>
    </row>
    <row r="693" spans="2:30" x14ac:dyDescent="0.3">
      <c r="B693" s="13" t="str" cm="1">
        <f t="array" ref="B693">IF($A693="","",_xlfn.LET(_xlpm.p,IFERROR(INDEX(tblDados[País],MATCH($A693,TRIM(tblDados[Mandante]),0)),INDEX(tblDados[País],MATCH($A693,TRIM(tblDados[Visitante]),0))),_xlpm.l,IFERROR(INDEX(tblDados[Liga],MATCH($A693,TRIM(tblDados[Mandante]),0)),INDEX(tblDados[Liga],MATCH($A693,TRIM(tblDados[Visitante]),0))),_xlpm.p&amp;" - "&amp;_xlpm.l))</f>
        <v/>
      </c>
      <c r="C693" s="14" t="str">
        <f t="shared" si="184"/>
        <v/>
      </c>
      <c r="D693" s="14" t="str">
        <f t="shared" si="185"/>
        <v/>
      </c>
      <c r="E693" s="15" t="str" cm="1">
        <f t="array" ref="E693">IF($A693="","",SUMPRODUCT((TRIM(tblDados[Mandante])=$A693)*tblDados[Primeira_Ocorrencia]))</f>
        <v/>
      </c>
      <c r="F693" s="15" t="str" cm="1">
        <f t="array" ref="F693">IF($A693="","",SUMPRODUCT((TRIM(tblDados[Visitante])=$A693)*tblDados[Primeira_Ocorrencia]))</f>
        <v/>
      </c>
      <c r="G693" s="15" t="str" cm="1">
        <f t="array" ref="G693">IF($A693="","",SUMPRODUCT((TRIM(tblDados[Mandante])=$A693)*tblDados[Primeira_Ocorrencia])+SUMPRODUCT((TRIM(tblDados[Visitante])=$A693)*tblDados[Primeira_Ocorrencia]))</f>
        <v/>
      </c>
      <c r="H693" s="14" t="str">
        <f t="shared" si="186"/>
        <v/>
      </c>
      <c r="I693" s="14" t="str" cm="1">
        <f t="array" ref="I693">IF($A693="","",_xlfn.LET(_xlpm.p,IFERROR(INDEX(tblDados[País],MATCH($A693,TRIM(tblDados[Mandante]),0)),INDEX(tblDados[País],MATCH($A693,TRIM(tblDados[Visitante]),0))),_xlpm.l,IFERROR(INDEX(tblDados[Liga],MATCH($A693,TRIM(tblDados[Mandante]),0)),INDEX(tblDados[Liga],MATCH($A693,TRIM(tblDados[Visitante]),0))),IFERROR(SUMIFS(Ligas!$D$2:$D$39,Ligas!$H$2:$H$39,_xlpm.p,Ligas!$I$2:$I$39,_xlpm.l),0)))</f>
        <v/>
      </c>
      <c r="J693" s="16" t="str" cm="1">
        <f t="array" ref="J693">IF($A693="","",IFERROR((SUMPRODUCT((TRIM(tblDados[Mandante])=$A693)*tblDados[Primeira_Ocorrencia]*(tblDados[GM_M]=0))+SUMPRODUCT((TRIM(tblDados[Visitante])=$A693)*tblDados[Primeira_Ocorrencia]*(tblDados[GM_V]=0)))/G693,0))</f>
        <v/>
      </c>
      <c r="K693" s="16" t="str" cm="1">
        <f t="array" ref="K693">IF($A693="","",IFERROR((SUMPRODUCT((TRIM(tblDados[Mandante])=$A693)*tblDados[Primeira_Ocorrencia]*((tblDados[GM_M]+tblDados[GS_M])&gt;0.5))+SUMPRODUCT((TRIM(tblDados[Visitante])=$A693)*tblDados[Primeira_Ocorrencia]*((tblDados[GM_V]+tblDados[GS_V])&gt;0.5)))/G693,0))</f>
        <v/>
      </c>
      <c r="L693" s="16" t="str" cm="1">
        <f t="array" ref="L693">IF($A693="","",IFERROR((SUMPRODUCT((TRIM(tblDados[Mandante])=$A693)*tblDados[Primeira_Ocorrencia]*((tblDados[GM_M]+tblDados[GS_M])&gt;1.5))+SUMPRODUCT((TRIM(tblDados[Visitante])=$A693)*tblDados[Primeira_Ocorrencia]*((tblDados[GM_V]+tblDados[GS_V])&gt;1.5)))/G693,0))</f>
        <v/>
      </c>
      <c r="M693" s="16" t="str" cm="1">
        <f t="array" ref="M693">IF($A693="","",IFERROR((SUMPRODUCT((TRIM(tblDados[Mandante])=$A693)*tblDados[Primeira_Ocorrencia]*((tblDados[GM_M]+tblDados[GS_M])&gt;2.5))+SUMPRODUCT((TRIM(tblDados[Visitante])=$A693)*tblDados[Primeira_Ocorrencia]*((tblDados[GM_V]+tblDados[GS_V])&gt;2.5)))/G693,0))</f>
        <v/>
      </c>
      <c r="N693" s="16" t="str" cm="1">
        <f t="array" ref="N693">IF($A693="","",IFERROR((SUMPRODUCT((TRIM(tblDados[Mandante])=$A693)*tblDados[Primeira_Ocorrencia]*((tblDados[GM_M]+tblDados[GS_M])&gt;3.5))+SUMPRODUCT((TRIM(tblDados[Visitante])=$A693)*tblDados[Primeira_Ocorrencia]*((tblDados[GM_V]+tblDados[GS_V])&gt;3.5)))/G693,0))</f>
        <v/>
      </c>
      <c r="O693" s="16" t="str" cm="1">
        <f t="array" ref="O693">IF($A693="","",IFERROR((SUMPRODUCT((TRIM(tblDados[Mandante])=$A693)*tblDados[Primeira_Ocorrencia]*(tblDados[GM_M]&gt;0)*(tblDados[GS_M]&gt;0))+SUMPRODUCT((TRIM(tblDados[Visitante])=$A693)*tblDados[Primeira_Ocorrencia]*(tblDados[GM_V]&gt;0)*(tblDados[GS_V]&gt;0)))/G693,0))</f>
        <v/>
      </c>
      <c r="P693" s="14" t="str" cm="1">
        <f t="array" ref="P693">IF($A693="","",IFERROR((SUMPRODUCT((TRIM(tblDados[Mandante])=$A693)*tblDados[Primeira_Ocorrencia]*tblDados[GM_M]^2)+SUMPRODUCT((TRIM(tblDados[Visitante])=$A693)*tblDados[Primeira_Ocorrencia]*tblDados[GM_V]^2))/G693-H693^2,0))</f>
        <v/>
      </c>
      <c r="Q693" s="14" t="str">
        <f t="shared" si="187"/>
        <v/>
      </c>
      <c r="R693" s="1" t="str">
        <f t="shared" si="188"/>
        <v/>
      </c>
      <c r="S693" s="14" t="str" cm="1">
        <f t="array" ref="S693">IF($A693="","",SUMPRODUCT((TRIM(tblDados[Mandante])=$A693)*tblDados[Primeira_Ocorrencia]*tblDados[GM_M]))</f>
        <v/>
      </c>
      <c r="T693" s="14" t="str" cm="1">
        <f t="array" ref="T693">IF($A693="","",SUMPRODUCT((TRIM(tblDados[Visitante])=$A693)*tblDados[Primeira_Ocorrencia]*tblDados[GM_V]))</f>
        <v/>
      </c>
      <c r="U693" s="14" t="str">
        <f t="shared" si="189"/>
        <v/>
      </c>
      <c r="V693" s="14" t="str">
        <f t="shared" si="178"/>
        <v/>
      </c>
      <c r="W693" s="14" t="str" cm="1">
        <f t="array" ref="W693">IF($A693="","",SUMPRODUCT((TRIM(tblDados[Mandante])=$A693)*tblDados[Primeira_Ocorrencia]*tblDados[GS_M]))</f>
        <v/>
      </c>
      <c r="X693" s="14" t="str" cm="1">
        <f t="array" ref="X693">IF($A693="","",SUMPRODUCT((TRIM(tblDados[Visitante])=$A693)*tblDados[Primeira_Ocorrencia]*tblDados[GS_V]))</f>
        <v/>
      </c>
      <c r="Y693" s="14" t="str">
        <f t="shared" si="190"/>
        <v/>
      </c>
      <c r="Z693" s="14" t="str">
        <f t="shared" si="179"/>
        <v/>
      </c>
      <c r="AA693" s="14" t="str">
        <f t="shared" si="180"/>
        <v/>
      </c>
      <c r="AB693" s="14" t="str">
        <f t="shared" si="181"/>
        <v/>
      </c>
      <c r="AC693" s="14" t="str">
        <f t="shared" si="182"/>
        <v/>
      </c>
      <c r="AD693" s="14" t="str">
        <f t="shared" si="183"/>
        <v/>
      </c>
    </row>
    <row r="694" spans="2:30" x14ac:dyDescent="0.3">
      <c r="B694" s="13" t="str" cm="1">
        <f t="array" ref="B694">IF($A694="","",_xlfn.LET(_xlpm.p,IFERROR(INDEX(tblDados[País],MATCH($A694,TRIM(tblDados[Mandante]),0)),INDEX(tblDados[País],MATCH($A694,TRIM(tblDados[Visitante]),0))),_xlpm.l,IFERROR(INDEX(tblDados[Liga],MATCH($A694,TRIM(tblDados[Mandante]),0)),INDEX(tblDados[Liga],MATCH($A694,TRIM(tblDados[Visitante]),0))),_xlpm.p&amp;" - "&amp;_xlpm.l))</f>
        <v/>
      </c>
      <c r="C694" s="14" t="str">
        <f t="shared" si="184"/>
        <v/>
      </c>
      <c r="D694" s="14" t="str">
        <f t="shared" si="185"/>
        <v/>
      </c>
      <c r="E694" s="15" t="str" cm="1">
        <f t="array" ref="E694">IF($A694="","",SUMPRODUCT((TRIM(tblDados[Mandante])=$A694)*tblDados[Primeira_Ocorrencia]))</f>
        <v/>
      </c>
      <c r="F694" s="15" t="str" cm="1">
        <f t="array" ref="F694">IF($A694="","",SUMPRODUCT((TRIM(tblDados[Visitante])=$A694)*tblDados[Primeira_Ocorrencia]))</f>
        <v/>
      </c>
      <c r="G694" s="15" t="str" cm="1">
        <f t="array" ref="G694">IF($A694="","",SUMPRODUCT((TRIM(tblDados[Mandante])=$A694)*tblDados[Primeira_Ocorrencia])+SUMPRODUCT((TRIM(tblDados[Visitante])=$A694)*tblDados[Primeira_Ocorrencia]))</f>
        <v/>
      </c>
      <c r="H694" s="14" t="str">
        <f t="shared" si="186"/>
        <v/>
      </c>
      <c r="I694" s="14" t="str" cm="1">
        <f t="array" ref="I694">IF($A694="","",_xlfn.LET(_xlpm.p,IFERROR(INDEX(tblDados[País],MATCH($A694,TRIM(tblDados[Mandante]),0)),INDEX(tblDados[País],MATCH($A694,TRIM(tblDados[Visitante]),0))),_xlpm.l,IFERROR(INDEX(tblDados[Liga],MATCH($A694,TRIM(tblDados[Mandante]),0)),INDEX(tblDados[Liga],MATCH($A694,TRIM(tblDados[Visitante]),0))),IFERROR(SUMIFS(Ligas!$D$2:$D$39,Ligas!$H$2:$H$39,_xlpm.p,Ligas!$I$2:$I$39,_xlpm.l),0)))</f>
        <v/>
      </c>
      <c r="J694" s="16" t="str" cm="1">
        <f t="array" ref="J694">IF($A694="","",IFERROR((SUMPRODUCT((TRIM(tblDados[Mandante])=$A694)*tblDados[Primeira_Ocorrencia]*(tblDados[GM_M]=0))+SUMPRODUCT((TRIM(tblDados[Visitante])=$A694)*tblDados[Primeira_Ocorrencia]*(tblDados[GM_V]=0)))/G694,0))</f>
        <v/>
      </c>
      <c r="K694" s="16" t="str" cm="1">
        <f t="array" ref="K694">IF($A694="","",IFERROR((SUMPRODUCT((TRIM(tblDados[Mandante])=$A694)*tblDados[Primeira_Ocorrencia]*((tblDados[GM_M]+tblDados[GS_M])&gt;0.5))+SUMPRODUCT((TRIM(tblDados[Visitante])=$A694)*tblDados[Primeira_Ocorrencia]*((tblDados[GM_V]+tblDados[GS_V])&gt;0.5)))/G694,0))</f>
        <v/>
      </c>
      <c r="L694" s="16" t="str" cm="1">
        <f t="array" ref="L694">IF($A694="","",IFERROR((SUMPRODUCT((TRIM(tblDados[Mandante])=$A694)*tblDados[Primeira_Ocorrencia]*((tblDados[GM_M]+tblDados[GS_M])&gt;1.5))+SUMPRODUCT((TRIM(tblDados[Visitante])=$A694)*tblDados[Primeira_Ocorrencia]*((tblDados[GM_V]+tblDados[GS_V])&gt;1.5)))/G694,0))</f>
        <v/>
      </c>
      <c r="M694" s="16" t="str" cm="1">
        <f t="array" ref="M694">IF($A694="","",IFERROR((SUMPRODUCT((TRIM(tblDados[Mandante])=$A694)*tblDados[Primeira_Ocorrencia]*((tblDados[GM_M]+tblDados[GS_M])&gt;2.5))+SUMPRODUCT((TRIM(tblDados[Visitante])=$A694)*tblDados[Primeira_Ocorrencia]*((tblDados[GM_V]+tblDados[GS_V])&gt;2.5)))/G694,0))</f>
        <v/>
      </c>
      <c r="N694" s="16" t="str" cm="1">
        <f t="array" ref="N694">IF($A694="","",IFERROR((SUMPRODUCT((TRIM(tblDados[Mandante])=$A694)*tblDados[Primeira_Ocorrencia]*((tblDados[GM_M]+tblDados[GS_M])&gt;3.5))+SUMPRODUCT((TRIM(tblDados[Visitante])=$A694)*tblDados[Primeira_Ocorrencia]*((tblDados[GM_V]+tblDados[GS_V])&gt;3.5)))/G694,0))</f>
        <v/>
      </c>
      <c r="O694" s="16" t="str" cm="1">
        <f t="array" ref="O694">IF($A694="","",IFERROR((SUMPRODUCT((TRIM(tblDados[Mandante])=$A694)*tblDados[Primeira_Ocorrencia]*(tblDados[GM_M]&gt;0)*(tblDados[GS_M]&gt;0))+SUMPRODUCT((TRIM(tblDados[Visitante])=$A694)*tblDados[Primeira_Ocorrencia]*(tblDados[GM_V]&gt;0)*(tblDados[GS_V]&gt;0)))/G694,0))</f>
        <v/>
      </c>
      <c r="P694" s="14" t="str" cm="1">
        <f t="array" ref="P694">IF($A694="","",IFERROR((SUMPRODUCT((TRIM(tblDados[Mandante])=$A694)*tblDados[Primeira_Ocorrencia]*tblDados[GM_M]^2)+SUMPRODUCT((TRIM(tblDados[Visitante])=$A694)*tblDados[Primeira_Ocorrencia]*tblDados[GM_V]^2))/G694-H694^2,0))</f>
        <v/>
      </c>
      <c r="Q694" s="14" t="str">
        <f t="shared" si="187"/>
        <v/>
      </c>
      <c r="R694" s="1" t="str">
        <f t="shared" si="188"/>
        <v/>
      </c>
      <c r="S694" s="14" t="str" cm="1">
        <f t="array" ref="S694">IF($A694="","",SUMPRODUCT((TRIM(tblDados[Mandante])=$A694)*tblDados[Primeira_Ocorrencia]*tblDados[GM_M]))</f>
        <v/>
      </c>
      <c r="T694" s="14" t="str" cm="1">
        <f t="array" ref="T694">IF($A694="","",SUMPRODUCT((TRIM(tblDados[Visitante])=$A694)*tblDados[Primeira_Ocorrencia]*tblDados[GM_V]))</f>
        <v/>
      </c>
      <c r="U694" s="14" t="str">
        <f t="shared" si="189"/>
        <v/>
      </c>
      <c r="V694" s="14" t="str">
        <f t="shared" si="178"/>
        <v/>
      </c>
      <c r="W694" s="14" t="str" cm="1">
        <f t="array" ref="W694">IF($A694="","",SUMPRODUCT((TRIM(tblDados[Mandante])=$A694)*tblDados[Primeira_Ocorrencia]*tblDados[GS_M]))</f>
        <v/>
      </c>
      <c r="X694" s="14" t="str" cm="1">
        <f t="array" ref="X694">IF($A694="","",SUMPRODUCT((TRIM(tblDados[Visitante])=$A694)*tblDados[Primeira_Ocorrencia]*tblDados[GS_V]))</f>
        <v/>
      </c>
      <c r="Y694" s="14" t="str">
        <f t="shared" si="190"/>
        <v/>
      </c>
      <c r="Z694" s="14" t="str">
        <f t="shared" si="179"/>
        <v/>
      </c>
      <c r="AA694" s="14" t="str">
        <f t="shared" si="180"/>
        <v/>
      </c>
      <c r="AB694" s="14" t="str">
        <f t="shared" si="181"/>
        <v/>
      </c>
      <c r="AC694" s="14" t="str">
        <f t="shared" si="182"/>
        <v/>
      </c>
      <c r="AD694" s="14" t="str">
        <f t="shared" si="183"/>
        <v/>
      </c>
    </row>
    <row r="695" spans="2:30" x14ac:dyDescent="0.3">
      <c r="B695" s="13" t="str" cm="1">
        <f t="array" ref="B695">IF($A695="","",_xlfn.LET(_xlpm.p,IFERROR(INDEX(tblDados[País],MATCH($A695,TRIM(tblDados[Mandante]),0)),INDEX(tblDados[País],MATCH($A695,TRIM(tblDados[Visitante]),0))),_xlpm.l,IFERROR(INDEX(tblDados[Liga],MATCH($A695,TRIM(tblDados[Mandante]),0)),INDEX(tblDados[Liga],MATCH($A695,TRIM(tblDados[Visitante]),0))),_xlpm.p&amp;" - "&amp;_xlpm.l))</f>
        <v/>
      </c>
      <c r="C695" s="14" t="str">
        <f t="shared" si="184"/>
        <v/>
      </c>
      <c r="D695" s="14" t="str">
        <f t="shared" si="185"/>
        <v/>
      </c>
      <c r="E695" s="15" t="str" cm="1">
        <f t="array" ref="E695">IF($A695="","",SUMPRODUCT((TRIM(tblDados[Mandante])=$A695)*tblDados[Primeira_Ocorrencia]))</f>
        <v/>
      </c>
      <c r="F695" s="15" t="str" cm="1">
        <f t="array" ref="F695">IF($A695="","",SUMPRODUCT((TRIM(tblDados[Visitante])=$A695)*tblDados[Primeira_Ocorrencia]))</f>
        <v/>
      </c>
      <c r="G695" s="15" t="str" cm="1">
        <f t="array" ref="G695">IF($A695="","",SUMPRODUCT((TRIM(tblDados[Mandante])=$A695)*tblDados[Primeira_Ocorrencia])+SUMPRODUCT((TRIM(tblDados[Visitante])=$A695)*tblDados[Primeira_Ocorrencia]))</f>
        <v/>
      </c>
      <c r="H695" s="14" t="str">
        <f t="shared" si="186"/>
        <v/>
      </c>
      <c r="I695" s="14" t="str" cm="1">
        <f t="array" ref="I695">IF($A695="","",_xlfn.LET(_xlpm.p,IFERROR(INDEX(tblDados[País],MATCH($A695,TRIM(tblDados[Mandante]),0)),INDEX(tblDados[País],MATCH($A695,TRIM(tblDados[Visitante]),0))),_xlpm.l,IFERROR(INDEX(tblDados[Liga],MATCH($A695,TRIM(tblDados[Mandante]),0)),INDEX(tblDados[Liga],MATCH($A695,TRIM(tblDados[Visitante]),0))),IFERROR(SUMIFS(Ligas!$D$2:$D$39,Ligas!$H$2:$H$39,_xlpm.p,Ligas!$I$2:$I$39,_xlpm.l),0)))</f>
        <v/>
      </c>
      <c r="J695" s="16" t="str" cm="1">
        <f t="array" ref="J695">IF($A695="","",IFERROR((SUMPRODUCT((TRIM(tblDados[Mandante])=$A695)*tblDados[Primeira_Ocorrencia]*(tblDados[GM_M]=0))+SUMPRODUCT((TRIM(tblDados[Visitante])=$A695)*tblDados[Primeira_Ocorrencia]*(tblDados[GM_V]=0)))/G695,0))</f>
        <v/>
      </c>
      <c r="K695" s="16" t="str" cm="1">
        <f t="array" ref="K695">IF($A695="","",IFERROR((SUMPRODUCT((TRIM(tblDados[Mandante])=$A695)*tblDados[Primeira_Ocorrencia]*((tblDados[GM_M]+tblDados[GS_M])&gt;0.5))+SUMPRODUCT((TRIM(tblDados[Visitante])=$A695)*tblDados[Primeira_Ocorrencia]*((tblDados[GM_V]+tblDados[GS_V])&gt;0.5)))/G695,0))</f>
        <v/>
      </c>
      <c r="L695" s="16" t="str" cm="1">
        <f t="array" ref="L695">IF($A695="","",IFERROR((SUMPRODUCT((TRIM(tblDados[Mandante])=$A695)*tblDados[Primeira_Ocorrencia]*((tblDados[GM_M]+tblDados[GS_M])&gt;1.5))+SUMPRODUCT((TRIM(tblDados[Visitante])=$A695)*tblDados[Primeira_Ocorrencia]*((tblDados[GM_V]+tblDados[GS_V])&gt;1.5)))/G695,0))</f>
        <v/>
      </c>
      <c r="M695" s="16" t="str" cm="1">
        <f t="array" ref="M695">IF($A695="","",IFERROR((SUMPRODUCT((TRIM(tblDados[Mandante])=$A695)*tblDados[Primeira_Ocorrencia]*((tblDados[GM_M]+tblDados[GS_M])&gt;2.5))+SUMPRODUCT((TRIM(tblDados[Visitante])=$A695)*tblDados[Primeira_Ocorrencia]*((tblDados[GM_V]+tblDados[GS_V])&gt;2.5)))/G695,0))</f>
        <v/>
      </c>
      <c r="N695" s="16" t="str" cm="1">
        <f t="array" ref="N695">IF($A695="","",IFERROR((SUMPRODUCT((TRIM(tblDados[Mandante])=$A695)*tblDados[Primeira_Ocorrencia]*((tblDados[GM_M]+tblDados[GS_M])&gt;3.5))+SUMPRODUCT((TRIM(tblDados[Visitante])=$A695)*tblDados[Primeira_Ocorrencia]*((tblDados[GM_V]+tblDados[GS_V])&gt;3.5)))/G695,0))</f>
        <v/>
      </c>
      <c r="O695" s="16" t="str" cm="1">
        <f t="array" ref="O695">IF($A695="","",IFERROR((SUMPRODUCT((TRIM(tblDados[Mandante])=$A695)*tblDados[Primeira_Ocorrencia]*(tblDados[GM_M]&gt;0)*(tblDados[GS_M]&gt;0))+SUMPRODUCT((TRIM(tblDados[Visitante])=$A695)*tblDados[Primeira_Ocorrencia]*(tblDados[GM_V]&gt;0)*(tblDados[GS_V]&gt;0)))/G695,0))</f>
        <v/>
      </c>
      <c r="P695" s="14" t="str" cm="1">
        <f t="array" ref="P695">IF($A695="","",IFERROR((SUMPRODUCT((TRIM(tblDados[Mandante])=$A695)*tblDados[Primeira_Ocorrencia]*tblDados[GM_M]^2)+SUMPRODUCT((TRIM(tblDados[Visitante])=$A695)*tblDados[Primeira_Ocorrencia]*tblDados[GM_V]^2))/G695-H695^2,0))</f>
        <v/>
      </c>
      <c r="Q695" s="14" t="str">
        <f t="shared" si="187"/>
        <v/>
      </c>
      <c r="R695" s="1" t="str">
        <f t="shared" si="188"/>
        <v/>
      </c>
      <c r="S695" s="14" t="str" cm="1">
        <f t="array" ref="S695">IF($A695="","",SUMPRODUCT((TRIM(tblDados[Mandante])=$A695)*tblDados[Primeira_Ocorrencia]*tblDados[GM_M]))</f>
        <v/>
      </c>
      <c r="T695" s="14" t="str" cm="1">
        <f t="array" ref="T695">IF($A695="","",SUMPRODUCT((TRIM(tblDados[Visitante])=$A695)*tblDados[Primeira_Ocorrencia]*tblDados[GM_V]))</f>
        <v/>
      </c>
      <c r="U695" s="14" t="str">
        <f t="shared" si="189"/>
        <v/>
      </c>
      <c r="V695" s="14" t="str">
        <f t="shared" si="178"/>
        <v/>
      </c>
      <c r="W695" s="14" t="str" cm="1">
        <f t="array" ref="W695">IF($A695="","",SUMPRODUCT((TRIM(tblDados[Mandante])=$A695)*tblDados[Primeira_Ocorrencia]*tblDados[GS_M]))</f>
        <v/>
      </c>
      <c r="X695" s="14" t="str" cm="1">
        <f t="array" ref="X695">IF($A695="","",SUMPRODUCT((TRIM(tblDados[Visitante])=$A695)*tblDados[Primeira_Ocorrencia]*tblDados[GS_V]))</f>
        <v/>
      </c>
      <c r="Y695" s="14" t="str">
        <f t="shared" si="190"/>
        <v/>
      </c>
      <c r="Z695" s="14" t="str">
        <f t="shared" si="179"/>
        <v/>
      </c>
      <c r="AA695" s="14" t="str">
        <f t="shared" si="180"/>
        <v/>
      </c>
      <c r="AB695" s="14" t="str">
        <f t="shared" si="181"/>
        <v/>
      </c>
      <c r="AC695" s="14" t="str">
        <f t="shared" si="182"/>
        <v/>
      </c>
      <c r="AD695" s="14" t="str">
        <f t="shared" si="183"/>
        <v/>
      </c>
    </row>
    <row r="696" spans="2:30" x14ac:dyDescent="0.3">
      <c r="B696" s="13" t="str" cm="1">
        <f t="array" ref="B696">IF($A696="","",_xlfn.LET(_xlpm.p,IFERROR(INDEX(tblDados[País],MATCH($A696,TRIM(tblDados[Mandante]),0)),INDEX(tblDados[País],MATCH($A696,TRIM(tblDados[Visitante]),0))),_xlpm.l,IFERROR(INDEX(tblDados[Liga],MATCH($A696,TRIM(tblDados[Mandante]),0)),INDEX(tblDados[Liga],MATCH($A696,TRIM(tblDados[Visitante]),0))),_xlpm.p&amp;" - "&amp;_xlpm.l))</f>
        <v/>
      </c>
      <c r="C696" s="14" t="str">
        <f t="shared" si="184"/>
        <v/>
      </c>
      <c r="D696" s="14" t="str">
        <f t="shared" si="185"/>
        <v/>
      </c>
      <c r="E696" s="15" t="str" cm="1">
        <f t="array" ref="E696">IF($A696="","",SUMPRODUCT((TRIM(tblDados[Mandante])=$A696)*tblDados[Primeira_Ocorrencia]))</f>
        <v/>
      </c>
      <c r="F696" s="15" t="str" cm="1">
        <f t="array" ref="F696">IF($A696="","",SUMPRODUCT((TRIM(tblDados[Visitante])=$A696)*tblDados[Primeira_Ocorrencia]))</f>
        <v/>
      </c>
      <c r="G696" s="15" t="str" cm="1">
        <f t="array" ref="G696">IF($A696="","",SUMPRODUCT((TRIM(tblDados[Mandante])=$A696)*tblDados[Primeira_Ocorrencia])+SUMPRODUCT((TRIM(tblDados[Visitante])=$A696)*tblDados[Primeira_Ocorrencia]))</f>
        <v/>
      </c>
      <c r="H696" s="14" t="str">
        <f t="shared" si="186"/>
        <v/>
      </c>
      <c r="I696" s="14" t="str" cm="1">
        <f t="array" ref="I696">IF($A696="","",_xlfn.LET(_xlpm.p,IFERROR(INDEX(tblDados[País],MATCH($A696,TRIM(tblDados[Mandante]),0)),INDEX(tblDados[País],MATCH($A696,TRIM(tblDados[Visitante]),0))),_xlpm.l,IFERROR(INDEX(tblDados[Liga],MATCH($A696,TRIM(tblDados[Mandante]),0)),INDEX(tblDados[Liga],MATCH($A696,TRIM(tblDados[Visitante]),0))),IFERROR(SUMIFS(Ligas!$D$2:$D$39,Ligas!$H$2:$H$39,_xlpm.p,Ligas!$I$2:$I$39,_xlpm.l),0)))</f>
        <v/>
      </c>
      <c r="J696" s="16" t="str" cm="1">
        <f t="array" ref="J696">IF($A696="","",IFERROR((SUMPRODUCT((TRIM(tblDados[Mandante])=$A696)*tblDados[Primeira_Ocorrencia]*(tblDados[GM_M]=0))+SUMPRODUCT((TRIM(tblDados[Visitante])=$A696)*tblDados[Primeira_Ocorrencia]*(tblDados[GM_V]=0)))/G696,0))</f>
        <v/>
      </c>
      <c r="K696" s="16" t="str" cm="1">
        <f t="array" ref="K696">IF($A696="","",IFERROR((SUMPRODUCT((TRIM(tblDados[Mandante])=$A696)*tblDados[Primeira_Ocorrencia]*((tblDados[GM_M]+tblDados[GS_M])&gt;0.5))+SUMPRODUCT((TRIM(tblDados[Visitante])=$A696)*tblDados[Primeira_Ocorrencia]*((tblDados[GM_V]+tblDados[GS_V])&gt;0.5)))/G696,0))</f>
        <v/>
      </c>
      <c r="L696" s="16" t="str" cm="1">
        <f t="array" ref="L696">IF($A696="","",IFERROR((SUMPRODUCT((TRIM(tblDados[Mandante])=$A696)*tblDados[Primeira_Ocorrencia]*((tblDados[GM_M]+tblDados[GS_M])&gt;1.5))+SUMPRODUCT((TRIM(tblDados[Visitante])=$A696)*tblDados[Primeira_Ocorrencia]*((tblDados[GM_V]+tblDados[GS_V])&gt;1.5)))/G696,0))</f>
        <v/>
      </c>
      <c r="M696" s="16" t="str" cm="1">
        <f t="array" ref="M696">IF($A696="","",IFERROR((SUMPRODUCT((TRIM(tblDados[Mandante])=$A696)*tblDados[Primeira_Ocorrencia]*((tblDados[GM_M]+tblDados[GS_M])&gt;2.5))+SUMPRODUCT((TRIM(tblDados[Visitante])=$A696)*tblDados[Primeira_Ocorrencia]*((tblDados[GM_V]+tblDados[GS_V])&gt;2.5)))/G696,0))</f>
        <v/>
      </c>
      <c r="N696" s="16" t="str" cm="1">
        <f t="array" ref="N696">IF($A696="","",IFERROR((SUMPRODUCT((TRIM(tblDados[Mandante])=$A696)*tblDados[Primeira_Ocorrencia]*((tblDados[GM_M]+tblDados[GS_M])&gt;3.5))+SUMPRODUCT((TRIM(tblDados[Visitante])=$A696)*tblDados[Primeira_Ocorrencia]*((tblDados[GM_V]+tblDados[GS_V])&gt;3.5)))/G696,0))</f>
        <v/>
      </c>
      <c r="O696" s="16" t="str" cm="1">
        <f t="array" ref="O696">IF($A696="","",IFERROR((SUMPRODUCT((TRIM(tblDados[Mandante])=$A696)*tblDados[Primeira_Ocorrencia]*(tblDados[GM_M]&gt;0)*(tblDados[GS_M]&gt;0))+SUMPRODUCT((TRIM(tblDados[Visitante])=$A696)*tblDados[Primeira_Ocorrencia]*(tblDados[GM_V]&gt;0)*(tblDados[GS_V]&gt;0)))/G696,0))</f>
        <v/>
      </c>
      <c r="P696" s="14" t="str" cm="1">
        <f t="array" ref="P696">IF($A696="","",IFERROR((SUMPRODUCT((TRIM(tblDados[Mandante])=$A696)*tblDados[Primeira_Ocorrencia]*tblDados[GM_M]^2)+SUMPRODUCT((TRIM(tblDados[Visitante])=$A696)*tblDados[Primeira_Ocorrencia]*tblDados[GM_V]^2))/G696-H696^2,0))</f>
        <v/>
      </c>
      <c r="Q696" s="14" t="str">
        <f t="shared" si="187"/>
        <v/>
      </c>
      <c r="R696" s="1" t="str">
        <f t="shared" si="188"/>
        <v/>
      </c>
      <c r="S696" s="14" t="str" cm="1">
        <f t="array" ref="S696">IF($A696="","",SUMPRODUCT((TRIM(tblDados[Mandante])=$A696)*tblDados[Primeira_Ocorrencia]*tblDados[GM_M]))</f>
        <v/>
      </c>
      <c r="T696" s="14" t="str" cm="1">
        <f t="array" ref="T696">IF($A696="","",SUMPRODUCT((TRIM(tblDados[Visitante])=$A696)*tblDados[Primeira_Ocorrencia]*tblDados[GM_V]))</f>
        <v/>
      </c>
      <c r="U696" s="14" t="str">
        <f t="shared" si="189"/>
        <v/>
      </c>
      <c r="V696" s="14" t="str">
        <f t="shared" si="178"/>
        <v/>
      </c>
      <c r="W696" s="14" t="str" cm="1">
        <f t="array" ref="W696">IF($A696="","",SUMPRODUCT((TRIM(tblDados[Mandante])=$A696)*tblDados[Primeira_Ocorrencia]*tblDados[GS_M]))</f>
        <v/>
      </c>
      <c r="X696" s="14" t="str" cm="1">
        <f t="array" ref="X696">IF($A696="","",SUMPRODUCT((TRIM(tblDados[Visitante])=$A696)*tblDados[Primeira_Ocorrencia]*tblDados[GS_V]))</f>
        <v/>
      </c>
      <c r="Y696" s="14" t="str">
        <f t="shared" si="190"/>
        <v/>
      </c>
      <c r="Z696" s="14" t="str">
        <f t="shared" si="179"/>
        <v/>
      </c>
      <c r="AA696" s="14" t="str">
        <f t="shared" si="180"/>
        <v/>
      </c>
      <c r="AB696" s="14" t="str">
        <f t="shared" si="181"/>
        <v/>
      </c>
      <c r="AC696" s="14" t="str">
        <f t="shared" si="182"/>
        <v/>
      </c>
      <c r="AD696" s="14" t="str">
        <f t="shared" si="183"/>
        <v/>
      </c>
    </row>
    <row r="697" spans="2:30" x14ac:dyDescent="0.3">
      <c r="B697" s="13" t="str" cm="1">
        <f t="array" ref="B697">IF($A697="","",_xlfn.LET(_xlpm.p,IFERROR(INDEX(tblDados[País],MATCH($A697,TRIM(tblDados[Mandante]),0)),INDEX(tblDados[País],MATCH($A697,TRIM(tblDados[Visitante]),0))),_xlpm.l,IFERROR(INDEX(tblDados[Liga],MATCH($A697,TRIM(tblDados[Mandante]),0)),INDEX(tblDados[Liga],MATCH($A697,TRIM(tblDados[Visitante]),0))),_xlpm.p&amp;" - "&amp;_xlpm.l))</f>
        <v/>
      </c>
      <c r="C697" s="14" t="str">
        <f t="shared" si="184"/>
        <v/>
      </c>
      <c r="D697" s="14" t="str">
        <f t="shared" si="185"/>
        <v/>
      </c>
      <c r="E697" s="15" t="str" cm="1">
        <f t="array" ref="E697">IF($A697="","",SUMPRODUCT((TRIM(tblDados[Mandante])=$A697)*tblDados[Primeira_Ocorrencia]))</f>
        <v/>
      </c>
      <c r="F697" s="15" t="str" cm="1">
        <f t="array" ref="F697">IF($A697="","",SUMPRODUCT((TRIM(tblDados[Visitante])=$A697)*tblDados[Primeira_Ocorrencia]))</f>
        <v/>
      </c>
      <c r="G697" s="15" t="str" cm="1">
        <f t="array" ref="G697">IF($A697="","",SUMPRODUCT((TRIM(tblDados[Mandante])=$A697)*tblDados[Primeira_Ocorrencia])+SUMPRODUCT((TRIM(tblDados[Visitante])=$A697)*tblDados[Primeira_Ocorrencia]))</f>
        <v/>
      </c>
      <c r="H697" s="14" t="str">
        <f t="shared" si="186"/>
        <v/>
      </c>
      <c r="I697" s="14" t="str" cm="1">
        <f t="array" ref="I697">IF($A697="","",_xlfn.LET(_xlpm.p,IFERROR(INDEX(tblDados[País],MATCH($A697,TRIM(tblDados[Mandante]),0)),INDEX(tblDados[País],MATCH($A697,TRIM(tblDados[Visitante]),0))),_xlpm.l,IFERROR(INDEX(tblDados[Liga],MATCH($A697,TRIM(tblDados[Mandante]),0)),INDEX(tblDados[Liga],MATCH($A697,TRIM(tblDados[Visitante]),0))),IFERROR(SUMIFS(Ligas!$D$2:$D$39,Ligas!$H$2:$H$39,_xlpm.p,Ligas!$I$2:$I$39,_xlpm.l),0)))</f>
        <v/>
      </c>
      <c r="J697" s="16" t="str" cm="1">
        <f t="array" ref="J697">IF($A697="","",IFERROR((SUMPRODUCT((TRIM(tblDados[Mandante])=$A697)*tblDados[Primeira_Ocorrencia]*(tblDados[GM_M]=0))+SUMPRODUCT((TRIM(tblDados[Visitante])=$A697)*tblDados[Primeira_Ocorrencia]*(tblDados[GM_V]=0)))/G697,0))</f>
        <v/>
      </c>
      <c r="K697" s="16" t="str" cm="1">
        <f t="array" ref="K697">IF($A697="","",IFERROR((SUMPRODUCT((TRIM(tblDados[Mandante])=$A697)*tblDados[Primeira_Ocorrencia]*((tblDados[GM_M]+tblDados[GS_M])&gt;0.5))+SUMPRODUCT((TRIM(tblDados[Visitante])=$A697)*tblDados[Primeira_Ocorrencia]*((tblDados[GM_V]+tblDados[GS_V])&gt;0.5)))/G697,0))</f>
        <v/>
      </c>
      <c r="L697" s="16" t="str" cm="1">
        <f t="array" ref="L697">IF($A697="","",IFERROR((SUMPRODUCT((TRIM(tblDados[Mandante])=$A697)*tblDados[Primeira_Ocorrencia]*((tblDados[GM_M]+tblDados[GS_M])&gt;1.5))+SUMPRODUCT((TRIM(tblDados[Visitante])=$A697)*tblDados[Primeira_Ocorrencia]*((tblDados[GM_V]+tblDados[GS_V])&gt;1.5)))/G697,0))</f>
        <v/>
      </c>
      <c r="M697" s="16" t="str" cm="1">
        <f t="array" ref="M697">IF($A697="","",IFERROR((SUMPRODUCT((TRIM(tblDados[Mandante])=$A697)*tblDados[Primeira_Ocorrencia]*((tblDados[GM_M]+tblDados[GS_M])&gt;2.5))+SUMPRODUCT((TRIM(tblDados[Visitante])=$A697)*tblDados[Primeira_Ocorrencia]*((tblDados[GM_V]+tblDados[GS_V])&gt;2.5)))/G697,0))</f>
        <v/>
      </c>
      <c r="N697" s="16" t="str" cm="1">
        <f t="array" ref="N697">IF($A697="","",IFERROR((SUMPRODUCT((TRIM(tblDados[Mandante])=$A697)*tblDados[Primeira_Ocorrencia]*((tblDados[GM_M]+tblDados[GS_M])&gt;3.5))+SUMPRODUCT((TRIM(tblDados[Visitante])=$A697)*tblDados[Primeira_Ocorrencia]*((tblDados[GM_V]+tblDados[GS_V])&gt;3.5)))/G697,0))</f>
        <v/>
      </c>
      <c r="O697" s="16" t="str" cm="1">
        <f t="array" ref="O697">IF($A697="","",IFERROR((SUMPRODUCT((TRIM(tblDados[Mandante])=$A697)*tblDados[Primeira_Ocorrencia]*(tblDados[GM_M]&gt;0)*(tblDados[GS_M]&gt;0))+SUMPRODUCT((TRIM(tblDados[Visitante])=$A697)*tblDados[Primeira_Ocorrencia]*(tblDados[GM_V]&gt;0)*(tblDados[GS_V]&gt;0)))/G697,0))</f>
        <v/>
      </c>
      <c r="P697" s="14" t="str" cm="1">
        <f t="array" ref="P697">IF($A697="","",IFERROR((SUMPRODUCT((TRIM(tblDados[Mandante])=$A697)*tblDados[Primeira_Ocorrencia]*tblDados[GM_M]^2)+SUMPRODUCT((TRIM(tblDados[Visitante])=$A697)*tblDados[Primeira_Ocorrencia]*tblDados[GM_V]^2))/G697-H697^2,0))</f>
        <v/>
      </c>
      <c r="Q697" s="14" t="str">
        <f t="shared" si="187"/>
        <v/>
      </c>
      <c r="R697" s="1" t="str">
        <f t="shared" si="188"/>
        <v/>
      </c>
      <c r="S697" s="14" t="str" cm="1">
        <f t="array" ref="S697">IF($A697="","",SUMPRODUCT((TRIM(tblDados[Mandante])=$A697)*tblDados[Primeira_Ocorrencia]*tblDados[GM_M]))</f>
        <v/>
      </c>
      <c r="T697" s="14" t="str" cm="1">
        <f t="array" ref="T697">IF($A697="","",SUMPRODUCT((TRIM(tblDados[Visitante])=$A697)*tblDados[Primeira_Ocorrencia]*tblDados[GM_V]))</f>
        <v/>
      </c>
      <c r="U697" s="14" t="str">
        <f t="shared" si="189"/>
        <v/>
      </c>
      <c r="V697" s="14" t="str">
        <f t="shared" si="178"/>
        <v/>
      </c>
      <c r="W697" s="14" t="str" cm="1">
        <f t="array" ref="W697">IF($A697="","",SUMPRODUCT((TRIM(tblDados[Mandante])=$A697)*tblDados[Primeira_Ocorrencia]*tblDados[GS_M]))</f>
        <v/>
      </c>
      <c r="X697" s="14" t="str" cm="1">
        <f t="array" ref="X697">IF($A697="","",SUMPRODUCT((TRIM(tblDados[Visitante])=$A697)*tblDados[Primeira_Ocorrencia]*tblDados[GS_V]))</f>
        <v/>
      </c>
      <c r="Y697" s="14" t="str">
        <f t="shared" si="190"/>
        <v/>
      </c>
      <c r="Z697" s="14" t="str">
        <f t="shared" si="179"/>
        <v/>
      </c>
      <c r="AA697" s="14" t="str">
        <f t="shared" si="180"/>
        <v/>
      </c>
      <c r="AB697" s="14" t="str">
        <f t="shared" si="181"/>
        <v/>
      </c>
      <c r="AC697" s="14" t="str">
        <f t="shared" si="182"/>
        <v/>
      </c>
      <c r="AD697" s="14" t="str">
        <f t="shared" si="183"/>
        <v/>
      </c>
    </row>
    <row r="698" spans="2:30" x14ac:dyDescent="0.3">
      <c r="B698" s="13" t="str" cm="1">
        <f t="array" ref="B698">IF($A698="","",_xlfn.LET(_xlpm.p,IFERROR(INDEX(tblDados[País],MATCH($A698,TRIM(tblDados[Mandante]),0)),INDEX(tblDados[País],MATCH($A698,TRIM(tblDados[Visitante]),0))),_xlpm.l,IFERROR(INDEX(tblDados[Liga],MATCH($A698,TRIM(tblDados[Mandante]),0)),INDEX(tblDados[Liga],MATCH($A698,TRIM(tblDados[Visitante]),0))),_xlpm.p&amp;" - "&amp;_xlpm.l))</f>
        <v/>
      </c>
      <c r="C698" s="14" t="str">
        <f t="shared" si="184"/>
        <v/>
      </c>
      <c r="D698" s="14" t="str">
        <f t="shared" si="185"/>
        <v/>
      </c>
      <c r="E698" s="15" t="str" cm="1">
        <f t="array" ref="E698">IF($A698="","",SUMPRODUCT((TRIM(tblDados[Mandante])=$A698)*tblDados[Primeira_Ocorrencia]))</f>
        <v/>
      </c>
      <c r="F698" s="15" t="str" cm="1">
        <f t="array" ref="F698">IF($A698="","",SUMPRODUCT((TRIM(tblDados[Visitante])=$A698)*tblDados[Primeira_Ocorrencia]))</f>
        <v/>
      </c>
      <c r="G698" s="15" t="str" cm="1">
        <f t="array" ref="G698">IF($A698="","",SUMPRODUCT((TRIM(tblDados[Mandante])=$A698)*tblDados[Primeira_Ocorrencia])+SUMPRODUCT((TRIM(tblDados[Visitante])=$A698)*tblDados[Primeira_Ocorrencia]))</f>
        <v/>
      </c>
      <c r="H698" s="14" t="str">
        <f t="shared" si="186"/>
        <v/>
      </c>
      <c r="I698" s="14" t="str" cm="1">
        <f t="array" ref="I698">IF($A698="","",_xlfn.LET(_xlpm.p,IFERROR(INDEX(tblDados[País],MATCH($A698,TRIM(tblDados[Mandante]),0)),INDEX(tblDados[País],MATCH($A698,TRIM(tblDados[Visitante]),0))),_xlpm.l,IFERROR(INDEX(tblDados[Liga],MATCH($A698,TRIM(tblDados[Mandante]),0)),INDEX(tblDados[Liga],MATCH($A698,TRIM(tblDados[Visitante]),0))),IFERROR(SUMIFS(Ligas!$D$2:$D$39,Ligas!$H$2:$H$39,_xlpm.p,Ligas!$I$2:$I$39,_xlpm.l),0)))</f>
        <v/>
      </c>
      <c r="J698" s="16" t="str" cm="1">
        <f t="array" ref="J698">IF($A698="","",IFERROR((SUMPRODUCT((TRIM(tblDados[Mandante])=$A698)*tblDados[Primeira_Ocorrencia]*(tblDados[GM_M]=0))+SUMPRODUCT((TRIM(tblDados[Visitante])=$A698)*tblDados[Primeira_Ocorrencia]*(tblDados[GM_V]=0)))/G698,0))</f>
        <v/>
      </c>
      <c r="K698" s="16" t="str" cm="1">
        <f t="array" ref="K698">IF($A698="","",IFERROR((SUMPRODUCT((TRIM(tblDados[Mandante])=$A698)*tblDados[Primeira_Ocorrencia]*((tblDados[GM_M]+tblDados[GS_M])&gt;0.5))+SUMPRODUCT((TRIM(tblDados[Visitante])=$A698)*tblDados[Primeira_Ocorrencia]*((tblDados[GM_V]+tblDados[GS_V])&gt;0.5)))/G698,0))</f>
        <v/>
      </c>
      <c r="L698" s="16" t="str" cm="1">
        <f t="array" ref="L698">IF($A698="","",IFERROR((SUMPRODUCT((TRIM(tblDados[Mandante])=$A698)*tblDados[Primeira_Ocorrencia]*((tblDados[GM_M]+tblDados[GS_M])&gt;1.5))+SUMPRODUCT((TRIM(tblDados[Visitante])=$A698)*tblDados[Primeira_Ocorrencia]*((tblDados[GM_V]+tblDados[GS_V])&gt;1.5)))/G698,0))</f>
        <v/>
      </c>
      <c r="M698" s="16" t="str" cm="1">
        <f t="array" ref="M698">IF($A698="","",IFERROR((SUMPRODUCT((TRIM(tblDados[Mandante])=$A698)*tblDados[Primeira_Ocorrencia]*((tblDados[GM_M]+tblDados[GS_M])&gt;2.5))+SUMPRODUCT((TRIM(tblDados[Visitante])=$A698)*tblDados[Primeira_Ocorrencia]*((tblDados[GM_V]+tblDados[GS_V])&gt;2.5)))/G698,0))</f>
        <v/>
      </c>
      <c r="N698" s="16" t="str" cm="1">
        <f t="array" ref="N698">IF($A698="","",IFERROR((SUMPRODUCT((TRIM(tblDados[Mandante])=$A698)*tblDados[Primeira_Ocorrencia]*((tblDados[GM_M]+tblDados[GS_M])&gt;3.5))+SUMPRODUCT((TRIM(tblDados[Visitante])=$A698)*tblDados[Primeira_Ocorrencia]*((tblDados[GM_V]+tblDados[GS_V])&gt;3.5)))/G698,0))</f>
        <v/>
      </c>
      <c r="O698" s="16" t="str" cm="1">
        <f t="array" ref="O698">IF($A698="","",IFERROR((SUMPRODUCT((TRIM(tblDados[Mandante])=$A698)*tblDados[Primeira_Ocorrencia]*(tblDados[GM_M]&gt;0)*(tblDados[GS_M]&gt;0))+SUMPRODUCT((TRIM(tblDados[Visitante])=$A698)*tblDados[Primeira_Ocorrencia]*(tblDados[GM_V]&gt;0)*(tblDados[GS_V]&gt;0)))/G698,0))</f>
        <v/>
      </c>
      <c r="P698" s="14" t="str" cm="1">
        <f t="array" ref="P698">IF($A698="","",IFERROR((SUMPRODUCT((TRIM(tblDados[Mandante])=$A698)*tblDados[Primeira_Ocorrencia]*tblDados[GM_M]^2)+SUMPRODUCT((TRIM(tblDados[Visitante])=$A698)*tblDados[Primeira_Ocorrencia]*tblDados[GM_V]^2))/G698-H698^2,0))</f>
        <v/>
      </c>
      <c r="Q698" s="14" t="str">
        <f t="shared" si="187"/>
        <v/>
      </c>
      <c r="R698" s="1" t="str">
        <f t="shared" si="188"/>
        <v/>
      </c>
      <c r="S698" s="14" t="str" cm="1">
        <f t="array" ref="S698">IF($A698="","",SUMPRODUCT((TRIM(tblDados[Mandante])=$A698)*tblDados[Primeira_Ocorrencia]*tblDados[GM_M]))</f>
        <v/>
      </c>
      <c r="T698" s="14" t="str" cm="1">
        <f t="array" ref="T698">IF($A698="","",SUMPRODUCT((TRIM(tblDados[Visitante])=$A698)*tblDados[Primeira_Ocorrencia]*tblDados[GM_V]))</f>
        <v/>
      </c>
      <c r="U698" s="14" t="str">
        <f t="shared" si="189"/>
        <v/>
      </c>
      <c r="V698" s="14" t="str">
        <f t="shared" si="178"/>
        <v/>
      </c>
      <c r="W698" s="14" t="str" cm="1">
        <f t="array" ref="W698">IF($A698="","",SUMPRODUCT((TRIM(tblDados[Mandante])=$A698)*tblDados[Primeira_Ocorrencia]*tblDados[GS_M]))</f>
        <v/>
      </c>
      <c r="X698" s="14" t="str" cm="1">
        <f t="array" ref="X698">IF($A698="","",SUMPRODUCT((TRIM(tblDados[Visitante])=$A698)*tblDados[Primeira_Ocorrencia]*tblDados[GS_V]))</f>
        <v/>
      </c>
      <c r="Y698" s="14" t="str">
        <f t="shared" si="190"/>
        <v/>
      </c>
      <c r="Z698" s="14" t="str">
        <f t="shared" si="179"/>
        <v/>
      </c>
      <c r="AA698" s="14" t="str">
        <f t="shared" si="180"/>
        <v/>
      </c>
      <c r="AB698" s="14" t="str">
        <f t="shared" si="181"/>
        <v/>
      </c>
      <c r="AC698" s="14" t="str">
        <f t="shared" si="182"/>
        <v/>
      </c>
      <c r="AD698" s="14" t="str">
        <f t="shared" si="183"/>
        <v/>
      </c>
    </row>
    <row r="699" spans="2:30" x14ac:dyDescent="0.3">
      <c r="B699" s="13" t="str" cm="1">
        <f t="array" ref="B699">IF($A699="","",_xlfn.LET(_xlpm.p,IFERROR(INDEX(tblDados[País],MATCH($A699,TRIM(tblDados[Mandante]),0)),INDEX(tblDados[País],MATCH($A699,TRIM(tblDados[Visitante]),0))),_xlpm.l,IFERROR(INDEX(tblDados[Liga],MATCH($A699,TRIM(tblDados[Mandante]),0)),INDEX(tblDados[Liga],MATCH($A699,TRIM(tblDados[Visitante]),0))),_xlpm.p&amp;" - "&amp;_xlpm.l))</f>
        <v/>
      </c>
      <c r="C699" s="14" t="str">
        <f t="shared" si="184"/>
        <v/>
      </c>
      <c r="D699" s="14" t="str">
        <f t="shared" si="185"/>
        <v/>
      </c>
      <c r="E699" s="15" t="str" cm="1">
        <f t="array" ref="E699">IF($A699="","",SUMPRODUCT((TRIM(tblDados[Mandante])=$A699)*tblDados[Primeira_Ocorrencia]))</f>
        <v/>
      </c>
      <c r="F699" s="15" t="str" cm="1">
        <f t="array" ref="F699">IF($A699="","",SUMPRODUCT((TRIM(tblDados[Visitante])=$A699)*tblDados[Primeira_Ocorrencia]))</f>
        <v/>
      </c>
      <c r="G699" s="15" t="str" cm="1">
        <f t="array" ref="G699">IF($A699="","",SUMPRODUCT((TRIM(tblDados[Mandante])=$A699)*tblDados[Primeira_Ocorrencia])+SUMPRODUCT((TRIM(tblDados[Visitante])=$A699)*tblDados[Primeira_Ocorrencia]))</f>
        <v/>
      </c>
      <c r="H699" s="14" t="str">
        <f t="shared" si="186"/>
        <v/>
      </c>
      <c r="I699" s="14" t="str" cm="1">
        <f t="array" ref="I699">IF($A699="","",_xlfn.LET(_xlpm.p,IFERROR(INDEX(tblDados[País],MATCH($A699,TRIM(tblDados[Mandante]),0)),INDEX(tblDados[País],MATCH($A699,TRIM(tblDados[Visitante]),0))),_xlpm.l,IFERROR(INDEX(tblDados[Liga],MATCH($A699,TRIM(tblDados[Mandante]),0)),INDEX(tblDados[Liga],MATCH($A699,TRIM(tblDados[Visitante]),0))),IFERROR(SUMIFS(Ligas!$D$2:$D$39,Ligas!$H$2:$H$39,_xlpm.p,Ligas!$I$2:$I$39,_xlpm.l),0)))</f>
        <v/>
      </c>
      <c r="J699" s="16" t="str" cm="1">
        <f t="array" ref="J699">IF($A699="","",IFERROR((SUMPRODUCT((TRIM(tblDados[Mandante])=$A699)*tblDados[Primeira_Ocorrencia]*(tblDados[GM_M]=0))+SUMPRODUCT((TRIM(tblDados[Visitante])=$A699)*tblDados[Primeira_Ocorrencia]*(tblDados[GM_V]=0)))/G699,0))</f>
        <v/>
      </c>
      <c r="K699" s="16" t="str" cm="1">
        <f t="array" ref="K699">IF($A699="","",IFERROR((SUMPRODUCT((TRIM(tblDados[Mandante])=$A699)*tblDados[Primeira_Ocorrencia]*((tblDados[GM_M]+tblDados[GS_M])&gt;0.5))+SUMPRODUCT((TRIM(tblDados[Visitante])=$A699)*tblDados[Primeira_Ocorrencia]*((tblDados[GM_V]+tblDados[GS_V])&gt;0.5)))/G699,0))</f>
        <v/>
      </c>
      <c r="L699" s="16" t="str" cm="1">
        <f t="array" ref="L699">IF($A699="","",IFERROR((SUMPRODUCT((TRIM(tblDados[Mandante])=$A699)*tblDados[Primeira_Ocorrencia]*((tblDados[GM_M]+tblDados[GS_M])&gt;1.5))+SUMPRODUCT((TRIM(tblDados[Visitante])=$A699)*tblDados[Primeira_Ocorrencia]*((tblDados[GM_V]+tblDados[GS_V])&gt;1.5)))/G699,0))</f>
        <v/>
      </c>
      <c r="M699" s="16" t="str" cm="1">
        <f t="array" ref="M699">IF($A699="","",IFERROR((SUMPRODUCT((TRIM(tblDados[Mandante])=$A699)*tblDados[Primeira_Ocorrencia]*((tblDados[GM_M]+tblDados[GS_M])&gt;2.5))+SUMPRODUCT((TRIM(tblDados[Visitante])=$A699)*tblDados[Primeira_Ocorrencia]*((tblDados[GM_V]+tblDados[GS_V])&gt;2.5)))/G699,0))</f>
        <v/>
      </c>
      <c r="N699" s="16" t="str" cm="1">
        <f t="array" ref="N699">IF($A699="","",IFERROR((SUMPRODUCT((TRIM(tblDados[Mandante])=$A699)*tblDados[Primeira_Ocorrencia]*((tblDados[GM_M]+tblDados[GS_M])&gt;3.5))+SUMPRODUCT((TRIM(tblDados[Visitante])=$A699)*tblDados[Primeira_Ocorrencia]*((tblDados[GM_V]+tblDados[GS_V])&gt;3.5)))/G699,0))</f>
        <v/>
      </c>
      <c r="O699" s="16" t="str" cm="1">
        <f t="array" ref="O699">IF($A699="","",IFERROR((SUMPRODUCT((TRIM(tblDados[Mandante])=$A699)*tblDados[Primeira_Ocorrencia]*(tblDados[GM_M]&gt;0)*(tblDados[GS_M]&gt;0))+SUMPRODUCT((TRIM(tblDados[Visitante])=$A699)*tblDados[Primeira_Ocorrencia]*(tblDados[GM_V]&gt;0)*(tblDados[GS_V]&gt;0)))/G699,0))</f>
        <v/>
      </c>
      <c r="P699" s="14" t="str" cm="1">
        <f t="array" ref="P699">IF($A699="","",IFERROR((SUMPRODUCT((TRIM(tblDados[Mandante])=$A699)*tblDados[Primeira_Ocorrencia]*tblDados[GM_M]^2)+SUMPRODUCT((TRIM(tblDados[Visitante])=$A699)*tblDados[Primeira_Ocorrencia]*tblDados[GM_V]^2))/G699-H699^2,0))</f>
        <v/>
      </c>
      <c r="Q699" s="14" t="str">
        <f t="shared" si="187"/>
        <v/>
      </c>
      <c r="R699" s="1" t="str">
        <f t="shared" si="188"/>
        <v/>
      </c>
      <c r="S699" s="14" t="str" cm="1">
        <f t="array" ref="S699">IF($A699="","",SUMPRODUCT((TRIM(tblDados[Mandante])=$A699)*tblDados[Primeira_Ocorrencia]*tblDados[GM_M]))</f>
        <v/>
      </c>
      <c r="T699" s="14" t="str" cm="1">
        <f t="array" ref="T699">IF($A699="","",SUMPRODUCT((TRIM(tblDados[Visitante])=$A699)*tblDados[Primeira_Ocorrencia]*tblDados[GM_V]))</f>
        <v/>
      </c>
      <c r="U699" s="14" t="str">
        <f t="shared" si="189"/>
        <v/>
      </c>
      <c r="V699" s="14" t="str">
        <f t="shared" si="178"/>
        <v/>
      </c>
      <c r="W699" s="14" t="str" cm="1">
        <f t="array" ref="W699">IF($A699="","",SUMPRODUCT((TRIM(tblDados[Mandante])=$A699)*tblDados[Primeira_Ocorrencia]*tblDados[GS_M]))</f>
        <v/>
      </c>
      <c r="X699" s="14" t="str" cm="1">
        <f t="array" ref="X699">IF($A699="","",SUMPRODUCT((TRIM(tblDados[Visitante])=$A699)*tblDados[Primeira_Ocorrencia]*tblDados[GS_V]))</f>
        <v/>
      </c>
      <c r="Y699" s="14" t="str">
        <f t="shared" si="190"/>
        <v/>
      </c>
      <c r="Z699" s="14" t="str">
        <f t="shared" si="179"/>
        <v/>
      </c>
      <c r="AA699" s="14" t="str">
        <f t="shared" si="180"/>
        <v/>
      </c>
      <c r="AB699" s="14" t="str">
        <f t="shared" si="181"/>
        <v/>
      </c>
      <c r="AC699" s="14" t="str">
        <f t="shared" si="182"/>
        <v/>
      </c>
      <c r="AD699" s="14" t="str">
        <f t="shared" si="183"/>
        <v/>
      </c>
    </row>
    <row r="700" spans="2:30" x14ac:dyDescent="0.3">
      <c r="B700" s="13" t="str" cm="1">
        <f t="array" ref="B700">IF($A700="","",_xlfn.LET(_xlpm.p,IFERROR(INDEX(tblDados[País],MATCH($A700,TRIM(tblDados[Mandante]),0)),INDEX(tblDados[País],MATCH($A700,TRIM(tblDados[Visitante]),0))),_xlpm.l,IFERROR(INDEX(tblDados[Liga],MATCH($A700,TRIM(tblDados[Mandante]),0)),INDEX(tblDados[Liga],MATCH($A700,TRIM(tblDados[Visitante]),0))),_xlpm.p&amp;" - "&amp;_xlpm.l))</f>
        <v/>
      </c>
      <c r="C700" s="14" t="str">
        <f t="shared" si="184"/>
        <v/>
      </c>
      <c r="D700" s="14" t="str">
        <f t="shared" si="185"/>
        <v/>
      </c>
      <c r="E700" s="15" t="str" cm="1">
        <f t="array" ref="E700">IF($A700="","",SUMPRODUCT((TRIM(tblDados[Mandante])=$A700)*tblDados[Primeira_Ocorrencia]))</f>
        <v/>
      </c>
      <c r="F700" s="15" t="str" cm="1">
        <f t="array" ref="F700">IF($A700="","",SUMPRODUCT((TRIM(tblDados[Visitante])=$A700)*tblDados[Primeira_Ocorrencia]))</f>
        <v/>
      </c>
      <c r="G700" s="15" t="str" cm="1">
        <f t="array" ref="G700">IF($A700="","",SUMPRODUCT((TRIM(tblDados[Mandante])=$A700)*tblDados[Primeira_Ocorrencia])+SUMPRODUCT((TRIM(tblDados[Visitante])=$A700)*tblDados[Primeira_Ocorrencia]))</f>
        <v/>
      </c>
      <c r="H700" s="14" t="str">
        <f t="shared" si="186"/>
        <v/>
      </c>
      <c r="I700" s="14" t="str" cm="1">
        <f t="array" ref="I700">IF($A700="","",_xlfn.LET(_xlpm.p,IFERROR(INDEX(tblDados[País],MATCH($A700,TRIM(tblDados[Mandante]),0)),INDEX(tblDados[País],MATCH($A700,TRIM(tblDados[Visitante]),0))),_xlpm.l,IFERROR(INDEX(tblDados[Liga],MATCH($A700,TRIM(tblDados[Mandante]),0)),INDEX(tblDados[Liga],MATCH($A700,TRIM(tblDados[Visitante]),0))),IFERROR(SUMIFS(Ligas!$D$2:$D$39,Ligas!$H$2:$H$39,_xlpm.p,Ligas!$I$2:$I$39,_xlpm.l),0)))</f>
        <v/>
      </c>
      <c r="J700" s="16" t="str" cm="1">
        <f t="array" ref="J700">IF($A700="","",IFERROR((SUMPRODUCT((TRIM(tblDados[Mandante])=$A700)*tblDados[Primeira_Ocorrencia]*(tblDados[GM_M]=0))+SUMPRODUCT((TRIM(tblDados[Visitante])=$A700)*tblDados[Primeira_Ocorrencia]*(tblDados[GM_V]=0)))/G700,0))</f>
        <v/>
      </c>
      <c r="K700" s="16" t="str" cm="1">
        <f t="array" ref="K700">IF($A700="","",IFERROR((SUMPRODUCT((TRIM(tblDados[Mandante])=$A700)*tblDados[Primeira_Ocorrencia]*((tblDados[GM_M]+tblDados[GS_M])&gt;0.5))+SUMPRODUCT((TRIM(tblDados[Visitante])=$A700)*tblDados[Primeira_Ocorrencia]*((tblDados[GM_V]+tblDados[GS_V])&gt;0.5)))/G700,0))</f>
        <v/>
      </c>
      <c r="L700" s="16" t="str" cm="1">
        <f t="array" ref="L700">IF($A700="","",IFERROR((SUMPRODUCT((TRIM(tblDados[Mandante])=$A700)*tblDados[Primeira_Ocorrencia]*((tblDados[GM_M]+tblDados[GS_M])&gt;1.5))+SUMPRODUCT((TRIM(tblDados[Visitante])=$A700)*tblDados[Primeira_Ocorrencia]*((tblDados[GM_V]+tblDados[GS_V])&gt;1.5)))/G700,0))</f>
        <v/>
      </c>
      <c r="M700" s="16" t="str" cm="1">
        <f t="array" ref="M700">IF($A700="","",IFERROR((SUMPRODUCT((TRIM(tblDados[Mandante])=$A700)*tblDados[Primeira_Ocorrencia]*((tblDados[GM_M]+tblDados[GS_M])&gt;2.5))+SUMPRODUCT((TRIM(tblDados[Visitante])=$A700)*tblDados[Primeira_Ocorrencia]*((tblDados[GM_V]+tblDados[GS_V])&gt;2.5)))/G700,0))</f>
        <v/>
      </c>
      <c r="N700" s="16" t="str" cm="1">
        <f t="array" ref="N700">IF($A700="","",IFERROR((SUMPRODUCT((TRIM(tblDados[Mandante])=$A700)*tblDados[Primeira_Ocorrencia]*((tblDados[GM_M]+tblDados[GS_M])&gt;3.5))+SUMPRODUCT((TRIM(tblDados[Visitante])=$A700)*tblDados[Primeira_Ocorrencia]*((tblDados[GM_V]+tblDados[GS_V])&gt;3.5)))/G700,0))</f>
        <v/>
      </c>
      <c r="O700" s="16" t="str" cm="1">
        <f t="array" ref="O700">IF($A700="","",IFERROR((SUMPRODUCT((TRIM(tblDados[Mandante])=$A700)*tblDados[Primeira_Ocorrencia]*(tblDados[GM_M]&gt;0)*(tblDados[GS_M]&gt;0))+SUMPRODUCT((TRIM(tblDados[Visitante])=$A700)*tblDados[Primeira_Ocorrencia]*(tblDados[GM_V]&gt;0)*(tblDados[GS_V]&gt;0)))/G700,0))</f>
        <v/>
      </c>
      <c r="P700" s="14" t="str" cm="1">
        <f t="array" ref="P700">IF($A700="","",IFERROR((SUMPRODUCT((TRIM(tblDados[Mandante])=$A700)*tblDados[Primeira_Ocorrencia]*tblDados[GM_M]^2)+SUMPRODUCT((TRIM(tblDados[Visitante])=$A700)*tblDados[Primeira_Ocorrencia]*tblDados[GM_V]^2))/G700-H700^2,0))</f>
        <v/>
      </c>
      <c r="Q700" s="14" t="str">
        <f t="shared" si="187"/>
        <v/>
      </c>
      <c r="R700" s="1" t="str">
        <f t="shared" si="188"/>
        <v/>
      </c>
      <c r="S700" s="14" t="str" cm="1">
        <f t="array" ref="S700">IF($A700="","",SUMPRODUCT((TRIM(tblDados[Mandante])=$A700)*tblDados[Primeira_Ocorrencia]*tblDados[GM_M]))</f>
        <v/>
      </c>
      <c r="T700" s="14" t="str" cm="1">
        <f t="array" ref="T700">IF($A700="","",SUMPRODUCT((TRIM(tblDados[Visitante])=$A700)*tblDados[Primeira_Ocorrencia]*tblDados[GM_V]))</f>
        <v/>
      </c>
      <c r="U700" s="14" t="str">
        <f t="shared" si="189"/>
        <v/>
      </c>
      <c r="V700" s="14" t="str">
        <f t="shared" si="178"/>
        <v/>
      </c>
      <c r="W700" s="14" t="str" cm="1">
        <f t="array" ref="W700">IF($A700="","",SUMPRODUCT((TRIM(tblDados[Mandante])=$A700)*tblDados[Primeira_Ocorrencia]*tblDados[GS_M]))</f>
        <v/>
      </c>
      <c r="X700" s="14" t="str" cm="1">
        <f t="array" ref="X700">IF($A700="","",SUMPRODUCT((TRIM(tblDados[Visitante])=$A700)*tblDados[Primeira_Ocorrencia]*tblDados[GS_V]))</f>
        <v/>
      </c>
      <c r="Y700" s="14" t="str">
        <f t="shared" si="190"/>
        <v/>
      </c>
      <c r="Z700" s="14" t="str">
        <f t="shared" si="179"/>
        <v/>
      </c>
      <c r="AA700" s="14" t="str">
        <f t="shared" si="180"/>
        <v/>
      </c>
      <c r="AB700" s="14" t="str">
        <f t="shared" si="181"/>
        <v/>
      </c>
      <c r="AC700" s="14" t="str">
        <f t="shared" si="182"/>
        <v/>
      </c>
      <c r="AD700" s="14" t="str">
        <f t="shared" si="183"/>
        <v/>
      </c>
    </row>
    <row r="701" spans="2:30" x14ac:dyDescent="0.3">
      <c r="B701" s="13" t="str" cm="1">
        <f t="array" ref="B701">IF($A701="","",_xlfn.LET(_xlpm.p,IFERROR(INDEX(tblDados[País],MATCH($A701,TRIM(tblDados[Mandante]),0)),INDEX(tblDados[País],MATCH($A701,TRIM(tblDados[Visitante]),0))),_xlpm.l,IFERROR(INDEX(tblDados[Liga],MATCH($A701,TRIM(tblDados[Mandante]),0)),INDEX(tblDados[Liga],MATCH($A701,TRIM(tblDados[Visitante]),0))),_xlpm.p&amp;" - "&amp;_xlpm.l))</f>
        <v/>
      </c>
      <c r="C701" s="14" t="str">
        <f t="shared" si="184"/>
        <v/>
      </c>
      <c r="D701" s="14" t="str">
        <f t="shared" si="185"/>
        <v/>
      </c>
      <c r="E701" s="15" t="str" cm="1">
        <f t="array" ref="E701">IF($A701="","",SUMPRODUCT((TRIM(tblDados[Mandante])=$A701)*tblDados[Primeira_Ocorrencia]))</f>
        <v/>
      </c>
      <c r="F701" s="15" t="str" cm="1">
        <f t="array" ref="F701">IF($A701="","",SUMPRODUCT((TRIM(tblDados[Visitante])=$A701)*tblDados[Primeira_Ocorrencia]))</f>
        <v/>
      </c>
      <c r="G701" s="15" t="str" cm="1">
        <f t="array" ref="G701">IF($A701="","",SUMPRODUCT((TRIM(tblDados[Mandante])=$A701)*tblDados[Primeira_Ocorrencia])+SUMPRODUCT((TRIM(tblDados[Visitante])=$A701)*tblDados[Primeira_Ocorrencia]))</f>
        <v/>
      </c>
      <c r="H701" s="14" t="str">
        <f t="shared" si="186"/>
        <v/>
      </c>
      <c r="I701" s="14" t="str" cm="1">
        <f t="array" ref="I701">IF($A701="","",_xlfn.LET(_xlpm.p,IFERROR(INDEX(tblDados[País],MATCH($A701,TRIM(tblDados[Mandante]),0)),INDEX(tblDados[País],MATCH($A701,TRIM(tblDados[Visitante]),0))),_xlpm.l,IFERROR(INDEX(tblDados[Liga],MATCH($A701,TRIM(tblDados[Mandante]),0)),INDEX(tblDados[Liga],MATCH($A701,TRIM(tblDados[Visitante]),0))),IFERROR(SUMIFS(Ligas!$D$2:$D$39,Ligas!$H$2:$H$39,_xlpm.p,Ligas!$I$2:$I$39,_xlpm.l),0)))</f>
        <v/>
      </c>
      <c r="J701" s="16" t="str" cm="1">
        <f t="array" ref="J701">IF($A701="","",IFERROR((SUMPRODUCT((TRIM(tblDados[Mandante])=$A701)*tblDados[Primeira_Ocorrencia]*(tblDados[GM_M]=0))+SUMPRODUCT((TRIM(tblDados[Visitante])=$A701)*tblDados[Primeira_Ocorrencia]*(tblDados[GM_V]=0)))/G701,0))</f>
        <v/>
      </c>
      <c r="K701" s="16" t="str" cm="1">
        <f t="array" ref="K701">IF($A701="","",IFERROR((SUMPRODUCT((TRIM(tblDados[Mandante])=$A701)*tblDados[Primeira_Ocorrencia]*((tblDados[GM_M]+tblDados[GS_M])&gt;0.5))+SUMPRODUCT((TRIM(tblDados[Visitante])=$A701)*tblDados[Primeira_Ocorrencia]*((tblDados[GM_V]+tblDados[GS_V])&gt;0.5)))/G701,0))</f>
        <v/>
      </c>
      <c r="L701" s="16" t="str" cm="1">
        <f t="array" ref="L701">IF($A701="","",IFERROR((SUMPRODUCT((TRIM(tblDados[Mandante])=$A701)*tblDados[Primeira_Ocorrencia]*((tblDados[GM_M]+tblDados[GS_M])&gt;1.5))+SUMPRODUCT((TRIM(tblDados[Visitante])=$A701)*tblDados[Primeira_Ocorrencia]*((tblDados[GM_V]+tblDados[GS_V])&gt;1.5)))/G701,0))</f>
        <v/>
      </c>
      <c r="M701" s="16" t="str" cm="1">
        <f t="array" ref="M701">IF($A701="","",IFERROR((SUMPRODUCT((TRIM(tblDados[Mandante])=$A701)*tblDados[Primeira_Ocorrencia]*((tblDados[GM_M]+tblDados[GS_M])&gt;2.5))+SUMPRODUCT((TRIM(tblDados[Visitante])=$A701)*tblDados[Primeira_Ocorrencia]*((tblDados[GM_V]+tblDados[GS_V])&gt;2.5)))/G701,0))</f>
        <v/>
      </c>
      <c r="N701" s="16" t="str" cm="1">
        <f t="array" ref="N701">IF($A701="","",IFERROR((SUMPRODUCT((TRIM(tblDados[Mandante])=$A701)*tblDados[Primeira_Ocorrencia]*((tblDados[GM_M]+tblDados[GS_M])&gt;3.5))+SUMPRODUCT((TRIM(tblDados[Visitante])=$A701)*tblDados[Primeira_Ocorrencia]*((tblDados[GM_V]+tblDados[GS_V])&gt;3.5)))/G701,0))</f>
        <v/>
      </c>
      <c r="O701" s="16" t="str" cm="1">
        <f t="array" ref="O701">IF($A701="","",IFERROR((SUMPRODUCT((TRIM(tblDados[Mandante])=$A701)*tblDados[Primeira_Ocorrencia]*(tblDados[GM_M]&gt;0)*(tblDados[GS_M]&gt;0))+SUMPRODUCT((TRIM(tblDados[Visitante])=$A701)*tblDados[Primeira_Ocorrencia]*(tblDados[GM_V]&gt;0)*(tblDados[GS_V]&gt;0)))/G701,0))</f>
        <v/>
      </c>
      <c r="P701" s="14" t="str" cm="1">
        <f t="array" ref="P701">IF($A701="","",IFERROR((SUMPRODUCT((TRIM(tblDados[Mandante])=$A701)*tblDados[Primeira_Ocorrencia]*tblDados[GM_M]^2)+SUMPRODUCT((TRIM(tblDados[Visitante])=$A701)*tblDados[Primeira_Ocorrencia]*tblDados[GM_V]^2))/G701-H701^2,0))</f>
        <v/>
      </c>
      <c r="Q701" s="14" t="str">
        <f t="shared" si="187"/>
        <v/>
      </c>
      <c r="R701" s="1" t="str">
        <f t="shared" si="188"/>
        <v/>
      </c>
      <c r="S701" s="14" t="str" cm="1">
        <f t="array" ref="S701">IF($A701="","",SUMPRODUCT((TRIM(tblDados[Mandante])=$A701)*tblDados[Primeira_Ocorrencia]*tblDados[GM_M]))</f>
        <v/>
      </c>
      <c r="T701" s="14" t="str" cm="1">
        <f t="array" ref="T701">IF($A701="","",SUMPRODUCT((TRIM(tblDados[Visitante])=$A701)*tblDados[Primeira_Ocorrencia]*tblDados[GM_V]))</f>
        <v/>
      </c>
      <c r="U701" s="14" t="str">
        <f t="shared" si="189"/>
        <v/>
      </c>
      <c r="V701" s="14" t="str">
        <f t="shared" si="178"/>
        <v/>
      </c>
      <c r="W701" s="14" t="str" cm="1">
        <f t="array" ref="W701">IF($A701="","",SUMPRODUCT((TRIM(tblDados[Mandante])=$A701)*tblDados[Primeira_Ocorrencia]*tblDados[GS_M]))</f>
        <v/>
      </c>
      <c r="X701" s="14" t="str" cm="1">
        <f t="array" ref="X701">IF($A701="","",SUMPRODUCT((TRIM(tblDados[Visitante])=$A701)*tblDados[Primeira_Ocorrencia]*tblDados[GS_V]))</f>
        <v/>
      </c>
      <c r="Y701" s="14" t="str">
        <f t="shared" si="190"/>
        <v/>
      </c>
      <c r="Z701" s="14" t="str">
        <f t="shared" si="179"/>
        <v/>
      </c>
      <c r="AA701" s="14" t="str">
        <f t="shared" si="180"/>
        <v/>
      </c>
      <c r="AB701" s="14" t="str">
        <f t="shared" si="181"/>
        <v/>
      </c>
      <c r="AC701" s="14" t="str">
        <f t="shared" si="182"/>
        <v/>
      </c>
      <c r="AD701" s="14" t="str">
        <f t="shared" si="183"/>
        <v/>
      </c>
    </row>
    <row r="702" spans="2:30" x14ac:dyDescent="0.3">
      <c r="B702" s="13" t="str" cm="1">
        <f t="array" ref="B702">IF($A702="","",_xlfn.LET(_xlpm.p,IFERROR(INDEX(tblDados[País],MATCH($A702,TRIM(tblDados[Mandante]),0)),INDEX(tblDados[País],MATCH($A702,TRIM(tblDados[Visitante]),0))),_xlpm.l,IFERROR(INDEX(tblDados[Liga],MATCH($A702,TRIM(tblDados[Mandante]),0)),INDEX(tblDados[Liga],MATCH($A702,TRIM(tblDados[Visitante]),0))),_xlpm.p&amp;" - "&amp;_xlpm.l))</f>
        <v/>
      </c>
      <c r="C702" s="14" t="str">
        <f t="shared" si="184"/>
        <v/>
      </c>
      <c r="D702" s="14" t="str">
        <f t="shared" si="185"/>
        <v/>
      </c>
      <c r="E702" s="15" t="str" cm="1">
        <f t="array" ref="E702">IF($A702="","",SUMPRODUCT((TRIM(tblDados[Mandante])=$A702)*tblDados[Primeira_Ocorrencia]))</f>
        <v/>
      </c>
      <c r="F702" s="15" t="str" cm="1">
        <f t="array" ref="F702">IF($A702="","",SUMPRODUCT((TRIM(tblDados[Visitante])=$A702)*tblDados[Primeira_Ocorrencia]))</f>
        <v/>
      </c>
      <c r="G702" s="15" t="str" cm="1">
        <f t="array" ref="G702">IF($A702="","",SUMPRODUCT((TRIM(tblDados[Mandante])=$A702)*tblDados[Primeira_Ocorrencia])+SUMPRODUCT((TRIM(tblDados[Visitante])=$A702)*tblDados[Primeira_Ocorrencia]))</f>
        <v/>
      </c>
      <c r="H702" s="14" t="str">
        <f t="shared" si="186"/>
        <v/>
      </c>
      <c r="I702" s="14" t="str" cm="1">
        <f t="array" ref="I702">IF($A702="","",_xlfn.LET(_xlpm.p,IFERROR(INDEX(tblDados[País],MATCH($A702,TRIM(tblDados[Mandante]),0)),INDEX(tblDados[País],MATCH($A702,TRIM(tblDados[Visitante]),0))),_xlpm.l,IFERROR(INDEX(tblDados[Liga],MATCH($A702,TRIM(tblDados[Mandante]),0)),INDEX(tblDados[Liga],MATCH($A702,TRIM(tblDados[Visitante]),0))),IFERROR(SUMIFS(Ligas!$D$2:$D$39,Ligas!$H$2:$H$39,_xlpm.p,Ligas!$I$2:$I$39,_xlpm.l),0)))</f>
        <v/>
      </c>
      <c r="J702" s="16" t="str" cm="1">
        <f t="array" ref="J702">IF($A702="","",IFERROR((SUMPRODUCT((TRIM(tblDados[Mandante])=$A702)*tblDados[Primeira_Ocorrencia]*(tblDados[GM_M]=0))+SUMPRODUCT((TRIM(tblDados[Visitante])=$A702)*tblDados[Primeira_Ocorrencia]*(tblDados[GM_V]=0)))/G702,0))</f>
        <v/>
      </c>
      <c r="K702" s="16" t="str" cm="1">
        <f t="array" ref="K702">IF($A702="","",IFERROR((SUMPRODUCT((TRIM(tblDados[Mandante])=$A702)*tblDados[Primeira_Ocorrencia]*((tblDados[GM_M]+tblDados[GS_M])&gt;0.5))+SUMPRODUCT((TRIM(tblDados[Visitante])=$A702)*tblDados[Primeira_Ocorrencia]*((tblDados[GM_V]+tblDados[GS_V])&gt;0.5)))/G702,0))</f>
        <v/>
      </c>
      <c r="L702" s="16" t="str" cm="1">
        <f t="array" ref="L702">IF($A702="","",IFERROR((SUMPRODUCT((TRIM(tblDados[Mandante])=$A702)*tblDados[Primeira_Ocorrencia]*((tblDados[GM_M]+tblDados[GS_M])&gt;1.5))+SUMPRODUCT((TRIM(tblDados[Visitante])=$A702)*tblDados[Primeira_Ocorrencia]*((tblDados[GM_V]+tblDados[GS_V])&gt;1.5)))/G702,0))</f>
        <v/>
      </c>
      <c r="M702" s="16" t="str" cm="1">
        <f t="array" ref="M702">IF($A702="","",IFERROR((SUMPRODUCT((TRIM(tblDados[Mandante])=$A702)*tblDados[Primeira_Ocorrencia]*((tblDados[GM_M]+tblDados[GS_M])&gt;2.5))+SUMPRODUCT((TRIM(tblDados[Visitante])=$A702)*tblDados[Primeira_Ocorrencia]*((tblDados[GM_V]+tblDados[GS_V])&gt;2.5)))/G702,0))</f>
        <v/>
      </c>
      <c r="N702" s="16" t="str" cm="1">
        <f t="array" ref="N702">IF($A702="","",IFERROR((SUMPRODUCT((TRIM(tblDados[Mandante])=$A702)*tblDados[Primeira_Ocorrencia]*((tblDados[GM_M]+tblDados[GS_M])&gt;3.5))+SUMPRODUCT((TRIM(tblDados[Visitante])=$A702)*tblDados[Primeira_Ocorrencia]*((tblDados[GM_V]+tblDados[GS_V])&gt;3.5)))/G702,0))</f>
        <v/>
      </c>
      <c r="O702" s="16" t="str" cm="1">
        <f t="array" ref="O702">IF($A702="","",IFERROR((SUMPRODUCT((TRIM(tblDados[Mandante])=$A702)*tblDados[Primeira_Ocorrencia]*(tblDados[GM_M]&gt;0)*(tblDados[GS_M]&gt;0))+SUMPRODUCT((TRIM(tblDados[Visitante])=$A702)*tblDados[Primeira_Ocorrencia]*(tblDados[GM_V]&gt;0)*(tblDados[GS_V]&gt;0)))/G702,0))</f>
        <v/>
      </c>
      <c r="P702" s="14" t="str" cm="1">
        <f t="array" ref="P702">IF($A702="","",IFERROR((SUMPRODUCT((TRIM(tblDados[Mandante])=$A702)*tblDados[Primeira_Ocorrencia]*tblDados[GM_M]^2)+SUMPRODUCT((TRIM(tblDados[Visitante])=$A702)*tblDados[Primeira_Ocorrencia]*tblDados[GM_V]^2))/G702-H702^2,0))</f>
        <v/>
      </c>
      <c r="Q702" s="14" t="str">
        <f t="shared" si="187"/>
        <v/>
      </c>
      <c r="R702" s="1" t="str">
        <f t="shared" si="188"/>
        <v/>
      </c>
      <c r="S702" s="14" t="str" cm="1">
        <f t="array" ref="S702">IF($A702="","",SUMPRODUCT((TRIM(tblDados[Mandante])=$A702)*tblDados[Primeira_Ocorrencia]*tblDados[GM_M]))</f>
        <v/>
      </c>
      <c r="T702" s="14" t="str" cm="1">
        <f t="array" ref="T702">IF($A702="","",SUMPRODUCT((TRIM(tblDados[Visitante])=$A702)*tblDados[Primeira_Ocorrencia]*tblDados[GM_V]))</f>
        <v/>
      </c>
      <c r="U702" s="14" t="str">
        <f t="shared" si="189"/>
        <v/>
      </c>
      <c r="V702" s="14" t="str">
        <f t="shared" si="178"/>
        <v/>
      </c>
      <c r="W702" s="14" t="str" cm="1">
        <f t="array" ref="W702">IF($A702="","",SUMPRODUCT((TRIM(tblDados[Mandante])=$A702)*tblDados[Primeira_Ocorrencia]*tblDados[GS_M]))</f>
        <v/>
      </c>
      <c r="X702" s="14" t="str" cm="1">
        <f t="array" ref="X702">IF($A702="","",SUMPRODUCT((TRIM(tblDados[Visitante])=$A702)*tblDados[Primeira_Ocorrencia]*tblDados[GS_V]))</f>
        <v/>
      </c>
      <c r="Y702" s="14" t="str">
        <f t="shared" si="190"/>
        <v/>
      </c>
      <c r="Z702" s="14" t="str">
        <f t="shared" si="179"/>
        <v/>
      </c>
      <c r="AA702" s="14" t="str">
        <f t="shared" si="180"/>
        <v/>
      </c>
      <c r="AB702" s="14" t="str">
        <f t="shared" si="181"/>
        <v/>
      </c>
      <c r="AC702" s="14" t="str">
        <f t="shared" si="182"/>
        <v/>
      </c>
      <c r="AD702" s="14" t="str">
        <f t="shared" si="183"/>
        <v/>
      </c>
    </row>
    <row r="703" spans="2:30" x14ac:dyDescent="0.3">
      <c r="B703" s="13" t="str" cm="1">
        <f t="array" ref="B703">IF($A703="","",_xlfn.LET(_xlpm.p,IFERROR(INDEX(tblDados[País],MATCH($A703,TRIM(tblDados[Mandante]),0)),INDEX(tblDados[País],MATCH($A703,TRIM(tblDados[Visitante]),0))),_xlpm.l,IFERROR(INDEX(tblDados[Liga],MATCH($A703,TRIM(tblDados[Mandante]),0)),INDEX(tblDados[Liga],MATCH($A703,TRIM(tblDados[Visitante]),0))),_xlpm.p&amp;" - "&amp;_xlpm.l))</f>
        <v/>
      </c>
      <c r="C703" s="14" t="str">
        <f t="shared" si="184"/>
        <v/>
      </c>
      <c r="D703" s="14" t="str">
        <f t="shared" si="185"/>
        <v/>
      </c>
      <c r="E703" s="15" t="str" cm="1">
        <f t="array" ref="E703">IF($A703="","",SUMPRODUCT((TRIM(tblDados[Mandante])=$A703)*tblDados[Primeira_Ocorrencia]))</f>
        <v/>
      </c>
      <c r="F703" s="15" t="str" cm="1">
        <f t="array" ref="F703">IF($A703="","",SUMPRODUCT((TRIM(tblDados[Visitante])=$A703)*tblDados[Primeira_Ocorrencia]))</f>
        <v/>
      </c>
      <c r="G703" s="15" t="str" cm="1">
        <f t="array" ref="G703">IF($A703="","",SUMPRODUCT((TRIM(tblDados[Mandante])=$A703)*tblDados[Primeira_Ocorrencia])+SUMPRODUCT((TRIM(tblDados[Visitante])=$A703)*tblDados[Primeira_Ocorrencia]))</f>
        <v/>
      </c>
      <c r="H703" s="14" t="str">
        <f t="shared" si="186"/>
        <v/>
      </c>
      <c r="I703" s="14" t="str" cm="1">
        <f t="array" ref="I703">IF($A703="","",_xlfn.LET(_xlpm.p,IFERROR(INDEX(tblDados[País],MATCH($A703,TRIM(tblDados[Mandante]),0)),INDEX(tblDados[País],MATCH($A703,TRIM(tblDados[Visitante]),0))),_xlpm.l,IFERROR(INDEX(tblDados[Liga],MATCH($A703,TRIM(tblDados[Mandante]),0)),INDEX(tblDados[Liga],MATCH($A703,TRIM(tblDados[Visitante]),0))),IFERROR(SUMIFS(Ligas!$D$2:$D$39,Ligas!$H$2:$H$39,_xlpm.p,Ligas!$I$2:$I$39,_xlpm.l),0)))</f>
        <v/>
      </c>
      <c r="J703" s="16" t="str" cm="1">
        <f t="array" ref="J703">IF($A703="","",IFERROR((SUMPRODUCT((TRIM(tblDados[Mandante])=$A703)*tblDados[Primeira_Ocorrencia]*(tblDados[GM_M]=0))+SUMPRODUCT((TRIM(tblDados[Visitante])=$A703)*tblDados[Primeira_Ocorrencia]*(tblDados[GM_V]=0)))/G703,0))</f>
        <v/>
      </c>
      <c r="K703" s="16" t="str" cm="1">
        <f t="array" ref="K703">IF($A703="","",IFERROR((SUMPRODUCT((TRIM(tblDados[Mandante])=$A703)*tblDados[Primeira_Ocorrencia]*((tblDados[GM_M]+tblDados[GS_M])&gt;0.5))+SUMPRODUCT((TRIM(tblDados[Visitante])=$A703)*tblDados[Primeira_Ocorrencia]*((tblDados[GM_V]+tblDados[GS_V])&gt;0.5)))/G703,0))</f>
        <v/>
      </c>
      <c r="L703" s="16" t="str" cm="1">
        <f t="array" ref="L703">IF($A703="","",IFERROR((SUMPRODUCT((TRIM(tblDados[Mandante])=$A703)*tblDados[Primeira_Ocorrencia]*((tblDados[GM_M]+tblDados[GS_M])&gt;1.5))+SUMPRODUCT((TRIM(tblDados[Visitante])=$A703)*tblDados[Primeira_Ocorrencia]*((tblDados[GM_V]+tblDados[GS_V])&gt;1.5)))/G703,0))</f>
        <v/>
      </c>
      <c r="M703" s="16" t="str" cm="1">
        <f t="array" ref="M703">IF($A703="","",IFERROR((SUMPRODUCT((TRIM(tblDados[Mandante])=$A703)*tblDados[Primeira_Ocorrencia]*((tblDados[GM_M]+tblDados[GS_M])&gt;2.5))+SUMPRODUCT((TRIM(tblDados[Visitante])=$A703)*tblDados[Primeira_Ocorrencia]*((tblDados[GM_V]+tblDados[GS_V])&gt;2.5)))/G703,0))</f>
        <v/>
      </c>
      <c r="N703" s="16" t="str" cm="1">
        <f t="array" ref="N703">IF($A703="","",IFERROR((SUMPRODUCT((TRIM(tblDados[Mandante])=$A703)*tblDados[Primeira_Ocorrencia]*((tblDados[GM_M]+tblDados[GS_M])&gt;3.5))+SUMPRODUCT((TRIM(tblDados[Visitante])=$A703)*tblDados[Primeira_Ocorrencia]*((tblDados[GM_V]+tblDados[GS_V])&gt;3.5)))/G703,0))</f>
        <v/>
      </c>
      <c r="O703" s="16" t="str" cm="1">
        <f t="array" ref="O703">IF($A703="","",IFERROR((SUMPRODUCT((TRIM(tblDados[Mandante])=$A703)*tblDados[Primeira_Ocorrencia]*(tblDados[GM_M]&gt;0)*(tblDados[GS_M]&gt;0))+SUMPRODUCT((TRIM(tblDados[Visitante])=$A703)*tblDados[Primeira_Ocorrencia]*(tblDados[GM_V]&gt;0)*(tblDados[GS_V]&gt;0)))/G703,0))</f>
        <v/>
      </c>
      <c r="P703" s="14" t="str" cm="1">
        <f t="array" ref="P703">IF($A703="","",IFERROR((SUMPRODUCT((TRIM(tblDados[Mandante])=$A703)*tblDados[Primeira_Ocorrencia]*tblDados[GM_M]^2)+SUMPRODUCT((TRIM(tblDados[Visitante])=$A703)*tblDados[Primeira_Ocorrencia]*tblDados[GM_V]^2))/G703-H703^2,0))</f>
        <v/>
      </c>
      <c r="Q703" s="14" t="str">
        <f t="shared" si="187"/>
        <v/>
      </c>
      <c r="R703" s="1" t="str">
        <f t="shared" si="188"/>
        <v/>
      </c>
      <c r="S703" s="14" t="str" cm="1">
        <f t="array" ref="S703">IF($A703="","",SUMPRODUCT((TRIM(tblDados[Mandante])=$A703)*tblDados[Primeira_Ocorrencia]*tblDados[GM_M]))</f>
        <v/>
      </c>
      <c r="T703" s="14" t="str" cm="1">
        <f t="array" ref="T703">IF($A703="","",SUMPRODUCT((TRIM(tblDados[Visitante])=$A703)*tblDados[Primeira_Ocorrencia]*tblDados[GM_V]))</f>
        <v/>
      </c>
      <c r="U703" s="14" t="str">
        <f t="shared" si="189"/>
        <v/>
      </c>
      <c r="V703" s="14" t="str">
        <f t="shared" si="178"/>
        <v/>
      </c>
      <c r="W703" s="14" t="str" cm="1">
        <f t="array" ref="W703">IF($A703="","",SUMPRODUCT((TRIM(tblDados[Mandante])=$A703)*tblDados[Primeira_Ocorrencia]*tblDados[GS_M]))</f>
        <v/>
      </c>
      <c r="X703" s="14" t="str" cm="1">
        <f t="array" ref="X703">IF($A703="","",SUMPRODUCT((TRIM(tblDados[Visitante])=$A703)*tblDados[Primeira_Ocorrencia]*tblDados[GS_V]))</f>
        <v/>
      </c>
      <c r="Y703" s="14" t="str">
        <f t="shared" si="190"/>
        <v/>
      </c>
      <c r="Z703" s="14" t="str">
        <f t="shared" si="179"/>
        <v/>
      </c>
      <c r="AA703" s="14" t="str">
        <f t="shared" si="180"/>
        <v/>
      </c>
      <c r="AB703" s="14" t="str">
        <f t="shared" si="181"/>
        <v/>
      </c>
      <c r="AC703" s="14" t="str">
        <f t="shared" si="182"/>
        <v/>
      </c>
      <c r="AD703" s="14" t="str">
        <f t="shared" si="183"/>
        <v/>
      </c>
    </row>
    <row r="704" spans="2:30" x14ac:dyDescent="0.3">
      <c r="B704" s="13" t="str" cm="1">
        <f t="array" ref="B704">IF($A704="","",_xlfn.LET(_xlpm.p,IFERROR(INDEX(tblDados[País],MATCH($A704,TRIM(tblDados[Mandante]),0)),INDEX(tblDados[País],MATCH($A704,TRIM(tblDados[Visitante]),0))),_xlpm.l,IFERROR(INDEX(tblDados[Liga],MATCH($A704,TRIM(tblDados[Mandante]),0)),INDEX(tblDados[Liga],MATCH($A704,TRIM(tblDados[Visitante]),0))),_xlpm.p&amp;" - "&amp;_xlpm.l))</f>
        <v/>
      </c>
      <c r="C704" s="14" t="str">
        <f t="shared" si="184"/>
        <v/>
      </c>
      <c r="D704" s="14" t="str">
        <f t="shared" si="185"/>
        <v/>
      </c>
      <c r="E704" s="15" t="str" cm="1">
        <f t="array" ref="E704">IF($A704="","",SUMPRODUCT((TRIM(tblDados[Mandante])=$A704)*tblDados[Primeira_Ocorrencia]))</f>
        <v/>
      </c>
      <c r="F704" s="15" t="str" cm="1">
        <f t="array" ref="F704">IF($A704="","",SUMPRODUCT((TRIM(tblDados[Visitante])=$A704)*tblDados[Primeira_Ocorrencia]))</f>
        <v/>
      </c>
      <c r="G704" s="15" t="str" cm="1">
        <f t="array" ref="G704">IF($A704="","",SUMPRODUCT((TRIM(tblDados[Mandante])=$A704)*tblDados[Primeira_Ocorrencia])+SUMPRODUCT((TRIM(tblDados[Visitante])=$A704)*tblDados[Primeira_Ocorrencia]))</f>
        <v/>
      </c>
      <c r="H704" s="14" t="str">
        <f t="shared" si="186"/>
        <v/>
      </c>
      <c r="I704" s="14" t="str" cm="1">
        <f t="array" ref="I704">IF($A704="","",_xlfn.LET(_xlpm.p,IFERROR(INDEX(tblDados[País],MATCH($A704,TRIM(tblDados[Mandante]),0)),INDEX(tblDados[País],MATCH($A704,TRIM(tblDados[Visitante]),0))),_xlpm.l,IFERROR(INDEX(tblDados[Liga],MATCH($A704,TRIM(tblDados[Mandante]),0)),INDEX(tblDados[Liga],MATCH($A704,TRIM(tblDados[Visitante]),0))),IFERROR(SUMIFS(Ligas!$D$2:$D$39,Ligas!$H$2:$H$39,_xlpm.p,Ligas!$I$2:$I$39,_xlpm.l),0)))</f>
        <v/>
      </c>
      <c r="J704" s="16" t="str" cm="1">
        <f t="array" ref="J704">IF($A704="","",IFERROR((SUMPRODUCT((TRIM(tblDados[Mandante])=$A704)*tblDados[Primeira_Ocorrencia]*(tblDados[GM_M]=0))+SUMPRODUCT((TRIM(tblDados[Visitante])=$A704)*tblDados[Primeira_Ocorrencia]*(tblDados[GM_V]=0)))/G704,0))</f>
        <v/>
      </c>
      <c r="K704" s="16" t="str" cm="1">
        <f t="array" ref="K704">IF($A704="","",IFERROR((SUMPRODUCT((TRIM(tblDados[Mandante])=$A704)*tblDados[Primeira_Ocorrencia]*((tblDados[GM_M]+tblDados[GS_M])&gt;0.5))+SUMPRODUCT((TRIM(tblDados[Visitante])=$A704)*tblDados[Primeira_Ocorrencia]*((tblDados[GM_V]+tblDados[GS_V])&gt;0.5)))/G704,0))</f>
        <v/>
      </c>
      <c r="L704" s="16" t="str" cm="1">
        <f t="array" ref="L704">IF($A704="","",IFERROR((SUMPRODUCT((TRIM(tblDados[Mandante])=$A704)*tblDados[Primeira_Ocorrencia]*((tblDados[GM_M]+tblDados[GS_M])&gt;1.5))+SUMPRODUCT((TRIM(tblDados[Visitante])=$A704)*tblDados[Primeira_Ocorrencia]*((tblDados[GM_V]+tblDados[GS_V])&gt;1.5)))/G704,0))</f>
        <v/>
      </c>
      <c r="M704" s="16" t="str" cm="1">
        <f t="array" ref="M704">IF($A704="","",IFERROR((SUMPRODUCT((TRIM(tblDados[Mandante])=$A704)*tblDados[Primeira_Ocorrencia]*((tblDados[GM_M]+tblDados[GS_M])&gt;2.5))+SUMPRODUCT((TRIM(tblDados[Visitante])=$A704)*tblDados[Primeira_Ocorrencia]*((tblDados[GM_V]+tblDados[GS_V])&gt;2.5)))/G704,0))</f>
        <v/>
      </c>
      <c r="N704" s="16" t="str" cm="1">
        <f t="array" ref="N704">IF($A704="","",IFERROR((SUMPRODUCT((TRIM(tblDados[Mandante])=$A704)*tblDados[Primeira_Ocorrencia]*((tblDados[GM_M]+tblDados[GS_M])&gt;3.5))+SUMPRODUCT((TRIM(tblDados[Visitante])=$A704)*tblDados[Primeira_Ocorrencia]*((tblDados[GM_V]+tblDados[GS_V])&gt;3.5)))/G704,0))</f>
        <v/>
      </c>
      <c r="O704" s="16" t="str" cm="1">
        <f t="array" ref="O704">IF($A704="","",IFERROR((SUMPRODUCT((TRIM(tblDados[Mandante])=$A704)*tblDados[Primeira_Ocorrencia]*(tblDados[GM_M]&gt;0)*(tblDados[GS_M]&gt;0))+SUMPRODUCT((TRIM(tblDados[Visitante])=$A704)*tblDados[Primeira_Ocorrencia]*(tblDados[GM_V]&gt;0)*(tblDados[GS_V]&gt;0)))/G704,0))</f>
        <v/>
      </c>
      <c r="P704" s="14" t="str" cm="1">
        <f t="array" ref="P704">IF($A704="","",IFERROR((SUMPRODUCT((TRIM(tblDados[Mandante])=$A704)*tblDados[Primeira_Ocorrencia]*tblDados[GM_M]^2)+SUMPRODUCT((TRIM(tblDados[Visitante])=$A704)*tblDados[Primeira_Ocorrencia]*tblDados[GM_V]^2))/G704-H704^2,0))</f>
        <v/>
      </c>
      <c r="Q704" s="14" t="str">
        <f t="shared" si="187"/>
        <v/>
      </c>
      <c r="R704" s="1" t="str">
        <f t="shared" si="188"/>
        <v/>
      </c>
      <c r="S704" s="14" t="str" cm="1">
        <f t="array" ref="S704">IF($A704="","",SUMPRODUCT((TRIM(tblDados[Mandante])=$A704)*tblDados[Primeira_Ocorrencia]*tblDados[GM_M]))</f>
        <v/>
      </c>
      <c r="T704" s="14" t="str" cm="1">
        <f t="array" ref="T704">IF($A704="","",SUMPRODUCT((TRIM(tblDados[Visitante])=$A704)*tblDados[Primeira_Ocorrencia]*tblDados[GM_V]))</f>
        <v/>
      </c>
      <c r="U704" s="14" t="str">
        <f t="shared" si="189"/>
        <v/>
      </c>
      <c r="V704" s="14" t="str">
        <f t="shared" si="178"/>
        <v/>
      </c>
      <c r="W704" s="14" t="str" cm="1">
        <f t="array" ref="W704">IF($A704="","",SUMPRODUCT((TRIM(tblDados[Mandante])=$A704)*tblDados[Primeira_Ocorrencia]*tblDados[GS_M]))</f>
        <v/>
      </c>
      <c r="X704" s="14" t="str" cm="1">
        <f t="array" ref="X704">IF($A704="","",SUMPRODUCT((TRIM(tblDados[Visitante])=$A704)*tblDados[Primeira_Ocorrencia]*tblDados[GS_V]))</f>
        <v/>
      </c>
      <c r="Y704" s="14" t="str">
        <f t="shared" si="190"/>
        <v/>
      </c>
      <c r="Z704" s="14" t="str">
        <f t="shared" si="179"/>
        <v/>
      </c>
      <c r="AA704" s="14" t="str">
        <f t="shared" si="180"/>
        <v/>
      </c>
      <c r="AB704" s="14" t="str">
        <f t="shared" si="181"/>
        <v/>
      </c>
      <c r="AC704" s="14" t="str">
        <f t="shared" si="182"/>
        <v/>
      </c>
      <c r="AD704" s="14" t="str">
        <f t="shared" si="183"/>
        <v/>
      </c>
    </row>
    <row r="705" spans="2:30" x14ac:dyDescent="0.3">
      <c r="B705" s="13" t="str" cm="1">
        <f t="array" ref="B705">IF($A705="","",_xlfn.LET(_xlpm.p,IFERROR(INDEX(tblDados[País],MATCH($A705,TRIM(tblDados[Mandante]),0)),INDEX(tblDados[País],MATCH($A705,TRIM(tblDados[Visitante]),0))),_xlpm.l,IFERROR(INDEX(tblDados[Liga],MATCH($A705,TRIM(tblDados[Mandante]),0)),INDEX(tblDados[Liga],MATCH($A705,TRIM(tblDados[Visitante]),0))),_xlpm.p&amp;" - "&amp;_xlpm.l))</f>
        <v/>
      </c>
      <c r="C705" s="14" t="str">
        <f t="shared" si="184"/>
        <v/>
      </c>
      <c r="D705" s="14" t="str">
        <f t="shared" si="185"/>
        <v/>
      </c>
      <c r="E705" s="15" t="str" cm="1">
        <f t="array" ref="E705">IF($A705="","",SUMPRODUCT((TRIM(tblDados[Mandante])=$A705)*tblDados[Primeira_Ocorrencia]))</f>
        <v/>
      </c>
      <c r="F705" s="15" t="str" cm="1">
        <f t="array" ref="F705">IF($A705="","",SUMPRODUCT((TRIM(tblDados[Visitante])=$A705)*tblDados[Primeira_Ocorrencia]))</f>
        <v/>
      </c>
      <c r="G705" s="15" t="str" cm="1">
        <f t="array" ref="G705">IF($A705="","",SUMPRODUCT((TRIM(tblDados[Mandante])=$A705)*tblDados[Primeira_Ocorrencia])+SUMPRODUCT((TRIM(tblDados[Visitante])=$A705)*tblDados[Primeira_Ocorrencia]))</f>
        <v/>
      </c>
      <c r="H705" s="14" t="str">
        <f t="shared" si="186"/>
        <v/>
      </c>
      <c r="I705" s="14" t="str" cm="1">
        <f t="array" ref="I705">IF($A705="","",_xlfn.LET(_xlpm.p,IFERROR(INDEX(tblDados[País],MATCH($A705,TRIM(tblDados[Mandante]),0)),INDEX(tblDados[País],MATCH($A705,TRIM(tblDados[Visitante]),0))),_xlpm.l,IFERROR(INDEX(tblDados[Liga],MATCH($A705,TRIM(tblDados[Mandante]),0)),INDEX(tblDados[Liga],MATCH($A705,TRIM(tblDados[Visitante]),0))),IFERROR(SUMIFS(Ligas!$D$2:$D$39,Ligas!$H$2:$H$39,_xlpm.p,Ligas!$I$2:$I$39,_xlpm.l),0)))</f>
        <v/>
      </c>
      <c r="J705" s="16" t="str" cm="1">
        <f t="array" ref="J705">IF($A705="","",IFERROR((SUMPRODUCT((TRIM(tblDados[Mandante])=$A705)*tblDados[Primeira_Ocorrencia]*(tblDados[GM_M]=0))+SUMPRODUCT((TRIM(tblDados[Visitante])=$A705)*tblDados[Primeira_Ocorrencia]*(tblDados[GM_V]=0)))/G705,0))</f>
        <v/>
      </c>
      <c r="K705" s="16" t="str" cm="1">
        <f t="array" ref="K705">IF($A705="","",IFERROR((SUMPRODUCT((TRIM(tblDados[Mandante])=$A705)*tblDados[Primeira_Ocorrencia]*((tblDados[GM_M]+tblDados[GS_M])&gt;0.5))+SUMPRODUCT((TRIM(tblDados[Visitante])=$A705)*tblDados[Primeira_Ocorrencia]*((tblDados[GM_V]+tblDados[GS_V])&gt;0.5)))/G705,0))</f>
        <v/>
      </c>
      <c r="L705" s="16" t="str" cm="1">
        <f t="array" ref="L705">IF($A705="","",IFERROR((SUMPRODUCT((TRIM(tblDados[Mandante])=$A705)*tblDados[Primeira_Ocorrencia]*((tblDados[GM_M]+tblDados[GS_M])&gt;1.5))+SUMPRODUCT((TRIM(tblDados[Visitante])=$A705)*tblDados[Primeira_Ocorrencia]*((tblDados[GM_V]+tblDados[GS_V])&gt;1.5)))/G705,0))</f>
        <v/>
      </c>
      <c r="M705" s="16" t="str" cm="1">
        <f t="array" ref="M705">IF($A705="","",IFERROR((SUMPRODUCT((TRIM(tblDados[Mandante])=$A705)*tblDados[Primeira_Ocorrencia]*((tblDados[GM_M]+tblDados[GS_M])&gt;2.5))+SUMPRODUCT((TRIM(tblDados[Visitante])=$A705)*tblDados[Primeira_Ocorrencia]*((tblDados[GM_V]+tblDados[GS_V])&gt;2.5)))/G705,0))</f>
        <v/>
      </c>
      <c r="N705" s="16" t="str" cm="1">
        <f t="array" ref="N705">IF($A705="","",IFERROR((SUMPRODUCT((TRIM(tblDados[Mandante])=$A705)*tblDados[Primeira_Ocorrencia]*((tblDados[GM_M]+tblDados[GS_M])&gt;3.5))+SUMPRODUCT((TRIM(tblDados[Visitante])=$A705)*tblDados[Primeira_Ocorrencia]*((tblDados[GM_V]+tblDados[GS_V])&gt;3.5)))/G705,0))</f>
        <v/>
      </c>
      <c r="O705" s="16" t="str" cm="1">
        <f t="array" ref="O705">IF($A705="","",IFERROR((SUMPRODUCT((TRIM(tblDados[Mandante])=$A705)*tblDados[Primeira_Ocorrencia]*(tblDados[GM_M]&gt;0)*(tblDados[GS_M]&gt;0))+SUMPRODUCT((TRIM(tblDados[Visitante])=$A705)*tblDados[Primeira_Ocorrencia]*(tblDados[GM_V]&gt;0)*(tblDados[GS_V]&gt;0)))/G705,0))</f>
        <v/>
      </c>
      <c r="P705" s="14" t="str" cm="1">
        <f t="array" ref="P705">IF($A705="","",IFERROR((SUMPRODUCT((TRIM(tblDados[Mandante])=$A705)*tblDados[Primeira_Ocorrencia]*tblDados[GM_M]^2)+SUMPRODUCT((TRIM(tblDados[Visitante])=$A705)*tblDados[Primeira_Ocorrencia]*tblDados[GM_V]^2))/G705-H705^2,0))</f>
        <v/>
      </c>
      <c r="Q705" s="14" t="str">
        <f t="shared" si="187"/>
        <v/>
      </c>
      <c r="R705" s="1" t="str">
        <f t="shared" si="188"/>
        <v/>
      </c>
      <c r="S705" s="14" t="str" cm="1">
        <f t="array" ref="S705">IF($A705="","",SUMPRODUCT((TRIM(tblDados[Mandante])=$A705)*tblDados[Primeira_Ocorrencia]*tblDados[GM_M]))</f>
        <v/>
      </c>
      <c r="T705" s="14" t="str" cm="1">
        <f t="array" ref="T705">IF($A705="","",SUMPRODUCT((TRIM(tblDados[Visitante])=$A705)*tblDados[Primeira_Ocorrencia]*tblDados[GM_V]))</f>
        <v/>
      </c>
      <c r="U705" s="14" t="str">
        <f t="shared" si="189"/>
        <v/>
      </c>
      <c r="V705" s="14" t="str">
        <f t="shared" si="178"/>
        <v/>
      </c>
      <c r="W705" s="14" t="str" cm="1">
        <f t="array" ref="W705">IF($A705="","",SUMPRODUCT((TRIM(tblDados[Mandante])=$A705)*tblDados[Primeira_Ocorrencia]*tblDados[GS_M]))</f>
        <v/>
      </c>
      <c r="X705" s="14" t="str" cm="1">
        <f t="array" ref="X705">IF($A705="","",SUMPRODUCT((TRIM(tblDados[Visitante])=$A705)*tblDados[Primeira_Ocorrencia]*tblDados[GS_V]))</f>
        <v/>
      </c>
      <c r="Y705" s="14" t="str">
        <f t="shared" si="190"/>
        <v/>
      </c>
      <c r="Z705" s="14" t="str">
        <f t="shared" si="179"/>
        <v/>
      </c>
      <c r="AA705" s="14" t="str">
        <f t="shared" si="180"/>
        <v/>
      </c>
      <c r="AB705" s="14" t="str">
        <f t="shared" si="181"/>
        <v/>
      </c>
      <c r="AC705" s="14" t="str">
        <f t="shared" si="182"/>
        <v/>
      </c>
      <c r="AD705" s="14" t="str">
        <f t="shared" si="183"/>
        <v/>
      </c>
    </row>
    <row r="706" spans="2:30" x14ac:dyDescent="0.3">
      <c r="B706" s="13" t="str" cm="1">
        <f t="array" ref="B706">IF($A706="","",_xlfn.LET(_xlpm.p,IFERROR(INDEX(tblDados[País],MATCH($A706,TRIM(tblDados[Mandante]),0)),INDEX(tblDados[País],MATCH($A706,TRIM(tblDados[Visitante]),0))),_xlpm.l,IFERROR(INDEX(tblDados[Liga],MATCH($A706,TRIM(tblDados[Mandante]),0)),INDEX(tblDados[Liga],MATCH($A706,TRIM(tblDados[Visitante]),0))),_xlpm.p&amp;" - "&amp;_xlpm.l))</f>
        <v/>
      </c>
      <c r="C706" s="14" t="str">
        <f t="shared" si="184"/>
        <v/>
      </c>
      <c r="D706" s="14" t="str">
        <f t="shared" si="185"/>
        <v/>
      </c>
      <c r="E706" s="15" t="str" cm="1">
        <f t="array" ref="E706">IF($A706="","",SUMPRODUCT((TRIM(tblDados[Mandante])=$A706)*tblDados[Primeira_Ocorrencia]))</f>
        <v/>
      </c>
      <c r="F706" s="15" t="str" cm="1">
        <f t="array" ref="F706">IF($A706="","",SUMPRODUCT((TRIM(tblDados[Visitante])=$A706)*tblDados[Primeira_Ocorrencia]))</f>
        <v/>
      </c>
      <c r="G706" s="15" t="str" cm="1">
        <f t="array" ref="G706">IF($A706="","",SUMPRODUCT((TRIM(tblDados[Mandante])=$A706)*tblDados[Primeira_Ocorrencia])+SUMPRODUCT((TRIM(tblDados[Visitante])=$A706)*tblDados[Primeira_Ocorrencia]))</f>
        <v/>
      </c>
      <c r="H706" s="14" t="str">
        <f t="shared" si="186"/>
        <v/>
      </c>
      <c r="I706" s="14" t="str" cm="1">
        <f t="array" ref="I706">IF($A706="","",_xlfn.LET(_xlpm.p,IFERROR(INDEX(tblDados[País],MATCH($A706,TRIM(tblDados[Mandante]),0)),INDEX(tblDados[País],MATCH($A706,TRIM(tblDados[Visitante]),0))),_xlpm.l,IFERROR(INDEX(tblDados[Liga],MATCH($A706,TRIM(tblDados[Mandante]),0)),INDEX(tblDados[Liga],MATCH($A706,TRIM(tblDados[Visitante]),0))),IFERROR(SUMIFS(Ligas!$D$2:$D$39,Ligas!$H$2:$H$39,_xlpm.p,Ligas!$I$2:$I$39,_xlpm.l),0)))</f>
        <v/>
      </c>
      <c r="J706" s="16" t="str" cm="1">
        <f t="array" ref="J706">IF($A706="","",IFERROR((SUMPRODUCT((TRIM(tblDados[Mandante])=$A706)*tblDados[Primeira_Ocorrencia]*(tblDados[GM_M]=0))+SUMPRODUCT((TRIM(tblDados[Visitante])=$A706)*tblDados[Primeira_Ocorrencia]*(tblDados[GM_V]=0)))/G706,0))</f>
        <v/>
      </c>
      <c r="K706" s="16" t="str" cm="1">
        <f t="array" ref="K706">IF($A706="","",IFERROR((SUMPRODUCT((TRIM(tblDados[Mandante])=$A706)*tblDados[Primeira_Ocorrencia]*((tblDados[GM_M]+tblDados[GS_M])&gt;0.5))+SUMPRODUCT((TRIM(tblDados[Visitante])=$A706)*tblDados[Primeira_Ocorrencia]*((tblDados[GM_V]+tblDados[GS_V])&gt;0.5)))/G706,0))</f>
        <v/>
      </c>
      <c r="L706" s="16" t="str" cm="1">
        <f t="array" ref="L706">IF($A706="","",IFERROR((SUMPRODUCT((TRIM(tblDados[Mandante])=$A706)*tblDados[Primeira_Ocorrencia]*((tblDados[GM_M]+tblDados[GS_M])&gt;1.5))+SUMPRODUCT((TRIM(tblDados[Visitante])=$A706)*tblDados[Primeira_Ocorrencia]*((tblDados[GM_V]+tblDados[GS_V])&gt;1.5)))/G706,0))</f>
        <v/>
      </c>
      <c r="M706" s="16" t="str" cm="1">
        <f t="array" ref="M706">IF($A706="","",IFERROR((SUMPRODUCT((TRIM(tblDados[Mandante])=$A706)*tblDados[Primeira_Ocorrencia]*((tblDados[GM_M]+tblDados[GS_M])&gt;2.5))+SUMPRODUCT((TRIM(tblDados[Visitante])=$A706)*tblDados[Primeira_Ocorrencia]*((tblDados[GM_V]+tblDados[GS_V])&gt;2.5)))/G706,0))</f>
        <v/>
      </c>
      <c r="N706" s="16" t="str" cm="1">
        <f t="array" ref="N706">IF($A706="","",IFERROR((SUMPRODUCT((TRIM(tblDados[Mandante])=$A706)*tblDados[Primeira_Ocorrencia]*((tblDados[GM_M]+tblDados[GS_M])&gt;3.5))+SUMPRODUCT((TRIM(tblDados[Visitante])=$A706)*tblDados[Primeira_Ocorrencia]*((tblDados[GM_V]+tblDados[GS_V])&gt;3.5)))/G706,0))</f>
        <v/>
      </c>
      <c r="O706" s="16" t="str" cm="1">
        <f t="array" ref="O706">IF($A706="","",IFERROR((SUMPRODUCT((TRIM(tblDados[Mandante])=$A706)*tblDados[Primeira_Ocorrencia]*(tblDados[GM_M]&gt;0)*(tblDados[GS_M]&gt;0))+SUMPRODUCT((TRIM(tblDados[Visitante])=$A706)*tblDados[Primeira_Ocorrencia]*(tblDados[GM_V]&gt;0)*(tblDados[GS_V]&gt;0)))/G706,0))</f>
        <v/>
      </c>
      <c r="P706" s="14" t="str" cm="1">
        <f t="array" ref="P706">IF($A706="","",IFERROR((SUMPRODUCT((TRIM(tblDados[Mandante])=$A706)*tblDados[Primeira_Ocorrencia]*tblDados[GM_M]^2)+SUMPRODUCT((TRIM(tblDados[Visitante])=$A706)*tblDados[Primeira_Ocorrencia]*tblDados[GM_V]^2))/G706-H706^2,0))</f>
        <v/>
      </c>
      <c r="Q706" s="14" t="str">
        <f t="shared" si="187"/>
        <v/>
      </c>
      <c r="R706" s="1" t="str">
        <f t="shared" si="188"/>
        <v/>
      </c>
      <c r="S706" s="14" t="str" cm="1">
        <f t="array" ref="S706">IF($A706="","",SUMPRODUCT((TRIM(tblDados[Mandante])=$A706)*tblDados[Primeira_Ocorrencia]*tblDados[GM_M]))</f>
        <v/>
      </c>
      <c r="T706" s="14" t="str" cm="1">
        <f t="array" ref="T706">IF($A706="","",SUMPRODUCT((TRIM(tblDados[Visitante])=$A706)*tblDados[Primeira_Ocorrencia]*tblDados[GM_V]))</f>
        <v/>
      </c>
      <c r="U706" s="14" t="str">
        <f t="shared" si="189"/>
        <v/>
      </c>
      <c r="V706" s="14" t="str">
        <f t="shared" ref="V706:V769" si="191">IF($A706="","",IFERROR(U706/G706,0))</f>
        <v/>
      </c>
      <c r="W706" s="14" t="str" cm="1">
        <f t="array" ref="W706">IF($A706="","",SUMPRODUCT((TRIM(tblDados[Mandante])=$A706)*tblDados[Primeira_Ocorrencia]*tblDados[GS_M]))</f>
        <v/>
      </c>
      <c r="X706" s="14" t="str" cm="1">
        <f t="array" ref="X706">IF($A706="","",SUMPRODUCT((TRIM(tblDados[Visitante])=$A706)*tblDados[Primeira_Ocorrencia]*tblDados[GS_V]))</f>
        <v/>
      </c>
      <c r="Y706" s="14" t="str">
        <f t="shared" si="190"/>
        <v/>
      </c>
      <c r="Z706" s="14" t="str">
        <f t="shared" ref="Z706:Z769" si="192">IF($A706="","",IFERROR(Y706/G706,0))</f>
        <v/>
      </c>
      <c r="AA706" s="14" t="str">
        <f t="shared" ref="AA706:AA769" si="193">IF($A706="","",IF($E706=0,"",$S706/$E706))</f>
        <v/>
      </c>
      <c r="AB706" s="14" t="str">
        <f t="shared" ref="AB706:AB769" si="194">IF($A706="","",IF($E706=0,"",$W706/$E706))</f>
        <v/>
      </c>
      <c r="AC706" s="14" t="str">
        <f t="shared" ref="AC706:AC769" si="195">IF($A706="","",IF($F706=0,"",$T706/$F706))</f>
        <v/>
      </c>
      <c r="AD706" s="14" t="str">
        <f t="shared" ref="AD706:AD769" si="196">IF($A706="","",IF($F706=0,"",$X706/$F706))</f>
        <v/>
      </c>
    </row>
    <row r="707" spans="2:30" x14ac:dyDescent="0.3">
      <c r="B707" s="13" t="str" cm="1">
        <f t="array" ref="B707">IF($A707="","",_xlfn.LET(_xlpm.p,IFERROR(INDEX(tblDados[País],MATCH($A707,TRIM(tblDados[Mandante]),0)),INDEX(tblDados[País],MATCH($A707,TRIM(tblDados[Visitante]),0))),_xlpm.l,IFERROR(INDEX(tblDados[Liga],MATCH($A707,TRIM(tblDados[Mandante]),0)),INDEX(tblDados[Liga],MATCH($A707,TRIM(tblDados[Visitante]),0))),_xlpm.p&amp;" - "&amp;_xlpm.l))</f>
        <v/>
      </c>
      <c r="C707" s="14" t="str">
        <f t="shared" ref="C707:C770" si="197">IF($A707="","",IF($E707=0,"",$AA707+$AB707))</f>
        <v/>
      </c>
      <c r="D707" s="14" t="str">
        <f t="shared" ref="D707:D770" si="198">IF($A707="","",IF($F707=0,"",$AC707+$AD707))</f>
        <v/>
      </c>
      <c r="E707" s="15" t="str" cm="1">
        <f t="array" ref="E707">IF($A707="","",SUMPRODUCT((TRIM(tblDados[Mandante])=$A707)*tblDados[Primeira_Ocorrencia]))</f>
        <v/>
      </c>
      <c r="F707" s="15" t="str" cm="1">
        <f t="array" ref="F707">IF($A707="","",SUMPRODUCT((TRIM(tblDados[Visitante])=$A707)*tblDados[Primeira_Ocorrencia]))</f>
        <v/>
      </c>
      <c r="G707" s="15" t="str" cm="1">
        <f t="array" ref="G707">IF($A707="","",SUMPRODUCT((TRIM(tblDados[Mandante])=$A707)*tblDados[Primeira_Ocorrencia])+SUMPRODUCT((TRIM(tblDados[Visitante])=$A707)*tblDados[Primeira_Ocorrencia]))</f>
        <v/>
      </c>
      <c r="H707" s="14" t="str">
        <f t="shared" ref="H707:H770" si="199">IF($A707="","",IFERROR($U707/$G707,0))</f>
        <v/>
      </c>
      <c r="I707" s="14" t="str" cm="1">
        <f t="array" ref="I707">IF($A707="","",_xlfn.LET(_xlpm.p,IFERROR(INDEX(tblDados[País],MATCH($A707,TRIM(tblDados[Mandante]),0)),INDEX(tblDados[País],MATCH($A707,TRIM(tblDados[Visitante]),0))),_xlpm.l,IFERROR(INDEX(tblDados[Liga],MATCH($A707,TRIM(tblDados[Mandante]),0)),INDEX(tblDados[Liga],MATCH($A707,TRIM(tblDados[Visitante]),0))),IFERROR(SUMIFS(Ligas!$D$2:$D$39,Ligas!$H$2:$H$39,_xlpm.p,Ligas!$I$2:$I$39,_xlpm.l),0)))</f>
        <v/>
      </c>
      <c r="J707" s="16" t="str" cm="1">
        <f t="array" ref="J707">IF($A707="","",IFERROR((SUMPRODUCT((TRIM(tblDados[Mandante])=$A707)*tblDados[Primeira_Ocorrencia]*(tblDados[GM_M]=0))+SUMPRODUCT((TRIM(tblDados[Visitante])=$A707)*tblDados[Primeira_Ocorrencia]*(tblDados[GM_V]=0)))/G707,0))</f>
        <v/>
      </c>
      <c r="K707" s="16" t="str" cm="1">
        <f t="array" ref="K707">IF($A707="","",IFERROR((SUMPRODUCT((TRIM(tblDados[Mandante])=$A707)*tblDados[Primeira_Ocorrencia]*((tblDados[GM_M]+tblDados[GS_M])&gt;0.5))+SUMPRODUCT((TRIM(tblDados[Visitante])=$A707)*tblDados[Primeira_Ocorrencia]*((tblDados[GM_V]+tblDados[GS_V])&gt;0.5)))/G707,0))</f>
        <v/>
      </c>
      <c r="L707" s="16" t="str" cm="1">
        <f t="array" ref="L707">IF($A707="","",IFERROR((SUMPRODUCT((TRIM(tblDados[Mandante])=$A707)*tblDados[Primeira_Ocorrencia]*((tblDados[GM_M]+tblDados[GS_M])&gt;1.5))+SUMPRODUCT((TRIM(tblDados[Visitante])=$A707)*tblDados[Primeira_Ocorrencia]*((tblDados[GM_V]+tblDados[GS_V])&gt;1.5)))/G707,0))</f>
        <v/>
      </c>
      <c r="M707" s="16" t="str" cm="1">
        <f t="array" ref="M707">IF($A707="","",IFERROR((SUMPRODUCT((TRIM(tblDados[Mandante])=$A707)*tblDados[Primeira_Ocorrencia]*((tblDados[GM_M]+tblDados[GS_M])&gt;2.5))+SUMPRODUCT((TRIM(tblDados[Visitante])=$A707)*tblDados[Primeira_Ocorrencia]*((tblDados[GM_V]+tblDados[GS_V])&gt;2.5)))/G707,0))</f>
        <v/>
      </c>
      <c r="N707" s="16" t="str" cm="1">
        <f t="array" ref="N707">IF($A707="","",IFERROR((SUMPRODUCT((TRIM(tblDados[Mandante])=$A707)*tblDados[Primeira_Ocorrencia]*((tblDados[GM_M]+tblDados[GS_M])&gt;3.5))+SUMPRODUCT((TRIM(tblDados[Visitante])=$A707)*tblDados[Primeira_Ocorrencia]*((tblDados[GM_V]+tblDados[GS_V])&gt;3.5)))/G707,0))</f>
        <v/>
      </c>
      <c r="O707" s="16" t="str" cm="1">
        <f t="array" ref="O707">IF($A707="","",IFERROR((SUMPRODUCT((TRIM(tblDados[Mandante])=$A707)*tblDados[Primeira_Ocorrencia]*(tblDados[GM_M]&gt;0)*(tblDados[GS_M]&gt;0))+SUMPRODUCT((TRIM(tblDados[Visitante])=$A707)*tblDados[Primeira_Ocorrencia]*(tblDados[GM_V]&gt;0)*(tblDados[GS_V]&gt;0)))/G707,0))</f>
        <v/>
      </c>
      <c r="P707" s="14" t="str" cm="1">
        <f t="array" ref="P707">IF($A707="","",IFERROR((SUMPRODUCT((TRIM(tblDados[Mandante])=$A707)*tblDados[Primeira_Ocorrencia]*tblDados[GM_M]^2)+SUMPRODUCT((TRIM(tblDados[Visitante])=$A707)*tblDados[Primeira_Ocorrencia]*tblDados[GM_V]^2))/G707-H707^2,0))</f>
        <v/>
      </c>
      <c r="Q707" s="14" t="str">
        <f t="shared" ref="Q707:Q770" si="200">IF($A707="","",IFERROR(SQRT(MAX(P707,0)),0))</f>
        <v/>
      </c>
      <c r="R707" s="1" t="str">
        <f t="shared" ref="R707:R770" si="201">IF(A707="","",IF(OR(G707&lt;5,H707=0),"Amostra Insuficiente",IF(_xlfn.CHISQ.DIST.RT(G707*P707/H707,G707-1)&lt;0.05,"Binomial Negativa","Poisson")))</f>
        <v/>
      </c>
      <c r="S707" s="14" t="str" cm="1">
        <f t="array" ref="S707">IF($A707="","",SUMPRODUCT((TRIM(tblDados[Mandante])=$A707)*tblDados[Primeira_Ocorrencia]*tblDados[GM_M]))</f>
        <v/>
      </c>
      <c r="T707" s="14" t="str" cm="1">
        <f t="array" ref="T707">IF($A707="","",SUMPRODUCT((TRIM(tblDados[Visitante])=$A707)*tblDados[Primeira_Ocorrencia]*tblDados[GM_V]))</f>
        <v/>
      </c>
      <c r="U707" s="14" t="str">
        <f t="shared" ref="U707:U770" si="202">IF($A707="","",S707+T707)</f>
        <v/>
      </c>
      <c r="V707" s="14" t="str">
        <f t="shared" si="191"/>
        <v/>
      </c>
      <c r="W707" s="14" t="str" cm="1">
        <f t="array" ref="W707">IF($A707="","",SUMPRODUCT((TRIM(tblDados[Mandante])=$A707)*tblDados[Primeira_Ocorrencia]*tblDados[GS_M]))</f>
        <v/>
      </c>
      <c r="X707" s="14" t="str" cm="1">
        <f t="array" ref="X707">IF($A707="","",SUMPRODUCT((TRIM(tblDados[Visitante])=$A707)*tblDados[Primeira_Ocorrencia]*tblDados[GS_V]))</f>
        <v/>
      </c>
      <c r="Y707" s="14" t="str">
        <f t="shared" ref="Y707:Y770" si="203">IF($A707="","",W707+X707)</f>
        <v/>
      </c>
      <c r="Z707" s="14" t="str">
        <f t="shared" si="192"/>
        <v/>
      </c>
      <c r="AA707" s="14" t="str">
        <f t="shared" si="193"/>
        <v/>
      </c>
      <c r="AB707" s="14" t="str">
        <f t="shared" si="194"/>
        <v/>
      </c>
      <c r="AC707" s="14" t="str">
        <f t="shared" si="195"/>
        <v/>
      </c>
      <c r="AD707" s="14" t="str">
        <f t="shared" si="196"/>
        <v/>
      </c>
    </row>
    <row r="708" spans="2:30" x14ac:dyDescent="0.3">
      <c r="B708" s="13" t="str" cm="1">
        <f t="array" ref="B708">IF($A708="","",_xlfn.LET(_xlpm.p,IFERROR(INDEX(tblDados[País],MATCH($A708,TRIM(tblDados[Mandante]),0)),INDEX(tblDados[País],MATCH($A708,TRIM(tblDados[Visitante]),0))),_xlpm.l,IFERROR(INDEX(tblDados[Liga],MATCH($A708,TRIM(tblDados[Mandante]),0)),INDEX(tblDados[Liga],MATCH($A708,TRIM(tblDados[Visitante]),0))),_xlpm.p&amp;" - "&amp;_xlpm.l))</f>
        <v/>
      </c>
      <c r="C708" s="14" t="str">
        <f t="shared" si="197"/>
        <v/>
      </c>
      <c r="D708" s="14" t="str">
        <f t="shared" si="198"/>
        <v/>
      </c>
      <c r="E708" s="15" t="str" cm="1">
        <f t="array" ref="E708">IF($A708="","",SUMPRODUCT((TRIM(tblDados[Mandante])=$A708)*tblDados[Primeira_Ocorrencia]))</f>
        <v/>
      </c>
      <c r="F708" s="15" t="str" cm="1">
        <f t="array" ref="F708">IF($A708="","",SUMPRODUCT((TRIM(tblDados[Visitante])=$A708)*tblDados[Primeira_Ocorrencia]))</f>
        <v/>
      </c>
      <c r="G708" s="15" t="str" cm="1">
        <f t="array" ref="G708">IF($A708="","",SUMPRODUCT((TRIM(tblDados[Mandante])=$A708)*tblDados[Primeira_Ocorrencia])+SUMPRODUCT((TRIM(tblDados[Visitante])=$A708)*tblDados[Primeira_Ocorrencia]))</f>
        <v/>
      </c>
      <c r="H708" s="14" t="str">
        <f t="shared" si="199"/>
        <v/>
      </c>
      <c r="I708" s="14" t="str" cm="1">
        <f t="array" ref="I708">IF($A708="","",_xlfn.LET(_xlpm.p,IFERROR(INDEX(tblDados[País],MATCH($A708,TRIM(tblDados[Mandante]),0)),INDEX(tblDados[País],MATCH($A708,TRIM(tblDados[Visitante]),0))),_xlpm.l,IFERROR(INDEX(tblDados[Liga],MATCH($A708,TRIM(tblDados[Mandante]),0)),INDEX(tblDados[Liga],MATCH($A708,TRIM(tblDados[Visitante]),0))),IFERROR(SUMIFS(Ligas!$D$2:$D$39,Ligas!$H$2:$H$39,_xlpm.p,Ligas!$I$2:$I$39,_xlpm.l),0)))</f>
        <v/>
      </c>
      <c r="J708" s="16" t="str" cm="1">
        <f t="array" ref="J708">IF($A708="","",IFERROR((SUMPRODUCT((TRIM(tblDados[Mandante])=$A708)*tblDados[Primeira_Ocorrencia]*(tblDados[GM_M]=0))+SUMPRODUCT((TRIM(tblDados[Visitante])=$A708)*tblDados[Primeira_Ocorrencia]*(tblDados[GM_V]=0)))/G708,0))</f>
        <v/>
      </c>
      <c r="K708" s="16" t="str" cm="1">
        <f t="array" ref="K708">IF($A708="","",IFERROR((SUMPRODUCT((TRIM(tblDados[Mandante])=$A708)*tblDados[Primeira_Ocorrencia]*((tblDados[GM_M]+tblDados[GS_M])&gt;0.5))+SUMPRODUCT((TRIM(tblDados[Visitante])=$A708)*tblDados[Primeira_Ocorrencia]*((tblDados[GM_V]+tblDados[GS_V])&gt;0.5)))/G708,0))</f>
        <v/>
      </c>
      <c r="L708" s="16" t="str" cm="1">
        <f t="array" ref="L708">IF($A708="","",IFERROR((SUMPRODUCT((TRIM(tblDados[Mandante])=$A708)*tblDados[Primeira_Ocorrencia]*((tblDados[GM_M]+tblDados[GS_M])&gt;1.5))+SUMPRODUCT((TRIM(tblDados[Visitante])=$A708)*tblDados[Primeira_Ocorrencia]*((tblDados[GM_V]+tblDados[GS_V])&gt;1.5)))/G708,0))</f>
        <v/>
      </c>
      <c r="M708" s="16" t="str" cm="1">
        <f t="array" ref="M708">IF($A708="","",IFERROR((SUMPRODUCT((TRIM(tblDados[Mandante])=$A708)*tblDados[Primeira_Ocorrencia]*((tblDados[GM_M]+tblDados[GS_M])&gt;2.5))+SUMPRODUCT((TRIM(tblDados[Visitante])=$A708)*tblDados[Primeira_Ocorrencia]*((tblDados[GM_V]+tblDados[GS_V])&gt;2.5)))/G708,0))</f>
        <v/>
      </c>
      <c r="N708" s="16" t="str" cm="1">
        <f t="array" ref="N708">IF($A708="","",IFERROR((SUMPRODUCT((TRIM(tblDados[Mandante])=$A708)*tblDados[Primeira_Ocorrencia]*((tblDados[GM_M]+tblDados[GS_M])&gt;3.5))+SUMPRODUCT((TRIM(tblDados[Visitante])=$A708)*tblDados[Primeira_Ocorrencia]*((tblDados[GM_V]+tblDados[GS_V])&gt;3.5)))/G708,0))</f>
        <v/>
      </c>
      <c r="O708" s="16" t="str" cm="1">
        <f t="array" ref="O708">IF($A708="","",IFERROR((SUMPRODUCT((TRIM(tblDados[Mandante])=$A708)*tblDados[Primeira_Ocorrencia]*(tblDados[GM_M]&gt;0)*(tblDados[GS_M]&gt;0))+SUMPRODUCT((TRIM(tblDados[Visitante])=$A708)*tblDados[Primeira_Ocorrencia]*(tblDados[GM_V]&gt;0)*(tblDados[GS_V]&gt;0)))/G708,0))</f>
        <v/>
      </c>
      <c r="P708" s="14" t="str" cm="1">
        <f t="array" ref="P708">IF($A708="","",IFERROR((SUMPRODUCT((TRIM(tblDados[Mandante])=$A708)*tblDados[Primeira_Ocorrencia]*tblDados[GM_M]^2)+SUMPRODUCT((TRIM(tblDados[Visitante])=$A708)*tblDados[Primeira_Ocorrencia]*tblDados[GM_V]^2))/G708-H708^2,0))</f>
        <v/>
      </c>
      <c r="Q708" s="14" t="str">
        <f t="shared" si="200"/>
        <v/>
      </c>
      <c r="R708" s="1" t="str">
        <f t="shared" si="201"/>
        <v/>
      </c>
      <c r="S708" s="14" t="str" cm="1">
        <f t="array" ref="S708">IF($A708="","",SUMPRODUCT((TRIM(tblDados[Mandante])=$A708)*tblDados[Primeira_Ocorrencia]*tblDados[GM_M]))</f>
        <v/>
      </c>
      <c r="T708" s="14" t="str" cm="1">
        <f t="array" ref="T708">IF($A708="","",SUMPRODUCT((TRIM(tblDados[Visitante])=$A708)*tblDados[Primeira_Ocorrencia]*tblDados[GM_V]))</f>
        <v/>
      </c>
      <c r="U708" s="14" t="str">
        <f t="shared" si="202"/>
        <v/>
      </c>
      <c r="V708" s="14" t="str">
        <f t="shared" si="191"/>
        <v/>
      </c>
      <c r="W708" s="14" t="str" cm="1">
        <f t="array" ref="W708">IF($A708="","",SUMPRODUCT((TRIM(tblDados[Mandante])=$A708)*tblDados[Primeira_Ocorrencia]*tblDados[GS_M]))</f>
        <v/>
      </c>
      <c r="X708" s="14" t="str" cm="1">
        <f t="array" ref="X708">IF($A708="","",SUMPRODUCT((TRIM(tblDados[Visitante])=$A708)*tblDados[Primeira_Ocorrencia]*tblDados[GS_V]))</f>
        <v/>
      </c>
      <c r="Y708" s="14" t="str">
        <f t="shared" si="203"/>
        <v/>
      </c>
      <c r="Z708" s="14" t="str">
        <f t="shared" si="192"/>
        <v/>
      </c>
      <c r="AA708" s="14" t="str">
        <f t="shared" si="193"/>
        <v/>
      </c>
      <c r="AB708" s="14" t="str">
        <f t="shared" si="194"/>
        <v/>
      </c>
      <c r="AC708" s="14" t="str">
        <f t="shared" si="195"/>
        <v/>
      </c>
      <c r="AD708" s="14" t="str">
        <f t="shared" si="196"/>
        <v/>
      </c>
    </row>
    <row r="709" spans="2:30" x14ac:dyDescent="0.3">
      <c r="B709" s="13" t="str" cm="1">
        <f t="array" ref="B709">IF($A709="","",_xlfn.LET(_xlpm.p,IFERROR(INDEX(tblDados[País],MATCH($A709,TRIM(tblDados[Mandante]),0)),INDEX(tblDados[País],MATCH($A709,TRIM(tblDados[Visitante]),0))),_xlpm.l,IFERROR(INDEX(tblDados[Liga],MATCH($A709,TRIM(tblDados[Mandante]),0)),INDEX(tblDados[Liga],MATCH($A709,TRIM(tblDados[Visitante]),0))),_xlpm.p&amp;" - "&amp;_xlpm.l))</f>
        <v/>
      </c>
      <c r="C709" s="14" t="str">
        <f t="shared" si="197"/>
        <v/>
      </c>
      <c r="D709" s="14" t="str">
        <f t="shared" si="198"/>
        <v/>
      </c>
      <c r="E709" s="15" t="str" cm="1">
        <f t="array" ref="E709">IF($A709="","",SUMPRODUCT((TRIM(tblDados[Mandante])=$A709)*tblDados[Primeira_Ocorrencia]))</f>
        <v/>
      </c>
      <c r="F709" s="15" t="str" cm="1">
        <f t="array" ref="F709">IF($A709="","",SUMPRODUCT((TRIM(tblDados[Visitante])=$A709)*tblDados[Primeira_Ocorrencia]))</f>
        <v/>
      </c>
      <c r="G709" s="15" t="str" cm="1">
        <f t="array" ref="G709">IF($A709="","",SUMPRODUCT((TRIM(tblDados[Mandante])=$A709)*tblDados[Primeira_Ocorrencia])+SUMPRODUCT((TRIM(tblDados[Visitante])=$A709)*tblDados[Primeira_Ocorrencia]))</f>
        <v/>
      </c>
      <c r="H709" s="14" t="str">
        <f t="shared" si="199"/>
        <v/>
      </c>
      <c r="I709" s="14" t="str" cm="1">
        <f t="array" ref="I709">IF($A709="","",_xlfn.LET(_xlpm.p,IFERROR(INDEX(tblDados[País],MATCH($A709,TRIM(tblDados[Mandante]),0)),INDEX(tblDados[País],MATCH($A709,TRIM(tblDados[Visitante]),0))),_xlpm.l,IFERROR(INDEX(tblDados[Liga],MATCH($A709,TRIM(tblDados[Mandante]),0)),INDEX(tblDados[Liga],MATCH($A709,TRIM(tblDados[Visitante]),0))),IFERROR(SUMIFS(Ligas!$D$2:$D$39,Ligas!$H$2:$H$39,_xlpm.p,Ligas!$I$2:$I$39,_xlpm.l),0)))</f>
        <v/>
      </c>
      <c r="J709" s="16" t="str" cm="1">
        <f t="array" ref="J709">IF($A709="","",IFERROR((SUMPRODUCT((TRIM(tblDados[Mandante])=$A709)*tblDados[Primeira_Ocorrencia]*(tblDados[GM_M]=0))+SUMPRODUCT((TRIM(tblDados[Visitante])=$A709)*tblDados[Primeira_Ocorrencia]*(tblDados[GM_V]=0)))/G709,0))</f>
        <v/>
      </c>
      <c r="K709" s="16" t="str" cm="1">
        <f t="array" ref="K709">IF($A709="","",IFERROR((SUMPRODUCT((TRIM(tblDados[Mandante])=$A709)*tblDados[Primeira_Ocorrencia]*((tblDados[GM_M]+tblDados[GS_M])&gt;0.5))+SUMPRODUCT((TRIM(tblDados[Visitante])=$A709)*tblDados[Primeira_Ocorrencia]*((tblDados[GM_V]+tblDados[GS_V])&gt;0.5)))/G709,0))</f>
        <v/>
      </c>
      <c r="L709" s="16" t="str" cm="1">
        <f t="array" ref="L709">IF($A709="","",IFERROR((SUMPRODUCT((TRIM(tblDados[Mandante])=$A709)*tblDados[Primeira_Ocorrencia]*((tblDados[GM_M]+tblDados[GS_M])&gt;1.5))+SUMPRODUCT((TRIM(tblDados[Visitante])=$A709)*tblDados[Primeira_Ocorrencia]*((tblDados[GM_V]+tblDados[GS_V])&gt;1.5)))/G709,0))</f>
        <v/>
      </c>
      <c r="M709" s="16" t="str" cm="1">
        <f t="array" ref="M709">IF($A709="","",IFERROR((SUMPRODUCT((TRIM(tblDados[Mandante])=$A709)*tblDados[Primeira_Ocorrencia]*((tblDados[GM_M]+tblDados[GS_M])&gt;2.5))+SUMPRODUCT((TRIM(tblDados[Visitante])=$A709)*tblDados[Primeira_Ocorrencia]*((tblDados[GM_V]+tblDados[GS_V])&gt;2.5)))/G709,0))</f>
        <v/>
      </c>
      <c r="N709" s="16" t="str" cm="1">
        <f t="array" ref="N709">IF($A709="","",IFERROR((SUMPRODUCT((TRIM(tblDados[Mandante])=$A709)*tblDados[Primeira_Ocorrencia]*((tblDados[GM_M]+tblDados[GS_M])&gt;3.5))+SUMPRODUCT((TRIM(tblDados[Visitante])=$A709)*tblDados[Primeira_Ocorrencia]*((tblDados[GM_V]+tblDados[GS_V])&gt;3.5)))/G709,0))</f>
        <v/>
      </c>
      <c r="O709" s="16" t="str" cm="1">
        <f t="array" ref="O709">IF($A709="","",IFERROR((SUMPRODUCT((TRIM(tblDados[Mandante])=$A709)*tblDados[Primeira_Ocorrencia]*(tblDados[GM_M]&gt;0)*(tblDados[GS_M]&gt;0))+SUMPRODUCT((TRIM(tblDados[Visitante])=$A709)*tblDados[Primeira_Ocorrencia]*(tblDados[GM_V]&gt;0)*(tblDados[GS_V]&gt;0)))/G709,0))</f>
        <v/>
      </c>
      <c r="P709" s="14" t="str" cm="1">
        <f t="array" ref="P709">IF($A709="","",IFERROR((SUMPRODUCT((TRIM(tblDados[Mandante])=$A709)*tblDados[Primeira_Ocorrencia]*tblDados[GM_M]^2)+SUMPRODUCT((TRIM(tblDados[Visitante])=$A709)*tblDados[Primeira_Ocorrencia]*tblDados[GM_V]^2))/G709-H709^2,0))</f>
        <v/>
      </c>
      <c r="Q709" s="14" t="str">
        <f t="shared" si="200"/>
        <v/>
      </c>
      <c r="R709" s="1" t="str">
        <f t="shared" si="201"/>
        <v/>
      </c>
      <c r="S709" s="14" t="str" cm="1">
        <f t="array" ref="S709">IF($A709="","",SUMPRODUCT((TRIM(tblDados[Mandante])=$A709)*tblDados[Primeira_Ocorrencia]*tblDados[GM_M]))</f>
        <v/>
      </c>
      <c r="T709" s="14" t="str" cm="1">
        <f t="array" ref="T709">IF($A709="","",SUMPRODUCT((TRIM(tblDados[Visitante])=$A709)*tblDados[Primeira_Ocorrencia]*tblDados[GM_V]))</f>
        <v/>
      </c>
      <c r="U709" s="14" t="str">
        <f t="shared" si="202"/>
        <v/>
      </c>
      <c r="V709" s="14" t="str">
        <f t="shared" si="191"/>
        <v/>
      </c>
      <c r="W709" s="14" t="str" cm="1">
        <f t="array" ref="W709">IF($A709="","",SUMPRODUCT((TRIM(tblDados[Mandante])=$A709)*tblDados[Primeira_Ocorrencia]*tblDados[GS_M]))</f>
        <v/>
      </c>
      <c r="X709" s="14" t="str" cm="1">
        <f t="array" ref="X709">IF($A709="","",SUMPRODUCT((TRIM(tblDados[Visitante])=$A709)*tblDados[Primeira_Ocorrencia]*tblDados[GS_V]))</f>
        <v/>
      </c>
      <c r="Y709" s="14" t="str">
        <f t="shared" si="203"/>
        <v/>
      </c>
      <c r="Z709" s="14" t="str">
        <f t="shared" si="192"/>
        <v/>
      </c>
      <c r="AA709" s="14" t="str">
        <f t="shared" si="193"/>
        <v/>
      </c>
      <c r="AB709" s="14" t="str">
        <f t="shared" si="194"/>
        <v/>
      </c>
      <c r="AC709" s="14" t="str">
        <f t="shared" si="195"/>
        <v/>
      </c>
      <c r="AD709" s="14" t="str">
        <f t="shared" si="196"/>
        <v/>
      </c>
    </row>
    <row r="710" spans="2:30" x14ac:dyDescent="0.3">
      <c r="B710" s="13" t="str" cm="1">
        <f t="array" ref="B710">IF($A710="","",_xlfn.LET(_xlpm.p,IFERROR(INDEX(tblDados[País],MATCH($A710,TRIM(tblDados[Mandante]),0)),INDEX(tblDados[País],MATCH($A710,TRIM(tblDados[Visitante]),0))),_xlpm.l,IFERROR(INDEX(tblDados[Liga],MATCH($A710,TRIM(tblDados[Mandante]),0)),INDEX(tblDados[Liga],MATCH($A710,TRIM(tblDados[Visitante]),0))),_xlpm.p&amp;" - "&amp;_xlpm.l))</f>
        <v/>
      </c>
      <c r="C710" s="14" t="str">
        <f t="shared" si="197"/>
        <v/>
      </c>
      <c r="D710" s="14" t="str">
        <f t="shared" si="198"/>
        <v/>
      </c>
      <c r="E710" s="15" t="str" cm="1">
        <f t="array" ref="E710">IF($A710="","",SUMPRODUCT((TRIM(tblDados[Mandante])=$A710)*tblDados[Primeira_Ocorrencia]))</f>
        <v/>
      </c>
      <c r="F710" s="15" t="str" cm="1">
        <f t="array" ref="F710">IF($A710="","",SUMPRODUCT((TRIM(tblDados[Visitante])=$A710)*tblDados[Primeira_Ocorrencia]))</f>
        <v/>
      </c>
      <c r="G710" s="15" t="str" cm="1">
        <f t="array" ref="G710">IF($A710="","",SUMPRODUCT((TRIM(tblDados[Mandante])=$A710)*tblDados[Primeira_Ocorrencia])+SUMPRODUCT((TRIM(tblDados[Visitante])=$A710)*tblDados[Primeira_Ocorrencia]))</f>
        <v/>
      </c>
      <c r="H710" s="14" t="str">
        <f t="shared" si="199"/>
        <v/>
      </c>
      <c r="I710" s="14" t="str" cm="1">
        <f t="array" ref="I710">IF($A710="","",_xlfn.LET(_xlpm.p,IFERROR(INDEX(tblDados[País],MATCH($A710,TRIM(tblDados[Mandante]),0)),INDEX(tblDados[País],MATCH($A710,TRIM(tblDados[Visitante]),0))),_xlpm.l,IFERROR(INDEX(tblDados[Liga],MATCH($A710,TRIM(tblDados[Mandante]),0)),INDEX(tblDados[Liga],MATCH($A710,TRIM(tblDados[Visitante]),0))),IFERROR(SUMIFS(Ligas!$D$2:$D$39,Ligas!$H$2:$H$39,_xlpm.p,Ligas!$I$2:$I$39,_xlpm.l),0)))</f>
        <v/>
      </c>
      <c r="J710" s="16" t="str" cm="1">
        <f t="array" ref="J710">IF($A710="","",IFERROR((SUMPRODUCT((TRIM(tblDados[Mandante])=$A710)*tblDados[Primeira_Ocorrencia]*(tblDados[GM_M]=0))+SUMPRODUCT((TRIM(tblDados[Visitante])=$A710)*tblDados[Primeira_Ocorrencia]*(tblDados[GM_V]=0)))/G710,0))</f>
        <v/>
      </c>
      <c r="K710" s="16" t="str" cm="1">
        <f t="array" ref="K710">IF($A710="","",IFERROR((SUMPRODUCT((TRIM(tblDados[Mandante])=$A710)*tblDados[Primeira_Ocorrencia]*((tblDados[GM_M]+tblDados[GS_M])&gt;0.5))+SUMPRODUCT((TRIM(tblDados[Visitante])=$A710)*tblDados[Primeira_Ocorrencia]*((tblDados[GM_V]+tblDados[GS_V])&gt;0.5)))/G710,0))</f>
        <v/>
      </c>
      <c r="L710" s="16" t="str" cm="1">
        <f t="array" ref="L710">IF($A710="","",IFERROR((SUMPRODUCT((TRIM(tblDados[Mandante])=$A710)*tblDados[Primeira_Ocorrencia]*((tblDados[GM_M]+tblDados[GS_M])&gt;1.5))+SUMPRODUCT((TRIM(tblDados[Visitante])=$A710)*tblDados[Primeira_Ocorrencia]*((tblDados[GM_V]+tblDados[GS_V])&gt;1.5)))/G710,0))</f>
        <v/>
      </c>
      <c r="M710" s="16" t="str" cm="1">
        <f t="array" ref="M710">IF($A710="","",IFERROR((SUMPRODUCT((TRIM(tblDados[Mandante])=$A710)*tblDados[Primeira_Ocorrencia]*((tblDados[GM_M]+tblDados[GS_M])&gt;2.5))+SUMPRODUCT((TRIM(tblDados[Visitante])=$A710)*tblDados[Primeira_Ocorrencia]*((tblDados[GM_V]+tblDados[GS_V])&gt;2.5)))/G710,0))</f>
        <v/>
      </c>
      <c r="N710" s="16" t="str" cm="1">
        <f t="array" ref="N710">IF($A710="","",IFERROR((SUMPRODUCT((TRIM(tblDados[Mandante])=$A710)*tblDados[Primeira_Ocorrencia]*((tblDados[GM_M]+tblDados[GS_M])&gt;3.5))+SUMPRODUCT((TRIM(tblDados[Visitante])=$A710)*tblDados[Primeira_Ocorrencia]*((tblDados[GM_V]+tblDados[GS_V])&gt;3.5)))/G710,0))</f>
        <v/>
      </c>
      <c r="O710" s="16" t="str" cm="1">
        <f t="array" ref="O710">IF($A710="","",IFERROR((SUMPRODUCT((TRIM(tblDados[Mandante])=$A710)*tblDados[Primeira_Ocorrencia]*(tblDados[GM_M]&gt;0)*(tblDados[GS_M]&gt;0))+SUMPRODUCT((TRIM(tblDados[Visitante])=$A710)*tblDados[Primeira_Ocorrencia]*(tblDados[GM_V]&gt;0)*(tblDados[GS_V]&gt;0)))/G710,0))</f>
        <v/>
      </c>
      <c r="P710" s="14" t="str" cm="1">
        <f t="array" ref="P710">IF($A710="","",IFERROR((SUMPRODUCT((TRIM(tblDados[Mandante])=$A710)*tblDados[Primeira_Ocorrencia]*tblDados[GM_M]^2)+SUMPRODUCT((TRIM(tblDados[Visitante])=$A710)*tblDados[Primeira_Ocorrencia]*tblDados[GM_V]^2))/G710-H710^2,0))</f>
        <v/>
      </c>
      <c r="Q710" s="14" t="str">
        <f t="shared" si="200"/>
        <v/>
      </c>
      <c r="R710" s="1" t="str">
        <f t="shared" si="201"/>
        <v/>
      </c>
      <c r="S710" s="14" t="str" cm="1">
        <f t="array" ref="S710">IF($A710="","",SUMPRODUCT((TRIM(tblDados[Mandante])=$A710)*tblDados[Primeira_Ocorrencia]*tblDados[GM_M]))</f>
        <v/>
      </c>
      <c r="T710" s="14" t="str" cm="1">
        <f t="array" ref="T710">IF($A710="","",SUMPRODUCT((TRIM(tblDados[Visitante])=$A710)*tblDados[Primeira_Ocorrencia]*tblDados[GM_V]))</f>
        <v/>
      </c>
      <c r="U710" s="14" t="str">
        <f t="shared" si="202"/>
        <v/>
      </c>
      <c r="V710" s="14" t="str">
        <f t="shared" si="191"/>
        <v/>
      </c>
      <c r="W710" s="14" t="str" cm="1">
        <f t="array" ref="W710">IF($A710="","",SUMPRODUCT((TRIM(tblDados[Mandante])=$A710)*tblDados[Primeira_Ocorrencia]*tblDados[GS_M]))</f>
        <v/>
      </c>
      <c r="X710" s="14" t="str" cm="1">
        <f t="array" ref="X710">IF($A710="","",SUMPRODUCT((TRIM(tblDados[Visitante])=$A710)*tblDados[Primeira_Ocorrencia]*tblDados[GS_V]))</f>
        <v/>
      </c>
      <c r="Y710" s="14" t="str">
        <f t="shared" si="203"/>
        <v/>
      </c>
      <c r="Z710" s="14" t="str">
        <f t="shared" si="192"/>
        <v/>
      </c>
      <c r="AA710" s="14" t="str">
        <f t="shared" si="193"/>
        <v/>
      </c>
      <c r="AB710" s="14" t="str">
        <f t="shared" si="194"/>
        <v/>
      </c>
      <c r="AC710" s="14" t="str">
        <f t="shared" si="195"/>
        <v/>
      </c>
      <c r="AD710" s="14" t="str">
        <f t="shared" si="196"/>
        <v/>
      </c>
    </row>
    <row r="711" spans="2:30" x14ac:dyDescent="0.3">
      <c r="B711" s="13" t="str" cm="1">
        <f t="array" ref="B711">IF($A711="","",_xlfn.LET(_xlpm.p,IFERROR(INDEX(tblDados[País],MATCH($A711,TRIM(tblDados[Mandante]),0)),INDEX(tblDados[País],MATCH($A711,TRIM(tblDados[Visitante]),0))),_xlpm.l,IFERROR(INDEX(tblDados[Liga],MATCH($A711,TRIM(tblDados[Mandante]),0)),INDEX(tblDados[Liga],MATCH($A711,TRIM(tblDados[Visitante]),0))),_xlpm.p&amp;" - "&amp;_xlpm.l))</f>
        <v/>
      </c>
      <c r="C711" s="14" t="str">
        <f t="shared" si="197"/>
        <v/>
      </c>
      <c r="D711" s="14" t="str">
        <f t="shared" si="198"/>
        <v/>
      </c>
      <c r="E711" s="15" t="str" cm="1">
        <f t="array" ref="E711">IF($A711="","",SUMPRODUCT((TRIM(tblDados[Mandante])=$A711)*tblDados[Primeira_Ocorrencia]))</f>
        <v/>
      </c>
      <c r="F711" s="15" t="str" cm="1">
        <f t="array" ref="F711">IF($A711="","",SUMPRODUCT((TRIM(tblDados[Visitante])=$A711)*tblDados[Primeira_Ocorrencia]))</f>
        <v/>
      </c>
      <c r="G711" s="15" t="str" cm="1">
        <f t="array" ref="G711">IF($A711="","",SUMPRODUCT((TRIM(tblDados[Mandante])=$A711)*tblDados[Primeira_Ocorrencia])+SUMPRODUCT((TRIM(tblDados[Visitante])=$A711)*tblDados[Primeira_Ocorrencia]))</f>
        <v/>
      </c>
      <c r="H711" s="14" t="str">
        <f t="shared" si="199"/>
        <v/>
      </c>
      <c r="I711" s="14" t="str" cm="1">
        <f t="array" ref="I711">IF($A711="","",_xlfn.LET(_xlpm.p,IFERROR(INDEX(tblDados[País],MATCH($A711,TRIM(tblDados[Mandante]),0)),INDEX(tblDados[País],MATCH($A711,TRIM(tblDados[Visitante]),0))),_xlpm.l,IFERROR(INDEX(tblDados[Liga],MATCH($A711,TRIM(tblDados[Mandante]),0)),INDEX(tblDados[Liga],MATCH($A711,TRIM(tblDados[Visitante]),0))),IFERROR(SUMIFS(Ligas!$D$2:$D$39,Ligas!$H$2:$H$39,_xlpm.p,Ligas!$I$2:$I$39,_xlpm.l),0)))</f>
        <v/>
      </c>
      <c r="J711" s="16" t="str" cm="1">
        <f t="array" ref="J711">IF($A711="","",IFERROR((SUMPRODUCT((TRIM(tblDados[Mandante])=$A711)*tblDados[Primeira_Ocorrencia]*(tblDados[GM_M]=0))+SUMPRODUCT((TRIM(tblDados[Visitante])=$A711)*tblDados[Primeira_Ocorrencia]*(tblDados[GM_V]=0)))/G711,0))</f>
        <v/>
      </c>
      <c r="K711" s="16" t="str" cm="1">
        <f t="array" ref="K711">IF($A711="","",IFERROR((SUMPRODUCT((TRIM(tblDados[Mandante])=$A711)*tblDados[Primeira_Ocorrencia]*((tblDados[GM_M]+tblDados[GS_M])&gt;0.5))+SUMPRODUCT((TRIM(tblDados[Visitante])=$A711)*tblDados[Primeira_Ocorrencia]*((tblDados[GM_V]+tblDados[GS_V])&gt;0.5)))/G711,0))</f>
        <v/>
      </c>
      <c r="L711" s="16" t="str" cm="1">
        <f t="array" ref="L711">IF($A711="","",IFERROR((SUMPRODUCT((TRIM(tblDados[Mandante])=$A711)*tblDados[Primeira_Ocorrencia]*((tblDados[GM_M]+tblDados[GS_M])&gt;1.5))+SUMPRODUCT((TRIM(tblDados[Visitante])=$A711)*tblDados[Primeira_Ocorrencia]*((tblDados[GM_V]+tblDados[GS_V])&gt;1.5)))/G711,0))</f>
        <v/>
      </c>
      <c r="M711" s="16" t="str" cm="1">
        <f t="array" ref="M711">IF($A711="","",IFERROR((SUMPRODUCT((TRIM(tblDados[Mandante])=$A711)*tblDados[Primeira_Ocorrencia]*((tblDados[GM_M]+tblDados[GS_M])&gt;2.5))+SUMPRODUCT((TRIM(tblDados[Visitante])=$A711)*tblDados[Primeira_Ocorrencia]*((tblDados[GM_V]+tblDados[GS_V])&gt;2.5)))/G711,0))</f>
        <v/>
      </c>
      <c r="N711" s="16" t="str" cm="1">
        <f t="array" ref="N711">IF($A711="","",IFERROR((SUMPRODUCT((TRIM(tblDados[Mandante])=$A711)*tblDados[Primeira_Ocorrencia]*((tblDados[GM_M]+tblDados[GS_M])&gt;3.5))+SUMPRODUCT((TRIM(tblDados[Visitante])=$A711)*tblDados[Primeira_Ocorrencia]*((tblDados[GM_V]+tblDados[GS_V])&gt;3.5)))/G711,0))</f>
        <v/>
      </c>
      <c r="O711" s="16" t="str" cm="1">
        <f t="array" ref="O711">IF($A711="","",IFERROR((SUMPRODUCT((TRIM(tblDados[Mandante])=$A711)*tblDados[Primeira_Ocorrencia]*(tblDados[GM_M]&gt;0)*(tblDados[GS_M]&gt;0))+SUMPRODUCT((TRIM(tblDados[Visitante])=$A711)*tblDados[Primeira_Ocorrencia]*(tblDados[GM_V]&gt;0)*(tblDados[GS_V]&gt;0)))/G711,0))</f>
        <v/>
      </c>
      <c r="P711" s="14" t="str" cm="1">
        <f t="array" ref="P711">IF($A711="","",IFERROR((SUMPRODUCT((TRIM(tblDados[Mandante])=$A711)*tblDados[Primeira_Ocorrencia]*tblDados[GM_M]^2)+SUMPRODUCT((TRIM(tblDados[Visitante])=$A711)*tblDados[Primeira_Ocorrencia]*tblDados[GM_V]^2))/G711-H711^2,0))</f>
        <v/>
      </c>
      <c r="Q711" s="14" t="str">
        <f t="shared" si="200"/>
        <v/>
      </c>
      <c r="R711" s="1" t="str">
        <f t="shared" si="201"/>
        <v/>
      </c>
      <c r="S711" s="14" t="str" cm="1">
        <f t="array" ref="S711">IF($A711="","",SUMPRODUCT((TRIM(tblDados[Mandante])=$A711)*tblDados[Primeira_Ocorrencia]*tblDados[GM_M]))</f>
        <v/>
      </c>
      <c r="T711" s="14" t="str" cm="1">
        <f t="array" ref="T711">IF($A711="","",SUMPRODUCT((TRIM(tblDados[Visitante])=$A711)*tblDados[Primeira_Ocorrencia]*tblDados[GM_V]))</f>
        <v/>
      </c>
      <c r="U711" s="14" t="str">
        <f t="shared" si="202"/>
        <v/>
      </c>
      <c r="V711" s="14" t="str">
        <f t="shared" si="191"/>
        <v/>
      </c>
      <c r="W711" s="14" t="str" cm="1">
        <f t="array" ref="W711">IF($A711="","",SUMPRODUCT((TRIM(tblDados[Mandante])=$A711)*tblDados[Primeira_Ocorrencia]*tblDados[GS_M]))</f>
        <v/>
      </c>
      <c r="X711" s="14" t="str" cm="1">
        <f t="array" ref="X711">IF($A711="","",SUMPRODUCT((TRIM(tblDados[Visitante])=$A711)*tblDados[Primeira_Ocorrencia]*tblDados[GS_V]))</f>
        <v/>
      </c>
      <c r="Y711" s="14" t="str">
        <f t="shared" si="203"/>
        <v/>
      </c>
      <c r="Z711" s="14" t="str">
        <f t="shared" si="192"/>
        <v/>
      </c>
      <c r="AA711" s="14" t="str">
        <f t="shared" si="193"/>
        <v/>
      </c>
      <c r="AB711" s="14" t="str">
        <f t="shared" si="194"/>
        <v/>
      </c>
      <c r="AC711" s="14" t="str">
        <f t="shared" si="195"/>
        <v/>
      </c>
      <c r="AD711" s="14" t="str">
        <f t="shared" si="196"/>
        <v/>
      </c>
    </row>
    <row r="712" spans="2:30" x14ac:dyDescent="0.3">
      <c r="B712" s="13" t="str" cm="1">
        <f t="array" ref="B712">IF($A712="","",_xlfn.LET(_xlpm.p,IFERROR(INDEX(tblDados[País],MATCH($A712,TRIM(tblDados[Mandante]),0)),INDEX(tblDados[País],MATCH($A712,TRIM(tblDados[Visitante]),0))),_xlpm.l,IFERROR(INDEX(tblDados[Liga],MATCH($A712,TRIM(tblDados[Mandante]),0)),INDEX(tblDados[Liga],MATCH($A712,TRIM(tblDados[Visitante]),0))),_xlpm.p&amp;" - "&amp;_xlpm.l))</f>
        <v/>
      </c>
      <c r="C712" s="14" t="str">
        <f t="shared" si="197"/>
        <v/>
      </c>
      <c r="D712" s="14" t="str">
        <f t="shared" si="198"/>
        <v/>
      </c>
      <c r="E712" s="15" t="str" cm="1">
        <f t="array" ref="E712">IF($A712="","",SUMPRODUCT((TRIM(tblDados[Mandante])=$A712)*tblDados[Primeira_Ocorrencia]))</f>
        <v/>
      </c>
      <c r="F712" s="15" t="str" cm="1">
        <f t="array" ref="F712">IF($A712="","",SUMPRODUCT((TRIM(tblDados[Visitante])=$A712)*tblDados[Primeira_Ocorrencia]))</f>
        <v/>
      </c>
      <c r="G712" s="15" t="str" cm="1">
        <f t="array" ref="G712">IF($A712="","",SUMPRODUCT((TRIM(tblDados[Mandante])=$A712)*tblDados[Primeira_Ocorrencia])+SUMPRODUCT((TRIM(tblDados[Visitante])=$A712)*tblDados[Primeira_Ocorrencia]))</f>
        <v/>
      </c>
      <c r="H712" s="14" t="str">
        <f t="shared" si="199"/>
        <v/>
      </c>
      <c r="I712" s="14" t="str" cm="1">
        <f t="array" ref="I712">IF($A712="","",_xlfn.LET(_xlpm.p,IFERROR(INDEX(tblDados[País],MATCH($A712,TRIM(tblDados[Mandante]),0)),INDEX(tblDados[País],MATCH($A712,TRIM(tblDados[Visitante]),0))),_xlpm.l,IFERROR(INDEX(tblDados[Liga],MATCH($A712,TRIM(tblDados[Mandante]),0)),INDEX(tblDados[Liga],MATCH($A712,TRIM(tblDados[Visitante]),0))),IFERROR(SUMIFS(Ligas!$D$2:$D$39,Ligas!$H$2:$H$39,_xlpm.p,Ligas!$I$2:$I$39,_xlpm.l),0)))</f>
        <v/>
      </c>
      <c r="J712" s="16" t="str" cm="1">
        <f t="array" ref="J712">IF($A712="","",IFERROR((SUMPRODUCT((TRIM(tblDados[Mandante])=$A712)*tblDados[Primeira_Ocorrencia]*(tblDados[GM_M]=0))+SUMPRODUCT((TRIM(tblDados[Visitante])=$A712)*tblDados[Primeira_Ocorrencia]*(tblDados[GM_V]=0)))/G712,0))</f>
        <v/>
      </c>
      <c r="K712" s="16" t="str" cm="1">
        <f t="array" ref="K712">IF($A712="","",IFERROR((SUMPRODUCT((TRIM(tblDados[Mandante])=$A712)*tblDados[Primeira_Ocorrencia]*((tblDados[GM_M]+tblDados[GS_M])&gt;0.5))+SUMPRODUCT((TRIM(tblDados[Visitante])=$A712)*tblDados[Primeira_Ocorrencia]*((tblDados[GM_V]+tblDados[GS_V])&gt;0.5)))/G712,0))</f>
        <v/>
      </c>
      <c r="L712" s="16" t="str" cm="1">
        <f t="array" ref="L712">IF($A712="","",IFERROR((SUMPRODUCT((TRIM(tblDados[Mandante])=$A712)*tblDados[Primeira_Ocorrencia]*((tblDados[GM_M]+tblDados[GS_M])&gt;1.5))+SUMPRODUCT((TRIM(tblDados[Visitante])=$A712)*tblDados[Primeira_Ocorrencia]*((tblDados[GM_V]+tblDados[GS_V])&gt;1.5)))/G712,0))</f>
        <v/>
      </c>
      <c r="M712" s="16" t="str" cm="1">
        <f t="array" ref="M712">IF($A712="","",IFERROR((SUMPRODUCT((TRIM(tblDados[Mandante])=$A712)*tblDados[Primeira_Ocorrencia]*((tblDados[GM_M]+tblDados[GS_M])&gt;2.5))+SUMPRODUCT((TRIM(tblDados[Visitante])=$A712)*tblDados[Primeira_Ocorrencia]*((tblDados[GM_V]+tblDados[GS_V])&gt;2.5)))/G712,0))</f>
        <v/>
      </c>
      <c r="N712" s="16" t="str" cm="1">
        <f t="array" ref="N712">IF($A712="","",IFERROR((SUMPRODUCT((TRIM(tblDados[Mandante])=$A712)*tblDados[Primeira_Ocorrencia]*((tblDados[GM_M]+tblDados[GS_M])&gt;3.5))+SUMPRODUCT((TRIM(tblDados[Visitante])=$A712)*tblDados[Primeira_Ocorrencia]*((tblDados[GM_V]+tblDados[GS_V])&gt;3.5)))/G712,0))</f>
        <v/>
      </c>
      <c r="O712" s="16" t="str" cm="1">
        <f t="array" ref="O712">IF($A712="","",IFERROR((SUMPRODUCT((TRIM(tblDados[Mandante])=$A712)*tblDados[Primeira_Ocorrencia]*(tblDados[GM_M]&gt;0)*(tblDados[GS_M]&gt;0))+SUMPRODUCT((TRIM(tblDados[Visitante])=$A712)*tblDados[Primeira_Ocorrencia]*(tblDados[GM_V]&gt;0)*(tblDados[GS_V]&gt;0)))/G712,0))</f>
        <v/>
      </c>
      <c r="P712" s="14" t="str" cm="1">
        <f t="array" ref="P712">IF($A712="","",IFERROR((SUMPRODUCT((TRIM(tblDados[Mandante])=$A712)*tblDados[Primeira_Ocorrencia]*tblDados[GM_M]^2)+SUMPRODUCT((TRIM(tblDados[Visitante])=$A712)*tblDados[Primeira_Ocorrencia]*tblDados[GM_V]^2))/G712-H712^2,0))</f>
        <v/>
      </c>
      <c r="Q712" s="14" t="str">
        <f t="shared" si="200"/>
        <v/>
      </c>
      <c r="R712" s="1" t="str">
        <f t="shared" si="201"/>
        <v/>
      </c>
      <c r="S712" s="14" t="str" cm="1">
        <f t="array" ref="S712">IF($A712="","",SUMPRODUCT((TRIM(tblDados[Mandante])=$A712)*tblDados[Primeira_Ocorrencia]*tblDados[GM_M]))</f>
        <v/>
      </c>
      <c r="T712" s="14" t="str" cm="1">
        <f t="array" ref="T712">IF($A712="","",SUMPRODUCT((TRIM(tblDados[Visitante])=$A712)*tblDados[Primeira_Ocorrencia]*tblDados[GM_V]))</f>
        <v/>
      </c>
      <c r="U712" s="14" t="str">
        <f t="shared" si="202"/>
        <v/>
      </c>
      <c r="V712" s="14" t="str">
        <f t="shared" si="191"/>
        <v/>
      </c>
      <c r="W712" s="14" t="str" cm="1">
        <f t="array" ref="W712">IF($A712="","",SUMPRODUCT((TRIM(tblDados[Mandante])=$A712)*tblDados[Primeira_Ocorrencia]*tblDados[GS_M]))</f>
        <v/>
      </c>
      <c r="X712" s="14" t="str" cm="1">
        <f t="array" ref="X712">IF($A712="","",SUMPRODUCT((TRIM(tblDados[Visitante])=$A712)*tblDados[Primeira_Ocorrencia]*tblDados[GS_V]))</f>
        <v/>
      </c>
      <c r="Y712" s="14" t="str">
        <f t="shared" si="203"/>
        <v/>
      </c>
      <c r="Z712" s="14" t="str">
        <f t="shared" si="192"/>
        <v/>
      </c>
      <c r="AA712" s="14" t="str">
        <f t="shared" si="193"/>
        <v/>
      </c>
      <c r="AB712" s="14" t="str">
        <f t="shared" si="194"/>
        <v/>
      </c>
      <c r="AC712" s="14" t="str">
        <f t="shared" si="195"/>
        <v/>
      </c>
      <c r="AD712" s="14" t="str">
        <f t="shared" si="196"/>
        <v/>
      </c>
    </row>
    <row r="713" spans="2:30" x14ac:dyDescent="0.3">
      <c r="B713" s="13" t="str" cm="1">
        <f t="array" ref="B713">IF($A713="","",_xlfn.LET(_xlpm.p,IFERROR(INDEX(tblDados[País],MATCH($A713,TRIM(tblDados[Mandante]),0)),INDEX(tblDados[País],MATCH($A713,TRIM(tblDados[Visitante]),0))),_xlpm.l,IFERROR(INDEX(tblDados[Liga],MATCH($A713,TRIM(tblDados[Mandante]),0)),INDEX(tblDados[Liga],MATCH($A713,TRIM(tblDados[Visitante]),0))),_xlpm.p&amp;" - "&amp;_xlpm.l))</f>
        <v/>
      </c>
      <c r="C713" s="14" t="str">
        <f t="shared" si="197"/>
        <v/>
      </c>
      <c r="D713" s="14" t="str">
        <f t="shared" si="198"/>
        <v/>
      </c>
      <c r="E713" s="15" t="str" cm="1">
        <f t="array" ref="E713">IF($A713="","",SUMPRODUCT((TRIM(tblDados[Mandante])=$A713)*tblDados[Primeira_Ocorrencia]))</f>
        <v/>
      </c>
      <c r="F713" s="15" t="str" cm="1">
        <f t="array" ref="F713">IF($A713="","",SUMPRODUCT((TRIM(tblDados[Visitante])=$A713)*tblDados[Primeira_Ocorrencia]))</f>
        <v/>
      </c>
      <c r="G713" s="15" t="str" cm="1">
        <f t="array" ref="G713">IF($A713="","",SUMPRODUCT((TRIM(tblDados[Mandante])=$A713)*tblDados[Primeira_Ocorrencia])+SUMPRODUCT((TRIM(tblDados[Visitante])=$A713)*tblDados[Primeira_Ocorrencia]))</f>
        <v/>
      </c>
      <c r="H713" s="14" t="str">
        <f t="shared" si="199"/>
        <v/>
      </c>
      <c r="I713" s="14" t="str" cm="1">
        <f t="array" ref="I713">IF($A713="","",_xlfn.LET(_xlpm.p,IFERROR(INDEX(tblDados[País],MATCH($A713,TRIM(tblDados[Mandante]),0)),INDEX(tblDados[País],MATCH($A713,TRIM(tblDados[Visitante]),0))),_xlpm.l,IFERROR(INDEX(tblDados[Liga],MATCH($A713,TRIM(tblDados[Mandante]),0)),INDEX(tblDados[Liga],MATCH($A713,TRIM(tblDados[Visitante]),0))),IFERROR(SUMIFS(Ligas!$D$2:$D$39,Ligas!$H$2:$H$39,_xlpm.p,Ligas!$I$2:$I$39,_xlpm.l),0)))</f>
        <v/>
      </c>
      <c r="J713" s="16" t="str" cm="1">
        <f t="array" ref="J713">IF($A713="","",IFERROR((SUMPRODUCT((TRIM(tblDados[Mandante])=$A713)*tblDados[Primeira_Ocorrencia]*(tblDados[GM_M]=0))+SUMPRODUCT((TRIM(tblDados[Visitante])=$A713)*tblDados[Primeira_Ocorrencia]*(tblDados[GM_V]=0)))/G713,0))</f>
        <v/>
      </c>
      <c r="K713" s="16" t="str" cm="1">
        <f t="array" ref="K713">IF($A713="","",IFERROR((SUMPRODUCT((TRIM(tblDados[Mandante])=$A713)*tblDados[Primeira_Ocorrencia]*((tblDados[GM_M]+tblDados[GS_M])&gt;0.5))+SUMPRODUCT((TRIM(tblDados[Visitante])=$A713)*tblDados[Primeira_Ocorrencia]*((tblDados[GM_V]+tblDados[GS_V])&gt;0.5)))/G713,0))</f>
        <v/>
      </c>
      <c r="L713" s="16" t="str" cm="1">
        <f t="array" ref="L713">IF($A713="","",IFERROR((SUMPRODUCT((TRIM(tblDados[Mandante])=$A713)*tblDados[Primeira_Ocorrencia]*((tblDados[GM_M]+tblDados[GS_M])&gt;1.5))+SUMPRODUCT((TRIM(tblDados[Visitante])=$A713)*tblDados[Primeira_Ocorrencia]*((tblDados[GM_V]+tblDados[GS_V])&gt;1.5)))/G713,0))</f>
        <v/>
      </c>
      <c r="M713" s="16" t="str" cm="1">
        <f t="array" ref="M713">IF($A713="","",IFERROR((SUMPRODUCT((TRIM(tblDados[Mandante])=$A713)*tblDados[Primeira_Ocorrencia]*((tblDados[GM_M]+tblDados[GS_M])&gt;2.5))+SUMPRODUCT((TRIM(tblDados[Visitante])=$A713)*tblDados[Primeira_Ocorrencia]*((tblDados[GM_V]+tblDados[GS_V])&gt;2.5)))/G713,0))</f>
        <v/>
      </c>
      <c r="N713" s="16" t="str" cm="1">
        <f t="array" ref="N713">IF($A713="","",IFERROR((SUMPRODUCT((TRIM(tblDados[Mandante])=$A713)*tblDados[Primeira_Ocorrencia]*((tblDados[GM_M]+tblDados[GS_M])&gt;3.5))+SUMPRODUCT((TRIM(tblDados[Visitante])=$A713)*tblDados[Primeira_Ocorrencia]*((tblDados[GM_V]+tblDados[GS_V])&gt;3.5)))/G713,0))</f>
        <v/>
      </c>
      <c r="O713" s="16" t="str" cm="1">
        <f t="array" ref="O713">IF($A713="","",IFERROR((SUMPRODUCT((TRIM(tblDados[Mandante])=$A713)*tblDados[Primeira_Ocorrencia]*(tblDados[GM_M]&gt;0)*(tblDados[GS_M]&gt;0))+SUMPRODUCT((TRIM(tblDados[Visitante])=$A713)*tblDados[Primeira_Ocorrencia]*(tblDados[GM_V]&gt;0)*(tblDados[GS_V]&gt;0)))/G713,0))</f>
        <v/>
      </c>
      <c r="P713" s="14" t="str" cm="1">
        <f t="array" ref="P713">IF($A713="","",IFERROR((SUMPRODUCT((TRIM(tblDados[Mandante])=$A713)*tblDados[Primeira_Ocorrencia]*tblDados[GM_M]^2)+SUMPRODUCT((TRIM(tblDados[Visitante])=$A713)*tblDados[Primeira_Ocorrencia]*tblDados[GM_V]^2))/G713-H713^2,0))</f>
        <v/>
      </c>
      <c r="Q713" s="14" t="str">
        <f t="shared" si="200"/>
        <v/>
      </c>
      <c r="R713" s="1" t="str">
        <f t="shared" si="201"/>
        <v/>
      </c>
      <c r="S713" s="14" t="str" cm="1">
        <f t="array" ref="S713">IF($A713="","",SUMPRODUCT((TRIM(tblDados[Mandante])=$A713)*tblDados[Primeira_Ocorrencia]*tblDados[GM_M]))</f>
        <v/>
      </c>
      <c r="T713" s="14" t="str" cm="1">
        <f t="array" ref="T713">IF($A713="","",SUMPRODUCT((TRIM(tblDados[Visitante])=$A713)*tblDados[Primeira_Ocorrencia]*tblDados[GM_V]))</f>
        <v/>
      </c>
      <c r="U713" s="14" t="str">
        <f t="shared" si="202"/>
        <v/>
      </c>
      <c r="V713" s="14" t="str">
        <f t="shared" si="191"/>
        <v/>
      </c>
      <c r="W713" s="14" t="str" cm="1">
        <f t="array" ref="W713">IF($A713="","",SUMPRODUCT((TRIM(tblDados[Mandante])=$A713)*tblDados[Primeira_Ocorrencia]*tblDados[GS_M]))</f>
        <v/>
      </c>
      <c r="X713" s="14" t="str" cm="1">
        <f t="array" ref="X713">IF($A713="","",SUMPRODUCT((TRIM(tblDados[Visitante])=$A713)*tblDados[Primeira_Ocorrencia]*tblDados[GS_V]))</f>
        <v/>
      </c>
      <c r="Y713" s="14" t="str">
        <f t="shared" si="203"/>
        <v/>
      </c>
      <c r="Z713" s="14" t="str">
        <f t="shared" si="192"/>
        <v/>
      </c>
      <c r="AA713" s="14" t="str">
        <f t="shared" si="193"/>
        <v/>
      </c>
      <c r="AB713" s="14" t="str">
        <f t="shared" si="194"/>
        <v/>
      </c>
      <c r="AC713" s="14" t="str">
        <f t="shared" si="195"/>
        <v/>
      </c>
      <c r="AD713" s="14" t="str">
        <f t="shared" si="196"/>
        <v/>
      </c>
    </row>
    <row r="714" spans="2:30" x14ac:dyDescent="0.3">
      <c r="B714" s="13" t="str" cm="1">
        <f t="array" ref="B714">IF($A714="","",_xlfn.LET(_xlpm.p,IFERROR(INDEX(tblDados[País],MATCH($A714,TRIM(tblDados[Mandante]),0)),INDEX(tblDados[País],MATCH($A714,TRIM(tblDados[Visitante]),0))),_xlpm.l,IFERROR(INDEX(tblDados[Liga],MATCH($A714,TRIM(tblDados[Mandante]),0)),INDEX(tblDados[Liga],MATCH($A714,TRIM(tblDados[Visitante]),0))),_xlpm.p&amp;" - "&amp;_xlpm.l))</f>
        <v/>
      </c>
      <c r="C714" s="14" t="str">
        <f t="shared" si="197"/>
        <v/>
      </c>
      <c r="D714" s="14" t="str">
        <f t="shared" si="198"/>
        <v/>
      </c>
      <c r="E714" s="15" t="str" cm="1">
        <f t="array" ref="E714">IF($A714="","",SUMPRODUCT((TRIM(tblDados[Mandante])=$A714)*tblDados[Primeira_Ocorrencia]))</f>
        <v/>
      </c>
      <c r="F714" s="15" t="str" cm="1">
        <f t="array" ref="F714">IF($A714="","",SUMPRODUCT((TRIM(tblDados[Visitante])=$A714)*tblDados[Primeira_Ocorrencia]))</f>
        <v/>
      </c>
      <c r="G714" s="15" t="str" cm="1">
        <f t="array" ref="G714">IF($A714="","",SUMPRODUCT((TRIM(tblDados[Mandante])=$A714)*tblDados[Primeira_Ocorrencia])+SUMPRODUCT((TRIM(tblDados[Visitante])=$A714)*tblDados[Primeira_Ocorrencia]))</f>
        <v/>
      </c>
      <c r="H714" s="14" t="str">
        <f t="shared" si="199"/>
        <v/>
      </c>
      <c r="I714" s="14" t="str" cm="1">
        <f t="array" ref="I714">IF($A714="","",_xlfn.LET(_xlpm.p,IFERROR(INDEX(tblDados[País],MATCH($A714,TRIM(tblDados[Mandante]),0)),INDEX(tblDados[País],MATCH($A714,TRIM(tblDados[Visitante]),0))),_xlpm.l,IFERROR(INDEX(tblDados[Liga],MATCH($A714,TRIM(tblDados[Mandante]),0)),INDEX(tblDados[Liga],MATCH($A714,TRIM(tblDados[Visitante]),0))),IFERROR(SUMIFS(Ligas!$D$2:$D$39,Ligas!$H$2:$H$39,_xlpm.p,Ligas!$I$2:$I$39,_xlpm.l),0)))</f>
        <v/>
      </c>
      <c r="J714" s="16" t="str" cm="1">
        <f t="array" ref="J714">IF($A714="","",IFERROR((SUMPRODUCT((TRIM(tblDados[Mandante])=$A714)*tblDados[Primeira_Ocorrencia]*(tblDados[GM_M]=0))+SUMPRODUCT((TRIM(tblDados[Visitante])=$A714)*tblDados[Primeira_Ocorrencia]*(tblDados[GM_V]=0)))/G714,0))</f>
        <v/>
      </c>
      <c r="K714" s="16" t="str" cm="1">
        <f t="array" ref="K714">IF($A714="","",IFERROR((SUMPRODUCT((TRIM(tblDados[Mandante])=$A714)*tblDados[Primeira_Ocorrencia]*((tblDados[GM_M]+tblDados[GS_M])&gt;0.5))+SUMPRODUCT((TRIM(tblDados[Visitante])=$A714)*tblDados[Primeira_Ocorrencia]*((tblDados[GM_V]+tblDados[GS_V])&gt;0.5)))/G714,0))</f>
        <v/>
      </c>
      <c r="L714" s="16" t="str" cm="1">
        <f t="array" ref="L714">IF($A714="","",IFERROR((SUMPRODUCT((TRIM(tblDados[Mandante])=$A714)*tblDados[Primeira_Ocorrencia]*((tblDados[GM_M]+tblDados[GS_M])&gt;1.5))+SUMPRODUCT((TRIM(tblDados[Visitante])=$A714)*tblDados[Primeira_Ocorrencia]*((tblDados[GM_V]+tblDados[GS_V])&gt;1.5)))/G714,0))</f>
        <v/>
      </c>
      <c r="M714" s="16" t="str" cm="1">
        <f t="array" ref="M714">IF($A714="","",IFERROR((SUMPRODUCT((TRIM(tblDados[Mandante])=$A714)*tblDados[Primeira_Ocorrencia]*((tblDados[GM_M]+tblDados[GS_M])&gt;2.5))+SUMPRODUCT((TRIM(tblDados[Visitante])=$A714)*tblDados[Primeira_Ocorrencia]*((tblDados[GM_V]+tblDados[GS_V])&gt;2.5)))/G714,0))</f>
        <v/>
      </c>
      <c r="N714" s="16" t="str" cm="1">
        <f t="array" ref="N714">IF($A714="","",IFERROR((SUMPRODUCT((TRIM(tblDados[Mandante])=$A714)*tblDados[Primeira_Ocorrencia]*((tblDados[GM_M]+tblDados[GS_M])&gt;3.5))+SUMPRODUCT((TRIM(tblDados[Visitante])=$A714)*tblDados[Primeira_Ocorrencia]*((tblDados[GM_V]+tblDados[GS_V])&gt;3.5)))/G714,0))</f>
        <v/>
      </c>
      <c r="O714" s="16" t="str" cm="1">
        <f t="array" ref="O714">IF($A714="","",IFERROR((SUMPRODUCT((TRIM(tblDados[Mandante])=$A714)*tblDados[Primeira_Ocorrencia]*(tblDados[GM_M]&gt;0)*(tblDados[GS_M]&gt;0))+SUMPRODUCT((TRIM(tblDados[Visitante])=$A714)*tblDados[Primeira_Ocorrencia]*(tblDados[GM_V]&gt;0)*(tblDados[GS_V]&gt;0)))/G714,0))</f>
        <v/>
      </c>
      <c r="P714" s="14" t="str" cm="1">
        <f t="array" ref="P714">IF($A714="","",IFERROR((SUMPRODUCT((TRIM(tblDados[Mandante])=$A714)*tblDados[Primeira_Ocorrencia]*tblDados[GM_M]^2)+SUMPRODUCT((TRIM(tblDados[Visitante])=$A714)*tblDados[Primeira_Ocorrencia]*tblDados[GM_V]^2))/G714-H714^2,0))</f>
        <v/>
      </c>
      <c r="Q714" s="14" t="str">
        <f t="shared" si="200"/>
        <v/>
      </c>
      <c r="R714" s="1" t="str">
        <f t="shared" si="201"/>
        <v/>
      </c>
      <c r="S714" s="14" t="str" cm="1">
        <f t="array" ref="S714">IF($A714="","",SUMPRODUCT((TRIM(tblDados[Mandante])=$A714)*tblDados[Primeira_Ocorrencia]*tblDados[GM_M]))</f>
        <v/>
      </c>
      <c r="T714" s="14" t="str" cm="1">
        <f t="array" ref="T714">IF($A714="","",SUMPRODUCT((TRIM(tblDados[Visitante])=$A714)*tblDados[Primeira_Ocorrencia]*tblDados[GM_V]))</f>
        <v/>
      </c>
      <c r="U714" s="14" t="str">
        <f t="shared" si="202"/>
        <v/>
      </c>
      <c r="V714" s="14" t="str">
        <f t="shared" si="191"/>
        <v/>
      </c>
      <c r="W714" s="14" t="str" cm="1">
        <f t="array" ref="W714">IF($A714="","",SUMPRODUCT((TRIM(tblDados[Mandante])=$A714)*tblDados[Primeira_Ocorrencia]*tblDados[GS_M]))</f>
        <v/>
      </c>
      <c r="X714" s="14" t="str" cm="1">
        <f t="array" ref="X714">IF($A714="","",SUMPRODUCT((TRIM(tblDados[Visitante])=$A714)*tblDados[Primeira_Ocorrencia]*tblDados[GS_V]))</f>
        <v/>
      </c>
      <c r="Y714" s="14" t="str">
        <f t="shared" si="203"/>
        <v/>
      </c>
      <c r="Z714" s="14" t="str">
        <f t="shared" si="192"/>
        <v/>
      </c>
      <c r="AA714" s="14" t="str">
        <f t="shared" si="193"/>
        <v/>
      </c>
      <c r="AB714" s="14" t="str">
        <f t="shared" si="194"/>
        <v/>
      </c>
      <c r="AC714" s="14" t="str">
        <f t="shared" si="195"/>
        <v/>
      </c>
      <c r="AD714" s="14" t="str">
        <f t="shared" si="196"/>
        <v/>
      </c>
    </row>
    <row r="715" spans="2:30" x14ac:dyDescent="0.3">
      <c r="B715" s="13" t="str" cm="1">
        <f t="array" ref="B715">IF($A715="","",_xlfn.LET(_xlpm.p,IFERROR(INDEX(tblDados[País],MATCH($A715,TRIM(tblDados[Mandante]),0)),INDEX(tblDados[País],MATCH($A715,TRIM(tblDados[Visitante]),0))),_xlpm.l,IFERROR(INDEX(tblDados[Liga],MATCH($A715,TRIM(tblDados[Mandante]),0)),INDEX(tblDados[Liga],MATCH($A715,TRIM(tblDados[Visitante]),0))),_xlpm.p&amp;" - "&amp;_xlpm.l))</f>
        <v/>
      </c>
      <c r="C715" s="14" t="str">
        <f t="shared" si="197"/>
        <v/>
      </c>
      <c r="D715" s="14" t="str">
        <f t="shared" si="198"/>
        <v/>
      </c>
      <c r="E715" s="15" t="str" cm="1">
        <f t="array" ref="E715">IF($A715="","",SUMPRODUCT((TRIM(tblDados[Mandante])=$A715)*tblDados[Primeira_Ocorrencia]))</f>
        <v/>
      </c>
      <c r="F715" s="15" t="str" cm="1">
        <f t="array" ref="F715">IF($A715="","",SUMPRODUCT((TRIM(tblDados[Visitante])=$A715)*tblDados[Primeira_Ocorrencia]))</f>
        <v/>
      </c>
      <c r="G715" s="15" t="str" cm="1">
        <f t="array" ref="G715">IF($A715="","",SUMPRODUCT((TRIM(tblDados[Mandante])=$A715)*tblDados[Primeira_Ocorrencia])+SUMPRODUCT((TRIM(tblDados[Visitante])=$A715)*tblDados[Primeira_Ocorrencia]))</f>
        <v/>
      </c>
      <c r="H715" s="14" t="str">
        <f t="shared" si="199"/>
        <v/>
      </c>
      <c r="I715" s="14" t="str" cm="1">
        <f t="array" ref="I715">IF($A715="","",_xlfn.LET(_xlpm.p,IFERROR(INDEX(tblDados[País],MATCH($A715,TRIM(tblDados[Mandante]),0)),INDEX(tblDados[País],MATCH($A715,TRIM(tblDados[Visitante]),0))),_xlpm.l,IFERROR(INDEX(tblDados[Liga],MATCH($A715,TRIM(tblDados[Mandante]),0)),INDEX(tblDados[Liga],MATCH($A715,TRIM(tblDados[Visitante]),0))),IFERROR(SUMIFS(Ligas!$D$2:$D$39,Ligas!$H$2:$H$39,_xlpm.p,Ligas!$I$2:$I$39,_xlpm.l),0)))</f>
        <v/>
      </c>
      <c r="J715" s="16" t="str" cm="1">
        <f t="array" ref="J715">IF($A715="","",IFERROR((SUMPRODUCT((TRIM(tblDados[Mandante])=$A715)*tblDados[Primeira_Ocorrencia]*(tblDados[GM_M]=0))+SUMPRODUCT((TRIM(tblDados[Visitante])=$A715)*tblDados[Primeira_Ocorrencia]*(tblDados[GM_V]=0)))/G715,0))</f>
        <v/>
      </c>
      <c r="K715" s="16" t="str" cm="1">
        <f t="array" ref="K715">IF($A715="","",IFERROR((SUMPRODUCT((TRIM(tblDados[Mandante])=$A715)*tblDados[Primeira_Ocorrencia]*((tblDados[GM_M]+tblDados[GS_M])&gt;0.5))+SUMPRODUCT((TRIM(tblDados[Visitante])=$A715)*tblDados[Primeira_Ocorrencia]*((tblDados[GM_V]+tblDados[GS_V])&gt;0.5)))/G715,0))</f>
        <v/>
      </c>
      <c r="L715" s="16" t="str" cm="1">
        <f t="array" ref="L715">IF($A715="","",IFERROR((SUMPRODUCT((TRIM(tblDados[Mandante])=$A715)*tblDados[Primeira_Ocorrencia]*((tblDados[GM_M]+tblDados[GS_M])&gt;1.5))+SUMPRODUCT((TRIM(tblDados[Visitante])=$A715)*tblDados[Primeira_Ocorrencia]*((tblDados[GM_V]+tblDados[GS_V])&gt;1.5)))/G715,0))</f>
        <v/>
      </c>
      <c r="M715" s="16" t="str" cm="1">
        <f t="array" ref="M715">IF($A715="","",IFERROR((SUMPRODUCT((TRIM(tblDados[Mandante])=$A715)*tblDados[Primeira_Ocorrencia]*((tblDados[GM_M]+tblDados[GS_M])&gt;2.5))+SUMPRODUCT((TRIM(tblDados[Visitante])=$A715)*tblDados[Primeira_Ocorrencia]*((tblDados[GM_V]+tblDados[GS_V])&gt;2.5)))/G715,0))</f>
        <v/>
      </c>
      <c r="N715" s="16" t="str" cm="1">
        <f t="array" ref="N715">IF($A715="","",IFERROR((SUMPRODUCT((TRIM(tblDados[Mandante])=$A715)*tblDados[Primeira_Ocorrencia]*((tblDados[GM_M]+tblDados[GS_M])&gt;3.5))+SUMPRODUCT((TRIM(tblDados[Visitante])=$A715)*tblDados[Primeira_Ocorrencia]*((tblDados[GM_V]+tblDados[GS_V])&gt;3.5)))/G715,0))</f>
        <v/>
      </c>
      <c r="O715" s="16" t="str" cm="1">
        <f t="array" ref="O715">IF($A715="","",IFERROR((SUMPRODUCT((TRIM(tblDados[Mandante])=$A715)*tblDados[Primeira_Ocorrencia]*(tblDados[GM_M]&gt;0)*(tblDados[GS_M]&gt;0))+SUMPRODUCT((TRIM(tblDados[Visitante])=$A715)*tblDados[Primeira_Ocorrencia]*(tblDados[GM_V]&gt;0)*(tblDados[GS_V]&gt;0)))/G715,0))</f>
        <v/>
      </c>
      <c r="P715" s="14" t="str" cm="1">
        <f t="array" ref="P715">IF($A715="","",IFERROR((SUMPRODUCT((TRIM(tblDados[Mandante])=$A715)*tblDados[Primeira_Ocorrencia]*tblDados[GM_M]^2)+SUMPRODUCT((TRIM(tblDados[Visitante])=$A715)*tblDados[Primeira_Ocorrencia]*tblDados[GM_V]^2))/G715-H715^2,0))</f>
        <v/>
      </c>
      <c r="Q715" s="14" t="str">
        <f t="shared" si="200"/>
        <v/>
      </c>
      <c r="R715" s="1" t="str">
        <f t="shared" si="201"/>
        <v/>
      </c>
      <c r="S715" s="14" t="str" cm="1">
        <f t="array" ref="S715">IF($A715="","",SUMPRODUCT((TRIM(tblDados[Mandante])=$A715)*tblDados[Primeira_Ocorrencia]*tblDados[GM_M]))</f>
        <v/>
      </c>
      <c r="T715" s="14" t="str" cm="1">
        <f t="array" ref="T715">IF($A715="","",SUMPRODUCT((TRIM(tblDados[Visitante])=$A715)*tblDados[Primeira_Ocorrencia]*tblDados[GM_V]))</f>
        <v/>
      </c>
      <c r="U715" s="14" t="str">
        <f t="shared" si="202"/>
        <v/>
      </c>
      <c r="V715" s="14" t="str">
        <f t="shared" si="191"/>
        <v/>
      </c>
      <c r="W715" s="14" t="str" cm="1">
        <f t="array" ref="W715">IF($A715="","",SUMPRODUCT((TRIM(tblDados[Mandante])=$A715)*tblDados[Primeira_Ocorrencia]*tblDados[GS_M]))</f>
        <v/>
      </c>
      <c r="X715" s="14" t="str" cm="1">
        <f t="array" ref="X715">IF($A715="","",SUMPRODUCT((TRIM(tblDados[Visitante])=$A715)*tblDados[Primeira_Ocorrencia]*tblDados[GS_V]))</f>
        <v/>
      </c>
      <c r="Y715" s="14" t="str">
        <f t="shared" si="203"/>
        <v/>
      </c>
      <c r="Z715" s="14" t="str">
        <f t="shared" si="192"/>
        <v/>
      </c>
      <c r="AA715" s="14" t="str">
        <f t="shared" si="193"/>
        <v/>
      </c>
      <c r="AB715" s="14" t="str">
        <f t="shared" si="194"/>
        <v/>
      </c>
      <c r="AC715" s="14" t="str">
        <f t="shared" si="195"/>
        <v/>
      </c>
      <c r="AD715" s="14" t="str">
        <f t="shared" si="196"/>
        <v/>
      </c>
    </row>
    <row r="716" spans="2:30" x14ac:dyDescent="0.3">
      <c r="B716" s="13" t="str" cm="1">
        <f t="array" ref="B716">IF($A716="","",_xlfn.LET(_xlpm.p,IFERROR(INDEX(tblDados[País],MATCH($A716,TRIM(tblDados[Mandante]),0)),INDEX(tblDados[País],MATCH($A716,TRIM(tblDados[Visitante]),0))),_xlpm.l,IFERROR(INDEX(tblDados[Liga],MATCH($A716,TRIM(tblDados[Mandante]),0)),INDEX(tblDados[Liga],MATCH($A716,TRIM(tblDados[Visitante]),0))),_xlpm.p&amp;" - "&amp;_xlpm.l))</f>
        <v/>
      </c>
      <c r="C716" s="14" t="str">
        <f t="shared" si="197"/>
        <v/>
      </c>
      <c r="D716" s="14" t="str">
        <f t="shared" si="198"/>
        <v/>
      </c>
      <c r="E716" s="15" t="str" cm="1">
        <f t="array" ref="E716">IF($A716="","",SUMPRODUCT((TRIM(tblDados[Mandante])=$A716)*tblDados[Primeira_Ocorrencia]))</f>
        <v/>
      </c>
      <c r="F716" s="15" t="str" cm="1">
        <f t="array" ref="F716">IF($A716="","",SUMPRODUCT((TRIM(tblDados[Visitante])=$A716)*tblDados[Primeira_Ocorrencia]))</f>
        <v/>
      </c>
      <c r="G716" s="15" t="str" cm="1">
        <f t="array" ref="G716">IF($A716="","",SUMPRODUCT((TRIM(tblDados[Mandante])=$A716)*tblDados[Primeira_Ocorrencia])+SUMPRODUCT((TRIM(tblDados[Visitante])=$A716)*tblDados[Primeira_Ocorrencia]))</f>
        <v/>
      </c>
      <c r="H716" s="14" t="str">
        <f t="shared" si="199"/>
        <v/>
      </c>
      <c r="I716" s="14" t="str" cm="1">
        <f t="array" ref="I716">IF($A716="","",_xlfn.LET(_xlpm.p,IFERROR(INDEX(tblDados[País],MATCH($A716,TRIM(tblDados[Mandante]),0)),INDEX(tblDados[País],MATCH($A716,TRIM(tblDados[Visitante]),0))),_xlpm.l,IFERROR(INDEX(tblDados[Liga],MATCH($A716,TRIM(tblDados[Mandante]),0)),INDEX(tblDados[Liga],MATCH($A716,TRIM(tblDados[Visitante]),0))),IFERROR(SUMIFS(Ligas!$D$2:$D$39,Ligas!$H$2:$H$39,_xlpm.p,Ligas!$I$2:$I$39,_xlpm.l),0)))</f>
        <v/>
      </c>
      <c r="J716" s="16" t="str" cm="1">
        <f t="array" ref="J716">IF($A716="","",IFERROR((SUMPRODUCT((TRIM(tblDados[Mandante])=$A716)*tblDados[Primeira_Ocorrencia]*(tblDados[GM_M]=0))+SUMPRODUCT((TRIM(tblDados[Visitante])=$A716)*tblDados[Primeira_Ocorrencia]*(tblDados[GM_V]=0)))/G716,0))</f>
        <v/>
      </c>
      <c r="K716" s="16" t="str" cm="1">
        <f t="array" ref="K716">IF($A716="","",IFERROR((SUMPRODUCT((TRIM(tblDados[Mandante])=$A716)*tblDados[Primeira_Ocorrencia]*((tblDados[GM_M]+tblDados[GS_M])&gt;0.5))+SUMPRODUCT((TRIM(tblDados[Visitante])=$A716)*tblDados[Primeira_Ocorrencia]*((tblDados[GM_V]+tblDados[GS_V])&gt;0.5)))/G716,0))</f>
        <v/>
      </c>
      <c r="L716" s="16" t="str" cm="1">
        <f t="array" ref="L716">IF($A716="","",IFERROR((SUMPRODUCT((TRIM(tblDados[Mandante])=$A716)*tblDados[Primeira_Ocorrencia]*((tblDados[GM_M]+tblDados[GS_M])&gt;1.5))+SUMPRODUCT((TRIM(tblDados[Visitante])=$A716)*tblDados[Primeira_Ocorrencia]*((tblDados[GM_V]+tblDados[GS_V])&gt;1.5)))/G716,0))</f>
        <v/>
      </c>
      <c r="M716" s="16" t="str" cm="1">
        <f t="array" ref="M716">IF($A716="","",IFERROR((SUMPRODUCT((TRIM(tblDados[Mandante])=$A716)*tblDados[Primeira_Ocorrencia]*((tblDados[GM_M]+tblDados[GS_M])&gt;2.5))+SUMPRODUCT((TRIM(tblDados[Visitante])=$A716)*tblDados[Primeira_Ocorrencia]*((tblDados[GM_V]+tblDados[GS_V])&gt;2.5)))/G716,0))</f>
        <v/>
      </c>
      <c r="N716" s="16" t="str" cm="1">
        <f t="array" ref="N716">IF($A716="","",IFERROR((SUMPRODUCT((TRIM(tblDados[Mandante])=$A716)*tblDados[Primeira_Ocorrencia]*((tblDados[GM_M]+tblDados[GS_M])&gt;3.5))+SUMPRODUCT((TRIM(tblDados[Visitante])=$A716)*tblDados[Primeira_Ocorrencia]*((tblDados[GM_V]+tblDados[GS_V])&gt;3.5)))/G716,0))</f>
        <v/>
      </c>
      <c r="O716" s="16" t="str" cm="1">
        <f t="array" ref="O716">IF($A716="","",IFERROR((SUMPRODUCT((TRIM(tblDados[Mandante])=$A716)*tblDados[Primeira_Ocorrencia]*(tblDados[GM_M]&gt;0)*(tblDados[GS_M]&gt;0))+SUMPRODUCT((TRIM(tblDados[Visitante])=$A716)*tblDados[Primeira_Ocorrencia]*(tblDados[GM_V]&gt;0)*(tblDados[GS_V]&gt;0)))/G716,0))</f>
        <v/>
      </c>
      <c r="P716" s="14" t="str" cm="1">
        <f t="array" ref="P716">IF($A716="","",IFERROR((SUMPRODUCT((TRIM(tblDados[Mandante])=$A716)*tblDados[Primeira_Ocorrencia]*tblDados[GM_M]^2)+SUMPRODUCT((TRIM(tblDados[Visitante])=$A716)*tblDados[Primeira_Ocorrencia]*tblDados[GM_V]^2))/G716-H716^2,0))</f>
        <v/>
      </c>
      <c r="Q716" s="14" t="str">
        <f t="shared" si="200"/>
        <v/>
      </c>
      <c r="R716" s="1" t="str">
        <f t="shared" si="201"/>
        <v/>
      </c>
      <c r="S716" s="14" t="str" cm="1">
        <f t="array" ref="S716">IF($A716="","",SUMPRODUCT((TRIM(tblDados[Mandante])=$A716)*tblDados[Primeira_Ocorrencia]*tblDados[GM_M]))</f>
        <v/>
      </c>
      <c r="T716" s="14" t="str" cm="1">
        <f t="array" ref="T716">IF($A716="","",SUMPRODUCT((TRIM(tblDados[Visitante])=$A716)*tblDados[Primeira_Ocorrencia]*tblDados[GM_V]))</f>
        <v/>
      </c>
      <c r="U716" s="14" t="str">
        <f t="shared" si="202"/>
        <v/>
      </c>
      <c r="V716" s="14" t="str">
        <f t="shared" si="191"/>
        <v/>
      </c>
      <c r="W716" s="14" t="str" cm="1">
        <f t="array" ref="W716">IF($A716="","",SUMPRODUCT((TRIM(tblDados[Mandante])=$A716)*tblDados[Primeira_Ocorrencia]*tblDados[GS_M]))</f>
        <v/>
      </c>
      <c r="X716" s="14" t="str" cm="1">
        <f t="array" ref="X716">IF($A716="","",SUMPRODUCT((TRIM(tblDados[Visitante])=$A716)*tblDados[Primeira_Ocorrencia]*tblDados[GS_V]))</f>
        <v/>
      </c>
      <c r="Y716" s="14" t="str">
        <f t="shared" si="203"/>
        <v/>
      </c>
      <c r="Z716" s="14" t="str">
        <f t="shared" si="192"/>
        <v/>
      </c>
      <c r="AA716" s="14" t="str">
        <f t="shared" si="193"/>
        <v/>
      </c>
      <c r="AB716" s="14" t="str">
        <f t="shared" si="194"/>
        <v/>
      </c>
      <c r="AC716" s="14" t="str">
        <f t="shared" si="195"/>
        <v/>
      </c>
      <c r="AD716" s="14" t="str">
        <f t="shared" si="196"/>
        <v/>
      </c>
    </row>
    <row r="717" spans="2:30" x14ac:dyDescent="0.3">
      <c r="B717" s="13" t="str" cm="1">
        <f t="array" ref="B717">IF($A717="","",_xlfn.LET(_xlpm.p,IFERROR(INDEX(tblDados[País],MATCH($A717,TRIM(tblDados[Mandante]),0)),INDEX(tblDados[País],MATCH($A717,TRIM(tblDados[Visitante]),0))),_xlpm.l,IFERROR(INDEX(tblDados[Liga],MATCH($A717,TRIM(tblDados[Mandante]),0)),INDEX(tblDados[Liga],MATCH($A717,TRIM(tblDados[Visitante]),0))),_xlpm.p&amp;" - "&amp;_xlpm.l))</f>
        <v/>
      </c>
      <c r="C717" s="14" t="str">
        <f t="shared" si="197"/>
        <v/>
      </c>
      <c r="D717" s="14" t="str">
        <f t="shared" si="198"/>
        <v/>
      </c>
      <c r="E717" s="15" t="str" cm="1">
        <f t="array" ref="E717">IF($A717="","",SUMPRODUCT((TRIM(tblDados[Mandante])=$A717)*tblDados[Primeira_Ocorrencia]))</f>
        <v/>
      </c>
      <c r="F717" s="15" t="str" cm="1">
        <f t="array" ref="F717">IF($A717="","",SUMPRODUCT((TRIM(tblDados[Visitante])=$A717)*tblDados[Primeira_Ocorrencia]))</f>
        <v/>
      </c>
      <c r="G717" s="15" t="str" cm="1">
        <f t="array" ref="G717">IF($A717="","",SUMPRODUCT((TRIM(tblDados[Mandante])=$A717)*tblDados[Primeira_Ocorrencia])+SUMPRODUCT((TRIM(tblDados[Visitante])=$A717)*tblDados[Primeira_Ocorrencia]))</f>
        <v/>
      </c>
      <c r="H717" s="14" t="str">
        <f t="shared" si="199"/>
        <v/>
      </c>
      <c r="I717" s="14" t="str" cm="1">
        <f t="array" ref="I717">IF($A717="","",_xlfn.LET(_xlpm.p,IFERROR(INDEX(tblDados[País],MATCH($A717,TRIM(tblDados[Mandante]),0)),INDEX(tblDados[País],MATCH($A717,TRIM(tblDados[Visitante]),0))),_xlpm.l,IFERROR(INDEX(tblDados[Liga],MATCH($A717,TRIM(tblDados[Mandante]),0)),INDEX(tblDados[Liga],MATCH($A717,TRIM(tblDados[Visitante]),0))),IFERROR(SUMIFS(Ligas!$D$2:$D$39,Ligas!$H$2:$H$39,_xlpm.p,Ligas!$I$2:$I$39,_xlpm.l),0)))</f>
        <v/>
      </c>
      <c r="J717" s="16" t="str" cm="1">
        <f t="array" ref="J717">IF($A717="","",IFERROR((SUMPRODUCT((TRIM(tblDados[Mandante])=$A717)*tblDados[Primeira_Ocorrencia]*(tblDados[GM_M]=0))+SUMPRODUCT((TRIM(tblDados[Visitante])=$A717)*tblDados[Primeira_Ocorrencia]*(tblDados[GM_V]=0)))/G717,0))</f>
        <v/>
      </c>
      <c r="K717" s="16" t="str" cm="1">
        <f t="array" ref="K717">IF($A717="","",IFERROR((SUMPRODUCT((TRIM(tblDados[Mandante])=$A717)*tblDados[Primeira_Ocorrencia]*((tblDados[GM_M]+tblDados[GS_M])&gt;0.5))+SUMPRODUCT((TRIM(tblDados[Visitante])=$A717)*tblDados[Primeira_Ocorrencia]*((tblDados[GM_V]+tblDados[GS_V])&gt;0.5)))/G717,0))</f>
        <v/>
      </c>
      <c r="L717" s="16" t="str" cm="1">
        <f t="array" ref="L717">IF($A717="","",IFERROR((SUMPRODUCT((TRIM(tblDados[Mandante])=$A717)*tblDados[Primeira_Ocorrencia]*((tblDados[GM_M]+tblDados[GS_M])&gt;1.5))+SUMPRODUCT((TRIM(tblDados[Visitante])=$A717)*tblDados[Primeira_Ocorrencia]*((tblDados[GM_V]+tblDados[GS_V])&gt;1.5)))/G717,0))</f>
        <v/>
      </c>
      <c r="M717" s="16" t="str" cm="1">
        <f t="array" ref="M717">IF($A717="","",IFERROR((SUMPRODUCT((TRIM(tblDados[Mandante])=$A717)*tblDados[Primeira_Ocorrencia]*((tblDados[GM_M]+tblDados[GS_M])&gt;2.5))+SUMPRODUCT((TRIM(tblDados[Visitante])=$A717)*tblDados[Primeira_Ocorrencia]*((tblDados[GM_V]+tblDados[GS_V])&gt;2.5)))/G717,0))</f>
        <v/>
      </c>
      <c r="N717" s="16" t="str" cm="1">
        <f t="array" ref="N717">IF($A717="","",IFERROR((SUMPRODUCT((TRIM(tblDados[Mandante])=$A717)*tblDados[Primeira_Ocorrencia]*((tblDados[GM_M]+tblDados[GS_M])&gt;3.5))+SUMPRODUCT((TRIM(tblDados[Visitante])=$A717)*tblDados[Primeira_Ocorrencia]*((tblDados[GM_V]+tblDados[GS_V])&gt;3.5)))/G717,0))</f>
        <v/>
      </c>
      <c r="O717" s="16" t="str" cm="1">
        <f t="array" ref="O717">IF($A717="","",IFERROR((SUMPRODUCT((TRIM(tblDados[Mandante])=$A717)*tblDados[Primeira_Ocorrencia]*(tblDados[GM_M]&gt;0)*(tblDados[GS_M]&gt;0))+SUMPRODUCT((TRIM(tblDados[Visitante])=$A717)*tblDados[Primeira_Ocorrencia]*(tblDados[GM_V]&gt;0)*(tblDados[GS_V]&gt;0)))/G717,0))</f>
        <v/>
      </c>
      <c r="P717" s="14" t="str" cm="1">
        <f t="array" ref="P717">IF($A717="","",IFERROR((SUMPRODUCT((TRIM(tblDados[Mandante])=$A717)*tblDados[Primeira_Ocorrencia]*tblDados[GM_M]^2)+SUMPRODUCT((TRIM(tblDados[Visitante])=$A717)*tblDados[Primeira_Ocorrencia]*tblDados[GM_V]^2))/G717-H717^2,0))</f>
        <v/>
      </c>
      <c r="Q717" s="14" t="str">
        <f t="shared" si="200"/>
        <v/>
      </c>
      <c r="R717" s="1" t="str">
        <f t="shared" si="201"/>
        <v/>
      </c>
      <c r="S717" s="14" t="str" cm="1">
        <f t="array" ref="S717">IF($A717="","",SUMPRODUCT((TRIM(tblDados[Mandante])=$A717)*tblDados[Primeira_Ocorrencia]*tblDados[GM_M]))</f>
        <v/>
      </c>
      <c r="T717" s="14" t="str" cm="1">
        <f t="array" ref="T717">IF($A717="","",SUMPRODUCT((TRIM(tblDados[Visitante])=$A717)*tblDados[Primeira_Ocorrencia]*tblDados[GM_V]))</f>
        <v/>
      </c>
      <c r="U717" s="14" t="str">
        <f t="shared" si="202"/>
        <v/>
      </c>
      <c r="V717" s="14" t="str">
        <f t="shared" si="191"/>
        <v/>
      </c>
      <c r="W717" s="14" t="str" cm="1">
        <f t="array" ref="W717">IF($A717="","",SUMPRODUCT((TRIM(tblDados[Mandante])=$A717)*tblDados[Primeira_Ocorrencia]*tblDados[GS_M]))</f>
        <v/>
      </c>
      <c r="X717" s="14" t="str" cm="1">
        <f t="array" ref="X717">IF($A717="","",SUMPRODUCT((TRIM(tblDados[Visitante])=$A717)*tblDados[Primeira_Ocorrencia]*tblDados[GS_V]))</f>
        <v/>
      </c>
      <c r="Y717" s="14" t="str">
        <f t="shared" si="203"/>
        <v/>
      </c>
      <c r="Z717" s="14" t="str">
        <f t="shared" si="192"/>
        <v/>
      </c>
      <c r="AA717" s="14" t="str">
        <f t="shared" si="193"/>
        <v/>
      </c>
      <c r="AB717" s="14" t="str">
        <f t="shared" si="194"/>
        <v/>
      </c>
      <c r="AC717" s="14" t="str">
        <f t="shared" si="195"/>
        <v/>
      </c>
      <c r="AD717" s="14" t="str">
        <f t="shared" si="196"/>
        <v/>
      </c>
    </row>
    <row r="718" spans="2:30" x14ac:dyDescent="0.3">
      <c r="B718" s="13" t="str" cm="1">
        <f t="array" ref="B718">IF($A718="","",_xlfn.LET(_xlpm.p,IFERROR(INDEX(tblDados[País],MATCH($A718,TRIM(tblDados[Mandante]),0)),INDEX(tblDados[País],MATCH($A718,TRIM(tblDados[Visitante]),0))),_xlpm.l,IFERROR(INDEX(tblDados[Liga],MATCH($A718,TRIM(tblDados[Mandante]),0)),INDEX(tblDados[Liga],MATCH($A718,TRIM(tblDados[Visitante]),0))),_xlpm.p&amp;" - "&amp;_xlpm.l))</f>
        <v/>
      </c>
      <c r="C718" s="14" t="str">
        <f t="shared" si="197"/>
        <v/>
      </c>
      <c r="D718" s="14" t="str">
        <f t="shared" si="198"/>
        <v/>
      </c>
      <c r="E718" s="15" t="str" cm="1">
        <f t="array" ref="E718">IF($A718="","",SUMPRODUCT((TRIM(tblDados[Mandante])=$A718)*tblDados[Primeira_Ocorrencia]))</f>
        <v/>
      </c>
      <c r="F718" s="15" t="str" cm="1">
        <f t="array" ref="F718">IF($A718="","",SUMPRODUCT((TRIM(tblDados[Visitante])=$A718)*tblDados[Primeira_Ocorrencia]))</f>
        <v/>
      </c>
      <c r="G718" s="15" t="str" cm="1">
        <f t="array" ref="G718">IF($A718="","",SUMPRODUCT((TRIM(tblDados[Mandante])=$A718)*tblDados[Primeira_Ocorrencia])+SUMPRODUCT((TRIM(tblDados[Visitante])=$A718)*tblDados[Primeira_Ocorrencia]))</f>
        <v/>
      </c>
      <c r="H718" s="14" t="str">
        <f t="shared" si="199"/>
        <v/>
      </c>
      <c r="I718" s="14" t="str" cm="1">
        <f t="array" ref="I718">IF($A718="","",_xlfn.LET(_xlpm.p,IFERROR(INDEX(tblDados[País],MATCH($A718,TRIM(tblDados[Mandante]),0)),INDEX(tblDados[País],MATCH($A718,TRIM(tblDados[Visitante]),0))),_xlpm.l,IFERROR(INDEX(tblDados[Liga],MATCH($A718,TRIM(tblDados[Mandante]),0)),INDEX(tblDados[Liga],MATCH($A718,TRIM(tblDados[Visitante]),0))),IFERROR(SUMIFS(Ligas!$D$2:$D$39,Ligas!$H$2:$H$39,_xlpm.p,Ligas!$I$2:$I$39,_xlpm.l),0)))</f>
        <v/>
      </c>
      <c r="J718" s="16" t="str" cm="1">
        <f t="array" ref="J718">IF($A718="","",IFERROR((SUMPRODUCT((TRIM(tblDados[Mandante])=$A718)*tblDados[Primeira_Ocorrencia]*(tblDados[GM_M]=0))+SUMPRODUCT((TRIM(tblDados[Visitante])=$A718)*tblDados[Primeira_Ocorrencia]*(tblDados[GM_V]=0)))/G718,0))</f>
        <v/>
      </c>
      <c r="K718" s="16" t="str" cm="1">
        <f t="array" ref="K718">IF($A718="","",IFERROR((SUMPRODUCT((TRIM(tblDados[Mandante])=$A718)*tblDados[Primeira_Ocorrencia]*((tblDados[GM_M]+tblDados[GS_M])&gt;0.5))+SUMPRODUCT((TRIM(tblDados[Visitante])=$A718)*tblDados[Primeira_Ocorrencia]*((tblDados[GM_V]+tblDados[GS_V])&gt;0.5)))/G718,0))</f>
        <v/>
      </c>
      <c r="L718" s="16" t="str" cm="1">
        <f t="array" ref="L718">IF($A718="","",IFERROR((SUMPRODUCT((TRIM(tblDados[Mandante])=$A718)*tblDados[Primeira_Ocorrencia]*((tblDados[GM_M]+tblDados[GS_M])&gt;1.5))+SUMPRODUCT((TRIM(tblDados[Visitante])=$A718)*tblDados[Primeira_Ocorrencia]*((tblDados[GM_V]+tblDados[GS_V])&gt;1.5)))/G718,0))</f>
        <v/>
      </c>
      <c r="M718" s="16" t="str" cm="1">
        <f t="array" ref="M718">IF($A718="","",IFERROR((SUMPRODUCT((TRIM(tblDados[Mandante])=$A718)*tblDados[Primeira_Ocorrencia]*((tblDados[GM_M]+tblDados[GS_M])&gt;2.5))+SUMPRODUCT((TRIM(tblDados[Visitante])=$A718)*tblDados[Primeira_Ocorrencia]*((tblDados[GM_V]+tblDados[GS_V])&gt;2.5)))/G718,0))</f>
        <v/>
      </c>
      <c r="N718" s="16" t="str" cm="1">
        <f t="array" ref="N718">IF($A718="","",IFERROR((SUMPRODUCT((TRIM(tblDados[Mandante])=$A718)*tblDados[Primeira_Ocorrencia]*((tblDados[GM_M]+tblDados[GS_M])&gt;3.5))+SUMPRODUCT((TRIM(tblDados[Visitante])=$A718)*tblDados[Primeira_Ocorrencia]*((tblDados[GM_V]+tblDados[GS_V])&gt;3.5)))/G718,0))</f>
        <v/>
      </c>
      <c r="O718" s="16" t="str" cm="1">
        <f t="array" ref="O718">IF($A718="","",IFERROR((SUMPRODUCT((TRIM(tblDados[Mandante])=$A718)*tblDados[Primeira_Ocorrencia]*(tblDados[GM_M]&gt;0)*(tblDados[GS_M]&gt;0))+SUMPRODUCT((TRIM(tblDados[Visitante])=$A718)*tblDados[Primeira_Ocorrencia]*(tblDados[GM_V]&gt;0)*(tblDados[GS_V]&gt;0)))/G718,0))</f>
        <v/>
      </c>
      <c r="P718" s="14" t="str" cm="1">
        <f t="array" ref="P718">IF($A718="","",IFERROR((SUMPRODUCT((TRIM(tblDados[Mandante])=$A718)*tblDados[Primeira_Ocorrencia]*tblDados[GM_M]^2)+SUMPRODUCT((TRIM(tblDados[Visitante])=$A718)*tblDados[Primeira_Ocorrencia]*tblDados[GM_V]^2))/G718-H718^2,0))</f>
        <v/>
      </c>
      <c r="Q718" s="14" t="str">
        <f t="shared" si="200"/>
        <v/>
      </c>
      <c r="R718" s="1" t="str">
        <f t="shared" si="201"/>
        <v/>
      </c>
      <c r="S718" s="14" t="str" cm="1">
        <f t="array" ref="S718">IF($A718="","",SUMPRODUCT((TRIM(tblDados[Mandante])=$A718)*tblDados[Primeira_Ocorrencia]*tblDados[GM_M]))</f>
        <v/>
      </c>
      <c r="T718" s="14" t="str" cm="1">
        <f t="array" ref="T718">IF($A718="","",SUMPRODUCT((TRIM(tblDados[Visitante])=$A718)*tblDados[Primeira_Ocorrencia]*tblDados[GM_V]))</f>
        <v/>
      </c>
      <c r="U718" s="14" t="str">
        <f t="shared" si="202"/>
        <v/>
      </c>
      <c r="V718" s="14" t="str">
        <f t="shared" si="191"/>
        <v/>
      </c>
      <c r="W718" s="14" t="str" cm="1">
        <f t="array" ref="W718">IF($A718="","",SUMPRODUCT((TRIM(tblDados[Mandante])=$A718)*tblDados[Primeira_Ocorrencia]*tblDados[GS_M]))</f>
        <v/>
      </c>
      <c r="X718" s="14" t="str" cm="1">
        <f t="array" ref="X718">IF($A718="","",SUMPRODUCT((TRIM(tblDados[Visitante])=$A718)*tblDados[Primeira_Ocorrencia]*tblDados[GS_V]))</f>
        <v/>
      </c>
      <c r="Y718" s="14" t="str">
        <f t="shared" si="203"/>
        <v/>
      </c>
      <c r="Z718" s="14" t="str">
        <f t="shared" si="192"/>
        <v/>
      </c>
      <c r="AA718" s="14" t="str">
        <f t="shared" si="193"/>
        <v/>
      </c>
      <c r="AB718" s="14" t="str">
        <f t="shared" si="194"/>
        <v/>
      </c>
      <c r="AC718" s="14" t="str">
        <f t="shared" si="195"/>
        <v/>
      </c>
      <c r="AD718" s="14" t="str">
        <f t="shared" si="196"/>
        <v/>
      </c>
    </row>
    <row r="719" spans="2:30" x14ac:dyDescent="0.3">
      <c r="B719" s="13" t="str" cm="1">
        <f t="array" ref="B719">IF($A719="","",_xlfn.LET(_xlpm.p,IFERROR(INDEX(tblDados[País],MATCH($A719,TRIM(tblDados[Mandante]),0)),INDEX(tblDados[País],MATCH($A719,TRIM(tblDados[Visitante]),0))),_xlpm.l,IFERROR(INDEX(tblDados[Liga],MATCH($A719,TRIM(tblDados[Mandante]),0)),INDEX(tblDados[Liga],MATCH($A719,TRIM(tblDados[Visitante]),0))),_xlpm.p&amp;" - "&amp;_xlpm.l))</f>
        <v/>
      </c>
      <c r="C719" s="14" t="str">
        <f t="shared" si="197"/>
        <v/>
      </c>
      <c r="D719" s="14" t="str">
        <f t="shared" si="198"/>
        <v/>
      </c>
      <c r="E719" s="15" t="str" cm="1">
        <f t="array" ref="E719">IF($A719="","",SUMPRODUCT((TRIM(tblDados[Mandante])=$A719)*tblDados[Primeira_Ocorrencia]))</f>
        <v/>
      </c>
      <c r="F719" s="15" t="str" cm="1">
        <f t="array" ref="F719">IF($A719="","",SUMPRODUCT((TRIM(tblDados[Visitante])=$A719)*tblDados[Primeira_Ocorrencia]))</f>
        <v/>
      </c>
      <c r="G719" s="15" t="str" cm="1">
        <f t="array" ref="G719">IF($A719="","",SUMPRODUCT((TRIM(tblDados[Mandante])=$A719)*tblDados[Primeira_Ocorrencia])+SUMPRODUCT((TRIM(tblDados[Visitante])=$A719)*tblDados[Primeira_Ocorrencia]))</f>
        <v/>
      </c>
      <c r="H719" s="14" t="str">
        <f t="shared" si="199"/>
        <v/>
      </c>
      <c r="I719" s="14" t="str" cm="1">
        <f t="array" ref="I719">IF($A719="","",_xlfn.LET(_xlpm.p,IFERROR(INDEX(tblDados[País],MATCH($A719,TRIM(tblDados[Mandante]),0)),INDEX(tblDados[País],MATCH($A719,TRIM(tblDados[Visitante]),0))),_xlpm.l,IFERROR(INDEX(tblDados[Liga],MATCH($A719,TRIM(tblDados[Mandante]),0)),INDEX(tblDados[Liga],MATCH($A719,TRIM(tblDados[Visitante]),0))),IFERROR(SUMIFS(Ligas!$D$2:$D$39,Ligas!$H$2:$H$39,_xlpm.p,Ligas!$I$2:$I$39,_xlpm.l),0)))</f>
        <v/>
      </c>
      <c r="J719" s="16" t="str" cm="1">
        <f t="array" ref="J719">IF($A719="","",IFERROR((SUMPRODUCT((TRIM(tblDados[Mandante])=$A719)*tblDados[Primeira_Ocorrencia]*(tblDados[GM_M]=0))+SUMPRODUCT((TRIM(tblDados[Visitante])=$A719)*tblDados[Primeira_Ocorrencia]*(tblDados[GM_V]=0)))/G719,0))</f>
        <v/>
      </c>
      <c r="K719" s="16" t="str" cm="1">
        <f t="array" ref="K719">IF($A719="","",IFERROR((SUMPRODUCT((TRIM(tblDados[Mandante])=$A719)*tblDados[Primeira_Ocorrencia]*((tblDados[GM_M]+tblDados[GS_M])&gt;0.5))+SUMPRODUCT((TRIM(tblDados[Visitante])=$A719)*tblDados[Primeira_Ocorrencia]*((tblDados[GM_V]+tblDados[GS_V])&gt;0.5)))/G719,0))</f>
        <v/>
      </c>
      <c r="L719" s="16" t="str" cm="1">
        <f t="array" ref="L719">IF($A719="","",IFERROR((SUMPRODUCT((TRIM(tblDados[Mandante])=$A719)*tblDados[Primeira_Ocorrencia]*((tblDados[GM_M]+tblDados[GS_M])&gt;1.5))+SUMPRODUCT((TRIM(tblDados[Visitante])=$A719)*tblDados[Primeira_Ocorrencia]*((tblDados[GM_V]+tblDados[GS_V])&gt;1.5)))/G719,0))</f>
        <v/>
      </c>
      <c r="M719" s="16" t="str" cm="1">
        <f t="array" ref="M719">IF($A719="","",IFERROR((SUMPRODUCT((TRIM(tblDados[Mandante])=$A719)*tblDados[Primeira_Ocorrencia]*((tblDados[GM_M]+tblDados[GS_M])&gt;2.5))+SUMPRODUCT((TRIM(tblDados[Visitante])=$A719)*tblDados[Primeira_Ocorrencia]*((tblDados[GM_V]+tblDados[GS_V])&gt;2.5)))/G719,0))</f>
        <v/>
      </c>
      <c r="N719" s="16" t="str" cm="1">
        <f t="array" ref="N719">IF($A719="","",IFERROR((SUMPRODUCT((TRIM(tblDados[Mandante])=$A719)*tblDados[Primeira_Ocorrencia]*((tblDados[GM_M]+tblDados[GS_M])&gt;3.5))+SUMPRODUCT((TRIM(tblDados[Visitante])=$A719)*tblDados[Primeira_Ocorrencia]*((tblDados[GM_V]+tblDados[GS_V])&gt;3.5)))/G719,0))</f>
        <v/>
      </c>
      <c r="O719" s="16" t="str" cm="1">
        <f t="array" ref="O719">IF($A719="","",IFERROR((SUMPRODUCT((TRIM(tblDados[Mandante])=$A719)*tblDados[Primeira_Ocorrencia]*(tblDados[GM_M]&gt;0)*(tblDados[GS_M]&gt;0))+SUMPRODUCT((TRIM(tblDados[Visitante])=$A719)*tblDados[Primeira_Ocorrencia]*(tblDados[GM_V]&gt;0)*(tblDados[GS_V]&gt;0)))/G719,0))</f>
        <v/>
      </c>
      <c r="P719" s="14" t="str" cm="1">
        <f t="array" ref="P719">IF($A719="","",IFERROR((SUMPRODUCT((TRIM(tblDados[Mandante])=$A719)*tblDados[Primeira_Ocorrencia]*tblDados[GM_M]^2)+SUMPRODUCT((TRIM(tblDados[Visitante])=$A719)*tblDados[Primeira_Ocorrencia]*tblDados[GM_V]^2))/G719-H719^2,0))</f>
        <v/>
      </c>
      <c r="Q719" s="14" t="str">
        <f t="shared" si="200"/>
        <v/>
      </c>
      <c r="R719" s="1" t="str">
        <f t="shared" si="201"/>
        <v/>
      </c>
      <c r="S719" s="14" t="str" cm="1">
        <f t="array" ref="S719">IF($A719="","",SUMPRODUCT((TRIM(tblDados[Mandante])=$A719)*tblDados[Primeira_Ocorrencia]*tblDados[GM_M]))</f>
        <v/>
      </c>
      <c r="T719" s="14" t="str" cm="1">
        <f t="array" ref="T719">IF($A719="","",SUMPRODUCT((TRIM(tblDados[Visitante])=$A719)*tblDados[Primeira_Ocorrencia]*tblDados[GM_V]))</f>
        <v/>
      </c>
      <c r="U719" s="14" t="str">
        <f t="shared" si="202"/>
        <v/>
      </c>
      <c r="V719" s="14" t="str">
        <f t="shared" si="191"/>
        <v/>
      </c>
      <c r="W719" s="14" t="str" cm="1">
        <f t="array" ref="W719">IF($A719="","",SUMPRODUCT((TRIM(tblDados[Mandante])=$A719)*tblDados[Primeira_Ocorrencia]*tblDados[GS_M]))</f>
        <v/>
      </c>
      <c r="X719" s="14" t="str" cm="1">
        <f t="array" ref="X719">IF($A719="","",SUMPRODUCT((TRIM(tblDados[Visitante])=$A719)*tblDados[Primeira_Ocorrencia]*tblDados[GS_V]))</f>
        <v/>
      </c>
      <c r="Y719" s="14" t="str">
        <f t="shared" si="203"/>
        <v/>
      </c>
      <c r="Z719" s="14" t="str">
        <f t="shared" si="192"/>
        <v/>
      </c>
      <c r="AA719" s="14" t="str">
        <f t="shared" si="193"/>
        <v/>
      </c>
      <c r="AB719" s="14" t="str">
        <f t="shared" si="194"/>
        <v/>
      </c>
      <c r="AC719" s="14" t="str">
        <f t="shared" si="195"/>
        <v/>
      </c>
      <c r="AD719" s="14" t="str">
        <f t="shared" si="196"/>
        <v/>
      </c>
    </row>
    <row r="720" spans="2:30" x14ac:dyDescent="0.3">
      <c r="B720" s="13" t="str" cm="1">
        <f t="array" ref="B720">IF($A720="","",_xlfn.LET(_xlpm.p,IFERROR(INDEX(tblDados[País],MATCH($A720,TRIM(tblDados[Mandante]),0)),INDEX(tblDados[País],MATCH($A720,TRIM(tblDados[Visitante]),0))),_xlpm.l,IFERROR(INDEX(tblDados[Liga],MATCH($A720,TRIM(tblDados[Mandante]),0)),INDEX(tblDados[Liga],MATCH($A720,TRIM(tblDados[Visitante]),0))),_xlpm.p&amp;" - "&amp;_xlpm.l))</f>
        <v/>
      </c>
      <c r="C720" s="14" t="str">
        <f t="shared" si="197"/>
        <v/>
      </c>
      <c r="D720" s="14" t="str">
        <f t="shared" si="198"/>
        <v/>
      </c>
      <c r="E720" s="15" t="str" cm="1">
        <f t="array" ref="E720">IF($A720="","",SUMPRODUCT((TRIM(tblDados[Mandante])=$A720)*tblDados[Primeira_Ocorrencia]))</f>
        <v/>
      </c>
      <c r="F720" s="15" t="str" cm="1">
        <f t="array" ref="F720">IF($A720="","",SUMPRODUCT((TRIM(tblDados[Visitante])=$A720)*tblDados[Primeira_Ocorrencia]))</f>
        <v/>
      </c>
      <c r="G720" s="15" t="str" cm="1">
        <f t="array" ref="G720">IF($A720="","",SUMPRODUCT((TRIM(tblDados[Mandante])=$A720)*tblDados[Primeira_Ocorrencia])+SUMPRODUCT((TRIM(tblDados[Visitante])=$A720)*tblDados[Primeira_Ocorrencia]))</f>
        <v/>
      </c>
      <c r="H720" s="14" t="str">
        <f t="shared" si="199"/>
        <v/>
      </c>
      <c r="I720" s="14" t="str" cm="1">
        <f t="array" ref="I720">IF($A720="","",_xlfn.LET(_xlpm.p,IFERROR(INDEX(tblDados[País],MATCH($A720,TRIM(tblDados[Mandante]),0)),INDEX(tblDados[País],MATCH($A720,TRIM(tblDados[Visitante]),0))),_xlpm.l,IFERROR(INDEX(tblDados[Liga],MATCH($A720,TRIM(tblDados[Mandante]),0)),INDEX(tblDados[Liga],MATCH($A720,TRIM(tblDados[Visitante]),0))),IFERROR(SUMIFS(Ligas!$D$2:$D$39,Ligas!$H$2:$H$39,_xlpm.p,Ligas!$I$2:$I$39,_xlpm.l),0)))</f>
        <v/>
      </c>
      <c r="J720" s="16" t="str" cm="1">
        <f t="array" ref="J720">IF($A720="","",IFERROR((SUMPRODUCT((TRIM(tblDados[Mandante])=$A720)*tblDados[Primeira_Ocorrencia]*(tblDados[GM_M]=0))+SUMPRODUCT((TRIM(tblDados[Visitante])=$A720)*tblDados[Primeira_Ocorrencia]*(tblDados[GM_V]=0)))/G720,0))</f>
        <v/>
      </c>
      <c r="K720" s="16" t="str" cm="1">
        <f t="array" ref="K720">IF($A720="","",IFERROR((SUMPRODUCT((TRIM(tblDados[Mandante])=$A720)*tblDados[Primeira_Ocorrencia]*((tblDados[GM_M]+tblDados[GS_M])&gt;0.5))+SUMPRODUCT((TRIM(tblDados[Visitante])=$A720)*tblDados[Primeira_Ocorrencia]*((tblDados[GM_V]+tblDados[GS_V])&gt;0.5)))/G720,0))</f>
        <v/>
      </c>
      <c r="L720" s="16" t="str" cm="1">
        <f t="array" ref="L720">IF($A720="","",IFERROR((SUMPRODUCT((TRIM(tblDados[Mandante])=$A720)*tblDados[Primeira_Ocorrencia]*((tblDados[GM_M]+tblDados[GS_M])&gt;1.5))+SUMPRODUCT((TRIM(tblDados[Visitante])=$A720)*tblDados[Primeira_Ocorrencia]*((tblDados[GM_V]+tblDados[GS_V])&gt;1.5)))/G720,0))</f>
        <v/>
      </c>
      <c r="M720" s="16" t="str" cm="1">
        <f t="array" ref="M720">IF($A720="","",IFERROR((SUMPRODUCT((TRIM(tblDados[Mandante])=$A720)*tblDados[Primeira_Ocorrencia]*((tblDados[GM_M]+tblDados[GS_M])&gt;2.5))+SUMPRODUCT((TRIM(tblDados[Visitante])=$A720)*tblDados[Primeira_Ocorrencia]*((tblDados[GM_V]+tblDados[GS_V])&gt;2.5)))/G720,0))</f>
        <v/>
      </c>
      <c r="N720" s="16" t="str" cm="1">
        <f t="array" ref="N720">IF($A720="","",IFERROR((SUMPRODUCT((TRIM(tblDados[Mandante])=$A720)*tblDados[Primeira_Ocorrencia]*((tblDados[GM_M]+tblDados[GS_M])&gt;3.5))+SUMPRODUCT((TRIM(tblDados[Visitante])=$A720)*tblDados[Primeira_Ocorrencia]*((tblDados[GM_V]+tblDados[GS_V])&gt;3.5)))/G720,0))</f>
        <v/>
      </c>
      <c r="O720" s="16" t="str" cm="1">
        <f t="array" ref="O720">IF($A720="","",IFERROR((SUMPRODUCT((TRIM(tblDados[Mandante])=$A720)*tblDados[Primeira_Ocorrencia]*(tblDados[GM_M]&gt;0)*(tblDados[GS_M]&gt;0))+SUMPRODUCT((TRIM(tblDados[Visitante])=$A720)*tblDados[Primeira_Ocorrencia]*(tblDados[GM_V]&gt;0)*(tblDados[GS_V]&gt;0)))/G720,0))</f>
        <v/>
      </c>
      <c r="P720" s="14" t="str" cm="1">
        <f t="array" ref="P720">IF($A720="","",IFERROR((SUMPRODUCT((TRIM(tblDados[Mandante])=$A720)*tblDados[Primeira_Ocorrencia]*tblDados[GM_M]^2)+SUMPRODUCT((TRIM(tblDados[Visitante])=$A720)*tblDados[Primeira_Ocorrencia]*tblDados[GM_V]^2))/G720-H720^2,0))</f>
        <v/>
      </c>
      <c r="Q720" s="14" t="str">
        <f t="shared" si="200"/>
        <v/>
      </c>
      <c r="R720" s="1" t="str">
        <f t="shared" si="201"/>
        <v/>
      </c>
      <c r="S720" s="14" t="str" cm="1">
        <f t="array" ref="S720">IF($A720="","",SUMPRODUCT((TRIM(tblDados[Mandante])=$A720)*tblDados[Primeira_Ocorrencia]*tblDados[GM_M]))</f>
        <v/>
      </c>
      <c r="T720" s="14" t="str" cm="1">
        <f t="array" ref="T720">IF($A720="","",SUMPRODUCT((TRIM(tblDados[Visitante])=$A720)*tblDados[Primeira_Ocorrencia]*tblDados[GM_V]))</f>
        <v/>
      </c>
      <c r="U720" s="14" t="str">
        <f t="shared" si="202"/>
        <v/>
      </c>
      <c r="V720" s="14" t="str">
        <f t="shared" si="191"/>
        <v/>
      </c>
      <c r="W720" s="14" t="str" cm="1">
        <f t="array" ref="W720">IF($A720="","",SUMPRODUCT((TRIM(tblDados[Mandante])=$A720)*tblDados[Primeira_Ocorrencia]*tblDados[GS_M]))</f>
        <v/>
      </c>
      <c r="X720" s="14" t="str" cm="1">
        <f t="array" ref="X720">IF($A720="","",SUMPRODUCT((TRIM(tblDados[Visitante])=$A720)*tblDados[Primeira_Ocorrencia]*tblDados[GS_V]))</f>
        <v/>
      </c>
      <c r="Y720" s="14" t="str">
        <f t="shared" si="203"/>
        <v/>
      </c>
      <c r="Z720" s="14" t="str">
        <f t="shared" si="192"/>
        <v/>
      </c>
      <c r="AA720" s="14" t="str">
        <f t="shared" si="193"/>
        <v/>
      </c>
      <c r="AB720" s="14" t="str">
        <f t="shared" si="194"/>
        <v/>
      </c>
      <c r="AC720" s="14" t="str">
        <f t="shared" si="195"/>
        <v/>
      </c>
      <c r="AD720" s="14" t="str">
        <f t="shared" si="196"/>
        <v/>
      </c>
    </row>
    <row r="721" spans="2:30" x14ac:dyDescent="0.3">
      <c r="B721" s="13" t="str" cm="1">
        <f t="array" ref="B721">IF($A721="","",_xlfn.LET(_xlpm.p,IFERROR(INDEX(tblDados[País],MATCH($A721,TRIM(tblDados[Mandante]),0)),INDEX(tblDados[País],MATCH($A721,TRIM(tblDados[Visitante]),0))),_xlpm.l,IFERROR(INDEX(tblDados[Liga],MATCH($A721,TRIM(tblDados[Mandante]),0)),INDEX(tblDados[Liga],MATCH($A721,TRIM(tblDados[Visitante]),0))),_xlpm.p&amp;" - "&amp;_xlpm.l))</f>
        <v/>
      </c>
      <c r="C721" s="14" t="str">
        <f t="shared" si="197"/>
        <v/>
      </c>
      <c r="D721" s="14" t="str">
        <f t="shared" si="198"/>
        <v/>
      </c>
      <c r="E721" s="15" t="str" cm="1">
        <f t="array" ref="E721">IF($A721="","",SUMPRODUCT((TRIM(tblDados[Mandante])=$A721)*tblDados[Primeira_Ocorrencia]))</f>
        <v/>
      </c>
      <c r="F721" s="15" t="str" cm="1">
        <f t="array" ref="F721">IF($A721="","",SUMPRODUCT((TRIM(tblDados[Visitante])=$A721)*tblDados[Primeira_Ocorrencia]))</f>
        <v/>
      </c>
      <c r="G721" s="15" t="str" cm="1">
        <f t="array" ref="G721">IF($A721="","",SUMPRODUCT((TRIM(tblDados[Mandante])=$A721)*tblDados[Primeira_Ocorrencia])+SUMPRODUCT((TRIM(tblDados[Visitante])=$A721)*tblDados[Primeira_Ocorrencia]))</f>
        <v/>
      </c>
      <c r="H721" s="14" t="str">
        <f t="shared" si="199"/>
        <v/>
      </c>
      <c r="I721" s="14" t="str" cm="1">
        <f t="array" ref="I721">IF($A721="","",_xlfn.LET(_xlpm.p,IFERROR(INDEX(tblDados[País],MATCH($A721,TRIM(tblDados[Mandante]),0)),INDEX(tblDados[País],MATCH($A721,TRIM(tblDados[Visitante]),0))),_xlpm.l,IFERROR(INDEX(tblDados[Liga],MATCH($A721,TRIM(tblDados[Mandante]),0)),INDEX(tblDados[Liga],MATCH($A721,TRIM(tblDados[Visitante]),0))),IFERROR(SUMIFS(Ligas!$D$2:$D$39,Ligas!$H$2:$H$39,_xlpm.p,Ligas!$I$2:$I$39,_xlpm.l),0)))</f>
        <v/>
      </c>
      <c r="J721" s="16" t="str" cm="1">
        <f t="array" ref="J721">IF($A721="","",IFERROR((SUMPRODUCT((TRIM(tblDados[Mandante])=$A721)*tblDados[Primeira_Ocorrencia]*(tblDados[GM_M]=0))+SUMPRODUCT((TRIM(tblDados[Visitante])=$A721)*tblDados[Primeira_Ocorrencia]*(tblDados[GM_V]=0)))/G721,0))</f>
        <v/>
      </c>
      <c r="K721" s="16" t="str" cm="1">
        <f t="array" ref="K721">IF($A721="","",IFERROR((SUMPRODUCT((TRIM(tblDados[Mandante])=$A721)*tblDados[Primeira_Ocorrencia]*((tblDados[GM_M]+tblDados[GS_M])&gt;0.5))+SUMPRODUCT((TRIM(tblDados[Visitante])=$A721)*tblDados[Primeira_Ocorrencia]*((tblDados[GM_V]+tblDados[GS_V])&gt;0.5)))/G721,0))</f>
        <v/>
      </c>
      <c r="L721" s="16" t="str" cm="1">
        <f t="array" ref="L721">IF($A721="","",IFERROR((SUMPRODUCT((TRIM(tblDados[Mandante])=$A721)*tblDados[Primeira_Ocorrencia]*((tblDados[GM_M]+tblDados[GS_M])&gt;1.5))+SUMPRODUCT((TRIM(tblDados[Visitante])=$A721)*tblDados[Primeira_Ocorrencia]*((tblDados[GM_V]+tblDados[GS_V])&gt;1.5)))/G721,0))</f>
        <v/>
      </c>
      <c r="M721" s="16" t="str" cm="1">
        <f t="array" ref="M721">IF($A721="","",IFERROR((SUMPRODUCT((TRIM(tblDados[Mandante])=$A721)*tblDados[Primeira_Ocorrencia]*((tblDados[GM_M]+tblDados[GS_M])&gt;2.5))+SUMPRODUCT((TRIM(tblDados[Visitante])=$A721)*tblDados[Primeira_Ocorrencia]*((tblDados[GM_V]+tblDados[GS_V])&gt;2.5)))/G721,0))</f>
        <v/>
      </c>
      <c r="N721" s="16" t="str" cm="1">
        <f t="array" ref="N721">IF($A721="","",IFERROR((SUMPRODUCT((TRIM(tblDados[Mandante])=$A721)*tblDados[Primeira_Ocorrencia]*((tblDados[GM_M]+tblDados[GS_M])&gt;3.5))+SUMPRODUCT((TRIM(tblDados[Visitante])=$A721)*tblDados[Primeira_Ocorrencia]*((tblDados[GM_V]+tblDados[GS_V])&gt;3.5)))/G721,0))</f>
        <v/>
      </c>
      <c r="O721" s="16" t="str" cm="1">
        <f t="array" ref="O721">IF($A721="","",IFERROR((SUMPRODUCT((TRIM(tblDados[Mandante])=$A721)*tblDados[Primeira_Ocorrencia]*(tblDados[GM_M]&gt;0)*(tblDados[GS_M]&gt;0))+SUMPRODUCT((TRIM(tblDados[Visitante])=$A721)*tblDados[Primeira_Ocorrencia]*(tblDados[GM_V]&gt;0)*(tblDados[GS_V]&gt;0)))/G721,0))</f>
        <v/>
      </c>
      <c r="P721" s="14" t="str" cm="1">
        <f t="array" ref="P721">IF($A721="","",IFERROR((SUMPRODUCT((TRIM(tblDados[Mandante])=$A721)*tblDados[Primeira_Ocorrencia]*tblDados[GM_M]^2)+SUMPRODUCT((TRIM(tblDados[Visitante])=$A721)*tblDados[Primeira_Ocorrencia]*tblDados[GM_V]^2))/G721-H721^2,0))</f>
        <v/>
      </c>
      <c r="Q721" s="14" t="str">
        <f t="shared" si="200"/>
        <v/>
      </c>
      <c r="R721" s="1" t="str">
        <f t="shared" si="201"/>
        <v/>
      </c>
      <c r="S721" s="14" t="str" cm="1">
        <f t="array" ref="S721">IF($A721="","",SUMPRODUCT((TRIM(tblDados[Mandante])=$A721)*tblDados[Primeira_Ocorrencia]*tblDados[GM_M]))</f>
        <v/>
      </c>
      <c r="T721" s="14" t="str" cm="1">
        <f t="array" ref="T721">IF($A721="","",SUMPRODUCT((TRIM(tblDados[Visitante])=$A721)*tblDados[Primeira_Ocorrencia]*tblDados[GM_V]))</f>
        <v/>
      </c>
      <c r="U721" s="14" t="str">
        <f t="shared" si="202"/>
        <v/>
      </c>
      <c r="V721" s="14" t="str">
        <f t="shared" si="191"/>
        <v/>
      </c>
      <c r="W721" s="14" t="str" cm="1">
        <f t="array" ref="W721">IF($A721="","",SUMPRODUCT((TRIM(tblDados[Mandante])=$A721)*tblDados[Primeira_Ocorrencia]*tblDados[GS_M]))</f>
        <v/>
      </c>
      <c r="X721" s="14" t="str" cm="1">
        <f t="array" ref="X721">IF($A721="","",SUMPRODUCT((TRIM(tblDados[Visitante])=$A721)*tblDados[Primeira_Ocorrencia]*tblDados[GS_V]))</f>
        <v/>
      </c>
      <c r="Y721" s="14" t="str">
        <f t="shared" si="203"/>
        <v/>
      </c>
      <c r="Z721" s="14" t="str">
        <f t="shared" si="192"/>
        <v/>
      </c>
      <c r="AA721" s="14" t="str">
        <f t="shared" si="193"/>
        <v/>
      </c>
      <c r="AB721" s="14" t="str">
        <f t="shared" si="194"/>
        <v/>
      </c>
      <c r="AC721" s="14" t="str">
        <f t="shared" si="195"/>
        <v/>
      </c>
      <c r="AD721" s="14" t="str">
        <f t="shared" si="196"/>
        <v/>
      </c>
    </row>
    <row r="722" spans="2:30" x14ac:dyDescent="0.3">
      <c r="B722" s="13" t="str" cm="1">
        <f t="array" ref="B722">IF($A722="","",_xlfn.LET(_xlpm.p,IFERROR(INDEX(tblDados[País],MATCH($A722,TRIM(tblDados[Mandante]),0)),INDEX(tblDados[País],MATCH($A722,TRIM(tblDados[Visitante]),0))),_xlpm.l,IFERROR(INDEX(tblDados[Liga],MATCH($A722,TRIM(tblDados[Mandante]),0)),INDEX(tblDados[Liga],MATCH($A722,TRIM(tblDados[Visitante]),0))),_xlpm.p&amp;" - "&amp;_xlpm.l))</f>
        <v/>
      </c>
      <c r="C722" s="14" t="str">
        <f t="shared" si="197"/>
        <v/>
      </c>
      <c r="D722" s="14" t="str">
        <f t="shared" si="198"/>
        <v/>
      </c>
      <c r="E722" s="15" t="str" cm="1">
        <f t="array" ref="E722">IF($A722="","",SUMPRODUCT((TRIM(tblDados[Mandante])=$A722)*tblDados[Primeira_Ocorrencia]))</f>
        <v/>
      </c>
      <c r="F722" s="15" t="str" cm="1">
        <f t="array" ref="F722">IF($A722="","",SUMPRODUCT((TRIM(tblDados[Visitante])=$A722)*tblDados[Primeira_Ocorrencia]))</f>
        <v/>
      </c>
      <c r="G722" s="15" t="str" cm="1">
        <f t="array" ref="G722">IF($A722="","",SUMPRODUCT((TRIM(tblDados[Mandante])=$A722)*tblDados[Primeira_Ocorrencia])+SUMPRODUCT((TRIM(tblDados[Visitante])=$A722)*tblDados[Primeira_Ocorrencia]))</f>
        <v/>
      </c>
      <c r="H722" s="14" t="str">
        <f t="shared" si="199"/>
        <v/>
      </c>
      <c r="I722" s="14" t="str" cm="1">
        <f t="array" ref="I722">IF($A722="","",_xlfn.LET(_xlpm.p,IFERROR(INDEX(tblDados[País],MATCH($A722,TRIM(tblDados[Mandante]),0)),INDEX(tblDados[País],MATCH($A722,TRIM(tblDados[Visitante]),0))),_xlpm.l,IFERROR(INDEX(tblDados[Liga],MATCH($A722,TRIM(tblDados[Mandante]),0)),INDEX(tblDados[Liga],MATCH($A722,TRIM(tblDados[Visitante]),0))),IFERROR(SUMIFS(Ligas!$D$2:$D$39,Ligas!$H$2:$H$39,_xlpm.p,Ligas!$I$2:$I$39,_xlpm.l),0)))</f>
        <v/>
      </c>
      <c r="J722" s="16" t="str" cm="1">
        <f t="array" ref="J722">IF($A722="","",IFERROR((SUMPRODUCT((TRIM(tblDados[Mandante])=$A722)*tblDados[Primeira_Ocorrencia]*(tblDados[GM_M]=0))+SUMPRODUCT((TRIM(tblDados[Visitante])=$A722)*tblDados[Primeira_Ocorrencia]*(tblDados[GM_V]=0)))/G722,0))</f>
        <v/>
      </c>
      <c r="K722" s="16" t="str" cm="1">
        <f t="array" ref="K722">IF($A722="","",IFERROR((SUMPRODUCT((TRIM(tblDados[Mandante])=$A722)*tblDados[Primeira_Ocorrencia]*((tblDados[GM_M]+tblDados[GS_M])&gt;0.5))+SUMPRODUCT((TRIM(tblDados[Visitante])=$A722)*tblDados[Primeira_Ocorrencia]*((tblDados[GM_V]+tblDados[GS_V])&gt;0.5)))/G722,0))</f>
        <v/>
      </c>
      <c r="L722" s="16" t="str" cm="1">
        <f t="array" ref="L722">IF($A722="","",IFERROR((SUMPRODUCT((TRIM(tblDados[Mandante])=$A722)*tblDados[Primeira_Ocorrencia]*((tblDados[GM_M]+tblDados[GS_M])&gt;1.5))+SUMPRODUCT((TRIM(tblDados[Visitante])=$A722)*tblDados[Primeira_Ocorrencia]*((tblDados[GM_V]+tblDados[GS_V])&gt;1.5)))/G722,0))</f>
        <v/>
      </c>
      <c r="M722" s="16" t="str" cm="1">
        <f t="array" ref="M722">IF($A722="","",IFERROR((SUMPRODUCT((TRIM(tblDados[Mandante])=$A722)*tblDados[Primeira_Ocorrencia]*((tblDados[GM_M]+tblDados[GS_M])&gt;2.5))+SUMPRODUCT((TRIM(tblDados[Visitante])=$A722)*tblDados[Primeira_Ocorrencia]*((tblDados[GM_V]+tblDados[GS_V])&gt;2.5)))/G722,0))</f>
        <v/>
      </c>
      <c r="N722" s="16" t="str" cm="1">
        <f t="array" ref="N722">IF($A722="","",IFERROR((SUMPRODUCT((TRIM(tblDados[Mandante])=$A722)*tblDados[Primeira_Ocorrencia]*((tblDados[GM_M]+tblDados[GS_M])&gt;3.5))+SUMPRODUCT((TRIM(tblDados[Visitante])=$A722)*tblDados[Primeira_Ocorrencia]*((tblDados[GM_V]+tblDados[GS_V])&gt;3.5)))/G722,0))</f>
        <v/>
      </c>
      <c r="O722" s="16" t="str" cm="1">
        <f t="array" ref="O722">IF($A722="","",IFERROR((SUMPRODUCT((TRIM(tblDados[Mandante])=$A722)*tblDados[Primeira_Ocorrencia]*(tblDados[GM_M]&gt;0)*(tblDados[GS_M]&gt;0))+SUMPRODUCT((TRIM(tblDados[Visitante])=$A722)*tblDados[Primeira_Ocorrencia]*(tblDados[GM_V]&gt;0)*(tblDados[GS_V]&gt;0)))/G722,0))</f>
        <v/>
      </c>
      <c r="P722" s="14" t="str" cm="1">
        <f t="array" ref="P722">IF($A722="","",IFERROR((SUMPRODUCT((TRIM(tblDados[Mandante])=$A722)*tblDados[Primeira_Ocorrencia]*tblDados[GM_M]^2)+SUMPRODUCT((TRIM(tblDados[Visitante])=$A722)*tblDados[Primeira_Ocorrencia]*tblDados[GM_V]^2))/G722-H722^2,0))</f>
        <v/>
      </c>
      <c r="Q722" s="14" t="str">
        <f t="shared" si="200"/>
        <v/>
      </c>
      <c r="R722" s="1" t="str">
        <f t="shared" si="201"/>
        <v/>
      </c>
      <c r="S722" s="14" t="str" cm="1">
        <f t="array" ref="S722">IF($A722="","",SUMPRODUCT((TRIM(tblDados[Mandante])=$A722)*tblDados[Primeira_Ocorrencia]*tblDados[GM_M]))</f>
        <v/>
      </c>
      <c r="T722" s="14" t="str" cm="1">
        <f t="array" ref="T722">IF($A722="","",SUMPRODUCT((TRIM(tblDados[Visitante])=$A722)*tblDados[Primeira_Ocorrencia]*tblDados[GM_V]))</f>
        <v/>
      </c>
      <c r="U722" s="14" t="str">
        <f t="shared" si="202"/>
        <v/>
      </c>
      <c r="V722" s="14" t="str">
        <f t="shared" si="191"/>
        <v/>
      </c>
      <c r="W722" s="14" t="str" cm="1">
        <f t="array" ref="W722">IF($A722="","",SUMPRODUCT((TRIM(tblDados[Mandante])=$A722)*tblDados[Primeira_Ocorrencia]*tblDados[GS_M]))</f>
        <v/>
      </c>
      <c r="X722" s="14" t="str" cm="1">
        <f t="array" ref="X722">IF($A722="","",SUMPRODUCT((TRIM(tblDados[Visitante])=$A722)*tblDados[Primeira_Ocorrencia]*tblDados[GS_V]))</f>
        <v/>
      </c>
      <c r="Y722" s="14" t="str">
        <f t="shared" si="203"/>
        <v/>
      </c>
      <c r="Z722" s="14" t="str">
        <f t="shared" si="192"/>
        <v/>
      </c>
      <c r="AA722" s="14" t="str">
        <f t="shared" si="193"/>
        <v/>
      </c>
      <c r="AB722" s="14" t="str">
        <f t="shared" si="194"/>
        <v/>
      </c>
      <c r="AC722" s="14" t="str">
        <f t="shared" si="195"/>
        <v/>
      </c>
      <c r="AD722" s="14" t="str">
        <f t="shared" si="196"/>
        <v/>
      </c>
    </row>
    <row r="723" spans="2:30" x14ac:dyDescent="0.3">
      <c r="B723" s="13" t="str" cm="1">
        <f t="array" ref="B723">IF($A723="","",_xlfn.LET(_xlpm.p,IFERROR(INDEX(tblDados[País],MATCH($A723,TRIM(tblDados[Mandante]),0)),INDEX(tblDados[País],MATCH($A723,TRIM(tblDados[Visitante]),0))),_xlpm.l,IFERROR(INDEX(tblDados[Liga],MATCH($A723,TRIM(tblDados[Mandante]),0)),INDEX(tblDados[Liga],MATCH($A723,TRIM(tblDados[Visitante]),0))),_xlpm.p&amp;" - "&amp;_xlpm.l))</f>
        <v/>
      </c>
      <c r="C723" s="14" t="str">
        <f t="shared" si="197"/>
        <v/>
      </c>
      <c r="D723" s="14" t="str">
        <f t="shared" si="198"/>
        <v/>
      </c>
      <c r="E723" s="15" t="str" cm="1">
        <f t="array" ref="E723">IF($A723="","",SUMPRODUCT((TRIM(tblDados[Mandante])=$A723)*tblDados[Primeira_Ocorrencia]))</f>
        <v/>
      </c>
      <c r="F723" s="15" t="str" cm="1">
        <f t="array" ref="F723">IF($A723="","",SUMPRODUCT((TRIM(tblDados[Visitante])=$A723)*tblDados[Primeira_Ocorrencia]))</f>
        <v/>
      </c>
      <c r="G723" s="15" t="str" cm="1">
        <f t="array" ref="G723">IF($A723="","",SUMPRODUCT((TRIM(tblDados[Mandante])=$A723)*tblDados[Primeira_Ocorrencia])+SUMPRODUCT((TRIM(tblDados[Visitante])=$A723)*tblDados[Primeira_Ocorrencia]))</f>
        <v/>
      </c>
      <c r="H723" s="14" t="str">
        <f t="shared" si="199"/>
        <v/>
      </c>
      <c r="I723" s="14" t="str" cm="1">
        <f t="array" ref="I723">IF($A723="","",_xlfn.LET(_xlpm.p,IFERROR(INDEX(tblDados[País],MATCH($A723,TRIM(tblDados[Mandante]),0)),INDEX(tblDados[País],MATCH($A723,TRIM(tblDados[Visitante]),0))),_xlpm.l,IFERROR(INDEX(tblDados[Liga],MATCH($A723,TRIM(tblDados[Mandante]),0)),INDEX(tblDados[Liga],MATCH($A723,TRIM(tblDados[Visitante]),0))),IFERROR(SUMIFS(Ligas!$D$2:$D$39,Ligas!$H$2:$H$39,_xlpm.p,Ligas!$I$2:$I$39,_xlpm.l),0)))</f>
        <v/>
      </c>
      <c r="J723" s="16" t="str" cm="1">
        <f t="array" ref="J723">IF($A723="","",IFERROR((SUMPRODUCT((TRIM(tblDados[Mandante])=$A723)*tblDados[Primeira_Ocorrencia]*(tblDados[GM_M]=0))+SUMPRODUCT((TRIM(tblDados[Visitante])=$A723)*tblDados[Primeira_Ocorrencia]*(tblDados[GM_V]=0)))/G723,0))</f>
        <v/>
      </c>
      <c r="K723" s="16" t="str" cm="1">
        <f t="array" ref="K723">IF($A723="","",IFERROR((SUMPRODUCT((TRIM(tblDados[Mandante])=$A723)*tblDados[Primeira_Ocorrencia]*((tblDados[GM_M]+tblDados[GS_M])&gt;0.5))+SUMPRODUCT((TRIM(tblDados[Visitante])=$A723)*tblDados[Primeira_Ocorrencia]*((tblDados[GM_V]+tblDados[GS_V])&gt;0.5)))/G723,0))</f>
        <v/>
      </c>
      <c r="L723" s="16" t="str" cm="1">
        <f t="array" ref="L723">IF($A723="","",IFERROR((SUMPRODUCT((TRIM(tblDados[Mandante])=$A723)*tblDados[Primeira_Ocorrencia]*((tblDados[GM_M]+tblDados[GS_M])&gt;1.5))+SUMPRODUCT((TRIM(tblDados[Visitante])=$A723)*tblDados[Primeira_Ocorrencia]*((tblDados[GM_V]+tblDados[GS_V])&gt;1.5)))/G723,0))</f>
        <v/>
      </c>
      <c r="M723" s="16" t="str" cm="1">
        <f t="array" ref="M723">IF($A723="","",IFERROR((SUMPRODUCT((TRIM(tblDados[Mandante])=$A723)*tblDados[Primeira_Ocorrencia]*((tblDados[GM_M]+tblDados[GS_M])&gt;2.5))+SUMPRODUCT((TRIM(tblDados[Visitante])=$A723)*tblDados[Primeira_Ocorrencia]*((tblDados[GM_V]+tblDados[GS_V])&gt;2.5)))/G723,0))</f>
        <v/>
      </c>
      <c r="N723" s="16" t="str" cm="1">
        <f t="array" ref="N723">IF($A723="","",IFERROR((SUMPRODUCT((TRIM(tblDados[Mandante])=$A723)*tblDados[Primeira_Ocorrencia]*((tblDados[GM_M]+tblDados[GS_M])&gt;3.5))+SUMPRODUCT((TRIM(tblDados[Visitante])=$A723)*tblDados[Primeira_Ocorrencia]*((tblDados[GM_V]+tblDados[GS_V])&gt;3.5)))/G723,0))</f>
        <v/>
      </c>
      <c r="O723" s="16" t="str" cm="1">
        <f t="array" ref="O723">IF($A723="","",IFERROR((SUMPRODUCT((TRIM(tblDados[Mandante])=$A723)*tblDados[Primeira_Ocorrencia]*(tblDados[GM_M]&gt;0)*(tblDados[GS_M]&gt;0))+SUMPRODUCT((TRIM(tblDados[Visitante])=$A723)*tblDados[Primeira_Ocorrencia]*(tblDados[GM_V]&gt;0)*(tblDados[GS_V]&gt;0)))/G723,0))</f>
        <v/>
      </c>
      <c r="P723" s="14" t="str" cm="1">
        <f t="array" ref="P723">IF($A723="","",IFERROR((SUMPRODUCT((TRIM(tblDados[Mandante])=$A723)*tblDados[Primeira_Ocorrencia]*tblDados[GM_M]^2)+SUMPRODUCT((TRIM(tblDados[Visitante])=$A723)*tblDados[Primeira_Ocorrencia]*tblDados[GM_V]^2))/G723-H723^2,0))</f>
        <v/>
      </c>
      <c r="Q723" s="14" t="str">
        <f t="shared" si="200"/>
        <v/>
      </c>
      <c r="R723" s="1" t="str">
        <f t="shared" si="201"/>
        <v/>
      </c>
      <c r="S723" s="14" t="str" cm="1">
        <f t="array" ref="S723">IF($A723="","",SUMPRODUCT((TRIM(tblDados[Mandante])=$A723)*tblDados[Primeira_Ocorrencia]*tblDados[GM_M]))</f>
        <v/>
      </c>
      <c r="T723" s="14" t="str" cm="1">
        <f t="array" ref="T723">IF($A723="","",SUMPRODUCT((TRIM(tblDados[Visitante])=$A723)*tblDados[Primeira_Ocorrencia]*tblDados[GM_V]))</f>
        <v/>
      </c>
      <c r="U723" s="14" t="str">
        <f t="shared" si="202"/>
        <v/>
      </c>
      <c r="V723" s="14" t="str">
        <f t="shared" si="191"/>
        <v/>
      </c>
      <c r="W723" s="14" t="str" cm="1">
        <f t="array" ref="W723">IF($A723="","",SUMPRODUCT((TRIM(tblDados[Mandante])=$A723)*tblDados[Primeira_Ocorrencia]*tblDados[GS_M]))</f>
        <v/>
      </c>
      <c r="X723" s="14" t="str" cm="1">
        <f t="array" ref="X723">IF($A723="","",SUMPRODUCT((TRIM(tblDados[Visitante])=$A723)*tblDados[Primeira_Ocorrencia]*tblDados[GS_V]))</f>
        <v/>
      </c>
      <c r="Y723" s="14" t="str">
        <f t="shared" si="203"/>
        <v/>
      </c>
      <c r="Z723" s="14" t="str">
        <f t="shared" si="192"/>
        <v/>
      </c>
      <c r="AA723" s="14" t="str">
        <f t="shared" si="193"/>
        <v/>
      </c>
      <c r="AB723" s="14" t="str">
        <f t="shared" si="194"/>
        <v/>
      </c>
      <c r="AC723" s="14" t="str">
        <f t="shared" si="195"/>
        <v/>
      </c>
      <c r="AD723" s="14" t="str">
        <f t="shared" si="196"/>
        <v/>
      </c>
    </row>
    <row r="724" spans="2:30" x14ac:dyDescent="0.3">
      <c r="B724" s="13" t="str" cm="1">
        <f t="array" ref="B724">IF($A724="","",_xlfn.LET(_xlpm.p,IFERROR(INDEX(tblDados[País],MATCH($A724,TRIM(tblDados[Mandante]),0)),INDEX(tblDados[País],MATCH($A724,TRIM(tblDados[Visitante]),0))),_xlpm.l,IFERROR(INDEX(tblDados[Liga],MATCH($A724,TRIM(tblDados[Mandante]),0)),INDEX(tblDados[Liga],MATCH($A724,TRIM(tblDados[Visitante]),0))),_xlpm.p&amp;" - "&amp;_xlpm.l))</f>
        <v/>
      </c>
      <c r="C724" s="14" t="str">
        <f t="shared" si="197"/>
        <v/>
      </c>
      <c r="D724" s="14" t="str">
        <f t="shared" si="198"/>
        <v/>
      </c>
      <c r="E724" s="15" t="str" cm="1">
        <f t="array" ref="E724">IF($A724="","",SUMPRODUCT((TRIM(tblDados[Mandante])=$A724)*tblDados[Primeira_Ocorrencia]))</f>
        <v/>
      </c>
      <c r="F724" s="15" t="str" cm="1">
        <f t="array" ref="F724">IF($A724="","",SUMPRODUCT((TRIM(tblDados[Visitante])=$A724)*tblDados[Primeira_Ocorrencia]))</f>
        <v/>
      </c>
      <c r="G724" s="15" t="str" cm="1">
        <f t="array" ref="G724">IF($A724="","",SUMPRODUCT((TRIM(tblDados[Mandante])=$A724)*tblDados[Primeira_Ocorrencia])+SUMPRODUCT((TRIM(tblDados[Visitante])=$A724)*tblDados[Primeira_Ocorrencia]))</f>
        <v/>
      </c>
      <c r="H724" s="14" t="str">
        <f t="shared" si="199"/>
        <v/>
      </c>
      <c r="I724" s="14" t="str" cm="1">
        <f t="array" ref="I724">IF($A724="","",_xlfn.LET(_xlpm.p,IFERROR(INDEX(tblDados[País],MATCH($A724,TRIM(tblDados[Mandante]),0)),INDEX(tblDados[País],MATCH($A724,TRIM(tblDados[Visitante]),0))),_xlpm.l,IFERROR(INDEX(tblDados[Liga],MATCH($A724,TRIM(tblDados[Mandante]),0)),INDEX(tblDados[Liga],MATCH($A724,TRIM(tblDados[Visitante]),0))),IFERROR(SUMIFS(Ligas!$D$2:$D$39,Ligas!$H$2:$H$39,_xlpm.p,Ligas!$I$2:$I$39,_xlpm.l),0)))</f>
        <v/>
      </c>
      <c r="J724" s="16" t="str" cm="1">
        <f t="array" ref="J724">IF($A724="","",IFERROR((SUMPRODUCT((TRIM(tblDados[Mandante])=$A724)*tblDados[Primeira_Ocorrencia]*(tblDados[GM_M]=0))+SUMPRODUCT((TRIM(tblDados[Visitante])=$A724)*tblDados[Primeira_Ocorrencia]*(tblDados[GM_V]=0)))/G724,0))</f>
        <v/>
      </c>
      <c r="K724" s="16" t="str" cm="1">
        <f t="array" ref="K724">IF($A724="","",IFERROR((SUMPRODUCT((TRIM(tblDados[Mandante])=$A724)*tblDados[Primeira_Ocorrencia]*((tblDados[GM_M]+tblDados[GS_M])&gt;0.5))+SUMPRODUCT((TRIM(tblDados[Visitante])=$A724)*tblDados[Primeira_Ocorrencia]*((tblDados[GM_V]+tblDados[GS_V])&gt;0.5)))/G724,0))</f>
        <v/>
      </c>
      <c r="L724" s="16" t="str" cm="1">
        <f t="array" ref="L724">IF($A724="","",IFERROR((SUMPRODUCT((TRIM(tblDados[Mandante])=$A724)*tblDados[Primeira_Ocorrencia]*((tblDados[GM_M]+tblDados[GS_M])&gt;1.5))+SUMPRODUCT((TRIM(tblDados[Visitante])=$A724)*tblDados[Primeira_Ocorrencia]*((tblDados[GM_V]+tblDados[GS_V])&gt;1.5)))/G724,0))</f>
        <v/>
      </c>
      <c r="M724" s="16" t="str" cm="1">
        <f t="array" ref="M724">IF($A724="","",IFERROR((SUMPRODUCT((TRIM(tblDados[Mandante])=$A724)*tblDados[Primeira_Ocorrencia]*((tblDados[GM_M]+tblDados[GS_M])&gt;2.5))+SUMPRODUCT((TRIM(tblDados[Visitante])=$A724)*tblDados[Primeira_Ocorrencia]*((tblDados[GM_V]+tblDados[GS_V])&gt;2.5)))/G724,0))</f>
        <v/>
      </c>
      <c r="N724" s="16" t="str" cm="1">
        <f t="array" ref="N724">IF($A724="","",IFERROR((SUMPRODUCT((TRIM(tblDados[Mandante])=$A724)*tblDados[Primeira_Ocorrencia]*((tblDados[GM_M]+tblDados[GS_M])&gt;3.5))+SUMPRODUCT((TRIM(tblDados[Visitante])=$A724)*tblDados[Primeira_Ocorrencia]*((tblDados[GM_V]+tblDados[GS_V])&gt;3.5)))/G724,0))</f>
        <v/>
      </c>
      <c r="O724" s="16" t="str" cm="1">
        <f t="array" ref="O724">IF($A724="","",IFERROR((SUMPRODUCT((TRIM(tblDados[Mandante])=$A724)*tblDados[Primeira_Ocorrencia]*(tblDados[GM_M]&gt;0)*(tblDados[GS_M]&gt;0))+SUMPRODUCT((TRIM(tblDados[Visitante])=$A724)*tblDados[Primeira_Ocorrencia]*(tblDados[GM_V]&gt;0)*(tblDados[GS_V]&gt;0)))/G724,0))</f>
        <v/>
      </c>
      <c r="P724" s="14" t="str" cm="1">
        <f t="array" ref="P724">IF($A724="","",IFERROR((SUMPRODUCT((TRIM(tblDados[Mandante])=$A724)*tblDados[Primeira_Ocorrencia]*tblDados[GM_M]^2)+SUMPRODUCT((TRIM(tblDados[Visitante])=$A724)*tblDados[Primeira_Ocorrencia]*tblDados[GM_V]^2))/G724-H724^2,0))</f>
        <v/>
      </c>
      <c r="Q724" s="14" t="str">
        <f t="shared" si="200"/>
        <v/>
      </c>
      <c r="R724" s="1" t="str">
        <f t="shared" si="201"/>
        <v/>
      </c>
      <c r="S724" s="14" t="str" cm="1">
        <f t="array" ref="S724">IF($A724="","",SUMPRODUCT((TRIM(tblDados[Mandante])=$A724)*tblDados[Primeira_Ocorrencia]*tblDados[GM_M]))</f>
        <v/>
      </c>
      <c r="T724" s="14" t="str" cm="1">
        <f t="array" ref="T724">IF($A724="","",SUMPRODUCT((TRIM(tblDados[Visitante])=$A724)*tblDados[Primeira_Ocorrencia]*tblDados[GM_V]))</f>
        <v/>
      </c>
      <c r="U724" s="14" t="str">
        <f t="shared" si="202"/>
        <v/>
      </c>
      <c r="V724" s="14" t="str">
        <f t="shared" si="191"/>
        <v/>
      </c>
      <c r="W724" s="14" t="str" cm="1">
        <f t="array" ref="W724">IF($A724="","",SUMPRODUCT((TRIM(tblDados[Mandante])=$A724)*tblDados[Primeira_Ocorrencia]*tblDados[GS_M]))</f>
        <v/>
      </c>
      <c r="X724" s="14" t="str" cm="1">
        <f t="array" ref="X724">IF($A724="","",SUMPRODUCT((TRIM(tblDados[Visitante])=$A724)*tblDados[Primeira_Ocorrencia]*tblDados[GS_V]))</f>
        <v/>
      </c>
      <c r="Y724" s="14" t="str">
        <f t="shared" si="203"/>
        <v/>
      </c>
      <c r="Z724" s="14" t="str">
        <f t="shared" si="192"/>
        <v/>
      </c>
      <c r="AA724" s="14" t="str">
        <f t="shared" si="193"/>
        <v/>
      </c>
      <c r="AB724" s="14" t="str">
        <f t="shared" si="194"/>
        <v/>
      </c>
      <c r="AC724" s="14" t="str">
        <f t="shared" si="195"/>
        <v/>
      </c>
      <c r="AD724" s="14" t="str">
        <f t="shared" si="196"/>
        <v/>
      </c>
    </row>
    <row r="725" spans="2:30" x14ac:dyDescent="0.3">
      <c r="B725" s="13" t="str" cm="1">
        <f t="array" ref="B725">IF($A725="","",_xlfn.LET(_xlpm.p,IFERROR(INDEX(tblDados[País],MATCH($A725,TRIM(tblDados[Mandante]),0)),INDEX(tblDados[País],MATCH($A725,TRIM(tblDados[Visitante]),0))),_xlpm.l,IFERROR(INDEX(tblDados[Liga],MATCH($A725,TRIM(tblDados[Mandante]),0)),INDEX(tblDados[Liga],MATCH($A725,TRIM(tblDados[Visitante]),0))),_xlpm.p&amp;" - "&amp;_xlpm.l))</f>
        <v/>
      </c>
      <c r="C725" s="14" t="str">
        <f t="shared" si="197"/>
        <v/>
      </c>
      <c r="D725" s="14" t="str">
        <f t="shared" si="198"/>
        <v/>
      </c>
      <c r="E725" s="15" t="str" cm="1">
        <f t="array" ref="E725">IF($A725="","",SUMPRODUCT((TRIM(tblDados[Mandante])=$A725)*tblDados[Primeira_Ocorrencia]))</f>
        <v/>
      </c>
      <c r="F725" s="15" t="str" cm="1">
        <f t="array" ref="F725">IF($A725="","",SUMPRODUCT((TRIM(tblDados[Visitante])=$A725)*tblDados[Primeira_Ocorrencia]))</f>
        <v/>
      </c>
      <c r="G725" s="15" t="str" cm="1">
        <f t="array" ref="G725">IF($A725="","",SUMPRODUCT((TRIM(tblDados[Mandante])=$A725)*tblDados[Primeira_Ocorrencia])+SUMPRODUCT((TRIM(tblDados[Visitante])=$A725)*tblDados[Primeira_Ocorrencia]))</f>
        <v/>
      </c>
      <c r="H725" s="14" t="str">
        <f t="shared" si="199"/>
        <v/>
      </c>
      <c r="I725" s="14" t="str" cm="1">
        <f t="array" ref="I725">IF($A725="","",_xlfn.LET(_xlpm.p,IFERROR(INDEX(tblDados[País],MATCH($A725,TRIM(tblDados[Mandante]),0)),INDEX(tblDados[País],MATCH($A725,TRIM(tblDados[Visitante]),0))),_xlpm.l,IFERROR(INDEX(tblDados[Liga],MATCH($A725,TRIM(tblDados[Mandante]),0)),INDEX(tblDados[Liga],MATCH($A725,TRIM(tblDados[Visitante]),0))),IFERROR(SUMIFS(Ligas!$D$2:$D$39,Ligas!$H$2:$H$39,_xlpm.p,Ligas!$I$2:$I$39,_xlpm.l),0)))</f>
        <v/>
      </c>
      <c r="J725" s="16" t="str" cm="1">
        <f t="array" ref="J725">IF($A725="","",IFERROR((SUMPRODUCT((TRIM(tblDados[Mandante])=$A725)*tblDados[Primeira_Ocorrencia]*(tblDados[GM_M]=0))+SUMPRODUCT((TRIM(tblDados[Visitante])=$A725)*tblDados[Primeira_Ocorrencia]*(tblDados[GM_V]=0)))/G725,0))</f>
        <v/>
      </c>
      <c r="K725" s="16" t="str" cm="1">
        <f t="array" ref="K725">IF($A725="","",IFERROR((SUMPRODUCT((TRIM(tblDados[Mandante])=$A725)*tblDados[Primeira_Ocorrencia]*((tblDados[GM_M]+tblDados[GS_M])&gt;0.5))+SUMPRODUCT((TRIM(tblDados[Visitante])=$A725)*tblDados[Primeira_Ocorrencia]*((tblDados[GM_V]+tblDados[GS_V])&gt;0.5)))/G725,0))</f>
        <v/>
      </c>
      <c r="L725" s="16" t="str" cm="1">
        <f t="array" ref="L725">IF($A725="","",IFERROR((SUMPRODUCT((TRIM(tblDados[Mandante])=$A725)*tblDados[Primeira_Ocorrencia]*((tblDados[GM_M]+tblDados[GS_M])&gt;1.5))+SUMPRODUCT((TRIM(tblDados[Visitante])=$A725)*tblDados[Primeira_Ocorrencia]*((tblDados[GM_V]+tblDados[GS_V])&gt;1.5)))/G725,0))</f>
        <v/>
      </c>
      <c r="M725" s="16" t="str" cm="1">
        <f t="array" ref="M725">IF($A725="","",IFERROR((SUMPRODUCT((TRIM(tblDados[Mandante])=$A725)*tblDados[Primeira_Ocorrencia]*((tblDados[GM_M]+tblDados[GS_M])&gt;2.5))+SUMPRODUCT((TRIM(tblDados[Visitante])=$A725)*tblDados[Primeira_Ocorrencia]*((tblDados[GM_V]+tblDados[GS_V])&gt;2.5)))/G725,0))</f>
        <v/>
      </c>
      <c r="N725" s="16" t="str" cm="1">
        <f t="array" ref="N725">IF($A725="","",IFERROR((SUMPRODUCT((TRIM(tblDados[Mandante])=$A725)*tblDados[Primeira_Ocorrencia]*((tblDados[GM_M]+tblDados[GS_M])&gt;3.5))+SUMPRODUCT((TRIM(tblDados[Visitante])=$A725)*tblDados[Primeira_Ocorrencia]*((tblDados[GM_V]+tblDados[GS_V])&gt;3.5)))/G725,0))</f>
        <v/>
      </c>
      <c r="O725" s="16" t="str" cm="1">
        <f t="array" ref="O725">IF($A725="","",IFERROR((SUMPRODUCT((TRIM(tblDados[Mandante])=$A725)*tblDados[Primeira_Ocorrencia]*(tblDados[GM_M]&gt;0)*(tblDados[GS_M]&gt;0))+SUMPRODUCT((TRIM(tblDados[Visitante])=$A725)*tblDados[Primeira_Ocorrencia]*(tblDados[GM_V]&gt;0)*(tblDados[GS_V]&gt;0)))/G725,0))</f>
        <v/>
      </c>
      <c r="P725" s="14" t="str" cm="1">
        <f t="array" ref="P725">IF($A725="","",IFERROR((SUMPRODUCT((TRIM(tblDados[Mandante])=$A725)*tblDados[Primeira_Ocorrencia]*tblDados[GM_M]^2)+SUMPRODUCT((TRIM(tblDados[Visitante])=$A725)*tblDados[Primeira_Ocorrencia]*tblDados[GM_V]^2))/G725-H725^2,0))</f>
        <v/>
      </c>
      <c r="Q725" s="14" t="str">
        <f t="shared" si="200"/>
        <v/>
      </c>
      <c r="R725" s="1" t="str">
        <f t="shared" si="201"/>
        <v/>
      </c>
      <c r="S725" s="14" t="str" cm="1">
        <f t="array" ref="S725">IF($A725="","",SUMPRODUCT((TRIM(tblDados[Mandante])=$A725)*tblDados[Primeira_Ocorrencia]*tblDados[GM_M]))</f>
        <v/>
      </c>
      <c r="T725" s="14" t="str" cm="1">
        <f t="array" ref="T725">IF($A725="","",SUMPRODUCT((TRIM(tblDados[Visitante])=$A725)*tblDados[Primeira_Ocorrencia]*tblDados[GM_V]))</f>
        <v/>
      </c>
      <c r="U725" s="14" t="str">
        <f t="shared" si="202"/>
        <v/>
      </c>
      <c r="V725" s="14" t="str">
        <f t="shared" si="191"/>
        <v/>
      </c>
      <c r="W725" s="14" t="str" cm="1">
        <f t="array" ref="W725">IF($A725="","",SUMPRODUCT((TRIM(tblDados[Mandante])=$A725)*tblDados[Primeira_Ocorrencia]*tblDados[GS_M]))</f>
        <v/>
      </c>
      <c r="X725" s="14" t="str" cm="1">
        <f t="array" ref="X725">IF($A725="","",SUMPRODUCT((TRIM(tblDados[Visitante])=$A725)*tblDados[Primeira_Ocorrencia]*tblDados[GS_V]))</f>
        <v/>
      </c>
      <c r="Y725" s="14" t="str">
        <f t="shared" si="203"/>
        <v/>
      </c>
      <c r="Z725" s="14" t="str">
        <f t="shared" si="192"/>
        <v/>
      </c>
      <c r="AA725" s="14" t="str">
        <f t="shared" si="193"/>
        <v/>
      </c>
      <c r="AB725" s="14" t="str">
        <f t="shared" si="194"/>
        <v/>
      </c>
      <c r="AC725" s="14" t="str">
        <f t="shared" si="195"/>
        <v/>
      </c>
      <c r="AD725" s="14" t="str">
        <f t="shared" si="196"/>
        <v/>
      </c>
    </row>
    <row r="726" spans="2:30" x14ac:dyDescent="0.3">
      <c r="B726" s="13" t="str" cm="1">
        <f t="array" ref="B726">IF($A726="","",_xlfn.LET(_xlpm.p,IFERROR(INDEX(tblDados[País],MATCH($A726,TRIM(tblDados[Mandante]),0)),INDEX(tblDados[País],MATCH($A726,TRIM(tblDados[Visitante]),0))),_xlpm.l,IFERROR(INDEX(tblDados[Liga],MATCH($A726,TRIM(tblDados[Mandante]),0)),INDEX(tblDados[Liga],MATCH($A726,TRIM(tblDados[Visitante]),0))),_xlpm.p&amp;" - "&amp;_xlpm.l))</f>
        <v/>
      </c>
      <c r="C726" s="14" t="str">
        <f t="shared" si="197"/>
        <v/>
      </c>
      <c r="D726" s="14" t="str">
        <f t="shared" si="198"/>
        <v/>
      </c>
      <c r="E726" s="15" t="str" cm="1">
        <f t="array" ref="E726">IF($A726="","",SUMPRODUCT((TRIM(tblDados[Mandante])=$A726)*tblDados[Primeira_Ocorrencia]))</f>
        <v/>
      </c>
      <c r="F726" s="15" t="str" cm="1">
        <f t="array" ref="F726">IF($A726="","",SUMPRODUCT((TRIM(tblDados[Visitante])=$A726)*tblDados[Primeira_Ocorrencia]))</f>
        <v/>
      </c>
      <c r="G726" s="15" t="str" cm="1">
        <f t="array" ref="G726">IF($A726="","",SUMPRODUCT((TRIM(tblDados[Mandante])=$A726)*tblDados[Primeira_Ocorrencia])+SUMPRODUCT((TRIM(tblDados[Visitante])=$A726)*tblDados[Primeira_Ocorrencia]))</f>
        <v/>
      </c>
      <c r="H726" s="14" t="str">
        <f t="shared" si="199"/>
        <v/>
      </c>
      <c r="I726" s="14" t="str" cm="1">
        <f t="array" ref="I726">IF($A726="","",_xlfn.LET(_xlpm.p,IFERROR(INDEX(tblDados[País],MATCH($A726,TRIM(tblDados[Mandante]),0)),INDEX(tblDados[País],MATCH($A726,TRIM(tblDados[Visitante]),0))),_xlpm.l,IFERROR(INDEX(tblDados[Liga],MATCH($A726,TRIM(tblDados[Mandante]),0)),INDEX(tblDados[Liga],MATCH($A726,TRIM(tblDados[Visitante]),0))),IFERROR(SUMIFS(Ligas!$D$2:$D$39,Ligas!$H$2:$H$39,_xlpm.p,Ligas!$I$2:$I$39,_xlpm.l),0)))</f>
        <v/>
      </c>
      <c r="J726" s="16" t="str" cm="1">
        <f t="array" ref="J726">IF($A726="","",IFERROR((SUMPRODUCT((TRIM(tblDados[Mandante])=$A726)*tblDados[Primeira_Ocorrencia]*(tblDados[GM_M]=0))+SUMPRODUCT((TRIM(tblDados[Visitante])=$A726)*tblDados[Primeira_Ocorrencia]*(tblDados[GM_V]=0)))/G726,0))</f>
        <v/>
      </c>
      <c r="K726" s="16" t="str" cm="1">
        <f t="array" ref="K726">IF($A726="","",IFERROR((SUMPRODUCT((TRIM(tblDados[Mandante])=$A726)*tblDados[Primeira_Ocorrencia]*((tblDados[GM_M]+tblDados[GS_M])&gt;0.5))+SUMPRODUCT((TRIM(tblDados[Visitante])=$A726)*tblDados[Primeira_Ocorrencia]*((tblDados[GM_V]+tblDados[GS_V])&gt;0.5)))/G726,0))</f>
        <v/>
      </c>
      <c r="L726" s="16" t="str" cm="1">
        <f t="array" ref="L726">IF($A726="","",IFERROR((SUMPRODUCT((TRIM(tblDados[Mandante])=$A726)*tblDados[Primeira_Ocorrencia]*((tblDados[GM_M]+tblDados[GS_M])&gt;1.5))+SUMPRODUCT((TRIM(tblDados[Visitante])=$A726)*tblDados[Primeira_Ocorrencia]*((tblDados[GM_V]+tblDados[GS_V])&gt;1.5)))/G726,0))</f>
        <v/>
      </c>
      <c r="M726" s="16" t="str" cm="1">
        <f t="array" ref="M726">IF($A726="","",IFERROR((SUMPRODUCT((TRIM(tblDados[Mandante])=$A726)*tblDados[Primeira_Ocorrencia]*((tblDados[GM_M]+tblDados[GS_M])&gt;2.5))+SUMPRODUCT((TRIM(tblDados[Visitante])=$A726)*tblDados[Primeira_Ocorrencia]*((tblDados[GM_V]+tblDados[GS_V])&gt;2.5)))/G726,0))</f>
        <v/>
      </c>
      <c r="N726" s="16" t="str" cm="1">
        <f t="array" ref="N726">IF($A726="","",IFERROR((SUMPRODUCT((TRIM(tblDados[Mandante])=$A726)*tblDados[Primeira_Ocorrencia]*((tblDados[GM_M]+tblDados[GS_M])&gt;3.5))+SUMPRODUCT((TRIM(tblDados[Visitante])=$A726)*tblDados[Primeira_Ocorrencia]*((tblDados[GM_V]+tblDados[GS_V])&gt;3.5)))/G726,0))</f>
        <v/>
      </c>
      <c r="O726" s="16" t="str" cm="1">
        <f t="array" ref="O726">IF($A726="","",IFERROR((SUMPRODUCT((TRIM(tblDados[Mandante])=$A726)*tblDados[Primeira_Ocorrencia]*(tblDados[GM_M]&gt;0)*(tblDados[GS_M]&gt;0))+SUMPRODUCT((TRIM(tblDados[Visitante])=$A726)*tblDados[Primeira_Ocorrencia]*(tblDados[GM_V]&gt;0)*(tblDados[GS_V]&gt;0)))/G726,0))</f>
        <v/>
      </c>
      <c r="P726" s="14" t="str" cm="1">
        <f t="array" ref="P726">IF($A726="","",IFERROR((SUMPRODUCT((TRIM(tblDados[Mandante])=$A726)*tblDados[Primeira_Ocorrencia]*tblDados[GM_M]^2)+SUMPRODUCT((TRIM(tblDados[Visitante])=$A726)*tblDados[Primeira_Ocorrencia]*tblDados[GM_V]^2))/G726-H726^2,0))</f>
        <v/>
      </c>
      <c r="Q726" s="14" t="str">
        <f t="shared" si="200"/>
        <v/>
      </c>
      <c r="R726" s="1" t="str">
        <f t="shared" si="201"/>
        <v/>
      </c>
      <c r="S726" s="14" t="str" cm="1">
        <f t="array" ref="S726">IF($A726="","",SUMPRODUCT((TRIM(tblDados[Mandante])=$A726)*tblDados[Primeira_Ocorrencia]*tblDados[GM_M]))</f>
        <v/>
      </c>
      <c r="T726" s="14" t="str" cm="1">
        <f t="array" ref="T726">IF($A726="","",SUMPRODUCT((TRIM(tblDados[Visitante])=$A726)*tblDados[Primeira_Ocorrencia]*tblDados[GM_V]))</f>
        <v/>
      </c>
      <c r="U726" s="14" t="str">
        <f t="shared" si="202"/>
        <v/>
      </c>
      <c r="V726" s="14" t="str">
        <f t="shared" si="191"/>
        <v/>
      </c>
      <c r="W726" s="14" t="str" cm="1">
        <f t="array" ref="W726">IF($A726="","",SUMPRODUCT((TRIM(tblDados[Mandante])=$A726)*tblDados[Primeira_Ocorrencia]*tblDados[GS_M]))</f>
        <v/>
      </c>
      <c r="X726" s="14" t="str" cm="1">
        <f t="array" ref="X726">IF($A726="","",SUMPRODUCT((TRIM(tblDados[Visitante])=$A726)*tblDados[Primeira_Ocorrencia]*tblDados[GS_V]))</f>
        <v/>
      </c>
      <c r="Y726" s="14" t="str">
        <f t="shared" si="203"/>
        <v/>
      </c>
      <c r="Z726" s="14" t="str">
        <f t="shared" si="192"/>
        <v/>
      </c>
      <c r="AA726" s="14" t="str">
        <f t="shared" si="193"/>
        <v/>
      </c>
      <c r="AB726" s="14" t="str">
        <f t="shared" si="194"/>
        <v/>
      </c>
      <c r="AC726" s="14" t="str">
        <f t="shared" si="195"/>
        <v/>
      </c>
      <c r="AD726" s="14" t="str">
        <f t="shared" si="196"/>
        <v/>
      </c>
    </row>
    <row r="727" spans="2:30" x14ac:dyDescent="0.3">
      <c r="B727" s="13" t="str" cm="1">
        <f t="array" ref="B727">IF($A727="","",_xlfn.LET(_xlpm.p,IFERROR(INDEX(tblDados[País],MATCH($A727,TRIM(tblDados[Mandante]),0)),INDEX(tblDados[País],MATCH($A727,TRIM(tblDados[Visitante]),0))),_xlpm.l,IFERROR(INDEX(tblDados[Liga],MATCH($A727,TRIM(tblDados[Mandante]),0)),INDEX(tblDados[Liga],MATCH($A727,TRIM(tblDados[Visitante]),0))),_xlpm.p&amp;" - "&amp;_xlpm.l))</f>
        <v/>
      </c>
      <c r="C727" s="14" t="str">
        <f t="shared" si="197"/>
        <v/>
      </c>
      <c r="D727" s="14" t="str">
        <f t="shared" si="198"/>
        <v/>
      </c>
      <c r="E727" s="15" t="str" cm="1">
        <f t="array" ref="E727">IF($A727="","",SUMPRODUCT((TRIM(tblDados[Mandante])=$A727)*tblDados[Primeira_Ocorrencia]))</f>
        <v/>
      </c>
      <c r="F727" s="15" t="str" cm="1">
        <f t="array" ref="F727">IF($A727="","",SUMPRODUCT((TRIM(tblDados[Visitante])=$A727)*tblDados[Primeira_Ocorrencia]))</f>
        <v/>
      </c>
      <c r="G727" s="15" t="str" cm="1">
        <f t="array" ref="G727">IF($A727="","",SUMPRODUCT((TRIM(tblDados[Mandante])=$A727)*tblDados[Primeira_Ocorrencia])+SUMPRODUCT((TRIM(tblDados[Visitante])=$A727)*tblDados[Primeira_Ocorrencia]))</f>
        <v/>
      </c>
      <c r="H727" s="14" t="str">
        <f t="shared" si="199"/>
        <v/>
      </c>
      <c r="I727" s="14" t="str" cm="1">
        <f t="array" ref="I727">IF($A727="","",_xlfn.LET(_xlpm.p,IFERROR(INDEX(tblDados[País],MATCH($A727,TRIM(tblDados[Mandante]),0)),INDEX(tblDados[País],MATCH($A727,TRIM(tblDados[Visitante]),0))),_xlpm.l,IFERROR(INDEX(tblDados[Liga],MATCH($A727,TRIM(tblDados[Mandante]),0)),INDEX(tblDados[Liga],MATCH($A727,TRIM(tblDados[Visitante]),0))),IFERROR(SUMIFS(Ligas!$D$2:$D$39,Ligas!$H$2:$H$39,_xlpm.p,Ligas!$I$2:$I$39,_xlpm.l),0)))</f>
        <v/>
      </c>
      <c r="J727" s="16" t="str" cm="1">
        <f t="array" ref="J727">IF($A727="","",IFERROR((SUMPRODUCT((TRIM(tblDados[Mandante])=$A727)*tblDados[Primeira_Ocorrencia]*(tblDados[GM_M]=0))+SUMPRODUCT((TRIM(tblDados[Visitante])=$A727)*tblDados[Primeira_Ocorrencia]*(tblDados[GM_V]=0)))/G727,0))</f>
        <v/>
      </c>
      <c r="K727" s="16" t="str" cm="1">
        <f t="array" ref="K727">IF($A727="","",IFERROR((SUMPRODUCT((TRIM(tblDados[Mandante])=$A727)*tblDados[Primeira_Ocorrencia]*((tblDados[GM_M]+tblDados[GS_M])&gt;0.5))+SUMPRODUCT((TRIM(tblDados[Visitante])=$A727)*tblDados[Primeira_Ocorrencia]*((tblDados[GM_V]+tblDados[GS_V])&gt;0.5)))/G727,0))</f>
        <v/>
      </c>
      <c r="L727" s="16" t="str" cm="1">
        <f t="array" ref="L727">IF($A727="","",IFERROR((SUMPRODUCT((TRIM(tblDados[Mandante])=$A727)*tblDados[Primeira_Ocorrencia]*((tblDados[GM_M]+tblDados[GS_M])&gt;1.5))+SUMPRODUCT((TRIM(tblDados[Visitante])=$A727)*tblDados[Primeira_Ocorrencia]*((tblDados[GM_V]+tblDados[GS_V])&gt;1.5)))/G727,0))</f>
        <v/>
      </c>
      <c r="M727" s="16" t="str" cm="1">
        <f t="array" ref="M727">IF($A727="","",IFERROR((SUMPRODUCT((TRIM(tblDados[Mandante])=$A727)*tblDados[Primeira_Ocorrencia]*((tblDados[GM_M]+tblDados[GS_M])&gt;2.5))+SUMPRODUCT((TRIM(tblDados[Visitante])=$A727)*tblDados[Primeira_Ocorrencia]*((tblDados[GM_V]+tblDados[GS_V])&gt;2.5)))/G727,0))</f>
        <v/>
      </c>
      <c r="N727" s="16" t="str" cm="1">
        <f t="array" ref="N727">IF($A727="","",IFERROR((SUMPRODUCT((TRIM(tblDados[Mandante])=$A727)*tblDados[Primeira_Ocorrencia]*((tblDados[GM_M]+tblDados[GS_M])&gt;3.5))+SUMPRODUCT((TRIM(tblDados[Visitante])=$A727)*tblDados[Primeira_Ocorrencia]*((tblDados[GM_V]+tblDados[GS_V])&gt;3.5)))/G727,0))</f>
        <v/>
      </c>
      <c r="O727" s="16" t="str" cm="1">
        <f t="array" ref="O727">IF($A727="","",IFERROR((SUMPRODUCT((TRIM(tblDados[Mandante])=$A727)*tblDados[Primeira_Ocorrencia]*(tblDados[GM_M]&gt;0)*(tblDados[GS_M]&gt;0))+SUMPRODUCT((TRIM(tblDados[Visitante])=$A727)*tblDados[Primeira_Ocorrencia]*(tblDados[GM_V]&gt;0)*(tblDados[GS_V]&gt;0)))/G727,0))</f>
        <v/>
      </c>
      <c r="P727" s="14" t="str" cm="1">
        <f t="array" ref="P727">IF($A727="","",IFERROR((SUMPRODUCT((TRIM(tblDados[Mandante])=$A727)*tblDados[Primeira_Ocorrencia]*tblDados[GM_M]^2)+SUMPRODUCT((TRIM(tblDados[Visitante])=$A727)*tblDados[Primeira_Ocorrencia]*tblDados[GM_V]^2))/G727-H727^2,0))</f>
        <v/>
      </c>
      <c r="Q727" s="14" t="str">
        <f t="shared" si="200"/>
        <v/>
      </c>
      <c r="R727" s="1" t="str">
        <f t="shared" si="201"/>
        <v/>
      </c>
      <c r="S727" s="14" t="str" cm="1">
        <f t="array" ref="S727">IF($A727="","",SUMPRODUCT((TRIM(tblDados[Mandante])=$A727)*tblDados[Primeira_Ocorrencia]*tblDados[GM_M]))</f>
        <v/>
      </c>
      <c r="T727" s="14" t="str" cm="1">
        <f t="array" ref="T727">IF($A727="","",SUMPRODUCT((TRIM(tblDados[Visitante])=$A727)*tblDados[Primeira_Ocorrencia]*tblDados[GM_V]))</f>
        <v/>
      </c>
      <c r="U727" s="14" t="str">
        <f t="shared" si="202"/>
        <v/>
      </c>
      <c r="V727" s="14" t="str">
        <f t="shared" si="191"/>
        <v/>
      </c>
      <c r="W727" s="14" t="str" cm="1">
        <f t="array" ref="W727">IF($A727="","",SUMPRODUCT((TRIM(tblDados[Mandante])=$A727)*tblDados[Primeira_Ocorrencia]*tblDados[GS_M]))</f>
        <v/>
      </c>
      <c r="X727" s="14" t="str" cm="1">
        <f t="array" ref="X727">IF($A727="","",SUMPRODUCT((TRIM(tblDados[Visitante])=$A727)*tblDados[Primeira_Ocorrencia]*tblDados[GS_V]))</f>
        <v/>
      </c>
      <c r="Y727" s="14" t="str">
        <f t="shared" si="203"/>
        <v/>
      </c>
      <c r="Z727" s="14" t="str">
        <f t="shared" si="192"/>
        <v/>
      </c>
      <c r="AA727" s="14" t="str">
        <f t="shared" si="193"/>
        <v/>
      </c>
      <c r="AB727" s="14" t="str">
        <f t="shared" si="194"/>
        <v/>
      </c>
      <c r="AC727" s="14" t="str">
        <f t="shared" si="195"/>
        <v/>
      </c>
      <c r="AD727" s="14" t="str">
        <f t="shared" si="196"/>
        <v/>
      </c>
    </row>
    <row r="728" spans="2:30" x14ac:dyDescent="0.3">
      <c r="B728" s="13" t="str" cm="1">
        <f t="array" ref="B728">IF($A728="","",_xlfn.LET(_xlpm.p,IFERROR(INDEX(tblDados[País],MATCH($A728,TRIM(tblDados[Mandante]),0)),INDEX(tblDados[País],MATCH($A728,TRIM(tblDados[Visitante]),0))),_xlpm.l,IFERROR(INDEX(tblDados[Liga],MATCH($A728,TRIM(tblDados[Mandante]),0)),INDEX(tblDados[Liga],MATCH($A728,TRIM(tblDados[Visitante]),0))),_xlpm.p&amp;" - "&amp;_xlpm.l))</f>
        <v/>
      </c>
      <c r="C728" s="14" t="str">
        <f t="shared" si="197"/>
        <v/>
      </c>
      <c r="D728" s="14" t="str">
        <f t="shared" si="198"/>
        <v/>
      </c>
      <c r="E728" s="15" t="str" cm="1">
        <f t="array" ref="E728">IF($A728="","",SUMPRODUCT((TRIM(tblDados[Mandante])=$A728)*tblDados[Primeira_Ocorrencia]))</f>
        <v/>
      </c>
      <c r="F728" s="15" t="str" cm="1">
        <f t="array" ref="F728">IF($A728="","",SUMPRODUCT((TRIM(tblDados[Visitante])=$A728)*tblDados[Primeira_Ocorrencia]))</f>
        <v/>
      </c>
      <c r="G728" s="15" t="str" cm="1">
        <f t="array" ref="G728">IF($A728="","",SUMPRODUCT((TRIM(tblDados[Mandante])=$A728)*tblDados[Primeira_Ocorrencia])+SUMPRODUCT((TRIM(tblDados[Visitante])=$A728)*tblDados[Primeira_Ocorrencia]))</f>
        <v/>
      </c>
      <c r="H728" s="14" t="str">
        <f t="shared" si="199"/>
        <v/>
      </c>
      <c r="I728" s="14" t="str" cm="1">
        <f t="array" ref="I728">IF($A728="","",_xlfn.LET(_xlpm.p,IFERROR(INDEX(tblDados[País],MATCH($A728,TRIM(tblDados[Mandante]),0)),INDEX(tblDados[País],MATCH($A728,TRIM(tblDados[Visitante]),0))),_xlpm.l,IFERROR(INDEX(tblDados[Liga],MATCH($A728,TRIM(tblDados[Mandante]),0)),INDEX(tblDados[Liga],MATCH($A728,TRIM(tblDados[Visitante]),0))),IFERROR(SUMIFS(Ligas!$D$2:$D$39,Ligas!$H$2:$H$39,_xlpm.p,Ligas!$I$2:$I$39,_xlpm.l),0)))</f>
        <v/>
      </c>
      <c r="J728" s="16" t="str" cm="1">
        <f t="array" ref="J728">IF($A728="","",IFERROR((SUMPRODUCT((TRIM(tblDados[Mandante])=$A728)*tblDados[Primeira_Ocorrencia]*(tblDados[GM_M]=0))+SUMPRODUCT((TRIM(tblDados[Visitante])=$A728)*tblDados[Primeira_Ocorrencia]*(tblDados[GM_V]=0)))/G728,0))</f>
        <v/>
      </c>
      <c r="K728" s="16" t="str" cm="1">
        <f t="array" ref="K728">IF($A728="","",IFERROR((SUMPRODUCT((TRIM(tblDados[Mandante])=$A728)*tblDados[Primeira_Ocorrencia]*((tblDados[GM_M]+tblDados[GS_M])&gt;0.5))+SUMPRODUCT((TRIM(tblDados[Visitante])=$A728)*tblDados[Primeira_Ocorrencia]*((tblDados[GM_V]+tblDados[GS_V])&gt;0.5)))/G728,0))</f>
        <v/>
      </c>
      <c r="L728" s="16" t="str" cm="1">
        <f t="array" ref="L728">IF($A728="","",IFERROR((SUMPRODUCT((TRIM(tblDados[Mandante])=$A728)*tblDados[Primeira_Ocorrencia]*((tblDados[GM_M]+tblDados[GS_M])&gt;1.5))+SUMPRODUCT((TRIM(tblDados[Visitante])=$A728)*tblDados[Primeira_Ocorrencia]*((tblDados[GM_V]+tblDados[GS_V])&gt;1.5)))/G728,0))</f>
        <v/>
      </c>
      <c r="M728" s="16" t="str" cm="1">
        <f t="array" ref="M728">IF($A728="","",IFERROR((SUMPRODUCT((TRIM(tblDados[Mandante])=$A728)*tblDados[Primeira_Ocorrencia]*((tblDados[GM_M]+tblDados[GS_M])&gt;2.5))+SUMPRODUCT((TRIM(tblDados[Visitante])=$A728)*tblDados[Primeira_Ocorrencia]*((tblDados[GM_V]+tblDados[GS_V])&gt;2.5)))/G728,0))</f>
        <v/>
      </c>
      <c r="N728" s="16" t="str" cm="1">
        <f t="array" ref="N728">IF($A728="","",IFERROR((SUMPRODUCT((TRIM(tblDados[Mandante])=$A728)*tblDados[Primeira_Ocorrencia]*((tblDados[GM_M]+tblDados[GS_M])&gt;3.5))+SUMPRODUCT((TRIM(tblDados[Visitante])=$A728)*tblDados[Primeira_Ocorrencia]*((tblDados[GM_V]+tblDados[GS_V])&gt;3.5)))/G728,0))</f>
        <v/>
      </c>
      <c r="O728" s="16" t="str" cm="1">
        <f t="array" ref="O728">IF($A728="","",IFERROR((SUMPRODUCT((TRIM(tblDados[Mandante])=$A728)*tblDados[Primeira_Ocorrencia]*(tblDados[GM_M]&gt;0)*(tblDados[GS_M]&gt;0))+SUMPRODUCT((TRIM(tblDados[Visitante])=$A728)*tblDados[Primeira_Ocorrencia]*(tblDados[GM_V]&gt;0)*(tblDados[GS_V]&gt;0)))/G728,0))</f>
        <v/>
      </c>
      <c r="P728" s="14" t="str" cm="1">
        <f t="array" ref="P728">IF($A728="","",IFERROR((SUMPRODUCT((TRIM(tblDados[Mandante])=$A728)*tblDados[Primeira_Ocorrencia]*tblDados[GM_M]^2)+SUMPRODUCT((TRIM(tblDados[Visitante])=$A728)*tblDados[Primeira_Ocorrencia]*tblDados[GM_V]^2))/G728-H728^2,0))</f>
        <v/>
      </c>
      <c r="Q728" s="14" t="str">
        <f t="shared" si="200"/>
        <v/>
      </c>
      <c r="R728" s="1" t="str">
        <f t="shared" si="201"/>
        <v/>
      </c>
      <c r="S728" s="14" t="str" cm="1">
        <f t="array" ref="S728">IF($A728="","",SUMPRODUCT((TRIM(tblDados[Mandante])=$A728)*tblDados[Primeira_Ocorrencia]*tblDados[GM_M]))</f>
        <v/>
      </c>
      <c r="T728" s="14" t="str" cm="1">
        <f t="array" ref="T728">IF($A728="","",SUMPRODUCT((TRIM(tblDados[Visitante])=$A728)*tblDados[Primeira_Ocorrencia]*tblDados[GM_V]))</f>
        <v/>
      </c>
      <c r="U728" s="14" t="str">
        <f t="shared" si="202"/>
        <v/>
      </c>
      <c r="V728" s="14" t="str">
        <f t="shared" si="191"/>
        <v/>
      </c>
      <c r="W728" s="14" t="str" cm="1">
        <f t="array" ref="W728">IF($A728="","",SUMPRODUCT((TRIM(tblDados[Mandante])=$A728)*tblDados[Primeira_Ocorrencia]*tblDados[GS_M]))</f>
        <v/>
      </c>
      <c r="X728" s="14" t="str" cm="1">
        <f t="array" ref="X728">IF($A728="","",SUMPRODUCT((TRIM(tblDados[Visitante])=$A728)*tblDados[Primeira_Ocorrencia]*tblDados[GS_V]))</f>
        <v/>
      </c>
      <c r="Y728" s="14" t="str">
        <f t="shared" si="203"/>
        <v/>
      </c>
      <c r="Z728" s="14" t="str">
        <f t="shared" si="192"/>
        <v/>
      </c>
      <c r="AA728" s="14" t="str">
        <f t="shared" si="193"/>
        <v/>
      </c>
      <c r="AB728" s="14" t="str">
        <f t="shared" si="194"/>
        <v/>
      </c>
      <c r="AC728" s="14" t="str">
        <f t="shared" si="195"/>
        <v/>
      </c>
      <c r="AD728" s="14" t="str">
        <f t="shared" si="196"/>
        <v/>
      </c>
    </row>
    <row r="729" spans="2:30" x14ac:dyDescent="0.3">
      <c r="B729" s="13" t="str" cm="1">
        <f t="array" ref="B729">IF($A729="","",_xlfn.LET(_xlpm.p,IFERROR(INDEX(tblDados[País],MATCH($A729,TRIM(tblDados[Mandante]),0)),INDEX(tblDados[País],MATCH($A729,TRIM(tblDados[Visitante]),0))),_xlpm.l,IFERROR(INDEX(tblDados[Liga],MATCH($A729,TRIM(tblDados[Mandante]),0)),INDEX(tblDados[Liga],MATCH($A729,TRIM(tblDados[Visitante]),0))),_xlpm.p&amp;" - "&amp;_xlpm.l))</f>
        <v/>
      </c>
      <c r="C729" s="14" t="str">
        <f t="shared" si="197"/>
        <v/>
      </c>
      <c r="D729" s="14" t="str">
        <f t="shared" si="198"/>
        <v/>
      </c>
      <c r="E729" s="15" t="str" cm="1">
        <f t="array" ref="E729">IF($A729="","",SUMPRODUCT((TRIM(tblDados[Mandante])=$A729)*tblDados[Primeira_Ocorrencia]))</f>
        <v/>
      </c>
      <c r="F729" s="15" t="str" cm="1">
        <f t="array" ref="F729">IF($A729="","",SUMPRODUCT((TRIM(tblDados[Visitante])=$A729)*tblDados[Primeira_Ocorrencia]))</f>
        <v/>
      </c>
      <c r="G729" s="15" t="str" cm="1">
        <f t="array" ref="G729">IF($A729="","",SUMPRODUCT((TRIM(tblDados[Mandante])=$A729)*tblDados[Primeira_Ocorrencia])+SUMPRODUCT((TRIM(tblDados[Visitante])=$A729)*tblDados[Primeira_Ocorrencia]))</f>
        <v/>
      </c>
      <c r="H729" s="14" t="str">
        <f t="shared" si="199"/>
        <v/>
      </c>
      <c r="I729" s="14" t="str" cm="1">
        <f t="array" ref="I729">IF($A729="","",_xlfn.LET(_xlpm.p,IFERROR(INDEX(tblDados[País],MATCH($A729,TRIM(tblDados[Mandante]),0)),INDEX(tblDados[País],MATCH($A729,TRIM(tblDados[Visitante]),0))),_xlpm.l,IFERROR(INDEX(tblDados[Liga],MATCH($A729,TRIM(tblDados[Mandante]),0)),INDEX(tblDados[Liga],MATCH($A729,TRIM(tblDados[Visitante]),0))),IFERROR(SUMIFS(Ligas!$D$2:$D$39,Ligas!$H$2:$H$39,_xlpm.p,Ligas!$I$2:$I$39,_xlpm.l),0)))</f>
        <v/>
      </c>
      <c r="J729" s="16" t="str" cm="1">
        <f t="array" ref="J729">IF($A729="","",IFERROR((SUMPRODUCT((TRIM(tblDados[Mandante])=$A729)*tblDados[Primeira_Ocorrencia]*(tblDados[GM_M]=0))+SUMPRODUCT((TRIM(tblDados[Visitante])=$A729)*tblDados[Primeira_Ocorrencia]*(tblDados[GM_V]=0)))/G729,0))</f>
        <v/>
      </c>
      <c r="K729" s="16" t="str" cm="1">
        <f t="array" ref="K729">IF($A729="","",IFERROR((SUMPRODUCT((TRIM(tblDados[Mandante])=$A729)*tblDados[Primeira_Ocorrencia]*((tblDados[GM_M]+tblDados[GS_M])&gt;0.5))+SUMPRODUCT((TRIM(tblDados[Visitante])=$A729)*tblDados[Primeira_Ocorrencia]*((tblDados[GM_V]+tblDados[GS_V])&gt;0.5)))/G729,0))</f>
        <v/>
      </c>
      <c r="L729" s="16" t="str" cm="1">
        <f t="array" ref="L729">IF($A729="","",IFERROR((SUMPRODUCT((TRIM(tblDados[Mandante])=$A729)*tblDados[Primeira_Ocorrencia]*((tblDados[GM_M]+tblDados[GS_M])&gt;1.5))+SUMPRODUCT((TRIM(tblDados[Visitante])=$A729)*tblDados[Primeira_Ocorrencia]*((tblDados[GM_V]+tblDados[GS_V])&gt;1.5)))/G729,0))</f>
        <v/>
      </c>
      <c r="M729" s="16" t="str" cm="1">
        <f t="array" ref="M729">IF($A729="","",IFERROR((SUMPRODUCT((TRIM(tblDados[Mandante])=$A729)*tblDados[Primeira_Ocorrencia]*((tblDados[GM_M]+tblDados[GS_M])&gt;2.5))+SUMPRODUCT((TRIM(tblDados[Visitante])=$A729)*tblDados[Primeira_Ocorrencia]*((tblDados[GM_V]+tblDados[GS_V])&gt;2.5)))/G729,0))</f>
        <v/>
      </c>
      <c r="N729" s="16" t="str" cm="1">
        <f t="array" ref="N729">IF($A729="","",IFERROR((SUMPRODUCT((TRIM(tblDados[Mandante])=$A729)*tblDados[Primeira_Ocorrencia]*((tblDados[GM_M]+tblDados[GS_M])&gt;3.5))+SUMPRODUCT((TRIM(tblDados[Visitante])=$A729)*tblDados[Primeira_Ocorrencia]*((tblDados[GM_V]+tblDados[GS_V])&gt;3.5)))/G729,0))</f>
        <v/>
      </c>
      <c r="O729" s="16" t="str" cm="1">
        <f t="array" ref="O729">IF($A729="","",IFERROR((SUMPRODUCT((TRIM(tblDados[Mandante])=$A729)*tblDados[Primeira_Ocorrencia]*(tblDados[GM_M]&gt;0)*(tblDados[GS_M]&gt;0))+SUMPRODUCT((TRIM(tblDados[Visitante])=$A729)*tblDados[Primeira_Ocorrencia]*(tblDados[GM_V]&gt;0)*(tblDados[GS_V]&gt;0)))/G729,0))</f>
        <v/>
      </c>
      <c r="P729" s="14" t="str" cm="1">
        <f t="array" ref="P729">IF($A729="","",IFERROR((SUMPRODUCT((TRIM(tblDados[Mandante])=$A729)*tblDados[Primeira_Ocorrencia]*tblDados[GM_M]^2)+SUMPRODUCT((TRIM(tblDados[Visitante])=$A729)*tblDados[Primeira_Ocorrencia]*tblDados[GM_V]^2))/G729-H729^2,0))</f>
        <v/>
      </c>
      <c r="Q729" s="14" t="str">
        <f t="shared" si="200"/>
        <v/>
      </c>
      <c r="R729" s="1" t="str">
        <f t="shared" si="201"/>
        <v/>
      </c>
      <c r="S729" s="14" t="str" cm="1">
        <f t="array" ref="S729">IF($A729="","",SUMPRODUCT((TRIM(tblDados[Mandante])=$A729)*tblDados[Primeira_Ocorrencia]*tblDados[GM_M]))</f>
        <v/>
      </c>
      <c r="T729" s="14" t="str" cm="1">
        <f t="array" ref="T729">IF($A729="","",SUMPRODUCT((TRIM(tblDados[Visitante])=$A729)*tblDados[Primeira_Ocorrencia]*tblDados[GM_V]))</f>
        <v/>
      </c>
      <c r="U729" s="14" t="str">
        <f t="shared" si="202"/>
        <v/>
      </c>
      <c r="V729" s="14" t="str">
        <f t="shared" si="191"/>
        <v/>
      </c>
      <c r="W729" s="14" t="str" cm="1">
        <f t="array" ref="W729">IF($A729="","",SUMPRODUCT((TRIM(tblDados[Mandante])=$A729)*tblDados[Primeira_Ocorrencia]*tblDados[GS_M]))</f>
        <v/>
      </c>
      <c r="X729" s="14" t="str" cm="1">
        <f t="array" ref="X729">IF($A729="","",SUMPRODUCT((TRIM(tblDados[Visitante])=$A729)*tblDados[Primeira_Ocorrencia]*tblDados[GS_V]))</f>
        <v/>
      </c>
      <c r="Y729" s="14" t="str">
        <f t="shared" si="203"/>
        <v/>
      </c>
      <c r="Z729" s="14" t="str">
        <f t="shared" si="192"/>
        <v/>
      </c>
      <c r="AA729" s="14" t="str">
        <f t="shared" si="193"/>
        <v/>
      </c>
      <c r="AB729" s="14" t="str">
        <f t="shared" si="194"/>
        <v/>
      </c>
      <c r="AC729" s="14" t="str">
        <f t="shared" si="195"/>
        <v/>
      </c>
      <c r="AD729" s="14" t="str">
        <f t="shared" si="196"/>
        <v/>
      </c>
    </row>
    <row r="730" spans="2:30" x14ac:dyDescent="0.3">
      <c r="B730" s="13" t="str" cm="1">
        <f t="array" ref="B730">IF($A730="","",_xlfn.LET(_xlpm.p,IFERROR(INDEX(tblDados[País],MATCH($A730,TRIM(tblDados[Mandante]),0)),INDEX(tblDados[País],MATCH($A730,TRIM(tblDados[Visitante]),0))),_xlpm.l,IFERROR(INDEX(tblDados[Liga],MATCH($A730,TRIM(tblDados[Mandante]),0)),INDEX(tblDados[Liga],MATCH($A730,TRIM(tblDados[Visitante]),0))),_xlpm.p&amp;" - "&amp;_xlpm.l))</f>
        <v/>
      </c>
      <c r="C730" s="14" t="str">
        <f t="shared" si="197"/>
        <v/>
      </c>
      <c r="D730" s="14" t="str">
        <f t="shared" si="198"/>
        <v/>
      </c>
      <c r="E730" s="15" t="str" cm="1">
        <f t="array" ref="E730">IF($A730="","",SUMPRODUCT((TRIM(tblDados[Mandante])=$A730)*tblDados[Primeira_Ocorrencia]))</f>
        <v/>
      </c>
      <c r="F730" s="15" t="str" cm="1">
        <f t="array" ref="F730">IF($A730="","",SUMPRODUCT((TRIM(tblDados[Visitante])=$A730)*tblDados[Primeira_Ocorrencia]))</f>
        <v/>
      </c>
      <c r="G730" s="15" t="str" cm="1">
        <f t="array" ref="G730">IF($A730="","",SUMPRODUCT((TRIM(tblDados[Mandante])=$A730)*tblDados[Primeira_Ocorrencia])+SUMPRODUCT((TRIM(tblDados[Visitante])=$A730)*tblDados[Primeira_Ocorrencia]))</f>
        <v/>
      </c>
      <c r="H730" s="14" t="str">
        <f t="shared" si="199"/>
        <v/>
      </c>
      <c r="I730" s="14" t="str" cm="1">
        <f t="array" ref="I730">IF($A730="","",_xlfn.LET(_xlpm.p,IFERROR(INDEX(tblDados[País],MATCH($A730,TRIM(tblDados[Mandante]),0)),INDEX(tblDados[País],MATCH($A730,TRIM(tblDados[Visitante]),0))),_xlpm.l,IFERROR(INDEX(tblDados[Liga],MATCH($A730,TRIM(tblDados[Mandante]),0)),INDEX(tblDados[Liga],MATCH($A730,TRIM(tblDados[Visitante]),0))),IFERROR(SUMIFS(Ligas!$D$2:$D$39,Ligas!$H$2:$H$39,_xlpm.p,Ligas!$I$2:$I$39,_xlpm.l),0)))</f>
        <v/>
      </c>
      <c r="J730" s="16" t="str" cm="1">
        <f t="array" ref="J730">IF($A730="","",IFERROR((SUMPRODUCT((TRIM(tblDados[Mandante])=$A730)*tblDados[Primeira_Ocorrencia]*(tblDados[GM_M]=0))+SUMPRODUCT((TRIM(tblDados[Visitante])=$A730)*tblDados[Primeira_Ocorrencia]*(tblDados[GM_V]=0)))/G730,0))</f>
        <v/>
      </c>
      <c r="K730" s="16" t="str" cm="1">
        <f t="array" ref="K730">IF($A730="","",IFERROR((SUMPRODUCT((TRIM(tblDados[Mandante])=$A730)*tblDados[Primeira_Ocorrencia]*((tblDados[GM_M]+tblDados[GS_M])&gt;0.5))+SUMPRODUCT((TRIM(tblDados[Visitante])=$A730)*tblDados[Primeira_Ocorrencia]*((tblDados[GM_V]+tblDados[GS_V])&gt;0.5)))/G730,0))</f>
        <v/>
      </c>
      <c r="L730" s="16" t="str" cm="1">
        <f t="array" ref="L730">IF($A730="","",IFERROR((SUMPRODUCT((TRIM(tblDados[Mandante])=$A730)*tblDados[Primeira_Ocorrencia]*((tblDados[GM_M]+tblDados[GS_M])&gt;1.5))+SUMPRODUCT((TRIM(tblDados[Visitante])=$A730)*tblDados[Primeira_Ocorrencia]*((tblDados[GM_V]+tblDados[GS_V])&gt;1.5)))/G730,0))</f>
        <v/>
      </c>
      <c r="M730" s="16" t="str" cm="1">
        <f t="array" ref="M730">IF($A730="","",IFERROR((SUMPRODUCT((TRIM(tblDados[Mandante])=$A730)*tblDados[Primeira_Ocorrencia]*((tblDados[GM_M]+tblDados[GS_M])&gt;2.5))+SUMPRODUCT((TRIM(tblDados[Visitante])=$A730)*tblDados[Primeira_Ocorrencia]*((tblDados[GM_V]+tblDados[GS_V])&gt;2.5)))/G730,0))</f>
        <v/>
      </c>
      <c r="N730" s="16" t="str" cm="1">
        <f t="array" ref="N730">IF($A730="","",IFERROR((SUMPRODUCT((TRIM(tblDados[Mandante])=$A730)*tblDados[Primeira_Ocorrencia]*((tblDados[GM_M]+tblDados[GS_M])&gt;3.5))+SUMPRODUCT((TRIM(tblDados[Visitante])=$A730)*tblDados[Primeira_Ocorrencia]*((tblDados[GM_V]+tblDados[GS_V])&gt;3.5)))/G730,0))</f>
        <v/>
      </c>
      <c r="O730" s="16" t="str" cm="1">
        <f t="array" ref="O730">IF($A730="","",IFERROR((SUMPRODUCT((TRIM(tblDados[Mandante])=$A730)*tblDados[Primeira_Ocorrencia]*(tblDados[GM_M]&gt;0)*(tblDados[GS_M]&gt;0))+SUMPRODUCT((TRIM(tblDados[Visitante])=$A730)*tblDados[Primeira_Ocorrencia]*(tblDados[GM_V]&gt;0)*(tblDados[GS_V]&gt;0)))/G730,0))</f>
        <v/>
      </c>
      <c r="P730" s="14" t="str" cm="1">
        <f t="array" ref="P730">IF($A730="","",IFERROR((SUMPRODUCT((TRIM(tblDados[Mandante])=$A730)*tblDados[Primeira_Ocorrencia]*tblDados[GM_M]^2)+SUMPRODUCT((TRIM(tblDados[Visitante])=$A730)*tblDados[Primeira_Ocorrencia]*tblDados[GM_V]^2))/G730-H730^2,0))</f>
        <v/>
      </c>
      <c r="Q730" s="14" t="str">
        <f t="shared" si="200"/>
        <v/>
      </c>
      <c r="R730" s="1" t="str">
        <f t="shared" si="201"/>
        <v/>
      </c>
      <c r="S730" s="14" t="str" cm="1">
        <f t="array" ref="S730">IF($A730="","",SUMPRODUCT((TRIM(tblDados[Mandante])=$A730)*tblDados[Primeira_Ocorrencia]*tblDados[GM_M]))</f>
        <v/>
      </c>
      <c r="T730" s="14" t="str" cm="1">
        <f t="array" ref="T730">IF($A730="","",SUMPRODUCT((TRIM(tblDados[Visitante])=$A730)*tblDados[Primeira_Ocorrencia]*tblDados[GM_V]))</f>
        <v/>
      </c>
      <c r="U730" s="14" t="str">
        <f t="shared" si="202"/>
        <v/>
      </c>
      <c r="V730" s="14" t="str">
        <f t="shared" si="191"/>
        <v/>
      </c>
      <c r="W730" s="14" t="str" cm="1">
        <f t="array" ref="W730">IF($A730="","",SUMPRODUCT((TRIM(tblDados[Mandante])=$A730)*tblDados[Primeira_Ocorrencia]*tblDados[GS_M]))</f>
        <v/>
      </c>
      <c r="X730" s="14" t="str" cm="1">
        <f t="array" ref="X730">IF($A730="","",SUMPRODUCT((TRIM(tblDados[Visitante])=$A730)*tblDados[Primeira_Ocorrencia]*tblDados[GS_V]))</f>
        <v/>
      </c>
      <c r="Y730" s="14" t="str">
        <f t="shared" si="203"/>
        <v/>
      </c>
      <c r="Z730" s="14" t="str">
        <f t="shared" si="192"/>
        <v/>
      </c>
      <c r="AA730" s="14" t="str">
        <f t="shared" si="193"/>
        <v/>
      </c>
      <c r="AB730" s="14" t="str">
        <f t="shared" si="194"/>
        <v/>
      </c>
      <c r="AC730" s="14" t="str">
        <f t="shared" si="195"/>
        <v/>
      </c>
      <c r="AD730" s="14" t="str">
        <f t="shared" si="196"/>
        <v/>
      </c>
    </row>
    <row r="731" spans="2:30" x14ac:dyDescent="0.3">
      <c r="B731" s="13" t="str" cm="1">
        <f t="array" ref="B731">IF($A731="","",_xlfn.LET(_xlpm.p,IFERROR(INDEX(tblDados[País],MATCH($A731,TRIM(tblDados[Mandante]),0)),INDEX(tblDados[País],MATCH($A731,TRIM(tblDados[Visitante]),0))),_xlpm.l,IFERROR(INDEX(tblDados[Liga],MATCH($A731,TRIM(tblDados[Mandante]),0)),INDEX(tblDados[Liga],MATCH($A731,TRIM(tblDados[Visitante]),0))),_xlpm.p&amp;" - "&amp;_xlpm.l))</f>
        <v/>
      </c>
      <c r="C731" s="14" t="str">
        <f t="shared" si="197"/>
        <v/>
      </c>
      <c r="D731" s="14" t="str">
        <f t="shared" si="198"/>
        <v/>
      </c>
      <c r="E731" s="15" t="str" cm="1">
        <f t="array" ref="E731">IF($A731="","",SUMPRODUCT((TRIM(tblDados[Mandante])=$A731)*tblDados[Primeira_Ocorrencia]))</f>
        <v/>
      </c>
      <c r="F731" s="15" t="str" cm="1">
        <f t="array" ref="F731">IF($A731="","",SUMPRODUCT((TRIM(tblDados[Visitante])=$A731)*tblDados[Primeira_Ocorrencia]))</f>
        <v/>
      </c>
      <c r="G731" s="15" t="str" cm="1">
        <f t="array" ref="G731">IF($A731="","",SUMPRODUCT((TRIM(tblDados[Mandante])=$A731)*tblDados[Primeira_Ocorrencia])+SUMPRODUCT((TRIM(tblDados[Visitante])=$A731)*tblDados[Primeira_Ocorrencia]))</f>
        <v/>
      </c>
      <c r="H731" s="14" t="str">
        <f t="shared" si="199"/>
        <v/>
      </c>
      <c r="I731" s="14" t="str" cm="1">
        <f t="array" ref="I731">IF($A731="","",_xlfn.LET(_xlpm.p,IFERROR(INDEX(tblDados[País],MATCH($A731,TRIM(tblDados[Mandante]),0)),INDEX(tblDados[País],MATCH($A731,TRIM(tblDados[Visitante]),0))),_xlpm.l,IFERROR(INDEX(tblDados[Liga],MATCH($A731,TRIM(tblDados[Mandante]),0)),INDEX(tblDados[Liga],MATCH($A731,TRIM(tblDados[Visitante]),0))),IFERROR(SUMIFS(Ligas!$D$2:$D$39,Ligas!$H$2:$H$39,_xlpm.p,Ligas!$I$2:$I$39,_xlpm.l),0)))</f>
        <v/>
      </c>
      <c r="J731" s="16" t="str" cm="1">
        <f t="array" ref="J731">IF($A731="","",IFERROR((SUMPRODUCT((TRIM(tblDados[Mandante])=$A731)*tblDados[Primeira_Ocorrencia]*(tblDados[GM_M]=0))+SUMPRODUCT((TRIM(tblDados[Visitante])=$A731)*tblDados[Primeira_Ocorrencia]*(tblDados[GM_V]=0)))/G731,0))</f>
        <v/>
      </c>
      <c r="K731" s="16" t="str" cm="1">
        <f t="array" ref="K731">IF($A731="","",IFERROR((SUMPRODUCT((TRIM(tblDados[Mandante])=$A731)*tblDados[Primeira_Ocorrencia]*((tblDados[GM_M]+tblDados[GS_M])&gt;0.5))+SUMPRODUCT((TRIM(tblDados[Visitante])=$A731)*tblDados[Primeira_Ocorrencia]*((tblDados[GM_V]+tblDados[GS_V])&gt;0.5)))/G731,0))</f>
        <v/>
      </c>
      <c r="L731" s="16" t="str" cm="1">
        <f t="array" ref="L731">IF($A731="","",IFERROR((SUMPRODUCT((TRIM(tblDados[Mandante])=$A731)*tblDados[Primeira_Ocorrencia]*((tblDados[GM_M]+tblDados[GS_M])&gt;1.5))+SUMPRODUCT((TRIM(tblDados[Visitante])=$A731)*tblDados[Primeira_Ocorrencia]*((tblDados[GM_V]+tblDados[GS_V])&gt;1.5)))/G731,0))</f>
        <v/>
      </c>
      <c r="M731" s="16" t="str" cm="1">
        <f t="array" ref="M731">IF($A731="","",IFERROR((SUMPRODUCT((TRIM(tblDados[Mandante])=$A731)*tblDados[Primeira_Ocorrencia]*((tblDados[GM_M]+tblDados[GS_M])&gt;2.5))+SUMPRODUCT((TRIM(tblDados[Visitante])=$A731)*tblDados[Primeira_Ocorrencia]*((tblDados[GM_V]+tblDados[GS_V])&gt;2.5)))/G731,0))</f>
        <v/>
      </c>
      <c r="N731" s="16" t="str" cm="1">
        <f t="array" ref="N731">IF($A731="","",IFERROR((SUMPRODUCT((TRIM(tblDados[Mandante])=$A731)*tblDados[Primeira_Ocorrencia]*((tblDados[GM_M]+tblDados[GS_M])&gt;3.5))+SUMPRODUCT((TRIM(tblDados[Visitante])=$A731)*tblDados[Primeira_Ocorrencia]*((tblDados[GM_V]+tblDados[GS_V])&gt;3.5)))/G731,0))</f>
        <v/>
      </c>
      <c r="O731" s="16" t="str" cm="1">
        <f t="array" ref="O731">IF($A731="","",IFERROR((SUMPRODUCT((TRIM(tblDados[Mandante])=$A731)*tblDados[Primeira_Ocorrencia]*(tblDados[GM_M]&gt;0)*(tblDados[GS_M]&gt;0))+SUMPRODUCT((TRIM(tblDados[Visitante])=$A731)*tblDados[Primeira_Ocorrencia]*(tblDados[GM_V]&gt;0)*(tblDados[GS_V]&gt;0)))/G731,0))</f>
        <v/>
      </c>
      <c r="P731" s="14" t="str" cm="1">
        <f t="array" ref="P731">IF($A731="","",IFERROR((SUMPRODUCT((TRIM(tblDados[Mandante])=$A731)*tblDados[Primeira_Ocorrencia]*tblDados[GM_M]^2)+SUMPRODUCT((TRIM(tblDados[Visitante])=$A731)*tblDados[Primeira_Ocorrencia]*tblDados[GM_V]^2))/G731-H731^2,0))</f>
        <v/>
      </c>
      <c r="Q731" s="14" t="str">
        <f t="shared" si="200"/>
        <v/>
      </c>
      <c r="R731" s="1" t="str">
        <f t="shared" si="201"/>
        <v/>
      </c>
      <c r="S731" s="14" t="str" cm="1">
        <f t="array" ref="S731">IF($A731="","",SUMPRODUCT((TRIM(tblDados[Mandante])=$A731)*tblDados[Primeira_Ocorrencia]*tblDados[GM_M]))</f>
        <v/>
      </c>
      <c r="T731" s="14" t="str" cm="1">
        <f t="array" ref="T731">IF($A731="","",SUMPRODUCT((TRIM(tblDados[Visitante])=$A731)*tblDados[Primeira_Ocorrencia]*tblDados[GM_V]))</f>
        <v/>
      </c>
      <c r="U731" s="14" t="str">
        <f t="shared" si="202"/>
        <v/>
      </c>
      <c r="V731" s="14" t="str">
        <f t="shared" si="191"/>
        <v/>
      </c>
      <c r="W731" s="14" t="str" cm="1">
        <f t="array" ref="W731">IF($A731="","",SUMPRODUCT((TRIM(tblDados[Mandante])=$A731)*tblDados[Primeira_Ocorrencia]*tblDados[GS_M]))</f>
        <v/>
      </c>
      <c r="X731" s="14" t="str" cm="1">
        <f t="array" ref="X731">IF($A731="","",SUMPRODUCT((TRIM(tblDados[Visitante])=$A731)*tblDados[Primeira_Ocorrencia]*tblDados[GS_V]))</f>
        <v/>
      </c>
      <c r="Y731" s="14" t="str">
        <f t="shared" si="203"/>
        <v/>
      </c>
      <c r="Z731" s="14" t="str">
        <f t="shared" si="192"/>
        <v/>
      </c>
      <c r="AA731" s="14" t="str">
        <f t="shared" si="193"/>
        <v/>
      </c>
      <c r="AB731" s="14" t="str">
        <f t="shared" si="194"/>
        <v/>
      </c>
      <c r="AC731" s="14" t="str">
        <f t="shared" si="195"/>
        <v/>
      </c>
      <c r="AD731" s="14" t="str">
        <f t="shared" si="196"/>
        <v/>
      </c>
    </row>
    <row r="732" spans="2:30" x14ac:dyDescent="0.3">
      <c r="B732" s="13" t="str" cm="1">
        <f t="array" ref="B732">IF($A732="","",_xlfn.LET(_xlpm.p,IFERROR(INDEX(tblDados[País],MATCH($A732,TRIM(tblDados[Mandante]),0)),INDEX(tblDados[País],MATCH($A732,TRIM(tblDados[Visitante]),0))),_xlpm.l,IFERROR(INDEX(tblDados[Liga],MATCH($A732,TRIM(tblDados[Mandante]),0)),INDEX(tblDados[Liga],MATCH($A732,TRIM(tblDados[Visitante]),0))),_xlpm.p&amp;" - "&amp;_xlpm.l))</f>
        <v/>
      </c>
      <c r="C732" s="14" t="str">
        <f t="shared" si="197"/>
        <v/>
      </c>
      <c r="D732" s="14" t="str">
        <f t="shared" si="198"/>
        <v/>
      </c>
      <c r="E732" s="15" t="str" cm="1">
        <f t="array" ref="E732">IF($A732="","",SUMPRODUCT((TRIM(tblDados[Mandante])=$A732)*tblDados[Primeira_Ocorrencia]))</f>
        <v/>
      </c>
      <c r="F732" s="15" t="str" cm="1">
        <f t="array" ref="F732">IF($A732="","",SUMPRODUCT((TRIM(tblDados[Visitante])=$A732)*tblDados[Primeira_Ocorrencia]))</f>
        <v/>
      </c>
      <c r="G732" s="15" t="str" cm="1">
        <f t="array" ref="G732">IF($A732="","",SUMPRODUCT((TRIM(tblDados[Mandante])=$A732)*tblDados[Primeira_Ocorrencia])+SUMPRODUCT((TRIM(tblDados[Visitante])=$A732)*tblDados[Primeira_Ocorrencia]))</f>
        <v/>
      </c>
      <c r="H732" s="14" t="str">
        <f t="shared" si="199"/>
        <v/>
      </c>
      <c r="I732" s="14" t="str" cm="1">
        <f t="array" ref="I732">IF($A732="","",_xlfn.LET(_xlpm.p,IFERROR(INDEX(tblDados[País],MATCH($A732,TRIM(tblDados[Mandante]),0)),INDEX(tblDados[País],MATCH($A732,TRIM(tblDados[Visitante]),0))),_xlpm.l,IFERROR(INDEX(tblDados[Liga],MATCH($A732,TRIM(tblDados[Mandante]),0)),INDEX(tblDados[Liga],MATCH($A732,TRIM(tblDados[Visitante]),0))),IFERROR(SUMIFS(Ligas!$D$2:$D$39,Ligas!$H$2:$H$39,_xlpm.p,Ligas!$I$2:$I$39,_xlpm.l),0)))</f>
        <v/>
      </c>
      <c r="J732" s="16" t="str" cm="1">
        <f t="array" ref="J732">IF($A732="","",IFERROR((SUMPRODUCT((TRIM(tblDados[Mandante])=$A732)*tblDados[Primeira_Ocorrencia]*(tblDados[GM_M]=0))+SUMPRODUCT((TRIM(tblDados[Visitante])=$A732)*tblDados[Primeira_Ocorrencia]*(tblDados[GM_V]=0)))/G732,0))</f>
        <v/>
      </c>
      <c r="K732" s="16" t="str" cm="1">
        <f t="array" ref="K732">IF($A732="","",IFERROR((SUMPRODUCT((TRIM(tblDados[Mandante])=$A732)*tblDados[Primeira_Ocorrencia]*((tblDados[GM_M]+tblDados[GS_M])&gt;0.5))+SUMPRODUCT((TRIM(tblDados[Visitante])=$A732)*tblDados[Primeira_Ocorrencia]*((tblDados[GM_V]+tblDados[GS_V])&gt;0.5)))/G732,0))</f>
        <v/>
      </c>
      <c r="L732" s="16" t="str" cm="1">
        <f t="array" ref="L732">IF($A732="","",IFERROR((SUMPRODUCT((TRIM(tblDados[Mandante])=$A732)*tblDados[Primeira_Ocorrencia]*((tblDados[GM_M]+tblDados[GS_M])&gt;1.5))+SUMPRODUCT((TRIM(tblDados[Visitante])=$A732)*tblDados[Primeira_Ocorrencia]*((tblDados[GM_V]+tblDados[GS_V])&gt;1.5)))/G732,0))</f>
        <v/>
      </c>
      <c r="M732" s="16" t="str" cm="1">
        <f t="array" ref="M732">IF($A732="","",IFERROR((SUMPRODUCT((TRIM(tblDados[Mandante])=$A732)*tblDados[Primeira_Ocorrencia]*((tblDados[GM_M]+tblDados[GS_M])&gt;2.5))+SUMPRODUCT((TRIM(tblDados[Visitante])=$A732)*tblDados[Primeira_Ocorrencia]*((tblDados[GM_V]+tblDados[GS_V])&gt;2.5)))/G732,0))</f>
        <v/>
      </c>
      <c r="N732" s="16" t="str" cm="1">
        <f t="array" ref="N732">IF($A732="","",IFERROR((SUMPRODUCT((TRIM(tblDados[Mandante])=$A732)*tblDados[Primeira_Ocorrencia]*((tblDados[GM_M]+tblDados[GS_M])&gt;3.5))+SUMPRODUCT((TRIM(tblDados[Visitante])=$A732)*tblDados[Primeira_Ocorrencia]*((tblDados[GM_V]+tblDados[GS_V])&gt;3.5)))/G732,0))</f>
        <v/>
      </c>
      <c r="O732" s="16" t="str" cm="1">
        <f t="array" ref="O732">IF($A732="","",IFERROR((SUMPRODUCT((TRIM(tblDados[Mandante])=$A732)*tblDados[Primeira_Ocorrencia]*(tblDados[GM_M]&gt;0)*(tblDados[GS_M]&gt;0))+SUMPRODUCT((TRIM(tblDados[Visitante])=$A732)*tblDados[Primeira_Ocorrencia]*(tblDados[GM_V]&gt;0)*(tblDados[GS_V]&gt;0)))/G732,0))</f>
        <v/>
      </c>
      <c r="P732" s="14" t="str" cm="1">
        <f t="array" ref="P732">IF($A732="","",IFERROR((SUMPRODUCT((TRIM(tblDados[Mandante])=$A732)*tblDados[Primeira_Ocorrencia]*tblDados[GM_M]^2)+SUMPRODUCT((TRIM(tblDados[Visitante])=$A732)*tblDados[Primeira_Ocorrencia]*tblDados[GM_V]^2))/G732-H732^2,0))</f>
        <v/>
      </c>
      <c r="Q732" s="14" t="str">
        <f t="shared" si="200"/>
        <v/>
      </c>
      <c r="R732" s="1" t="str">
        <f t="shared" si="201"/>
        <v/>
      </c>
      <c r="S732" s="14" t="str" cm="1">
        <f t="array" ref="S732">IF($A732="","",SUMPRODUCT((TRIM(tblDados[Mandante])=$A732)*tblDados[Primeira_Ocorrencia]*tblDados[GM_M]))</f>
        <v/>
      </c>
      <c r="T732" s="14" t="str" cm="1">
        <f t="array" ref="T732">IF($A732="","",SUMPRODUCT((TRIM(tblDados[Visitante])=$A732)*tblDados[Primeira_Ocorrencia]*tblDados[GM_V]))</f>
        <v/>
      </c>
      <c r="U732" s="14" t="str">
        <f t="shared" si="202"/>
        <v/>
      </c>
      <c r="V732" s="14" t="str">
        <f t="shared" si="191"/>
        <v/>
      </c>
      <c r="W732" s="14" t="str" cm="1">
        <f t="array" ref="W732">IF($A732="","",SUMPRODUCT((TRIM(tblDados[Mandante])=$A732)*tblDados[Primeira_Ocorrencia]*tblDados[GS_M]))</f>
        <v/>
      </c>
      <c r="X732" s="14" t="str" cm="1">
        <f t="array" ref="X732">IF($A732="","",SUMPRODUCT((TRIM(tblDados[Visitante])=$A732)*tblDados[Primeira_Ocorrencia]*tblDados[GS_V]))</f>
        <v/>
      </c>
      <c r="Y732" s="14" t="str">
        <f t="shared" si="203"/>
        <v/>
      </c>
      <c r="Z732" s="14" t="str">
        <f t="shared" si="192"/>
        <v/>
      </c>
      <c r="AA732" s="14" t="str">
        <f t="shared" si="193"/>
        <v/>
      </c>
      <c r="AB732" s="14" t="str">
        <f t="shared" si="194"/>
        <v/>
      </c>
      <c r="AC732" s="14" t="str">
        <f t="shared" si="195"/>
        <v/>
      </c>
      <c r="AD732" s="14" t="str">
        <f t="shared" si="196"/>
        <v/>
      </c>
    </row>
    <row r="733" spans="2:30" x14ac:dyDescent="0.3">
      <c r="B733" s="13" t="str" cm="1">
        <f t="array" ref="B733">IF($A733="","",_xlfn.LET(_xlpm.p,IFERROR(INDEX(tblDados[País],MATCH($A733,TRIM(tblDados[Mandante]),0)),INDEX(tblDados[País],MATCH($A733,TRIM(tblDados[Visitante]),0))),_xlpm.l,IFERROR(INDEX(tblDados[Liga],MATCH($A733,TRIM(tblDados[Mandante]),0)),INDEX(tblDados[Liga],MATCH($A733,TRIM(tblDados[Visitante]),0))),_xlpm.p&amp;" - "&amp;_xlpm.l))</f>
        <v/>
      </c>
      <c r="C733" s="14" t="str">
        <f t="shared" si="197"/>
        <v/>
      </c>
      <c r="D733" s="14" t="str">
        <f t="shared" si="198"/>
        <v/>
      </c>
      <c r="E733" s="15" t="str" cm="1">
        <f t="array" ref="E733">IF($A733="","",SUMPRODUCT((TRIM(tblDados[Mandante])=$A733)*tblDados[Primeira_Ocorrencia]))</f>
        <v/>
      </c>
      <c r="F733" s="15" t="str" cm="1">
        <f t="array" ref="F733">IF($A733="","",SUMPRODUCT((TRIM(tblDados[Visitante])=$A733)*tblDados[Primeira_Ocorrencia]))</f>
        <v/>
      </c>
      <c r="G733" s="15" t="str" cm="1">
        <f t="array" ref="G733">IF($A733="","",SUMPRODUCT((TRIM(tblDados[Mandante])=$A733)*tblDados[Primeira_Ocorrencia])+SUMPRODUCT((TRIM(tblDados[Visitante])=$A733)*tblDados[Primeira_Ocorrencia]))</f>
        <v/>
      </c>
      <c r="H733" s="14" t="str">
        <f t="shared" si="199"/>
        <v/>
      </c>
      <c r="I733" s="14" t="str" cm="1">
        <f t="array" ref="I733">IF($A733="","",_xlfn.LET(_xlpm.p,IFERROR(INDEX(tblDados[País],MATCH($A733,TRIM(tblDados[Mandante]),0)),INDEX(tblDados[País],MATCH($A733,TRIM(tblDados[Visitante]),0))),_xlpm.l,IFERROR(INDEX(tblDados[Liga],MATCH($A733,TRIM(tblDados[Mandante]),0)),INDEX(tblDados[Liga],MATCH($A733,TRIM(tblDados[Visitante]),0))),IFERROR(SUMIFS(Ligas!$D$2:$D$39,Ligas!$H$2:$H$39,_xlpm.p,Ligas!$I$2:$I$39,_xlpm.l),0)))</f>
        <v/>
      </c>
      <c r="J733" s="16" t="str" cm="1">
        <f t="array" ref="J733">IF($A733="","",IFERROR((SUMPRODUCT((TRIM(tblDados[Mandante])=$A733)*tblDados[Primeira_Ocorrencia]*(tblDados[GM_M]=0))+SUMPRODUCT((TRIM(tblDados[Visitante])=$A733)*tblDados[Primeira_Ocorrencia]*(tblDados[GM_V]=0)))/G733,0))</f>
        <v/>
      </c>
      <c r="K733" s="16" t="str" cm="1">
        <f t="array" ref="K733">IF($A733="","",IFERROR((SUMPRODUCT((TRIM(tblDados[Mandante])=$A733)*tblDados[Primeira_Ocorrencia]*((tblDados[GM_M]+tblDados[GS_M])&gt;0.5))+SUMPRODUCT((TRIM(tblDados[Visitante])=$A733)*tblDados[Primeira_Ocorrencia]*((tblDados[GM_V]+tblDados[GS_V])&gt;0.5)))/G733,0))</f>
        <v/>
      </c>
      <c r="L733" s="16" t="str" cm="1">
        <f t="array" ref="L733">IF($A733="","",IFERROR((SUMPRODUCT((TRIM(tblDados[Mandante])=$A733)*tblDados[Primeira_Ocorrencia]*((tblDados[GM_M]+tblDados[GS_M])&gt;1.5))+SUMPRODUCT((TRIM(tblDados[Visitante])=$A733)*tblDados[Primeira_Ocorrencia]*((tblDados[GM_V]+tblDados[GS_V])&gt;1.5)))/G733,0))</f>
        <v/>
      </c>
      <c r="M733" s="16" t="str" cm="1">
        <f t="array" ref="M733">IF($A733="","",IFERROR((SUMPRODUCT((TRIM(tblDados[Mandante])=$A733)*tblDados[Primeira_Ocorrencia]*((tblDados[GM_M]+tblDados[GS_M])&gt;2.5))+SUMPRODUCT((TRIM(tblDados[Visitante])=$A733)*tblDados[Primeira_Ocorrencia]*((tblDados[GM_V]+tblDados[GS_V])&gt;2.5)))/G733,0))</f>
        <v/>
      </c>
      <c r="N733" s="16" t="str" cm="1">
        <f t="array" ref="N733">IF($A733="","",IFERROR((SUMPRODUCT((TRIM(tblDados[Mandante])=$A733)*tblDados[Primeira_Ocorrencia]*((tblDados[GM_M]+tblDados[GS_M])&gt;3.5))+SUMPRODUCT((TRIM(tblDados[Visitante])=$A733)*tblDados[Primeira_Ocorrencia]*((tblDados[GM_V]+tblDados[GS_V])&gt;3.5)))/G733,0))</f>
        <v/>
      </c>
      <c r="O733" s="16" t="str" cm="1">
        <f t="array" ref="O733">IF($A733="","",IFERROR((SUMPRODUCT((TRIM(tblDados[Mandante])=$A733)*tblDados[Primeira_Ocorrencia]*(tblDados[GM_M]&gt;0)*(tblDados[GS_M]&gt;0))+SUMPRODUCT((TRIM(tblDados[Visitante])=$A733)*tblDados[Primeira_Ocorrencia]*(tblDados[GM_V]&gt;0)*(tblDados[GS_V]&gt;0)))/G733,0))</f>
        <v/>
      </c>
      <c r="P733" s="14" t="str" cm="1">
        <f t="array" ref="P733">IF($A733="","",IFERROR((SUMPRODUCT((TRIM(tblDados[Mandante])=$A733)*tblDados[Primeira_Ocorrencia]*tblDados[GM_M]^2)+SUMPRODUCT((TRIM(tblDados[Visitante])=$A733)*tblDados[Primeira_Ocorrencia]*tblDados[GM_V]^2))/G733-H733^2,0))</f>
        <v/>
      </c>
      <c r="Q733" s="14" t="str">
        <f t="shared" si="200"/>
        <v/>
      </c>
      <c r="R733" s="1" t="str">
        <f t="shared" si="201"/>
        <v/>
      </c>
      <c r="S733" s="14" t="str" cm="1">
        <f t="array" ref="S733">IF($A733="","",SUMPRODUCT((TRIM(tblDados[Mandante])=$A733)*tblDados[Primeira_Ocorrencia]*tblDados[GM_M]))</f>
        <v/>
      </c>
      <c r="T733" s="14" t="str" cm="1">
        <f t="array" ref="T733">IF($A733="","",SUMPRODUCT((TRIM(tblDados[Visitante])=$A733)*tblDados[Primeira_Ocorrencia]*tblDados[GM_V]))</f>
        <v/>
      </c>
      <c r="U733" s="14" t="str">
        <f t="shared" si="202"/>
        <v/>
      </c>
      <c r="V733" s="14" t="str">
        <f t="shared" si="191"/>
        <v/>
      </c>
      <c r="W733" s="14" t="str" cm="1">
        <f t="array" ref="W733">IF($A733="","",SUMPRODUCT((TRIM(tblDados[Mandante])=$A733)*tblDados[Primeira_Ocorrencia]*tblDados[GS_M]))</f>
        <v/>
      </c>
      <c r="X733" s="14" t="str" cm="1">
        <f t="array" ref="X733">IF($A733="","",SUMPRODUCT((TRIM(tblDados[Visitante])=$A733)*tblDados[Primeira_Ocorrencia]*tblDados[GS_V]))</f>
        <v/>
      </c>
      <c r="Y733" s="14" t="str">
        <f t="shared" si="203"/>
        <v/>
      </c>
      <c r="Z733" s="14" t="str">
        <f t="shared" si="192"/>
        <v/>
      </c>
      <c r="AA733" s="14" t="str">
        <f t="shared" si="193"/>
        <v/>
      </c>
      <c r="AB733" s="14" t="str">
        <f t="shared" si="194"/>
        <v/>
      </c>
      <c r="AC733" s="14" t="str">
        <f t="shared" si="195"/>
        <v/>
      </c>
      <c r="AD733" s="14" t="str">
        <f t="shared" si="196"/>
        <v/>
      </c>
    </row>
    <row r="734" spans="2:30" x14ac:dyDescent="0.3">
      <c r="B734" s="13" t="str" cm="1">
        <f t="array" ref="B734">IF($A734="","",_xlfn.LET(_xlpm.p,IFERROR(INDEX(tblDados[País],MATCH($A734,TRIM(tblDados[Mandante]),0)),INDEX(tblDados[País],MATCH($A734,TRIM(tblDados[Visitante]),0))),_xlpm.l,IFERROR(INDEX(tblDados[Liga],MATCH($A734,TRIM(tblDados[Mandante]),0)),INDEX(tblDados[Liga],MATCH($A734,TRIM(tblDados[Visitante]),0))),_xlpm.p&amp;" - "&amp;_xlpm.l))</f>
        <v/>
      </c>
      <c r="C734" s="14" t="str">
        <f t="shared" si="197"/>
        <v/>
      </c>
      <c r="D734" s="14" t="str">
        <f t="shared" si="198"/>
        <v/>
      </c>
      <c r="E734" s="15" t="str" cm="1">
        <f t="array" ref="E734">IF($A734="","",SUMPRODUCT((TRIM(tblDados[Mandante])=$A734)*tblDados[Primeira_Ocorrencia]))</f>
        <v/>
      </c>
      <c r="F734" s="15" t="str" cm="1">
        <f t="array" ref="F734">IF($A734="","",SUMPRODUCT((TRIM(tblDados[Visitante])=$A734)*tblDados[Primeira_Ocorrencia]))</f>
        <v/>
      </c>
      <c r="G734" s="15" t="str" cm="1">
        <f t="array" ref="G734">IF($A734="","",SUMPRODUCT((TRIM(tblDados[Mandante])=$A734)*tblDados[Primeira_Ocorrencia])+SUMPRODUCT((TRIM(tblDados[Visitante])=$A734)*tblDados[Primeira_Ocorrencia]))</f>
        <v/>
      </c>
      <c r="H734" s="14" t="str">
        <f t="shared" si="199"/>
        <v/>
      </c>
      <c r="I734" s="14" t="str" cm="1">
        <f t="array" ref="I734">IF($A734="","",_xlfn.LET(_xlpm.p,IFERROR(INDEX(tblDados[País],MATCH($A734,TRIM(tblDados[Mandante]),0)),INDEX(tblDados[País],MATCH($A734,TRIM(tblDados[Visitante]),0))),_xlpm.l,IFERROR(INDEX(tblDados[Liga],MATCH($A734,TRIM(tblDados[Mandante]),0)),INDEX(tblDados[Liga],MATCH($A734,TRIM(tblDados[Visitante]),0))),IFERROR(SUMIFS(Ligas!$D$2:$D$39,Ligas!$H$2:$H$39,_xlpm.p,Ligas!$I$2:$I$39,_xlpm.l),0)))</f>
        <v/>
      </c>
      <c r="J734" s="16" t="str" cm="1">
        <f t="array" ref="J734">IF($A734="","",IFERROR((SUMPRODUCT((TRIM(tblDados[Mandante])=$A734)*tblDados[Primeira_Ocorrencia]*(tblDados[GM_M]=0))+SUMPRODUCT((TRIM(tblDados[Visitante])=$A734)*tblDados[Primeira_Ocorrencia]*(tblDados[GM_V]=0)))/G734,0))</f>
        <v/>
      </c>
      <c r="K734" s="16" t="str" cm="1">
        <f t="array" ref="K734">IF($A734="","",IFERROR((SUMPRODUCT((TRIM(tblDados[Mandante])=$A734)*tblDados[Primeira_Ocorrencia]*((tblDados[GM_M]+tblDados[GS_M])&gt;0.5))+SUMPRODUCT((TRIM(tblDados[Visitante])=$A734)*tblDados[Primeira_Ocorrencia]*((tblDados[GM_V]+tblDados[GS_V])&gt;0.5)))/G734,0))</f>
        <v/>
      </c>
      <c r="L734" s="16" t="str" cm="1">
        <f t="array" ref="L734">IF($A734="","",IFERROR((SUMPRODUCT((TRIM(tblDados[Mandante])=$A734)*tblDados[Primeira_Ocorrencia]*((tblDados[GM_M]+tblDados[GS_M])&gt;1.5))+SUMPRODUCT((TRIM(tblDados[Visitante])=$A734)*tblDados[Primeira_Ocorrencia]*((tblDados[GM_V]+tblDados[GS_V])&gt;1.5)))/G734,0))</f>
        <v/>
      </c>
      <c r="M734" s="16" t="str" cm="1">
        <f t="array" ref="M734">IF($A734="","",IFERROR((SUMPRODUCT((TRIM(tblDados[Mandante])=$A734)*tblDados[Primeira_Ocorrencia]*((tblDados[GM_M]+tblDados[GS_M])&gt;2.5))+SUMPRODUCT((TRIM(tblDados[Visitante])=$A734)*tblDados[Primeira_Ocorrencia]*((tblDados[GM_V]+tblDados[GS_V])&gt;2.5)))/G734,0))</f>
        <v/>
      </c>
      <c r="N734" s="16" t="str" cm="1">
        <f t="array" ref="N734">IF($A734="","",IFERROR((SUMPRODUCT((TRIM(tblDados[Mandante])=$A734)*tblDados[Primeira_Ocorrencia]*((tblDados[GM_M]+tblDados[GS_M])&gt;3.5))+SUMPRODUCT((TRIM(tblDados[Visitante])=$A734)*tblDados[Primeira_Ocorrencia]*((tblDados[GM_V]+tblDados[GS_V])&gt;3.5)))/G734,0))</f>
        <v/>
      </c>
      <c r="O734" s="16" t="str" cm="1">
        <f t="array" ref="O734">IF($A734="","",IFERROR((SUMPRODUCT((TRIM(tblDados[Mandante])=$A734)*tblDados[Primeira_Ocorrencia]*(tblDados[GM_M]&gt;0)*(tblDados[GS_M]&gt;0))+SUMPRODUCT((TRIM(tblDados[Visitante])=$A734)*tblDados[Primeira_Ocorrencia]*(tblDados[GM_V]&gt;0)*(tblDados[GS_V]&gt;0)))/G734,0))</f>
        <v/>
      </c>
      <c r="P734" s="14" t="str" cm="1">
        <f t="array" ref="P734">IF($A734="","",IFERROR((SUMPRODUCT((TRIM(tblDados[Mandante])=$A734)*tblDados[Primeira_Ocorrencia]*tblDados[GM_M]^2)+SUMPRODUCT((TRIM(tblDados[Visitante])=$A734)*tblDados[Primeira_Ocorrencia]*tblDados[GM_V]^2))/G734-H734^2,0))</f>
        <v/>
      </c>
      <c r="Q734" s="14" t="str">
        <f t="shared" si="200"/>
        <v/>
      </c>
      <c r="R734" s="1" t="str">
        <f t="shared" si="201"/>
        <v/>
      </c>
      <c r="S734" s="14" t="str" cm="1">
        <f t="array" ref="S734">IF($A734="","",SUMPRODUCT((TRIM(tblDados[Mandante])=$A734)*tblDados[Primeira_Ocorrencia]*tblDados[GM_M]))</f>
        <v/>
      </c>
      <c r="T734" s="14" t="str" cm="1">
        <f t="array" ref="T734">IF($A734="","",SUMPRODUCT((TRIM(tblDados[Visitante])=$A734)*tblDados[Primeira_Ocorrencia]*tblDados[GM_V]))</f>
        <v/>
      </c>
      <c r="U734" s="14" t="str">
        <f t="shared" si="202"/>
        <v/>
      </c>
      <c r="V734" s="14" t="str">
        <f t="shared" si="191"/>
        <v/>
      </c>
      <c r="W734" s="14" t="str" cm="1">
        <f t="array" ref="W734">IF($A734="","",SUMPRODUCT((TRIM(tblDados[Mandante])=$A734)*tblDados[Primeira_Ocorrencia]*tblDados[GS_M]))</f>
        <v/>
      </c>
      <c r="X734" s="14" t="str" cm="1">
        <f t="array" ref="X734">IF($A734="","",SUMPRODUCT((TRIM(tblDados[Visitante])=$A734)*tblDados[Primeira_Ocorrencia]*tblDados[GS_V]))</f>
        <v/>
      </c>
      <c r="Y734" s="14" t="str">
        <f t="shared" si="203"/>
        <v/>
      </c>
      <c r="Z734" s="14" t="str">
        <f t="shared" si="192"/>
        <v/>
      </c>
      <c r="AA734" s="14" t="str">
        <f t="shared" si="193"/>
        <v/>
      </c>
      <c r="AB734" s="14" t="str">
        <f t="shared" si="194"/>
        <v/>
      </c>
      <c r="AC734" s="14" t="str">
        <f t="shared" si="195"/>
        <v/>
      </c>
      <c r="AD734" s="14" t="str">
        <f t="shared" si="196"/>
        <v/>
      </c>
    </row>
    <row r="735" spans="2:30" x14ac:dyDescent="0.3">
      <c r="B735" s="13" t="str" cm="1">
        <f t="array" ref="B735">IF($A735="","",_xlfn.LET(_xlpm.p,IFERROR(INDEX(tblDados[País],MATCH($A735,TRIM(tblDados[Mandante]),0)),INDEX(tblDados[País],MATCH($A735,TRIM(tblDados[Visitante]),0))),_xlpm.l,IFERROR(INDEX(tblDados[Liga],MATCH($A735,TRIM(tblDados[Mandante]),0)),INDEX(tblDados[Liga],MATCH($A735,TRIM(tblDados[Visitante]),0))),_xlpm.p&amp;" - "&amp;_xlpm.l))</f>
        <v/>
      </c>
      <c r="C735" s="14" t="str">
        <f t="shared" si="197"/>
        <v/>
      </c>
      <c r="D735" s="14" t="str">
        <f t="shared" si="198"/>
        <v/>
      </c>
      <c r="E735" s="15" t="str" cm="1">
        <f t="array" ref="E735">IF($A735="","",SUMPRODUCT((TRIM(tblDados[Mandante])=$A735)*tblDados[Primeira_Ocorrencia]))</f>
        <v/>
      </c>
      <c r="F735" s="15" t="str" cm="1">
        <f t="array" ref="F735">IF($A735="","",SUMPRODUCT((TRIM(tblDados[Visitante])=$A735)*tblDados[Primeira_Ocorrencia]))</f>
        <v/>
      </c>
      <c r="G735" s="15" t="str" cm="1">
        <f t="array" ref="G735">IF($A735="","",SUMPRODUCT((TRIM(tblDados[Mandante])=$A735)*tblDados[Primeira_Ocorrencia])+SUMPRODUCT((TRIM(tblDados[Visitante])=$A735)*tblDados[Primeira_Ocorrencia]))</f>
        <v/>
      </c>
      <c r="H735" s="14" t="str">
        <f t="shared" si="199"/>
        <v/>
      </c>
      <c r="I735" s="14" t="str" cm="1">
        <f t="array" ref="I735">IF($A735="","",_xlfn.LET(_xlpm.p,IFERROR(INDEX(tblDados[País],MATCH($A735,TRIM(tblDados[Mandante]),0)),INDEX(tblDados[País],MATCH($A735,TRIM(tblDados[Visitante]),0))),_xlpm.l,IFERROR(INDEX(tblDados[Liga],MATCH($A735,TRIM(tblDados[Mandante]),0)),INDEX(tblDados[Liga],MATCH($A735,TRIM(tblDados[Visitante]),0))),IFERROR(SUMIFS(Ligas!$D$2:$D$39,Ligas!$H$2:$H$39,_xlpm.p,Ligas!$I$2:$I$39,_xlpm.l),0)))</f>
        <v/>
      </c>
      <c r="J735" s="16" t="str" cm="1">
        <f t="array" ref="J735">IF($A735="","",IFERROR((SUMPRODUCT((TRIM(tblDados[Mandante])=$A735)*tblDados[Primeira_Ocorrencia]*(tblDados[GM_M]=0))+SUMPRODUCT((TRIM(tblDados[Visitante])=$A735)*tblDados[Primeira_Ocorrencia]*(tblDados[GM_V]=0)))/G735,0))</f>
        <v/>
      </c>
      <c r="K735" s="16" t="str" cm="1">
        <f t="array" ref="K735">IF($A735="","",IFERROR((SUMPRODUCT((TRIM(tblDados[Mandante])=$A735)*tblDados[Primeira_Ocorrencia]*((tblDados[GM_M]+tblDados[GS_M])&gt;0.5))+SUMPRODUCT((TRIM(tblDados[Visitante])=$A735)*tblDados[Primeira_Ocorrencia]*((tblDados[GM_V]+tblDados[GS_V])&gt;0.5)))/G735,0))</f>
        <v/>
      </c>
      <c r="L735" s="16" t="str" cm="1">
        <f t="array" ref="L735">IF($A735="","",IFERROR((SUMPRODUCT((TRIM(tblDados[Mandante])=$A735)*tblDados[Primeira_Ocorrencia]*((tblDados[GM_M]+tblDados[GS_M])&gt;1.5))+SUMPRODUCT((TRIM(tblDados[Visitante])=$A735)*tblDados[Primeira_Ocorrencia]*((tblDados[GM_V]+tblDados[GS_V])&gt;1.5)))/G735,0))</f>
        <v/>
      </c>
      <c r="M735" s="16" t="str" cm="1">
        <f t="array" ref="M735">IF($A735="","",IFERROR((SUMPRODUCT((TRIM(tblDados[Mandante])=$A735)*tblDados[Primeira_Ocorrencia]*((tblDados[GM_M]+tblDados[GS_M])&gt;2.5))+SUMPRODUCT((TRIM(tblDados[Visitante])=$A735)*tblDados[Primeira_Ocorrencia]*((tblDados[GM_V]+tblDados[GS_V])&gt;2.5)))/G735,0))</f>
        <v/>
      </c>
      <c r="N735" s="16" t="str" cm="1">
        <f t="array" ref="N735">IF($A735="","",IFERROR((SUMPRODUCT((TRIM(tblDados[Mandante])=$A735)*tblDados[Primeira_Ocorrencia]*((tblDados[GM_M]+tblDados[GS_M])&gt;3.5))+SUMPRODUCT((TRIM(tblDados[Visitante])=$A735)*tblDados[Primeira_Ocorrencia]*((tblDados[GM_V]+tblDados[GS_V])&gt;3.5)))/G735,0))</f>
        <v/>
      </c>
      <c r="O735" s="16" t="str" cm="1">
        <f t="array" ref="O735">IF($A735="","",IFERROR((SUMPRODUCT((TRIM(tblDados[Mandante])=$A735)*tblDados[Primeira_Ocorrencia]*(tblDados[GM_M]&gt;0)*(tblDados[GS_M]&gt;0))+SUMPRODUCT((TRIM(tblDados[Visitante])=$A735)*tblDados[Primeira_Ocorrencia]*(tblDados[GM_V]&gt;0)*(tblDados[GS_V]&gt;0)))/G735,0))</f>
        <v/>
      </c>
      <c r="P735" s="14" t="str" cm="1">
        <f t="array" ref="P735">IF($A735="","",IFERROR((SUMPRODUCT((TRIM(tblDados[Mandante])=$A735)*tblDados[Primeira_Ocorrencia]*tblDados[GM_M]^2)+SUMPRODUCT((TRIM(tblDados[Visitante])=$A735)*tblDados[Primeira_Ocorrencia]*tblDados[GM_V]^2))/G735-H735^2,0))</f>
        <v/>
      </c>
      <c r="Q735" s="14" t="str">
        <f t="shared" si="200"/>
        <v/>
      </c>
      <c r="R735" s="1" t="str">
        <f t="shared" si="201"/>
        <v/>
      </c>
      <c r="S735" s="14" t="str" cm="1">
        <f t="array" ref="S735">IF($A735="","",SUMPRODUCT((TRIM(tblDados[Mandante])=$A735)*tblDados[Primeira_Ocorrencia]*tblDados[GM_M]))</f>
        <v/>
      </c>
      <c r="T735" s="14" t="str" cm="1">
        <f t="array" ref="T735">IF($A735="","",SUMPRODUCT((TRIM(tblDados[Visitante])=$A735)*tblDados[Primeira_Ocorrencia]*tblDados[GM_V]))</f>
        <v/>
      </c>
      <c r="U735" s="14" t="str">
        <f t="shared" si="202"/>
        <v/>
      </c>
      <c r="V735" s="14" t="str">
        <f t="shared" si="191"/>
        <v/>
      </c>
      <c r="W735" s="14" t="str" cm="1">
        <f t="array" ref="W735">IF($A735="","",SUMPRODUCT((TRIM(tblDados[Mandante])=$A735)*tblDados[Primeira_Ocorrencia]*tblDados[GS_M]))</f>
        <v/>
      </c>
      <c r="X735" s="14" t="str" cm="1">
        <f t="array" ref="X735">IF($A735="","",SUMPRODUCT((TRIM(tblDados[Visitante])=$A735)*tblDados[Primeira_Ocorrencia]*tblDados[GS_V]))</f>
        <v/>
      </c>
      <c r="Y735" s="14" t="str">
        <f t="shared" si="203"/>
        <v/>
      </c>
      <c r="Z735" s="14" t="str">
        <f t="shared" si="192"/>
        <v/>
      </c>
      <c r="AA735" s="14" t="str">
        <f t="shared" si="193"/>
        <v/>
      </c>
      <c r="AB735" s="14" t="str">
        <f t="shared" si="194"/>
        <v/>
      </c>
      <c r="AC735" s="14" t="str">
        <f t="shared" si="195"/>
        <v/>
      </c>
      <c r="AD735" s="14" t="str">
        <f t="shared" si="196"/>
        <v/>
      </c>
    </row>
    <row r="736" spans="2:30" x14ac:dyDescent="0.3">
      <c r="B736" s="13" t="str" cm="1">
        <f t="array" ref="B736">IF($A736="","",_xlfn.LET(_xlpm.p,IFERROR(INDEX(tblDados[País],MATCH($A736,TRIM(tblDados[Mandante]),0)),INDEX(tblDados[País],MATCH($A736,TRIM(tblDados[Visitante]),0))),_xlpm.l,IFERROR(INDEX(tblDados[Liga],MATCH($A736,TRIM(tblDados[Mandante]),0)),INDEX(tblDados[Liga],MATCH($A736,TRIM(tblDados[Visitante]),0))),_xlpm.p&amp;" - "&amp;_xlpm.l))</f>
        <v/>
      </c>
      <c r="C736" s="14" t="str">
        <f t="shared" si="197"/>
        <v/>
      </c>
      <c r="D736" s="14" t="str">
        <f t="shared" si="198"/>
        <v/>
      </c>
      <c r="E736" s="15" t="str" cm="1">
        <f t="array" ref="E736">IF($A736="","",SUMPRODUCT((TRIM(tblDados[Mandante])=$A736)*tblDados[Primeira_Ocorrencia]))</f>
        <v/>
      </c>
      <c r="F736" s="15" t="str" cm="1">
        <f t="array" ref="F736">IF($A736="","",SUMPRODUCT((TRIM(tblDados[Visitante])=$A736)*tblDados[Primeira_Ocorrencia]))</f>
        <v/>
      </c>
      <c r="G736" s="15" t="str" cm="1">
        <f t="array" ref="G736">IF($A736="","",SUMPRODUCT((TRIM(tblDados[Mandante])=$A736)*tblDados[Primeira_Ocorrencia])+SUMPRODUCT((TRIM(tblDados[Visitante])=$A736)*tblDados[Primeira_Ocorrencia]))</f>
        <v/>
      </c>
      <c r="H736" s="14" t="str">
        <f t="shared" si="199"/>
        <v/>
      </c>
      <c r="I736" s="14" t="str" cm="1">
        <f t="array" ref="I736">IF($A736="","",_xlfn.LET(_xlpm.p,IFERROR(INDEX(tblDados[País],MATCH($A736,TRIM(tblDados[Mandante]),0)),INDEX(tblDados[País],MATCH($A736,TRIM(tblDados[Visitante]),0))),_xlpm.l,IFERROR(INDEX(tblDados[Liga],MATCH($A736,TRIM(tblDados[Mandante]),0)),INDEX(tblDados[Liga],MATCH($A736,TRIM(tblDados[Visitante]),0))),IFERROR(SUMIFS(Ligas!$D$2:$D$39,Ligas!$H$2:$H$39,_xlpm.p,Ligas!$I$2:$I$39,_xlpm.l),0)))</f>
        <v/>
      </c>
      <c r="J736" s="16" t="str" cm="1">
        <f t="array" ref="J736">IF($A736="","",IFERROR((SUMPRODUCT((TRIM(tblDados[Mandante])=$A736)*tblDados[Primeira_Ocorrencia]*(tblDados[GM_M]=0))+SUMPRODUCT((TRIM(tblDados[Visitante])=$A736)*tblDados[Primeira_Ocorrencia]*(tblDados[GM_V]=0)))/G736,0))</f>
        <v/>
      </c>
      <c r="K736" s="16" t="str" cm="1">
        <f t="array" ref="K736">IF($A736="","",IFERROR((SUMPRODUCT((TRIM(tblDados[Mandante])=$A736)*tblDados[Primeira_Ocorrencia]*((tblDados[GM_M]+tblDados[GS_M])&gt;0.5))+SUMPRODUCT((TRIM(tblDados[Visitante])=$A736)*tblDados[Primeira_Ocorrencia]*((tblDados[GM_V]+tblDados[GS_V])&gt;0.5)))/G736,0))</f>
        <v/>
      </c>
      <c r="L736" s="16" t="str" cm="1">
        <f t="array" ref="L736">IF($A736="","",IFERROR((SUMPRODUCT((TRIM(tblDados[Mandante])=$A736)*tblDados[Primeira_Ocorrencia]*((tblDados[GM_M]+tblDados[GS_M])&gt;1.5))+SUMPRODUCT((TRIM(tblDados[Visitante])=$A736)*tblDados[Primeira_Ocorrencia]*((tblDados[GM_V]+tblDados[GS_V])&gt;1.5)))/G736,0))</f>
        <v/>
      </c>
      <c r="M736" s="16" t="str" cm="1">
        <f t="array" ref="M736">IF($A736="","",IFERROR((SUMPRODUCT((TRIM(tblDados[Mandante])=$A736)*tblDados[Primeira_Ocorrencia]*((tblDados[GM_M]+tblDados[GS_M])&gt;2.5))+SUMPRODUCT((TRIM(tblDados[Visitante])=$A736)*tblDados[Primeira_Ocorrencia]*((tblDados[GM_V]+tblDados[GS_V])&gt;2.5)))/G736,0))</f>
        <v/>
      </c>
      <c r="N736" s="16" t="str" cm="1">
        <f t="array" ref="N736">IF($A736="","",IFERROR((SUMPRODUCT((TRIM(tblDados[Mandante])=$A736)*tblDados[Primeira_Ocorrencia]*((tblDados[GM_M]+tblDados[GS_M])&gt;3.5))+SUMPRODUCT((TRIM(tblDados[Visitante])=$A736)*tblDados[Primeira_Ocorrencia]*((tblDados[GM_V]+tblDados[GS_V])&gt;3.5)))/G736,0))</f>
        <v/>
      </c>
      <c r="O736" s="16" t="str" cm="1">
        <f t="array" ref="O736">IF($A736="","",IFERROR((SUMPRODUCT((TRIM(tblDados[Mandante])=$A736)*tblDados[Primeira_Ocorrencia]*(tblDados[GM_M]&gt;0)*(tblDados[GS_M]&gt;0))+SUMPRODUCT((TRIM(tblDados[Visitante])=$A736)*tblDados[Primeira_Ocorrencia]*(tblDados[GM_V]&gt;0)*(tblDados[GS_V]&gt;0)))/G736,0))</f>
        <v/>
      </c>
      <c r="P736" s="14" t="str" cm="1">
        <f t="array" ref="P736">IF($A736="","",IFERROR((SUMPRODUCT((TRIM(tblDados[Mandante])=$A736)*tblDados[Primeira_Ocorrencia]*tblDados[GM_M]^2)+SUMPRODUCT((TRIM(tblDados[Visitante])=$A736)*tblDados[Primeira_Ocorrencia]*tblDados[GM_V]^2))/G736-H736^2,0))</f>
        <v/>
      </c>
      <c r="Q736" s="14" t="str">
        <f t="shared" si="200"/>
        <v/>
      </c>
      <c r="R736" s="1" t="str">
        <f t="shared" si="201"/>
        <v/>
      </c>
      <c r="S736" s="14" t="str" cm="1">
        <f t="array" ref="S736">IF($A736="","",SUMPRODUCT((TRIM(tblDados[Mandante])=$A736)*tblDados[Primeira_Ocorrencia]*tblDados[GM_M]))</f>
        <v/>
      </c>
      <c r="T736" s="14" t="str" cm="1">
        <f t="array" ref="T736">IF($A736="","",SUMPRODUCT((TRIM(tblDados[Visitante])=$A736)*tblDados[Primeira_Ocorrencia]*tblDados[GM_V]))</f>
        <v/>
      </c>
      <c r="U736" s="14" t="str">
        <f t="shared" si="202"/>
        <v/>
      </c>
      <c r="V736" s="14" t="str">
        <f t="shared" si="191"/>
        <v/>
      </c>
      <c r="W736" s="14" t="str" cm="1">
        <f t="array" ref="W736">IF($A736="","",SUMPRODUCT((TRIM(tblDados[Mandante])=$A736)*tblDados[Primeira_Ocorrencia]*tblDados[GS_M]))</f>
        <v/>
      </c>
      <c r="X736" s="14" t="str" cm="1">
        <f t="array" ref="X736">IF($A736="","",SUMPRODUCT((TRIM(tblDados[Visitante])=$A736)*tblDados[Primeira_Ocorrencia]*tblDados[GS_V]))</f>
        <v/>
      </c>
      <c r="Y736" s="14" t="str">
        <f t="shared" si="203"/>
        <v/>
      </c>
      <c r="Z736" s="14" t="str">
        <f t="shared" si="192"/>
        <v/>
      </c>
      <c r="AA736" s="14" t="str">
        <f t="shared" si="193"/>
        <v/>
      </c>
      <c r="AB736" s="14" t="str">
        <f t="shared" si="194"/>
        <v/>
      </c>
      <c r="AC736" s="14" t="str">
        <f t="shared" si="195"/>
        <v/>
      </c>
      <c r="AD736" s="14" t="str">
        <f t="shared" si="196"/>
        <v/>
      </c>
    </row>
    <row r="737" spans="2:30" x14ac:dyDescent="0.3">
      <c r="B737" s="13" t="str" cm="1">
        <f t="array" ref="B737">IF($A737="","",_xlfn.LET(_xlpm.p,IFERROR(INDEX(tblDados[País],MATCH($A737,TRIM(tblDados[Mandante]),0)),INDEX(tblDados[País],MATCH($A737,TRIM(tblDados[Visitante]),0))),_xlpm.l,IFERROR(INDEX(tblDados[Liga],MATCH($A737,TRIM(tblDados[Mandante]),0)),INDEX(tblDados[Liga],MATCH($A737,TRIM(tblDados[Visitante]),0))),_xlpm.p&amp;" - "&amp;_xlpm.l))</f>
        <v/>
      </c>
      <c r="C737" s="14" t="str">
        <f t="shared" si="197"/>
        <v/>
      </c>
      <c r="D737" s="14" t="str">
        <f t="shared" si="198"/>
        <v/>
      </c>
      <c r="E737" s="15" t="str" cm="1">
        <f t="array" ref="E737">IF($A737="","",SUMPRODUCT((TRIM(tblDados[Mandante])=$A737)*tblDados[Primeira_Ocorrencia]))</f>
        <v/>
      </c>
      <c r="F737" s="15" t="str" cm="1">
        <f t="array" ref="F737">IF($A737="","",SUMPRODUCT((TRIM(tblDados[Visitante])=$A737)*tblDados[Primeira_Ocorrencia]))</f>
        <v/>
      </c>
      <c r="G737" s="15" t="str" cm="1">
        <f t="array" ref="G737">IF($A737="","",SUMPRODUCT((TRIM(tblDados[Mandante])=$A737)*tblDados[Primeira_Ocorrencia])+SUMPRODUCT((TRIM(tblDados[Visitante])=$A737)*tblDados[Primeira_Ocorrencia]))</f>
        <v/>
      </c>
      <c r="H737" s="14" t="str">
        <f t="shared" si="199"/>
        <v/>
      </c>
      <c r="I737" s="14" t="str" cm="1">
        <f t="array" ref="I737">IF($A737="","",_xlfn.LET(_xlpm.p,IFERROR(INDEX(tblDados[País],MATCH($A737,TRIM(tblDados[Mandante]),0)),INDEX(tblDados[País],MATCH($A737,TRIM(tblDados[Visitante]),0))),_xlpm.l,IFERROR(INDEX(tblDados[Liga],MATCH($A737,TRIM(tblDados[Mandante]),0)),INDEX(tblDados[Liga],MATCH($A737,TRIM(tblDados[Visitante]),0))),IFERROR(SUMIFS(Ligas!$D$2:$D$39,Ligas!$H$2:$H$39,_xlpm.p,Ligas!$I$2:$I$39,_xlpm.l),0)))</f>
        <v/>
      </c>
      <c r="J737" s="16" t="str" cm="1">
        <f t="array" ref="J737">IF($A737="","",IFERROR((SUMPRODUCT((TRIM(tblDados[Mandante])=$A737)*tblDados[Primeira_Ocorrencia]*(tblDados[GM_M]=0))+SUMPRODUCT((TRIM(tblDados[Visitante])=$A737)*tblDados[Primeira_Ocorrencia]*(tblDados[GM_V]=0)))/G737,0))</f>
        <v/>
      </c>
      <c r="K737" s="16" t="str" cm="1">
        <f t="array" ref="K737">IF($A737="","",IFERROR((SUMPRODUCT((TRIM(tblDados[Mandante])=$A737)*tblDados[Primeira_Ocorrencia]*((tblDados[GM_M]+tblDados[GS_M])&gt;0.5))+SUMPRODUCT((TRIM(tblDados[Visitante])=$A737)*tblDados[Primeira_Ocorrencia]*((tblDados[GM_V]+tblDados[GS_V])&gt;0.5)))/G737,0))</f>
        <v/>
      </c>
      <c r="L737" s="16" t="str" cm="1">
        <f t="array" ref="L737">IF($A737="","",IFERROR((SUMPRODUCT((TRIM(tblDados[Mandante])=$A737)*tblDados[Primeira_Ocorrencia]*((tblDados[GM_M]+tblDados[GS_M])&gt;1.5))+SUMPRODUCT((TRIM(tblDados[Visitante])=$A737)*tblDados[Primeira_Ocorrencia]*((tblDados[GM_V]+tblDados[GS_V])&gt;1.5)))/G737,0))</f>
        <v/>
      </c>
      <c r="M737" s="16" t="str" cm="1">
        <f t="array" ref="M737">IF($A737="","",IFERROR((SUMPRODUCT((TRIM(tblDados[Mandante])=$A737)*tblDados[Primeira_Ocorrencia]*((tblDados[GM_M]+tblDados[GS_M])&gt;2.5))+SUMPRODUCT((TRIM(tblDados[Visitante])=$A737)*tblDados[Primeira_Ocorrencia]*((tblDados[GM_V]+tblDados[GS_V])&gt;2.5)))/G737,0))</f>
        <v/>
      </c>
      <c r="N737" s="16" t="str" cm="1">
        <f t="array" ref="N737">IF($A737="","",IFERROR((SUMPRODUCT((TRIM(tblDados[Mandante])=$A737)*tblDados[Primeira_Ocorrencia]*((tblDados[GM_M]+tblDados[GS_M])&gt;3.5))+SUMPRODUCT((TRIM(tblDados[Visitante])=$A737)*tblDados[Primeira_Ocorrencia]*((tblDados[GM_V]+tblDados[GS_V])&gt;3.5)))/G737,0))</f>
        <v/>
      </c>
      <c r="O737" s="16" t="str" cm="1">
        <f t="array" ref="O737">IF($A737="","",IFERROR((SUMPRODUCT((TRIM(tblDados[Mandante])=$A737)*tblDados[Primeira_Ocorrencia]*(tblDados[GM_M]&gt;0)*(tblDados[GS_M]&gt;0))+SUMPRODUCT((TRIM(tblDados[Visitante])=$A737)*tblDados[Primeira_Ocorrencia]*(tblDados[GM_V]&gt;0)*(tblDados[GS_V]&gt;0)))/G737,0))</f>
        <v/>
      </c>
      <c r="P737" s="14" t="str" cm="1">
        <f t="array" ref="P737">IF($A737="","",IFERROR((SUMPRODUCT((TRIM(tblDados[Mandante])=$A737)*tblDados[Primeira_Ocorrencia]*tblDados[GM_M]^2)+SUMPRODUCT((TRIM(tblDados[Visitante])=$A737)*tblDados[Primeira_Ocorrencia]*tblDados[GM_V]^2))/G737-H737^2,0))</f>
        <v/>
      </c>
      <c r="Q737" s="14" t="str">
        <f t="shared" si="200"/>
        <v/>
      </c>
      <c r="R737" s="1" t="str">
        <f t="shared" si="201"/>
        <v/>
      </c>
      <c r="S737" s="14" t="str" cm="1">
        <f t="array" ref="S737">IF($A737="","",SUMPRODUCT((TRIM(tblDados[Mandante])=$A737)*tblDados[Primeira_Ocorrencia]*tblDados[GM_M]))</f>
        <v/>
      </c>
      <c r="T737" s="14" t="str" cm="1">
        <f t="array" ref="T737">IF($A737="","",SUMPRODUCT((TRIM(tblDados[Visitante])=$A737)*tblDados[Primeira_Ocorrencia]*tblDados[GM_V]))</f>
        <v/>
      </c>
      <c r="U737" s="14" t="str">
        <f t="shared" si="202"/>
        <v/>
      </c>
      <c r="V737" s="14" t="str">
        <f t="shared" si="191"/>
        <v/>
      </c>
      <c r="W737" s="14" t="str" cm="1">
        <f t="array" ref="W737">IF($A737="","",SUMPRODUCT((TRIM(tblDados[Mandante])=$A737)*tblDados[Primeira_Ocorrencia]*tblDados[GS_M]))</f>
        <v/>
      </c>
      <c r="X737" s="14" t="str" cm="1">
        <f t="array" ref="X737">IF($A737="","",SUMPRODUCT((TRIM(tblDados[Visitante])=$A737)*tblDados[Primeira_Ocorrencia]*tblDados[GS_V]))</f>
        <v/>
      </c>
      <c r="Y737" s="14" t="str">
        <f t="shared" si="203"/>
        <v/>
      </c>
      <c r="Z737" s="14" t="str">
        <f t="shared" si="192"/>
        <v/>
      </c>
      <c r="AA737" s="14" t="str">
        <f t="shared" si="193"/>
        <v/>
      </c>
      <c r="AB737" s="14" t="str">
        <f t="shared" si="194"/>
        <v/>
      </c>
      <c r="AC737" s="14" t="str">
        <f t="shared" si="195"/>
        <v/>
      </c>
      <c r="AD737" s="14" t="str">
        <f t="shared" si="196"/>
        <v/>
      </c>
    </row>
    <row r="738" spans="2:30" x14ac:dyDescent="0.3">
      <c r="B738" s="13" t="str" cm="1">
        <f t="array" ref="B738">IF($A738="","",_xlfn.LET(_xlpm.p,IFERROR(INDEX(tblDados[País],MATCH($A738,TRIM(tblDados[Mandante]),0)),INDEX(tblDados[País],MATCH($A738,TRIM(tblDados[Visitante]),0))),_xlpm.l,IFERROR(INDEX(tblDados[Liga],MATCH($A738,TRIM(tblDados[Mandante]),0)),INDEX(tblDados[Liga],MATCH($A738,TRIM(tblDados[Visitante]),0))),_xlpm.p&amp;" - "&amp;_xlpm.l))</f>
        <v/>
      </c>
      <c r="C738" s="14" t="str">
        <f t="shared" si="197"/>
        <v/>
      </c>
      <c r="D738" s="14" t="str">
        <f t="shared" si="198"/>
        <v/>
      </c>
      <c r="E738" s="15" t="str" cm="1">
        <f t="array" ref="E738">IF($A738="","",SUMPRODUCT((TRIM(tblDados[Mandante])=$A738)*tblDados[Primeira_Ocorrencia]))</f>
        <v/>
      </c>
      <c r="F738" s="15" t="str" cm="1">
        <f t="array" ref="F738">IF($A738="","",SUMPRODUCT((TRIM(tblDados[Visitante])=$A738)*tblDados[Primeira_Ocorrencia]))</f>
        <v/>
      </c>
      <c r="G738" s="15" t="str" cm="1">
        <f t="array" ref="G738">IF($A738="","",SUMPRODUCT((TRIM(tblDados[Mandante])=$A738)*tblDados[Primeira_Ocorrencia])+SUMPRODUCT((TRIM(tblDados[Visitante])=$A738)*tblDados[Primeira_Ocorrencia]))</f>
        <v/>
      </c>
      <c r="H738" s="14" t="str">
        <f t="shared" si="199"/>
        <v/>
      </c>
      <c r="I738" s="14" t="str" cm="1">
        <f t="array" ref="I738">IF($A738="","",_xlfn.LET(_xlpm.p,IFERROR(INDEX(tblDados[País],MATCH($A738,TRIM(tblDados[Mandante]),0)),INDEX(tblDados[País],MATCH($A738,TRIM(tblDados[Visitante]),0))),_xlpm.l,IFERROR(INDEX(tblDados[Liga],MATCH($A738,TRIM(tblDados[Mandante]),0)),INDEX(tblDados[Liga],MATCH($A738,TRIM(tblDados[Visitante]),0))),IFERROR(SUMIFS(Ligas!$D$2:$D$39,Ligas!$H$2:$H$39,_xlpm.p,Ligas!$I$2:$I$39,_xlpm.l),0)))</f>
        <v/>
      </c>
      <c r="J738" s="16" t="str" cm="1">
        <f t="array" ref="J738">IF($A738="","",IFERROR((SUMPRODUCT((TRIM(tblDados[Mandante])=$A738)*tblDados[Primeira_Ocorrencia]*(tblDados[GM_M]=0))+SUMPRODUCT((TRIM(tblDados[Visitante])=$A738)*tblDados[Primeira_Ocorrencia]*(tblDados[GM_V]=0)))/G738,0))</f>
        <v/>
      </c>
      <c r="K738" s="16" t="str" cm="1">
        <f t="array" ref="K738">IF($A738="","",IFERROR((SUMPRODUCT((TRIM(tblDados[Mandante])=$A738)*tblDados[Primeira_Ocorrencia]*((tblDados[GM_M]+tblDados[GS_M])&gt;0.5))+SUMPRODUCT((TRIM(tblDados[Visitante])=$A738)*tblDados[Primeira_Ocorrencia]*((tblDados[GM_V]+tblDados[GS_V])&gt;0.5)))/G738,0))</f>
        <v/>
      </c>
      <c r="L738" s="16" t="str" cm="1">
        <f t="array" ref="L738">IF($A738="","",IFERROR((SUMPRODUCT((TRIM(tblDados[Mandante])=$A738)*tblDados[Primeira_Ocorrencia]*((tblDados[GM_M]+tblDados[GS_M])&gt;1.5))+SUMPRODUCT((TRIM(tblDados[Visitante])=$A738)*tblDados[Primeira_Ocorrencia]*((tblDados[GM_V]+tblDados[GS_V])&gt;1.5)))/G738,0))</f>
        <v/>
      </c>
      <c r="M738" s="16" t="str" cm="1">
        <f t="array" ref="M738">IF($A738="","",IFERROR((SUMPRODUCT((TRIM(tblDados[Mandante])=$A738)*tblDados[Primeira_Ocorrencia]*((tblDados[GM_M]+tblDados[GS_M])&gt;2.5))+SUMPRODUCT((TRIM(tblDados[Visitante])=$A738)*tblDados[Primeira_Ocorrencia]*((tblDados[GM_V]+tblDados[GS_V])&gt;2.5)))/G738,0))</f>
        <v/>
      </c>
      <c r="N738" s="16" t="str" cm="1">
        <f t="array" ref="N738">IF($A738="","",IFERROR((SUMPRODUCT((TRIM(tblDados[Mandante])=$A738)*tblDados[Primeira_Ocorrencia]*((tblDados[GM_M]+tblDados[GS_M])&gt;3.5))+SUMPRODUCT((TRIM(tblDados[Visitante])=$A738)*tblDados[Primeira_Ocorrencia]*((tblDados[GM_V]+tblDados[GS_V])&gt;3.5)))/G738,0))</f>
        <v/>
      </c>
      <c r="O738" s="16" t="str" cm="1">
        <f t="array" ref="O738">IF($A738="","",IFERROR((SUMPRODUCT((TRIM(tblDados[Mandante])=$A738)*tblDados[Primeira_Ocorrencia]*(tblDados[GM_M]&gt;0)*(tblDados[GS_M]&gt;0))+SUMPRODUCT((TRIM(tblDados[Visitante])=$A738)*tblDados[Primeira_Ocorrencia]*(tblDados[GM_V]&gt;0)*(tblDados[GS_V]&gt;0)))/G738,0))</f>
        <v/>
      </c>
      <c r="P738" s="14" t="str" cm="1">
        <f t="array" ref="P738">IF($A738="","",IFERROR((SUMPRODUCT((TRIM(tblDados[Mandante])=$A738)*tblDados[Primeira_Ocorrencia]*tblDados[GM_M]^2)+SUMPRODUCT((TRIM(tblDados[Visitante])=$A738)*tblDados[Primeira_Ocorrencia]*tblDados[GM_V]^2))/G738-H738^2,0))</f>
        <v/>
      </c>
      <c r="Q738" s="14" t="str">
        <f t="shared" si="200"/>
        <v/>
      </c>
      <c r="R738" s="1" t="str">
        <f t="shared" si="201"/>
        <v/>
      </c>
      <c r="S738" s="14" t="str" cm="1">
        <f t="array" ref="S738">IF($A738="","",SUMPRODUCT((TRIM(tblDados[Mandante])=$A738)*tblDados[Primeira_Ocorrencia]*tblDados[GM_M]))</f>
        <v/>
      </c>
      <c r="T738" s="14" t="str" cm="1">
        <f t="array" ref="T738">IF($A738="","",SUMPRODUCT((TRIM(tblDados[Visitante])=$A738)*tblDados[Primeira_Ocorrencia]*tblDados[GM_V]))</f>
        <v/>
      </c>
      <c r="U738" s="14" t="str">
        <f t="shared" si="202"/>
        <v/>
      </c>
      <c r="V738" s="14" t="str">
        <f t="shared" si="191"/>
        <v/>
      </c>
      <c r="W738" s="14" t="str" cm="1">
        <f t="array" ref="W738">IF($A738="","",SUMPRODUCT((TRIM(tblDados[Mandante])=$A738)*tblDados[Primeira_Ocorrencia]*tblDados[GS_M]))</f>
        <v/>
      </c>
      <c r="X738" s="14" t="str" cm="1">
        <f t="array" ref="X738">IF($A738="","",SUMPRODUCT((TRIM(tblDados[Visitante])=$A738)*tblDados[Primeira_Ocorrencia]*tblDados[GS_V]))</f>
        <v/>
      </c>
      <c r="Y738" s="14" t="str">
        <f t="shared" si="203"/>
        <v/>
      </c>
      <c r="Z738" s="14" t="str">
        <f t="shared" si="192"/>
        <v/>
      </c>
      <c r="AA738" s="14" t="str">
        <f t="shared" si="193"/>
        <v/>
      </c>
      <c r="AB738" s="14" t="str">
        <f t="shared" si="194"/>
        <v/>
      </c>
      <c r="AC738" s="14" t="str">
        <f t="shared" si="195"/>
        <v/>
      </c>
      <c r="AD738" s="14" t="str">
        <f t="shared" si="196"/>
        <v/>
      </c>
    </row>
    <row r="739" spans="2:30" x14ac:dyDescent="0.3">
      <c r="B739" s="13" t="str" cm="1">
        <f t="array" ref="B739">IF($A739="","",_xlfn.LET(_xlpm.p,IFERROR(INDEX(tblDados[País],MATCH($A739,TRIM(tblDados[Mandante]),0)),INDEX(tblDados[País],MATCH($A739,TRIM(tblDados[Visitante]),0))),_xlpm.l,IFERROR(INDEX(tblDados[Liga],MATCH($A739,TRIM(tblDados[Mandante]),0)),INDEX(tblDados[Liga],MATCH($A739,TRIM(tblDados[Visitante]),0))),_xlpm.p&amp;" - "&amp;_xlpm.l))</f>
        <v/>
      </c>
      <c r="C739" s="14" t="str">
        <f t="shared" si="197"/>
        <v/>
      </c>
      <c r="D739" s="14" t="str">
        <f t="shared" si="198"/>
        <v/>
      </c>
      <c r="E739" s="15" t="str" cm="1">
        <f t="array" ref="E739">IF($A739="","",SUMPRODUCT((TRIM(tblDados[Mandante])=$A739)*tblDados[Primeira_Ocorrencia]))</f>
        <v/>
      </c>
      <c r="F739" s="15" t="str" cm="1">
        <f t="array" ref="F739">IF($A739="","",SUMPRODUCT((TRIM(tblDados[Visitante])=$A739)*tblDados[Primeira_Ocorrencia]))</f>
        <v/>
      </c>
      <c r="G739" s="15" t="str" cm="1">
        <f t="array" ref="G739">IF($A739="","",SUMPRODUCT((TRIM(tblDados[Mandante])=$A739)*tblDados[Primeira_Ocorrencia])+SUMPRODUCT((TRIM(tblDados[Visitante])=$A739)*tblDados[Primeira_Ocorrencia]))</f>
        <v/>
      </c>
      <c r="H739" s="14" t="str">
        <f t="shared" si="199"/>
        <v/>
      </c>
      <c r="I739" s="14" t="str" cm="1">
        <f t="array" ref="I739">IF($A739="","",_xlfn.LET(_xlpm.p,IFERROR(INDEX(tblDados[País],MATCH($A739,TRIM(tblDados[Mandante]),0)),INDEX(tblDados[País],MATCH($A739,TRIM(tblDados[Visitante]),0))),_xlpm.l,IFERROR(INDEX(tblDados[Liga],MATCH($A739,TRIM(tblDados[Mandante]),0)),INDEX(tblDados[Liga],MATCH($A739,TRIM(tblDados[Visitante]),0))),IFERROR(SUMIFS(Ligas!$D$2:$D$39,Ligas!$H$2:$H$39,_xlpm.p,Ligas!$I$2:$I$39,_xlpm.l),0)))</f>
        <v/>
      </c>
      <c r="J739" s="16" t="str" cm="1">
        <f t="array" ref="J739">IF($A739="","",IFERROR((SUMPRODUCT((TRIM(tblDados[Mandante])=$A739)*tblDados[Primeira_Ocorrencia]*(tblDados[GM_M]=0))+SUMPRODUCT((TRIM(tblDados[Visitante])=$A739)*tblDados[Primeira_Ocorrencia]*(tblDados[GM_V]=0)))/G739,0))</f>
        <v/>
      </c>
      <c r="K739" s="16" t="str" cm="1">
        <f t="array" ref="K739">IF($A739="","",IFERROR((SUMPRODUCT((TRIM(tblDados[Mandante])=$A739)*tblDados[Primeira_Ocorrencia]*((tblDados[GM_M]+tblDados[GS_M])&gt;0.5))+SUMPRODUCT((TRIM(tblDados[Visitante])=$A739)*tblDados[Primeira_Ocorrencia]*((tblDados[GM_V]+tblDados[GS_V])&gt;0.5)))/G739,0))</f>
        <v/>
      </c>
      <c r="L739" s="16" t="str" cm="1">
        <f t="array" ref="L739">IF($A739="","",IFERROR((SUMPRODUCT((TRIM(tblDados[Mandante])=$A739)*tblDados[Primeira_Ocorrencia]*((tblDados[GM_M]+tblDados[GS_M])&gt;1.5))+SUMPRODUCT((TRIM(tblDados[Visitante])=$A739)*tblDados[Primeira_Ocorrencia]*((tblDados[GM_V]+tblDados[GS_V])&gt;1.5)))/G739,0))</f>
        <v/>
      </c>
      <c r="M739" s="16" t="str" cm="1">
        <f t="array" ref="M739">IF($A739="","",IFERROR((SUMPRODUCT((TRIM(tblDados[Mandante])=$A739)*tblDados[Primeira_Ocorrencia]*((tblDados[GM_M]+tblDados[GS_M])&gt;2.5))+SUMPRODUCT((TRIM(tblDados[Visitante])=$A739)*tblDados[Primeira_Ocorrencia]*((tblDados[GM_V]+tblDados[GS_V])&gt;2.5)))/G739,0))</f>
        <v/>
      </c>
      <c r="N739" s="16" t="str" cm="1">
        <f t="array" ref="N739">IF($A739="","",IFERROR((SUMPRODUCT((TRIM(tblDados[Mandante])=$A739)*tblDados[Primeira_Ocorrencia]*((tblDados[GM_M]+tblDados[GS_M])&gt;3.5))+SUMPRODUCT((TRIM(tblDados[Visitante])=$A739)*tblDados[Primeira_Ocorrencia]*((tblDados[GM_V]+tblDados[GS_V])&gt;3.5)))/G739,0))</f>
        <v/>
      </c>
      <c r="O739" s="16" t="str" cm="1">
        <f t="array" ref="O739">IF($A739="","",IFERROR((SUMPRODUCT((TRIM(tblDados[Mandante])=$A739)*tblDados[Primeira_Ocorrencia]*(tblDados[GM_M]&gt;0)*(tblDados[GS_M]&gt;0))+SUMPRODUCT((TRIM(tblDados[Visitante])=$A739)*tblDados[Primeira_Ocorrencia]*(tblDados[GM_V]&gt;0)*(tblDados[GS_V]&gt;0)))/G739,0))</f>
        <v/>
      </c>
      <c r="P739" s="14" t="str" cm="1">
        <f t="array" ref="P739">IF($A739="","",IFERROR((SUMPRODUCT((TRIM(tblDados[Mandante])=$A739)*tblDados[Primeira_Ocorrencia]*tblDados[GM_M]^2)+SUMPRODUCT((TRIM(tblDados[Visitante])=$A739)*tblDados[Primeira_Ocorrencia]*tblDados[GM_V]^2))/G739-H739^2,0))</f>
        <v/>
      </c>
      <c r="Q739" s="14" t="str">
        <f t="shared" si="200"/>
        <v/>
      </c>
      <c r="R739" s="1" t="str">
        <f t="shared" si="201"/>
        <v/>
      </c>
      <c r="S739" s="14" t="str" cm="1">
        <f t="array" ref="S739">IF($A739="","",SUMPRODUCT((TRIM(tblDados[Mandante])=$A739)*tblDados[Primeira_Ocorrencia]*tblDados[GM_M]))</f>
        <v/>
      </c>
      <c r="T739" s="14" t="str" cm="1">
        <f t="array" ref="T739">IF($A739="","",SUMPRODUCT((TRIM(tblDados[Visitante])=$A739)*tblDados[Primeira_Ocorrencia]*tblDados[GM_V]))</f>
        <v/>
      </c>
      <c r="U739" s="14" t="str">
        <f t="shared" si="202"/>
        <v/>
      </c>
      <c r="V739" s="14" t="str">
        <f t="shared" si="191"/>
        <v/>
      </c>
      <c r="W739" s="14" t="str" cm="1">
        <f t="array" ref="W739">IF($A739="","",SUMPRODUCT((TRIM(tblDados[Mandante])=$A739)*tblDados[Primeira_Ocorrencia]*tblDados[GS_M]))</f>
        <v/>
      </c>
      <c r="X739" s="14" t="str" cm="1">
        <f t="array" ref="X739">IF($A739="","",SUMPRODUCT((TRIM(tblDados[Visitante])=$A739)*tblDados[Primeira_Ocorrencia]*tblDados[GS_V]))</f>
        <v/>
      </c>
      <c r="Y739" s="14" t="str">
        <f t="shared" si="203"/>
        <v/>
      </c>
      <c r="Z739" s="14" t="str">
        <f t="shared" si="192"/>
        <v/>
      </c>
      <c r="AA739" s="14" t="str">
        <f t="shared" si="193"/>
        <v/>
      </c>
      <c r="AB739" s="14" t="str">
        <f t="shared" si="194"/>
        <v/>
      </c>
      <c r="AC739" s="14" t="str">
        <f t="shared" si="195"/>
        <v/>
      </c>
      <c r="AD739" s="14" t="str">
        <f t="shared" si="196"/>
        <v/>
      </c>
    </row>
    <row r="740" spans="2:30" x14ac:dyDescent="0.3">
      <c r="B740" s="13" t="str" cm="1">
        <f t="array" ref="B740">IF($A740="","",_xlfn.LET(_xlpm.p,IFERROR(INDEX(tblDados[País],MATCH($A740,TRIM(tblDados[Mandante]),0)),INDEX(tblDados[País],MATCH($A740,TRIM(tblDados[Visitante]),0))),_xlpm.l,IFERROR(INDEX(tblDados[Liga],MATCH($A740,TRIM(tblDados[Mandante]),0)),INDEX(tblDados[Liga],MATCH($A740,TRIM(tblDados[Visitante]),0))),_xlpm.p&amp;" - "&amp;_xlpm.l))</f>
        <v/>
      </c>
      <c r="C740" s="14" t="str">
        <f t="shared" si="197"/>
        <v/>
      </c>
      <c r="D740" s="14" t="str">
        <f t="shared" si="198"/>
        <v/>
      </c>
      <c r="E740" s="15" t="str" cm="1">
        <f t="array" ref="E740">IF($A740="","",SUMPRODUCT((TRIM(tblDados[Mandante])=$A740)*tblDados[Primeira_Ocorrencia]))</f>
        <v/>
      </c>
      <c r="F740" s="15" t="str" cm="1">
        <f t="array" ref="F740">IF($A740="","",SUMPRODUCT((TRIM(tblDados[Visitante])=$A740)*tblDados[Primeira_Ocorrencia]))</f>
        <v/>
      </c>
      <c r="G740" s="15" t="str" cm="1">
        <f t="array" ref="G740">IF($A740="","",SUMPRODUCT((TRIM(tblDados[Mandante])=$A740)*tblDados[Primeira_Ocorrencia])+SUMPRODUCT((TRIM(tblDados[Visitante])=$A740)*tblDados[Primeira_Ocorrencia]))</f>
        <v/>
      </c>
      <c r="H740" s="14" t="str">
        <f t="shared" si="199"/>
        <v/>
      </c>
      <c r="I740" s="14" t="str" cm="1">
        <f t="array" ref="I740">IF($A740="","",_xlfn.LET(_xlpm.p,IFERROR(INDEX(tblDados[País],MATCH($A740,TRIM(tblDados[Mandante]),0)),INDEX(tblDados[País],MATCH($A740,TRIM(tblDados[Visitante]),0))),_xlpm.l,IFERROR(INDEX(tblDados[Liga],MATCH($A740,TRIM(tblDados[Mandante]),0)),INDEX(tblDados[Liga],MATCH($A740,TRIM(tblDados[Visitante]),0))),IFERROR(SUMIFS(Ligas!$D$2:$D$39,Ligas!$H$2:$H$39,_xlpm.p,Ligas!$I$2:$I$39,_xlpm.l),0)))</f>
        <v/>
      </c>
      <c r="J740" s="16" t="str" cm="1">
        <f t="array" ref="J740">IF($A740="","",IFERROR((SUMPRODUCT((TRIM(tblDados[Mandante])=$A740)*tblDados[Primeira_Ocorrencia]*(tblDados[GM_M]=0))+SUMPRODUCT((TRIM(tblDados[Visitante])=$A740)*tblDados[Primeira_Ocorrencia]*(tblDados[GM_V]=0)))/G740,0))</f>
        <v/>
      </c>
      <c r="K740" s="16" t="str" cm="1">
        <f t="array" ref="K740">IF($A740="","",IFERROR((SUMPRODUCT((TRIM(tblDados[Mandante])=$A740)*tblDados[Primeira_Ocorrencia]*((tblDados[GM_M]+tblDados[GS_M])&gt;0.5))+SUMPRODUCT((TRIM(tblDados[Visitante])=$A740)*tblDados[Primeira_Ocorrencia]*((tblDados[GM_V]+tblDados[GS_V])&gt;0.5)))/G740,0))</f>
        <v/>
      </c>
      <c r="L740" s="16" t="str" cm="1">
        <f t="array" ref="L740">IF($A740="","",IFERROR((SUMPRODUCT((TRIM(tblDados[Mandante])=$A740)*tblDados[Primeira_Ocorrencia]*((tblDados[GM_M]+tblDados[GS_M])&gt;1.5))+SUMPRODUCT((TRIM(tblDados[Visitante])=$A740)*tblDados[Primeira_Ocorrencia]*((tblDados[GM_V]+tblDados[GS_V])&gt;1.5)))/G740,0))</f>
        <v/>
      </c>
      <c r="M740" s="16" t="str" cm="1">
        <f t="array" ref="M740">IF($A740="","",IFERROR((SUMPRODUCT((TRIM(tblDados[Mandante])=$A740)*tblDados[Primeira_Ocorrencia]*((tblDados[GM_M]+tblDados[GS_M])&gt;2.5))+SUMPRODUCT((TRIM(tblDados[Visitante])=$A740)*tblDados[Primeira_Ocorrencia]*((tblDados[GM_V]+tblDados[GS_V])&gt;2.5)))/G740,0))</f>
        <v/>
      </c>
      <c r="N740" s="16" t="str" cm="1">
        <f t="array" ref="N740">IF($A740="","",IFERROR((SUMPRODUCT((TRIM(tblDados[Mandante])=$A740)*tblDados[Primeira_Ocorrencia]*((tblDados[GM_M]+tblDados[GS_M])&gt;3.5))+SUMPRODUCT((TRIM(tblDados[Visitante])=$A740)*tblDados[Primeira_Ocorrencia]*((tblDados[GM_V]+tblDados[GS_V])&gt;3.5)))/G740,0))</f>
        <v/>
      </c>
      <c r="O740" s="16" t="str" cm="1">
        <f t="array" ref="O740">IF($A740="","",IFERROR((SUMPRODUCT((TRIM(tblDados[Mandante])=$A740)*tblDados[Primeira_Ocorrencia]*(tblDados[GM_M]&gt;0)*(tblDados[GS_M]&gt;0))+SUMPRODUCT((TRIM(tblDados[Visitante])=$A740)*tblDados[Primeira_Ocorrencia]*(tblDados[GM_V]&gt;0)*(tblDados[GS_V]&gt;0)))/G740,0))</f>
        <v/>
      </c>
      <c r="P740" s="14" t="str" cm="1">
        <f t="array" ref="P740">IF($A740="","",IFERROR((SUMPRODUCT((TRIM(tblDados[Mandante])=$A740)*tblDados[Primeira_Ocorrencia]*tblDados[GM_M]^2)+SUMPRODUCT((TRIM(tblDados[Visitante])=$A740)*tblDados[Primeira_Ocorrencia]*tblDados[GM_V]^2))/G740-H740^2,0))</f>
        <v/>
      </c>
      <c r="Q740" s="14" t="str">
        <f t="shared" si="200"/>
        <v/>
      </c>
      <c r="R740" s="1" t="str">
        <f t="shared" si="201"/>
        <v/>
      </c>
      <c r="S740" s="14" t="str" cm="1">
        <f t="array" ref="S740">IF($A740="","",SUMPRODUCT((TRIM(tblDados[Mandante])=$A740)*tblDados[Primeira_Ocorrencia]*tblDados[GM_M]))</f>
        <v/>
      </c>
      <c r="T740" s="14" t="str" cm="1">
        <f t="array" ref="T740">IF($A740="","",SUMPRODUCT((TRIM(tblDados[Visitante])=$A740)*tblDados[Primeira_Ocorrencia]*tblDados[GM_V]))</f>
        <v/>
      </c>
      <c r="U740" s="14" t="str">
        <f t="shared" si="202"/>
        <v/>
      </c>
      <c r="V740" s="14" t="str">
        <f t="shared" si="191"/>
        <v/>
      </c>
      <c r="W740" s="14" t="str" cm="1">
        <f t="array" ref="W740">IF($A740="","",SUMPRODUCT((TRIM(tblDados[Mandante])=$A740)*tblDados[Primeira_Ocorrencia]*tblDados[GS_M]))</f>
        <v/>
      </c>
      <c r="X740" s="14" t="str" cm="1">
        <f t="array" ref="X740">IF($A740="","",SUMPRODUCT((TRIM(tblDados[Visitante])=$A740)*tblDados[Primeira_Ocorrencia]*tblDados[GS_V]))</f>
        <v/>
      </c>
      <c r="Y740" s="14" t="str">
        <f t="shared" si="203"/>
        <v/>
      </c>
      <c r="Z740" s="14" t="str">
        <f t="shared" si="192"/>
        <v/>
      </c>
      <c r="AA740" s="14" t="str">
        <f t="shared" si="193"/>
        <v/>
      </c>
      <c r="AB740" s="14" t="str">
        <f t="shared" si="194"/>
        <v/>
      </c>
      <c r="AC740" s="14" t="str">
        <f t="shared" si="195"/>
        <v/>
      </c>
      <c r="AD740" s="14" t="str">
        <f t="shared" si="196"/>
        <v/>
      </c>
    </row>
    <row r="741" spans="2:30" x14ac:dyDescent="0.3">
      <c r="B741" s="13" t="str" cm="1">
        <f t="array" ref="B741">IF($A741="","",_xlfn.LET(_xlpm.p,IFERROR(INDEX(tblDados[País],MATCH($A741,TRIM(tblDados[Mandante]),0)),INDEX(tblDados[País],MATCH($A741,TRIM(tblDados[Visitante]),0))),_xlpm.l,IFERROR(INDEX(tblDados[Liga],MATCH($A741,TRIM(tblDados[Mandante]),0)),INDEX(tblDados[Liga],MATCH($A741,TRIM(tblDados[Visitante]),0))),_xlpm.p&amp;" - "&amp;_xlpm.l))</f>
        <v/>
      </c>
      <c r="C741" s="14" t="str">
        <f t="shared" si="197"/>
        <v/>
      </c>
      <c r="D741" s="14" t="str">
        <f t="shared" si="198"/>
        <v/>
      </c>
      <c r="E741" s="15" t="str" cm="1">
        <f t="array" ref="E741">IF($A741="","",SUMPRODUCT((TRIM(tblDados[Mandante])=$A741)*tblDados[Primeira_Ocorrencia]))</f>
        <v/>
      </c>
      <c r="F741" s="15" t="str" cm="1">
        <f t="array" ref="F741">IF($A741="","",SUMPRODUCT((TRIM(tblDados[Visitante])=$A741)*tblDados[Primeira_Ocorrencia]))</f>
        <v/>
      </c>
      <c r="G741" s="15" t="str" cm="1">
        <f t="array" ref="G741">IF($A741="","",SUMPRODUCT((TRIM(tblDados[Mandante])=$A741)*tblDados[Primeira_Ocorrencia])+SUMPRODUCT((TRIM(tblDados[Visitante])=$A741)*tblDados[Primeira_Ocorrencia]))</f>
        <v/>
      </c>
      <c r="H741" s="14" t="str">
        <f t="shared" si="199"/>
        <v/>
      </c>
      <c r="I741" s="14" t="str" cm="1">
        <f t="array" ref="I741">IF($A741="","",_xlfn.LET(_xlpm.p,IFERROR(INDEX(tblDados[País],MATCH($A741,TRIM(tblDados[Mandante]),0)),INDEX(tblDados[País],MATCH($A741,TRIM(tblDados[Visitante]),0))),_xlpm.l,IFERROR(INDEX(tblDados[Liga],MATCH($A741,TRIM(tblDados[Mandante]),0)),INDEX(tblDados[Liga],MATCH($A741,TRIM(tblDados[Visitante]),0))),IFERROR(SUMIFS(Ligas!$D$2:$D$39,Ligas!$H$2:$H$39,_xlpm.p,Ligas!$I$2:$I$39,_xlpm.l),0)))</f>
        <v/>
      </c>
      <c r="J741" s="16" t="str" cm="1">
        <f t="array" ref="J741">IF($A741="","",IFERROR((SUMPRODUCT((TRIM(tblDados[Mandante])=$A741)*tblDados[Primeira_Ocorrencia]*(tblDados[GM_M]=0))+SUMPRODUCT((TRIM(tblDados[Visitante])=$A741)*tblDados[Primeira_Ocorrencia]*(tblDados[GM_V]=0)))/G741,0))</f>
        <v/>
      </c>
      <c r="K741" s="16" t="str" cm="1">
        <f t="array" ref="K741">IF($A741="","",IFERROR((SUMPRODUCT((TRIM(tblDados[Mandante])=$A741)*tblDados[Primeira_Ocorrencia]*((tblDados[GM_M]+tblDados[GS_M])&gt;0.5))+SUMPRODUCT((TRIM(tblDados[Visitante])=$A741)*tblDados[Primeira_Ocorrencia]*((tblDados[GM_V]+tblDados[GS_V])&gt;0.5)))/G741,0))</f>
        <v/>
      </c>
      <c r="L741" s="16" t="str" cm="1">
        <f t="array" ref="L741">IF($A741="","",IFERROR((SUMPRODUCT((TRIM(tblDados[Mandante])=$A741)*tblDados[Primeira_Ocorrencia]*((tblDados[GM_M]+tblDados[GS_M])&gt;1.5))+SUMPRODUCT((TRIM(tblDados[Visitante])=$A741)*tblDados[Primeira_Ocorrencia]*((tblDados[GM_V]+tblDados[GS_V])&gt;1.5)))/G741,0))</f>
        <v/>
      </c>
      <c r="M741" s="16" t="str" cm="1">
        <f t="array" ref="M741">IF($A741="","",IFERROR((SUMPRODUCT((TRIM(tblDados[Mandante])=$A741)*tblDados[Primeira_Ocorrencia]*((tblDados[GM_M]+tblDados[GS_M])&gt;2.5))+SUMPRODUCT((TRIM(tblDados[Visitante])=$A741)*tblDados[Primeira_Ocorrencia]*((tblDados[GM_V]+tblDados[GS_V])&gt;2.5)))/G741,0))</f>
        <v/>
      </c>
      <c r="N741" s="16" t="str" cm="1">
        <f t="array" ref="N741">IF($A741="","",IFERROR((SUMPRODUCT((TRIM(tblDados[Mandante])=$A741)*tblDados[Primeira_Ocorrencia]*((tblDados[GM_M]+tblDados[GS_M])&gt;3.5))+SUMPRODUCT((TRIM(tblDados[Visitante])=$A741)*tblDados[Primeira_Ocorrencia]*((tblDados[GM_V]+tblDados[GS_V])&gt;3.5)))/G741,0))</f>
        <v/>
      </c>
      <c r="O741" s="16" t="str" cm="1">
        <f t="array" ref="O741">IF($A741="","",IFERROR((SUMPRODUCT((TRIM(tblDados[Mandante])=$A741)*tblDados[Primeira_Ocorrencia]*(tblDados[GM_M]&gt;0)*(tblDados[GS_M]&gt;0))+SUMPRODUCT((TRIM(tblDados[Visitante])=$A741)*tblDados[Primeira_Ocorrencia]*(tblDados[GM_V]&gt;0)*(tblDados[GS_V]&gt;0)))/G741,0))</f>
        <v/>
      </c>
      <c r="P741" s="14" t="str" cm="1">
        <f t="array" ref="P741">IF($A741="","",IFERROR((SUMPRODUCT((TRIM(tblDados[Mandante])=$A741)*tblDados[Primeira_Ocorrencia]*tblDados[GM_M]^2)+SUMPRODUCT((TRIM(tblDados[Visitante])=$A741)*tblDados[Primeira_Ocorrencia]*tblDados[GM_V]^2))/G741-H741^2,0))</f>
        <v/>
      </c>
      <c r="Q741" s="14" t="str">
        <f t="shared" si="200"/>
        <v/>
      </c>
      <c r="R741" s="1" t="str">
        <f t="shared" si="201"/>
        <v/>
      </c>
      <c r="S741" s="14" t="str" cm="1">
        <f t="array" ref="S741">IF($A741="","",SUMPRODUCT((TRIM(tblDados[Mandante])=$A741)*tblDados[Primeira_Ocorrencia]*tblDados[GM_M]))</f>
        <v/>
      </c>
      <c r="T741" s="14" t="str" cm="1">
        <f t="array" ref="T741">IF($A741="","",SUMPRODUCT((TRIM(tblDados[Visitante])=$A741)*tblDados[Primeira_Ocorrencia]*tblDados[GM_V]))</f>
        <v/>
      </c>
      <c r="U741" s="14" t="str">
        <f t="shared" si="202"/>
        <v/>
      </c>
      <c r="V741" s="14" t="str">
        <f t="shared" si="191"/>
        <v/>
      </c>
      <c r="W741" s="14" t="str" cm="1">
        <f t="array" ref="W741">IF($A741="","",SUMPRODUCT((TRIM(tblDados[Mandante])=$A741)*tblDados[Primeira_Ocorrencia]*tblDados[GS_M]))</f>
        <v/>
      </c>
      <c r="X741" s="14" t="str" cm="1">
        <f t="array" ref="X741">IF($A741="","",SUMPRODUCT((TRIM(tblDados[Visitante])=$A741)*tblDados[Primeira_Ocorrencia]*tblDados[GS_V]))</f>
        <v/>
      </c>
      <c r="Y741" s="14" t="str">
        <f t="shared" si="203"/>
        <v/>
      </c>
      <c r="Z741" s="14" t="str">
        <f t="shared" si="192"/>
        <v/>
      </c>
      <c r="AA741" s="14" t="str">
        <f t="shared" si="193"/>
        <v/>
      </c>
      <c r="AB741" s="14" t="str">
        <f t="shared" si="194"/>
        <v/>
      </c>
      <c r="AC741" s="14" t="str">
        <f t="shared" si="195"/>
        <v/>
      </c>
      <c r="AD741" s="14" t="str">
        <f t="shared" si="196"/>
        <v/>
      </c>
    </row>
    <row r="742" spans="2:30" x14ac:dyDescent="0.3">
      <c r="B742" s="13" t="str" cm="1">
        <f t="array" ref="B742">IF($A742="","",_xlfn.LET(_xlpm.p,IFERROR(INDEX(tblDados[País],MATCH($A742,TRIM(tblDados[Mandante]),0)),INDEX(tblDados[País],MATCH($A742,TRIM(tblDados[Visitante]),0))),_xlpm.l,IFERROR(INDEX(tblDados[Liga],MATCH($A742,TRIM(tblDados[Mandante]),0)),INDEX(tblDados[Liga],MATCH($A742,TRIM(tblDados[Visitante]),0))),_xlpm.p&amp;" - "&amp;_xlpm.l))</f>
        <v/>
      </c>
      <c r="C742" s="14" t="str">
        <f t="shared" si="197"/>
        <v/>
      </c>
      <c r="D742" s="14" t="str">
        <f t="shared" si="198"/>
        <v/>
      </c>
      <c r="E742" s="15" t="str" cm="1">
        <f t="array" ref="E742">IF($A742="","",SUMPRODUCT((TRIM(tblDados[Mandante])=$A742)*tblDados[Primeira_Ocorrencia]))</f>
        <v/>
      </c>
      <c r="F742" s="15" t="str" cm="1">
        <f t="array" ref="F742">IF($A742="","",SUMPRODUCT((TRIM(tblDados[Visitante])=$A742)*tblDados[Primeira_Ocorrencia]))</f>
        <v/>
      </c>
      <c r="G742" s="15" t="str" cm="1">
        <f t="array" ref="G742">IF($A742="","",SUMPRODUCT((TRIM(tblDados[Mandante])=$A742)*tblDados[Primeira_Ocorrencia])+SUMPRODUCT((TRIM(tblDados[Visitante])=$A742)*tblDados[Primeira_Ocorrencia]))</f>
        <v/>
      </c>
      <c r="H742" s="14" t="str">
        <f t="shared" si="199"/>
        <v/>
      </c>
      <c r="I742" s="14" t="str" cm="1">
        <f t="array" ref="I742">IF($A742="","",_xlfn.LET(_xlpm.p,IFERROR(INDEX(tblDados[País],MATCH($A742,TRIM(tblDados[Mandante]),0)),INDEX(tblDados[País],MATCH($A742,TRIM(tblDados[Visitante]),0))),_xlpm.l,IFERROR(INDEX(tblDados[Liga],MATCH($A742,TRIM(tblDados[Mandante]),0)),INDEX(tblDados[Liga],MATCH($A742,TRIM(tblDados[Visitante]),0))),IFERROR(SUMIFS(Ligas!$D$2:$D$39,Ligas!$H$2:$H$39,_xlpm.p,Ligas!$I$2:$I$39,_xlpm.l),0)))</f>
        <v/>
      </c>
      <c r="J742" s="16" t="str" cm="1">
        <f t="array" ref="J742">IF($A742="","",IFERROR((SUMPRODUCT((TRIM(tblDados[Mandante])=$A742)*tblDados[Primeira_Ocorrencia]*(tblDados[GM_M]=0))+SUMPRODUCT((TRIM(tblDados[Visitante])=$A742)*tblDados[Primeira_Ocorrencia]*(tblDados[GM_V]=0)))/G742,0))</f>
        <v/>
      </c>
      <c r="K742" s="16" t="str" cm="1">
        <f t="array" ref="K742">IF($A742="","",IFERROR((SUMPRODUCT((TRIM(tblDados[Mandante])=$A742)*tblDados[Primeira_Ocorrencia]*((tblDados[GM_M]+tblDados[GS_M])&gt;0.5))+SUMPRODUCT((TRIM(tblDados[Visitante])=$A742)*tblDados[Primeira_Ocorrencia]*((tblDados[GM_V]+tblDados[GS_V])&gt;0.5)))/G742,0))</f>
        <v/>
      </c>
      <c r="L742" s="16" t="str" cm="1">
        <f t="array" ref="L742">IF($A742="","",IFERROR((SUMPRODUCT((TRIM(tblDados[Mandante])=$A742)*tblDados[Primeira_Ocorrencia]*((tblDados[GM_M]+tblDados[GS_M])&gt;1.5))+SUMPRODUCT((TRIM(tblDados[Visitante])=$A742)*tblDados[Primeira_Ocorrencia]*((tblDados[GM_V]+tblDados[GS_V])&gt;1.5)))/G742,0))</f>
        <v/>
      </c>
      <c r="M742" s="16" t="str" cm="1">
        <f t="array" ref="M742">IF($A742="","",IFERROR((SUMPRODUCT((TRIM(tblDados[Mandante])=$A742)*tblDados[Primeira_Ocorrencia]*((tblDados[GM_M]+tblDados[GS_M])&gt;2.5))+SUMPRODUCT((TRIM(tblDados[Visitante])=$A742)*tblDados[Primeira_Ocorrencia]*((tblDados[GM_V]+tblDados[GS_V])&gt;2.5)))/G742,0))</f>
        <v/>
      </c>
      <c r="N742" s="16" t="str" cm="1">
        <f t="array" ref="N742">IF($A742="","",IFERROR((SUMPRODUCT((TRIM(tblDados[Mandante])=$A742)*tblDados[Primeira_Ocorrencia]*((tblDados[GM_M]+tblDados[GS_M])&gt;3.5))+SUMPRODUCT((TRIM(tblDados[Visitante])=$A742)*tblDados[Primeira_Ocorrencia]*((tblDados[GM_V]+tblDados[GS_V])&gt;3.5)))/G742,0))</f>
        <v/>
      </c>
      <c r="O742" s="16" t="str" cm="1">
        <f t="array" ref="O742">IF($A742="","",IFERROR((SUMPRODUCT((TRIM(tblDados[Mandante])=$A742)*tblDados[Primeira_Ocorrencia]*(tblDados[GM_M]&gt;0)*(tblDados[GS_M]&gt;0))+SUMPRODUCT((TRIM(tblDados[Visitante])=$A742)*tblDados[Primeira_Ocorrencia]*(tblDados[GM_V]&gt;0)*(tblDados[GS_V]&gt;0)))/G742,0))</f>
        <v/>
      </c>
      <c r="P742" s="14" t="str" cm="1">
        <f t="array" ref="P742">IF($A742="","",IFERROR((SUMPRODUCT((TRIM(tblDados[Mandante])=$A742)*tblDados[Primeira_Ocorrencia]*tblDados[GM_M]^2)+SUMPRODUCT((TRIM(tblDados[Visitante])=$A742)*tblDados[Primeira_Ocorrencia]*tblDados[GM_V]^2))/G742-H742^2,0))</f>
        <v/>
      </c>
      <c r="Q742" s="14" t="str">
        <f t="shared" si="200"/>
        <v/>
      </c>
      <c r="R742" s="1" t="str">
        <f t="shared" si="201"/>
        <v/>
      </c>
      <c r="S742" s="14" t="str" cm="1">
        <f t="array" ref="S742">IF($A742="","",SUMPRODUCT((TRIM(tblDados[Mandante])=$A742)*tblDados[Primeira_Ocorrencia]*tblDados[GM_M]))</f>
        <v/>
      </c>
      <c r="T742" s="14" t="str" cm="1">
        <f t="array" ref="T742">IF($A742="","",SUMPRODUCT((TRIM(tblDados[Visitante])=$A742)*tblDados[Primeira_Ocorrencia]*tblDados[GM_V]))</f>
        <v/>
      </c>
      <c r="U742" s="14" t="str">
        <f t="shared" si="202"/>
        <v/>
      </c>
      <c r="V742" s="14" t="str">
        <f t="shared" si="191"/>
        <v/>
      </c>
      <c r="W742" s="14" t="str" cm="1">
        <f t="array" ref="W742">IF($A742="","",SUMPRODUCT((TRIM(tblDados[Mandante])=$A742)*tblDados[Primeira_Ocorrencia]*tblDados[GS_M]))</f>
        <v/>
      </c>
      <c r="X742" s="14" t="str" cm="1">
        <f t="array" ref="X742">IF($A742="","",SUMPRODUCT((TRIM(tblDados[Visitante])=$A742)*tblDados[Primeira_Ocorrencia]*tblDados[GS_V]))</f>
        <v/>
      </c>
      <c r="Y742" s="14" t="str">
        <f t="shared" si="203"/>
        <v/>
      </c>
      <c r="Z742" s="14" t="str">
        <f t="shared" si="192"/>
        <v/>
      </c>
      <c r="AA742" s="14" t="str">
        <f t="shared" si="193"/>
        <v/>
      </c>
      <c r="AB742" s="14" t="str">
        <f t="shared" si="194"/>
        <v/>
      </c>
      <c r="AC742" s="14" t="str">
        <f t="shared" si="195"/>
        <v/>
      </c>
      <c r="AD742" s="14" t="str">
        <f t="shared" si="196"/>
        <v/>
      </c>
    </row>
    <row r="743" spans="2:30" x14ac:dyDescent="0.3">
      <c r="B743" s="13" t="str" cm="1">
        <f t="array" ref="B743">IF($A743="","",_xlfn.LET(_xlpm.p,IFERROR(INDEX(tblDados[País],MATCH($A743,TRIM(tblDados[Mandante]),0)),INDEX(tblDados[País],MATCH($A743,TRIM(tblDados[Visitante]),0))),_xlpm.l,IFERROR(INDEX(tblDados[Liga],MATCH($A743,TRIM(tblDados[Mandante]),0)),INDEX(tblDados[Liga],MATCH($A743,TRIM(tblDados[Visitante]),0))),_xlpm.p&amp;" - "&amp;_xlpm.l))</f>
        <v/>
      </c>
      <c r="C743" s="14" t="str">
        <f t="shared" si="197"/>
        <v/>
      </c>
      <c r="D743" s="14" t="str">
        <f t="shared" si="198"/>
        <v/>
      </c>
      <c r="E743" s="15" t="str" cm="1">
        <f t="array" ref="E743">IF($A743="","",SUMPRODUCT((TRIM(tblDados[Mandante])=$A743)*tblDados[Primeira_Ocorrencia]))</f>
        <v/>
      </c>
      <c r="F743" s="15" t="str" cm="1">
        <f t="array" ref="F743">IF($A743="","",SUMPRODUCT((TRIM(tblDados[Visitante])=$A743)*tblDados[Primeira_Ocorrencia]))</f>
        <v/>
      </c>
      <c r="G743" s="15" t="str" cm="1">
        <f t="array" ref="G743">IF($A743="","",SUMPRODUCT((TRIM(tblDados[Mandante])=$A743)*tblDados[Primeira_Ocorrencia])+SUMPRODUCT((TRIM(tblDados[Visitante])=$A743)*tblDados[Primeira_Ocorrencia]))</f>
        <v/>
      </c>
      <c r="H743" s="14" t="str">
        <f t="shared" si="199"/>
        <v/>
      </c>
      <c r="I743" s="14" t="str" cm="1">
        <f t="array" ref="I743">IF($A743="","",_xlfn.LET(_xlpm.p,IFERROR(INDEX(tblDados[País],MATCH($A743,TRIM(tblDados[Mandante]),0)),INDEX(tblDados[País],MATCH($A743,TRIM(tblDados[Visitante]),0))),_xlpm.l,IFERROR(INDEX(tblDados[Liga],MATCH($A743,TRIM(tblDados[Mandante]),0)),INDEX(tblDados[Liga],MATCH($A743,TRIM(tblDados[Visitante]),0))),IFERROR(SUMIFS(Ligas!$D$2:$D$39,Ligas!$H$2:$H$39,_xlpm.p,Ligas!$I$2:$I$39,_xlpm.l),0)))</f>
        <v/>
      </c>
      <c r="J743" s="16" t="str" cm="1">
        <f t="array" ref="J743">IF($A743="","",IFERROR((SUMPRODUCT((TRIM(tblDados[Mandante])=$A743)*tblDados[Primeira_Ocorrencia]*(tblDados[GM_M]=0))+SUMPRODUCT((TRIM(tblDados[Visitante])=$A743)*tblDados[Primeira_Ocorrencia]*(tblDados[GM_V]=0)))/G743,0))</f>
        <v/>
      </c>
      <c r="K743" s="16" t="str" cm="1">
        <f t="array" ref="K743">IF($A743="","",IFERROR((SUMPRODUCT((TRIM(tblDados[Mandante])=$A743)*tblDados[Primeira_Ocorrencia]*((tblDados[GM_M]+tblDados[GS_M])&gt;0.5))+SUMPRODUCT((TRIM(tblDados[Visitante])=$A743)*tblDados[Primeira_Ocorrencia]*((tblDados[GM_V]+tblDados[GS_V])&gt;0.5)))/G743,0))</f>
        <v/>
      </c>
      <c r="L743" s="16" t="str" cm="1">
        <f t="array" ref="L743">IF($A743="","",IFERROR((SUMPRODUCT((TRIM(tblDados[Mandante])=$A743)*tblDados[Primeira_Ocorrencia]*((tblDados[GM_M]+tblDados[GS_M])&gt;1.5))+SUMPRODUCT((TRIM(tblDados[Visitante])=$A743)*tblDados[Primeira_Ocorrencia]*((tblDados[GM_V]+tblDados[GS_V])&gt;1.5)))/G743,0))</f>
        <v/>
      </c>
      <c r="M743" s="16" t="str" cm="1">
        <f t="array" ref="M743">IF($A743="","",IFERROR((SUMPRODUCT((TRIM(tblDados[Mandante])=$A743)*tblDados[Primeira_Ocorrencia]*((tblDados[GM_M]+tblDados[GS_M])&gt;2.5))+SUMPRODUCT((TRIM(tblDados[Visitante])=$A743)*tblDados[Primeira_Ocorrencia]*((tblDados[GM_V]+tblDados[GS_V])&gt;2.5)))/G743,0))</f>
        <v/>
      </c>
      <c r="N743" s="16" t="str" cm="1">
        <f t="array" ref="N743">IF($A743="","",IFERROR((SUMPRODUCT((TRIM(tblDados[Mandante])=$A743)*tblDados[Primeira_Ocorrencia]*((tblDados[GM_M]+tblDados[GS_M])&gt;3.5))+SUMPRODUCT((TRIM(tblDados[Visitante])=$A743)*tblDados[Primeira_Ocorrencia]*((tblDados[GM_V]+tblDados[GS_V])&gt;3.5)))/G743,0))</f>
        <v/>
      </c>
      <c r="O743" s="16" t="str" cm="1">
        <f t="array" ref="O743">IF($A743="","",IFERROR((SUMPRODUCT((TRIM(tblDados[Mandante])=$A743)*tblDados[Primeira_Ocorrencia]*(tblDados[GM_M]&gt;0)*(tblDados[GS_M]&gt;0))+SUMPRODUCT((TRIM(tblDados[Visitante])=$A743)*tblDados[Primeira_Ocorrencia]*(tblDados[GM_V]&gt;0)*(tblDados[GS_V]&gt;0)))/G743,0))</f>
        <v/>
      </c>
      <c r="P743" s="14" t="str" cm="1">
        <f t="array" ref="P743">IF($A743="","",IFERROR((SUMPRODUCT((TRIM(tblDados[Mandante])=$A743)*tblDados[Primeira_Ocorrencia]*tblDados[GM_M]^2)+SUMPRODUCT((TRIM(tblDados[Visitante])=$A743)*tblDados[Primeira_Ocorrencia]*tblDados[GM_V]^2))/G743-H743^2,0))</f>
        <v/>
      </c>
      <c r="Q743" s="14" t="str">
        <f t="shared" si="200"/>
        <v/>
      </c>
      <c r="R743" s="1" t="str">
        <f t="shared" si="201"/>
        <v/>
      </c>
      <c r="S743" s="14" t="str" cm="1">
        <f t="array" ref="S743">IF($A743="","",SUMPRODUCT((TRIM(tblDados[Mandante])=$A743)*tblDados[Primeira_Ocorrencia]*tblDados[GM_M]))</f>
        <v/>
      </c>
      <c r="T743" s="14" t="str" cm="1">
        <f t="array" ref="T743">IF($A743="","",SUMPRODUCT((TRIM(tblDados[Visitante])=$A743)*tblDados[Primeira_Ocorrencia]*tblDados[GM_V]))</f>
        <v/>
      </c>
      <c r="U743" s="14" t="str">
        <f t="shared" si="202"/>
        <v/>
      </c>
      <c r="V743" s="14" t="str">
        <f t="shared" si="191"/>
        <v/>
      </c>
      <c r="W743" s="14" t="str" cm="1">
        <f t="array" ref="W743">IF($A743="","",SUMPRODUCT((TRIM(tblDados[Mandante])=$A743)*tblDados[Primeira_Ocorrencia]*tblDados[GS_M]))</f>
        <v/>
      </c>
      <c r="X743" s="14" t="str" cm="1">
        <f t="array" ref="X743">IF($A743="","",SUMPRODUCT((TRIM(tblDados[Visitante])=$A743)*tblDados[Primeira_Ocorrencia]*tblDados[GS_V]))</f>
        <v/>
      </c>
      <c r="Y743" s="14" t="str">
        <f t="shared" si="203"/>
        <v/>
      </c>
      <c r="Z743" s="14" t="str">
        <f t="shared" si="192"/>
        <v/>
      </c>
      <c r="AA743" s="14" t="str">
        <f t="shared" si="193"/>
        <v/>
      </c>
      <c r="AB743" s="14" t="str">
        <f t="shared" si="194"/>
        <v/>
      </c>
      <c r="AC743" s="14" t="str">
        <f t="shared" si="195"/>
        <v/>
      </c>
      <c r="AD743" s="14" t="str">
        <f t="shared" si="196"/>
        <v/>
      </c>
    </row>
    <row r="744" spans="2:30" x14ac:dyDescent="0.3">
      <c r="B744" s="13" t="str" cm="1">
        <f t="array" ref="B744">IF($A744="","",_xlfn.LET(_xlpm.p,IFERROR(INDEX(tblDados[País],MATCH($A744,TRIM(tblDados[Mandante]),0)),INDEX(tblDados[País],MATCH($A744,TRIM(tblDados[Visitante]),0))),_xlpm.l,IFERROR(INDEX(tblDados[Liga],MATCH($A744,TRIM(tblDados[Mandante]),0)),INDEX(tblDados[Liga],MATCH($A744,TRIM(tblDados[Visitante]),0))),_xlpm.p&amp;" - "&amp;_xlpm.l))</f>
        <v/>
      </c>
      <c r="C744" s="14" t="str">
        <f t="shared" si="197"/>
        <v/>
      </c>
      <c r="D744" s="14" t="str">
        <f t="shared" si="198"/>
        <v/>
      </c>
      <c r="E744" s="15" t="str" cm="1">
        <f t="array" ref="E744">IF($A744="","",SUMPRODUCT((TRIM(tblDados[Mandante])=$A744)*tblDados[Primeira_Ocorrencia]))</f>
        <v/>
      </c>
      <c r="F744" s="15" t="str" cm="1">
        <f t="array" ref="F744">IF($A744="","",SUMPRODUCT((TRIM(tblDados[Visitante])=$A744)*tblDados[Primeira_Ocorrencia]))</f>
        <v/>
      </c>
      <c r="G744" s="15" t="str" cm="1">
        <f t="array" ref="G744">IF($A744="","",SUMPRODUCT((TRIM(tblDados[Mandante])=$A744)*tblDados[Primeira_Ocorrencia])+SUMPRODUCT((TRIM(tblDados[Visitante])=$A744)*tblDados[Primeira_Ocorrencia]))</f>
        <v/>
      </c>
      <c r="H744" s="14" t="str">
        <f t="shared" si="199"/>
        <v/>
      </c>
      <c r="I744" s="14" t="str" cm="1">
        <f t="array" ref="I744">IF($A744="","",_xlfn.LET(_xlpm.p,IFERROR(INDEX(tblDados[País],MATCH($A744,TRIM(tblDados[Mandante]),0)),INDEX(tblDados[País],MATCH($A744,TRIM(tblDados[Visitante]),0))),_xlpm.l,IFERROR(INDEX(tblDados[Liga],MATCH($A744,TRIM(tblDados[Mandante]),0)),INDEX(tblDados[Liga],MATCH($A744,TRIM(tblDados[Visitante]),0))),IFERROR(SUMIFS(Ligas!$D$2:$D$39,Ligas!$H$2:$H$39,_xlpm.p,Ligas!$I$2:$I$39,_xlpm.l),0)))</f>
        <v/>
      </c>
      <c r="J744" s="16" t="str" cm="1">
        <f t="array" ref="J744">IF($A744="","",IFERROR((SUMPRODUCT((TRIM(tblDados[Mandante])=$A744)*tblDados[Primeira_Ocorrencia]*(tblDados[GM_M]=0))+SUMPRODUCT((TRIM(tblDados[Visitante])=$A744)*tblDados[Primeira_Ocorrencia]*(tblDados[GM_V]=0)))/G744,0))</f>
        <v/>
      </c>
      <c r="K744" s="16" t="str" cm="1">
        <f t="array" ref="K744">IF($A744="","",IFERROR((SUMPRODUCT((TRIM(tblDados[Mandante])=$A744)*tblDados[Primeira_Ocorrencia]*((tblDados[GM_M]+tblDados[GS_M])&gt;0.5))+SUMPRODUCT((TRIM(tblDados[Visitante])=$A744)*tblDados[Primeira_Ocorrencia]*((tblDados[GM_V]+tblDados[GS_V])&gt;0.5)))/G744,0))</f>
        <v/>
      </c>
      <c r="L744" s="16" t="str" cm="1">
        <f t="array" ref="L744">IF($A744="","",IFERROR((SUMPRODUCT((TRIM(tblDados[Mandante])=$A744)*tblDados[Primeira_Ocorrencia]*((tblDados[GM_M]+tblDados[GS_M])&gt;1.5))+SUMPRODUCT((TRIM(tblDados[Visitante])=$A744)*tblDados[Primeira_Ocorrencia]*((tblDados[GM_V]+tblDados[GS_V])&gt;1.5)))/G744,0))</f>
        <v/>
      </c>
      <c r="M744" s="16" t="str" cm="1">
        <f t="array" ref="M744">IF($A744="","",IFERROR((SUMPRODUCT((TRIM(tblDados[Mandante])=$A744)*tblDados[Primeira_Ocorrencia]*((tblDados[GM_M]+tblDados[GS_M])&gt;2.5))+SUMPRODUCT((TRIM(tblDados[Visitante])=$A744)*tblDados[Primeira_Ocorrencia]*((tblDados[GM_V]+tblDados[GS_V])&gt;2.5)))/G744,0))</f>
        <v/>
      </c>
      <c r="N744" s="16" t="str" cm="1">
        <f t="array" ref="N744">IF($A744="","",IFERROR((SUMPRODUCT((TRIM(tblDados[Mandante])=$A744)*tblDados[Primeira_Ocorrencia]*((tblDados[GM_M]+tblDados[GS_M])&gt;3.5))+SUMPRODUCT((TRIM(tblDados[Visitante])=$A744)*tblDados[Primeira_Ocorrencia]*((tblDados[GM_V]+tblDados[GS_V])&gt;3.5)))/G744,0))</f>
        <v/>
      </c>
      <c r="O744" s="16" t="str" cm="1">
        <f t="array" ref="O744">IF($A744="","",IFERROR((SUMPRODUCT((TRIM(tblDados[Mandante])=$A744)*tblDados[Primeira_Ocorrencia]*(tblDados[GM_M]&gt;0)*(tblDados[GS_M]&gt;0))+SUMPRODUCT((TRIM(tblDados[Visitante])=$A744)*tblDados[Primeira_Ocorrencia]*(tblDados[GM_V]&gt;0)*(tblDados[GS_V]&gt;0)))/G744,0))</f>
        <v/>
      </c>
      <c r="P744" s="14" t="str" cm="1">
        <f t="array" ref="P744">IF($A744="","",IFERROR((SUMPRODUCT((TRIM(tblDados[Mandante])=$A744)*tblDados[Primeira_Ocorrencia]*tblDados[GM_M]^2)+SUMPRODUCT((TRIM(tblDados[Visitante])=$A744)*tblDados[Primeira_Ocorrencia]*tblDados[GM_V]^2))/G744-H744^2,0))</f>
        <v/>
      </c>
      <c r="Q744" s="14" t="str">
        <f t="shared" si="200"/>
        <v/>
      </c>
      <c r="R744" s="1" t="str">
        <f t="shared" si="201"/>
        <v/>
      </c>
      <c r="S744" s="14" t="str" cm="1">
        <f t="array" ref="S744">IF($A744="","",SUMPRODUCT((TRIM(tblDados[Mandante])=$A744)*tblDados[Primeira_Ocorrencia]*tblDados[GM_M]))</f>
        <v/>
      </c>
      <c r="T744" s="14" t="str" cm="1">
        <f t="array" ref="T744">IF($A744="","",SUMPRODUCT((TRIM(tblDados[Visitante])=$A744)*tblDados[Primeira_Ocorrencia]*tblDados[GM_V]))</f>
        <v/>
      </c>
      <c r="U744" s="14" t="str">
        <f t="shared" si="202"/>
        <v/>
      </c>
      <c r="V744" s="14" t="str">
        <f t="shared" si="191"/>
        <v/>
      </c>
      <c r="W744" s="14" t="str" cm="1">
        <f t="array" ref="W744">IF($A744="","",SUMPRODUCT((TRIM(tblDados[Mandante])=$A744)*tblDados[Primeira_Ocorrencia]*tblDados[GS_M]))</f>
        <v/>
      </c>
      <c r="X744" s="14" t="str" cm="1">
        <f t="array" ref="X744">IF($A744="","",SUMPRODUCT((TRIM(tblDados[Visitante])=$A744)*tblDados[Primeira_Ocorrencia]*tblDados[GS_V]))</f>
        <v/>
      </c>
      <c r="Y744" s="14" t="str">
        <f t="shared" si="203"/>
        <v/>
      </c>
      <c r="Z744" s="14" t="str">
        <f t="shared" si="192"/>
        <v/>
      </c>
      <c r="AA744" s="14" t="str">
        <f t="shared" si="193"/>
        <v/>
      </c>
      <c r="AB744" s="14" t="str">
        <f t="shared" si="194"/>
        <v/>
      </c>
      <c r="AC744" s="14" t="str">
        <f t="shared" si="195"/>
        <v/>
      </c>
      <c r="AD744" s="14" t="str">
        <f t="shared" si="196"/>
        <v/>
      </c>
    </row>
    <row r="745" spans="2:30" x14ac:dyDescent="0.3">
      <c r="B745" s="13" t="str" cm="1">
        <f t="array" ref="B745">IF($A745="","",_xlfn.LET(_xlpm.p,IFERROR(INDEX(tblDados[País],MATCH($A745,TRIM(tblDados[Mandante]),0)),INDEX(tblDados[País],MATCH($A745,TRIM(tblDados[Visitante]),0))),_xlpm.l,IFERROR(INDEX(tblDados[Liga],MATCH($A745,TRIM(tblDados[Mandante]),0)),INDEX(tblDados[Liga],MATCH($A745,TRIM(tblDados[Visitante]),0))),_xlpm.p&amp;" - "&amp;_xlpm.l))</f>
        <v/>
      </c>
      <c r="C745" s="14" t="str">
        <f t="shared" si="197"/>
        <v/>
      </c>
      <c r="D745" s="14" t="str">
        <f t="shared" si="198"/>
        <v/>
      </c>
      <c r="E745" s="15" t="str" cm="1">
        <f t="array" ref="E745">IF($A745="","",SUMPRODUCT((TRIM(tblDados[Mandante])=$A745)*tblDados[Primeira_Ocorrencia]))</f>
        <v/>
      </c>
      <c r="F745" s="15" t="str" cm="1">
        <f t="array" ref="F745">IF($A745="","",SUMPRODUCT((TRIM(tblDados[Visitante])=$A745)*tblDados[Primeira_Ocorrencia]))</f>
        <v/>
      </c>
      <c r="G745" s="15" t="str" cm="1">
        <f t="array" ref="G745">IF($A745="","",SUMPRODUCT((TRIM(tblDados[Mandante])=$A745)*tblDados[Primeira_Ocorrencia])+SUMPRODUCT((TRIM(tblDados[Visitante])=$A745)*tblDados[Primeira_Ocorrencia]))</f>
        <v/>
      </c>
      <c r="H745" s="14" t="str">
        <f t="shared" si="199"/>
        <v/>
      </c>
      <c r="I745" s="14" t="str" cm="1">
        <f t="array" ref="I745">IF($A745="","",_xlfn.LET(_xlpm.p,IFERROR(INDEX(tblDados[País],MATCH($A745,TRIM(tblDados[Mandante]),0)),INDEX(tblDados[País],MATCH($A745,TRIM(tblDados[Visitante]),0))),_xlpm.l,IFERROR(INDEX(tblDados[Liga],MATCH($A745,TRIM(tblDados[Mandante]),0)),INDEX(tblDados[Liga],MATCH($A745,TRIM(tblDados[Visitante]),0))),IFERROR(SUMIFS(Ligas!$D$2:$D$39,Ligas!$H$2:$H$39,_xlpm.p,Ligas!$I$2:$I$39,_xlpm.l),0)))</f>
        <v/>
      </c>
      <c r="J745" s="16" t="str" cm="1">
        <f t="array" ref="J745">IF($A745="","",IFERROR((SUMPRODUCT((TRIM(tblDados[Mandante])=$A745)*tblDados[Primeira_Ocorrencia]*(tblDados[GM_M]=0))+SUMPRODUCT((TRIM(tblDados[Visitante])=$A745)*tblDados[Primeira_Ocorrencia]*(tblDados[GM_V]=0)))/G745,0))</f>
        <v/>
      </c>
      <c r="K745" s="16" t="str" cm="1">
        <f t="array" ref="K745">IF($A745="","",IFERROR((SUMPRODUCT((TRIM(tblDados[Mandante])=$A745)*tblDados[Primeira_Ocorrencia]*((tblDados[GM_M]+tblDados[GS_M])&gt;0.5))+SUMPRODUCT((TRIM(tblDados[Visitante])=$A745)*tblDados[Primeira_Ocorrencia]*((tblDados[GM_V]+tblDados[GS_V])&gt;0.5)))/G745,0))</f>
        <v/>
      </c>
      <c r="L745" s="16" t="str" cm="1">
        <f t="array" ref="L745">IF($A745="","",IFERROR((SUMPRODUCT((TRIM(tblDados[Mandante])=$A745)*tblDados[Primeira_Ocorrencia]*((tblDados[GM_M]+tblDados[GS_M])&gt;1.5))+SUMPRODUCT((TRIM(tblDados[Visitante])=$A745)*tblDados[Primeira_Ocorrencia]*((tblDados[GM_V]+tblDados[GS_V])&gt;1.5)))/G745,0))</f>
        <v/>
      </c>
      <c r="M745" s="16" t="str" cm="1">
        <f t="array" ref="M745">IF($A745="","",IFERROR((SUMPRODUCT((TRIM(tblDados[Mandante])=$A745)*tblDados[Primeira_Ocorrencia]*((tblDados[GM_M]+tblDados[GS_M])&gt;2.5))+SUMPRODUCT((TRIM(tblDados[Visitante])=$A745)*tblDados[Primeira_Ocorrencia]*((tblDados[GM_V]+tblDados[GS_V])&gt;2.5)))/G745,0))</f>
        <v/>
      </c>
      <c r="N745" s="16" t="str" cm="1">
        <f t="array" ref="N745">IF($A745="","",IFERROR((SUMPRODUCT((TRIM(tblDados[Mandante])=$A745)*tblDados[Primeira_Ocorrencia]*((tblDados[GM_M]+tblDados[GS_M])&gt;3.5))+SUMPRODUCT((TRIM(tblDados[Visitante])=$A745)*tblDados[Primeira_Ocorrencia]*((tblDados[GM_V]+tblDados[GS_V])&gt;3.5)))/G745,0))</f>
        <v/>
      </c>
      <c r="O745" s="16" t="str" cm="1">
        <f t="array" ref="O745">IF($A745="","",IFERROR((SUMPRODUCT((TRIM(tblDados[Mandante])=$A745)*tblDados[Primeira_Ocorrencia]*(tblDados[GM_M]&gt;0)*(tblDados[GS_M]&gt;0))+SUMPRODUCT((TRIM(tblDados[Visitante])=$A745)*tblDados[Primeira_Ocorrencia]*(tblDados[GM_V]&gt;0)*(tblDados[GS_V]&gt;0)))/G745,0))</f>
        <v/>
      </c>
      <c r="P745" s="14" t="str" cm="1">
        <f t="array" ref="P745">IF($A745="","",IFERROR((SUMPRODUCT((TRIM(tblDados[Mandante])=$A745)*tblDados[Primeira_Ocorrencia]*tblDados[GM_M]^2)+SUMPRODUCT((TRIM(tblDados[Visitante])=$A745)*tblDados[Primeira_Ocorrencia]*tblDados[GM_V]^2))/G745-H745^2,0))</f>
        <v/>
      </c>
      <c r="Q745" s="14" t="str">
        <f t="shared" si="200"/>
        <v/>
      </c>
      <c r="R745" s="1" t="str">
        <f t="shared" si="201"/>
        <v/>
      </c>
      <c r="S745" s="14" t="str" cm="1">
        <f t="array" ref="S745">IF($A745="","",SUMPRODUCT((TRIM(tblDados[Mandante])=$A745)*tblDados[Primeira_Ocorrencia]*tblDados[GM_M]))</f>
        <v/>
      </c>
      <c r="T745" s="14" t="str" cm="1">
        <f t="array" ref="T745">IF($A745="","",SUMPRODUCT((TRIM(tblDados[Visitante])=$A745)*tblDados[Primeira_Ocorrencia]*tblDados[GM_V]))</f>
        <v/>
      </c>
      <c r="U745" s="14" t="str">
        <f t="shared" si="202"/>
        <v/>
      </c>
      <c r="V745" s="14" t="str">
        <f t="shared" si="191"/>
        <v/>
      </c>
      <c r="W745" s="14" t="str" cm="1">
        <f t="array" ref="W745">IF($A745="","",SUMPRODUCT((TRIM(tblDados[Mandante])=$A745)*tblDados[Primeira_Ocorrencia]*tblDados[GS_M]))</f>
        <v/>
      </c>
      <c r="X745" s="14" t="str" cm="1">
        <f t="array" ref="X745">IF($A745="","",SUMPRODUCT((TRIM(tblDados[Visitante])=$A745)*tblDados[Primeira_Ocorrencia]*tblDados[GS_V]))</f>
        <v/>
      </c>
      <c r="Y745" s="14" t="str">
        <f t="shared" si="203"/>
        <v/>
      </c>
      <c r="Z745" s="14" t="str">
        <f t="shared" si="192"/>
        <v/>
      </c>
      <c r="AA745" s="14" t="str">
        <f t="shared" si="193"/>
        <v/>
      </c>
      <c r="AB745" s="14" t="str">
        <f t="shared" si="194"/>
        <v/>
      </c>
      <c r="AC745" s="14" t="str">
        <f t="shared" si="195"/>
        <v/>
      </c>
      <c r="AD745" s="14" t="str">
        <f t="shared" si="196"/>
        <v/>
      </c>
    </row>
    <row r="746" spans="2:30" x14ac:dyDescent="0.3">
      <c r="B746" s="13" t="str" cm="1">
        <f t="array" ref="B746">IF($A746="","",_xlfn.LET(_xlpm.p,IFERROR(INDEX(tblDados[País],MATCH($A746,TRIM(tblDados[Mandante]),0)),INDEX(tblDados[País],MATCH($A746,TRIM(tblDados[Visitante]),0))),_xlpm.l,IFERROR(INDEX(tblDados[Liga],MATCH($A746,TRIM(tblDados[Mandante]),0)),INDEX(tblDados[Liga],MATCH($A746,TRIM(tblDados[Visitante]),0))),_xlpm.p&amp;" - "&amp;_xlpm.l))</f>
        <v/>
      </c>
      <c r="C746" s="14" t="str">
        <f t="shared" si="197"/>
        <v/>
      </c>
      <c r="D746" s="14" t="str">
        <f t="shared" si="198"/>
        <v/>
      </c>
      <c r="E746" s="15" t="str" cm="1">
        <f t="array" ref="E746">IF($A746="","",SUMPRODUCT((TRIM(tblDados[Mandante])=$A746)*tblDados[Primeira_Ocorrencia]))</f>
        <v/>
      </c>
      <c r="F746" s="15" t="str" cm="1">
        <f t="array" ref="F746">IF($A746="","",SUMPRODUCT((TRIM(tblDados[Visitante])=$A746)*tblDados[Primeira_Ocorrencia]))</f>
        <v/>
      </c>
      <c r="G746" s="15" t="str" cm="1">
        <f t="array" ref="G746">IF($A746="","",SUMPRODUCT((TRIM(tblDados[Mandante])=$A746)*tblDados[Primeira_Ocorrencia])+SUMPRODUCT((TRIM(tblDados[Visitante])=$A746)*tblDados[Primeira_Ocorrencia]))</f>
        <v/>
      </c>
      <c r="H746" s="14" t="str">
        <f t="shared" si="199"/>
        <v/>
      </c>
      <c r="I746" s="14" t="str" cm="1">
        <f t="array" ref="I746">IF($A746="","",_xlfn.LET(_xlpm.p,IFERROR(INDEX(tblDados[País],MATCH($A746,TRIM(tblDados[Mandante]),0)),INDEX(tblDados[País],MATCH($A746,TRIM(tblDados[Visitante]),0))),_xlpm.l,IFERROR(INDEX(tblDados[Liga],MATCH($A746,TRIM(tblDados[Mandante]),0)),INDEX(tblDados[Liga],MATCH($A746,TRIM(tblDados[Visitante]),0))),IFERROR(SUMIFS(Ligas!$D$2:$D$39,Ligas!$H$2:$H$39,_xlpm.p,Ligas!$I$2:$I$39,_xlpm.l),0)))</f>
        <v/>
      </c>
      <c r="J746" s="16" t="str" cm="1">
        <f t="array" ref="J746">IF($A746="","",IFERROR((SUMPRODUCT((TRIM(tblDados[Mandante])=$A746)*tblDados[Primeira_Ocorrencia]*(tblDados[GM_M]=0))+SUMPRODUCT((TRIM(tblDados[Visitante])=$A746)*tblDados[Primeira_Ocorrencia]*(tblDados[GM_V]=0)))/G746,0))</f>
        <v/>
      </c>
      <c r="K746" s="16" t="str" cm="1">
        <f t="array" ref="K746">IF($A746="","",IFERROR((SUMPRODUCT((TRIM(tblDados[Mandante])=$A746)*tblDados[Primeira_Ocorrencia]*((tblDados[GM_M]+tblDados[GS_M])&gt;0.5))+SUMPRODUCT((TRIM(tblDados[Visitante])=$A746)*tblDados[Primeira_Ocorrencia]*((tblDados[GM_V]+tblDados[GS_V])&gt;0.5)))/G746,0))</f>
        <v/>
      </c>
      <c r="L746" s="16" t="str" cm="1">
        <f t="array" ref="L746">IF($A746="","",IFERROR((SUMPRODUCT((TRIM(tblDados[Mandante])=$A746)*tblDados[Primeira_Ocorrencia]*((tblDados[GM_M]+tblDados[GS_M])&gt;1.5))+SUMPRODUCT((TRIM(tblDados[Visitante])=$A746)*tblDados[Primeira_Ocorrencia]*((tblDados[GM_V]+tblDados[GS_V])&gt;1.5)))/G746,0))</f>
        <v/>
      </c>
      <c r="M746" s="16" t="str" cm="1">
        <f t="array" ref="M746">IF($A746="","",IFERROR((SUMPRODUCT((TRIM(tblDados[Mandante])=$A746)*tblDados[Primeira_Ocorrencia]*((tblDados[GM_M]+tblDados[GS_M])&gt;2.5))+SUMPRODUCT((TRIM(tblDados[Visitante])=$A746)*tblDados[Primeira_Ocorrencia]*((tblDados[GM_V]+tblDados[GS_V])&gt;2.5)))/G746,0))</f>
        <v/>
      </c>
      <c r="N746" s="16" t="str" cm="1">
        <f t="array" ref="N746">IF($A746="","",IFERROR((SUMPRODUCT((TRIM(tblDados[Mandante])=$A746)*tblDados[Primeira_Ocorrencia]*((tblDados[GM_M]+tblDados[GS_M])&gt;3.5))+SUMPRODUCT((TRIM(tblDados[Visitante])=$A746)*tblDados[Primeira_Ocorrencia]*((tblDados[GM_V]+tblDados[GS_V])&gt;3.5)))/G746,0))</f>
        <v/>
      </c>
      <c r="O746" s="16" t="str" cm="1">
        <f t="array" ref="O746">IF($A746="","",IFERROR((SUMPRODUCT((TRIM(tblDados[Mandante])=$A746)*tblDados[Primeira_Ocorrencia]*(tblDados[GM_M]&gt;0)*(tblDados[GS_M]&gt;0))+SUMPRODUCT((TRIM(tblDados[Visitante])=$A746)*tblDados[Primeira_Ocorrencia]*(tblDados[GM_V]&gt;0)*(tblDados[GS_V]&gt;0)))/G746,0))</f>
        <v/>
      </c>
      <c r="P746" s="14" t="str" cm="1">
        <f t="array" ref="P746">IF($A746="","",IFERROR((SUMPRODUCT((TRIM(tblDados[Mandante])=$A746)*tblDados[Primeira_Ocorrencia]*tblDados[GM_M]^2)+SUMPRODUCT((TRIM(tblDados[Visitante])=$A746)*tblDados[Primeira_Ocorrencia]*tblDados[GM_V]^2))/G746-H746^2,0))</f>
        <v/>
      </c>
      <c r="Q746" s="14" t="str">
        <f t="shared" si="200"/>
        <v/>
      </c>
      <c r="R746" s="1" t="str">
        <f t="shared" si="201"/>
        <v/>
      </c>
      <c r="S746" s="14" t="str" cm="1">
        <f t="array" ref="S746">IF($A746="","",SUMPRODUCT((TRIM(tblDados[Mandante])=$A746)*tblDados[Primeira_Ocorrencia]*tblDados[GM_M]))</f>
        <v/>
      </c>
      <c r="T746" s="14" t="str" cm="1">
        <f t="array" ref="T746">IF($A746="","",SUMPRODUCT((TRIM(tblDados[Visitante])=$A746)*tblDados[Primeira_Ocorrencia]*tblDados[GM_V]))</f>
        <v/>
      </c>
      <c r="U746" s="14" t="str">
        <f t="shared" si="202"/>
        <v/>
      </c>
      <c r="V746" s="14" t="str">
        <f t="shared" si="191"/>
        <v/>
      </c>
      <c r="W746" s="14" t="str" cm="1">
        <f t="array" ref="W746">IF($A746="","",SUMPRODUCT((TRIM(tblDados[Mandante])=$A746)*tblDados[Primeira_Ocorrencia]*tblDados[GS_M]))</f>
        <v/>
      </c>
      <c r="X746" s="14" t="str" cm="1">
        <f t="array" ref="X746">IF($A746="","",SUMPRODUCT((TRIM(tblDados[Visitante])=$A746)*tblDados[Primeira_Ocorrencia]*tblDados[GS_V]))</f>
        <v/>
      </c>
      <c r="Y746" s="14" t="str">
        <f t="shared" si="203"/>
        <v/>
      </c>
      <c r="Z746" s="14" t="str">
        <f t="shared" si="192"/>
        <v/>
      </c>
      <c r="AA746" s="14" t="str">
        <f t="shared" si="193"/>
        <v/>
      </c>
      <c r="AB746" s="14" t="str">
        <f t="shared" si="194"/>
        <v/>
      </c>
      <c r="AC746" s="14" t="str">
        <f t="shared" si="195"/>
        <v/>
      </c>
      <c r="AD746" s="14" t="str">
        <f t="shared" si="196"/>
        <v/>
      </c>
    </row>
    <row r="747" spans="2:30" x14ac:dyDescent="0.3">
      <c r="B747" s="13" t="str" cm="1">
        <f t="array" ref="B747">IF($A747="","",_xlfn.LET(_xlpm.p,IFERROR(INDEX(tblDados[País],MATCH($A747,TRIM(tblDados[Mandante]),0)),INDEX(tblDados[País],MATCH($A747,TRIM(tblDados[Visitante]),0))),_xlpm.l,IFERROR(INDEX(tblDados[Liga],MATCH($A747,TRIM(tblDados[Mandante]),0)),INDEX(tblDados[Liga],MATCH($A747,TRIM(tblDados[Visitante]),0))),_xlpm.p&amp;" - "&amp;_xlpm.l))</f>
        <v/>
      </c>
      <c r="C747" s="14" t="str">
        <f t="shared" si="197"/>
        <v/>
      </c>
      <c r="D747" s="14" t="str">
        <f t="shared" si="198"/>
        <v/>
      </c>
      <c r="E747" s="15" t="str" cm="1">
        <f t="array" ref="E747">IF($A747="","",SUMPRODUCT((TRIM(tblDados[Mandante])=$A747)*tblDados[Primeira_Ocorrencia]))</f>
        <v/>
      </c>
      <c r="F747" s="15" t="str" cm="1">
        <f t="array" ref="F747">IF($A747="","",SUMPRODUCT((TRIM(tblDados[Visitante])=$A747)*tblDados[Primeira_Ocorrencia]))</f>
        <v/>
      </c>
      <c r="G747" s="15" t="str" cm="1">
        <f t="array" ref="G747">IF($A747="","",SUMPRODUCT((TRIM(tblDados[Mandante])=$A747)*tblDados[Primeira_Ocorrencia])+SUMPRODUCT((TRIM(tblDados[Visitante])=$A747)*tblDados[Primeira_Ocorrencia]))</f>
        <v/>
      </c>
      <c r="H747" s="14" t="str">
        <f t="shared" si="199"/>
        <v/>
      </c>
      <c r="I747" s="14" t="str" cm="1">
        <f t="array" ref="I747">IF($A747="","",_xlfn.LET(_xlpm.p,IFERROR(INDEX(tblDados[País],MATCH($A747,TRIM(tblDados[Mandante]),0)),INDEX(tblDados[País],MATCH($A747,TRIM(tblDados[Visitante]),0))),_xlpm.l,IFERROR(INDEX(tblDados[Liga],MATCH($A747,TRIM(tblDados[Mandante]),0)),INDEX(tblDados[Liga],MATCH($A747,TRIM(tblDados[Visitante]),0))),IFERROR(SUMIFS(Ligas!$D$2:$D$39,Ligas!$H$2:$H$39,_xlpm.p,Ligas!$I$2:$I$39,_xlpm.l),0)))</f>
        <v/>
      </c>
      <c r="J747" s="16" t="str" cm="1">
        <f t="array" ref="J747">IF($A747="","",IFERROR((SUMPRODUCT((TRIM(tblDados[Mandante])=$A747)*tblDados[Primeira_Ocorrencia]*(tblDados[GM_M]=0))+SUMPRODUCT((TRIM(tblDados[Visitante])=$A747)*tblDados[Primeira_Ocorrencia]*(tblDados[GM_V]=0)))/G747,0))</f>
        <v/>
      </c>
      <c r="K747" s="16" t="str" cm="1">
        <f t="array" ref="K747">IF($A747="","",IFERROR((SUMPRODUCT((TRIM(tblDados[Mandante])=$A747)*tblDados[Primeira_Ocorrencia]*((tblDados[GM_M]+tblDados[GS_M])&gt;0.5))+SUMPRODUCT((TRIM(tblDados[Visitante])=$A747)*tblDados[Primeira_Ocorrencia]*((tblDados[GM_V]+tblDados[GS_V])&gt;0.5)))/G747,0))</f>
        <v/>
      </c>
      <c r="L747" s="16" t="str" cm="1">
        <f t="array" ref="L747">IF($A747="","",IFERROR((SUMPRODUCT((TRIM(tblDados[Mandante])=$A747)*tblDados[Primeira_Ocorrencia]*((tblDados[GM_M]+tblDados[GS_M])&gt;1.5))+SUMPRODUCT((TRIM(tblDados[Visitante])=$A747)*tblDados[Primeira_Ocorrencia]*((tblDados[GM_V]+tblDados[GS_V])&gt;1.5)))/G747,0))</f>
        <v/>
      </c>
      <c r="M747" s="16" t="str" cm="1">
        <f t="array" ref="M747">IF($A747="","",IFERROR((SUMPRODUCT((TRIM(tblDados[Mandante])=$A747)*tblDados[Primeira_Ocorrencia]*((tblDados[GM_M]+tblDados[GS_M])&gt;2.5))+SUMPRODUCT((TRIM(tblDados[Visitante])=$A747)*tblDados[Primeira_Ocorrencia]*((tblDados[GM_V]+tblDados[GS_V])&gt;2.5)))/G747,0))</f>
        <v/>
      </c>
      <c r="N747" s="16" t="str" cm="1">
        <f t="array" ref="N747">IF($A747="","",IFERROR((SUMPRODUCT((TRIM(tblDados[Mandante])=$A747)*tblDados[Primeira_Ocorrencia]*((tblDados[GM_M]+tblDados[GS_M])&gt;3.5))+SUMPRODUCT((TRIM(tblDados[Visitante])=$A747)*tblDados[Primeira_Ocorrencia]*((tblDados[GM_V]+tblDados[GS_V])&gt;3.5)))/G747,0))</f>
        <v/>
      </c>
      <c r="O747" s="16" t="str" cm="1">
        <f t="array" ref="O747">IF($A747="","",IFERROR((SUMPRODUCT((TRIM(tblDados[Mandante])=$A747)*tblDados[Primeira_Ocorrencia]*(tblDados[GM_M]&gt;0)*(tblDados[GS_M]&gt;0))+SUMPRODUCT((TRIM(tblDados[Visitante])=$A747)*tblDados[Primeira_Ocorrencia]*(tblDados[GM_V]&gt;0)*(tblDados[GS_V]&gt;0)))/G747,0))</f>
        <v/>
      </c>
      <c r="P747" s="14" t="str" cm="1">
        <f t="array" ref="P747">IF($A747="","",IFERROR((SUMPRODUCT((TRIM(tblDados[Mandante])=$A747)*tblDados[Primeira_Ocorrencia]*tblDados[GM_M]^2)+SUMPRODUCT((TRIM(tblDados[Visitante])=$A747)*tblDados[Primeira_Ocorrencia]*tblDados[GM_V]^2))/G747-H747^2,0))</f>
        <v/>
      </c>
      <c r="Q747" s="14" t="str">
        <f t="shared" si="200"/>
        <v/>
      </c>
      <c r="R747" s="1" t="str">
        <f t="shared" si="201"/>
        <v/>
      </c>
      <c r="S747" s="14" t="str" cm="1">
        <f t="array" ref="S747">IF($A747="","",SUMPRODUCT((TRIM(tblDados[Mandante])=$A747)*tblDados[Primeira_Ocorrencia]*tblDados[GM_M]))</f>
        <v/>
      </c>
      <c r="T747" s="14" t="str" cm="1">
        <f t="array" ref="T747">IF($A747="","",SUMPRODUCT((TRIM(tblDados[Visitante])=$A747)*tblDados[Primeira_Ocorrencia]*tblDados[GM_V]))</f>
        <v/>
      </c>
      <c r="U747" s="14" t="str">
        <f t="shared" si="202"/>
        <v/>
      </c>
      <c r="V747" s="14" t="str">
        <f t="shared" si="191"/>
        <v/>
      </c>
      <c r="W747" s="14" t="str" cm="1">
        <f t="array" ref="W747">IF($A747="","",SUMPRODUCT((TRIM(tblDados[Mandante])=$A747)*tblDados[Primeira_Ocorrencia]*tblDados[GS_M]))</f>
        <v/>
      </c>
      <c r="X747" s="14" t="str" cm="1">
        <f t="array" ref="X747">IF($A747="","",SUMPRODUCT((TRIM(tblDados[Visitante])=$A747)*tblDados[Primeira_Ocorrencia]*tblDados[GS_V]))</f>
        <v/>
      </c>
      <c r="Y747" s="14" t="str">
        <f t="shared" si="203"/>
        <v/>
      </c>
      <c r="Z747" s="14" t="str">
        <f t="shared" si="192"/>
        <v/>
      </c>
      <c r="AA747" s="14" t="str">
        <f t="shared" si="193"/>
        <v/>
      </c>
      <c r="AB747" s="14" t="str">
        <f t="shared" si="194"/>
        <v/>
      </c>
      <c r="AC747" s="14" t="str">
        <f t="shared" si="195"/>
        <v/>
      </c>
      <c r="AD747" s="14" t="str">
        <f t="shared" si="196"/>
        <v/>
      </c>
    </row>
    <row r="748" spans="2:30" x14ac:dyDescent="0.3">
      <c r="B748" s="13" t="str" cm="1">
        <f t="array" ref="B748">IF($A748="","",_xlfn.LET(_xlpm.p,IFERROR(INDEX(tblDados[País],MATCH($A748,TRIM(tblDados[Mandante]),0)),INDEX(tblDados[País],MATCH($A748,TRIM(tblDados[Visitante]),0))),_xlpm.l,IFERROR(INDEX(tblDados[Liga],MATCH($A748,TRIM(tblDados[Mandante]),0)),INDEX(tblDados[Liga],MATCH($A748,TRIM(tblDados[Visitante]),0))),_xlpm.p&amp;" - "&amp;_xlpm.l))</f>
        <v/>
      </c>
      <c r="C748" s="14" t="str">
        <f t="shared" si="197"/>
        <v/>
      </c>
      <c r="D748" s="14" t="str">
        <f t="shared" si="198"/>
        <v/>
      </c>
      <c r="E748" s="15" t="str" cm="1">
        <f t="array" ref="E748">IF($A748="","",SUMPRODUCT((TRIM(tblDados[Mandante])=$A748)*tblDados[Primeira_Ocorrencia]))</f>
        <v/>
      </c>
      <c r="F748" s="15" t="str" cm="1">
        <f t="array" ref="F748">IF($A748="","",SUMPRODUCT((TRIM(tblDados[Visitante])=$A748)*tblDados[Primeira_Ocorrencia]))</f>
        <v/>
      </c>
      <c r="G748" s="15" t="str" cm="1">
        <f t="array" ref="G748">IF($A748="","",SUMPRODUCT((TRIM(tblDados[Mandante])=$A748)*tblDados[Primeira_Ocorrencia])+SUMPRODUCT((TRIM(tblDados[Visitante])=$A748)*tblDados[Primeira_Ocorrencia]))</f>
        <v/>
      </c>
      <c r="H748" s="14" t="str">
        <f t="shared" si="199"/>
        <v/>
      </c>
      <c r="I748" s="14" t="str" cm="1">
        <f t="array" ref="I748">IF($A748="","",_xlfn.LET(_xlpm.p,IFERROR(INDEX(tblDados[País],MATCH($A748,TRIM(tblDados[Mandante]),0)),INDEX(tblDados[País],MATCH($A748,TRIM(tblDados[Visitante]),0))),_xlpm.l,IFERROR(INDEX(tblDados[Liga],MATCH($A748,TRIM(tblDados[Mandante]),0)),INDEX(tblDados[Liga],MATCH($A748,TRIM(tblDados[Visitante]),0))),IFERROR(SUMIFS(Ligas!$D$2:$D$39,Ligas!$H$2:$H$39,_xlpm.p,Ligas!$I$2:$I$39,_xlpm.l),0)))</f>
        <v/>
      </c>
      <c r="J748" s="16" t="str" cm="1">
        <f t="array" ref="J748">IF($A748="","",IFERROR((SUMPRODUCT((TRIM(tblDados[Mandante])=$A748)*tblDados[Primeira_Ocorrencia]*(tblDados[GM_M]=0))+SUMPRODUCT((TRIM(tblDados[Visitante])=$A748)*tblDados[Primeira_Ocorrencia]*(tblDados[GM_V]=0)))/G748,0))</f>
        <v/>
      </c>
      <c r="K748" s="16" t="str" cm="1">
        <f t="array" ref="K748">IF($A748="","",IFERROR((SUMPRODUCT((TRIM(tblDados[Mandante])=$A748)*tblDados[Primeira_Ocorrencia]*((tblDados[GM_M]+tblDados[GS_M])&gt;0.5))+SUMPRODUCT((TRIM(tblDados[Visitante])=$A748)*tblDados[Primeira_Ocorrencia]*((tblDados[GM_V]+tblDados[GS_V])&gt;0.5)))/G748,0))</f>
        <v/>
      </c>
      <c r="L748" s="16" t="str" cm="1">
        <f t="array" ref="L748">IF($A748="","",IFERROR((SUMPRODUCT((TRIM(tblDados[Mandante])=$A748)*tblDados[Primeira_Ocorrencia]*((tblDados[GM_M]+tblDados[GS_M])&gt;1.5))+SUMPRODUCT((TRIM(tblDados[Visitante])=$A748)*tblDados[Primeira_Ocorrencia]*((tblDados[GM_V]+tblDados[GS_V])&gt;1.5)))/G748,0))</f>
        <v/>
      </c>
      <c r="M748" s="16" t="str" cm="1">
        <f t="array" ref="M748">IF($A748="","",IFERROR((SUMPRODUCT((TRIM(tblDados[Mandante])=$A748)*tblDados[Primeira_Ocorrencia]*((tblDados[GM_M]+tblDados[GS_M])&gt;2.5))+SUMPRODUCT((TRIM(tblDados[Visitante])=$A748)*tblDados[Primeira_Ocorrencia]*((tblDados[GM_V]+tblDados[GS_V])&gt;2.5)))/G748,0))</f>
        <v/>
      </c>
      <c r="N748" s="16" t="str" cm="1">
        <f t="array" ref="N748">IF($A748="","",IFERROR((SUMPRODUCT((TRIM(tblDados[Mandante])=$A748)*tblDados[Primeira_Ocorrencia]*((tblDados[GM_M]+tblDados[GS_M])&gt;3.5))+SUMPRODUCT((TRIM(tblDados[Visitante])=$A748)*tblDados[Primeira_Ocorrencia]*((tblDados[GM_V]+tblDados[GS_V])&gt;3.5)))/G748,0))</f>
        <v/>
      </c>
      <c r="O748" s="16" t="str" cm="1">
        <f t="array" ref="O748">IF($A748="","",IFERROR((SUMPRODUCT((TRIM(tblDados[Mandante])=$A748)*tblDados[Primeira_Ocorrencia]*(tblDados[GM_M]&gt;0)*(tblDados[GS_M]&gt;0))+SUMPRODUCT((TRIM(tblDados[Visitante])=$A748)*tblDados[Primeira_Ocorrencia]*(tblDados[GM_V]&gt;0)*(tblDados[GS_V]&gt;0)))/G748,0))</f>
        <v/>
      </c>
      <c r="P748" s="14" t="str" cm="1">
        <f t="array" ref="P748">IF($A748="","",IFERROR((SUMPRODUCT((TRIM(tblDados[Mandante])=$A748)*tblDados[Primeira_Ocorrencia]*tblDados[GM_M]^2)+SUMPRODUCT((TRIM(tblDados[Visitante])=$A748)*tblDados[Primeira_Ocorrencia]*tblDados[GM_V]^2))/G748-H748^2,0))</f>
        <v/>
      </c>
      <c r="Q748" s="14" t="str">
        <f t="shared" si="200"/>
        <v/>
      </c>
      <c r="R748" s="1" t="str">
        <f t="shared" si="201"/>
        <v/>
      </c>
      <c r="S748" s="14" t="str" cm="1">
        <f t="array" ref="S748">IF($A748="","",SUMPRODUCT((TRIM(tblDados[Mandante])=$A748)*tblDados[Primeira_Ocorrencia]*tblDados[GM_M]))</f>
        <v/>
      </c>
      <c r="T748" s="14" t="str" cm="1">
        <f t="array" ref="T748">IF($A748="","",SUMPRODUCT((TRIM(tblDados[Visitante])=$A748)*tblDados[Primeira_Ocorrencia]*tblDados[GM_V]))</f>
        <v/>
      </c>
      <c r="U748" s="14" t="str">
        <f t="shared" si="202"/>
        <v/>
      </c>
      <c r="V748" s="14" t="str">
        <f t="shared" si="191"/>
        <v/>
      </c>
      <c r="W748" s="14" t="str" cm="1">
        <f t="array" ref="W748">IF($A748="","",SUMPRODUCT((TRIM(tblDados[Mandante])=$A748)*tblDados[Primeira_Ocorrencia]*tblDados[GS_M]))</f>
        <v/>
      </c>
      <c r="X748" s="14" t="str" cm="1">
        <f t="array" ref="X748">IF($A748="","",SUMPRODUCT((TRIM(tblDados[Visitante])=$A748)*tblDados[Primeira_Ocorrencia]*tblDados[GS_V]))</f>
        <v/>
      </c>
      <c r="Y748" s="14" t="str">
        <f t="shared" si="203"/>
        <v/>
      </c>
      <c r="Z748" s="14" t="str">
        <f t="shared" si="192"/>
        <v/>
      </c>
      <c r="AA748" s="14" t="str">
        <f t="shared" si="193"/>
        <v/>
      </c>
      <c r="AB748" s="14" t="str">
        <f t="shared" si="194"/>
        <v/>
      </c>
      <c r="AC748" s="14" t="str">
        <f t="shared" si="195"/>
        <v/>
      </c>
      <c r="AD748" s="14" t="str">
        <f t="shared" si="196"/>
        <v/>
      </c>
    </row>
    <row r="749" spans="2:30" x14ac:dyDescent="0.3">
      <c r="B749" s="13" t="str" cm="1">
        <f t="array" ref="B749">IF($A749="","",_xlfn.LET(_xlpm.p,IFERROR(INDEX(tblDados[País],MATCH($A749,TRIM(tblDados[Mandante]),0)),INDEX(tblDados[País],MATCH($A749,TRIM(tblDados[Visitante]),0))),_xlpm.l,IFERROR(INDEX(tblDados[Liga],MATCH($A749,TRIM(tblDados[Mandante]),0)),INDEX(tblDados[Liga],MATCH($A749,TRIM(tblDados[Visitante]),0))),_xlpm.p&amp;" - "&amp;_xlpm.l))</f>
        <v/>
      </c>
      <c r="C749" s="14" t="str">
        <f t="shared" si="197"/>
        <v/>
      </c>
      <c r="D749" s="14" t="str">
        <f t="shared" si="198"/>
        <v/>
      </c>
      <c r="E749" s="15" t="str" cm="1">
        <f t="array" ref="E749">IF($A749="","",SUMPRODUCT((TRIM(tblDados[Mandante])=$A749)*tblDados[Primeira_Ocorrencia]))</f>
        <v/>
      </c>
      <c r="F749" s="15" t="str" cm="1">
        <f t="array" ref="F749">IF($A749="","",SUMPRODUCT((TRIM(tblDados[Visitante])=$A749)*tblDados[Primeira_Ocorrencia]))</f>
        <v/>
      </c>
      <c r="G749" s="15" t="str" cm="1">
        <f t="array" ref="G749">IF($A749="","",SUMPRODUCT((TRIM(tblDados[Mandante])=$A749)*tblDados[Primeira_Ocorrencia])+SUMPRODUCT((TRIM(tblDados[Visitante])=$A749)*tblDados[Primeira_Ocorrencia]))</f>
        <v/>
      </c>
      <c r="H749" s="14" t="str">
        <f t="shared" si="199"/>
        <v/>
      </c>
      <c r="I749" s="14" t="str" cm="1">
        <f t="array" ref="I749">IF($A749="","",_xlfn.LET(_xlpm.p,IFERROR(INDEX(tblDados[País],MATCH($A749,TRIM(tblDados[Mandante]),0)),INDEX(tblDados[País],MATCH($A749,TRIM(tblDados[Visitante]),0))),_xlpm.l,IFERROR(INDEX(tblDados[Liga],MATCH($A749,TRIM(tblDados[Mandante]),0)),INDEX(tblDados[Liga],MATCH($A749,TRIM(tblDados[Visitante]),0))),IFERROR(SUMIFS(Ligas!$D$2:$D$39,Ligas!$H$2:$H$39,_xlpm.p,Ligas!$I$2:$I$39,_xlpm.l),0)))</f>
        <v/>
      </c>
      <c r="J749" s="16" t="str" cm="1">
        <f t="array" ref="J749">IF($A749="","",IFERROR((SUMPRODUCT((TRIM(tblDados[Mandante])=$A749)*tblDados[Primeira_Ocorrencia]*(tblDados[GM_M]=0))+SUMPRODUCT((TRIM(tblDados[Visitante])=$A749)*tblDados[Primeira_Ocorrencia]*(tblDados[GM_V]=0)))/G749,0))</f>
        <v/>
      </c>
      <c r="K749" s="16" t="str" cm="1">
        <f t="array" ref="K749">IF($A749="","",IFERROR((SUMPRODUCT((TRIM(tblDados[Mandante])=$A749)*tblDados[Primeira_Ocorrencia]*((tblDados[GM_M]+tblDados[GS_M])&gt;0.5))+SUMPRODUCT((TRIM(tblDados[Visitante])=$A749)*tblDados[Primeira_Ocorrencia]*((tblDados[GM_V]+tblDados[GS_V])&gt;0.5)))/G749,0))</f>
        <v/>
      </c>
      <c r="L749" s="16" t="str" cm="1">
        <f t="array" ref="L749">IF($A749="","",IFERROR((SUMPRODUCT((TRIM(tblDados[Mandante])=$A749)*tblDados[Primeira_Ocorrencia]*((tblDados[GM_M]+tblDados[GS_M])&gt;1.5))+SUMPRODUCT((TRIM(tblDados[Visitante])=$A749)*tblDados[Primeira_Ocorrencia]*((tblDados[GM_V]+tblDados[GS_V])&gt;1.5)))/G749,0))</f>
        <v/>
      </c>
      <c r="M749" s="16" t="str" cm="1">
        <f t="array" ref="M749">IF($A749="","",IFERROR((SUMPRODUCT((TRIM(tblDados[Mandante])=$A749)*tblDados[Primeira_Ocorrencia]*((tblDados[GM_M]+tblDados[GS_M])&gt;2.5))+SUMPRODUCT((TRIM(tblDados[Visitante])=$A749)*tblDados[Primeira_Ocorrencia]*((tblDados[GM_V]+tblDados[GS_V])&gt;2.5)))/G749,0))</f>
        <v/>
      </c>
      <c r="N749" s="16" t="str" cm="1">
        <f t="array" ref="N749">IF($A749="","",IFERROR((SUMPRODUCT((TRIM(tblDados[Mandante])=$A749)*tblDados[Primeira_Ocorrencia]*((tblDados[GM_M]+tblDados[GS_M])&gt;3.5))+SUMPRODUCT((TRIM(tblDados[Visitante])=$A749)*tblDados[Primeira_Ocorrencia]*((tblDados[GM_V]+tblDados[GS_V])&gt;3.5)))/G749,0))</f>
        <v/>
      </c>
      <c r="O749" s="16" t="str" cm="1">
        <f t="array" ref="O749">IF($A749="","",IFERROR((SUMPRODUCT((TRIM(tblDados[Mandante])=$A749)*tblDados[Primeira_Ocorrencia]*(tblDados[GM_M]&gt;0)*(tblDados[GS_M]&gt;0))+SUMPRODUCT((TRIM(tblDados[Visitante])=$A749)*tblDados[Primeira_Ocorrencia]*(tblDados[GM_V]&gt;0)*(tblDados[GS_V]&gt;0)))/G749,0))</f>
        <v/>
      </c>
      <c r="P749" s="14" t="str" cm="1">
        <f t="array" ref="P749">IF($A749="","",IFERROR((SUMPRODUCT((TRIM(tblDados[Mandante])=$A749)*tblDados[Primeira_Ocorrencia]*tblDados[GM_M]^2)+SUMPRODUCT((TRIM(tblDados[Visitante])=$A749)*tblDados[Primeira_Ocorrencia]*tblDados[GM_V]^2))/G749-H749^2,0))</f>
        <v/>
      </c>
      <c r="Q749" s="14" t="str">
        <f t="shared" si="200"/>
        <v/>
      </c>
      <c r="R749" s="1" t="str">
        <f t="shared" si="201"/>
        <v/>
      </c>
      <c r="S749" s="14" t="str" cm="1">
        <f t="array" ref="S749">IF($A749="","",SUMPRODUCT((TRIM(tblDados[Mandante])=$A749)*tblDados[Primeira_Ocorrencia]*tblDados[GM_M]))</f>
        <v/>
      </c>
      <c r="T749" s="14" t="str" cm="1">
        <f t="array" ref="T749">IF($A749="","",SUMPRODUCT((TRIM(tblDados[Visitante])=$A749)*tblDados[Primeira_Ocorrencia]*tblDados[GM_V]))</f>
        <v/>
      </c>
      <c r="U749" s="14" t="str">
        <f t="shared" si="202"/>
        <v/>
      </c>
      <c r="V749" s="14" t="str">
        <f t="shared" si="191"/>
        <v/>
      </c>
      <c r="W749" s="14" t="str" cm="1">
        <f t="array" ref="W749">IF($A749="","",SUMPRODUCT((TRIM(tblDados[Mandante])=$A749)*tblDados[Primeira_Ocorrencia]*tblDados[GS_M]))</f>
        <v/>
      </c>
      <c r="X749" s="14" t="str" cm="1">
        <f t="array" ref="X749">IF($A749="","",SUMPRODUCT((TRIM(tblDados[Visitante])=$A749)*tblDados[Primeira_Ocorrencia]*tblDados[GS_V]))</f>
        <v/>
      </c>
      <c r="Y749" s="14" t="str">
        <f t="shared" si="203"/>
        <v/>
      </c>
      <c r="Z749" s="14" t="str">
        <f t="shared" si="192"/>
        <v/>
      </c>
      <c r="AA749" s="14" t="str">
        <f t="shared" si="193"/>
        <v/>
      </c>
      <c r="AB749" s="14" t="str">
        <f t="shared" si="194"/>
        <v/>
      </c>
      <c r="AC749" s="14" t="str">
        <f t="shared" si="195"/>
        <v/>
      </c>
      <c r="AD749" s="14" t="str">
        <f t="shared" si="196"/>
        <v/>
      </c>
    </row>
    <row r="750" spans="2:30" x14ac:dyDescent="0.3">
      <c r="B750" s="13" t="str" cm="1">
        <f t="array" ref="B750">IF($A750="","",_xlfn.LET(_xlpm.p,IFERROR(INDEX(tblDados[País],MATCH($A750,TRIM(tblDados[Mandante]),0)),INDEX(tblDados[País],MATCH($A750,TRIM(tblDados[Visitante]),0))),_xlpm.l,IFERROR(INDEX(tblDados[Liga],MATCH($A750,TRIM(tblDados[Mandante]),0)),INDEX(tblDados[Liga],MATCH($A750,TRIM(tblDados[Visitante]),0))),_xlpm.p&amp;" - "&amp;_xlpm.l))</f>
        <v/>
      </c>
      <c r="C750" s="14" t="str">
        <f t="shared" si="197"/>
        <v/>
      </c>
      <c r="D750" s="14" t="str">
        <f t="shared" si="198"/>
        <v/>
      </c>
      <c r="E750" s="15" t="str" cm="1">
        <f t="array" ref="E750">IF($A750="","",SUMPRODUCT((TRIM(tblDados[Mandante])=$A750)*tblDados[Primeira_Ocorrencia]))</f>
        <v/>
      </c>
      <c r="F750" s="15" t="str" cm="1">
        <f t="array" ref="F750">IF($A750="","",SUMPRODUCT((TRIM(tblDados[Visitante])=$A750)*tblDados[Primeira_Ocorrencia]))</f>
        <v/>
      </c>
      <c r="G750" s="15" t="str" cm="1">
        <f t="array" ref="G750">IF($A750="","",SUMPRODUCT((TRIM(tblDados[Mandante])=$A750)*tblDados[Primeira_Ocorrencia])+SUMPRODUCT((TRIM(tblDados[Visitante])=$A750)*tblDados[Primeira_Ocorrencia]))</f>
        <v/>
      </c>
      <c r="H750" s="14" t="str">
        <f t="shared" si="199"/>
        <v/>
      </c>
      <c r="I750" s="14" t="str" cm="1">
        <f t="array" ref="I750">IF($A750="","",_xlfn.LET(_xlpm.p,IFERROR(INDEX(tblDados[País],MATCH($A750,TRIM(tblDados[Mandante]),0)),INDEX(tblDados[País],MATCH($A750,TRIM(tblDados[Visitante]),0))),_xlpm.l,IFERROR(INDEX(tblDados[Liga],MATCH($A750,TRIM(tblDados[Mandante]),0)),INDEX(tblDados[Liga],MATCH($A750,TRIM(tblDados[Visitante]),0))),IFERROR(SUMIFS(Ligas!$D$2:$D$39,Ligas!$H$2:$H$39,_xlpm.p,Ligas!$I$2:$I$39,_xlpm.l),0)))</f>
        <v/>
      </c>
      <c r="J750" s="16" t="str" cm="1">
        <f t="array" ref="J750">IF($A750="","",IFERROR((SUMPRODUCT((TRIM(tblDados[Mandante])=$A750)*tblDados[Primeira_Ocorrencia]*(tblDados[GM_M]=0))+SUMPRODUCT((TRIM(tblDados[Visitante])=$A750)*tblDados[Primeira_Ocorrencia]*(tblDados[GM_V]=0)))/G750,0))</f>
        <v/>
      </c>
      <c r="K750" s="16" t="str" cm="1">
        <f t="array" ref="K750">IF($A750="","",IFERROR((SUMPRODUCT((TRIM(tblDados[Mandante])=$A750)*tblDados[Primeira_Ocorrencia]*((tblDados[GM_M]+tblDados[GS_M])&gt;0.5))+SUMPRODUCT((TRIM(tblDados[Visitante])=$A750)*tblDados[Primeira_Ocorrencia]*((tblDados[GM_V]+tblDados[GS_V])&gt;0.5)))/G750,0))</f>
        <v/>
      </c>
      <c r="L750" s="16" t="str" cm="1">
        <f t="array" ref="L750">IF($A750="","",IFERROR((SUMPRODUCT((TRIM(tblDados[Mandante])=$A750)*tblDados[Primeira_Ocorrencia]*((tblDados[GM_M]+tblDados[GS_M])&gt;1.5))+SUMPRODUCT((TRIM(tblDados[Visitante])=$A750)*tblDados[Primeira_Ocorrencia]*((tblDados[GM_V]+tblDados[GS_V])&gt;1.5)))/G750,0))</f>
        <v/>
      </c>
      <c r="M750" s="16" t="str" cm="1">
        <f t="array" ref="M750">IF($A750="","",IFERROR((SUMPRODUCT((TRIM(tblDados[Mandante])=$A750)*tblDados[Primeira_Ocorrencia]*((tblDados[GM_M]+tblDados[GS_M])&gt;2.5))+SUMPRODUCT((TRIM(tblDados[Visitante])=$A750)*tblDados[Primeira_Ocorrencia]*((tblDados[GM_V]+tblDados[GS_V])&gt;2.5)))/G750,0))</f>
        <v/>
      </c>
      <c r="N750" s="16" t="str" cm="1">
        <f t="array" ref="N750">IF($A750="","",IFERROR((SUMPRODUCT((TRIM(tblDados[Mandante])=$A750)*tblDados[Primeira_Ocorrencia]*((tblDados[GM_M]+tblDados[GS_M])&gt;3.5))+SUMPRODUCT((TRIM(tblDados[Visitante])=$A750)*tblDados[Primeira_Ocorrencia]*((tblDados[GM_V]+tblDados[GS_V])&gt;3.5)))/G750,0))</f>
        <v/>
      </c>
      <c r="O750" s="16" t="str" cm="1">
        <f t="array" ref="O750">IF($A750="","",IFERROR((SUMPRODUCT((TRIM(tblDados[Mandante])=$A750)*tblDados[Primeira_Ocorrencia]*(tblDados[GM_M]&gt;0)*(tblDados[GS_M]&gt;0))+SUMPRODUCT((TRIM(tblDados[Visitante])=$A750)*tblDados[Primeira_Ocorrencia]*(tblDados[GM_V]&gt;0)*(tblDados[GS_V]&gt;0)))/G750,0))</f>
        <v/>
      </c>
      <c r="P750" s="14" t="str" cm="1">
        <f t="array" ref="P750">IF($A750="","",IFERROR((SUMPRODUCT((TRIM(tblDados[Mandante])=$A750)*tblDados[Primeira_Ocorrencia]*tblDados[GM_M]^2)+SUMPRODUCT((TRIM(tblDados[Visitante])=$A750)*tblDados[Primeira_Ocorrencia]*tblDados[GM_V]^2))/G750-H750^2,0))</f>
        <v/>
      </c>
      <c r="Q750" s="14" t="str">
        <f t="shared" si="200"/>
        <v/>
      </c>
      <c r="R750" s="1" t="str">
        <f t="shared" si="201"/>
        <v/>
      </c>
      <c r="S750" s="14" t="str" cm="1">
        <f t="array" ref="S750">IF($A750="","",SUMPRODUCT((TRIM(tblDados[Mandante])=$A750)*tblDados[Primeira_Ocorrencia]*tblDados[GM_M]))</f>
        <v/>
      </c>
      <c r="T750" s="14" t="str" cm="1">
        <f t="array" ref="T750">IF($A750="","",SUMPRODUCT((TRIM(tblDados[Visitante])=$A750)*tblDados[Primeira_Ocorrencia]*tblDados[GM_V]))</f>
        <v/>
      </c>
      <c r="U750" s="14" t="str">
        <f t="shared" si="202"/>
        <v/>
      </c>
      <c r="V750" s="14" t="str">
        <f t="shared" si="191"/>
        <v/>
      </c>
      <c r="W750" s="14" t="str" cm="1">
        <f t="array" ref="W750">IF($A750="","",SUMPRODUCT((TRIM(tblDados[Mandante])=$A750)*tblDados[Primeira_Ocorrencia]*tblDados[GS_M]))</f>
        <v/>
      </c>
      <c r="X750" s="14" t="str" cm="1">
        <f t="array" ref="X750">IF($A750="","",SUMPRODUCT((TRIM(tblDados[Visitante])=$A750)*tblDados[Primeira_Ocorrencia]*tblDados[GS_V]))</f>
        <v/>
      </c>
      <c r="Y750" s="14" t="str">
        <f t="shared" si="203"/>
        <v/>
      </c>
      <c r="Z750" s="14" t="str">
        <f t="shared" si="192"/>
        <v/>
      </c>
      <c r="AA750" s="14" t="str">
        <f t="shared" si="193"/>
        <v/>
      </c>
      <c r="AB750" s="14" t="str">
        <f t="shared" si="194"/>
        <v/>
      </c>
      <c r="AC750" s="14" t="str">
        <f t="shared" si="195"/>
        <v/>
      </c>
      <c r="AD750" s="14" t="str">
        <f t="shared" si="196"/>
        <v/>
      </c>
    </row>
    <row r="751" spans="2:30" x14ac:dyDescent="0.3">
      <c r="B751" s="13" t="str" cm="1">
        <f t="array" ref="B751">IF($A751="","",_xlfn.LET(_xlpm.p,IFERROR(INDEX(tblDados[País],MATCH($A751,TRIM(tblDados[Mandante]),0)),INDEX(tblDados[País],MATCH($A751,TRIM(tblDados[Visitante]),0))),_xlpm.l,IFERROR(INDEX(tblDados[Liga],MATCH($A751,TRIM(tblDados[Mandante]),0)),INDEX(tblDados[Liga],MATCH($A751,TRIM(tblDados[Visitante]),0))),_xlpm.p&amp;" - "&amp;_xlpm.l))</f>
        <v/>
      </c>
      <c r="C751" s="14" t="str">
        <f t="shared" si="197"/>
        <v/>
      </c>
      <c r="D751" s="14" t="str">
        <f t="shared" si="198"/>
        <v/>
      </c>
      <c r="E751" s="15" t="str" cm="1">
        <f t="array" ref="E751">IF($A751="","",SUMPRODUCT((TRIM(tblDados[Mandante])=$A751)*tblDados[Primeira_Ocorrencia]))</f>
        <v/>
      </c>
      <c r="F751" s="15" t="str" cm="1">
        <f t="array" ref="F751">IF($A751="","",SUMPRODUCT((TRIM(tblDados[Visitante])=$A751)*tblDados[Primeira_Ocorrencia]))</f>
        <v/>
      </c>
      <c r="G751" s="15" t="str" cm="1">
        <f t="array" ref="G751">IF($A751="","",SUMPRODUCT((TRIM(tblDados[Mandante])=$A751)*tblDados[Primeira_Ocorrencia])+SUMPRODUCT((TRIM(tblDados[Visitante])=$A751)*tblDados[Primeira_Ocorrencia]))</f>
        <v/>
      </c>
      <c r="H751" s="14" t="str">
        <f t="shared" si="199"/>
        <v/>
      </c>
      <c r="I751" s="14" t="str" cm="1">
        <f t="array" ref="I751">IF($A751="","",_xlfn.LET(_xlpm.p,IFERROR(INDEX(tblDados[País],MATCH($A751,TRIM(tblDados[Mandante]),0)),INDEX(tblDados[País],MATCH($A751,TRIM(tblDados[Visitante]),0))),_xlpm.l,IFERROR(INDEX(tblDados[Liga],MATCH($A751,TRIM(tblDados[Mandante]),0)),INDEX(tblDados[Liga],MATCH($A751,TRIM(tblDados[Visitante]),0))),IFERROR(SUMIFS(Ligas!$D$2:$D$39,Ligas!$H$2:$H$39,_xlpm.p,Ligas!$I$2:$I$39,_xlpm.l),0)))</f>
        <v/>
      </c>
      <c r="J751" s="16" t="str" cm="1">
        <f t="array" ref="J751">IF($A751="","",IFERROR((SUMPRODUCT((TRIM(tblDados[Mandante])=$A751)*tblDados[Primeira_Ocorrencia]*(tblDados[GM_M]=0))+SUMPRODUCT((TRIM(tblDados[Visitante])=$A751)*tblDados[Primeira_Ocorrencia]*(tblDados[GM_V]=0)))/G751,0))</f>
        <v/>
      </c>
      <c r="K751" s="16" t="str" cm="1">
        <f t="array" ref="K751">IF($A751="","",IFERROR((SUMPRODUCT((TRIM(tblDados[Mandante])=$A751)*tblDados[Primeira_Ocorrencia]*((tblDados[GM_M]+tblDados[GS_M])&gt;0.5))+SUMPRODUCT((TRIM(tblDados[Visitante])=$A751)*tblDados[Primeira_Ocorrencia]*((tblDados[GM_V]+tblDados[GS_V])&gt;0.5)))/G751,0))</f>
        <v/>
      </c>
      <c r="L751" s="16" t="str" cm="1">
        <f t="array" ref="L751">IF($A751="","",IFERROR((SUMPRODUCT((TRIM(tblDados[Mandante])=$A751)*tblDados[Primeira_Ocorrencia]*((tblDados[GM_M]+tblDados[GS_M])&gt;1.5))+SUMPRODUCT((TRIM(tblDados[Visitante])=$A751)*tblDados[Primeira_Ocorrencia]*((tblDados[GM_V]+tblDados[GS_V])&gt;1.5)))/G751,0))</f>
        <v/>
      </c>
      <c r="M751" s="16" t="str" cm="1">
        <f t="array" ref="M751">IF($A751="","",IFERROR((SUMPRODUCT((TRIM(tblDados[Mandante])=$A751)*tblDados[Primeira_Ocorrencia]*((tblDados[GM_M]+tblDados[GS_M])&gt;2.5))+SUMPRODUCT((TRIM(tblDados[Visitante])=$A751)*tblDados[Primeira_Ocorrencia]*((tblDados[GM_V]+tblDados[GS_V])&gt;2.5)))/G751,0))</f>
        <v/>
      </c>
      <c r="N751" s="16" t="str" cm="1">
        <f t="array" ref="N751">IF($A751="","",IFERROR((SUMPRODUCT((TRIM(tblDados[Mandante])=$A751)*tblDados[Primeira_Ocorrencia]*((tblDados[GM_M]+tblDados[GS_M])&gt;3.5))+SUMPRODUCT((TRIM(tblDados[Visitante])=$A751)*tblDados[Primeira_Ocorrencia]*((tblDados[GM_V]+tblDados[GS_V])&gt;3.5)))/G751,0))</f>
        <v/>
      </c>
      <c r="O751" s="16" t="str" cm="1">
        <f t="array" ref="O751">IF($A751="","",IFERROR((SUMPRODUCT((TRIM(tblDados[Mandante])=$A751)*tblDados[Primeira_Ocorrencia]*(tblDados[GM_M]&gt;0)*(tblDados[GS_M]&gt;0))+SUMPRODUCT((TRIM(tblDados[Visitante])=$A751)*tblDados[Primeira_Ocorrencia]*(tblDados[GM_V]&gt;0)*(tblDados[GS_V]&gt;0)))/G751,0))</f>
        <v/>
      </c>
      <c r="P751" s="14" t="str" cm="1">
        <f t="array" ref="P751">IF($A751="","",IFERROR((SUMPRODUCT((TRIM(tblDados[Mandante])=$A751)*tblDados[Primeira_Ocorrencia]*tblDados[GM_M]^2)+SUMPRODUCT((TRIM(tblDados[Visitante])=$A751)*tblDados[Primeira_Ocorrencia]*tblDados[GM_V]^2))/G751-H751^2,0))</f>
        <v/>
      </c>
      <c r="Q751" s="14" t="str">
        <f t="shared" si="200"/>
        <v/>
      </c>
      <c r="R751" s="1" t="str">
        <f t="shared" si="201"/>
        <v/>
      </c>
      <c r="S751" s="14" t="str" cm="1">
        <f t="array" ref="S751">IF($A751="","",SUMPRODUCT((TRIM(tblDados[Mandante])=$A751)*tblDados[Primeira_Ocorrencia]*tblDados[GM_M]))</f>
        <v/>
      </c>
      <c r="T751" s="14" t="str" cm="1">
        <f t="array" ref="T751">IF($A751="","",SUMPRODUCT((TRIM(tblDados[Visitante])=$A751)*tblDados[Primeira_Ocorrencia]*tblDados[GM_V]))</f>
        <v/>
      </c>
      <c r="U751" s="14" t="str">
        <f t="shared" si="202"/>
        <v/>
      </c>
      <c r="V751" s="14" t="str">
        <f t="shared" si="191"/>
        <v/>
      </c>
      <c r="W751" s="14" t="str" cm="1">
        <f t="array" ref="W751">IF($A751="","",SUMPRODUCT((TRIM(tblDados[Mandante])=$A751)*tblDados[Primeira_Ocorrencia]*tblDados[GS_M]))</f>
        <v/>
      </c>
      <c r="X751" s="14" t="str" cm="1">
        <f t="array" ref="X751">IF($A751="","",SUMPRODUCT((TRIM(tblDados[Visitante])=$A751)*tblDados[Primeira_Ocorrencia]*tblDados[GS_V]))</f>
        <v/>
      </c>
      <c r="Y751" s="14" t="str">
        <f t="shared" si="203"/>
        <v/>
      </c>
      <c r="Z751" s="14" t="str">
        <f t="shared" si="192"/>
        <v/>
      </c>
      <c r="AA751" s="14" t="str">
        <f t="shared" si="193"/>
        <v/>
      </c>
      <c r="AB751" s="14" t="str">
        <f t="shared" si="194"/>
        <v/>
      </c>
      <c r="AC751" s="14" t="str">
        <f t="shared" si="195"/>
        <v/>
      </c>
      <c r="AD751" s="14" t="str">
        <f t="shared" si="196"/>
        <v/>
      </c>
    </row>
    <row r="752" spans="2:30" x14ac:dyDescent="0.3">
      <c r="B752" s="13" t="str" cm="1">
        <f t="array" ref="B752">IF($A752="","",_xlfn.LET(_xlpm.p,IFERROR(INDEX(tblDados[País],MATCH($A752,TRIM(tblDados[Mandante]),0)),INDEX(tblDados[País],MATCH($A752,TRIM(tblDados[Visitante]),0))),_xlpm.l,IFERROR(INDEX(tblDados[Liga],MATCH($A752,TRIM(tblDados[Mandante]),0)),INDEX(tblDados[Liga],MATCH($A752,TRIM(tblDados[Visitante]),0))),_xlpm.p&amp;" - "&amp;_xlpm.l))</f>
        <v/>
      </c>
      <c r="C752" s="14" t="str">
        <f t="shared" si="197"/>
        <v/>
      </c>
      <c r="D752" s="14" t="str">
        <f t="shared" si="198"/>
        <v/>
      </c>
      <c r="E752" s="15" t="str" cm="1">
        <f t="array" ref="E752">IF($A752="","",SUMPRODUCT((TRIM(tblDados[Mandante])=$A752)*tblDados[Primeira_Ocorrencia]))</f>
        <v/>
      </c>
      <c r="F752" s="15" t="str" cm="1">
        <f t="array" ref="F752">IF($A752="","",SUMPRODUCT((TRIM(tblDados[Visitante])=$A752)*tblDados[Primeira_Ocorrencia]))</f>
        <v/>
      </c>
      <c r="G752" s="15" t="str" cm="1">
        <f t="array" ref="G752">IF($A752="","",SUMPRODUCT((TRIM(tblDados[Mandante])=$A752)*tblDados[Primeira_Ocorrencia])+SUMPRODUCT((TRIM(tblDados[Visitante])=$A752)*tblDados[Primeira_Ocorrencia]))</f>
        <v/>
      </c>
      <c r="H752" s="14" t="str">
        <f t="shared" si="199"/>
        <v/>
      </c>
      <c r="I752" s="14" t="str" cm="1">
        <f t="array" ref="I752">IF($A752="","",_xlfn.LET(_xlpm.p,IFERROR(INDEX(tblDados[País],MATCH($A752,TRIM(tblDados[Mandante]),0)),INDEX(tblDados[País],MATCH($A752,TRIM(tblDados[Visitante]),0))),_xlpm.l,IFERROR(INDEX(tblDados[Liga],MATCH($A752,TRIM(tblDados[Mandante]),0)),INDEX(tblDados[Liga],MATCH($A752,TRIM(tblDados[Visitante]),0))),IFERROR(SUMIFS(Ligas!$D$2:$D$39,Ligas!$H$2:$H$39,_xlpm.p,Ligas!$I$2:$I$39,_xlpm.l),0)))</f>
        <v/>
      </c>
      <c r="J752" s="16" t="str" cm="1">
        <f t="array" ref="J752">IF($A752="","",IFERROR((SUMPRODUCT((TRIM(tblDados[Mandante])=$A752)*tblDados[Primeira_Ocorrencia]*(tblDados[GM_M]=0))+SUMPRODUCT((TRIM(tblDados[Visitante])=$A752)*tblDados[Primeira_Ocorrencia]*(tblDados[GM_V]=0)))/G752,0))</f>
        <v/>
      </c>
      <c r="K752" s="16" t="str" cm="1">
        <f t="array" ref="K752">IF($A752="","",IFERROR((SUMPRODUCT((TRIM(tblDados[Mandante])=$A752)*tblDados[Primeira_Ocorrencia]*((tblDados[GM_M]+tblDados[GS_M])&gt;0.5))+SUMPRODUCT((TRIM(tblDados[Visitante])=$A752)*tblDados[Primeira_Ocorrencia]*((tblDados[GM_V]+tblDados[GS_V])&gt;0.5)))/G752,0))</f>
        <v/>
      </c>
      <c r="L752" s="16" t="str" cm="1">
        <f t="array" ref="L752">IF($A752="","",IFERROR((SUMPRODUCT((TRIM(tblDados[Mandante])=$A752)*tblDados[Primeira_Ocorrencia]*((tblDados[GM_M]+tblDados[GS_M])&gt;1.5))+SUMPRODUCT((TRIM(tblDados[Visitante])=$A752)*tblDados[Primeira_Ocorrencia]*((tblDados[GM_V]+tblDados[GS_V])&gt;1.5)))/G752,0))</f>
        <v/>
      </c>
      <c r="M752" s="16" t="str" cm="1">
        <f t="array" ref="M752">IF($A752="","",IFERROR((SUMPRODUCT((TRIM(tblDados[Mandante])=$A752)*tblDados[Primeira_Ocorrencia]*((tblDados[GM_M]+tblDados[GS_M])&gt;2.5))+SUMPRODUCT((TRIM(tblDados[Visitante])=$A752)*tblDados[Primeira_Ocorrencia]*((tblDados[GM_V]+tblDados[GS_V])&gt;2.5)))/G752,0))</f>
        <v/>
      </c>
      <c r="N752" s="16" t="str" cm="1">
        <f t="array" ref="N752">IF($A752="","",IFERROR((SUMPRODUCT((TRIM(tblDados[Mandante])=$A752)*tblDados[Primeira_Ocorrencia]*((tblDados[GM_M]+tblDados[GS_M])&gt;3.5))+SUMPRODUCT((TRIM(tblDados[Visitante])=$A752)*tblDados[Primeira_Ocorrencia]*((tblDados[GM_V]+tblDados[GS_V])&gt;3.5)))/G752,0))</f>
        <v/>
      </c>
      <c r="O752" s="16" t="str" cm="1">
        <f t="array" ref="O752">IF($A752="","",IFERROR((SUMPRODUCT((TRIM(tblDados[Mandante])=$A752)*tblDados[Primeira_Ocorrencia]*(tblDados[GM_M]&gt;0)*(tblDados[GS_M]&gt;0))+SUMPRODUCT((TRIM(tblDados[Visitante])=$A752)*tblDados[Primeira_Ocorrencia]*(tblDados[GM_V]&gt;0)*(tblDados[GS_V]&gt;0)))/G752,0))</f>
        <v/>
      </c>
      <c r="P752" s="14" t="str" cm="1">
        <f t="array" ref="P752">IF($A752="","",IFERROR((SUMPRODUCT((TRIM(tblDados[Mandante])=$A752)*tblDados[Primeira_Ocorrencia]*tblDados[GM_M]^2)+SUMPRODUCT((TRIM(tblDados[Visitante])=$A752)*tblDados[Primeira_Ocorrencia]*tblDados[GM_V]^2))/G752-H752^2,0))</f>
        <v/>
      </c>
      <c r="Q752" s="14" t="str">
        <f t="shared" si="200"/>
        <v/>
      </c>
      <c r="R752" s="1" t="str">
        <f t="shared" si="201"/>
        <v/>
      </c>
      <c r="S752" s="14" t="str" cm="1">
        <f t="array" ref="S752">IF($A752="","",SUMPRODUCT((TRIM(tblDados[Mandante])=$A752)*tblDados[Primeira_Ocorrencia]*tblDados[GM_M]))</f>
        <v/>
      </c>
      <c r="T752" s="14" t="str" cm="1">
        <f t="array" ref="T752">IF($A752="","",SUMPRODUCT((TRIM(tblDados[Visitante])=$A752)*tblDados[Primeira_Ocorrencia]*tblDados[GM_V]))</f>
        <v/>
      </c>
      <c r="U752" s="14" t="str">
        <f t="shared" si="202"/>
        <v/>
      </c>
      <c r="V752" s="14" t="str">
        <f t="shared" si="191"/>
        <v/>
      </c>
      <c r="W752" s="14" t="str" cm="1">
        <f t="array" ref="W752">IF($A752="","",SUMPRODUCT((TRIM(tblDados[Mandante])=$A752)*tblDados[Primeira_Ocorrencia]*tblDados[GS_M]))</f>
        <v/>
      </c>
      <c r="X752" s="14" t="str" cm="1">
        <f t="array" ref="X752">IF($A752="","",SUMPRODUCT((TRIM(tblDados[Visitante])=$A752)*tblDados[Primeira_Ocorrencia]*tblDados[GS_V]))</f>
        <v/>
      </c>
      <c r="Y752" s="14" t="str">
        <f t="shared" si="203"/>
        <v/>
      </c>
      <c r="Z752" s="14" t="str">
        <f t="shared" si="192"/>
        <v/>
      </c>
      <c r="AA752" s="14" t="str">
        <f t="shared" si="193"/>
        <v/>
      </c>
      <c r="AB752" s="14" t="str">
        <f t="shared" si="194"/>
        <v/>
      </c>
      <c r="AC752" s="14" t="str">
        <f t="shared" si="195"/>
        <v/>
      </c>
      <c r="AD752" s="14" t="str">
        <f t="shared" si="196"/>
        <v/>
      </c>
    </row>
    <row r="753" spans="2:30" x14ac:dyDescent="0.3">
      <c r="B753" s="13" t="str" cm="1">
        <f t="array" ref="B753">IF($A753="","",_xlfn.LET(_xlpm.p,IFERROR(INDEX(tblDados[País],MATCH($A753,TRIM(tblDados[Mandante]),0)),INDEX(tblDados[País],MATCH($A753,TRIM(tblDados[Visitante]),0))),_xlpm.l,IFERROR(INDEX(tblDados[Liga],MATCH($A753,TRIM(tblDados[Mandante]),0)),INDEX(tblDados[Liga],MATCH($A753,TRIM(tblDados[Visitante]),0))),_xlpm.p&amp;" - "&amp;_xlpm.l))</f>
        <v/>
      </c>
      <c r="C753" s="14" t="str">
        <f t="shared" si="197"/>
        <v/>
      </c>
      <c r="D753" s="14" t="str">
        <f t="shared" si="198"/>
        <v/>
      </c>
      <c r="E753" s="15" t="str" cm="1">
        <f t="array" ref="E753">IF($A753="","",SUMPRODUCT((TRIM(tblDados[Mandante])=$A753)*tblDados[Primeira_Ocorrencia]))</f>
        <v/>
      </c>
      <c r="F753" s="15" t="str" cm="1">
        <f t="array" ref="F753">IF($A753="","",SUMPRODUCT((TRIM(tblDados[Visitante])=$A753)*tblDados[Primeira_Ocorrencia]))</f>
        <v/>
      </c>
      <c r="G753" s="15" t="str" cm="1">
        <f t="array" ref="G753">IF($A753="","",SUMPRODUCT((TRIM(tblDados[Mandante])=$A753)*tblDados[Primeira_Ocorrencia])+SUMPRODUCT((TRIM(tblDados[Visitante])=$A753)*tblDados[Primeira_Ocorrencia]))</f>
        <v/>
      </c>
      <c r="H753" s="14" t="str">
        <f t="shared" si="199"/>
        <v/>
      </c>
      <c r="I753" s="14" t="str" cm="1">
        <f t="array" ref="I753">IF($A753="","",_xlfn.LET(_xlpm.p,IFERROR(INDEX(tblDados[País],MATCH($A753,TRIM(tblDados[Mandante]),0)),INDEX(tblDados[País],MATCH($A753,TRIM(tblDados[Visitante]),0))),_xlpm.l,IFERROR(INDEX(tblDados[Liga],MATCH($A753,TRIM(tblDados[Mandante]),0)),INDEX(tblDados[Liga],MATCH($A753,TRIM(tblDados[Visitante]),0))),IFERROR(SUMIFS(Ligas!$D$2:$D$39,Ligas!$H$2:$H$39,_xlpm.p,Ligas!$I$2:$I$39,_xlpm.l),0)))</f>
        <v/>
      </c>
      <c r="J753" s="16" t="str" cm="1">
        <f t="array" ref="J753">IF($A753="","",IFERROR((SUMPRODUCT((TRIM(tblDados[Mandante])=$A753)*tblDados[Primeira_Ocorrencia]*(tblDados[GM_M]=0))+SUMPRODUCT((TRIM(tblDados[Visitante])=$A753)*tblDados[Primeira_Ocorrencia]*(tblDados[GM_V]=0)))/G753,0))</f>
        <v/>
      </c>
      <c r="K753" s="16" t="str" cm="1">
        <f t="array" ref="K753">IF($A753="","",IFERROR((SUMPRODUCT((TRIM(tblDados[Mandante])=$A753)*tblDados[Primeira_Ocorrencia]*((tblDados[GM_M]+tblDados[GS_M])&gt;0.5))+SUMPRODUCT((TRIM(tblDados[Visitante])=$A753)*tblDados[Primeira_Ocorrencia]*((tblDados[GM_V]+tblDados[GS_V])&gt;0.5)))/G753,0))</f>
        <v/>
      </c>
      <c r="L753" s="16" t="str" cm="1">
        <f t="array" ref="L753">IF($A753="","",IFERROR((SUMPRODUCT((TRIM(tblDados[Mandante])=$A753)*tblDados[Primeira_Ocorrencia]*((tblDados[GM_M]+tblDados[GS_M])&gt;1.5))+SUMPRODUCT((TRIM(tblDados[Visitante])=$A753)*tblDados[Primeira_Ocorrencia]*((tblDados[GM_V]+tblDados[GS_V])&gt;1.5)))/G753,0))</f>
        <v/>
      </c>
      <c r="M753" s="16" t="str" cm="1">
        <f t="array" ref="M753">IF($A753="","",IFERROR((SUMPRODUCT((TRIM(tblDados[Mandante])=$A753)*tblDados[Primeira_Ocorrencia]*((tblDados[GM_M]+tblDados[GS_M])&gt;2.5))+SUMPRODUCT((TRIM(tblDados[Visitante])=$A753)*tblDados[Primeira_Ocorrencia]*((tblDados[GM_V]+tblDados[GS_V])&gt;2.5)))/G753,0))</f>
        <v/>
      </c>
      <c r="N753" s="16" t="str" cm="1">
        <f t="array" ref="N753">IF($A753="","",IFERROR((SUMPRODUCT((TRIM(tblDados[Mandante])=$A753)*tblDados[Primeira_Ocorrencia]*((tblDados[GM_M]+tblDados[GS_M])&gt;3.5))+SUMPRODUCT((TRIM(tblDados[Visitante])=$A753)*tblDados[Primeira_Ocorrencia]*((tblDados[GM_V]+tblDados[GS_V])&gt;3.5)))/G753,0))</f>
        <v/>
      </c>
      <c r="O753" s="16" t="str" cm="1">
        <f t="array" ref="O753">IF($A753="","",IFERROR((SUMPRODUCT((TRIM(tblDados[Mandante])=$A753)*tblDados[Primeira_Ocorrencia]*(tblDados[GM_M]&gt;0)*(tblDados[GS_M]&gt;0))+SUMPRODUCT((TRIM(tblDados[Visitante])=$A753)*tblDados[Primeira_Ocorrencia]*(tblDados[GM_V]&gt;0)*(tblDados[GS_V]&gt;0)))/G753,0))</f>
        <v/>
      </c>
      <c r="P753" s="14" t="str" cm="1">
        <f t="array" ref="P753">IF($A753="","",IFERROR((SUMPRODUCT((TRIM(tblDados[Mandante])=$A753)*tblDados[Primeira_Ocorrencia]*tblDados[GM_M]^2)+SUMPRODUCT((TRIM(tblDados[Visitante])=$A753)*tblDados[Primeira_Ocorrencia]*tblDados[GM_V]^2))/G753-H753^2,0))</f>
        <v/>
      </c>
      <c r="Q753" s="14" t="str">
        <f t="shared" si="200"/>
        <v/>
      </c>
      <c r="R753" s="1" t="str">
        <f t="shared" si="201"/>
        <v/>
      </c>
      <c r="S753" s="14" t="str" cm="1">
        <f t="array" ref="S753">IF($A753="","",SUMPRODUCT((TRIM(tblDados[Mandante])=$A753)*tblDados[Primeira_Ocorrencia]*tblDados[GM_M]))</f>
        <v/>
      </c>
      <c r="T753" s="14" t="str" cm="1">
        <f t="array" ref="T753">IF($A753="","",SUMPRODUCT((TRIM(tblDados[Visitante])=$A753)*tblDados[Primeira_Ocorrencia]*tblDados[GM_V]))</f>
        <v/>
      </c>
      <c r="U753" s="14" t="str">
        <f t="shared" si="202"/>
        <v/>
      </c>
      <c r="V753" s="14" t="str">
        <f t="shared" si="191"/>
        <v/>
      </c>
      <c r="W753" s="14" t="str" cm="1">
        <f t="array" ref="W753">IF($A753="","",SUMPRODUCT((TRIM(tblDados[Mandante])=$A753)*tblDados[Primeira_Ocorrencia]*tblDados[GS_M]))</f>
        <v/>
      </c>
      <c r="X753" s="14" t="str" cm="1">
        <f t="array" ref="X753">IF($A753="","",SUMPRODUCT((TRIM(tblDados[Visitante])=$A753)*tblDados[Primeira_Ocorrencia]*tblDados[GS_V]))</f>
        <v/>
      </c>
      <c r="Y753" s="14" t="str">
        <f t="shared" si="203"/>
        <v/>
      </c>
      <c r="Z753" s="14" t="str">
        <f t="shared" si="192"/>
        <v/>
      </c>
      <c r="AA753" s="14" t="str">
        <f t="shared" si="193"/>
        <v/>
      </c>
      <c r="AB753" s="14" t="str">
        <f t="shared" si="194"/>
        <v/>
      </c>
      <c r="AC753" s="14" t="str">
        <f t="shared" si="195"/>
        <v/>
      </c>
      <c r="AD753" s="14" t="str">
        <f t="shared" si="196"/>
        <v/>
      </c>
    </row>
    <row r="754" spans="2:30" x14ac:dyDescent="0.3">
      <c r="B754" s="13" t="str" cm="1">
        <f t="array" ref="B754">IF($A754="","",_xlfn.LET(_xlpm.p,IFERROR(INDEX(tblDados[País],MATCH($A754,TRIM(tblDados[Mandante]),0)),INDEX(tblDados[País],MATCH($A754,TRIM(tblDados[Visitante]),0))),_xlpm.l,IFERROR(INDEX(tblDados[Liga],MATCH($A754,TRIM(tblDados[Mandante]),0)),INDEX(tblDados[Liga],MATCH($A754,TRIM(tblDados[Visitante]),0))),_xlpm.p&amp;" - "&amp;_xlpm.l))</f>
        <v/>
      </c>
      <c r="C754" s="14" t="str">
        <f t="shared" si="197"/>
        <v/>
      </c>
      <c r="D754" s="14" t="str">
        <f t="shared" si="198"/>
        <v/>
      </c>
      <c r="E754" s="15" t="str" cm="1">
        <f t="array" ref="E754">IF($A754="","",SUMPRODUCT((TRIM(tblDados[Mandante])=$A754)*tblDados[Primeira_Ocorrencia]))</f>
        <v/>
      </c>
      <c r="F754" s="15" t="str" cm="1">
        <f t="array" ref="F754">IF($A754="","",SUMPRODUCT((TRIM(tblDados[Visitante])=$A754)*tblDados[Primeira_Ocorrencia]))</f>
        <v/>
      </c>
      <c r="G754" s="15" t="str" cm="1">
        <f t="array" ref="G754">IF($A754="","",SUMPRODUCT((TRIM(tblDados[Mandante])=$A754)*tblDados[Primeira_Ocorrencia])+SUMPRODUCT((TRIM(tblDados[Visitante])=$A754)*tblDados[Primeira_Ocorrencia]))</f>
        <v/>
      </c>
      <c r="H754" s="14" t="str">
        <f t="shared" si="199"/>
        <v/>
      </c>
      <c r="I754" s="14" t="str" cm="1">
        <f t="array" ref="I754">IF($A754="","",_xlfn.LET(_xlpm.p,IFERROR(INDEX(tblDados[País],MATCH($A754,TRIM(tblDados[Mandante]),0)),INDEX(tblDados[País],MATCH($A754,TRIM(tblDados[Visitante]),0))),_xlpm.l,IFERROR(INDEX(tblDados[Liga],MATCH($A754,TRIM(tblDados[Mandante]),0)),INDEX(tblDados[Liga],MATCH($A754,TRIM(tblDados[Visitante]),0))),IFERROR(SUMIFS(Ligas!$D$2:$D$39,Ligas!$H$2:$H$39,_xlpm.p,Ligas!$I$2:$I$39,_xlpm.l),0)))</f>
        <v/>
      </c>
      <c r="J754" s="16" t="str" cm="1">
        <f t="array" ref="J754">IF($A754="","",IFERROR((SUMPRODUCT((TRIM(tblDados[Mandante])=$A754)*tblDados[Primeira_Ocorrencia]*(tblDados[GM_M]=0))+SUMPRODUCT((TRIM(tblDados[Visitante])=$A754)*tblDados[Primeira_Ocorrencia]*(tblDados[GM_V]=0)))/G754,0))</f>
        <v/>
      </c>
      <c r="K754" s="16" t="str" cm="1">
        <f t="array" ref="K754">IF($A754="","",IFERROR((SUMPRODUCT((TRIM(tblDados[Mandante])=$A754)*tblDados[Primeira_Ocorrencia]*((tblDados[GM_M]+tblDados[GS_M])&gt;0.5))+SUMPRODUCT((TRIM(tblDados[Visitante])=$A754)*tblDados[Primeira_Ocorrencia]*((tblDados[GM_V]+tblDados[GS_V])&gt;0.5)))/G754,0))</f>
        <v/>
      </c>
      <c r="L754" s="16" t="str" cm="1">
        <f t="array" ref="L754">IF($A754="","",IFERROR((SUMPRODUCT((TRIM(tblDados[Mandante])=$A754)*tblDados[Primeira_Ocorrencia]*((tblDados[GM_M]+tblDados[GS_M])&gt;1.5))+SUMPRODUCT((TRIM(tblDados[Visitante])=$A754)*tblDados[Primeira_Ocorrencia]*((tblDados[GM_V]+tblDados[GS_V])&gt;1.5)))/G754,0))</f>
        <v/>
      </c>
      <c r="M754" s="16" t="str" cm="1">
        <f t="array" ref="M754">IF($A754="","",IFERROR((SUMPRODUCT((TRIM(tblDados[Mandante])=$A754)*tblDados[Primeira_Ocorrencia]*((tblDados[GM_M]+tblDados[GS_M])&gt;2.5))+SUMPRODUCT((TRIM(tblDados[Visitante])=$A754)*tblDados[Primeira_Ocorrencia]*((tblDados[GM_V]+tblDados[GS_V])&gt;2.5)))/G754,0))</f>
        <v/>
      </c>
      <c r="N754" s="16" t="str" cm="1">
        <f t="array" ref="N754">IF($A754="","",IFERROR((SUMPRODUCT((TRIM(tblDados[Mandante])=$A754)*tblDados[Primeira_Ocorrencia]*((tblDados[GM_M]+tblDados[GS_M])&gt;3.5))+SUMPRODUCT((TRIM(tblDados[Visitante])=$A754)*tblDados[Primeira_Ocorrencia]*((tblDados[GM_V]+tblDados[GS_V])&gt;3.5)))/G754,0))</f>
        <v/>
      </c>
      <c r="O754" s="16" t="str" cm="1">
        <f t="array" ref="O754">IF($A754="","",IFERROR((SUMPRODUCT((TRIM(tblDados[Mandante])=$A754)*tblDados[Primeira_Ocorrencia]*(tblDados[GM_M]&gt;0)*(tblDados[GS_M]&gt;0))+SUMPRODUCT((TRIM(tblDados[Visitante])=$A754)*tblDados[Primeira_Ocorrencia]*(tblDados[GM_V]&gt;0)*(tblDados[GS_V]&gt;0)))/G754,0))</f>
        <v/>
      </c>
      <c r="P754" s="14" t="str" cm="1">
        <f t="array" ref="P754">IF($A754="","",IFERROR((SUMPRODUCT((TRIM(tblDados[Mandante])=$A754)*tblDados[Primeira_Ocorrencia]*tblDados[GM_M]^2)+SUMPRODUCT((TRIM(tblDados[Visitante])=$A754)*tblDados[Primeira_Ocorrencia]*tblDados[GM_V]^2))/G754-H754^2,0))</f>
        <v/>
      </c>
      <c r="Q754" s="14" t="str">
        <f t="shared" si="200"/>
        <v/>
      </c>
      <c r="R754" s="1" t="str">
        <f t="shared" si="201"/>
        <v/>
      </c>
      <c r="S754" s="14" t="str" cm="1">
        <f t="array" ref="S754">IF($A754="","",SUMPRODUCT((TRIM(tblDados[Mandante])=$A754)*tblDados[Primeira_Ocorrencia]*tblDados[GM_M]))</f>
        <v/>
      </c>
      <c r="T754" s="14" t="str" cm="1">
        <f t="array" ref="T754">IF($A754="","",SUMPRODUCT((TRIM(tblDados[Visitante])=$A754)*tblDados[Primeira_Ocorrencia]*tblDados[GM_V]))</f>
        <v/>
      </c>
      <c r="U754" s="14" t="str">
        <f t="shared" si="202"/>
        <v/>
      </c>
      <c r="V754" s="14" t="str">
        <f t="shared" si="191"/>
        <v/>
      </c>
      <c r="W754" s="14" t="str" cm="1">
        <f t="array" ref="W754">IF($A754="","",SUMPRODUCT((TRIM(tblDados[Mandante])=$A754)*tblDados[Primeira_Ocorrencia]*tblDados[GS_M]))</f>
        <v/>
      </c>
      <c r="X754" s="14" t="str" cm="1">
        <f t="array" ref="X754">IF($A754="","",SUMPRODUCT((TRIM(tblDados[Visitante])=$A754)*tblDados[Primeira_Ocorrencia]*tblDados[GS_V]))</f>
        <v/>
      </c>
      <c r="Y754" s="14" t="str">
        <f t="shared" si="203"/>
        <v/>
      </c>
      <c r="Z754" s="14" t="str">
        <f t="shared" si="192"/>
        <v/>
      </c>
      <c r="AA754" s="14" t="str">
        <f t="shared" si="193"/>
        <v/>
      </c>
      <c r="AB754" s="14" t="str">
        <f t="shared" si="194"/>
        <v/>
      </c>
      <c r="AC754" s="14" t="str">
        <f t="shared" si="195"/>
        <v/>
      </c>
      <c r="AD754" s="14" t="str">
        <f t="shared" si="196"/>
        <v/>
      </c>
    </row>
    <row r="755" spans="2:30" x14ac:dyDescent="0.3">
      <c r="B755" s="13" t="str" cm="1">
        <f t="array" ref="B755">IF($A755="","",_xlfn.LET(_xlpm.p,IFERROR(INDEX(tblDados[País],MATCH($A755,TRIM(tblDados[Mandante]),0)),INDEX(tblDados[País],MATCH($A755,TRIM(tblDados[Visitante]),0))),_xlpm.l,IFERROR(INDEX(tblDados[Liga],MATCH($A755,TRIM(tblDados[Mandante]),0)),INDEX(tblDados[Liga],MATCH($A755,TRIM(tblDados[Visitante]),0))),_xlpm.p&amp;" - "&amp;_xlpm.l))</f>
        <v/>
      </c>
      <c r="C755" s="14" t="str">
        <f t="shared" si="197"/>
        <v/>
      </c>
      <c r="D755" s="14" t="str">
        <f t="shared" si="198"/>
        <v/>
      </c>
      <c r="E755" s="15" t="str" cm="1">
        <f t="array" ref="E755">IF($A755="","",SUMPRODUCT((TRIM(tblDados[Mandante])=$A755)*tblDados[Primeira_Ocorrencia]))</f>
        <v/>
      </c>
      <c r="F755" s="15" t="str" cm="1">
        <f t="array" ref="F755">IF($A755="","",SUMPRODUCT((TRIM(tblDados[Visitante])=$A755)*tblDados[Primeira_Ocorrencia]))</f>
        <v/>
      </c>
      <c r="G755" s="15" t="str" cm="1">
        <f t="array" ref="G755">IF($A755="","",SUMPRODUCT((TRIM(tblDados[Mandante])=$A755)*tblDados[Primeira_Ocorrencia])+SUMPRODUCT((TRIM(tblDados[Visitante])=$A755)*tblDados[Primeira_Ocorrencia]))</f>
        <v/>
      </c>
      <c r="H755" s="14" t="str">
        <f t="shared" si="199"/>
        <v/>
      </c>
      <c r="I755" s="14" t="str" cm="1">
        <f t="array" ref="I755">IF($A755="","",_xlfn.LET(_xlpm.p,IFERROR(INDEX(tblDados[País],MATCH($A755,TRIM(tblDados[Mandante]),0)),INDEX(tblDados[País],MATCH($A755,TRIM(tblDados[Visitante]),0))),_xlpm.l,IFERROR(INDEX(tblDados[Liga],MATCH($A755,TRIM(tblDados[Mandante]),0)),INDEX(tblDados[Liga],MATCH($A755,TRIM(tblDados[Visitante]),0))),IFERROR(SUMIFS(Ligas!$D$2:$D$39,Ligas!$H$2:$H$39,_xlpm.p,Ligas!$I$2:$I$39,_xlpm.l),0)))</f>
        <v/>
      </c>
      <c r="J755" s="16" t="str" cm="1">
        <f t="array" ref="J755">IF($A755="","",IFERROR((SUMPRODUCT((TRIM(tblDados[Mandante])=$A755)*tblDados[Primeira_Ocorrencia]*(tblDados[GM_M]=0))+SUMPRODUCT((TRIM(tblDados[Visitante])=$A755)*tblDados[Primeira_Ocorrencia]*(tblDados[GM_V]=0)))/G755,0))</f>
        <v/>
      </c>
      <c r="K755" s="16" t="str" cm="1">
        <f t="array" ref="K755">IF($A755="","",IFERROR((SUMPRODUCT((TRIM(tblDados[Mandante])=$A755)*tblDados[Primeira_Ocorrencia]*((tblDados[GM_M]+tblDados[GS_M])&gt;0.5))+SUMPRODUCT((TRIM(tblDados[Visitante])=$A755)*tblDados[Primeira_Ocorrencia]*((tblDados[GM_V]+tblDados[GS_V])&gt;0.5)))/G755,0))</f>
        <v/>
      </c>
      <c r="L755" s="16" t="str" cm="1">
        <f t="array" ref="L755">IF($A755="","",IFERROR((SUMPRODUCT((TRIM(tblDados[Mandante])=$A755)*tblDados[Primeira_Ocorrencia]*((tblDados[GM_M]+tblDados[GS_M])&gt;1.5))+SUMPRODUCT((TRIM(tblDados[Visitante])=$A755)*tblDados[Primeira_Ocorrencia]*((tblDados[GM_V]+tblDados[GS_V])&gt;1.5)))/G755,0))</f>
        <v/>
      </c>
      <c r="M755" s="16" t="str" cm="1">
        <f t="array" ref="M755">IF($A755="","",IFERROR((SUMPRODUCT((TRIM(tblDados[Mandante])=$A755)*tblDados[Primeira_Ocorrencia]*((tblDados[GM_M]+tblDados[GS_M])&gt;2.5))+SUMPRODUCT((TRIM(tblDados[Visitante])=$A755)*tblDados[Primeira_Ocorrencia]*((tblDados[GM_V]+tblDados[GS_V])&gt;2.5)))/G755,0))</f>
        <v/>
      </c>
      <c r="N755" s="16" t="str" cm="1">
        <f t="array" ref="N755">IF($A755="","",IFERROR((SUMPRODUCT((TRIM(tblDados[Mandante])=$A755)*tblDados[Primeira_Ocorrencia]*((tblDados[GM_M]+tblDados[GS_M])&gt;3.5))+SUMPRODUCT((TRIM(tblDados[Visitante])=$A755)*tblDados[Primeira_Ocorrencia]*((tblDados[GM_V]+tblDados[GS_V])&gt;3.5)))/G755,0))</f>
        <v/>
      </c>
      <c r="O755" s="16" t="str" cm="1">
        <f t="array" ref="O755">IF($A755="","",IFERROR((SUMPRODUCT((TRIM(tblDados[Mandante])=$A755)*tblDados[Primeira_Ocorrencia]*(tblDados[GM_M]&gt;0)*(tblDados[GS_M]&gt;0))+SUMPRODUCT((TRIM(tblDados[Visitante])=$A755)*tblDados[Primeira_Ocorrencia]*(tblDados[GM_V]&gt;0)*(tblDados[GS_V]&gt;0)))/G755,0))</f>
        <v/>
      </c>
      <c r="P755" s="14" t="str" cm="1">
        <f t="array" ref="P755">IF($A755="","",IFERROR((SUMPRODUCT((TRIM(tblDados[Mandante])=$A755)*tblDados[Primeira_Ocorrencia]*tblDados[GM_M]^2)+SUMPRODUCT((TRIM(tblDados[Visitante])=$A755)*tblDados[Primeira_Ocorrencia]*tblDados[GM_V]^2))/G755-H755^2,0))</f>
        <v/>
      </c>
      <c r="Q755" s="14" t="str">
        <f t="shared" si="200"/>
        <v/>
      </c>
      <c r="R755" s="1" t="str">
        <f t="shared" si="201"/>
        <v/>
      </c>
      <c r="S755" s="14" t="str" cm="1">
        <f t="array" ref="S755">IF($A755="","",SUMPRODUCT((TRIM(tblDados[Mandante])=$A755)*tblDados[Primeira_Ocorrencia]*tblDados[GM_M]))</f>
        <v/>
      </c>
      <c r="T755" s="14" t="str" cm="1">
        <f t="array" ref="T755">IF($A755="","",SUMPRODUCT((TRIM(tblDados[Visitante])=$A755)*tblDados[Primeira_Ocorrencia]*tblDados[GM_V]))</f>
        <v/>
      </c>
      <c r="U755" s="14" t="str">
        <f t="shared" si="202"/>
        <v/>
      </c>
      <c r="V755" s="14" t="str">
        <f t="shared" si="191"/>
        <v/>
      </c>
      <c r="W755" s="14" t="str" cm="1">
        <f t="array" ref="W755">IF($A755="","",SUMPRODUCT((TRIM(tblDados[Mandante])=$A755)*tblDados[Primeira_Ocorrencia]*tblDados[GS_M]))</f>
        <v/>
      </c>
      <c r="X755" s="14" t="str" cm="1">
        <f t="array" ref="X755">IF($A755="","",SUMPRODUCT((TRIM(tblDados[Visitante])=$A755)*tblDados[Primeira_Ocorrencia]*tblDados[GS_V]))</f>
        <v/>
      </c>
      <c r="Y755" s="14" t="str">
        <f t="shared" si="203"/>
        <v/>
      </c>
      <c r="Z755" s="14" t="str">
        <f t="shared" si="192"/>
        <v/>
      </c>
      <c r="AA755" s="14" t="str">
        <f t="shared" si="193"/>
        <v/>
      </c>
      <c r="AB755" s="14" t="str">
        <f t="shared" si="194"/>
        <v/>
      </c>
      <c r="AC755" s="14" t="str">
        <f t="shared" si="195"/>
        <v/>
      </c>
      <c r="AD755" s="14" t="str">
        <f t="shared" si="196"/>
        <v/>
      </c>
    </row>
    <row r="756" spans="2:30" x14ac:dyDescent="0.3">
      <c r="B756" s="13" t="str" cm="1">
        <f t="array" ref="B756">IF($A756="","",_xlfn.LET(_xlpm.p,IFERROR(INDEX(tblDados[País],MATCH($A756,TRIM(tblDados[Mandante]),0)),INDEX(tblDados[País],MATCH($A756,TRIM(tblDados[Visitante]),0))),_xlpm.l,IFERROR(INDEX(tblDados[Liga],MATCH($A756,TRIM(tblDados[Mandante]),0)),INDEX(tblDados[Liga],MATCH($A756,TRIM(tblDados[Visitante]),0))),_xlpm.p&amp;" - "&amp;_xlpm.l))</f>
        <v/>
      </c>
      <c r="C756" s="14" t="str">
        <f t="shared" si="197"/>
        <v/>
      </c>
      <c r="D756" s="14" t="str">
        <f t="shared" si="198"/>
        <v/>
      </c>
      <c r="E756" s="15" t="str" cm="1">
        <f t="array" ref="E756">IF($A756="","",SUMPRODUCT((TRIM(tblDados[Mandante])=$A756)*tblDados[Primeira_Ocorrencia]))</f>
        <v/>
      </c>
      <c r="F756" s="15" t="str" cm="1">
        <f t="array" ref="F756">IF($A756="","",SUMPRODUCT((TRIM(tblDados[Visitante])=$A756)*tblDados[Primeira_Ocorrencia]))</f>
        <v/>
      </c>
      <c r="G756" s="15" t="str" cm="1">
        <f t="array" ref="G756">IF($A756="","",SUMPRODUCT((TRIM(tblDados[Mandante])=$A756)*tblDados[Primeira_Ocorrencia])+SUMPRODUCT((TRIM(tblDados[Visitante])=$A756)*tblDados[Primeira_Ocorrencia]))</f>
        <v/>
      </c>
      <c r="H756" s="14" t="str">
        <f t="shared" si="199"/>
        <v/>
      </c>
      <c r="I756" s="14" t="str" cm="1">
        <f t="array" ref="I756">IF($A756="","",_xlfn.LET(_xlpm.p,IFERROR(INDEX(tblDados[País],MATCH($A756,TRIM(tblDados[Mandante]),0)),INDEX(tblDados[País],MATCH($A756,TRIM(tblDados[Visitante]),0))),_xlpm.l,IFERROR(INDEX(tblDados[Liga],MATCH($A756,TRIM(tblDados[Mandante]),0)),INDEX(tblDados[Liga],MATCH($A756,TRIM(tblDados[Visitante]),0))),IFERROR(SUMIFS(Ligas!$D$2:$D$39,Ligas!$H$2:$H$39,_xlpm.p,Ligas!$I$2:$I$39,_xlpm.l),0)))</f>
        <v/>
      </c>
      <c r="J756" s="16" t="str" cm="1">
        <f t="array" ref="J756">IF($A756="","",IFERROR((SUMPRODUCT((TRIM(tblDados[Mandante])=$A756)*tblDados[Primeira_Ocorrencia]*(tblDados[GM_M]=0))+SUMPRODUCT((TRIM(tblDados[Visitante])=$A756)*tblDados[Primeira_Ocorrencia]*(tblDados[GM_V]=0)))/G756,0))</f>
        <v/>
      </c>
      <c r="K756" s="16" t="str" cm="1">
        <f t="array" ref="K756">IF($A756="","",IFERROR((SUMPRODUCT((TRIM(tblDados[Mandante])=$A756)*tblDados[Primeira_Ocorrencia]*((tblDados[GM_M]+tblDados[GS_M])&gt;0.5))+SUMPRODUCT((TRIM(tblDados[Visitante])=$A756)*tblDados[Primeira_Ocorrencia]*((tblDados[GM_V]+tblDados[GS_V])&gt;0.5)))/G756,0))</f>
        <v/>
      </c>
      <c r="L756" s="16" t="str" cm="1">
        <f t="array" ref="L756">IF($A756="","",IFERROR((SUMPRODUCT((TRIM(tblDados[Mandante])=$A756)*tblDados[Primeira_Ocorrencia]*((tblDados[GM_M]+tblDados[GS_M])&gt;1.5))+SUMPRODUCT((TRIM(tblDados[Visitante])=$A756)*tblDados[Primeira_Ocorrencia]*((tblDados[GM_V]+tblDados[GS_V])&gt;1.5)))/G756,0))</f>
        <v/>
      </c>
      <c r="M756" s="16" t="str" cm="1">
        <f t="array" ref="M756">IF($A756="","",IFERROR((SUMPRODUCT((TRIM(tblDados[Mandante])=$A756)*tblDados[Primeira_Ocorrencia]*((tblDados[GM_M]+tblDados[GS_M])&gt;2.5))+SUMPRODUCT((TRIM(tblDados[Visitante])=$A756)*tblDados[Primeira_Ocorrencia]*((tblDados[GM_V]+tblDados[GS_V])&gt;2.5)))/G756,0))</f>
        <v/>
      </c>
      <c r="N756" s="16" t="str" cm="1">
        <f t="array" ref="N756">IF($A756="","",IFERROR((SUMPRODUCT((TRIM(tblDados[Mandante])=$A756)*tblDados[Primeira_Ocorrencia]*((tblDados[GM_M]+tblDados[GS_M])&gt;3.5))+SUMPRODUCT((TRIM(tblDados[Visitante])=$A756)*tblDados[Primeira_Ocorrencia]*((tblDados[GM_V]+tblDados[GS_V])&gt;3.5)))/G756,0))</f>
        <v/>
      </c>
      <c r="O756" s="16" t="str" cm="1">
        <f t="array" ref="O756">IF($A756="","",IFERROR((SUMPRODUCT((TRIM(tblDados[Mandante])=$A756)*tblDados[Primeira_Ocorrencia]*(tblDados[GM_M]&gt;0)*(tblDados[GS_M]&gt;0))+SUMPRODUCT((TRIM(tblDados[Visitante])=$A756)*tblDados[Primeira_Ocorrencia]*(tblDados[GM_V]&gt;0)*(tblDados[GS_V]&gt;0)))/G756,0))</f>
        <v/>
      </c>
      <c r="P756" s="14" t="str" cm="1">
        <f t="array" ref="P756">IF($A756="","",IFERROR((SUMPRODUCT((TRIM(tblDados[Mandante])=$A756)*tblDados[Primeira_Ocorrencia]*tblDados[GM_M]^2)+SUMPRODUCT((TRIM(tblDados[Visitante])=$A756)*tblDados[Primeira_Ocorrencia]*tblDados[GM_V]^2))/G756-H756^2,0))</f>
        <v/>
      </c>
      <c r="Q756" s="14" t="str">
        <f t="shared" si="200"/>
        <v/>
      </c>
      <c r="R756" s="1" t="str">
        <f t="shared" si="201"/>
        <v/>
      </c>
      <c r="S756" s="14" t="str" cm="1">
        <f t="array" ref="S756">IF($A756="","",SUMPRODUCT((TRIM(tblDados[Mandante])=$A756)*tblDados[Primeira_Ocorrencia]*tblDados[GM_M]))</f>
        <v/>
      </c>
      <c r="T756" s="14" t="str" cm="1">
        <f t="array" ref="T756">IF($A756="","",SUMPRODUCT((TRIM(tblDados[Visitante])=$A756)*tblDados[Primeira_Ocorrencia]*tblDados[GM_V]))</f>
        <v/>
      </c>
      <c r="U756" s="14" t="str">
        <f t="shared" si="202"/>
        <v/>
      </c>
      <c r="V756" s="14" t="str">
        <f t="shared" si="191"/>
        <v/>
      </c>
      <c r="W756" s="14" t="str" cm="1">
        <f t="array" ref="W756">IF($A756="","",SUMPRODUCT((TRIM(tblDados[Mandante])=$A756)*tblDados[Primeira_Ocorrencia]*tblDados[GS_M]))</f>
        <v/>
      </c>
      <c r="X756" s="14" t="str" cm="1">
        <f t="array" ref="X756">IF($A756="","",SUMPRODUCT((TRIM(tblDados[Visitante])=$A756)*tblDados[Primeira_Ocorrencia]*tblDados[GS_V]))</f>
        <v/>
      </c>
      <c r="Y756" s="14" t="str">
        <f t="shared" si="203"/>
        <v/>
      </c>
      <c r="Z756" s="14" t="str">
        <f t="shared" si="192"/>
        <v/>
      </c>
      <c r="AA756" s="14" t="str">
        <f t="shared" si="193"/>
        <v/>
      </c>
      <c r="AB756" s="14" t="str">
        <f t="shared" si="194"/>
        <v/>
      </c>
      <c r="AC756" s="14" t="str">
        <f t="shared" si="195"/>
        <v/>
      </c>
      <c r="AD756" s="14" t="str">
        <f t="shared" si="196"/>
        <v/>
      </c>
    </row>
    <row r="757" spans="2:30" x14ac:dyDescent="0.3">
      <c r="B757" s="13" t="str" cm="1">
        <f t="array" ref="B757">IF($A757="","",_xlfn.LET(_xlpm.p,IFERROR(INDEX(tblDados[País],MATCH($A757,TRIM(tblDados[Mandante]),0)),INDEX(tblDados[País],MATCH($A757,TRIM(tblDados[Visitante]),0))),_xlpm.l,IFERROR(INDEX(tblDados[Liga],MATCH($A757,TRIM(tblDados[Mandante]),0)),INDEX(tblDados[Liga],MATCH($A757,TRIM(tblDados[Visitante]),0))),_xlpm.p&amp;" - "&amp;_xlpm.l))</f>
        <v/>
      </c>
      <c r="C757" s="14" t="str">
        <f t="shared" si="197"/>
        <v/>
      </c>
      <c r="D757" s="14" t="str">
        <f t="shared" si="198"/>
        <v/>
      </c>
      <c r="E757" s="15" t="str" cm="1">
        <f t="array" ref="E757">IF($A757="","",SUMPRODUCT((TRIM(tblDados[Mandante])=$A757)*tblDados[Primeira_Ocorrencia]))</f>
        <v/>
      </c>
      <c r="F757" s="15" t="str" cm="1">
        <f t="array" ref="F757">IF($A757="","",SUMPRODUCT((TRIM(tblDados[Visitante])=$A757)*tblDados[Primeira_Ocorrencia]))</f>
        <v/>
      </c>
      <c r="G757" s="15" t="str" cm="1">
        <f t="array" ref="G757">IF($A757="","",SUMPRODUCT((TRIM(tblDados[Mandante])=$A757)*tblDados[Primeira_Ocorrencia])+SUMPRODUCT((TRIM(tblDados[Visitante])=$A757)*tblDados[Primeira_Ocorrencia]))</f>
        <v/>
      </c>
      <c r="H757" s="14" t="str">
        <f t="shared" si="199"/>
        <v/>
      </c>
      <c r="I757" s="14" t="str" cm="1">
        <f t="array" ref="I757">IF($A757="","",_xlfn.LET(_xlpm.p,IFERROR(INDEX(tblDados[País],MATCH($A757,TRIM(tblDados[Mandante]),0)),INDEX(tblDados[País],MATCH($A757,TRIM(tblDados[Visitante]),0))),_xlpm.l,IFERROR(INDEX(tblDados[Liga],MATCH($A757,TRIM(tblDados[Mandante]),0)),INDEX(tblDados[Liga],MATCH($A757,TRIM(tblDados[Visitante]),0))),IFERROR(SUMIFS(Ligas!$D$2:$D$39,Ligas!$H$2:$H$39,_xlpm.p,Ligas!$I$2:$I$39,_xlpm.l),0)))</f>
        <v/>
      </c>
      <c r="J757" s="16" t="str" cm="1">
        <f t="array" ref="J757">IF($A757="","",IFERROR((SUMPRODUCT((TRIM(tblDados[Mandante])=$A757)*tblDados[Primeira_Ocorrencia]*(tblDados[GM_M]=0))+SUMPRODUCT((TRIM(tblDados[Visitante])=$A757)*tblDados[Primeira_Ocorrencia]*(tblDados[GM_V]=0)))/G757,0))</f>
        <v/>
      </c>
      <c r="K757" s="16" t="str" cm="1">
        <f t="array" ref="K757">IF($A757="","",IFERROR((SUMPRODUCT((TRIM(tblDados[Mandante])=$A757)*tblDados[Primeira_Ocorrencia]*((tblDados[GM_M]+tblDados[GS_M])&gt;0.5))+SUMPRODUCT((TRIM(tblDados[Visitante])=$A757)*tblDados[Primeira_Ocorrencia]*((tblDados[GM_V]+tblDados[GS_V])&gt;0.5)))/G757,0))</f>
        <v/>
      </c>
      <c r="L757" s="16" t="str" cm="1">
        <f t="array" ref="L757">IF($A757="","",IFERROR((SUMPRODUCT((TRIM(tblDados[Mandante])=$A757)*tblDados[Primeira_Ocorrencia]*((tblDados[GM_M]+tblDados[GS_M])&gt;1.5))+SUMPRODUCT((TRIM(tblDados[Visitante])=$A757)*tblDados[Primeira_Ocorrencia]*((tblDados[GM_V]+tblDados[GS_V])&gt;1.5)))/G757,0))</f>
        <v/>
      </c>
      <c r="M757" s="16" t="str" cm="1">
        <f t="array" ref="M757">IF($A757="","",IFERROR((SUMPRODUCT((TRIM(tblDados[Mandante])=$A757)*tblDados[Primeira_Ocorrencia]*((tblDados[GM_M]+tblDados[GS_M])&gt;2.5))+SUMPRODUCT((TRIM(tblDados[Visitante])=$A757)*tblDados[Primeira_Ocorrencia]*((tblDados[GM_V]+tblDados[GS_V])&gt;2.5)))/G757,0))</f>
        <v/>
      </c>
      <c r="N757" s="16" t="str" cm="1">
        <f t="array" ref="N757">IF($A757="","",IFERROR((SUMPRODUCT((TRIM(tblDados[Mandante])=$A757)*tblDados[Primeira_Ocorrencia]*((tblDados[GM_M]+tblDados[GS_M])&gt;3.5))+SUMPRODUCT((TRIM(tblDados[Visitante])=$A757)*tblDados[Primeira_Ocorrencia]*((tblDados[GM_V]+tblDados[GS_V])&gt;3.5)))/G757,0))</f>
        <v/>
      </c>
      <c r="O757" s="16" t="str" cm="1">
        <f t="array" ref="O757">IF($A757="","",IFERROR((SUMPRODUCT((TRIM(tblDados[Mandante])=$A757)*tblDados[Primeira_Ocorrencia]*(tblDados[GM_M]&gt;0)*(tblDados[GS_M]&gt;0))+SUMPRODUCT((TRIM(tblDados[Visitante])=$A757)*tblDados[Primeira_Ocorrencia]*(tblDados[GM_V]&gt;0)*(tblDados[GS_V]&gt;0)))/G757,0))</f>
        <v/>
      </c>
      <c r="P757" s="14" t="str" cm="1">
        <f t="array" ref="P757">IF($A757="","",IFERROR((SUMPRODUCT((TRIM(tblDados[Mandante])=$A757)*tblDados[Primeira_Ocorrencia]*tblDados[GM_M]^2)+SUMPRODUCT((TRIM(tblDados[Visitante])=$A757)*tblDados[Primeira_Ocorrencia]*tblDados[GM_V]^2))/G757-H757^2,0))</f>
        <v/>
      </c>
      <c r="Q757" s="14" t="str">
        <f t="shared" si="200"/>
        <v/>
      </c>
      <c r="R757" s="1" t="str">
        <f t="shared" si="201"/>
        <v/>
      </c>
      <c r="S757" s="14" t="str" cm="1">
        <f t="array" ref="S757">IF($A757="","",SUMPRODUCT((TRIM(tblDados[Mandante])=$A757)*tblDados[Primeira_Ocorrencia]*tblDados[GM_M]))</f>
        <v/>
      </c>
      <c r="T757" s="14" t="str" cm="1">
        <f t="array" ref="T757">IF($A757="","",SUMPRODUCT((TRIM(tblDados[Visitante])=$A757)*tblDados[Primeira_Ocorrencia]*tblDados[GM_V]))</f>
        <v/>
      </c>
      <c r="U757" s="14" t="str">
        <f t="shared" si="202"/>
        <v/>
      </c>
      <c r="V757" s="14" t="str">
        <f t="shared" si="191"/>
        <v/>
      </c>
      <c r="W757" s="14" t="str" cm="1">
        <f t="array" ref="W757">IF($A757="","",SUMPRODUCT((TRIM(tblDados[Mandante])=$A757)*tblDados[Primeira_Ocorrencia]*tblDados[GS_M]))</f>
        <v/>
      </c>
      <c r="X757" s="14" t="str" cm="1">
        <f t="array" ref="X757">IF($A757="","",SUMPRODUCT((TRIM(tblDados[Visitante])=$A757)*tblDados[Primeira_Ocorrencia]*tblDados[GS_V]))</f>
        <v/>
      </c>
      <c r="Y757" s="14" t="str">
        <f t="shared" si="203"/>
        <v/>
      </c>
      <c r="Z757" s="14" t="str">
        <f t="shared" si="192"/>
        <v/>
      </c>
      <c r="AA757" s="14" t="str">
        <f t="shared" si="193"/>
        <v/>
      </c>
      <c r="AB757" s="14" t="str">
        <f t="shared" si="194"/>
        <v/>
      </c>
      <c r="AC757" s="14" t="str">
        <f t="shared" si="195"/>
        <v/>
      </c>
      <c r="AD757" s="14" t="str">
        <f t="shared" si="196"/>
        <v/>
      </c>
    </row>
    <row r="758" spans="2:30" x14ac:dyDescent="0.3">
      <c r="B758" s="13" t="str" cm="1">
        <f t="array" ref="B758">IF($A758="","",_xlfn.LET(_xlpm.p,IFERROR(INDEX(tblDados[País],MATCH($A758,TRIM(tblDados[Mandante]),0)),INDEX(tblDados[País],MATCH($A758,TRIM(tblDados[Visitante]),0))),_xlpm.l,IFERROR(INDEX(tblDados[Liga],MATCH($A758,TRIM(tblDados[Mandante]),0)),INDEX(tblDados[Liga],MATCH($A758,TRIM(tblDados[Visitante]),0))),_xlpm.p&amp;" - "&amp;_xlpm.l))</f>
        <v/>
      </c>
      <c r="C758" s="14" t="str">
        <f t="shared" si="197"/>
        <v/>
      </c>
      <c r="D758" s="14" t="str">
        <f t="shared" si="198"/>
        <v/>
      </c>
      <c r="E758" s="15" t="str" cm="1">
        <f t="array" ref="E758">IF($A758="","",SUMPRODUCT((TRIM(tblDados[Mandante])=$A758)*tblDados[Primeira_Ocorrencia]))</f>
        <v/>
      </c>
      <c r="F758" s="15" t="str" cm="1">
        <f t="array" ref="F758">IF($A758="","",SUMPRODUCT((TRIM(tblDados[Visitante])=$A758)*tblDados[Primeira_Ocorrencia]))</f>
        <v/>
      </c>
      <c r="G758" s="15" t="str" cm="1">
        <f t="array" ref="G758">IF($A758="","",SUMPRODUCT((TRIM(tblDados[Mandante])=$A758)*tblDados[Primeira_Ocorrencia])+SUMPRODUCT((TRIM(tblDados[Visitante])=$A758)*tblDados[Primeira_Ocorrencia]))</f>
        <v/>
      </c>
      <c r="H758" s="14" t="str">
        <f t="shared" si="199"/>
        <v/>
      </c>
      <c r="I758" s="14" t="str" cm="1">
        <f t="array" ref="I758">IF($A758="","",_xlfn.LET(_xlpm.p,IFERROR(INDEX(tblDados[País],MATCH($A758,TRIM(tblDados[Mandante]),0)),INDEX(tblDados[País],MATCH($A758,TRIM(tblDados[Visitante]),0))),_xlpm.l,IFERROR(INDEX(tblDados[Liga],MATCH($A758,TRIM(tblDados[Mandante]),0)),INDEX(tblDados[Liga],MATCH($A758,TRIM(tblDados[Visitante]),0))),IFERROR(SUMIFS(Ligas!$D$2:$D$39,Ligas!$H$2:$H$39,_xlpm.p,Ligas!$I$2:$I$39,_xlpm.l),0)))</f>
        <v/>
      </c>
      <c r="J758" s="16" t="str" cm="1">
        <f t="array" ref="J758">IF($A758="","",IFERROR((SUMPRODUCT((TRIM(tblDados[Mandante])=$A758)*tblDados[Primeira_Ocorrencia]*(tblDados[GM_M]=0))+SUMPRODUCT((TRIM(tblDados[Visitante])=$A758)*tblDados[Primeira_Ocorrencia]*(tblDados[GM_V]=0)))/G758,0))</f>
        <v/>
      </c>
      <c r="K758" s="16" t="str" cm="1">
        <f t="array" ref="K758">IF($A758="","",IFERROR((SUMPRODUCT((TRIM(tblDados[Mandante])=$A758)*tblDados[Primeira_Ocorrencia]*((tblDados[GM_M]+tblDados[GS_M])&gt;0.5))+SUMPRODUCT((TRIM(tblDados[Visitante])=$A758)*tblDados[Primeira_Ocorrencia]*((tblDados[GM_V]+tblDados[GS_V])&gt;0.5)))/G758,0))</f>
        <v/>
      </c>
      <c r="L758" s="16" t="str" cm="1">
        <f t="array" ref="L758">IF($A758="","",IFERROR((SUMPRODUCT((TRIM(tblDados[Mandante])=$A758)*tblDados[Primeira_Ocorrencia]*((tblDados[GM_M]+tblDados[GS_M])&gt;1.5))+SUMPRODUCT((TRIM(tblDados[Visitante])=$A758)*tblDados[Primeira_Ocorrencia]*((tblDados[GM_V]+tblDados[GS_V])&gt;1.5)))/G758,0))</f>
        <v/>
      </c>
      <c r="M758" s="16" t="str" cm="1">
        <f t="array" ref="M758">IF($A758="","",IFERROR((SUMPRODUCT((TRIM(tblDados[Mandante])=$A758)*tblDados[Primeira_Ocorrencia]*((tblDados[GM_M]+tblDados[GS_M])&gt;2.5))+SUMPRODUCT((TRIM(tblDados[Visitante])=$A758)*tblDados[Primeira_Ocorrencia]*((tblDados[GM_V]+tblDados[GS_V])&gt;2.5)))/G758,0))</f>
        <v/>
      </c>
      <c r="N758" s="16" t="str" cm="1">
        <f t="array" ref="N758">IF($A758="","",IFERROR((SUMPRODUCT((TRIM(tblDados[Mandante])=$A758)*tblDados[Primeira_Ocorrencia]*((tblDados[GM_M]+tblDados[GS_M])&gt;3.5))+SUMPRODUCT((TRIM(tblDados[Visitante])=$A758)*tblDados[Primeira_Ocorrencia]*((tblDados[GM_V]+tblDados[GS_V])&gt;3.5)))/G758,0))</f>
        <v/>
      </c>
      <c r="O758" s="16" t="str" cm="1">
        <f t="array" ref="O758">IF($A758="","",IFERROR((SUMPRODUCT((TRIM(tblDados[Mandante])=$A758)*tblDados[Primeira_Ocorrencia]*(tblDados[GM_M]&gt;0)*(tblDados[GS_M]&gt;0))+SUMPRODUCT((TRIM(tblDados[Visitante])=$A758)*tblDados[Primeira_Ocorrencia]*(tblDados[GM_V]&gt;0)*(tblDados[GS_V]&gt;0)))/G758,0))</f>
        <v/>
      </c>
      <c r="P758" s="14" t="str" cm="1">
        <f t="array" ref="P758">IF($A758="","",IFERROR((SUMPRODUCT((TRIM(tblDados[Mandante])=$A758)*tblDados[Primeira_Ocorrencia]*tblDados[GM_M]^2)+SUMPRODUCT((TRIM(tblDados[Visitante])=$A758)*tblDados[Primeira_Ocorrencia]*tblDados[GM_V]^2))/G758-H758^2,0))</f>
        <v/>
      </c>
      <c r="Q758" s="14" t="str">
        <f t="shared" si="200"/>
        <v/>
      </c>
      <c r="R758" s="1" t="str">
        <f t="shared" si="201"/>
        <v/>
      </c>
      <c r="S758" s="14" t="str" cm="1">
        <f t="array" ref="S758">IF($A758="","",SUMPRODUCT((TRIM(tblDados[Mandante])=$A758)*tblDados[Primeira_Ocorrencia]*tblDados[GM_M]))</f>
        <v/>
      </c>
      <c r="T758" s="14" t="str" cm="1">
        <f t="array" ref="T758">IF($A758="","",SUMPRODUCT((TRIM(tblDados[Visitante])=$A758)*tblDados[Primeira_Ocorrencia]*tblDados[GM_V]))</f>
        <v/>
      </c>
      <c r="U758" s="14" t="str">
        <f t="shared" si="202"/>
        <v/>
      </c>
      <c r="V758" s="14" t="str">
        <f t="shared" si="191"/>
        <v/>
      </c>
      <c r="W758" s="14" t="str" cm="1">
        <f t="array" ref="W758">IF($A758="","",SUMPRODUCT((TRIM(tblDados[Mandante])=$A758)*tblDados[Primeira_Ocorrencia]*tblDados[GS_M]))</f>
        <v/>
      </c>
      <c r="X758" s="14" t="str" cm="1">
        <f t="array" ref="X758">IF($A758="","",SUMPRODUCT((TRIM(tblDados[Visitante])=$A758)*tblDados[Primeira_Ocorrencia]*tblDados[GS_V]))</f>
        <v/>
      </c>
      <c r="Y758" s="14" t="str">
        <f t="shared" si="203"/>
        <v/>
      </c>
      <c r="Z758" s="14" t="str">
        <f t="shared" si="192"/>
        <v/>
      </c>
      <c r="AA758" s="14" t="str">
        <f t="shared" si="193"/>
        <v/>
      </c>
      <c r="AB758" s="14" t="str">
        <f t="shared" si="194"/>
        <v/>
      </c>
      <c r="AC758" s="14" t="str">
        <f t="shared" si="195"/>
        <v/>
      </c>
      <c r="AD758" s="14" t="str">
        <f t="shared" si="196"/>
        <v/>
      </c>
    </row>
    <row r="759" spans="2:30" x14ac:dyDescent="0.3">
      <c r="B759" s="13" t="str" cm="1">
        <f t="array" ref="B759">IF($A759="","",_xlfn.LET(_xlpm.p,IFERROR(INDEX(tblDados[País],MATCH($A759,TRIM(tblDados[Mandante]),0)),INDEX(tblDados[País],MATCH($A759,TRIM(tblDados[Visitante]),0))),_xlpm.l,IFERROR(INDEX(tblDados[Liga],MATCH($A759,TRIM(tblDados[Mandante]),0)),INDEX(tblDados[Liga],MATCH($A759,TRIM(tblDados[Visitante]),0))),_xlpm.p&amp;" - "&amp;_xlpm.l))</f>
        <v/>
      </c>
      <c r="C759" s="14" t="str">
        <f t="shared" si="197"/>
        <v/>
      </c>
      <c r="D759" s="14" t="str">
        <f t="shared" si="198"/>
        <v/>
      </c>
      <c r="E759" s="15" t="str" cm="1">
        <f t="array" ref="E759">IF($A759="","",SUMPRODUCT((TRIM(tblDados[Mandante])=$A759)*tblDados[Primeira_Ocorrencia]))</f>
        <v/>
      </c>
      <c r="F759" s="15" t="str" cm="1">
        <f t="array" ref="F759">IF($A759="","",SUMPRODUCT((TRIM(tblDados[Visitante])=$A759)*tblDados[Primeira_Ocorrencia]))</f>
        <v/>
      </c>
      <c r="G759" s="15" t="str" cm="1">
        <f t="array" ref="G759">IF($A759="","",SUMPRODUCT((TRIM(tblDados[Mandante])=$A759)*tblDados[Primeira_Ocorrencia])+SUMPRODUCT((TRIM(tblDados[Visitante])=$A759)*tblDados[Primeira_Ocorrencia]))</f>
        <v/>
      </c>
      <c r="H759" s="14" t="str">
        <f t="shared" si="199"/>
        <v/>
      </c>
      <c r="I759" s="14" t="str" cm="1">
        <f t="array" ref="I759">IF($A759="","",_xlfn.LET(_xlpm.p,IFERROR(INDEX(tblDados[País],MATCH($A759,TRIM(tblDados[Mandante]),0)),INDEX(tblDados[País],MATCH($A759,TRIM(tblDados[Visitante]),0))),_xlpm.l,IFERROR(INDEX(tblDados[Liga],MATCH($A759,TRIM(tblDados[Mandante]),0)),INDEX(tblDados[Liga],MATCH($A759,TRIM(tblDados[Visitante]),0))),IFERROR(SUMIFS(Ligas!$D$2:$D$39,Ligas!$H$2:$H$39,_xlpm.p,Ligas!$I$2:$I$39,_xlpm.l),0)))</f>
        <v/>
      </c>
      <c r="J759" s="16" t="str" cm="1">
        <f t="array" ref="J759">IF($A759="","",IFERROR((SUMPRODUCT((TRIM(tblDados[Mandante])=$A759)*tblDados[Primeira_Ocorrencia]*(tblDados[GM_M]=0))+SUMPRODUCT((TRIM(tblDados[Visitante])=$A759)*tblDados[Primeira_Ocorrencia]*(tblDados[GM_V]=0)))/G759,0))</f>
        <v/>
      </c>
      <c r="K759" s="16" t="str" cm="1">
        <f t="array" ref="K759">IF($A759="","",IFERROR((SUMPRODUCT((TRIM(tblDados[Mandante])=$A759)*tblDados[Primeira_Ocorrencia]*((tblDados[GM_M]+tblDados[GS_M])&gt;0.5))+SUMPRODUCT((TRIM(tblDados[Visitante])=$A759)*tblDados[Primeira_Ocorrencia]*((tblDados[GM_V]+tblDados[GS_V])&gt;0.5)))/G759,0))</f>
        <v/>
      </c>
      <c r="L759" s="16" t="str" cm="1">
        <f t="array" ref="L759">IF($A759="","",IFERROR((SUMPRODUCT((TRIM(tblDados[Mandante])=$A759)*tblDados[Primeira_Ocorrencia]*((tblDados[GM_M]+tblDados[GS_M])&gt;1.5))+SUMPRODUCT((TRIM(tblDados[Visitante])=$A759)*tblDados[Primeira_Ocorrencia]*((tblDados[GM_V]+tblDados[GS_V])&gt;1.5)))/G759,0))</f>
        <v/>
      </c>
      <c r="M759" s="16" t="str" cm="1">
        <f t="array" ref="M759">IF($A759="","",IFERROR((SUMPRODUCT((TRIM(tblDados[Mandante])=$A759)*tblDados[Primeira_Ocorrencia]*((tblDados[GM_M]+tblDados[GS_M])&gt;2.5))+SUMPRODUCT((TRIM(tblDados[Visitante])=$A759)*tblDados[Primeira_Ocorrencia]*((tblDados[GM_V]+tblDados[GS_V])&gt;2.5)))/G759,0))</f>
        <v/>
      </c>
      <c r="N759" s="16" t="str" cm="1">
        <f t="array" ref="N759">IF($A759="","",IFERROR((SUMPRODUCT((TRIM(tblDados[Mandante])=$A759)*tblDados[Primeira_Ocorrencia]*((tblDados[GM_M]+tblDados[GS_M])&gt;3.5))+SUMPRODUCT((TRIM(tblDados[Visitante])=$A759)*tblDados[Primeira_Ocorrencia]*((tblDados[GM_V]+tblDados[GS_V])&gt;3.5)))/G759,0))</f>
        <v/>
      </c>
      <c r="O759" s="16" t="str" cm="1">
        <f t="array" ref="O759">IF($A759="","",IFERROR((SUMPRODUCT((TRIM(tblDados[Mandante])=$A759)*tblDados[Primeira_Ocorrencia]*(tblDados[GM_M]&gt;0)*(tblDados[GS_M]&gt;0))+SUMPRODUCT((TRIM(tblDados[Visitante])=$A759)*tblDados[Primeira_Ocorrencia]*(tblDados[GM_V]&gt;0)*(tblDados[GS_V]&gt;0)))/G759,0))</f>
        <v/>
      </c>
      <c r="P759" s="14" t="str" cm="1">
        <f t="array" ref="P759">IF($A759="","",IFERROR((SUMPRODUCT((TRIM(tblDados[Mandante])=$A759)*tblDados[Primeira_Ocorrencia]*tblDados[GM_M]^2)+SUMPRODUCT((TRIM(tblDados[Visitante])=$A759)*tblDados[Primeira_Ocorrencia]*tblDados[GM_V]^2))/G759-H759^2,0))</f>
        <v/>
      </c>
      <c r="Q759" s="14" t="str">
        <f t="shared" si="200"/>
        <v/>
      </c>
      <c r="R759" s="1" t="str">
        <f t="shared" si="201"/>
        <v/>
      </c>
      <c r="S759" s="14" t="str" cm="1">
        <f t="array" ref="S759">IF($A759="","",SUMPRODUCT((TRIM(tblDados[Mandante])=$A759)*tblDados[Primeira_Ocorrencia]*tblDados[GM_M]))</f>
        <v/>
      </c>
      <c r="T759" s="14" t="str" cm="1">
        <f t="array" ref="T759">IF($A759="","",SUMPRODUCT((TRIM(tblDados[Visitante])=$A759)*tblDados[Primeira_Ocorrencia]*tblDados[GM_V]))</f>
        <v/>
      </c>
      <c r="U759" s="14" t="str">
        <f t="shared" si="202"/>
        <v/>
      </c>
      <c r="V759" s="14" t="str">
        <f t="shared" si="191"/>
        <v/>
      </c>
      <c r="W759" s="14" t="str" cm="1">
        <f t="array" ref="W759">IF($A759="","",SUMPRODUCT((TRIM(tblDados[Mandante])=$A759)*tblDados[Primeira_Ocorrencia]*tblDados[GS_M]))</f>
        <v/>
      </c>
      <c r="X759" s="14" t="str" cm="1">
        <f t="array" ref="X759">IF($A759="","",SUMPRODUCT((TRIM(tblDados[Visitante])=$A759)*tblDados[Primeira_Ocorrencia]*tblDados[GS_V]))</f>
        <v/>
      </c>
      <c r="Y759" s="14" t="str">
        <f t="shared" si="203"/>
        <v/>
      </c>
      <c r="Z759" s="14" t="str">
        <f t="shared" si="192"/>
        <v/>
      </c>
      <c r="AA759" s="14" t="str">
        <f t="shared" si="193"/>
        <v/>
      </c>
      <c r="AB759" s="14" t="str">
        <f t="shared" si="194"/>
        <v/>
      </c>
      <c r="AC759" s="14" t="str">
        <f t="shared" si="195"/>
        <v/>
      </c>
      <c r="AD759" s="14" t="str">
        <f t="shared" si="196"/>
        <v/>
      </c>
    </row>
    <row r="760" spans="2:30" x14ac:dyDescent="0.3">
      <c r="B760" s="13" t="str" cm="1">
        <f t="array" ref="B760">IF($A760="","",_xlfn.LET(_xlpm.p,IFERROR(INDEX(tblDados[País],MATCH($A760,TRIM(tblDados[Mandante]),0)),INDEX(tblDados[País],MATCH($A760,TRIM(tblDados[Visitante]),0))),_xlpm.l,IFERROR(INDEX(tblDados[Liga],MATCH($A760,TRIM(tblDados[Mandante]),0)),INDEX(tblDados[Liga],MATCH($A760,TRIM(tblDados[Visitante]),0))),_xlpm.p&amp;" - "&amp;_xlpm.l))</f>
        <v/>
      </c>
      <c r="C760" s="14" t="str">
        <f t="shared" si="197"/>
        <v/>
      </c>
      <c r="D760" s="14" t="str">
        <f t="shared" si="198"/>
        <v/>
      </c>
      <c r="E760" s="15" t="str" cm="1">
        <f t="array" ref="E760">IF($A760="","",SUMPRODUCT((TRIM(tblDados[Mandante])=$A760)*tblDados[Primeira_Ocorrencia]))</f>
        <v/>
      </c>
      <c r="F760" s="15" t="str" cm="1">
        <f t="array" ref="F760">IF($A760="","",SUMPRODUCT((TRIM(tblDados[Visitante])=$A760)*tblDados[Primeira_Ocorrencia]))</f>
        <v/>
      </c>
      <c r="G760" s="15" t="str" cm="1">
        <f t="array" ref="G760">IF($A760="","",SUMPRODUCT((TRIM(tblDados[Mandante])=$A760)*tblDados[Primeira_Ocorrencia])+SUMPRODUCT((TRIM(tblDados[Visitante])=$A760)*tblDados[Primeira_Ocorrencia]))</f>
        <v/>
      </c>
      <c r="H760" s="14" t="str">
        <f t="shared" si="199"/>
        <v/>
      </c>
      <c r="I760" s="14" t="str" cm="1">
        <f t="array" ref="I760">IF($A760="","",_xlfn.LET(_xlpm.p,IFERROR(INDEX(tblDados[País],MATCH($A760,TRIM(tblDados[Mandante]),0)),INDEX(tblDados[País],MATCH($A760,TRIM(tblDados[Visitante]),0))),_xlpm.l,IFERROR(INDEX(tblDados[Liga],MATCH($A760,TRIM(tblDados[Mandante]),0)),INDEX(tblDados[Liga],MATCH($A760,TRIM(tblDados[Visitante]),0))),IFERROR(SUMIFS(Ligas!$D$2:$D$39,Ligas!$H$2:$H$39,_xlpm.p,Ligas!$I$2:$I$39,_xlpm.l),0)))</f>
        <v/>
      </c>
      <c r="J760" s="16" t="str" cm="1">
        <f t="array" ref="J760">IF($A760="","",IFERROR((SUMPRODUCT((TRIM(tblDados[Mandante])=$A760)*tblDados[Primeira_Ocorrencia]*(tblDados[GM_M]=0))+SUMPRODUCT((TRIM(tblDados[Visitante])=$A760)*tblDados[Primeira_Ocorrencia]*(tblDados[GM_V]=0)))/G760,0))</f>
        <v/>
      </c>
      <c r="K760" s="16" t="str" cm="1">
        <f t="array" ref="K760">IF($A760="","",IFERROR((SUMPRODUCT((TRIM(tblDados[Mandante])=$A760)*tblDados[Primeira_Ocorrencia]*((tblDados[GM_M]+tblDados[GS_M])&gt;0.5))+SUMPRODUCT((TRIM(tblDados[Visitante])=$A760)*tblDados[Primeira_Ocorrencia]*((tblDados[GM_V]+tblDados[GS_V])&gt;0.5)))/G760,0))</f>
        <v/>
      </c>
      <c r="L760" s="16" t="str" cm="1">
        <f t="array" ref="L760">IF($A760="","",IFERROR((SUMPRODUCT((TRIM(tblDados[Mandante])=$A760)*tblDados[Primeira_Ocorrencia]*((tblDados[GM_M]+tblDados[GS_M])&gt;1.5))+SUMPRODUCT((TRIM(tblDados[Visitante])=$A760)*tblDados[Primeira_Ocorrencia]*((tblDados[GM_V]+tblDados[GS_V])&gt;1.5)))/G760,0))</f>
        <v/>
      </c>
      <c r="M760" s="16" t="str" cm="1">
        <f t="array" ref="M760">IF($A760="","",IFERROR((SUMPRODUCT((TRIM(tblDados[Mandante])=$A760)*tblDados[Primeira_Ocorrencia]*((tblDados[GM_M]+tblDados[GS_M])&gt;2.5))+SUMPRODUCT((TRIM(tblDados[Visitante])=$A760)*tblDados[Primeira_Ocorrencia]*((tblDados[GM_V]+tblDados[GS_V])&gt;2.5)))/G760,0))</f>
        <v/>
      </c>
      <c r="N760" s="16" t="str" cm="1">
        <f t="array" ref="N760">IF($A760="","",IFERROR((SUMPRODUCT((TRIM(tblDados[Mandante])=$A760)*tblDados[Primeira_Ocorrencia]*((tblDados[GM_M]+tblDados[GS_M])&gt;3.5))+SUMPRODUCT((TRIM(tblDados[Visitante])=$A760)*tblDados[Primeira_Ocorrencia]*((tblDados[GM_V]+tblDados[GS_V])&gt;3.5)))/G760,0))</f>
        <v/>
      </c>
      <c r="O760" s="16" t="str" cm="1">
        <f t="array" ref="O760">IF($A760="","",IFERROR((SUMPRODUCT((TRIM(tblDados[Mandante])=$A760)*tblDados[Primeira_Ocorrencia]*(tblDados[GM_M]&gt;0)*(tblDados[GS_M]&gt;0))+SUMPRODUCT((TRIM(tblDados[Visitante])=$A760)*tblDados[Primeira_Ocorrencia]*(tblDados[GM_V]&gt;0)*(tblDados[GS_V]&gt;0)))/G760,0))</f>
        <v/>
      </c>
      <c r="P760" s="14" t="str" cm="1">
        <f t="array" ref="P760">IF($A760="","",IFERROR((SUMPRODUCT((TRIM(tblDados[Mandante])=$A760)*tblDados[Primeira_Ocorrencia]*tblDados[GM_M]^2)+SUMPRODUCT((TRIM(tblDados[Visitante])=$A760)*tblDados[Primeira_Ocorrencia]*tblDados[GM_V]^2))/G760-H760^2,0))</f>
        <v/>
      </c>
      <c r="Q760" s="14" t="str">
        <f t="shared" si="200"/>
        <v/>
      </c>
      <c r="R760" s="1" t="str">
        <f t="shared" si="201"/>
        <v/>
      </c>
      <c r="S760" s="14" t="str" cm="1">
        <f t="array" ref="S760">IF($A760="","",SUMPRODUCT((TRIM(tblDados[Mandante])=$A760)*tblDados[Primeira_Ocorrencia]*tblDados[GM_M]))</f>
        <v/>
      </c>
      <c r="T760" s="14" t="str" cm="1">
        <f t="array" ref="T760">IF($A760="","",SUMPRODUCT((TRIM(tblDados[Visitante])=$A760)*tblDados[Primeira_Ocorrencia]*tblDados[GM_V]))</f>
        <v/>
      </c>
      <c r="U760" s="14" t="str">
        <f t="shared" si="202"/>
        <v/>
      </c>
      <c r="V760" s="14" t="str">
        <f t="shared" si="191"/>
        <v/>
      </c>
      <c r="W760" s="14" t="str" cm="1">
        <f t="array" ref="W760">IF($A760="","",SUMPRODUCT((TRIM(tblDados[Mandante])=$A760)*tblDados[Primeira_Ocorrencia]*tblDados[GS_M]))</f>
        <v/>
      </c>
      <c r="X760" s="14" t="str" cm="1">
        <f t="array" ref="X760">IF($A760="","",SUMPRODUCT((TRIM(tblDados[Visitante])=$A760)*tblDados[Primeira_Ocorrencia]*tblDados[GS_V]))</f>
        <v/>
      </c>
      <c r="Y760" s="14" t="str">
        <f t="shared" si="203"/>
        <v/>
      </c>
      <c r="Z760" s="14" t="str">
        <f t="shared" si="192"/>
        <v/>
      </c>
      <c r="AA760" s="14" t="str">
        <f t="shared" si="193"/>
        <v/>
      </c>
      <c r="AB760" s="14" t="str">
        <f t="shared" si="194"/>
        <v/>
      </c>
      <c r="AC760" s="14" t="str">
        <f t="shared" si="195"/>
        <v/>
      </c>
      <c r="AD760" s="14" t="str">
        <f t="shared" si="196"/>
        <v/>
      </c>
    </row>
    <row r="761" spans="2:30" x14ac:dyDescent="0.3">
      <c r="B761" s="13" t="str" cm="1">
        <f t="array" ref="B761">IF($A761="","",_xlfn.LET(_xlpm.p,IFERROR(INDEX(tblDados[País],MATCH($A761,TRIM(tblDados[Mandante]),0)),INDEX(tblDados[País],MATCH($A761,TRIM(tblDados[Visitante]),0))),_xlpm.l,IFERROR(INDEX(tblDados[Liga],MATCH($A761,TRIM(tblDados[Mandante]),0)),INDEX(tblDados[Liga],MATCH($A761,TRIM(tblDados[Visitante]),0))),_xlpm.p&amp;" - "&amp;_xlpm.l))</f>
        <v/>
      </c>
      <c r="C761" s="14" t="str">
        <f t="shared" si="197"/>
        <v/>
      </c>
      <c r="D761" s="14" t="str">
        <f t="shared" si="198"/>
        <v/>
      </c>
      <c r="E761" s="15" t="str" cm="1">
        <f t="array" ref="E761">IF($A761="","",SUMPRODUCT((TRIM(tblDados[Mandante])=$A761)*tblDados[Primeira_Ocorrencia]))</f>
        <v/>
      </c>
      <c r="F761" s="15" t="str" cm="1">
        <f t="array" ref="F761">IF($A761="","",SUMPRODUCT((TRIM(tblDados[Visitante])=$A761)*tblDados[Primeira_Ocorrencia]))</f>
        <v/>
      </c>
      <c r="G761" s="15" t="str" cm="1">
        <f t="array" ref="G761">IF($A761="","",SUMPRODUCT((TRIM(tblDados[Mandante])=$A761)*tblDados[Primeira_Ocorrencia])+SUMPRODUCT((TRIM(tblDados[Visitante])=$A761)*tblDados[Primeira_Ocorrencia]))</f>
        <v/>
      </c>
      <c r="H761" s="14" t="str">
        <f t="shared" si="199"/>
        <v/>
      </c>
      <c r="I761" s="14" t="str" cm="1">
        <f t="array" ref="I761">IF($A761="","",_xlfn.LET(_xlpm.p,IFERROR(INDEX(tblDados[País],MATCH($A761,TRIM(tblDados[Mandante]),0)),INDEX(tblDados[País],MATCH($A761,TRIM(tblDados[Visitante]),0))),_xlpm.l,IFERROR(INDEX(tblDados[Liga],MATCH($A761,TRIM(tblDados[Mandante]),0)),INDEX(tblDados[Liga],MATCH($A761,TRIM(tblDados[Visitante]),0))),IFERROR(SUMIFS(Ligas!$D$2:$D$39,Ligas!$H$2:$H$39,_xlpm.p,Ligas!$I$2:$I$39,_xlpm.l),0)))</f>
        <v/>
      </c>
      <c r="J761" s="16" t="str" cm="1">
        <f t="array" ref="J761">IF($A761="","",IFERROR((SUMPRODUCT((TRIM(tblDados[Mandante])=$A761)*tblDados[Primeira_Ocorrencia]*(tblDados[GM_M]=0))+SUMPRODUCT((TRIM(tblDados[Visitante])=$A761)*tblDados[Primeira_Ocorrencia]*(tblDados[GM_V]=0)))/G761,0))</f>
        <v/>
      </c>
      <c r="K761" s="16" t="str" cm="1">
        <f t="array" ref="K761">IF($A761="","",IFERROR((SUMPRODUCT((TRIM(tblDados[Mandante])=$A761)*tblDados[Primeira_Ocorrencia]*((tblDados[GM_M]+tblDados[GS_M])&gt;0.5))+SUMPRODUCT((TRIM(tblDados[Visitante])=$A761)*tblDados[Primeira_Ocorrencia]*((tblDados[GM_V]+tblDados[GS_V])&gt;0.5)))/G761,0))</f>
        <v/>
      </c>
      <c r="L761" s="16" t="str" cm="1">
        <f t="array" ref="L761">IF($A761="","",IFERROR((SUMPRODUCT((TRIM(tblDados[Mandante])=$A761)*tblDados[Primeira_Ocorrencia]*((tblDados[GM_M]+tblDados[GS_M])&gt;1.5))+SUMPRODUCT((TRIM(tblDados[Visitante])=$A761)*tblDados[Primeira_Ocorrencia]*((tblDados[GM_V]+tblDados[GS_V])&gt;1.5)))/G761,0))</f>
        <v/>
      </c>
      <c r="M761" s="16" t="str" cm="1">
        <f t="array" ref="M761">IF($A761="","",IFERROR((SUMPRODUCT((TRIM(tblDados[Mandante])=$A761)*tblDados[Primeira_Ocorrencia]*((tblDados[GM_M]+tblDados[GS_M])&gt;2.5))+SUMPRODUCT((TRIM(tblDados[Visitante])=$A761)*tblDados[Primeira_Ocorrencia]*((tblDados[GM_V]+tblDados[GS_V])&gt;2.5)))/G761,0))</f>
        <v/>
      </c>
      <c r="N761" s="16" t="str" cm="1">
        <f t="array" ref="N761">IF($A761="","",IFERROR((SUMPRODUCT((TRIM(tblDados[Mandante])=$A761)*tblDados[Primeira_Ocorrencia]*((tblDados[GM_M]+tblDados[GS_M])&gt;3.5))+SUMPRODUCT((TRIM(tblDados[Visitante])=$A761)*tblDados[Primeira_Ocorrencia]*((tblDados[GM_V]+tblDados[GS_V])&gt;3.5)))/G761,0))</f>
        <v/>
      </c>
      <c r="O761" s="16" t="str" cm="1">
        <f t="array" ref="O761">IF($A761="","",IFERROR((SUMPRODUCT((TRIM(tblDados[Mandante])=$A761)*tblDados[Primeira_Ocorrencia]*(tblDados[GM_M]&gt;0)*(tblDados[GS_M]&gt;0))+SUMPRODUCT((TRIM(tblDados[Visitante])=$A761)*tblDados[Primeira_Ocorrencia]*(tblDados[GM_V]&gt;0)*(tblDados[GS_V]&gt;0)))/G761,0))</f>
        <v/>
      </c>
      <c r="P761" s="14" t="str" cm="1">
        <f t="array" ref="P761">IF($A761="","",IFERROR((SUMPRODUCT((TRIM(tblDados[Mandante])=$A761)*tblDados[Primeira_Ocorrencia]*tblDados[GM_M]^2)+SUMPRODUCT((TRIM(tblDados[Visitante])=$A761)*tblDados[Primeira_Ocorrencia]*tblDados[GM_V]^2))/G761-H761^2,0))</f>
        <v/>
      </c>
      <c r="Q761" s="14" t="str">
        <f t="shared" si="200"/>
        <v/>
      </c>
      <c r="R761" s="1" t="str">
        <f t="shared" si="201"/>
        <v/>
      </c>
      <c r="S761" s="14" t="str" cm="1">
        <f t="array" ref="S761">IF($A761="","",SUMPRODUCT((TRIM(tblDados[Mandante])=$A761)*tblDados[Primeira_Ocorrencia]*tblDados[GM_M]))</f>
        <v/>
      </c>
      <c r="T761" s="14" t="str" cm="1">
        <f t="array" ref="T761">IF($A761="","",SUMPRODUCT((TRIM(tblDados[Visitante])=$A761)*tblDados[Primeira_Ocorrencia]*tblDados[GM_V]))</f>
        <v/>
      </c>
      <c r="U761" s="14" t="str">
        <f t="shared" si="202"/>
        <v/>
      </c>
      <c r="V761" s="14" t="str">
        <f t="shared" si="191"/>
        <v/>
      </c>
      <c r="W761" s="14" t="str" cm="1">
        <f t="array" ref="W761">IF($A761="","",SUMPRODUCT((TRIM(tblDados[Mandante])=$A761)*tblDados[Primeira_Ocorrencia]*tblDados[GS_M]))</f>
        <v/>
      </c>
      <c r="X761" s="14" t="str" cm="1">
        <f t="array" ref="X761">IF($A761="","",SUMPRODUCT((TRIM(tblDados[Visitante])=$A761)*tblDados[Primeira_Ocorrencia]*tblDados[GS_V]))</f>
        <v/>
      </c>
      <c r="Y761" s="14" t="str">
        <f t="shared" si="203"/>
        <v/>
      </c>
      <c r="Z761" s="14" t="str">
        <f t="shared" si="192"/>
        <v/>
      </c>
      <c r="AA761" s="14" t="str">
        <f t="shared" si="193"/>
        <v/>
      </c>
      <c r="AB761" s="14" t="str">
        <f t="shared" si="194"/>
        <v/>
      </c>
      <c r="AC761" s="14" t="str">
        <f t="shared" si="195"/>
        <v/>
      </c>
      <c r="AD761" s="14" t="str">
        <f t="shared" si="196"/>
        <v/>
      </c>
    </row>
    <row r="762" spans="2:30" x14ac:dyDescent="0.3">
      <c r="B762" s="13" t="str" cm="1">
        <f t="array" ref="B762">IF($A762="","",_xlfn.LET(_xlpm.p,IFERROR(INDEX(tblDados[País],MATCH($A762,TRIM(tblDados[Mandante]),0)),INDEX(tblDados[País],MATCH($A762,TRIM(tblDados[Visitante]),0))),_xlpm.l,IFERROR(INDEX(tblDados[Liga],MATCH($A762,TRIM(tblDados[Mandante]),0)),INDEX(tblDados[Liga],MATCH($A762,TRIM(tblDados[Visitante]),0))),_xlpm.p&amp;" - "&amp;_xlpm.l))</f>
        <v/>
      </c>
      <c r="C762" s="14" t="str">
        <f t="shared" si="197"/>
        <v/>
      </c>
      <c r="D762" s="14" t="str">
        <f t="shared" si="198"/>
        <v/>
      </c>
      <c r="E762" s="15" t="str" cm="1">
        <f t="array" ref="E762">IF($A762="","",SUMPRODUCT((TRIM(tblDados[Mandante])=$A762)*tblDados[Primeira_Ocorrencia]))</f>
        <v/>
      </c>
      <c r="F762" s="15" t="str" cm="1">
        <f t="array" ref="F762">IF($A762="","",SUMPRODUCT((TRIM(tblDados[Visitante])=$A762)*tblDados[Primeira_Ocorrencia]))</f>
        <v/>
      </c>
      <c r="G762" s="15" t="str" cm="1">
        <f t="array" ref="G762">IF($A762="","",SUMPRODUCT((TRIM(tblDados[Mandante])=$A762)*tblDados[Primeira_Ocorrencia])+SUMPRODUCT((TRIM(tblDados[Visitante])=$A762)*tblDados[Primeira_Ocorrencia]))</f>
        <v/>
      </c>
      <c r="H762" s="14" t="str">
        <f t="shared" si="199"/>
        <v/>
      </c>
      <c r="I762" s="14" t="str" cm="1">
        <f t="array" ref="I762">IF($A762="","",_xlfn.LET(_xlpm.p,IFERROR(INDEX(tblDados[País],MATCH($A762,TRIM(tblDados[Mandante]),0)),INDEX(tblDados[País],MATCH($A762,TRIM(tblDados[Visitante]),0))),_xlpm.l,IFERROR(INDEX(tblDados[Liga],MATCH($A762,TRIM(tblDados[Mandante]),0)),INDEX(tblDados[Liga],MATCH($A762,TRIM(tblDados[Visitante]),0))),IFERROR(SUMIFS(Ligas!$D$2:$D$39,Ligas!$H$2:$H$39,_xlpm.p,Ligas!$I$2:$I$39,_xlpm.l),0)))</f>
        <v/>
      </c>
      <c r="J762" s="16" t="str" cm="1">
        <f t="array" ref="J762">IF($A762="","",IFERROR((SUMPRODUCT((TRIM(tblDados[Mandante])=$A762)*tblDados[Primeira_Ocorrencia]*(tblDados[GM_M]=0))+SUMPRODUCT((TRIM(tblDados[Visitante])=$A762)*tblDados[Primeira_Ocorrencia]*(tblDados[GM_V]=0)))/G762,0))</f>
        <v/>
      </c>
      <c r="K762" s="16" t="str" cm="1">
        <f t="array" ref="K762">IF($A762="","",IFERROR((SUMPRODUCT((TRIM(tblDados[Mandante])=$A762)*tblDados[Primeira_Ocorrencia]*((tblDados[GM_M]+tblDados[GS_M])&gt;0.5))+SUMPRODUCT((TRIM(tblDados[Visitante])=$A762)*tblDados[Primeira_Ocorrencia]*((tblDados[GM_V]+tblDados[GS_V])&gt;0.5)))/G762,0))</f>
        <v/>
      </c>
      <c r="L762" s="16" t="str" cm="1">
        <f t="array" ref="L762">IF($A762="","",IFERROR((SUMPRODUCT((TRIM(tblDados[Mandante])=$A762)*tblDados[Primeira_Ocorrencia]*((tblDados[GM_M]+tblDados[GS_M])&gt;1.5))+SUMPRODUCT((TRIM(tblDados[Visitante])=$A762)*tblDados[Primeira_Ocorrencia]*((tblDados[GM_V]+tblDados[GS_V])&gt;1.5)))/G762,0))</f>
        <v/>
      </c>
      <c r="M762" s="16" t="str" cm="1">
        <f t="array" ref="M762">IF($A762="","",IFERROR((SUMPRODUCT((TRIM(tblDados[Mandante])=$A762)*tblDados[Primeira_Ocorrencia]*((tblDados[GM_M]+tblDados[GS_M])&gt;2.5))+SUMPRODUCT((TRIM(tblDados[Visitante])=$A762)*tblDados[Primeira_Ocorrencia]*((tblDados[GM_V]+tblDados[GS_V])&gt;2.5)))/G762,0))</f>
        <v/>
      </c>
      <c r="N762" s="16" t="str" cm="1">
        <f t="array" ref="N762">IF($A762="","",IFERROR((SUMPRODUCT((TRIM(tblDados[Mandante])=$A762)*tblDados[Primeira_Ocorrencia]*((tblDados[GM_M]+tblDados[GS_M])&gt;3.5))+SUMPRODUCT((TRIM(tblDados[Visitante])=$A762)*tblDados[Primeira_Ocorrencia]*((tblDados[GM_V]+tblDados[GS_V])&gt;3.5)))/G762,0))</f>
        <v/>
      </c>
      <c r="O762" s="16" t="str" cm="1">
        <f t="array" ref="O762">IF($A762="","",IFERROR((SUMPRODUCT((TRIM(tblDados[Mandante])=$A762)*tblDados[Primeira_Ocorrencia]*(tblDados[GM_M]&gt;0)*(tblDados[GS_M]&gt;0))+SUMPRODUCT((TRIM(tblDados[Visitante])=$A762)*tblDados[Primeira_Ocorrencia]*(tblDados[GM_V]&gt;0)*(tblDados[GS_V]&gt;0)))/G762,0))</f>
        <v/>
      </c>
      <c r="P762" s="14" t="str" cm="1">
        <f t="array" ref="P762">IF($A762="","",IFERROR((SUMPRODUCT((TRIM(tblDados[Mandante])=$A762)*tblDados[Primeira_Ocorrencia]*tblDados[GM_M]^2)+SUMPRODUCT((TRIM(tblDados[Visitante])=$A762)*tblDados[Primeira_Ocorrencia]*tblDados[GM_V]^2))/G762-H762^2,0))</f>
        <v/>
      </c>
      <c r="Q762" s="14" t="str">
        <f t="shared" si="200"/>
        <v/>
      </c>
      <c r="R762" s="1" t="str">
        <f t="shared" si="201"/>
        <v/>
      </c>
      <c r="S762" s="14" t="str" cm="1">
        <f t="array" ref="S762">IF($A762="","",SUMPRODUCT((TRIM(tblDados[Mandante])=$A762)*tblDados[Primeira_Ocorrencia]*tblDados[GM_M]))</f>
        <v/>
      </c>
      <c r="T762" s="14" t="str" cm="1">
        <f t="array" ref="T762">IF($A762="","",SUMPRODUCT((TRIM(tblDados[Visitante])=$A762)*tblDados[Primeira_Ocorrencia]*tblDados[GM_V]))</f>
        <v/>
      </c>
      <c r="U762" s="14" t="str">
        <f t="shared" si="202"/>
        <v/>
      </c>
      <c r="V762" s="14" t="str">
        <f t="shared" si="191"/>
        <v/>
      </c>
      <c r="W762" s="14" t="str" cm="1">
        <f t="array" ref="W762">IF($A762="","",SUMPRODUCT((TRIM(tblDados[Mandante])=$A762)*tblDados[Primeira_Ocorrencia]*tblDados[GS_M]))</f>
        <v/>
      </c>
      <c r="X762" s="14" t="str" cm="1">
        <f t="array" ref="X762">IF($A762="","",SUMPRODUCT((TRIM(tblDados[Visitante])=$A762)*tblDados[Primeira_Ocorrencia]*tblDados[GS_V]))</f>
        <v/>
      </c>
      <c r="Y762" s="14" t="str">
        <f t="shared" si="203"/>
        <v/>
      </c>
      <c r="Z762" s="14" t="str">
        <f t="shared" si="192"/>
        <v/>
      </c>
      <c r="AA762" s="14" t="str">
        <f t="shared" si="193"/>
        <v/>
      </c>
      <c r="AB762" s="14" t="str">
        <f t="shared" si="194"/>
        <v/>
      </c>
      <c r="AC762" s="14" t="str">
        <f t="shared" si="195"/>
        <v/>
      </c>
      <c r="AD762" s="14" t="str">
        <f t="shared" si="196"/>
        <v/>
      </c>
    </row>
    <row r="763" spans="2:30" x14ac:dyDescent="0.3">
      <c r="B763" s="13" t="str" cm="1">
        <f t="array" ref="B763">IF($A763="","",_xlfn.LET(_xlpm.p,IFERROR(INDEX(tblDados[País],MATCH($A763,TRIM(tblDados[Mandante]),0)),INDEX(tblDados[País],MATCH($A763,TRIM(tblDados[Visitante]),0))),_xlpm.l,IFERROR(INDEX(tblDados[Liga],MATCH($A763,TRIM(tblDados[Mandante]),0)),INDEX(tblDados[Liga],MATCH($A763,TRIM(tblDados[Visitante]),0))),_xlpm.p&amp;" - "&amp;_xlpm.l))</f>
        <v/>
      </c>
      <c r="C763" s="14" t="str">
        <f t="shared" si="197"/>
        <v/>
      </c>
      <c r="D763" s="14" t="str">
        <f t="shared" si="198"/>
        <v/>
      </c>
      <c r="E763" s="15" t="str" cm="1">
        <f t="array" ref="E763">IF($A763="","",SUMPRODUCT((TRIM(tblDados[Mandante])=$A763)*tblDados[Primeira_Ocorrencia]))</f>
        <v/>
      </c>
      <c r="F763" s="15" t="str" cm="1">
        <f t="array" ref="F763">IF($A763="","",SUMPRODUCT((TRIM(tblDados[Visitante])=$A763)*tblDados[Primeira_Ocorrencia]))</f>
        <v/>
      </c>
      <c r="G763" s="15" t="str" cm="1">
        <f t="array" ref="G763">IF($A763="","",SUMPRODUCT((TRIM(tblDados[Mandante])=$A763)*tblDados[Primeira_Ocorrencia])+SUMPRODUCT((TRIM(tblDados[Visitante])=$A763)*tblDados[Primeira_Ocorrencia]))</f>
        <v/>
      </c>
      <c r="H763" s="14" t="str">
        <f t="shared" si="199"/>
        <v/>
      </c>
      <c r="I763" s="14" t="str" cm="1">
        <f t="array" ref="I763">IF($A763="","",_xlfn.LET(_xlpm.p,IFERROR(INDEX(tblDados[País],MATCH($A763,TRIM(tblDados[Mandante]),0)),INDEX(tblDados[País],MATCH($A763,TRIM(tblDados[Visitante]),0))),_xlpm.l,IFERROR(INDEX(tblDados[Liga],MATCH($A763,TRIM(tblDados[Mandante]),0)),INDEX(tblDados[Liga],MATCH($A763,TRIM(tblDados[Visitante]),0))),IFERROR(SUMIFS(Ligas!$D$2:$D$39,Ligas!$H$2:$H$39,_xlpm.p,Ligas!$I$2:$I$39,_xlpm.l),0)))</f>
        <v/>
      </c>
      <c r="J763" s="16" t="str" cm="1">
        <f t="array" ref="J763">IF($A763="","",IFERROR((SUMPRODUCT((TRIM(tblDados[Mandante])=$A763)*tblDados[Primeira_Ocorrencia]*(tblDados[GM_M]=0))+SUMPRODUCT((TRIM(tblDados[Visitante])=$A763)*tblDados[Primeira_Ocorrencia]*(tblDados[GM_V]=0)))/G763,0))</f>
        <v/>
      </c>
      <c r="K763" s="16" t="str" cm="1">
        <f t="array" ref="K763">IF($A763="","",IFERROR((SUMPRODUCT((TRIM(tblDados[Mandante])=$A763)*tblDados[Primeira_Ocorrencia]*((tblDados[GM_M]+tblDados[GS_M])&gt;0.5))+SUMPRODUCT((TRIM(tblDados[Visitante])=$A763)*tblDados[Primeira_Ocorrencia]*((tblDados[GM_V]+tblDados[GS_V])&gt;0.5)))/G763,0))</f>
        <v/>
      </c>
      <c r="L763" s="16" t="str" cm="1">
        <f t="array" ref="L763">IF($A763="","",IFERROR((SUMPRODUCT((TRIM(tblDados[Mandante])=$A763)*tblDados[Primeira_Ocorrencia]*((tblDados[GM_M]+tblDados[GS_M])&gt;1.5))+SUMPRODUCT((TRIM(tblDados[Visitante])=$A763)*tblDados[Primeira_Ocorrencia]*((tblDados[GM_V]+tblDados[GS_V])&gt;1.5)))/G763,0))</f>
        <v/>
      </c>
      <c r="M763" s="16" t="str" cm="1">
        <f t="array" ref="M763">IF($A763="","",IFERROR((SUMPRODUCT((TRIM(tblDados[Mandante])=$A763)*tblDados[Primeira_Ocorrencia]*((tblDados[GM_M]+tblDados[GS_M])&gt;2.5))+SUMPRODUCT((TRIM(tblDados[Visitante])=$A763)*tblDados[Primeira_Ocorrencia]*((tblDados[GM_V]+tblDados[GS_V])&gt;2.5)))/G763,0))</f>
        <v/>
      </c>
      <c r="N763" s="16" t="str" cm="1">
        <f t="array" ref="N763">IF($A763="","",IFERROR((SUMPRODUCT((TRIM(tblDados[Mandante])=$A763)*tblDados[Primeira_Ocorrencia]*((tblDados[GM_M]+tblDados[GS_M])&gt;3.5))+SUMPRODUCT((TRIM(tblDados[Visitante])=$A763)*tblDados[Primeira_Ocorrencia]*((tblDados[GM_V]+tblDados[GS_V])&gt;3.5)))/G763,0))</f>
        <v/>
      </c>
      <c r="O763" s="16" t="str" cm="1">
        <f t="array" ref="O763">IF($A763="","",IFERROR((SUMPRODUCT((TRIM(tblDados[Mandante])=$A763)*tblDados[Primeira_Ocorrencia]*(tblDados[GM_M]&gt;0)*(tblDados[GS_M]&gt;0))+SUMPRODUCT((TRIM(tblDados[Visitante])=$A763)*tblDados[Primeira_Ocorrencia]*(tblDados[GM_V]&gt;0)*(tblDados[GS_V]&gt;0)))/G763,0))</f>
        <v/>
      </c>
      <c r="P763" s="14" t="str" cm="1">
        <f t="array" ref="P763">IF($A763="","",IFERROR((SUMPRODUCT((TRIM(tblDados[Mandante])=$A763)*tblDados[Primeira_Ocorrencia]*tblDados[GM_M]^2)+SUMPRODUCT((TRIM(tblDados[Visitante])=$A763)*tblDados[Primeira_Ocorrencia]*tblDados[GM_V]^2))/G763-H763^2,0))</f>
        <v/>
      </c>
      <c r="Q763" s="14" t="str">
        <f t="shared" si="200"/>
        <v/>
      </c>
      <c r="R763" s="1" t="str">
        <f t="shared" si="201"/>
        <v/>
      </c>
      <c r="S763" s="14" t="str" cm="1">
        <f t="array" ref="S763">IF($A763="","",SUMPRODUCT((TRIM(tblDados[Mandante])=$A763)*tblDados[Primeira_Ocorrencia]*tblDados[GM_M]))</f>
        <v/>
      </c>
      <c r="T763" s="14" t="str" cm="1">
        <f t="array" ref="T763">IF($A763="","",SUMPRODUCT((TRIM(tblDados[Visitante])=$A763)*tblDados[Primeira_Ocorrencia]*tblDados[GM_V]))</f>
        <v/>
      </c>
      <c r="U763" s="14" t="str">
        <f t="shared" si="202"/>
        <v/>
      </c>
      <c r="V763" s="14" t="str">
        <f t="shared" si="191"/>
        <v/>
      </c>
      <c r="W763" s="14" t="str" cm="1">
        <f t="array" ref="W763">IF($A763="","",SUMPRODUCT((TRIM(tblDados[Mandante])=$A763)*tblDados[Primeira_Ocorrencia]*tblDados[GS_M]))</f>
        <v/>
      </c>
      <c r="X763" s="14" t="str" cm="1">
        <f t="array" ref="X763">IF($A763="","",SUMPRODUCT((TRIM(tblDados[Visitante])=$A763)*tblDados[Primeira_Ocorrencia]*tblDados[GS_V]))</f>
        <v/>
      </c>
      <c r="Y763" s="14" t="str">
        <f t="shared" si="203"/>
        <v/>
      </c>
      <c r="Z763" s="14" t="str">
        <f t="shared" si="192"/>
        <v/>
      </c>
      <c r="AA763" s="14" t="str">
        <f t="shared" si="193"/>
        <v/>
      </c>
      <c r="AB763" s="14" t="str">
        <f t="shared" si="194"/>
        <v/>
      </c>
      <c r="AC763" s="14" t="str">
        <f t="shared" si="195"/>
        <v/>
      </c>
      <c r="AD763" s="14" t="str">
        <f t="shared" si="196"/>
        <v/>
      </c>
    </row>
    <row r="764" spans="2:30" x14ac:dyDescent="0.3">
      <c r="B764" s="13" t="str" cm="1">
        <f t="array" ref="B764">IF($A764="","",_xlfn.LET(_xlpm.p,IFERROR(INDEX(tblDados[País],MATCH($A764,TRIM(tblDados[Mandante]),0)),INDEX(tblDados[País],MATCH($A764,TRIM(tblDados[Visitante]),0))),_xlpm.l,IFERROR(INDEX(tblDados[Liga],MATCH($A764,TRIM(tblDados[Mandante]),0)),INDEX(tblDados[Liga],MATCH($A764,TRIM(tblDados[Visitante]),0))),_xlpm.p&amp;" - "&amp;_xlpm.l))</f>
        <v/>
      </c>
      <c r="C764" s="14" t="str">
        <f t="shared" si="197"/>
        <v/>
      </c>
      <c r="D764" s="14" t="str">
        <f t="shared" si="198"/>
        <v/>
      </c>
      <c r="E764" s="15" t="str" cm="1">
        <f t="array" ref="E764">IF($A764="","",SUMPRODUCT((TRIM(tblDados[Mandante])=$A764)*tblDados[Primeira_Ocorrencia]))</f>
        <v/>
      </c>
      <c r="F764" s="15" t="str" cm="1">
        <f t="array" ref="F764">IF($A764="","",SUMPRODUCT((TRIM(tblDados[Visitante])=$A764)*tblDados[Primeira_Ocorrencia]))</f>
        <v/>
      </c>
      <c r="G764" s="15" t="str" cm="1">
        <f t="array" ref="G764">IF($A764="","",SUMPRODUCT((TRIM(tblDados[Mandante])=$A764)*tblDados[Primeira_Ocorrencia])+SUMPRODUCT((TRIM(tblDados[Visitante])=$A764)*tblDados[Primeira_Ocorrencia]))</f>
        <v/>
      </c>
      <c r="H764" s="14" t="str">
        <f t="shared" si="199"/>
        <v/>
      </c>
      <c r="I764" s="14" t="str" cm="1">
        <f t="array" ref="I764">IF($A764="","",_xlfn.LET(_xlpm.p,IFERROR(INDEX(tblDados[País],MATCH($A764,TRIM(tblDados[Mandante]),0)),INDEX(tblDados[País],MATCH($A764,TRIM(tblDados[Visitante]),0))),_xlpm.l,IFERROR(INDEX(tblDados[Liga],MATCH($A764,TRIM(tblDados[Mandante]),0)),INDEX(tblDados[Liga],MATCH($A764,TRIM(tblDados[Visitante]),0))),IFERROR(SUMIFS(Ligas!$D$2:$D$39,Ligas!$H$2:$H$39,_xlpm.p,Ligas!$I$2:$I$39,_xlpm.l),0)))</f>
        <v/>
      </c>
      <c r="J764" s="16" t="str" cm="1">
        <f t="array" ref="J764">IF($A764="","",IFERROR((SUMPRODUCT((TRIM(tblDados[Mandante])=$A764)*tblDados[Primeira_Ocorrencia]*(tblDados[GM_M]=0))+SUMPRODUCT((TRIM(tblDados[Visitante])=$A764)*tblDados[Primeira_Ocorrencia]*(tblDados[GM_V]=0)))/G764,0))</f>
        <v/>
      </c>
      <c r="K764" s="16" t="str" cm="1">
        <f t="array" ref="K764">IF($A764="","",IFERROR((SUMPRODUCT((TRIM(tblDados[Mandante])=$A764)*tblDados[Primeira_Ocorrencia]*((tblDados[GM_M]+tblDados[GS_M])&gt;0.5))+SUMPRODUCT((TRIM(tblDados[Visitante])=$A764)*tblDados[Primeira_Ocorrencia]*((tblDados[GM_V]+tblDados[GS_V])&gt;0.5)))/G764,0))</f>
        <v/>
      </c>
      <c r="L764" s="16" t="str" cm="1">
        <f t="array" ref="L764">IF($A764="","",IFERROR((SUMPRODUCT((TRIM(tblDados[Mandante])=$A764)*tblDados[Primeira_Ocorrencia]*((tblDados[GM_M]+tblDados[GS_M])&gt;1.5))+SUMPRODUCT((TRIM(tblDados[Visitante])=$A764)*tblDados[Primeira_Ocorrencia]*((tblDados[GM_V]+tblDados[GS_V])&gt;1.5)))/G764,0))</f>
        <v/>
      </c>
      <c r="M764" s="16" t="str" cm="1">
        <f t="array" ref="M764">IF($A764="","",IFERROR((SUMPRODUCT((TRIM(tblDados[Mandante])=$A764)*tblDados[Primeira_Ocorrencia]*((tblDados[GM_M]+tblDados[GS_M])&gt;2.5))+SUMPRODUCT((TRIM(tblDados[Visitante])=$A764)*tblDados[Primeira_Ocorrencia]*((tblDados[GM_V]+tblDados[GS_V])&gt;2.5)))/G764,0))</f>
        <v/>
      </c>
      <c r="N764" s="16" t="str" cm="1">
        <f t="array" ref="N764">IF($A764="","",IFERROR((SUMPRODUCT((TRIM(tblDados[Mandante])=$A764)*tblDados[Primeira_Ocorrencia]*((tblDados[GM_M]+tblDados[GS_M])&gt;3.5))+SUMPRODUCT((TRIM(tblDados[Visitante])=$A764)*tblDados[Primeira_Ocorrencia]*((tblDados[GM_V]+tblDados[GS_V])&gt;3.5)))/G764,0))</f>
        <v/>
      </c>
      <c r="O764" s="16" t="str" cm="1">
        <f t="array" ref="O764">IF($A764="","",IFERROR((SUMPRODUCT((TRIM(tblDados[Mandante])=$A764)*tblDados[Primeira_Ocorrencia]*(tblDados[GM_M]&gt;0)*(tblDados[GS_M]&gt;0))+SUMPRODUCT((TRIM(tblDados[Visitante])=$A764)*tblDados[Primeira_Ocorrencia]*(tblDados[GM_V]&gt;0)*(tblDados[GS_V]&gt;0)))/G764,0))</f>
        <v/>
      </c>
      <c r="P764" s="14" t="str" cm="1">
        <f t="array" ref="P764">IF($A764="","",IFERROR((SUMPRODUCT((TRIM(tblDados[Mandante])=$A764)*tblDados[Primeira_Ocorrencia]*tblDados[GM_M]^2)+SUMPRODUCT((TRIM(tblDados[Visitante])=$A764)*tblDados[Primeira_Ocorrencia]*tblDados[GM_V]^2))/G764-H764^2,0))</f>
        <v/>
      </c>
      <c r="Q764" s="14" t="str">
        <f t="shared" si="200"/>
        <v/>
      </c>
      <c r="R764" s="1" t="str">
        <f t="shared" si="201"/>
        <v/>
      </c>
      <c r="S764" s="14" t="str" cm="1">
        <f t="array" ref="S764">IF($A764="","",SUMPRODUCT((TRIM(tblDados[Mandante])=$A764)*tblDados[Primeira_Ocorrencia]*tblDados[GM_M]))</f>
        <v/>
      </c>
      <c r="T764" s="14" t="str" cm="1">
        <f t="array" ref="T764">IF($A764="","",SUMPRODUCT((TRIM(tblDados[Visitante])=$A764)*tblDados[Primeira_Ocorrencia]*tblDados[GM_V]))</f>
        <v/>
      </c>
      <c r="U764" s="14" t="str">
        <f t="shared" si="202"/>
        <v/>
      </c>
      <c r="V764" s="14" t="str">
        <f t="shared" si="191"/>
        <v/>
      </c>
      <c r="W764" s="14" t="str" cm="1">
        <f t="array" ref="W764">IF($A764="","",SUMPRODUCT((TRIM(tblDados[Mandante])=$A764)*tblDados[Primeira_Ocorrencia]*tblDados[GS_M]))</f>
        <v/>
      </c>
      <c r="X764" s="14" t="str" cm="1">
        <f t="array" ref="X764">IF($A764="","",SUMPRODUCT((TRIM(tblDados[Visitante])=$A764)*tblDados[Primeira_Ocorrencia]*tblDados[GS_V]))</f>
        <v/>
      </c>
      <c r="Y764" s="14" t="str">
        <f t="shared" si="203"/>
        <v/>
      </c>
      <c r="Z764" s="14" t="str">
        <f t="shared" si="192"/>
        <v/>
      </c>
      <c r="AA764" s="14" t="str">
        <f t="shared" si="193"/>
        <v/>
      </c>
      <c r="AB764" s="14" t="str">
        <f t="shared" si="194"/>
        <v/>
      </c>
      <c r="AC764" s="14" t="str">
        <f t="shared" si="195"/>
        <v/>
      </c>
      <c r="AD764" s="14" t="str">
        <f t="shared" si="196"/>
        <v/>
      </c>
    </row>
    <row r="765" spans="2:30" x14ac:dyDescent="0.3">
      <c r="B765" s="13" t="str" cm="1">
        <f t="array" ref="B765">IF($A765="","",_xlfn.LET(_xlpm.p,IFERROR(INDEX(tblDados[País],MATCH($A765,TRIM(tblDados[Mandante]),0)),INDEX(tblDados[País],MATCH($A765,TRIM(tblDados[Visitante]),0))),_xlpm.l,IFERROR(INDEX(tblDados[Liga],MATCH($A765,TRIM(tblDados[Mandante]),0)),INDEX(tblDados[Liga],MATCH($A765,TRIM(tblDados[Visitante]),0))),_xlpm.p&amp;" - "&amp;_xlpm.l))</f>
        <v/>
      </c>
      <c r="C765" s="14" t="str">
        <f t="shared" si="197"/>
        <v/>
      </c>
      <c r="D765" s="14" t="str">
        <f t="shared" si="198"/>
        <v/>
      </c>
      <c r="E765" s="15" t="str" cm="1">
        <f t="array" ref="E765">IF($A765="","",SUMPRODUCT((TRIM(tblDados[Mandante])=$A765)*tblDados[Primeira_Ocorrencia]))</f>
        <v/>
      </c>
      <c r="F765" s="15" t="str" cm="1">
        <f t="array" ref="F765">IF($A765="","",SUMPRODUCT((TRIM(tblDados[Visitante])=$A765)*tblDados[Primeira_Ocorrencia]))</f>
        <v/>
      </c>
      <c r="G765" s="15" t="str" cm="1">
        <f t="array" ref="G765">IF($A765="","",SUMPRODUCT((TRIM(tblDados[Mandante])=$A765)*tblDados[Primeira_Ocorrencia])+SUMPRODUCT((TRIM(tblDados[Visitante])=$A765)*tblDados[Primeira_Ocorrencia]))</f>
        <v/>
      </c>
      <c r="H765" s="14" t="str">
        <f t="shared" si="199"/>
        <v/>
      </c>
      <c r="I765" s="14" t="str" cm="1">
        <f t="array" ref="I765">IF($A765="","",_xlfn.LET(_xlpm.p,IFERROR(INDEX(tblDados[País],MATCH($A765,TRIM(tblDados[Mandante]),0)),INDEX(tblDados[País],MATCH($A765,TRIM(tblDados[Visitante]),0))),_xlpm.l,IFERROR(INDEX(tblDados[Liga],MATCH($A765,TRIM(tblDados[Mandante]),0)),INDEX(tblDados[Liga],MATCH($A765,TRIM(tblDados[Visitante]),0))),IFERROR(SUMIFS(Ligas!$D$2:$D$39,Ligas!$H$2:$H$39,_xlpm.p,Ligas!$I$2:$I$39,_xlpm.l),0)))</f>
        <v/>
      </c>
      <c r="J765" s="16" t="str" cm="1">
        <f t="array" ref="J765">IF($A765="","",IFERROR((SUMPRODUCT((TRIM(tblDados[Mandante])=$A765)*tblDados[Primeira_Ocorrencia]*(tblDados[GM_M]=0))+SUMPRODUCT((TRIM(tblDados[Visitante])=$A765)*tblDados[Primeira_Ocorrencia]*(tblDados[GM_V]=0)))/G765,0))</f>
        <v/>
      </c>
      <c r="K765" s="16" t="str" cm="1">
        <f t="array" ref="K765">IF($A765="","",IFERROR((SUMPRODUCT((TRIM(tblDados[Mandante])=$A765)*tblDados[Primeira_Ocorrencia]*((tblDados[GM_M]+tblDados[GS_M])&gt;0.5))+SUMPRODUCT((TRIM(tblDados[Visitante])=$A765)*tblDados[Primeira_Ocorrencia]*((tblDados[GM_V]+tblDados[GS_V])&gt;0.5)))/G765,0))</f>
        <v/>
      </c>
      <c r="L765" s="16" t="str" cm="1">
        <f t="array" ref="L765">IF($A765="","",IFERROR((SUMPRODUCT((TRIM(tblDados[Mandante])=$A765)*tblDados[Primeira_Ocorrencia]*((tblDados[GM_M]+tblDados[GS_M])&gt;1.5))+SUMPRODUCT((TRIM(tblDados[Visitante])=$A765)*tblDados[Primeira_Ocorrencia]*((tblDados[GM_V]+tblDados[GS_V])&gt;1.5)))/G765,0))</f>
        <v/>
      </c>
      <c r="M765" s="16" t="str" cm="1">
        <f t="array" ref="M765">IF($A765="","",IFERROR((SUMPRODUCT((TRIM(tblDados[Mandante])=$A765)*tblDados[Primeira_Ocorrencia]*((tblDados[GM_M]+tblDados[GS_M])&gt;2.5))+SUMPRODUCT((TRIM(tblDados[Visitante])=$A765)*tblDados[Primeira_Ocorrencia]*((tblDados[GM_V]+tblDados[GS_V])&gt;2.5)))/G765,0))</f>
        <v/>
      </c>
      <c r="N765" s="16" t="str" cm="1">
        <f t="array" ref="N765">IF($A765="","",IFERROR((SUMPRODUCT((TRIM(tblDados[Mandante])=$A765)*tblDados[Primeira_Ocorrencia]*((tblDados[GM_M]+tblDados[GS_M])&gt;3.5))+SUMPRODUCT((TRIM(tblDados[Visitante])=$A765)*tblDados[Primeira_Ocorrencia]*((tblDados[GM_V]+tblDados[GS_V])&gt;3.5)))/G765,0))</f>
        <v/>
      </c>
      <c r="O765" s="16" t="str" cm="1">
        <f t="array" ref="O765">IF($A765="","",IFERROR((SUMPRODUCT((TRIM(tblDados[Mandante])=$A765)*tblDados[Primeira_Ocorrencia]*(tblDados[GM_M]&gt;0)*(tblDados[GS_M]&gt;0))+SUMPRODUCT((TRIM(tblDados[Visitante])=$A765)*tblDados[Primeira_Ocorrencia]*(tblDados[GM_V]&gt;0)*(tblDados[GS_V]&gt;0)))/G765,0))</f>
        <v/>
      </c>
      <c r="P765" s="14" t="str" cm="1">
        <f t="array" ref="P765">IF($A765="","",IFERROR((SUMPRODUCT((TRIM(tblDados[Mandante])=$A765)*tblDados[Primeira_Ocorrencia]*tblDados[GM_M]^2)+SUMPRODUCT((TRIM(tblDados[Visitante])=$A765)*tblDados[Primeira_Ocorrencia]*tblDados[GM_V]^2))/G765-H765^2,0))</f>
        <v/>
      </c>
      <c r="Q765" s="14" t="str">
        <f t="shared" si="200"/>
        <v/>
      </c>
      <c r="R765" s="1" t="str">
        <f t="shared" si="201"/>
        <v/>
      </c>
      <c r="S765" s="14" t="str" cm="1">
        <f t="array" ref="S765">IF($A765="","",SUMPRODUCT((TRIM(tblDados[Mandante])=$A765)*tblDados[Primeira_Ocorrencia]*tblDados[GM_M]))</f>
        <v/>
      </c>
      <c r="T765" s="14" t="str" cm="1">
        <f t="array" ref="T765">IF($A765="","",SUMPRODUCT((TRIM(tblDados[Visitante])=$A765)*tblDados[Primeira_Ocorrencia]*tblDados[GM_V]))</f>
        <v/>
      </c>
      <c r="U765" s="14" t="str">
        <f t="shared" si="202"/>
        <v/>
      </c>
      <c r="V765" s="14" t="str">
        <f t="shared" si="191"/>
        <v/>
      </c>
      <c r="W765" s="14" t="str" cm="1">
        <f t="array" ref="W765">IF($A765="","",SUMPRODUCT((TRIM(tblDados[Mandante])=$A765)*tblDados[Primeira_Ocorrencia]*tblDados[GS_M]))</f>
        <v/>
      </c>
      <c r="X765" s="14" t="str" cm="1">
        <f t="array" ref="X765">IF($A765="","",SUMPRODUCT((TRIM(tblDados[Visitante])=$A765)*tblDados[Primeira_Ocorrencia]*tblDados[GS_V]))</f>
        <v/>
      </c>
      <c r="Y765" s="14" t="str">
        <f t="shared" si="203"/>
        <v/>
      </c>
      <c r="Z765" s="14" t="str">
        <f t="shared" si="192"/>
        <v/>
      </c>
      <c r="AA765" s="14" t="str">
        <f t="shared" si="193"/>
        <v/>
      </c>
      <c r="AB765" s="14" t="str">
        <f t="shared" si="194"/>
        <v/>
      </c>
      <c r="AC765" s="14" t="str">
        <f t="shared" si="195"/>
        <v/>
      </c>
      <c r="AD765" s="14" t="str">
        <f t="shared" si="196"/>
        <v/>
      </c>
    </row>
    <row r="766" spans="2:30" x14ac:dyDescent="0.3">
      <c r="B766" s="13" t="str" cm="1">
        <f t="array" ref="B766">IF($A766="","",_xlfn.LET(_xlpm.p,IFERROR(INDEX(tblDados[País],MATCH($A766,TRIM(tblDados[Mandante]),0)),INDEX(tblDados[País],MATCH($A766,TRIM(tblDados[Visitante]),0))),_xlpm.l,IFERROR(INDEX(tblDados[Liga],MATCH($A766,TRIM(tblDados[Mandante]),0)),INDEX(tblDados[Liga],MATCH($A766,TRIM(tblDados[Visitante]),0))),_xlpm.p&amp;" - "&amp;_xlpm.l))</f>
        <v/>
      </c>
      <c r="C766" s="14" t="str">
        <f t="shared" si="197"/>
        <v/>
      </c>
      <c r="D766" s="14" t="str">
        <f t="shared" si="198"/>
        <v/>
      </c>
      <c r="E766" s="15" t="str" cm="1">
        <f t="array" ref="E766">IF($A766="","",SUMPRODUCT((TRIM(tblDados[Mandante])=$A766)*tblDados[Primeira_Ocorrencia]))</f>
        <v/>
      </c>
      <c r="F766" s="15" t="str" cm="1">
        <f t="array" ref="F766">IF($A766="","",SUMPRODUCT((TRIM(tblDados[Visitante])=$A766)*tblDados[Primeira_Ocorrencia]))</f>
        <v/>
      </c>
      <c r="G766" s="15" t="str" cm="1">
        <f t="array" ref="G766">IF($A766="","",SUMPRODUCT((TRIM(tblDados[Mandante])=$A766)*tblDados[Primeira_Ocorrencia])+SUMPRODUCT((TRIM(tblDados[Visitante])=$A766)*tblDados[Primeira_Ocorrencia]))</f>
        <v/>
      </c>
      <c r="H766" s="14" t="str">
        <f t="shared" si="199"/>
        <v/>
      </c>
      <c r="I766" s="14" t="str" cm="1">
        <f t="array" ref="I766">IF($A766="","",_xlfn.LET(_xlpm.p,IFERROR(INDEX(tblDados[País],MATCH($A766,TRIM(tblDados[Mandante]),0)),INDEX(tblDados[País],MATCH($A766,TRIM(tblDados[Visitante]),0))),_xlpm.l,IFERROR(INDEX(tblDados[Liga],MATCH($A766,TRIM(tblDados[Mandante]),0)),INDEX(tblDados[Liga],MATCH($A766,TRIM(tblDados[Visitante]),0))),IFERROR(SUMIFS(Ligas!$D$2:$D$39,Ligas!$H$2:$H$39,_xlpm.p,Ligas!$I$2:$I$39,_xlpm.l),0)))</f>
        <v/>
      </c>
      <c r="J766" s="16" t="str" cm="1">
        <f t="array" ref="J766">IF($A766="","",IFERROR((SUMPRODUCT((TRIM(tblDados[Mandante])=$A766)*tblDados[Primeira_Ocorrencia]*(tblDados[GM_M]=0))+SUMPRODUCT((TRIM(tblDados[Visitante])=$A766)*tblDados[Primeira_Ocorrencia]*(tblDados[GM_V]=0)))/G766,0))</f>
        <v/>
      </c>
      <c r="K766" s="16" t="str" cm="1">
        <f t="array" ref="K766">IF($A766="","",IFERROR((SUMPRODUCT((TRIM(tblDados[Mandante])=$A766)*tblDados[Primeira_Ocorrencia]*((tblDados[GM_M]+tblDados[GS_M])&gt;0.5))+SUMPRODUCT((TRIM(tblDados[Visitante])=$A766)*tblDados[Primeira_Ocorrencia]*((tblDados[GM_V]+tblDados[GS_V])&gt;0.5)))/G766,0))</f>
        <v/>
      </c>
      <c r="L766" s="16" t="str" cm="1">
        <f t="array" ref="L766">IF($A766="","",IFERROR((SUMPRODUCT((TRIM(tblDados[Mandante])=$A766)*tblDados[Primeira_Ocorrencia]*((tblDados[GM_M]+tblDados[GS_M])&gt;1.5))+SUMPRODUCT((TRIM(tblDados[Visitante])=$A766)*tblDados[Primeira_Ocorrencia]*((tblDados[GM_V]+tblDados[GS_V])&gt;1.5)))/G766,0))</f>
        <v/>
      </c>
      <c r="M766" s="16" t="str" cm="1">
        <f t="array" ref="M766">IF($A766="","",IFERROR((SUMPRODUCT((TRIM(tblDados[Mandante])=$A766)*tblDados[Primeira_Ocorrencia]*((tblDados[GM_M]+tblDados[GS_M])&gt;2.5))+SUMPRODUCT((TRIM(tblDados[Visitante])=$A766)*tblDados[Primeira_Ocorrencia]*((tblDados[GM_V]+tblDados[GS_V])&gt;2.5)))/G766,0))</f>
        <v/>
      </c>
      <c r="N766" s="16" t="str" cm="1">
        <f t="array" ref="N766">IF($A766="","",IFERROR((SUMPRODUCT((TRIM(tblDados[Mandante])=$A766)*tblDados[Primeira_Ocorrencia]*((tblDados[GM_M]+tblDados[GS_M])&gt;3.5))+SUMPRODUCT((TRIM(tblDados[Visitante])=$A766)*tblDados[Primeira_Ocorrencia]*((tblDados[GM_V]+tblDados[GS_V])&gt;3.5)))/G766,0))</f>
        <v/>
      </c>
      <c r="O766" s="16" t="str" cm="1">
        <f t="array" ref="O766">IF($A766="","",IFERROR((SUMPRODUCT((TRIM(tblDados[Mandante])=$A766)*tblDados[Primeira_Ocorrencia]*(tblDados[GM_M]&gt;0)*(tblDados[GS_M]&gt;0))+SUMPRODUCT((TRIM(tblDados[Visitante])=$A766)*tblDados[Primeira_Ocorrencia]*(tblDados[GM_V]&gt;0)*(tblDados[GS_V]&gt;0)))/G766,0))</f>
        <v/>
      </c>
      <c r="P766" s="14" t="str" cm="1">
        <f t="array" ref="P766">IF($A766="","",IFERROR((SUMPRODUCT((TRIM(tblDados[Mandante])=$A766)*tblDados[Primeira_Ocorrencia]*tblDados[GM_M]^2)+SUMPRODUCT((TRIM(tblDados[Visitante])=$A766)*tblDados[Primeira_Ocorrencia]*tblDados[GM_V]^2))/G766-H766^2,0))</f>
        <v/>
      </c>
      <c r="Q766" s="14" t="str">
        <f t="shared" si="200"/>
        <v/>
      </c>
      <c r="R766" s="1" t="str">
        <f t="shared" si="201"/>
        <v/>
      </c>
      <c r="S766" s="14" t="str" cm="1">
        <f t="array" ref="S766">IF($A766="","",SUMPRODUCT((TRIM(tblDados[Mandante])=$A766)*tblDados[Primeira_Ocorrencia]*tblDados[GM_M]))</f>
        <v/>
      </c>
      <c r="T766" s="14" t="str" cm="1">
        <f t="array" ref="T766">IF($A766="","",SUMPRODUCT((TRIM(tblDados[Visitante])=$A766)*tblDados[Primeira_Ocorrencia]*tblDados[GM_V]))</f>
        <v/>
      </c>
      <c r="U766" s="14" t="str">
        <f t="shared" si="202"/>
        <v/>
      </c>
      <c r="V766" s="14" t="str">
        <f t="shared" si="191"/>
        <v/>
      </c>
      <c r="W766" s="14" t="str" cm="1">
        <f t="array" ref="W766">IF($A766="","",SUMPRODUCT((TRIM(tblDados[Mandante])=$A766)*tblDados[Primeira_Ocorrencia]*tblDados[GS_M]))</f>
        <v/>
      </c>
      <c r="X766" s="14" t="str" cm="1">
        <f t="array" ref="X766">IF($A766="","",SUMPRODUCT((TRIM(tblDados[Visitante])=$A766)*tblDados[Primeira_Ocorrencia]*tblDados[GS_V]))</f>
        <v/>
      </c>
      <c r="Y766" s="14" t="str">
        <f t="shared" si="203"/>
        <v/>
      </c>
      <c r="Z766" s="14" t="str">
        <f t="shared" si="192"/>
        <v/>
      </c>
      <c r="AA766" s="14" t="str">
        <f t="shared" si="193"/>
        <v/>
      </c>
      <c r="AB766" s="14" t="str">
        <f t="shared" si="194"/>
        <v/>
      </c>
      <c r="AC766" s="14" t="str">
        <f t="shared" si="195"/>
        <v/>
      </c>
      <c r="AD766" s="14" t="str">
        <f t="shared" si="196"/>
        <v/>
      </c>
    </row>
    <row r="767" spans="2:30" x14ac:dyDescent="0.3">
      <c r="B767" s="13" t="str" cm="1">
        <f t="array" ref="B767">IF($A767="","",_xlfn.LET(_xlpm.p,IFERROR(INDEX(tblDados[País],MATCH($A767,TRIM(tblDados[Mandante]),0)),INDEX(tblDados[País],MATCH($A767,TRIM(tblDados[Visitante]),0))),_xlpm.l,IFERROR(INDEX(tblDados[Liga],MATCH($A767,TRIM(tblDados[Mandante]),0)),INDEX(tblDados[Liga],MATCH($A767,TRIM(tblDados[Visitante]),0))),_xlpm.p&amp;" - "&amp;_xlpm.l))</f>
        <v/>
      </c>
      <c r="C767" s="14" t="str">
        <f t="shared" si="197"/>
        <v/>
      </c>
      <c r="D767" s="14" t="str">
        <f t="shared" si="198"/>
        <v/>
      </c>
      <c r="E767" s="15" t="str" cm="1">
        <f t="array" ref="E767">IF($A767="","",SUMPRODUCT((TRIM(tblDados[Mandante])=$A767)*tblDados[Primeira_Ocorrencia]))</f>
        <v/>
      </c>
      <c r="F767" s="15" t="str" cm="1">
        <f t="array" ref="F767">IF($A767="","",SUMPRODUCT((TRIM(tblDados[Visitante])=$A767)*tblDados[Primeira_Ocorrencia]))</f>
        <v/>
      </c>
      <c r="G767" s="15" t="str" cm="1">
        <f t="array" ref="G767">IF($A767="","",SUMPRODUCT((TRIM(tblDados[Mandante])=$A767)*tblDados[Primeira_Ocorrencia])+SUMPRODUCT((TRIM(tblDados[Visitante])=$A767)*tblDados[Primeira_Ocorrencia]))</f>
        <v/>
      </c>
      <c r="H767" s="14" t="str">
        <f t="shared" si="199"/>
        <v/>
      </c>
      <c r="I767" s="14" t="str" cm="1">
        <f t="array" ref="I767">IF($A767="","",_xlfn.LET(_xlpm.p,IFERROR(INDEX(tblDados[País],MATCH($A767,TRIM(tblDados[Mandante]),0)),INDEX(tblDados[País],MATCH($A767,TRIM(tblDados[Visitante]),0))),_xlpm.l,IFERROR(INDEX(tblDados[Liga],MATCH($A767,TRIM(tblDados[Mandante]),0)),INDEX(tblDados[Liga],MATCH($A767,TRIM(tblDados[Visitante]),0))),IFERROR(SUMIFS(Ligas!$D$2:$D$39,Ligas!$H$2:$H$39,_xlpm.p,Ligas!$I$2:$I$39,_xlpm.l),0)))</f>
        <v/>
      </c>
      <c r="J767" s="16" t="str" cm="1">
        <f t="array" ref="J767">IF($A767="","",IFERROR((SUMPRODUCT((TRIM(tblDados[Mandante])=$A767)*tblDados[Primeira_Ocorrencia]*(tblDados[GM_M]=0))+SUMPRODUCT((TRIM(tblDados[Visitante])=$A767)*tblDados[Primeira_Ocorrencia]*(tblDados[GM_V]=0)))/G767,0))</f>
        <v/>
      </c>
      <c r="K767" s="16" t="str" cm="1">
        <f t="array" ref="K767">IF($A767="","",IFERROR((SUMPRODUCT((TRIM(tblDados[Mandante])=$A767)*tblDados[Primeira_Ocorrencia]*((tblDados[GM_M]+tblDados[GS_M])&gt;0.5))+SUMPRODUCT((TRIM(tblDados[Visitante])=$A767)*tblDados[Primeira_Ocorrencia]*((tblDados[GM_V]+tblDados[GS_V])&gt;0.5)))/G767,0))</f>
        <v/>
      </c>
      <c r="L767" s="16" t="str" cm="1">
        <f t="array" ref="L767">IF($A767="","",IFERROR((SUMPRODUCT((TRIM(tblDados[Mandante])=$A767)*tblDados[Primeira_Ocorrencia]*((tblDados[GM_M]+tblDados[GS_M])&gt;1.5))+SUMPRODUCT((TRIM(tblDados[Visitante])=$A767)*tblDados[Primeira_Ocorrencia]*((tblDados[GM_V]+tblDados[GS_V])&gt;1.5)))/G767,0))</f>
        <v/>
      </c>
      <c r="M767" s="16" t="str" cm="1">
        <f t="array" ref="M767">IF($A767="","",IFERROR((SUMPRODUCT((TRIM(tblDados[Mandante])=$A767)*tblDados[Primeira_Ocorrencia]*((tblDados[GM_M]+tblDados[GS_M])&gt;2.5))+SUMPRODUCT((TRIM(tblDados[Visitante])=$A767)*tblDados[Primeira_Ocorrencia]*((tblDados[GM_V]+tblDados[GS_V])&gt;2.5)))/G767,0))</f>
        <v/>
      </c>
      <c r="N767" s="16" t="str" cm="1">
        <f t="array" ref="N767">IF($A767="","",IFERROR((SUMPRODUCT((TRIM(tblDados[Mandante])=$A767)*tblDados[Primeira_Ocorrencia]*((tblDados[GM_M]+tblDados[GS_M])&gt;3.5))+SUMPRODUCT((TRIM(tblDados[Visitante])=$A767)*tblDados[Primeira_Ocorrencia]*((tblDados[GM_V]+tblDados[GS_V])&gt;3.5)))/G767,0))</f>
        <v/>
      </c>
      <c r="O767" s="16" t="str" cm="1">
        <f t="array" ref="O767">IF($A767="","",IFERROR((SUMPRODUCT((TRIM(tblDados[Mandante])=$A767)*tblDados[Primeira_Ocorrencia]*(tblDados[GM_M]&gt;0)*(tblDados[GS_M]&gt;0))+SUMPRODUCT((TRIM(tblDados[Visitante])=$A767)*tblDados[Primeira_Ocorrencia]*(tblDados[GM_V]&gt;0)*(tblDados[GS_V]&gt;0)))/G767,0))</f>
        <v/>
      </c>
      <c r="P767" s="14" t="str" cm="1">
        <f t="array" ref="P767">IF($A767="","",IFERROR((SUMPRODUCT((TRIM(tblDados[Mandante])=$A767)*tblDados[Primeira_Ocorrencia]*tblDados[GM_M]^2)+SUMPRODUCT((TRIM(tblDados[Visitante])=$A767)*tblDados[Primeira_Ocorrencia]*tblDados[GM_V]^2))/G767-H767^2,0))</f>
        <v/>
      </c>
      <c r="Q767" s="14" t="str">
        <f t="shared" si="200"/>
        <v/>
      </c>
      <c r="R767" s="1" t="str">
        <f t="shared" si="201"/>
        <v/>
      </c>
      <c r="S767" s="14" t="str" cm="1">
        <f t="array" ref="S767">IF($A767="","",SUMPRODUCT((TRIM(tblDados[Mandante])=$A767)*tblDados[Primeira_Ocorrencia]*tblDados[GM_M]))</f>
        <v/>
      </c>
      <c r="T767" s="14" t="str" cm="1">
        <f t="array" ref="T767">IF($A767="","",SUMPRODUCT((TRIM(tblDados[Visitante])=$A767)*tblDados[Primeira_Ocorrencia]*tblDados[GM_V]))</f>
        <v/>
      </c>
      <c r="U767" s="14" t="str">
        <f t="shared" si="202"/>
        <v/>
      </c>
      <c r="V767" s="14" t="str">
        <f t="shared" si="191"/>
        <v/>
      </c>
      <c r="W767" s="14" t="str" cm="1">
        <f t="array" ref="W767">IF($A767="","",SUMPRODUCT((TRIM(tblDados[Mandante])=$A767)*tblDados[Primeira_Ocorrencia]*tblDados[GS_M]))</f>
        <v/>
      </c>
      <c r="X767" s="14" t="str" cm="1">
        <f t="array" ref="X767">IF($A767="","",SUMPRODUCT((TRIM(tblDados[Visitante])=$A767)*tblDados[Primeira_Ocorrencia]*tblDados[GS_V]))</f>
        <v/>
      </c>
      <c r="Y767" s="14" t="str">
        <f t="shared" si="203"/>
        <v/>
      </c>
      <c r="Z767" s="14" t="str">
        <f t="shared" si="192"/>
        <v/>
      </c>
      <c r="AA767" s="14" t="str">
        <f t="shared" si="193"/>
        <v/>
      </c>
      <c r="AB767" s="14" t="str">
        <f t="shared" si="194"/>
        <v/>
      </c>
      <c r="AC767" s="14" t="str">
        <f t="shared" si="195"/>
        <v/>
      </c>
      <c r="AD767" s="14" t="str">
        <f t="shared" si="196"/>
        <v/>
      </c>
    </row>
    <row r="768" spans="2:30" x14ac:dyDescent="0.3">
      <c r="B768" s="13" t="str" cm="1">
        <f t="array" ref="B768">IF($A768="","",_xlfn.LET(_xlpm.p,IFERROR(INDEX(tblDados[País],MATCH($A768,TRIM(tblDados[Mandante]),0)),INDEX(tblDados[País],MATCH($A768,TRIM(tblDados[Visitante]),0))),_xlpm.l,IFERROR(INDEX(tblDados[Liga],MATCH($A768,TRIM(tblDados[Mandante]),0)),INDEX(tblDados[Liga],MATCH($A768,TRIM(tblDados[Visitante]),0))),_xlpm.p&amp;" - "&amp;_xlpm.l))</f>
        <v/>
      </c>
      <c r="C768" s="14" t="str">
        <f t="shared" si="197"/>
        <v/>
      </c>
      <c r="D768" s="14" t="str">
        <f t="shared" si="198"/>
        <v/>
      </c>
      <c r="E768" s="15" t="str" cm="1">
        <f t="array" ref="E768">IF($A768="","",SUMPRODUCT((TRIM(tblDados[Mandante])=$A768)*tblDados[Primeira_Ocorrencia]))</f>
        <v/>
      </c>
      <c r="F768" s="15" t="str" cm="1">
        <f t="array" ref="F768">IF($A768="","",SUMPRODUCT((TRIM(tblDados[Visitante])=$A768)*tblDados[Primeira_Ocorrencia]))</f>
        <v/>
      </c>
      <c r="G768" s="15" t="str" cm="1">
        <f t="array" ref="G768">IF($A768="","",SUMPRODUCT((TRIM(tblDados[Mandante])=$A768)*tblDados[Primeira_Ocorrencia])+SUMPRODUCT((TRIM(tblDados[Visitante])=$A768)*tblDados[Primeira_Ocorrencia]))</f>
        <v/>
      </c>
      <c r="H768" s="14" t="str">
        <f t="shared" si="199"/>
        <v/>
      </c>
      <c r="I768" s="14" t="str" cm="1">
        <f t="array" ref="I768">IF($A768="","",_xlfn.LET(_xlpm.p,IFERROR(INDEX(tblDados[País],MATCH($A768,TRIM(tblDados[Mandante]),0)),INDEX(tblDados[País],MATCH($A768,TRIM(tblDados[Visitante]),0))),_xlpm.l,IFERROR(INDEX(tblDados[Liga],MATCH($A768,TRIM(tblDados[Mandante]),0)),INDEX(tblDados[Liga],MATCH($A768,TRIM(tblDados[Visitante]),0))),IFERROR(SUMIFS(Ligas!$D$2:$D$39,Ligas!$H$2:$H$39,_xlpm.p,Ligas!$I$2:$I$39,_xlpm.l),0)))</f>
        <v/>
      </c>
      <c r="J768" s="16" t="str" cm="1">
        <f t="array" ref="J768">IF($A768="","",IFERROR((SUMPRODUCT((TRIM(tblDados[Mandante])=$A768)*tblDados[Primeira_Ocorrencia]*(tblDados[GM_M]=0))+SUMPRODUCT((TRIM(tblDados[Visitante])=$A768)*tblDados[Primeira_Ocorrencia]*(tblDados[GM_V]=0)))/G768,0))</f>
        <v/>
      </c>
      <c r="K768" s="16" t="str" cm="1">
        <f t="array" ref="K768">IF($A768="","",IFERROR((SUMPRODUCT((TRIM(tblDados[Mandante])=$A768)*tblDados[Primeira_Ocorrencia]*((tblDados[GM_M]+tblDados[GS_M])&gt;0.5))+SUMPRODUCT((TRIM(tblDados[Visitante])=$A768)*tblDados[Primeira_Ocorrencia]*((tblDados[GM_V]+tblDados[GS_V])&gt;0.5)))/G768,0))</f>
        <v/>
      </c>
      <c r="L768" s="16" t="str" cm="1">
        <f t="array" ref="L768">IF($A768="","",IFERROR((SUMPRODUCT((TRIM(tblDados[Mandante])=$A768)*tblDados[Primeira_Ocorrencia]*((tblDados[GM_M]+tblDados[GS_M])&gt;1.5))+SUMPRODUCT((TRIM(tblDados[Visitante])=$A768)*tblDados[Primeira_Ocorrencia]*((tblDados[GM_V]+tblDados[GS_V])&gt;1.5)))/G768,0))</f>
        <v/>
      </c>
      <c r="M768" s="16" t="str" cm="1">
        <f t="array" ref="M768">IF($A768="","",IFERROR((SUMPRODUCT((TRIM(tblDados[Mandante])=$A768)*tblDados[Primeira_Ocorrencia]*((tblDados[GM_M]+tblDados[GS_M])&gt;2.5))+SUMPRODUCT((TRIM(tblDados[Visitante])=$A768)*tblDados[Primeira_Ocorrencia]*((tblDados[GM_V]+tblDados[GS_V])&gt;2.5)))/G768,0))</f>
        <v/>
      </c>
      <c r="N768" s="16" t="str" cm="1">
        <f t="array" ref="N768">IF($A768="","",IFERROR((SUMPRODUCT((TRIM(tblDados[Mandante])=$A768)*tblDados[Primeira_Ocorrencia]*((tblDados[GM_M]+tblDados[GS_M])&gt;3.5))+SUMPRODUCT((TRIM(tblDados[Visitante])=$A768)*tblDados[Primeira_Ocorrencia]*((tblDados[GM_V]+tblDados[GS_V])&gt;3.5)))/G768,0))</f>
        <v/>
      </c>
      <c r="O768" s="16" t="str" cm="1">
        <f t="array" ref="O768">IF($A768="","",IFERROR((SUMPRODUCT((TRIM(tblDados[Mandante])=$A768)*tblDados[Primeira_Ocorrencia]*(tblDados[GM_M]&gt;0)*(tblDados[GS_M]&gt;0))+SUMPRODUCT((TRIM(tblDados[Visitante])=$A768)*tblDados[Primeira_Ocorrencia]*(tblDados[GM_V]&gt;0)*(tblDados[GS_V]&gt;0)))/G768,0))</f>
        <v/>
      </c>
      <c r="P768" s="14" t="str" cm="1">
        <f t="array" ref="P768">IF($A768="","",IFERROR((SUMPRODUCT((TRIM(tblDados[Mandante])=$A768)*tblDados[Primeira_Ocorrencia]*tblDados[GM_M]^2)+SUMPRODUCT((TRIM(tblDados[Visitante])=$A768)*tblDados[Primeira_Ocorrencia]*tblDados[GM_V]^2))/G768-H768^2,0))</f>
        <v/>
      </c>
      <c r="Q768" s="14" t="str">
        <f t="shared" si="200"/>
        <v/>
      </c>
      <c r="R768" s="1" t="str">
        <f t="shared" si="201"/>
        <v/>
      </c>
      <c r="S768" s="14" t="str" cm="1">
        <f t="array" ref="S768">IF($A768="","",SUMPRODUCT((TRIM(tblDados[Mandante])=$A768)*tblDados[Primeira_Ocorrencia]*tblDados[GM_M]))</f>
        <v/>
      </c>
      <c r="T768" s="14" t="str" cm="1">
        <f t="array" ref="T768">IF($A768="","",SUMPRODUCT((TRIM(tblDados[Visitante])=$A768)*tblDados[Primeira_Ocorrencia]*tblDados[GM_V]))</f>
        <v/>
      </c>
      <c r="U768" s="14" t="str">
        <f t="shared" si="202"/>
        <v/>
      </c>
      <c r="V768" s="14" t="str">
        <f t="shared" si="191"/>
        <v/>
      </c>
      <c r="W768" s="14" t="str" cm="1">
        <f t="array" ref="W768">IF($A768="","",SUMPRODUCT((TRIM(tblDados[Mandante])=$A768)*tblDados[Primeira_Ocorrencia]*tblDados[GS_M]))</f>
        <v/>
      </c>
      <c r="X768" s="14" t="str" cm="1">
        <f t="array" ref="X768">IF($A768="","",SUMPRODUCT((TRIM(tblDados[Visitante])=$A768)*tblDados[Primeira_Ocorrencia]*tblDados[GS_V]))</f>
        <v/>
      </c>
      <c r="Y768" s="14" t="str">
        <f t="shared" si="203"/>
        <v/>
      </c>
      <c r="Z768" s="14" t="str">
        <f t="shared" si="192"/>
        <v/>
      </c>
      <c r="AA768" s="14" t="str">
        <f t="shared" si="193"/>
        <v/>
      </c>
      <c r="AB768" s="14" t="str">
        <f t="shared" si="194"/>
        <v/>
      </c>
      <c r="AC768" s="14" t="str">
        <f t="shared" si="195"/>
        <v/>
      </c>
      <c r="AD768" s="14" t="str">
        <f t="shared" si="196"/>
        <v/>
      </c>
    </row>
    <row r="769" spans="2:30" x14ac:dyDescent="0.3">
      <c r="B769" s="13" t="str" cm="1">
        <f t="array" ref="B769">IF($A769="","",_xlfn.LET(_xlpm.p,IFERROR(INDEX(tblDados[País],MATCH($A769,TRIM(tblDados[Mandante]),0)),INDEX(tblDados[País],MATCH($A769,TRIM(tblDados[Visitante]),0))),_xlpm.l,IFERROR(INDEX(tblDados[Liga],MATCH($A769,TRIM(tblDados[Mandante]),0)),INDEX(tblDados[Liga],MATCH($A769,TRIM(tblDados[Visitante]),0))),_xlpm.p&amp;" - "&amp;_xlpm.l))</f>
        <v/>
      </c>
      <c r="C769" s="14" t="str">
        <f t="shared" si="197"/>
        <v/>
      </c>
      <c r="D769" s="14" t="str">
        <f t="shared" si="198"/>
        <v/>
      </c>
      <c r="E769" s="15" t="str" cm="1">
        <f t="array" ref="E769">IF($A769="","",SUMPRODUCT((TRIM(tblDados[Mandante])=$A769)*tblDados[Primeira_Ocorrencia]))</f>
        <v/>
      </c>
      <c r="F769" s="15" t="str" cm="1">
        <f t="array" ref="F769">IF($A769="","",SUMPRODUCT((TRIM(tblDados[Visitante])=$A769)*tblDados[Primeira_Ocorrencia]))</f>
        <v/>
      </c>
      <c r="G769" s="15" t="str" cm="1">
        <f t="array" ref="G769">IF($A769="","",SUMPRODUCT((TRIM(tblDados[Mandante])=$A769)*tblDados[Primeira_Ocorrencia])+SUMPRODUCT((TRIM(tblDados[Visitante])=$A769)*tblDados[Primeira_Ocorrencia]))</f>
        <v/>
      </c>
      <c r="H769" s="14" t="str">
        <f t="shared" si="199"/>
        <v/>
      </c>
      <c r="I769" s="14" t="str" cm="1">
        <f t="array" ref="I769">IF($A769="","",_xlfn.LET(_xlpm.p,IFERROR(INDEX(tblDados[País],MATCH($A769,TRIM(tblDados[Mandante]),0)),INDEX(tblDados[País],MATCH($A769,TRIM(tblDados[Visitante]),0))),_xlpm.l,IFERROR(INDEX(tblDados[Liga],MATCH($A769,TRIM(tblDados[Mandante]),0)),INDEX(tblDados[Liga],MATCH($A769,TRIM(tblDados[Visitante]),0))),IFERROR(SUMIFS(Ligas!$D$2:$D$39,Ligas!$H$2:$H$39,_xlpm.p,Ligas!$I$2:$I$39,_xlpm.l),0)))</f>
        <v/>
      </c>
      <c r="J769" s="16" t="str" cm="1">
        <f t="array" ref="J769">IF($A769="","",IFERROR((SUMPRODUCT((TRIM(tblDados[Mandante])=$A769)*tblDados[Primeira_Ocorrencia]*(tblDados[GM_M]=0))+SUMPRODUCT((TRIM(tblDados[Visitante])=$A769)*tblDados[Primeira_Ocorrencia]*(tblDados[GM_V]=0)))/G769,0))</f>
        <v/>
      </c>
      <c r="K769" s="16" t="str" cm="1">
        <f t="array" ref="K769">IF($A769="","",IFERROR((SUMPRODUCT((TRIM(tblDados[Mandante])=$A769)*tblDados[Primeira_Ocorrencia]*((tblDados[GM_M]+tblDados[GS_M])&gt;0.5))+SUMPRODUCT((TRIM(tblDados[Visitante])=$A769)*tblDados[Primeira_Ocorrencia]*((tblDados[GM_V]+tblDados[GS_V])&gt;0.5)))/G769,0))</f>
        <v/>
      </c>
      <c r="L769" s="16" t="str" cm="1">
        <f t="array" ref="L769">IF($A769="","",IFERROR((SUMPRODUCT((TRIM(tblDados[Mandante])=$A769)*tblDados[Primeira_Ocorrencia]*((tblDados[GM_M]+tblDados[GS_M])&gt;1.5))+SUMPRODUCT((TRIM(tblDados[Visitante])=$A769)*tblDados[Primeira_Ocorrencia]*((tblDados[GM_V]+tblDados[GS_V])&gt;1.5)))/G769,0))</f>
        <v/>
      </c>
      <c r="M769" s="16" t="str" cm="1">
        <f t="array" ref="M769">IF($A769="","",IFERROR((SUMPRODUCT((TRIM(tblDados[Mandante])=$A769)*tblDados[Primeira_Ocorrencia]*((tblDados[GM_M]+tblDados[GS_M])&gt;2.5))+SUMPRODUCT((TRIM(tblDados[Visitante])=$A769)*tblDados[Primeira_Ocorrencia]*((tblDados[GM_V]+tblDados[GS_V])&gt;2.5)))/G769,0))</f>
        <v/>
      </c>
      <c r="N769" s="16" t="str" cm="1">
        <f t="array" ref="N769">IF($A769="","",IFERROR((SUMPRODUCT((TRIM(tblDados[Mandante])=$A769)*tblDados[Primeira_Ocorrencia]*((tblDados[GM_M]+tblDados[GS_M])&gt;3.5))+SUMPRODUCT((TRIM(tblDados[Visitante])=$A769)*tblDados[Primeira_Ocorrencia]*((tblDados[GM_V]+tblDados[GS_V])&gt;3.5)))/G769,0))</f>
        <v/>
      </c>
      <c r="O769" s="16" t="str" cm="1">
        <f t="array" ref="O769">IF($A769="","",IFERROR((SUMPRODUCT((TRIM(tblDados[Mandante])=$A769)*tblDados[Primeira_Ocorrencia]*(tblDados[GM_M]&gt;0)*(tblDados[GS_M]&gt;0))+SUMPRODUCT((TRIM(tblDados[Visitante])=$A769)*tblDados[Primeira_Ocorrencia]*(tblDados[GM_V]&gt;0)*(tblDados[GS_V]&gt;0)))/G769,0))</f>
        <v/>
      </c>
      <c r="P769" s="14" t="str" cm="1">
        <f t="array" ref="P769">IF($A769="","",IFERROR((SUMPRODUCT((TRIM(tblDados[Mandante])=$A769)*tblDados[Primeira_Ocorrencia]*tblDados[GM_M]^2)+SUMPRODUCT((TRIM(tblDados[Visitante])=$A769)*tblDados[Primeira_Ocorrencia]*tblDados[GM_V]^2))/G769-H769^2,0))</f>
        <v/>
      </c>
      <c r="Q769" s="14" t="str">
        <f t="shared" si="200"/>
        <v/>
      </c>
      <c r="R769" s="1" t="str">
        <f t="shared" si="201"/>
        <v/>
      </c>
      <c r="S769" s="14" t="str" cm="1">
        <f t="array" ref="S769">IF($A769="","",SUMPRODUCT((TRIM(tblDados[Mandante])=$A769)*tblDados[Primeira_Ocorrencia]*tblDados[GM_M]))</f>
        <v/>
      </c>
      <c r="T769" s="14" t="str" cm="1">
        <f t="array" ref="T769">IF($A769="","",SUMPRODUCT((TRIM(tblDados[Visitante])=$A769)*tblDados[Primeira_Ocorrencia]*tblDados[GM_V]))</f>
        <v/>
      </c>
      <c r="U769" s="14" t="str">
        <f t="shared" si="202"/>
        <v/>
      </c>
      <c r="V769" s="14" t="str">
        <f t="shared" si="191"/>
        <v/>
      </c>
      <c r="W769" s="14" t="str" cm="1">
        <f t="array" ref="W769">IF($A769="","",SUMPRODUCT((TRIM(tblDados[Mandante])=$A769)*tblDados[Primeira_Ocorrencia]*tblDados[GS_M]))</f>
        <v/>
      </c>
      <c r="X769" s="14" t="str" cm="1">
        <f t="array" ref="X769">IF($A769="","",SUMPRODUCT((TRIM(tblDados[Visitante])=$A769)*tblDados[Primeira_Ocorrencia]*tblDados[GS_V]))</f>
        <v/>
      </c>
      <c r="Y769" s="14" t="str">
        <f t="shared" si="203"/>
        <v/>
      </c>
      <c r="Z769" s="14" t="str">
        <f t="shared" si="192"/>
        <v/>
      </c>
      <c r="AA769" s="14" t="str">
        <f t="shared" si="193"/>
        <v/>
      </c>
      <c r="AB769" s="14" t="str">
        <f t="shared" si="194"/>
        <v/>
      </c>
      <c r="AC769" s="14" t="str">
        <f t="shared" si="195"/>
        <v/>
      </c>
      <c r="AD769" s="14" t="str">
        <f t="shared" si="196"/>
        <v/>
      </c>
    </row>
    <row r="770" spans="2:30" x14ac:dyDescent="0.3">
      <c r="B770" s="13" t="str" cm="1">
        <f t="array" ref="B770">IF($A770="","",_xlfn.LET(_xlpm.p,IFERROR(INDEX(tblDados[País],MATCH($A770,TRIM(tblDados[Mandante]),0)),INDEX(tblDados[País],MATCH($A770,TRIM(tblDados[Visitante]),0))),_xlpm.l,IFERROR(INDEX(tblDados[Liga],MATCH($A770,TRIM(tblDados[Mandante]),0)),INDEX(tblDados[Liga],MATCH($A770,TRIM(tblDados[Visitante]),0))),_xlpm.p&amp;" - "&amp;_xlpm.l))</f>
        <v/>
      </c>
      <c r="C770" s="14" t="str">
        <f t="shared" si="197"/>
        <v/>
      </c>
      <c r="D770" s="14" t="str">
        <f t="shared" si="198"/>
        <v/>
      </c>
      <c r="E770" s="15" t="str" cm="1">
        <f t="array" ref="E770">IF($A770="","",SUMPRODUCT((TRIM(tblDados[Mandante])=$A770)*tblDados[Primeira_Ocorrencia]))</f>
        <v/>
      </c>
      <c r="F770" s="15" t="str" cm="1">
        <f t="array" ref="F770">IF($A770="","",SUMPRODUCT((TRIM(tblDados[Visitante])=$A770)*tblDados[Primeira_Ocorrencia]))</f>
        <v/>
      </c>
      <c r="G770" s="15" t="str" cm="1">
        <f t="array" ref="G770">IF($A770="","",SUMPRODUCT((TRIM(tblDados[Mandante])=$A770)*tblDados[Primeira_Ocorrencia])+SUMPRODUCT((TRIM(tblDados[Visitante])=$A770)*tblDados[Primeira_Ocorrencia]))</f>
        <v/>
      </c>
      <c r="H770" s="14" t="str">
        <f t="shared" si="199"/>
        <v/>
      </c>
      <c r="I770" s="14" t="str" cm="1">
        <f t="array" ref="I770">IF($A770="","",_xlfn.LET(_xlpm.p,IFERROR(INDEX(tblDados[País],MATCH($A770,TRIM(tblDados[Mandante]),0)),INDEX(tblDados[País],MATCH($A770,TRIM(tblDados[Visitante]),0))),_xlpm.l,IFERROR(INDEX(tblDados[Liga],MATCH($A770,TRIM(tblDados[Mandante]),0)),INDEX(tblDados[Liga],MATCH($A770,TRIM(tblDados[Visitante]),0))),IFERROR(SUMIFS(Ligas!$D$2:$D$39,Ligas!$H$2:$H$39,_xlpm.p,Ligas!$I$2:$I$39,_xlpm.l),0)))</f>
        <v/>
      </c>
      <c r="J770" s="16" t="str" cm="1">
        <f t="array" ref="J770">IF($A770="","",IFERROR((SUMPRODUCT((TRIM(tblDados[Mandante])=$A770)*tblDados[Primeira_Ocorrencia]*(tblDados[GM_M]=0))+SUMPRODUCT((TRIM(tblDados[Visitante])=$A770)*tblDados[Primeira_Ocorrencia]*(tblDados[GM_V]=0)))/G770,0))</f>
        <v/>
      </c>
      <c r="K770" s="16" t="str" cm="1">
        <f t="array" ref="K770">IF($A770="","",IFERROR((SUMPRODUCT((TRIM(tblDados[Mandante])=$A770)*tblDados[Primeira_Ocorrencia]*((tblDados[GM_M]+tblDados[GS_M])&gt;0.5))+SUMPRODUCT((TRIM(tblDados[Visitante])=$A770)*tblDados[Primeira_Ocorrencia]*((tblDados[GM_V]+tblDados[GS_V])&gt;0.5)))/G770,0))</f>
        <v/>
      </c>
      <c r="L770" s="16" t="str" cm="1">
        <f t="array" ref="L770">IF($A770="","",IFERROR((SUMPRODUCT((TRIM(tblDados[Mandante])=$A770)*tblDados[Primeira_Ocorrencia]*((tblDados[GM_M]+tblDados[GS_M])&gt;1.5))+SUMPRODUCT((TRIM(tblDados[Visitante])=$A770)*tblDados[Primeira_Ocorrencia]*((tblDados[GM_V]+tblDados[GS_V])&gt;1.5)))/G770,0))</f>
        <v/>
      </c>
      <c r="M770" s="16" t="str" cm="1">
        <f t="array" ref="M770">IF($A770="","",IFERROR((SUMPRODUCT((TRIM(tblDados[Mandante])=$A770)*tblDados[Primeira_Ocorrencia]*((tblDados[GM_M]+tblDados[GS_M])&gt;2.5))+SUMPRODUCT((TRIM(tblDados[Visitante])=$A770)*tblDados[Primeira_Ocorrencia]*((tblDados[GM_V]+tblDados[GS_V])&gt;2.5)))/G770,0))</f>
        <v/>
      </c>
      <c r="N770" s="16" t="str" cm="1">
        <f t="array" ref="N770">IF($A770="","",IFERROR((SUMPRODUCT((TRIM(tblDados[Mandante])=$A770)*tblDados[Primeira_Ocorrencia]*((tblDados[GM_M]+tblDados[GS_M])&gt;3.5))+SUMPRODUCT((TRIM(tblDados[Visitante])=$A770)*tblDados[Primeira_Ocorrencia]*((tblDados[GM_V]+tblDados[GS_V])&gt;3.5)))/G770,0))</f>
        <v/>
      </c>
      <c r="O770" s="16" t="str" cm="1">
        <f t="array" ref="O770">IF($A770="","",IFERROR((SUMPRODUCT((TRIM(tblDados[Mandante])=$A770)*tblDados[Primeira_Ocorrencia]*(tblDados[GM_M]&gt;0)*(tblDados[GS_M]&gt;0))+SUMPRODUCT((TRIM(tblDados[Visitante])=$A770)*tblDados[Primeira_Ocorrencia]*(tblDados[GM_V]&gt;0)*(tblDados[GS_V]&gt;0)))/G770,0))</f>
        <v/>
      </c>
      <c r="P770" s="14" t="str" cm="1">
        <f t="array" ref="P770">IF($A770="","",IFERROR((SUMPRODUCT((TRIM(tblDados[Mandante])=$A770)*tblDados[Primeira_Ocorrencia]*tblDados[GM_M]^2)+SUMPRODUCT((TRIM(tblDados[Visitante])=$A770)*tblDados[Primeira_Ocorrencia]*tblDados[GM_V]^2))/G770-H770^2,0))</f>
        <v/>
      </c>
      <c r="Q770" s="14" t="str">
        <f t="shared" si="200"/>
        <v/>
      </c>
      <c r="R770" s="1" t="str">
        <f t="shared" si="201"/>
        <v/>
      </c>
      <c r="S770" s="14" t="str" cm="1">
        <f t="array" ref="S770">IF($A770="","",SUMPRODUCT((TRIM(tblDados[Mandante])=$A770)*tblDados[Primeira_Ocorrencia]*tblDados[GM_M]))</f>
        <v/>
      </c>
      <c r="T770" s="14" t="str" cm="1">
        <f t="array" ref="T770">IF($A770="","",SUMPRODUCT((TRIM(tblDados[Visitante])=$A770)*tblDados[Primeira_Ocorrencia]*tblDados[GM_V]))</f>
        <v/>
      </c>
      <c r="U770" s="14" t="str">
        <f t="shared" si="202"/>
        <v/>
      </c>
      <c r="V770" s="14" t="str">
        <f t="shared" ref="V770:V833" si="204">IF($A770="","",IFERROR(U770/G770,0))</f>
        <v/>
      </c>
      <c r="W770" s="14" t="str" cm="1">
        <f t="array" ref="W770">IF($A770="","",SUMPRODUCT((TRIM(tblDados[Mandante])=$A770)*tblDados[Primeira_Ocorrencia]*tblDados[GS_M]))</f>
        <v/>
      </c>
      <c r="X770" s="14" t="str" cm="1">
        <f t="array" ref="X770">IF($A770="","",SUMPRODUCT((TRIM(tblDados[Visitante])=$A770)*tblDados[Primeira_Ocorrencia]*tblDados[GS_V]))</f>
        <v/>
      </c>
      <c r="Y770" s="14" t="str">
        <f t="shared" si="203"/>
        <v/>
      </c>
      <c r="Z770" s="14" t="str">
        <f t="shared" ref="Z770:Z833" si="205">IF($A770="","",IFERROR(Y770/G770,0))</f>
        <v/>
      </c>
      <c r="AA770" s="14" t="str">
        <f t="shared" ref="AA770:AA833" si="206">IF($A770="","",IF($E770=0,"",$S770/$E770))</f>
        <v/>
      </c>
      <c r="AB770" s="14" t="str">
        <f t="shared" ref="AB770:AB833" si="207">IF($A770="","",IF($E770=0,"",$W770/$E770))</f>
        <v/>
      </c>
      <c r="AC770" s="14" t="str">
        <f t="shared" ref="AC770:AC833" si="208">IF($A770="","",IF($F770=0,"",$T770/$F770))</f>
        <v/>
      </c>
      <c r="AD770" s="14" t="str">
        <f t="shared" ref="AD770:AD833" si="209">IF($A770="","",IF($F770=0,"",$X770/$F770))</f>
        <v/>
      </c>
    </row>
    <row r="771" spans="2:30" x14ac:dyDescent="0.3">
      <c r="B771" s="13" t="str" cm="1">
        <f t="array" ref="B771">IF($A771="","",_xlfn.LET(_xlpm.p,IFERROR(INDEX(tblDados[País],MATCH($A771,TRIM(tblDados[Mandante]),0)),INDEX(tblDados[País],MATCH($A771,TRIM(tblDados[Visitante]),0))),_xlpm.l,IFERROR(INDEX(tblDados[Liga],MATCH($A771,TRIM(tblDados[Mandante]),0)),INDEX(tblDados[Liga],MATCH($A771,TRIM(tblDados[Visitante]),0))),_xlpm.p&amp;" - "&amp;_xlpm.l))</f>
        <v/>
      </c>
      <c r="C771" s="14" t="str">
        <f t="shared" ref="C771:C834" si="210">IF($A771="","",IF($E771=0,"",$AA771+$AB771))</f>
        <v/>
      </c>
      <c r="D771" s="14" t="str">
        <f t="shared" ref="D771:D834" si="211">IF($A771="","",IF($F771=0,"",$AC771+$AD771))</f>
        <v/>
      </c>
      <c r="E771" s="15" t="str" cm="1">
        <f t="array" ref="E771">IF($A771="","",SUMPRODUCT((TRIM(tblDados[Mandante])=$A771)*tblDados[Primeira_Ocorrencia]))</f>
        <v/>
      </c>
      <c r="F771" s="15" t="str" cm="1">
        <f t="array" ref="F771">IF($A771="","",SUMPRODUCT((TRIM(tblDados[Visitante])=$A771)*tblDados[Primeira_Ocorrencia]))</f>
        <v/>
      </c>
      <c r="G771" s="15" t="str" cm="1">
        <f t="array" ref="G771">IF($A771="","",SUMPRODUCT((TRIM(tblDados[Mandante])=$A771)*tblDados[Primeira_Ocorrencia])+SUMPRODUCT((TRIM(tblDados[Visitante])=$A771)*tblDados[Primeira_Ocorrencia]))</f>
        <v/>
      </c>
      <c r="H771" s="14" t="str">
        <f t="shared" ref="H771:H834" si="212">IF($A771="","",IFERROR($U771/$G771,0))</f>
        <v/>
      </c>
      <c r="I771" s="14" t="str" cm="1">
        <f t="array" ref="I771">IF($A771="","",_xlfn.LET(_xlpm.p,IFERROR(INDEX(tblDados[País],MATCH($A771,TRIM(tblDados[Mandante]),0)),INDEX(tblDados[País],MATCH($A771,TRIM(tblDados[Visitante]),0))),_xlpm.l,IFERROR(INDEX(tblDados[Liga],MATCH($A771,TRIM(tblDados[Mandante]),0)),INDEX(tblDados[Liga],MATCH($A771,TRIM(tblDados[Visitante]),0))),IFERROR(SUMIFS(Ligas!$D$2:$D$39,Ligas!$H$2:$H$39,_xlpm.p,Ligas!$I$2:$I$39,_xlpm.l),0)))</f>
        <v/>
      </c>
      <c r="J771" s="16" t="str" cm="1">
        <f t="array" ref="J771">IF($A771="","",IFERROR((SUMPRODUCT((TRIM(tblDados[Mandante])=$A771)*tblDados[Primeira_Ocorrencia]*(tblDados[GM_M]=0))+SUMPRODUCT((TRIM(tblDados[Visitante])=$A771)*tblDados[Primeira_Ocorrencia]*(tblDados[GM_V]=0)))/G771,0))</f>
        <v/>
      </c>
      <c r="K771" s="16" t="str" cm="1">
        <f t="array" ref="K771">IF($A771="","",IFERROR((SUMPRODUCT((TRIM(tblDados[Mandante])=$A771)*tblDados[Primeira_Ocorrencia]*((tblDados[GM_M]+tblDados[GS_M])&gt;0.5))+SUMPRODUCT((TRIM(tblDados[Visitante])=$A771)*tblDados[Primeira_Ocorrencia]*((tblDados[GM_V]+tblDados[GS_V])&gt;0.5)))/G771,0))</f>
        <v/>
      </c>
      <c r="L771" s="16" t="str" cm="1">
        <f t="array" ref="L771">IF($A771="","",IFERROR((SUMPRODUCT((TRIM(tblDados[Mandante])=$A771)*tblDados[Primeira_Ocorrencia]*((tblDados[GM_M]+tblDados[GS_M])&gt;1.5))+SUMPRODUCT((TRIM(tblDados[Visitante])=$A771)*tblDados[Primeira_Ocorrencia]*((tblDados[GM_V]+tblDados[GS_V])&gt;1.5)))/G771,0))</f>
        <v/>
      </c>
      <c r="M771" s="16" t="str" cm="1">
        <f t="array" ref="M771">IF($A771="","",IFERROR((SUMPRODUCT((TRIM(tblDados[Mandante])=$A771)*tblDados[Primeira_Ocorrencia]*((tblDados[GM_M]+tblDados[GS_M])&gt;2.5))+SUMPRODUCT((TRIM(tblDados[Visitante])=$A771)*tblDados[Primeira_Ocorrencia]*((tblDados[GM_V]+tblDados[GS_V])&gt;2.5)))/G771,0))</f>
        <v/>
      </c>
      <c r="N771" s="16" t="str" cm="1">
        <f t="array" ref="N771">IF($A771="","",IFERROR((SUMPRODUCT((TRIM(tblDados[Mandante])=$A771)*tblDados[Primeira_Ocorrencia]*((tblDados[GM_M]+tblDados[GS_M])&gt;3.5))+SUMPRODUCT((TRIM(tblDados[Visitante])=$A771)*tblDados[Primeira_Ocorrencia]*((tblDados[GM_V]+tblDados[GS_V])&gt;3.5)))/G771,0))</f>
        <v/>
      </c>
      <c r="O771" s="16" t="str" cm="1">
        <f t="array" ref="O771">IF($A771="","",IFERROR((SUMPRODUCT((TRIM(tblDados[Mandante])=$A771)*tblDados[Primeira_Ocorrencia]*(tblDados[GM_M]&gt;0)*(tblDados[GS_M]&gt;0))+SUMPRODUCT((TRIM(tblDados[Visitante])=$A771)*tblDados[Primeira_Ocorrencia]*(tblDados[GM_V]&gt;0)*(tblDados[GS_V]&gt;0)))/G771,0))</f>
        <v/>
      </c>
      <c r="P771" s="14" t="str" cm="1">
        <f t="array" ref="P771">IF($A771="","",IFERROR((SUMPRODUCT((TRIM(tblDados[Mandante])=$A771)*tblDados[Primeira_Ocorrencia]*tblDados[GM_M]^2)+SUMPRODUCT((TRIM(tblDados[Visitante])=$A771)*tblDados[Primeira_Ocorrencia]*tblDados[GM_V]^2))/G771-H771^2,0))</f>
        <v/>
      </c>
      <c r="Q771" s="14" t="str">
        <f t="shared" ref="Q771:Q834" si="213">IF($A771="","",IFERROR(SQRT(MAX(P771,0)),0))</f>
        <v/>
      </c>
      <c r="R771" s="1" t="str">
        <f t="shared" ref="R771:R834" si="214">IF(A771="","",IF(OR(G771&lt;5,H771=0),"Amostra Insuficiente",IF(_xlfn.CHISQ.DIST.RT(G771*P771/H771,G771-1)&lt;0.05,"Binomial Negativa","Poisson")))</f>
        <v/>
      </c>
      <c r="S771" s="14" t="str" cm="1">
        <f t="array" ref="S771">IF($A771="","",SUMPRODUCT((TRIM(tblDados[Mandante])=$A771)*tblDados[Primeira_Ocorrencia]*tblDados[GM_M]))</f>
        <v/>
      </c>
      <c r="T771" s="14" t="str" cm="1">
        <f t="array" ref="T771">IF($A771="","",SUMPRODUCT((TRIM(tblDados[Visitante])=$A771)*tblDados[Primeira_Ocorrencia]*tblDados[GM_V]))</f>
        <v/>
      </c>
      <c r="U771" s="14" t="str">
        <f t="shared" ref="U771:U834" si="215">IF($A771="","",S771+T771)</f>
        <v/>
      </c>
      <c r="V771" s="14" t="str">
        <f t="shared" si="204"/>
        <v/>
      </c>
      <c r="W771" s="14" t="str" cm="1">
        <f t="array" ref="W771">IF($A771="","",SUMPRODUCT((TRIM(tblDados[Mandante])=$A771)*tblDados[Primeira_Ocorrencia]*tblDados[GS_M]))</f>
        <v/>
      </c>
      <c r="X771" s="14" t="str" cm="1">
        <f t="array" ref="X771">IF($A771="","",SUMPRODUCT((TRIM(tblDados[Visitante])=$A771)*tblDados[Primeira_Ocorrencia]*tblDados[GS_V]))</f>
        <v/>
      </c>
      <c r="Y771" s="14" t="str">
        <f t="shared" ref="Y771:Y834" si="216">IF($A771="","",W771+X771)</f>
        <v/>
      </c>
      <c r="Z771" s="14" t="str">
        <f t="shared" si="205"/>
        <v/>
      </c>
      <c r="AA771" s="14" t="str">
        <f t="shared" si="206"/>
        <v/>
      </c>
      <c r="AB771" s="14" t="str">
        <f t="shared" si="207"/>
        <v/>
      </c>
      <c r="AC771" s="14" t="str">
        <f t="shared" si="208"/>
        <v/>
      </c>
      <c r="AD771" s="14" t="str">
        <f t="shared" si="209"/>
        <v/>
      </c>
    </row>
    <row r="772" spans="2:30" x14ac:dyDescent="0.3">
      <c r="B772" s="13" t="str" cm="1">
        <f t="array" ref="B772">IF($A772="","",_xlfn.LET(_xlpm.p,IFERROR(INDEX(tblDados[País],MATCH($A772,TRIM(tblDados[Mandante]),0)),INDEX(tblDados[País],MATCH($A772,TRIM(tblDados[Visitante]),0))),_xlpm.l,IFERROR(INDEX(tblDados[Liga],MATCH($A772,TRIM(tblDados[Mandante]),0)),INDEX(tblDados[Liga],MATCH($A772,TRIM(tblDados[Visitante]),0))),_xlpm.p&amp;" - "&amp;_xlpm.l))</f>
        <v/>
      </c>
      <c r="C772" s="14" t="str">
        <f t="shared" si="210"/>
        <v/>
      </c>
      <c r="D772" s="14" t="str">
        <f t="shared" si="211"/>
        <v/>
      </c>
      <c r="E772" s="15" t="str" cm="1">
        <f t="array" ref="E772">IF($A772="","",SUMPRODUCT((TRIM(tblDados[Mandante])=$A772)*tblDados[Primeira_Ocorrencia]))</f>
        <v/>
      </c>
      <c r="F772" s="15" t="str" cm="1">
        <f t="array" ref="F772">IF($A772="","",SUMPRODUCT((TRIM(tblDados[Visitante])=$A772)*tblDados[Primeira_Ocorrencia]))</f>
        <v/>
      </c>
      <c r="G772" s="15" t="str" cm="1">
        <f t="array" ref="G772">IF($A772="","",SUMPRODUCT((TRIM(tblDados[Mandante])=$A772)*tblDados[Primeira_Ocorrencia])+SUMPRODUCT((TRIM(tblDados[Visitante])=$A772)*tblDados[Primeira_Ocorrencia]))</f>
        <v/>
      </c>
      <c r="H772" s="14" t="str">
        <f t="shared" si="212"/>
        <v/>
      </c>
      <c r="I772" s="14" t="str" cm="1">
        <f t="array" ref="I772">IF($A772="","",_xlfn.LET(_xlpm.p,IFERROR(INDEX(tblDados[País],MATCH($A772,TRIM(tblDados[Mandante]),0)),INDEX(tblDados[País],MATCH($A772,TRIM(tblDados[Visitante]),0))),_xlpm.l,IFERROR(INDEX(tblDados[Liga],MATCH($A772,TRIM(tblDados[Mandante]),0)),INDEX(tblDados[Liga],MATCH($A772,TRIM(tblDados[Visitante]),0))),IFERROR(SUMIFS(Ligas!$D$2:$D$39,Ligas!$H$2:$H$39,_xlpm.p,Ligas!$I$2:$I$39,_xlpm.l),0)))</f>
        <v/>
      </c>
      <c r="J772" s="16" t="str" cm="1">
        <f t="array" ref="J772">IF($A772="","",IFERROR((SUMPRODUCT((TRIM(tblDados[Mandante])=$A772)*tblDados[Primeira_Ocorrencia]*(tblDados[GM_M]=0))+SUMPRODUCT((TRIM(tblDados[Visitante])=$A772)*tblDados[Primeira_Ocorrencia]*(tblDados[GM_V]=0)))/G772,0))</f>
        <v/>
      </c>
      <c r="K772" s="16" t="str" cm="1">
        <f t="array" ref="K772">IF($A772="","",IFERROR((SUMPRODUCT((TRIM(tblDados[Mandante])=$A772)*tblDados[Primeira_Ocorrencia]*((tblDados[GM_M]+tblDados[GS_M])&gt;0.5))+SUMPRODUCT((TRIM(tblDados[Visitante])=$A772)*tblDados[Primeira_Ocorrencia]*((tblDados[GM_V]+tblDados[GS_V])&gt;0.5)))/G772,0))</f>
        <v/>
      </c>
      <c r="L772" s="16" t="str" cm="1">
        <f t="array" ref="L772">IF($A772="","",IFERROR((SUMPRODUCT((TRIM(tblDados[Mandante])=$A772)*tblDados[Primeira_Ocorrencia]*((tblDados[GM_M]+tblDados[GS_M])&gt;1.5))+SUMPRODUCT((TRIM(tblDados[Visitante])=$A772)*tblDados[Primeira_Ocorrencia]*((tblDados[GM_V]+tblDados[GS_V])&gt;1.5)))/G772,0))</f>
        <v/>
      </c>
      <c r="M772" s="16" t="str" cm="1">
        <f t="array" ref="M772">IF($A772="","",IFERROR((SUMPRODUCT((TRIM(tblDados[Mandante])=$A772)*tblDados[Primeira_Ocorrencia]*((tblDados[GM_M]+tblDados[GS_M])&gt;2.5))+SUMPRODUCT((TRIM(tblDados[Visitante])=$A772)*tblDados[Primeira_Ocorrencia]*((tblDados[GM_V]+tblDados[GS_V])&gt;2.5)))/G772,0))</f>
        <v/>
      </c>
      <c r="N772" s="16" t="str" cm="1">
        <f t="array" ref="N772">IF($A772="","",IFERROR((SUMPRODUCT((TRIM(tblDados[Mandante])=$A772)*tblDados[Primeira_Ocorrencia]*((tblDados[GM_M]+tblDados[GS_M])&gt;3.5))+SUMPRODUCT((TRIM(tblDados[Visitante])=$A772)*tblDados[Primeira_Ocorrencia]*((tblDados[GM_V]+tblDados[GS_V])&gt;3.5)))/G772,0))</f>
        <v/>
      </c>
      <c r="O772" s="16" t="str" cm="1">
        <f t="array" ref="O772">IF($A772="","",IFERROR((SUMPRODUCT((TRIM(tblDados[Mandante])=$A772)*tblDados[Primeira_Ocorrencia]*(tblDados[GM_M]&gt;0)*(tblDados[GS_M]&gt;0))+SUMPRODUCT((TRIM(tblDados[Visitante])=$A772)*tblDados[Primeira_Ocorrencia]*(tblDados[GM_V]&gt;0)*(tblDados[GS_V]&gt;0)))/G772,0))</f>
        <v/>
      </c>
      <c r="P772" s="14" t="str" cm="1">
        <f t="array" ref="P772">IF($A772="","",IFERROR((SUMPRODUCT((TRIM(tblDados[Mandante])=$A772)*tblDados[Primeira_Ocorrencia]*tblDados[GM_M]^2)+SUMPRODUCT((TRIM(tblDados[Visitante])=$A772)*tblDados[Primeira_Ocorrencia]*tblDados[GM_V]^2))/G772-H772^2,0))</f>
        <v/>
      </c>
      <c r="Q772" s="14" t="str">
        <f t="shared" si="213"/>
        <v/>
      </c>
      <c r="R772" s="1" t="str">
        <f t="shared" si="214"/>
        <v/>
      </c>
      <c r="S772" s="14" t="str" cm="1">
        <f t="array" ref="S772">IF($A772="","",SUMPRODUCT((TRIM(tblDados[Mandante])=$A772)*tblDados[Primeira_Ocorrencia]*tblDados[GM_M]))</f>
        <v/>
      </c>
      <c r="T772" s="14" t="str" cm="1">
        <f t="array" ref="T772">IF($A772="","",SUMPRODUCT((TRIM(tblDados[Visitante])=$A772)*tblDados[Primeira_Ocorrencia]*tblDados[GM_V]))</f>
        <v/>
      </c>
      <c r="U772" s="14" t="str">
        <f t="shared" si="215"/>
        <v/>
      </c>
      <c r="V772" s="14" t="str">
        <f t="shared" si="204"/>
        <v/>
      </c>
      <c r="W772" s="14" t="str" cm="1">
        <f t="array" ref="W772">IF($A772="","",SUMPRODUCT((TRIM(tblDados[Mandante])=$A772)*tblDados[Primeira_Ocorrencia]*tblDados[GS_M]))</f>
        <v/>
      </c>
      <c r="X772" s="14" t="str" cm="1">
        <f t="array" ref="X772">IF($A772="","",SUMPRODUCT((TRIM(tblDados[Visitante])=$A772)*tblDados[Primeira_Ocorrencia]*tblDados[GS_V]))</f>
        <v/>
      </c>
      <c r="Y772" s="14" t="str">
        <f t="shared" si="216"/>
        <v/>
      </c>
      <c r="Z772" s="14" t="str">
        <f t="shared" si="205"/>
        <v/>
      </c>
      <c r="AA772" s="14" t="str">
        <f t="shared" si="206"/>
        <v/>
      </c>
      <c r="AB772" s="14" t="str">
        <f t="shared" si="207"/>
        <v/>
      </c>
      <c r="AC772" s="14" t="str">
        <f t="shared" si="208"/>
        <v/>
      </c>
      <c r="AD772" s="14" t="str">
        <f t="shared" si="209"/>
        <v/>
      </c>
    </row>
    <row r="773" spans="2:30" x14ac:dyDescent="0.3">
      <c r="B773" s="13" t="str" cm="1">
        <f t="array" ref="B773">IF($A773="","",_xlfn.LET(_xlpm.p,IFERROR(INDEX(tblDados[País],MATCH($A773,TRIM(tblDados[Mandante]),0)),INDEX(tblDados[País],MATCH($A773,TRIM(tblDados[Visitante]),0))),_xlpm.l,IFERROR(INDEX(tblDados[Liga],MATCH($A773,TRIM(tblDados[Mandante]),0)),INDEX(tblDados[Liga],MATCH($A773,TRIM(tblDados[Visitante]),0))),_xlpm.p&amp;" - "&amp;_xlpm.l))</f>
        <v/>
      </c>
      <c r="C773" s="14" t="str">
        <f t="shared" si="210"/>
        <v/>
      </c>
      <c r="D773" s="14" t="str">
        <f t="shared" si="211"/>
        <v/>
      </c>
      <c r="E773" s="15" t="str" cm="1">
        <f t="array" ref="E773">IF($A773="","",SUMPRODUCT((TRIM(tblDados[Mandante])=$A773)*tblDados[Primeira_Ocorrencia]))</f>
        <v/>
      </c>
      <c r="F773" s="15" t="str" cm="1">
        <f t="array" ref="F773">IF($A773="","",SUMPRODUCT((TRIM(tblDados[Visitante])=$A773)*tblDados[Primeira_Ocorrencia]))</f>
        <v/>
      </c>
      <c r="G773" s="15" t="str" cm="1">
        <f t="array" ref="G773">IF($A773="","",SUMPRODUCT((TRIM(tblDados[Mandante])=$A773)*tblDados[Primeira_Ocorrencia])+SUMPRODUCT((TRIM(tblDados[Visitante])=$A773)*tblDados[Primeira_Ocorrencia]))</f>
        <v/>
      </c>
      <c r="H773" s="14" t="str">
        <f t="shared" si="212"/>
        <v/>
      </c>
      <c r="I773" s="14" t="str" cm="1">
        <f t="array" ref="I773">IF($A773="","",_xlfn.LET(_xlpm.p,IFERROR(INDEX(tblDados[País],MATCH($A773,TRIM(tblDados[Mandante]),0)),INDEX(tblDados[País],MATCH($A773,TRIM(tblDados[Visitante]),0))),_xlpm.l,IFERROR(INDEX(tblDados[Liga],MATCH($A773,TRIM(tblDados[Mandante]),0)),INDEX(tblDados[Liga],MATCH($A773,TRIM(tblDados[Visitante]),0))),IFERROR(SUMIFS(Ligas!$D$2:$D$39,Ligas!$H$2:$H$39,_xlpm.p,Ligas!$I$2:$I$39,_xlpm.l),0)))</f>
        <v/>
      </c>
      <c r="J773" s="16" t="str" cm="1">
        <f t="array" ref="J773">IF($A773="","",IFERROR((SUMPRODUCT((TRIM(tblDados[Mandante])=$A773)*tblDados[Primeira_Ocorrencia]*(tblDados[GM_M]=0))+SUMPRODUCT((TRIM(tblDados[Visitante])=$A773)*tblDados[Primeira_Ocorrencia]*(tblDados[GM_V]=0)))/G773,0))</f>
        <v/>
      </c>
      <c r="K773" s="16" t="str" cm="1">
        <f t="array" ref="K773">IF($A773="","",IFERROR((SUMPRODUCT((TRIM(tblDados[Mandante])=$A773)*tblDados[Primeira_Ocorrencia]*((tblDados[GM_M]+tblDados[GS_M])&gt;0.5))+SUMPRODUCT((TRIM(tblDados[Visitante])=$A773)*tblDados[Primeira_Ocorrencia]*((tblDados[GM_V]+tblDados[GS_V])&gt;0.5)))/G773,0))</f>
        <v/>
      </c>
      <c r="L773" s="16" t="str" cm="1">
        <f t="array" ref="L773">IF($A773="","",IFERROR((SUMPRODUCT((TRIM(tblDados[Mandante])=$A773)*tblDados[Primeira_Ocorrencia]*((tblDados[GM_M]+tblDados[GS_M])&gt;1.5))+SUMPRODUCT((TRIM(tblDados[Visitante])=$A773)*tblDados[Primeira_Ocorrencia]*((tblDados[GM_V]+tblDados[GS_V])&gt;1.5)))/G773,0))</f>
        <v/>
      </c>
      <c r="M773" s="16" t="str" cm="1">
        <f t="array" ref="M773">IF($A773="","",IFERROR((SUMPRODUCT((TRIM(tblDados[Mandante])=$A773)*tblDados[Primeira_Ocorrencia]*((tblDados[GM_M]+tblDados[GS_M])&gt;2.5))+SUMPRODUCT((TRIM(tblDados[Visitante])=$A773)*tblDados[Primeira_Ocorrencia]*((tblDados[GM_V]+tblDados[GS_V])&gt;2.5)))/G773,0))</f>
        <v/>
      </c>
      <c r="N773" s="16" t="str" cm="1">
        <f t="array" ref="N773">IF($A773="","",IFERROR((SUMPRODUCT((TRIM(tblDados[Mandante])=$A773)*tblDados[Primeira_Ocorrencia]*((tblDados[GM_M]+tblDados[GS_M])&gt;3.5))+SUMPRODUCT((TRIM(tblDados[Visitante])=$A773)*tblDados[Primeira_Ocorrencia]*((tblDados[GM_V]+tblDados[GS_V])&gt;3.5)))/G773,0))</f>
        <v/>
      </c>
      <c r="O773" s="16" t="str" cm="1">
        <f t="array" ref="O773">IF($A773="","",IFERROR((SUMPRODUCT((TRIM(tblDados[Mandante])=$A773)*tblDados[Primeira_Ocorrencia]*(tblDados[GM_M]&gt;0)*(tblDados[GS_M]&gt;0))+SUMPRODUCT((TRIM(tblDados[Visitante])=$A773)*tblDados[Primeira_Ocorrencia]*(tblDados[GM_V]&gt;0)*(tblDados[GS_V]&gt;0)))/G773,0))</f>
        <v/>
      </c>
      <c r="P773" s="14" t="str" cm="1">
        <f t="array" ref="P773">IF($A773="","",IFERROR((SUMPRODUCT((TRIM(tblDados[Mandante])=$A773)*tblDados[Primeira_Ocorrencia]*tblDados[GM_M]^2)+SUMPRODUCT((TRIM(tblDados[Visitante])=$A773)*tblDados[Primeira_Ocorrencia]*tblDados[GM_V]^2))/G773-H773^2,0))</f>
        <v/>
      </c>
      <c r="Q773" s="14" t="str">
        <f t="shared" si="213"/>
        <v/>
      </c>
      <c r="R773" s="1" t="str">
        <f t="shared" si="214"/>
        <v/>
      </c>
      <c r="S773" s="14" t="str" cm="1">
        <f t="array" ref="S773">IF($A773="","",SUMPRODUCT((TRIM(tblDados[Mandante])=$A773)*tblDados[Primeira_Ocorrencia]*tblDados[GM_M]))</f>
        <v/>
      </c>
      <c r="T773" s="14" t="str" cm="1">
        <f t="array" ref="T773">IF($A773="","",SUMPRODUCT((TRIM(tblDados[Visitante])=$A773)*tblDados[Primeira_Ocorrencia]*tblDados[GM_V]))</f>
        <v/>
      </c>
      <c r="U773" s="14" t="str">
        <f t="shared" si="215"/>
        <v/>
      </c>
      <c r="V773" s="14" t="str">
        <f t="shared" si="204"/>
        <v/>
      </c>
      <c r="W773" s="14" t="str" cm="1">
        <f t="array" ref="W773">IF($A773="","",SUMPRODUCT((TRIM(tblDados[Mandante])=$A773)*tblDados[Primeira_Ocorrencia]*tblDados[GS_M]))</f>
        <v/>
      </c>
      <c r="X773" s="14" t="str" cm="1">
        <f t="array" ref="X773">IF($A773="","",SUMPRODUCT((TRIM(tblDados[Visitante])=$A773)*tblDados[Primeira_Ocorrencia]*tblDados[GS_V]))</f>
        <v/>
      </c>
      <c r="Y773" s="14" t="str">
        <f t="shared" si="216"/>
        <v/>
      </c>
      <c r="Z773" s="14" t="str">
        <f t="shared" si="205"/>
        <v/>
      </c>
      <c r="AA773" s="14" t="str">
        <f t="shared" si="206"/>
        <v/>
      </c>
      <c r="AB773" s="14" t="str">
        <f t="shared" si="207"/>
        <v/>
      </c>
      <c r="AC773" s="14" t="str">
        <f t="shared" si="208"/>
        <v/>
      </c>
      <c r="AD773" s="14" t="str">
        <f t="shared" si="209"/>
        <v/>
      </c>
    </row>
    <row r="774" spans="2:30" x14ac:dyDescent="0.3">
      <c r="B774" s="13" t="str" cm="1">
        <f t="array" ref="B774">IF($A774="","",_xlfn.LET(_xlpm.p,IFERROR(INDEX(tblDados[País],MATCH($A774,TRIM(tblDados[Mandante]),0)),INDEX(tblDados[País],MATCH($A774,TRIM(tblDados[Visitante]),0))),_xlpm.l,IFERROR(INDEX(tblDados[Liga],MATCH($A774,TRIM(tblDados[Mandante]),0)),INDEX(tblDados[Liga],MATCH($A774,TRIM(tblDados[Visitante]),0))),_xlpm.p&amp;" - "&amp;_xlpm.l))</f>
        <v/>
      </c>
      <c r="C774" s="14" t="str">
        <f t="shared" si="210"/>
        <v/>
      </c>
      <c r="D774" s="14" t="str">
        <f t="shared" si="211"/>
        <v/>
      </c>
      <c r="E774" s="15" t="str" cm="1">
        <f t="array" ref="E774">IF($A774="","",SUMPRODUCT((TRIM(tblDados[Mandante])=$A774)*tblDados[Primeira_Ocorrencia]))</f>
        <v/>
      </c>
      <c r="F774" s="15" t="str" cm="1">
        <f t="array" ref="F774">IF($A774="","",SUMPRODUCT((TRIM(tblDados[Visitante])=$A774)*tblDados[Primeira_Ocorrencia]))</f>
        <v/>
      </c>
      <c r="G774" s="15" t="str" cm="1">
        <f t="array" ref="G774">IF($A774="","",SUMPRODUCT((TRIM(tblDados[Mandante])=$A774)*tblDados[Primeira_Ocorrencia])+SUMPRODUCT((TRIM(tblDados[Visitante])=$A774)*tblDados[Primeira_Ocorrencia]))</f>
        <v/>
      </c>
      <c r="H774" s="14" t="str">
        <f t="shared" si="212"/>
        <v/>
      </c>
      <c r="I774" s="14" t="str" cm="1">
        <f t="array" ref="I774">IF($A774="","",_xlfn.LET(_xlpm.p,IFERROR(INDEX(tblDados[País],MATCH($A774,TRIM(tblDados[Mandante]),0)),INDEX(tblDados[País],MATCH($A774,TRIM(tblDados[Visitante]),0))),_xlpm.l,IFERROR(INDEX(tblDados[Liga],MATCH($A774,TRIM(tblDados[Mandante]),0)),INDEX(tblDados[Liga],MATCH($A774,TRIM(tblDados[Visitante]),0))),IFERROR(SUMIFS(Ligas!$D$2:$D$39,Ligas!$H$2:$H$39,_xlpm.p,Ligas!$I$2:$I$39,_xlpm.l),0)))</f>
        <v/>
      </c>
      <c r="J774" s="16" t="str" cm="1">
        <f t="array" ref="J774">IF($A774="","",IFERROR((SUMPRODUCT((TRIM(tblDados[Mandante])=$A774)*tblDados[Primeira_Ocorrencia]*(tblDados[GM_M]=0))+SUMPRODUCT((TRIM(tblDados[Visitante])=$A774)*tblDados[Primeira_Ocorrencia]*(tblDados[GM_V]=0)))/G774,0))</f>
        <v/>
      </c>
      <c r="K774" s="16" t="str" cm="1">
        <f t="array" ref="K774">IF($A774="","",IFERROR((SUMPRODUCT((TRIM(tblDados[Mandante])=$A774)*tblDados[Primeira_Ocorrencia]*((tblDados[GM_M]+tblDados[GS_M])&gt;0.5))+SUMPRODUCT((TRIM(tblDados[Visitante])=$A774)*tblDados[Primeira_Ocorrencia]*((tblDados[GM_V]+tblDados[GS_V])&gt;0.5)))/G774,0))</f>
        <v/>
      </c>
      <c r="L774" s="16" t="str" cm="1">
        <f t="array" ref="L774">IF($A774="","",IFERROR((SUMPRODUCT((TRIM(tblDados[Mandante])=$A774)*tblDados[Primeira_Ocorrencia]*((tblDados[GM_M]+tblDados[GS_M])&gt;1.5))+SUMPRODUCT((TRIM(tblDados[Visitante])=$A774)*tblDados[Primeira_Ocorrencia]*((tblDados[GM_V]+tblDados[GS_V])&gt;1.5)))/G774,0))</f>
        <v/>
      </c>
      <c r="M774" s="16" t="str" cm="1">
        <f t="array" ref="M774">IF($A774="","",IFERROR((SUMPRODUCT((TRIM(tblDados[Mandante])=$A774)*tblDados[Primeira_Ocorrencia]*((tblDados[GM_M]+tblDados[GS_M])&gt;2.5))+SUMPRODUCT((TRIM(tblDados[Visitante])=$A774)*tblDados[Primeira_Ocorrencia]*((tblDados[GM_V]+tblDados[GS_V])&gt;2.5)))/G774,0))</f>
        <v/>
      </c>
      <c r="N774" s="16" t="str" cm="1">
        <f t="array" ref="N774">IF($A774="","",IFERROR((SUMPRODUCT((TRIM(tblDados[Mandante])=$A774)*tblDados[Primeira_Ocorrencia]*((tblDados[GM_M]+tblDados[GS_M])&gt;3.5))+SUMPRODUCT((TRIM(tblDados[Visitante])=$A774)*tblDados[Primeira_Ocorrencia]*((tblDados[GM_V]+tblDados[GS_V])&gt;3.5)))/G774,0))</f>
        <v/>
      </c>
      <c r="O774" s="16" t="str" cm="1">
        <f t="array" ref="O774">IF($A774="","",IFERROR((SUMPRODUCT((TRIM(tblDados[Mandante])=$A774)*tblDados[Primeira_Ocorrencia]*(tblDados[GM_M]&gt;0)*(tblDados[GS_M]&gt;0))+SUMPRODUCT((TRIM(tblDados[Visitante])=$A774)*tblDados[Primeira_Ocorrencia]*(tblDados[GM_V]&gt;0)*(tblDados[GS_V]&gt;0)))/G774,0))</f>
        <v/>
      </c>
      <c r="P774" s="14" t="str" cm="1">
        <f t="array" ref="P774">IF($A774="","",IFERROR((SUMPRODUCT((TRIM(tblDados[Mandante])=$A774)*tblDados[Primeira_Ocorrencia]*tblDados[GM_M]^2)+SUMPRODUCT((TRIM(tblDados[Visitante])=$A774)*tblDados[Primeira_Ocorrencia]*tblDados[GM_V]^2))/G774-H774^2,0))</f>
        <v/>
      </c>
      <c r="Q774" s="14" t="str">
        <f t="shared" si="213"/>
        <v/>
      </c>
      <c r="R774" s="1" t="str">
        <f t="shared" si="214"/>
        <v/>
      </c>
      <c r="S774" s="14" t="str" cm="1">
        <f t="array" ref="S774">IF($A774="","",SUMPRODUCT((TRIM(tblDados[Mandante])=$A774)*tblDados[Primeira_Ocorrencia]*tblDados[GM_M]))</f>
        <v/>
      </c>
      <c r="T774" s="14" t="str" cm="1">
        <f t="array" ref="T774">IF($A774="","",SUMPRODUCT((TRIM(tblDados[Visitante])=$A774)*tblDados[Primeira_Ocorrencia]*tblDados[GM_V]))</f>
        <v/>
      </c>
      <c r="U774" s="14" t="str">
        <f t="shared" si="215"/>
        <v/>
      </c>
      <c r="V774" s="14" t="str">
        <f t="shared" si="204"/>
        <v/>
      </c>
      <c r="W774" s="14" t="str" cm="1">
        <f t="array" ref="W774">IF($A774="","",SUMPRODUCT((TRIM(tblDados[Mandante])=$A774)*tblDados[Primeira_Ocorrencia]*tblDados[GS_M]))</f>
        <v/>
      </c>
      <c r="X774" s="14" t="str" cm="1">
        <f t="array" ref="X774">IF($A774="","",SUMPRODUCT((TRIM(tblDados[Visitante])=$A774)*tblDados[Primeira_Ocorrencia]*tblDados[GS_V]))</f>
        <v/>
      </c>
      <c r="Y774" s="14" t="str">
        <f t="shared" si="216"/>
        <v/>
      </c>
      <c r="Z774" s="14" t="str">
        <f t="shared" si="205"/>
        <v/>
      </c>
      <c r="AA774" s="14" t="str">
        <f t="shared" si="206"/>
        <v/>
      </c>
      <c r="AB774" s="14" t="str">
        <f t="shared" si="207"/>
        <v/>
      </c>
      <c r="AC774" s="14" t="str">
        <f t="shared" si="208"/>
        <v/>
      </c>
      <c r="AD774" s="14" t="str">
        <f t="shared" si="209"/>
        <v/>
      </c>
    </row>
    <row r="775" spans="2:30" x14ac:dyDescent="0.3">
      <c r="B775" s="13" t="str" cm="1">
        <f t="array" ref="B775">IF($A775="","",_xlfn.LET(_xlpm.p,IFERROR(INDEX(tblDados[País],MATCH($A775,TRIM(tblDados[Mandante]),0)),INDEX(tblDados[País],MATCH($A775,TRIM(tblDados[Visitante]),0))),_xlpm.l,IFERROR(INDEX(tblDados[Liga],MATCH($A775,TRIM(tblDados[Mandante]),0)),INDEX(tblDados[Liga],MATCH($A775,TRIM(tblDados[Visitante]),0))),_xlpm.p&amp;" - "&amp;_xlpm.l))</f>
        <v/>
      </c>
      <c r="C775" s="14" t="str">
        <f t="shared" si="210"/>
        <v/>
      </c>
      <c r="D775" s="14" t="str">
        <f t="shared" si="211"/>
        <v/>
      </c>
      <c r="E775" s="15" t="str" cm="1">
        <f t="array" ref="E775">IF($A775="","",SUMPRODUCT((TRIM(tblDados[Mandante])=$A775)*tblDados[Primeira_Ocorrencia]))</f>
        <v/>
      </c>
      <c r="F775" s="15" t="str" cm="1">
        <f t="array" ref="F775">IF($A775="","",SUMPRODUCT((TRIM(tblDados[Visitante])=$A775)*tblDados[Primeira_Ocorrencia]))</f>
        <v/>
      </c>
      <c r="G775" s="15" t="str" cm="1">
        <f t="array" ref="G775">IF($A775="","",SUMPRODUCT((TRIM(tblDados[Mandante])=$A775)*tblDados[Primeira_Ocorrencia])+SUMPRODUCT((TRIM(tblDados[Visitante])=$A775)*tblDados[Primeira_Ocorrencia]))</f>
        <v/>
      </c>
      <c r="H775" s="14" t="str">
        <f t="shared" si="212"/>
        <v/>
      </c>
      <c r="I775" s="14" t="str" cm="1">
        <f t="array" ref="I775">IF($A775="","",_xlfn.LET(_xlpm.p,IFERROR(INDEX(tblDados[País],MATCH($A775,TRIM(tblDados[Mandante]),0)),INDEX(tblDados[País],MATCH($A775,TRIM(tblDados[Visitante]),0))),_xlpm.l,IFERROR(INDEX(tblDados[Liga],MATCH($A775,TRIM(tblDados[Mandante]),0)),INDEX(tblDados[Liga],MATCH($A775,TRIM(tblDados[Visitante]),0))),IFERROR(SUMIFS(Ligas!$D$2:$D$39,Ligas!$H$2:$H$39,_xlpm.p,Ligas!$I$2:$I$39,_xlpm.l),0)))</f>
        <v/>
      </c>
      <c r="J775" s="16" t="str" cm="1">
        <f t="array" ref="J775">IF($A775="","",IFERROR((SUMPRODUCT((TRIM(tblDados[Mandante])=$A775)*tblDados[Primeira_Ocorrencia]*(tblDados[GM_M]=0))+SUMPRODUCT((TRIM(tblDados[Visitante])=$A775)*tblDados[Primeira_Ocorrencia]*(tblDados[GM_V]=0)))/G775,0))</f>
        <v/>
      </c>
      <c r="K775" s="16" t="str" cm="1">
        <f t="array" ref="K775">IF($A775="","",IFERROR((SUMPRODUCT((TRIM(tblDados[Mandante])=$A775)*tblDados[Primeira_Ocorrencia]*((tblDados[GM_M]+tblDados[GS_M])&gt;0.5))+SUMPRODUCT((TRIM(tblDados[Visitante])=$A775)*tblDados[Primeira_Ocorrencia]*((tblDados[GM_V]+tblDados[GS_V])&gt;0.5)))/G775,0))</f>
        <v/>
      </c>
      <c r="L775" s="16" t="str" cm="1">
        <f t="array" ref="L775">IF($A775="","",IFERROR((SUMPRODUCT((TRIM(tblDados[Mandante])=$A775)*tblDados[Primeira_Ocorrencia]*((tblDados[GM_M]+tblDados[GS_M])&gt;1.5))+SUMPRODUCT((TRIM(tblDados[Visitante])=$A775)*tblDados[Primeira_Ocorrencia]*((tblDados[GM_V]+tblDados[GS_V])&gt;1.5)))/G775,0))</f>
        <v/>
      </c>
      <c r="M775" s="16" t="str" cm="1">
        <f t="array" ref="M775">IF($A775="","",IFERROR((SUMPRODUCT((TRIM(tblDados[Mandante])=$A775)*tblDados[Primeira_Ocorrencia]*((tblDados[GM_M]+tblDados[GS_M])&gt;2.5))+SUMPRODUCT((TRIM(tblDados[Visitante])=$A775)*tblDados[Primeira_Ocorrencia]*((tblDados[GM_V]+tblDados[GS_V])&gt;2.5)))/G775,0))</f>
        <v/>
      </c>
      <c r="N775" s="16" t="str" cm="1">
        <f t="array" ref="N775">IF($A775="","",IFERROR((SUMPRODUCT((TRIM(tblDados[Mandante])=$A775)*tblDados[Primeira_Ocorrencia]*((tblDados[GM_M]+tblDados[GS_M])&gt;3.5))+SUMPRODUCT((TRIM(tblDados[Visitante])=$A775)*tblDados[Primeira_Ocorrencia]*((tblDados[GM_V]+tblDados[GS_V])&gt;3.5)))/G775,0))</f>
        <v/>
      </c>
      <c r="O775" s="16" t="str" cm="1">
        <f t="array" ref="O775">IF($A775="","",IFERROR((SUMPRODUCT((TRIM(tblDados[Mandante])=$A775)*tblDados[Primeira_Ocorrencia]*(tblDados[GM_M]&gt;0)*(tblDados[GS_M]&gt;0))+SUMPRODUCT((TRIM(tblDados[Visitante])=$A775)*tblDados[Primeira_Ocorrencia]*(tblDados[GM_V]&gt;0)*(tblDados[GS_V]&gt;0)))/G775,0))</f>
        <v/>
      </c>
      <c r="P775" s="14" t="str" cm="1">
        <f t="array" ref="P775">IF($A775="","",IFERROR((SUMPRODUCT((TRIM(tblDados[Mandante])=$A775)*tblDados[Primeira_Ocorrencia]*tblDados[GM_M]^2)+SUMPRODUCT((TRIM(tblDados[Visitante])=$A775)*tblDados[Primeira_Ocorrencia]*tblDados[GM_V]^2))/G775-H775^2,0))</f>
        <v/>
      </c>
      <c r="Q775" s="14" t="str">
        <f t="shared" si="213"/>
        <v/>
      </c>
      <c r="R775" s="1" t="str">
        <f t="shared" si="214"/>
        <v/>
      </c>
      <c r="S775" s="14" t="str" cm="1">
        <f t="array" ref="S775">IF($A775="","",SUMPRODUCT((TRIM(tblDados[Mandante])=$A775)*tblDados[Primeira_Ocorrencia]*tblDados[GM_M]))</f>
        <v/>
      </c>
      <c r="T775" s="14" t="str" cm="1">
        <f t="array" ref="T775">IF($A775="","",SUMPRODUCT((TRIM(tblDados[Visitante])=$A775)*tblDados[Primeira_Ocorrencia]*tblDados[GM_V]))</f>
        <v/>
      </c>
      <c r="U775" s="14" t="str">
        <f t="shared" si="215"/>
        <v/>
      </c>
      <c r="V775" s="14" t="str">
        <f t="shared" si="204"/>
        <v/>
      </c>
      <c r="W775" s="14" t="str" cm="1">
        <f t="array" ref="W775">IF($A775="","",SUMPRODUCT((TRIM(tblDados[Mandante])=$A775)*tblDados[Primeira_Ocorrencia]*tblDados[GS_M]))</f>
        <v/>
      </c>
      <c r="X775" s="14" t="str" cm="1">
        <f t="array" ref="X775">IF($A775="","",SUMPRODUCT((TRIM(tblDados[Visitante])=$A775)*tblDados[Primeira_Ocorrencia]*tblDados[GS_V]))</f>
        <v/>
      </c>
      <c r="Y775" s="14" t="str">
        <f t="shared" si="216"/>
        <v/>
      </c>
      <c r="Z775" s="14" t="str">
        <f t="shared" si="205"/>
        <v/>
      </c>
      <c r="AA775" s="14" t="str">
        <f t="shared" si="206"/>
        <v/>
      </c>
      <c r="AB775" s="14" t="str">
        <f t="shared" si="207"/>
        <v/>
      </c>
      <c r="AC775" s="14" t="str">
        <f t="shared" si="208"/>
        <v/>
      </c>
      <c r="AD775" s="14" t="str">
        <f t="shared" si="209"/>
        <v/>
      </c>
    </row>
    <row r="776" spans="2:30" x14ac:dyDescent="0.3">
      <c r="B776" s="13" t="str" cm="1">
        <f t="array" ref="B776">IF($A776="","",_xlfn.LET(_xlpm.p,IFERROR(INDEX(tblDados[País],MATCH($A776,TRIM(tblDados[Mandante]),0)),INDEX(tblDados[País],MATCH($A776,TRIM(tblDados[Visitante]),0))),_xlpm.l,IFERROR(INDEX(tblDados[Liga],MATCH($A776,TRIM(tblDados[Mandante]),0)),INDEX(tblDados[Liga],MATCH($A776,TRIM(tblDados[Visitante]),0))),_xlpm.p&amp;" - "&amp;_xlpm.l))</f>
        <v/>
      </c>
      <c r="C776" s="14" t="str">
        <f t="shared" si="210"/>
        <v/>
      </c>
      <c r="D776" s="14" t="str">
        <f t="shared" si="211"/>
        <v/>
      </c>
      <c r="E776" s="15" t="str" cm="1">
        <f t="array" ref="E776">IF($A776="","",SUMPRODUCT((TRIM(tblDados[Mandante])=$A776)*tblDados[Primeira_Ocorrencia]))</f>
        <v/>
      </c>
      <c r="F776" s="15" t="str" cm="1">
        <f t="array" ref="F776">IF($A776="","",SUMPRODUCT((TRIM(tblDados[Visitante])=$A776)*tblDados[Primeira_Ocorrencia]))</f>
        <v/>
      </c>
      <c r="G776" s="15" t="str" cm="1">
        <f t="array" ref="G776">IF($A776="","",SUMPRODUCT((TRIM(tblDados[Mandante])=$A776)*tblDados[Primeira_Ocorrencia])+SUMPRODUCT((TRIM(tblDados[Visitante])=$A776)*tblDados[Primeira_Ocorrencia]))</f>
        <v/>
      </c>
      <c r="H776" s="14" t="str">
        <f t="shared" si="212"/>
        <v/>
      </c>
      <c r="I776" s="14" t="str" cm="1">
        <f t="array" ref="I776">IF($A776="","",_xlfn.LET(_xlpm.p,IFERROR(INDEX(tblDados[País],MATCH($A776,TRIM(tblDados[Mandante]),0)),INDEX(tblDados[País],MATCH($A776,TRIM(tblDados[Visitante]),0))),_xlpm.l,IFERROR(INDEX(tblDados[Liga],MATCH($A776,TRIM(tblDados[Mandante]),0)),INDEX(tblDados[Liga],MATCH($A776,TRIM(tblDados[Visitante]),0))),IFERROR(SUMIFS(Ligas!$D$2:$D$39,Ligas!$H$2:$H$39,_xlpm.p,Ligas!$I$2:$I$39,_xlpm.l),0)))</f>
        <v/>
      </c>
      <c r="J776" s="16" t="str" cm="1">
        <f t="array" ref="J776">IF($A776="","",IFERROR((SUMPRODUCT((TRIM(tblDados[Mandante])=$A776)*tblDados[Primeira_Ocorrencia]*(tblDados[GM_M]=0))+SUMPRODUCT((TRIM(tblDados[Visitante])=$A776)*tblDados[Primeira_Ocorrencia]*(tblDados[GM_V]=0)))/G776,0))</f>
        <v/>
      </c>
      <c r="K776" s="16" t="str" cm="1">
        <f t="array" ref="K776">IF($A776="","",IFERROR((SUMPRODUCT((TRIM(tblDados[Mandante])=$A776)*tblDados[Primeira_Ocorrencia]*((tblDados[GM_M]+tblDados[GS_M])&gt;0.5))+SUMPRODUCT((TRIM(tblDados[Visitante])=$A776)*tblDados[Primeira_Ocorrencia]*((tblDados[GM_V]+tblDados[GS_V])&gt;0.5)))/G776,0))</f>
        <v/>
      </c>
      <c r="L776" s="16" t="str" cm="1">
        <f t="array" ref="L776">IF($A776="","",IFERROR((SUMPRODUCT((TRIM(tblDados[Mandante])=$A776)*tblDados[Primeira_Ocorrencia]*((tblDados[GM_M]+tblDados[GS_M])&gt;1.5))+SUMPRODUCT((TRIM(tblDados[Visitante])=$A776)*tblDados[Primeira_Ocorrencia]*((tblDados[GM_V]+tblDados[GS_V])&gt;1.5)))/G776,0))</f>
        <v/>
      </c>
      <c r="M776" s="16" t="str" cm="1">
        <f t="array" ref="M776">IF($A776="","",IFERROR((SUMPRODUCT((TRIM(tblDados[Mandante])=$A776)*tblDados[Primeira_Ocorrencia]*((tblDados[GM_M]+tblDados[GS_M])&gt;2.5))+SUMPRODUCT((TRIM(tblDados[Visitante])=$A776)*tblDados[Primeira_Ocorrencia]*((tblDados[GM_V]+tblDados[GS_V])&gt;2.5)))/G776,0))</f>
        <v/>
      </c>
      <c r="N776" s="16" t="str" cm="1">
        <f t="array" ref="N776">IF($A776="","",IFERROR((SUMPRODUCT((TRIM(tblDados[Mandante])=$A776)*tblDados[Primeira_Ocorrencia]*((tblDados[GM_M]+tblDados[GS_M])&gt;3.5))+SUMPRODUCT((TRIM(tblDados[Visitante])=$A776)*tblDados[Primeira_Ocorrencia]*((tblDados[GM_V]+tblDados[GS_V])&gt;3.5)))/G776,0))</f>
        <v/>
      </c>
      <c r="O776" s="16" t="str" cm="1">
        <f t="array" ref="O776">IF($A776="","",IFERROR((SUMPRODUCT((TRIM(tblDados[Mandante])=$A776)*tblDados[Primeira_Ocorrencia]*(tblDados[GM_M]&gt;0)*(tblDados[GS_M]&gt;0))+SUMPRODUCT((TRIM(tblDados[Visitante])=$A776)*tblDados[Primeira_Ocorrencia]*(tblDados[GM_V]&gt;0)*(tblDados[GS_V]&gt;0)))/G776,0))</f>
        <v/>
      </c>
      <c r="P776" s="14" t="str" cm="1">
        <f t="array" ref="P776">IF($A776="","",IFERROR((SUMPRODUCT((TRIM(tblDados[Mandante])=$A776)*tblDados[Primeira_Ocorrencia]*tblDados[GM_M]^2)+SUMPRODUCT((TRIM(tblDados[Visitante])=$A776)*tblDados[Primeira_Ocorrencia]*tblDados[GM_V]^2))/G776-H776^2,0))</f>
        <v/>
      </c>
      <c r="Q776" s="14" t="str">
        <f t="shared" si="213"/>
        <v/>
      </c>
      <c r="R776" s="1" t="str">
        <f t="shared" si="214"/>
        <v/>
      </c>
      <c r="S776" s="14" t="str" cm="1">
        <f t="array" ref="S776">IF($A776="","",SUMPRODUCT((TRIM(tblDados[Mandante])=$A776)*tblDados[Primeira_Ocorrencia]*tblDados[GM_M]))</f>
        <v/>
      </c>
      <c r="T776" s="14" t="str" cm="1">
        <f t="array" ref="T776">IF($A776="","",SUMPRODUCT((TRIM(tblDados[Visitante])=$A776)*tblDados[Primeira_Ocorrencia]*tblDados[GM_V]))</f>
        <v/>
      </c>
      <c r="U776" s="14" t="str">
        <f t="shared" si="215"/>
        <v/>
      </c>
      <c r="V776" s="14" t="str">
        <f t="shared" si="204"/>
        <v/>
      </c>
      <c r="W776" s="14" t="str" cm="1">
        <f t="array" ref="W776">IF($A776="","",SUMPRODUCT((TRIM(tblDados[Mandante])=$A776)*tblDados[Primeira_Ocorrencia]*tblDados[GS_M]))</f>
        <v/>
      </c>
      <c r="X776" s="14" t="str" cm="1">
        <f t="array" ref="X776">IF($A776="","",SUMPRODUCT((TRIM(tblDados[Visitante])=$A776)*tblDados[Primeira_Ocorrencia]*tblDados[GS_V]))</f>
        <v/>
      </c>
      <c r="Y776" s="14" t="str">
        <f t="shared" si="216"/>
        <v/>
      </c>
      <c r="Z776" s="14" t="str">
        <f t="shared" si="205"/>
        <v/>
      </c>
      <c r="AA776" s="14" t="str">
        <f t="shared" si="206"/>
        <v/>
      </c>
      <c r="AB776" s="14" t="str">
        <f t="shared" si="207"/>
        <v/>
      </c>
      <c r="AC776" s="14" t="str">
        <f t="shared" si="208"/>
        <v/>
      </c>
      <c r="AD776" s="14" t="str">
        <f t="shared" si="209"/>
        <v/>
      </c>
    </row>
    <row r="777" spans="2:30" x14ac:dyDescent="0.3">
      <c r="B777" s="13" t="str" cm="1">
        <f t="array" ref="B777">IF($A777="","",_xlfn.LET(_xlpm.p,IFERROR(INDEX(tblDados[País],MATCH($A777,TRIM(tblDados[Mandante]),0)),INDEX(tblDados[País],MATCH($A777,TRIM(tblDados[Visitante]),0))),_xlpm.l,IFERROR(INDEX(tblDados[Liga],MATCH($A777,TRIM(tblDados[Mandante]),0)),INDEX(tblDados[Liga],MATCH($A777,TRIM(tblDados[Visitante]),0))),_xlpm.p&amp;" - "&amp;_xlpm.l))</f>
        <v/>
      </c>
      <c r="C777" s="14" t="str">
        <f t="shared" si="210"/>
        <v/>
      </c>
      <c r="D777" s="14" t="str">
        <f t="shared" si="211"/>
        <v/>
      </c>
      <c r="E777" s="15" t="str" cm="1">
        <f t="array" ref="E777">IF($A777="","",SUMPRODUCT((TRIM(tblDados[Mandante])=$A777)*tblDados[Primeira_Ocorrencia]))</f>
        <v/>
      </c>
      <c r="F777" s="15" t="str" cm="1">
        <f t="array" ref="F777">IF($A777="","",SUMPRODUCT((TRIM(tblDados[Visitante])=$A777)*tblDados[Primeira_Ocorrencia]))</f>
        <v/>
      </c>
      <c r="G777" s="15" t="str" cm="1">
        <f t="array" ref="G777">IF($A777="","",SUMPRODUCT((TRIM(tblDados[Mandante])=$A777)*tblDados[Primeira_Ocorrencia])+SUMPRODUCT((TRIM(tblDados[Visitante])=$A777)*tblDados[Primeira_Ocorrencia]))</f>
        <v/>
      </c>
      <c r="H777" s="14" t="str">
        <f t="shared" si="212"/>
        <v/>
      </c>
      <c r="I777" s="14" t="str" cm="1">
        <f t="array" ref="I777">IF($A777="","",_xlfn.LET(_xlpm.p,IFERROR(INDEX(tblDados[País],MATCH($A777,TRIM(tblDados[Mandante]),0)),INDEX(tblDados[País],MATCH($A777,TRIM(tblDados[Visitante]),0))),_xlpm.l,IFERROR(INDEX(tblDados[Liga],MATCH($A777,TRIM(tblDados[Mandante]),0)),INDEX(tblDados[Liga],MATCH($A777,TRIM(tblDados[Visitante]),0))),IFERROR(SUMIFS(Ligas!$D$2:$D$39,Ligas!$H$2:$H$39,_xlpm.p,Ligas!$I$2:$I$39,_xlpm.l),0)))</f>
        <v/>
      </c>
      <c r="J777" s="16" t="str" cm="1">
        <f t="array" ref="J777">IF($A777="","",IFERROR((SUMPRODUCT((TRIM(tblDados[Mandante])=$A777)*tblDados[Primeira_Ocorrencia]*(tblDados[GM_M]=0))+SUMPRODUCT((TRIM(tblDados[Visitante])=$A777)*tblDados[Primeira_Ocorrencia]*(tblDados[GM_V]=0)))/G777,0))</f>
        <v/>
      </c>
      <c r="K777" s="16" t="str" cm="1">
        <f t="array" ref="K777">IF($A777="","",IFERROR((SUMPRODUCT((TRIM(tblDados[Mandante])=$A777)*tblDados[Primeira_Ocorrencia]*((tblDados[GM_M]+tblDados[GS_M])&gt;0.5))+SUMPRODUCT((TRIM(tblDados[Visitante])=$A777)*tblDados[Primeira_Ocorrencia]*((tblDados[GM_V]+tblDados[GS_V])&gt;0.5)))/G777,0))</f>
        <v/>
      </c>
      <c r="L777" s="16" t="str" cm="1">
        <f t="array" ref="L777">IF($A777="","",IFERROR((SUMPRODUCT((TRIM(tblDados[Mandante])=$A777)*tblDados[Primeira_Ocorrencia]*((tblDados[GM_M]+tblDados[GS_M])&gt;1.5))+SUMPRODUCT((TRIM(tblDados[Visitante])=$A777)*tblDados[Primeira_Ocorrencia]*((tblDados[GM_V]+tblDados[GS_V])&gt;1.5)))/G777,0))</f>
        <v/>
      </c>
      <c r="M777" s="16" t="str" cm="1">
        <f t="array" ref="M777">IF($A777="","",IFERROR((SUMPRODUCT((TRIM(tblDados[Mandante])=$A777)*tblDados[Primeira_Ocorrencia]*((tblDados[GM_M]+tblDados[GS_M])&gt;2.5))+SUMPRODUCT((TRIM(tblDados[Visitante])=$A777)*tblDados[Primeira_Ocorrencia]*((tblDados[GM_V]+tblDados[GS_V])&gt;2.5)))/G777,0))</f>
        <v/>
      </c>
      <c r="N777" s="16" t="str" cm="1">
        <f t="array" ref="N777">IF($A777="","",IFERROR((SUMPRODUCT((TRIM(tblDados[Mandante])=$A777)*tblDados[Primeira_Ocorrencia]*((tblDados[GM_M]+tblDados[GS_M])&gt;3.5))+SUMPRODUCT((TRIM(tblDados[Visitante])=$A777)*tblDados[Primeira_Ocorrencia]*((tblDados[GM_V]+tblDados[GS_V])&gt;3.5)))/G777,0))</f>
        <v/>
      </c>
      <c r="O777" s="16" t="str" cm="1">
        <f t="array" ref="O777">IF($A777="","",IFERROR((SUMPRODUCT((TRIM(tblDados[Mandante])=$A777)*tblDados[Primeira_Ocorrencia]*(tblDados[GM_M]&gt;0)*(tblDados[GS_M]&gt;0))+SUMPRODUCT((TRIM(tblDados[Visitante])=$A777)*tblDados[Primeira_Ocorrencia]*(tblDados[GM_V]&gt;0)*(tblDados[GS_V]&gt;0)))/G777,0))</f>
        <v/>
      </c>
      <c r="P777" s="14" t="str" cm="1">
        <f t="array" ref="P777">IF($A777="","",IFERROR((SUMPRODUCT((TRIM(tblDados[Mandante])=$A777)*tblDados[Primeira_Ocorrencia]*tblDados[GM_M]^2)+SUMPRODUCT((TRIM(tblDados[Visitante])=$A777)*tblDados[Primeira_Ocorrencia]*tblDados[GM_V]^2))/G777-H777^2,0))</f>
        <v/>
      </c>
      <c r="Q777" s="14" t="str">
        <f t="shared" si="213"/>
        <v/>
      </c>
      <c r="R777" s="1" t="str">
        <f t="shared" si="214"/>
        <v/>
      </c>
      <c r="S777" s="14" t="str" cm="1">
        <f t="array" ref="S777">IF($A777="","",SUMPRODUCT((TRIM(tblDados[Mandante])=$A777)*tblDados[Primeira_Ocorrencia]*tblDados[GM_M]))</f>
        <v/>
      </c>
      <c r="T777" s="14" t="str" cm="1">
        <f t="array" ref="T777">IF($A777="","",SUMPRODUCT((TRIM(tblDados[Visitante])=$A777)*tblDados[Primeira_Ocorrencia]*tblDados[GM_V]))</f>
        <v/>
      </c>
      <c r="U777" s="14" t="str">
        <f t="shared" si="215"/>
        <v/>
      </c>
      <c r="V777" s="14" t="str">
        <f t="shared" si="204"/>
        <v/>
      </c>
      <c r="W777" s="14" t="str" cm="1">
        <f t="array" ref="W777">IF($A777="","",SUMPRODUCT((TRIM(tblDados[Mandante])=$A777)*tblDados[Primeira_Ocorrencia]*tblDados[GS_M]))</f>
        <v/>
      </c>
      <c r="X777" s="14" t="str" cm="1">
        <f t="array" ref="X777">IF($A777="","",SUMPRODUCT((TRIM(tblDados[Visitante])=$A777)*tblDados[Primeira_Ocorrencia]*tblDados[GS_V]))</f>
        <v/>
      </c>
      <c r="Y777" s="14" t="str">
        <f t="shared" si="216"/>
        <v/>
      </c>
      <c r="Z777" s="14" t="str">
        <f t="shared" si="205"/>
        <v/>
      </c>
      <c r="AA777" s="14" t="str">
        <f t="shared" si="206"/>
        <v/>
      </c>
      <c r="AB777" s="14" t="str">
        <f t="shared" si="207"/>
        <v/>
      </c>
      <c r="AC777" s="14" t="str">
        <f t="shared" si="208"/>
        <v/>
      </c>
      <c r="AD777" s="14" t="str">
        <f t="shared" si="209"/>
        <v/>
      </c>
    </row>
    <row r="778" spans="2:30" x14ac:dyDescent="0.3">
      <c r="B778" s="13" t="str" cm="1">
        <f t="array" ref="B778">IF($A778="","",_xlfn.LET(_xlpm.p,IFERROR(INDEX(tblDados[País],MATCH($A778,TRIM(tblDados[Mandante]),0)),INDEX(tblDados[País],MATCH($A778,TRIM(tblDados[Visitante]),0))),_xlpm.l,IFERROR(INDEX(tblDados[Liga],MATCH($A778,TRIM(tblDados[Mandante]),0)),INDEX(tblDados[Liga],MATCH($A778,TRIM(tblDados[Visitante]),0))),_xlpm.p&amp;" - "&amp;_xlpm.l))</f>
        <v/>
      </c>
      <c r="C778" s="14" t="str">
        <f t="shared" si="210"/>
        <v/>
      </c>
      <c r="D778" s="14" t="str">
        <f t="shared" si="211"/>
        <v/>
      </c>
      <c r="E778" s="15" t="str" cm="1">
        <f t="array" ref="E778">IF($A778="","",SUMPRODUCT((TRIM(tblDados[Mandante])=$A778)*tblDados[Primeira_Ocorrencia]))</f>
        <v/>
      </c>
      <c r="F778" s="15" t="str" cm="1">
        <f t="array" ref="F778">IF($A778="","",SUMPRODUCT((TRIM(tblDados[Visitante])=$A778)*tblDados[Primeira_Ocorrencia]))</f>
        <v/>
      </c>
      <c r="G778" s="15" t="str" cm="1">
        <f t="array" ref="G778">IF($A778="","",SUMPRODUCT((TRIM(tblDados[Mandante])=$A778)*tblDados[Primeira_Ocorrencia])+SUMPRODUCT((TRIM(tblDados[Visitante])=$A778)*tblDados[Primeira_Ocorrencia]))</f>
        <v/>
      </c>
      <c r="H778" s="14" t="str">
        <f t="shared" si="212"/>
        <v/>
      </c>
      <c r="I778" s="14" t="str" cm="1">
        <f t="array" ref="I778">IF($A778="","",_xlfn.LET(_xlpm.p,IFERROR(INDEX(tblDados[País],MATCH($A778,TRIM(tblDados[Mandante]),0)),INDEX(tblDados[País],MATCH($A778,TRIM(tblDados[Visitante]),0))),_xlpm.l,IFERROR(INDEX(tblDados[Liga],MATCH($A778,TRIM(tblDados[Mandante]),0)),INDEX(tblDados[Liga],MATCH($A778,TRIM(tblDados[Visitante]),0))),IFERROR(SUMIFS(Ligas!$D$2:$D$39,Ligas!$H$2:$H$39,_xlpm.p,Ligas!$I$2:$I$39,_xlpm.l),0)))</f>
        <v/>
      </c>
      <c r="J778" s="16" t="str" cm="1">
        <f t="array" ref="J778">IF($A778="","",IFERROR((SUMPRODUCT((TRIM(tblDados[Mandante])=$A778)*tblDados[Primeira_Ocorrencia]*(tblDados[GM_M]=0))+SUMPRODUCT((TRIM(tblDados[Visitante])=$A778)*tblDados[Primeira_Ocorrencia]*(tblDados[GM_V]=0)))/G778,0))</f>
        <v/>
      </c>
      <c r="K778" s="16" t="str" cm="1">
        <f t="array" ref="K778">IF($A778="","",IFERROR((SUMPRODUCT((TRIM(tblDados[Mandante])=$A778)*tblDados[Primeira_Ocorrencia]*((tblDados[GM_M]+tblDados[GS_M])&gt;0.5))+SUMPRODUCT((TRIM(tblDados[Visitante])=$A778)*tblDados[Primeira_Ocorrencia]*((tblDados[GM_V]+tblDados[GS_V])&gt;0.5)))/G778,0))</f>
        <v/>
      </c>
      <c r="L778" s="16" t="str" cm="1">
        <f t="array" ref="L778">IF($A778="","",IFERROR((SUMPRODUCT((TRIM(tblDados[Mandante])=$A778)*tblDados[Primeira_Ocorrencia]*((tblDados[GM_M]+tblDados[GS_M])&gt;1.5))+SUMPRODUCT((TRIM(tblDados[Visitante])=$A778)*tblDados[Primeira_Ocorrencia]*((tblDados[GM_V]+tblDados[GS_V])&gt;1.5)))/G778,0))</f>
        <v/>
      </c>
      <c r="M778" s="16" t="str" cm="1">
        <f t="array" ref="M778">IF($A778="","",IFERROR((SUMPRODUCT((TRIM(tblDados[Mandante])=$A778)*tblDados[Primeira_Ocorrencia]*((tblDados[GM_M]+tblDados[GS_M])&gt;2.5))+SUMPRODUCT((TRIM(tblDados[Visitante])=$A778)*tblDados[Primeira_Ocorrencia]*((tblDados[GM_V]+tblDados[GS_V])&gt;2.5)))/G778,0))</f>
        <v/>
      </c>
      <c r="N778" s="16" t="str" cm="1">
        <f t="array" ref="N778">IF($A778="","",IFERROR((SUMPRODUCT((TRIM(tblDados[Mandante])=$A778)*tblDados[Primeira_Ocorrencia]*((tblDados[GM_M]+tblDados[GS_M])&gt;3.5))+SUMPRODUCT((TRIM(tblDados[Visitante])=$A778)*tblDados[Primeira_Ocorrencia]*((tblDados[GM_V]+tblDados[GS_V])&gt;3.5)))/G778,0))</f>
        <v/>
      </c>
      <c r="O778" s="16" t="str" cm="1">
        <f t="array" ref="O778">IF($A778="","",IFERROR((SUMPRODUCT((TRIM(tblDados[Mandante])=$A778)*tblDados[Primeira_Ocorrencia]*(tblDados[GM_M]&gt;0)*(tblDados[GS_M]&gt;0))+SUMPRODUCT((TRIM(tblDados[Visitante])=$A778)*tblDados[Primeira_Ocorrencia]*(tblDados[GM_V]&gt;0)*(tblDados[GS_V]&gt;0)))/G778,0))</f>
        <v/>
      </c>
      <c r="P778" s="14" t="str" cm="1">
        <f t="array" ref="P778">IF($A778="","",IFERROR((SUMPRODUCT((TRIM(tblDados[Mandante])=$A778)*tblDados[Primeira_Ocorrencia]*tblDados[GM_M]^2)+SUMPRODUCT((TRIM(tblDados[Visitante])=$A778)*tblDados[Primeira_Ocorrencia]*tblDados[GM_V]^2))/G778-H778^2,0))</f>
        <v/>
      </c>
      <c r="Q778" s="14" t="str">
        <f t="shared" si="213"/>
        <v/>
      </c>
      <c r="R778" s="1" t="str">
        <f t="shared" si="214"/>
        <v/>
      </c>
      <c r="S778" s="14" t="str" cm="1">
        <f t="array" ref="S778">IF($A778="","",SUMPRODUCT((TRIM(tblDados[Mandante])=$A778)*tblDados[Primeira_Ocorrencia]*tblDados[GM_M]))</f>
        <v/>
      </c>
      <c r="T778" s="14" t="str" cm="1">
        <f t="array" ref="T778">IF($A778="","",SUMPRODUCT((TRIM(tblDados[Visitante])=$A778)*tblDados[Primeira_Ocorrencia]*tblDados[GM_V]))</f>
        <v/>
      </c>
      <c r="U778" s="14" t="str">
        <f t="shared" si="215"/>
        <v/>
      </c>
      <c r="V778" s="14" t="str">
        <f t="shared" si="204"/>
        <v/>
      </c>
      <c r="W778" s="14" t="str" cm="1">
        <f t="array" ref="W778">IF($A778="","",SUMPRODUCT((TRIM(tblDados[Mandante])=$A778)*tblDados[Primeira_Ocorrencia]*tblDados[GS_M]))</f>
        <v/>
      </c>
      <c r="X778" s="14" t="str" cm="1">
        <f t="array" ref="X778">IF($A778="","",SUMPRODUCT((TRIM(tblDados[Visitante])=$A778)*tblDados[Primeira_Ocorrencia]*tblDados[GS_V]))</f>
        <v/>
      </c>
      <c r="Y778" s="14" t="str">
        <f t="shared" si="216"/>
        <v/>
      </c>
      <c r="Z778" s="14" t="str">
        <f t="shared" si="205"/>
        <v/>
      </c>
      <c r="AA778" s="14" t="str">
        <f t="shared" si="206"/>
        <v/>
      </c>
      <c r="AB778" s="14" t="str">
        <f t="shared" si="207"/>
        <v/>
      </c>
      <c r="AC778" s="14" t="str">
        <f t="shared" si="208"/>
        <v/>
      </c>
      <c r="AD778" s="14" t="str">
        <f t="shared" si="209"/>
        <v/>
      </c>
    </row>
    <row r="779" spans="2:30" x14ac:dyDescent="0.3">
      <c r="B779" s="13" t="str" cm="1">
        <f t="array" ref="B779">IF($A779="","",_xlfn.LET(_xlpm.p,IFERROR(INDEX(tblDados[País],MATCH($A779,TRIM(tblDados[Mandante]),0)),INDEX(tblDados[País],MATCH($A779,TRIM(tblDados[Visitante]),0))),_xlpm.l,IFERROR(INDEX(tblDados[Liga],MATCH($A779,TRIM(tblDados[Mandante]),0)),INDEX(tblDados[Liga],MATCH($A779,TRIM(tblDados[Visitante]),0))),_xlpm.p&amp;" - "&amp;_xlpm.l))</f>
        <v/>
      </c>
      <c r="C779" s="14" t="str">
        <f t="shared" si="210"/>
        <v/>
      </c>
      <c r="D779" s="14" t="str">
        <f t="shared" si="211"/>
        <v/>
      </c>
      <c r="E779" s="15" t="str" cm="1">
        <f t="array" ref="E779">IF($A779="","",SUMPRODUCT((TRIM(tblDados[Mandante])=$A779)*tblDados[Primeira_Ocorrencia]))</f>
        <v/>
      </c>
      <c r="F779" s="15" t="str" cm="1">
        <f t="array" ref="F779">IF($A779="","",SUMPRODUCT((TRIM(tblDados[Visitante])=$A779)*tblDados[Primeira_Ocorrencia]))</f>
        <v/>
      </c>
      <c r="G779" s="15" t="str" cm="1">
        <f t="array" ref="G779">IF($A779="","",SUMPRODUCT((TRIM(tblDados[Mandante])=$A779)*tblDados[Primeira_Ocorrencia])+SUMPRODUCT((TRIM(tblDados[Visitante])=$A779)*tblDados[Primeira_Ocorrencia]))</f>
        <v/>
      </c>
      <c r="H779" s="14" t="str">
        <f t="shared" si="212"/>
        <v/>
      </c>
      <c r="I779" s="14" t="str" cm="1">
        <f t="array" ref="I779">IF($A779="","",_xlfn.LET(_xlpm.p,IFERROR(INDEX(tblDados[País],MATCH($A779,TRIM(tblDados[Mandante]),0)),INDEX(tblDados[País],MATCH($A779,TRIM(tblDados[Visitante]),0))),_xlpm.l,IFERROR(INDEX(tblDados[Liga],MATCH($A779,TRIM(tblDados[Mandante]),0)),INDEX(tblDados[Liga],MATCH($A779,TRIM(tblDados[Visitante]),0))),IFERROR(SUMIFS(Ligas!$D$2:$D$39,Ligas!$H$2:$H$39,_xlpm.p,Ligas!$I$2:$I$39,_xlpm.l),0)))</f>
        <v/>
      </c>
      <c r="J779" s="16" t="str" cm="1">
        <f t="array" ref="J779">IF($A779="","",IFERROR((SUMPRODUCT((TRIM(tblDados[Mandante])=$A779)*tblDados[Primeira_Ocorrencia]*(tblDados[GM_M]=0))+SUMPRODUCT((TRIM(tblDados[Visitante])=$A779)*tblDados[Primeira_Ocorrencia]*(tblDados[GM_V]=0)))/G779,0))</f>
        <v/>
      </c>
      <c r="K779" s="16" t="str" cm="1">
        <f t="array" ref="K779">IF($A779="","",IFERROR((SUMPRODUCT((TRIM(tblDados[Mandante])=$A779)*tblDados[Primeira_Ocorrencia]*((tblDados[GM_M]+tblDados[GS_M])&gt;0.5))+SUMPRODUCT((TRIM(tblDados[Visitante])=$A779)*tblDados[Primeira_Ocorrencia]*((tblDados[GM_V]+tblDados[GS_V])&gt;0.5)))/G779,0))</f>
        <v/>
      </c>
      <c r="L779" s="16" t="str" cm="1">
        <f t="array" ref="L779">IF($A779="","",IFERROR((SUMPRODUCT((TRIM(tblDados[Mandante])=$A779)*tblDados[Primeira_Ocorrencia]*((tblDados[GM_M]+tblDados[GS_M])&gt;1.5))+SUMPRODUCT((TRIM(tblDados[Visitante])=$A779)*tblDados[Primeira_Ocorrencia]*((tblDados[GM_V]+tblDados[GS_V])&gt;1.5)))/G779,0))</f>
        <v/>
      </c>
      <c r="M779" s="16" t="str" cm="1">
        <f t="array" ref="M779">IF($A779="","",IFERROR((SUMPRODUCT((TRIM(tblDados[Mandante])=$A779)*tblDados[Primeira_Ocorrencia]*((tblDados[GM_M]+tblDados[GS_M])&gt;2.5))+SUMPRODUCT((TRIM(tblDados[Visitante])=$A779)*tblDados[Primeira_Ocorrencia]*((tblDados[GM_V]+tblDados[GS_V])&gt;2.5)))/G779,0))</f>
        <v/>
      </c>
      <c r="N779" s="16" t="str" cm="1">
        <f t="array" ref="N779">IF($A779="","",IFERROR((SUMPRODUCT((TRIM(tblDados[Mandante])=$A779)*tblDados[Primeira_Ocorrencia]*((tblDados[GM_M]+tblDados[GS_M])&gt;3.5))+SUMPRODUCT((TRIM(tblDados[Visitante])=$A779)*tblDados[Primeira_Ocorrencia]*((tblDados[GM_V]+tblDados[GS_V])&gt;3.5)))/G779,0))</f>
        <v/>
      </c>
      <c r="O779" s="16" t="str" cm="1">
        <f t="array" ref="O779">IF($A779="","",IFERROR((SUMPRODUCT((TRIM(tblDados[Mandante])=$A779)*tblDados[Primeira_Ocorrencia]*(tblDados[GM_M]&gt;0)*(tblDados[GS_M]&gt;0))+SUMPRODUCT((TRIM(tblDados[Visitante])=$A779)*tblDados[Primeira_Ocorrencia]*(tblDados[GM_V]&gt;0)*(tblDados[GS_V]&gt;0)))/G779,0))</f>
        <v/>
      </c>
      <c r="P779" s="14" t="str" cm="1">
        <f t="array" ref="P779">IF($A779="","",IFERROR((SUMPRODUCT((TRIM(tblDados[Mandante])=$A779)*tblDados[Primeira_Ocorrencia]*tblDados[GM_M]^2)+SUMPRODUCT((TRIM(tblDados[Visitante])=$A779)*tblDados[Primeira_Ocorrencia]*tblDados[GM_V]^2))/G779-H779^2,0))</f>
        <v/>
      </c>
      <c r="Q779" s="14" t="str">
        <f t="shared" si="213"/>
        <v/>
      </c>
      <c r="R779" s="1" t="str">
        <f t="shared" si="214"/>
        <v/>
      </c>
      <c r="S779" s="14" t="str" cm="1">
        <f t="array" ref="S779">IF($A779="","",SUMPRODUCT((TRIM(tblDados[Mandante])=$A779)*tblDados[Primeira_Ocorrencia]*tblDados[GM_M]))</f>
        <v/>
      </c>
      <c r="T779" s="14" t="str" cm="1">
        <f t="array" ref="T779">IF($A779="","",SUMPRODUCT((TRIM(tblDados[Visitante])=$A779)*tblDados[Primeira_Ocorrencia]*tblDados[GM_V]))</f>
        <v/>
      </c>
      <c r="U779" s="14" t="str">
        <f t="shared" si="215"/>
        <v/>
      </c>
      <c r="V779" s="14" t="str">
        <f t="shared" si="204"/>
        <v/>
      </c>
      <c r="W779" s="14" t="str" cm="1">
        <f t="array" ref="W779">IF($A779="","",SUMPRODUCT((TRIM(tblDados[Mandante])=$A779)*tblDados[Primeira_Ocorrencia]*tblDados[GS_M]))</f>
        <v/>
      </c>
      <c r="X779" s="14" t="str" cm="1">
        <f t="array" ref="X779">IF($A779="","",SUMPRODUCT((TRIM(tblDados[Visitante])=$A779)*tblDados[Primeira_Ocorrencia]*tblDados[GS_V]))</f>
        <v/>
      </c>
      <c r="Y779" s="14" t="str">
        <f t="shared" si="216"/>
        <v/>
      </c>
      <c r="Z779" s="14" t="str">
        <f t="shared" si="205"/>
        <v/>
      </c>
      <c r="AA779" s="14" t="str">
        <f t="shared" si="206"/>
        <v/>
      </c>
      <c r="AB779" s="14" t="str">
        <f t="shared" si="207"/>
        <v/>
      </c>
      <c r="AC779" s="14" t="str">
        <f t="shared" si="208"/>
        <v/>
      </c>
      <c r="AD779" s="14" t="str">
        <f t="shared" si="209"/>
        <v/>
      </c>
    </row>
    <row r="780" spans="2:30" x14ac:dyDescent="0.3">
      <c r="B780" s="13" t="str" cm="1">
        <f t="array" ref="B780">IF($A780="","",_xlfn.LET(_xlpm.p,IFERROR(INDEX(tblDados[País],MATCH($A780,TRIM(tblDados[Mandante]),0)),INDEX(tblDados[País],MATCH($A780,TRIM(tblDados[Visitante]),0))),_xlpm.l,IFERROR(INDEX(tblDados[Liga],MATCH($A780,TRIM(tblDados[Mandante]),0)),INDEX(tblDados[Liga],MATCH($A780,TRIM(tblDados[Visitante]),0))),_xlpm.p&amp;" - "&amp;_xlpm.l))</f>
        <v/>
      </c>
      <c r="C780" s="14" t="str">
        <f t="shared" si="210"/>
        <v/>
      </c>
      <c r="D780" s="14" t="str">
        <f t="shared" si="211"/>
        <v/>
      </c>
      <c r="E780" s="15" t="str" cm="1">
        <f t="array" ref="E780">IF($A780="","",SUMPRODUCT((TRIM(tblDados[Mandante])=$A780)*tblDados[Primeira_Ocorrencia]))</f>
        <v/>
      </c>
      <c r="F780" s="15" t="str" cm="1">
        <f t="array" ref="F780">IF($A780="","",SUMPRODUCT((TRIM(tblDados[Visitante])=$A780)*tblDados[Primeira_Ocorrencia]))</f>
        <v/>
      </c>
      <c r="G780" s="15" t="str" cm="1">
        <f t="array" ref="G780">IF($A780="","",SUMPRODUCT((TRIM(tblDados[Mandante])=$A780)*tblDados[Primeira_Ocorrencia])+SUMPRODUCT((TRIM(tblDados[Visitante])=$A780)*tblDados[Primeira_Ocorrencia]))</f>
        <v/>
      </c>
      <c r="H780" s="14" t="str">
        <f t="shared" si="212"/>
        <v/>
      </c>
      <c r="I780" s="14" t="str" cm="1">
        <f t="array" ref="I780">IF($A780="","",_xlfn.LET(_xlpm.p,IFERROR(INDEX(tblDados[País],MATCH($A780,TRIM(tblDados[Mandante]),0)),INDEX(tblDados[País],MATCH($A780,TRIM(tblDados[Visitante]),0))),_xlpm.l,IFERROR(INDEX(tblDados[Liga],MATCH($A780,TRIM(tblDados[Mandante]),0)),INDEX(tblDados[Liga],MATCH($A780,TRIM(tblDados[Visitante]),0))),IFERROR(SUMIFS(Ligas!$D$2:$D$39,Ligas!$H$2:$H$39,_xlpm.p,Ligas!$I$2:$I$39,_xlpm.l),0)))</f>
        <v/>
      </c>
      <c r="J780" s="16" t="str" cm="1">
        <f t="array" ref="J780">IF($A780="","",IFERROR((SUMPRODUCT((TRIM(tblDados[Mandante])=$A780)*tblDados[Primeira_Ocorrencia]*(tblDados[GM_M]=0))+SUMPRODUCT((TRIM(tblDados[Visitante])=$A780)*tblDados[Primeira_Ocorrencia]*(tblDados[GM_V]=0)))/G780,0))</f>
        <v/>
      </c>
      <c r="K780" s="16" t="str" cm="1">
        <f t="array" ref="K780">IF($A780="","",IFERROR((SUMPRODUCT((TRIM(tblDados[Mandante])=$A780)*tblDados[Primeira_Ocorrencia]*((tblDados[GM_M]+tblDados[GS_M])&gt;0.5))+SUMPRODUCT((TRIM(tblDados[Visitante])=$A780)*tblDados[Primeira_Ocorrencia]*((tblDados[GM_V]+tblDados[GS_V])&gt;0.5)))/G780,0))</f>
        <v/>
      </c>
      <c r="L780" s="16" t="str" cm="1">
        <f t="array" ref="L780">IF($A780="","",IFERROR((SUMPRODUCT((TRIM(tblDados[Mandante])=$A780)*tblDados[Primeira_Ocorrencia]*((tblDados[GM_M]+tblDados[GS_M])&gt;1.5))+SUMPRODUCT((TRIM(tblDados[Visitante])=$A780)*tblDados[Primeira_Ocorrencia]*((tblDados[GM_V]+tblDados[GS_V])&gt;1.5)))/G780,0))</f>
        <v/>
      </c>
      <c r="M780" s="16" t="str" cm="1">
        <f t="array" ref="M780">IF($A780="","",IFERROR((SUMPRODUCT((TRIM(tblDados[Mandante])=$A780)*tblDados[Primeira_Ocorrencia]*((tblDados[GM_M]+tblDados[GS_M])&gt;2.5))+SUMPRODUCT((TRIM(tblDados[Visitante])=$A780)*tblDados[Primeira_Ocorrencia]*((tblDados[GM_V]+tblDados[GS_V])&gt;2.5)))/G780,0))</f>
        <v/>
      </c>
      <c r="N780" s="16" t="str" cm="1">
        <f t="array" ref="N780">IF($A780="","",IFERROR((SUMPRODUCT((TRIM(tblDados[Mandante])=$A780)*tblDados[Primeira_Ocorrencia]*((tblDados[GM_M]+tblDados[GS_M])&gt;3.5))+SUMPRODUCT((TRIM(tblDados[Visitante])=$A780)*tblDados[Primeira_Ocorrencia]*((tblDados[GM_V]+tblDados[GS_V])&gt;3.5)))/G780,0))</f>
        <v/>
      </c>
      <c r="O780" s="16" t="str" cm="1">
        <f t="array" ref="O780">IF($A780="","",IFERROR((SUMPRODUCT((TRIM(tblDados[Mandante])=$A780)*tblDados[Primeira_Ocorrencia]*(tblDados[GM_M]&gt;0)*(tblDados[GS_M]&gt;0))+SUMPRODUCT((TRIM(tblDados[Visitante])=$A780)*tblDados[Primeira_Ocorrencia]*(tblDados[GM_V]&gt;0)*(tblDados[GS_V]&gt;0)))/G780,0))</f>
        <v/>
      </c>
      <c r="P780" s="14" t="str" cm="1">
        <f t="array" ref="P780">IF($A780="","",IFERROR((SUMPRODUCT((TRIM(tblDados[Mandante])=$A780)*tblDados[Primeira_Ocorrencia]*tblDados[GM_M]^2)+SUMPRODUCT((TRIM(tblDados[Visitante])=$A780)*tblDados[Primeira_Ocorrencia]*tblDados[GM_V]^2))/G780-H780^2,0))</f>
        <v/>
      </c>
      <c r="Q780" s="14" t="str">
        <f t="shared" si="213"/>
        <v/>
      </c>
      <c r="R780" s="1" t="str">
        <f t="shared" si="214"/>
        <v/>
      </c>
      <c r="S780" s="14" t="str" cm="1">
        <f t="array" ref="S780">IF($A780="","",SUMPRODUCT((TRIM(tblDados[Mandante])=$A780)*tblDados[Primeira_Ocorrencia]*tblDados[GM_M]))</f>
        <v/>
      </c>
      <c r="T780" s="14" t="str" cm="1">
        <f t="array" ref="T780">IF($A780="","",SUMPRODUCT((TRIM(tblDados[Visitante])=$A780)*tblDados[Primeira_Ocorrencia]*tblDados[GM_V]))</f>
        <v/>
      </c>
      <c r="U780" s="14" t="str">
        <f t="shared" si="215"/>
        <v/>
      </c>
      <c r="V780" s="14" t="str">
        <f t="shared" si="204"/>
        <v/>
      </c>
      <c r="W780" s="14" t="str" cm="1">
        <f t="array" ref="W780">IF($A780="","",SUMPRODUCT((TRIM(tblDados[Mandante])=$A780)*tblDados[Primeira_Ocorrencia]*tblDados[GS_M]))</f>
        <v/>
      </c>
      <c r="X780" s="14" t="str" cm="1">
        <f t="array" ref="X780">IF($A780="","",SUMPRODUCT((TRIM(tblDados[Visitante])=$A780)*tblDados[Primeira_Ocorrencia]*tblDados[GS_V]))</f>
        <v/>
      </c>
      <c r="Y780" s="14" t="str">
        <f t="shared" si="216"/>
        <v/>
      </c>
      <c r="Z780" s="14" t="str">
        <f t="shared" si="205"/>
        <v/>
      </c>
      <c r="AA780" s="14" t="str">
        <f t="shared" si="206"/>
        <v/>
      </c>
      <c r="AB780" s="14" t="str">
        <f t="shared" si="207"/>
        <v/>
      </c>
      <c r="AC780" s="14" t="str">
        <f t="shared" si="208"/>
        <v/>
      </c>
      <c r="AD780" s="14" t="str">
        <f t="shared" si="209"/>
        <v/>
      </c>
    </row>
    <row r="781" spans="2:30" x14ac:dyDescent="0.3">
      <c r="B781" s="13" t="str" cm="1">
        <f t="array" ref="B781">IF($A781="","",_xlfn.LET(_xlpm.p,IFERROR(INDEX(tblDados[País],MATCH($A781,TRIM(tblDados[Mandante]),0)),INDEX(tblDados[País],MATCH($A781,TRIM(tblDados[Visitante]),0))),_xlpm.l,IFERROR(INDEX(tblDados[Liga],MATCH($A781,TRIM(tblDados[Mandante]),0)),INDEX(tblDados[Liga],MATCH($A781,TRIM(tblDados[Visitante]),0))),_xlpm.p&amp;" - "&amp;_xlpm.l))</f>
        <v/>
      </c>
      <c r="C781" s="14" t="str">
        <f t="shared" si="210"/>
        <v/>
      </c>
      <c r="D781" s="14" t="str">
        <f t="shared" si="211"/>
        <v/>
      </c>
      <c r="E781" s="15" t="str" cm="1">
        <f t="array" ref="E781">IF($A781="","",SUMPRODUCT((TRIM(tblDados[Mandante])=$A781)*tblDados[Primeira_Ocorrencia]))</f>
        <v/>
      </c>
      <c r="F781" s="15" t="str" cm="1">
        <f t="array" ref="F781">IF($A781="","",SUMPRODUCT((TRIM(tblDados[Visitante])=$A781)*tblDados[Primeira_Ocorrencia]))</f>
        <v/>
      </c>
      <c r="G781" s="15" t="str" cm="1">
        <f t="array" ref="G781">IF($A781="","",SUMPRODUCT((TRIM(tblDados[Mandante])=$A781)*tblDados[Primeira_Ocorrencia])+SUMPRODUCT((TRIM(tblDados[Visitante])=$A781)*tblDados[Primeira_Ocorrencia]))</f>
        <v/>
      </c>
      <c r="H781" s="14" t="str">
        <f t="shared" si="212"/>
        <v/>
      </c>
      <c r="I781" s="14" t="str" cm="1">
        <f t="array" ref="I781">IF($A781="","",_xlfn.LET(_xlpm.p,IFERROR(INDEX(tblDados[País],MATCH($A781,TRIM(tblDados[Mandante]),0)),INDEX(tblDados[País],MATCH($A781,TRIM(tblDados[Visitante]),0))),_xlpm.l,IFERROR(INDEX(tblDados[Liga],MATCH($A781,TRIM(tblDados[Mandante]),0)),INDEX(tblDados[Liga],MATCH($A781,TRIM(tblDados[Visitante]),0))),IFERROR(SUMIFS(Ligas!$D$2:$D$39,Ligas!$H$2:$H$39,_xlpm.p,Ligas!$I$2:$I$39,_xlpm.l),0)))</f>
        <v/>
      </c>
      <c r="J781" s="16" t="str" cm="1">
        <f t="array" ref="J781">IF($A781="","",IFERROR((SUMPRODUCT((TRIM(tblDados[Mandante])=$A781)*tblDados[Primeira_Ocorrencia]*(tblDados[GM_M]=0))+SUMPRODUCT((TRIM(tblDados[Visitante])=$A781)*tblDados[Primeira_Ocorrencia]*(tblDados[GM_V]=0)))/G781,0))</f>
        <v/>
      </c>
      <c r="K781" s="16" t="str" cm="1">
        <f t="array" ref="K781">IF($A781="","",IFERROR((SUMPRODUCT((TRIM(tblDados[Mandante])=$A781)*tblDados[Primeira_Ocorrencia]*((tblDados[GM_M]+tblDados[GS_M])&gt;0.5))+SUMPRODUCT((TRIM(tblDados[Visitante])=$A781)*tblDados[Primeira_Ocorrencia]*((tblDados[GM_V]+tblDados[GS_V])&gt;0.5)))/G781,0))</f>
        <v/>
      </c>
      <c r="L781" s="16" t="str" cm="1">
        <f t="array" ref="L781">IF($A781="","",IFERROR((SUMPRODUCT((TRIM(tblDados[Mandante])=$A781)*tblDados[Primeira_Ocorrencia]*((tblDados[GM_M]+tblDados[GS_M])&gt;1.5))+SUMPRODUCT((TRIM(tblDados[Visitante])=$A781)*tblDados[Primeira_Ocorrencia]*((tblDados[GM_V]+tblDados[GS_V])&gt;1.5)))/G781,0))</f>
        <v/>
      </c>
      <c r="M781" s="16" t="str" cm="1">
        <f t="array" ref="M781">IF($A781="","",IFERROR((SUMPRODUCT((TRIM(tblDados[Mandante])=$A781)*tblDados[Primeira_Ocorrencia]*((tblDados[GM_M]+tblDados[GS_M])&gt;2.5))+SUMPRODUCT((TRIM(tblDados[Visitante])=$A781)*tblDados[Primeira_Ocorrencia]*((tblDados[GM_V]+tblDados[GS_V])&gt;2.5)))/G781,0))</f>
        <v/>
      </c>
      <c r="N781" s="16" t="str" cm="1">
        <f t="array" ref="N781">IF($A781="","",IFERROR((SUMPRODUCT((TRIM(tblDados[Mandante])=$A781)*tblDados[Primeira_Ocorrencia]*((tblDados[GM_M]+tblDados[GS_M])&gt;3.5))+SUMPRODUCT((TRIM(tblDados[Visitante])=$A781)*tblDados[Primeira_Ocorrencia]*((tblDados[GM_V]+tblDados[GS_V])&gt;3.5)))/G781,0))</f>
        <v/>
      </c>
      <c r="O781" s="16" t="str" cm="1">
        <f t="array" ref="O781">IF($A781="","",IFERROR((SUMPRODUCT((TRIM(tblDados[Mandante])=$A781)*tblDados[Primeira_Ocorrencia]*(tblDados[GM_M]&gt;0)*(tblDados[GS_M]&gt;0))+SUMPRODUCT((TRIM(tblDados[Visitante])=$A781)*tblDados[Primeira_Ocorrencia]*(tblDados[GM_V]&gt;0)*(tblDados[GS_V]&gt;0)))/G781,0))</f>
        <v/>
      </c>
      <c r="P781" s="14" t="str" cm="1">
        <f t="array" ref="P781">IF($A781="","",IFERROR((SUMPRODUCT((TRIM(tblDados[Mandante])=$A781)*tblDados[Primeira_Ocorrencia]*tblDados[GM_M]^2)+SUMPRODUCT((TRIM(tblDados[Visitante])=$A781)*tblDados[Primeira_Ocorrencia]*tblDados[GM_V]^2))/G781-H781^2,0))</f>
        <v/>
      </c>
      <c r="Q781" s="14" t="str">
        <f t="shared" si="213"/>
        <v/>
      </c>
      <c r="R781" s="1" t="str">
        <f t="shared" si="214"/>
        <v/>
      </c>
      <c r="S781" s="14" t="str" cm="1">
        <f t="array" ref="S781">IF($A781="","",SUMPRODUCT((TRIM(tblDados[Mandante])=$A781)*tblDados[Primeira_Ocorrencia]*tblDados[GM_M]))</f>
        <v/>
      </c>
      <c r="T781" s="14" t="str" cm="1">
        <f t="array" ref="T781">IF($A781="","",SUMPRODUCT((TRIM(tblDados[Visitante])=$A781)*tblDados[Primeira_Ocorrencia]*tblDados[GM_V]))</f>
        <v/>
      </c>
      <c r="U781" s="14" t="str">
        <f t="shared" si="215"/>
        <v/>
      </c>
      <c r="V781" s="14" t="str">
        <f t="shared" si="204"/>
        <v/>
      </c>
      <c r="W781" s="14" t="str" cm="1">
        <f t="array" ref="W781">IF($A781="","",SUMPRODUCT((TRIM(tblDados[Mandante])=$A781)*tblDados[Primeira_Ocorrencia]*tblDados[GS_M]))</f>
        <v/>
      </c>
      <c r="X781" s="14" t="str" cm="1">
        <f t="array" ref="X781">IF($A781="","",SUMPRODUCT((TRIM(tblDados[Visitante])=$A781)*tblDados[Primeira_Ocorrencia]*tblDados[GS_V]))</f>
        <v/>
      </c>
      <c r="Y781" s="14" t="str">
        <f t="shared" si="216"/>
        <v/>
      </c>
      <c r="Z781" s="14" t="str">
        <f t="shared" si="205"/>
        <v/>
      </c>
      <c r="AA781" s="14" t="str">
        <f t="shared" si="206"/>
        <v/>
      </c>
      <c r="AB781" s="14" t="str">
        <f t="shared" si="207"/>
        <v/>
      </c>
      <c r="AC781" s="14" t="str">
        <f t="shared" si="208"/>
        <v/>
      </c>
      <c r="AD781" s="14" t="str">
        <f t="shared" si="209"/>
        <v/>
      </c>
    </row>
    <row r="782" spans="2:30" x14ac:dyDescent="0.3">
      <c r="B782" s="13" t="str" cm="1">
        <f t="array" ref="B782">IF($A782="","",_xlfn.LET(_xlpm.p,IFERROR(INDEX(tblDados[País],MATCH($A782,TRIM(tblDados[Mandante]),0)),INDEX(tblDados[País],MATCH($A782,TRIM(tblDados[Visitante]),0))),_xlpm.l,IFERROR(INDEX(tblDados[Liga],MATCH($A782,TRIM(tblDados[Mandante]),0)),INDEX(tblDados[Liga],MATCH($A782,TRIM(tblDados[Visitante]),0))),_xlpm.p&amp;" - "&amp;_xlpm.l))</f>
        <v/>
      </c>
      <c r="C782" s="14" t="str">
        <f t="shared" si="210"/>
        <v/>
      </c>
      <c r="D782" s="14" t="str">
        <f t="shared" si="211"/>
        <v/>
      </c>
      <c r="E782" s="15" t="str" cm="1">
        <f t="array" ref="E782">IF($A782="","",SUMPRODUCT((TRIM(tblDados[Mandante])=$A782)*tblDados[Primeira_Ocorrencia]))</f>
        <v/>
      </c>
      <c r="F782" s="15" t="str" cm="1">
        <f t="array" ref="F782">IF($A782="","",SUMPRODUCT((TRIM(tblDados[Visitante])=$A782)*tblDados[Primeira_Ocorrencia]))</f>
        <v/>
      </c>
      <c r="G782" s="15" t="str" cm="1">
        <f t="array" ref="G782">IF($A782="","",SUMPRODUCT((TRIM(tblDados[Mandante])=$A782)*tblDados[Primeira_Ocorrencia])+SUMPRODUCT((TRIM(tblDados[Visitante])=$A782)*tblDados[Primeira_Ocorrencia]))</f>
        <v/>
      </c>
      <c r="H782" s="14" t="str">
        <f t="shared" si="212"/>
        <v/>
      </c>
      <c r="I782" s="14" t="str" cm="1">
        <f t="array" ref="I782">IF($A782="","",_xlfn.LET(_xlpm.p,IFERROR(INDEX(tblDados[País],MATCH($A782,TRIM(tblDados[Mandante]),0)),INDEX(tblDados[País],MATCH($A782,TRIM(tblDados[Visitante]),0))),_xlpm.l,IFERROR(INDEX(tblDados[Liga],MATCH($A782,TRIM(tblDados[Mandante]),0)),INDEX(tblDados[Liga],MATCH($A782,TRIM(tblDados[Visitante]),0))),IFERROR(SUMIFS(Ligas!$D$2:$D$39,Ligas!$H$2:$H$39,_xlpm.p,Ligas!$I$2:$I$39,_xlpm.l),0)))</f>
        <v/>
      </c>
      <c r="J782" s="16" t="str" cm="1">
        <f t="array" ref="J782">IF($A782="","",IFERROR((SUMPRODUCT((TRIM(tblDados[Mandante])=$A782)*tblDados[Primeira_Ocorrencia]*(tblDados[GM_M]=0))+SUMPRODUCT((TRIM(tblDados[Visitante])=$A782)*tblDados[Primeira_Ocorrencia]*(tblDados[GM_V]=0)))/G782,0))</f>
        <v/>
      </c>
      <c r="K782" s="16" t="str" cm="1">
        <f t="array" ref="K782">IF($A782="","",IFERROR((SUMPRODUCT((TRIM(tblDados[Mandante])=$A782)*tblDados[Primeira_Ocorrencia]*((tblDados[GM_M]+tblDados[GS_M])&gt;0.5))+SUMPRODUCT((TRIM(tblDados[Visitante])=$A782)*tblDados[Primeira_Ocorrencia]*((tblDados[GM_V]+tblDados[GS_V])&gt;0.5)))/G782,0))</f>
        <v/>
      </c>
      <c r="L782" s="16" t="str" cm="1">
        <f t="array" ref="L782">IF($A782="","",IFERROR((SUMPRODUCT((TRIM(tblDados[Mandante])=$A782)*tblDados[Primeira_Ocorrencia]*((tblDados[GM_M]+tblDados[GS_M])&gt;1.5))+SUMPRODUCT((TRIM(tblDados[Visitante])=$A782)*tblDados[Primeira_Ocorrencia]*((tblDados[GM_V]+tblDados[GS_V])&gt;1.5)))/G782,0))</f>
        <v/>
      </c>
      <c r="M782" s="16" t="str" cm="1">
        <f t="array" ref="M782">IF($A782="","",IFERROR((SUMPRODUCT((TRIM(tblDados[Mandante])=$A782)*tblDados[Primeira_Ocorrencia]*((tblDados[GM_M]+tblDados[GS_M])&gt;2.5))+SUMPRODUCT((TRIM(tblDados[Visitante])=$A782)*tblDados[Primeira_Ocorrencia]*((tblDados[GM_V]+tblDados[GS_V])&gt;2.5)))/G782,0))</f>
        <v/>
      </c>
      <c r="N782" s="16" t="str" cm="1">
        <f t="array" ref="N782">IF($A782="","",IFERROR((SUMPRODUCT((TRIM(tblDados[Mandante])=$A782)*tblDados[Primeira_Ocorrencia]*((tblDados[GM_M]+tblDados[GS_M])&gt;3.5))+SUMPRODUCT((TRIM(tblDados[Visitante])=$A782)*tblDados[Primeira_Ocorrencia]*((tblDados[GM_V]+tblDados[GS_V])&gt;3.5)))/G782,0))</f>
        <v/>
      </c>
      <c r="O782" s="16" t="str" cm="1">
        <f t="array" ref="O782">IF($A782="","",IFERROR((SUMPRODUCT((TRIM(tblDados[Mandante])=$A782)*tblDados[Primeira_Ocorrencia]*(tblDados[GM_M]&gt;0)*(tblDados[GS_M]&gt;0))+SUMPRODUCT((TRIM(tblDados[Visitante])=$A782)*tblDados[Primeira_Ocorrencia]*(tblDados[GM_V]&gt;0)*(tblDados[GS_V]&gt;0)))/G782,0))</f>
        <v/>
      </c>
      <c r="P782" s="14" t="str" cm="1">
        <f t="array" ref="P782">IF($A782="","",IFERROR((SUMPRODUCT((TRIM(tblDados[Mandante])=$A782)*tblDados[Primeira_Ocorrencia]*tblDados[GM_M]^2)+SUMPRODUCT((TRIM(tblDados[Visitante])=$A782)*tblDados[Primeira_Ocorrencia]*tblDados[GM_V]^2))/G782-H782^2,0))</f>
        <v/>
      </c>
      <c r="Q782" s="14" t="str">
        <f t="shared" si="213"/>
        <v/>
      </c>
      <c r="R782" s="1" t="str">
        <f t="shared" si="214"/>
        <v/>
      </c>
      <c r="S782" s="14" t="str" cm="1">
        <f t="array" ref="S782">IF($A782="","",SUMPRODUCT((TRIM(tblDados[Mandante])=$A782)*tblDados[Primeira_Ocorrencia]*tblDados[GM_M]))</f>
        <v/>
      </c>
      <c r="T782" s="14" t="str" cm="1">
        <f t="array" ref="T782">IF($A782="","",SUMPRODUCT((TRIM(tblDados[Visitante])=$A782)*tblDados[Primeira_Ocorrencia]*tblDados[GM_V]))</f>
        <v/>
      </c>
      <c r="U782" s="14" t="str">
        <f t="shared" si="215"/>
        <v/>
      </c>
      <c r="V782" s="14" t="str">
        <f t="shared" si="204"/>
        <v/>
      </c>
      <c r="W782" s="14" t="str" cm="1">
        <f t="array" ref="W782">IF($A782="","",SUMPRODUCT((TRIM(tblDados[Mandante])=$A782)*tblDados[Primeira_Ocorrencia]*tblDados[GS_M]))</f>
        <v/>
      </c>
      <c r="X782" s="14" t="str" cm="1">
        <f t="array" ref="X782">IF($A782="","",SUMPRODUCT((TRIM(tblDados[Visitante])=$A782)*tblDados[Primeira_Ocorrencia]*tblDados[GS_V]))</f>
        <v/>
      </c>
      <c r="Y782" s="14" t="str">
        <f t="shared" si="216"/>
        <v/>
      </c>
      <c r="Z782" s="14" t="str">
        <f t="shared" si="205"/>
        <v/>
      </c>
      <c r="AA782" s="14" t="str">
        <f t="shared" si="206"/>
        <v/>
      </c>
      <c r="AB782" s="14" t="str">
        <f t="shared" si="207"/>
        <v/>
      </c>
      <c r="AC782" s="14" t="str">
        <f t="shared" si="208"/>
        <v/>
      </c>
      <c r="AD782" s="14" t="str">
        <f t="shared" si="209"/>
        <v/>
      </c>
    </row>
    <row r="783" spans="2:30" x14ac:dyDescent="0.3">
      <c r="B783" s="13" t="str" cm="1">
        <f t="array" ref="B783">IF($A783="","",_xlfn.LET(_xlpm.p,IFERROR(INDEX(tblDados[País],MATCH($A783,TRIM(tblDados[Mandante]),0)),INDEX(tblDados[País],MATCH($A783,TRIM(tblDados[Visitante]),0))),_xlpm.l,IFERROR(INDEX(tblDados[Liga],MATCH($A783,TRIM(tblDados[Mandante]),0)),INDEX(tblDados[Liga],MATCH($A783,TRIM(tblDados[Visitante]),0))),_xlpm.p&amp;" - "&amp;_xlpm.l))</f>
        <v/>
      </c>
      <c r="C783" s="14" t="str">
        <f t="shared" si="210"/>
        <v/>
      </c>
      <c r="D783" s="14" t="str">
        <f t="shared" si="211"/>
        <v/>
      </c>
      <c r="E783" s="15" t="str" cm="1">
        <f t="array" ref="E783">IF($A783="","",SUMPRODUCT((TRIM(tblDados[Mandante])=$A783)*tblDados[Primeira_Ocorrencia]))</f>
        <v/>
      </c>
      <c r="F783" s="15" t="str" cm="1">
        <f t="array" ref="F783">IF($A783="","",SUMPRODUCT((TRIM(tblDados[Visitante])=$A783)*tblDados[Primeira_Ocorrencia]))</f>
        <v/>
      </c>
      <c r="G783" s="15" t="str" cm="1">
        <f t="array" ref="G783">IF($A783="","",SUMPRODUCT((TRIM(tblDados[Mandante])=$A783)*tblDados[Primeira_Ocorrencia])+SUMPRODUCT((TRIM(tblDados[Visitante])=$A783)*tblDados[Primeira_Ocorrencia]))</f>
        <v/>
      </c>
      <c r="H783" s="14" t="str">
        <f t="shared" si="212"/>
        <v/>
      </c>
      <c r="I783" s="14" t="str" cm="1">
        <f t="array" ref="I783">IF($A783="","",_xlfn.LET(_xlpm.p,IFERROR(INDEX(tblDados[País],MATCH($A783,TRIM(tblDados[Mandante]),0)),INDEX(tblDados[País],MATCH($A783,TRIM(tblDados[Visitante]),0))),_xlpm.l,IFERROR(INDEX(tblDados[Liga],MATCH($A783,TRIM(tblDados[Mandante]),0)),INDEX(tblDados[Liga],MATCH($A783,TRIM(tblDados[Visitante]),0))),IFERROR(SUMIFS(Ligas!$D$2:$D$39,Ligas!$H$2:$H$39,_xlpm.p,Ligas!$I$2:$I$39,_xlpm.l),0)))</f>
        <v/>
      </c>
      <c r="J783" s="16" t="str" cm="1">
        <f t="array" ref="J783">IF($A783="","",IFERROR((SUMPRODUCT((TRIM(tblDados[Mandante])=$A783)*tblDados[Primeira_Ocorrencia]*(tblDados[GM_M]=0))+SUMPRODUCT((TRIM(tblDados[Visitante])=$A783)*tblDados[Primeira_Ocorrencia]*(tblDados[GM_V]=0)))/G783,0))</f>
        <v/>
      </c>
      <c r="K783" s="16" t="str" cm="1">
        <f t="array" ref="K783">IF($A783="","",IFERROR((SUMPRODUCT((TRIM(tblDados[Mandante])=$A783)*tblDados[Primeira_Ocorrencia]*((tblDados[GM_M]+tblDados[GS_M])&gt;0.5))+SUMPRODUCT((TRIM(tblDados[Visitante])=$A783)*tblDados[Primeira_Ocorrencia]*((tblDados[GM_V]+tblDados[GS_V])&gt;0.5)))/G783,0))</f>
        <v/>
      </c>
      <c r="L783" s="16" t="str" cm="1">
        <f t="array" ref="L783">IF($A783="","",IFERROR((SUMPRODUCT((TRIM(tblDados[Mandante])=$A783)*tblDados[Primeira_Ocorrencia]*((tblDados[GM_M]+tblDados[GS_M])&gt;1.5))+SUMPRODUCT((TRIM(tblDados[Visitante])=$A783)*tblDados[Primeira_Ocorrencia]*((tblDados[GM_V]+tblDados[GS_V])&gt;1.5)))/G783,0))</f>
        <v/>
      </c>
      <c r="M783" s="16" t="str" cm="1">
        <f t="array" ref="M783">IF($A783="","",IFERROR((SUMPRODUCT((TRIM(tblDados[Mandante])=$A783)*tblDados[Primeira_Ocorrencia]*((tblDados[GM_M]+tblDados[GS_M])&gt;2.5))+SUMPRODUCT((TRIM(tblDados[Visitante])=$A783)*tblDados[Primeira_Ocorrencia]*((tblDados[GM_V]+tblDados[GS_V])&gt;2.5)))/G783,0))</f>
        <v/>
      </c>
      <c r="N783" s="16" t="str" cm="1">
        <f t="array" ref="N783">IF($A783="","",IFERROR((SUMPRODUCT((TRIM(tblDados[Mandante])=$A783)*tblDados[Primeira_Ocorrencia]*((tblDados[GM_M]+tblDados[GS_M])&gt;3.5))+SUMPRODUCT((TRIM(tblDados[Visitante])=$A783)*tblDados[Primeira_Ocorrencia]*((tblDados[GM_V]+tblDados[GS_V])&gt;3.5)))/G783,0))</f>
        <v/>
      </c>
      <c r="O783" s="16" t="str" cm="1">
        <f t="array" ref="O783">IF($A783="","",IFERROR((SUMPRODUCT((TRIM(tblDados[Mandante])=$A783)*tblDados[Primeira_Ocorrencia]*(tblDados[GM_M]&gt;0)*(tblDados[GS_M]&gt;0))+SUMPRODUCT((TRIM(tblDados[Visitante])=$A783)*tblDados[Primeira_Ocorrencia]*(tblDados[GM_V]&gt;0)*(tblDados[GS_V]&gt;0)))/G783,0))</f>
        <v/>
      </c>
      <c r="P783" s="14" t="str" cm="1">
        <f t="array" ref="P783">IF($A783="","",IFERROR((SUMPRODUCT((TRIM(tblDados[Mandante])=$A783)*tblDados[Primeira_Ocorrencia]*tblDados[GM_M]^2)+SUMPRODUCT((TRIM(tblDados[Visitante])=$A783)*tblDados[Primeira_Ocorrencia]*tblDados[GM_V]^2))/G783-H783^2,0))</f>
        <v/>
      </c>
      <c r="Q783" s="14" t="str">
        <f t="shared" si="213"/>
        <v/>
      </c>
      <c r="R783" s="1" t="str">
        <f t="shared" si="214"/>
        <v/>
      </c>
      <c r="S783" s="14" t="str" cm="1">
        <f t="array" ref="S783">IF($A783="","",SUMPRODUCT((TRIM(tblDados[Mandante])=$A783)*tblDados[Primeira_Ocorrencia]*tblDados[GM_M]))</f>
        <v/>
      </c>
      <c r="T783" s="14" t="str" cm="1">
        <f t="array" ref="T783">IF($A783="","",SUMPRODUCT((TRIM(tblDados[Visitante])=$A783)*tblDados[Primeira_Ocorrencia]*tblDados[GM_V]))</f>
        <v/>
      </c>
      <c r="U783" s="14" t="str">
        <f t="shared" si="215"/>
        <v/>
      </c>
      <c r="V783" s="14" t="str">
        <f t="shared" si="204"/>
        <v/>
      </c>
      <c r="W783" s="14" t="str" cm="1">
        <f t="array" ref="W783">IF($A783="","",SUMPRODUCT((TRIM(tblDados[Mandante])=$A783)*tblDados[Primeira_Ocorrencia]*tblDados[GS_M]))</f>
        <v/>
      </c>
      <c r="X783" s="14" t="str" cm="1">
        <f t="array" ref="X783">IF($A783="","",SUMPRODUCT((TRIM(tblDados[Visitante])=$A783)*tblDados[Primeira_Ocorrencia]*tblDados[GS_V]))</f>
        <v/>
      </c>
      <c r="Y783" s="14" t="str">
        <f t="shared" si="216"/>
        <v/>
      </c>
      <c r="Z783" s="14" t="str">
        <f t="shared" si="205"/>
        <v/>
      </c>
      <c r="AA783" s="14" t="str">
        <f t="shared" si="206"/>
        <v/>
      </c>
      <c r="AB783" s="14" t="str">
        <f t="shared" si="207"/>
        <v/>
      </c>
      <c r="AC783" s="14" t="str">
        <f t="shared" si="208"/>
        <v/>
      </c>
      <c r="AD783" s="14" t="str">
        <f t="shared" si="209"/>
        <v/>
      </c>
    </row>
    <row r="784" spans="2:30" x14ac:dyDescent="0.3">
      <c r="B784" s="13" t="str" cm="1">
        <f t="array" ref="B784">IF($A784="","",_xlfn.LET(_xlpm.p,IFERROR(INDEX(tblDados[País],MATCH($A784,TRIM(tblDados[Mandante]),0)),INDEX(tblDados[País],MATCH($A784,TRIM(tblDados[Visitante]),0))),_xlpm.l,IFERROR(INDEX(tblDados[Liga],MATCH($A784,TRIM(tblDados[Mandante]),0)),INDEX(tblDados[Liga],MATCH($A784,TRIM(tblDados[Visitante]),0))),_xlpm.p&amp;" - "&amp;_xlpm.l))</f>
        <v/>
      </c>
      <c r="C784" s="14" t="str">
        <f t="shared" si="210"/>
        <v/>
      </c>
      <c r="D784" s="14" t="str">
        <f t="shared" si="211"/>
        <v/>
      </c>
      <c r="E784" s="15" t="str" cm="1">
        <f t="array" ref="E784">IF($A784="","",SUMPRODUCT((TRIM(tblDados[Mandante])=$A784)*tblDados[Primeira_Ocorrencia]))</f>
        <v/>
      </c>
      <c r="F784" s="15" t="str" cm="1">
        <f t="array" ref="F784">IF($A784="","",SUMPRODUCT((TRIM(tblDados[Visitante])=$A784)*tblDados[Primeira_Ocorrencia]))</f>
        <v/>
      </c>
      <c r="G784" s="15" t="str" cm="1">
        <f t="array" ref="G784">IF($A784="","",SUMPRODUCT((TRIM(tblDados[Mandante])=$A784)*tblDados[Primeira_Ocorrencia])+SUMPRODUCT((TRIM(tblDados[Visitante])=$A784)*tblDados[Primeira_Ocorrencia]))</f>
        <v/>
      </c>
      <c r="H784" s="14" t="str">
        <f t="shared" si="212"/>
        <v/>
      </c>
      <c r="I784" s="14" t="str" cm="1">
        <f t="array" ref="I784">IF($A784="","",_xlfn.LET(_xlpm.p,IFERROR(INDEX(tblDados[País],MATCH($A784,TRIM(tblDados[Mandante]),0)),INDEX(tblDados[País],MATCH($A784,TRIM(tblDados[Visitante]),0))),_xlpm.l,IFERROR(INDEX(tblDados[Liga],MATCH($A784,TRIM(tblDados[Mandante]),0)),INDEX(tblDados[Liga],MATCH($A784,TRIM(tblDados[Visitante]),0))),IFERROR(SUMIFS(Ligas!$D$2:$D$39,Ligas!$H$2:$H$39,_xlpm.p,Ligas!$I$2:$I$39,_xlpm.l),0)))</f>
        <v/>
      </c>
      <c r="J784" s="16" t="str" cm="1">
        <f t="array" ref="J784">IF($A784="","",IFERROR((SUMPRODUCT((TRIM(tblDados[Mandante])=$A784)*tblDados[Primeira_Ocorrencia]*(tblDados[GM_M]=0))+SUMPRODUCT((TRIM(tblDados[Visitante])=$A784)*tblDados[Primeira_Ocorrencia]*(tblDados[GM_V]=0)))/G784,0))</f>
        <v/>
      </c>
      <c r="K784" s="16" t="str" cm="1">
        <f t="array" ref="K784">IF($A784="","",IFERROR((SUMPRODUCT((TRIM(tblDados[Mandante])=$A784)*tblDados[Primeira_Ocorrencia]*((tblDados[GM_M]+tblDados[GS_M])&gt;0.5))+SUMPRODUCT((TRIM(tblDados[Visitante])=$A784)*tblDados[Primeira_Ocorrencia]*((tblDados[GM_V]+tblDados[GS_V])&gt;0.5)))/G784,0))</f>
        <v/>
      </c>
      <c r="L784" s="16" t="str" cm="1">
        <f t="array" ref="L784">IF($A784="","",IFERROR((SUMPRODUCT((TRIM(tblDados[Mandante])=$A784)*tblDados[Primeira_Ocorrencia]*((tblDados[GM_M]+tblDados[GS_M])&gt;1.5))+SUMPRODUCT((TRIM(tblDados[Visitante])=$A784)*tblDados[Primeira_Ocorrencia]*((tblDados[GM_V]+tblDados[GS_V])&gt;1.5)))/G784,0))</f>
        <v/>
      </c>
      <c r="M784" s="16" t="str" cm="1">
        <f t="array" ref="M784">IF($A784="","",IFERROR((SUMPRODUCT((TRIM(tblDados[Mandante])=$A784)*tblDados[Primeira_Ocorrencia]*((tblDados[GM_M]+tblDados[GS_M])&gt;2.5))+SUMPRODUCT((TRIM(tblDados[Visitante])=$A784)*tblDados[Primeira_Ocorrencia]*((tblDados[GM_V]+tblDados[GS_V])&gt;2.5)))/G784,0))</f>
        <v/>
      </c>
      <c r="N784" s="16" t="str" cm="1">
        <f t="array" ref="N784">IF($A784="","",IFERROR((SUMPRODUCT((TRIM(tblDados[Mandante])=$A784)*tblDados[Primeira_Ocorrencia]*((tblDados[GM_M]+tblDados[GS_M])&gt;3.5))+SUMPRODUCT((TRIM(tblDados[Visitante])=$A784)*tblDados[Primeira_Ocorrencia]*((tblDados[GM_V]+tblDados[GS_V])&gt;3.5)))/G784,0))</f>
        <v/>
      </c>
      <c r="O784" s="16" t="str" cm="1">
        <f t="array" ref="O784">IF($A784="","",IFERROR((SUMPRODUCT((TRIM(tblDados[Mandante])=$A784)*tblDados[Primeira_Ocorrencia]*(tblDados[GM_M]&gt;0)*(tblDados[GS_M]&gt;0))+SUMPRODUCT((TRIM(tblDados[Visitante])=$A784)*tblDados[Primeira_Ocorrencia]*(tblDados[GM_V]&gt;0)*(tblDados[GS_V]&gt;0)))/G784,0))</f>
        <v/>
      </c>
      <c r="P784" s="14" t="str" cm="1">
        <f t="array" ref="P784">IF($A784="","",IFERROR((SUMPRODUCT((TRIM(tblDados[Mandante])=$A784)*tblDados[Primeira_Ocorrencia]*tblDados[GM_M]^2)+SUMPRODUCT((TRIM(tblDados[Visitante])=$A784)*tblDados[Primeira_Ocorrencia]*tblDados[GM_V]^2))/G784-H784^2,0))</f>
        <v/>
      </c>
      <c r="Q784" s="14" t="str">
        <f t="shared" si="213"/>
        <v/>
      </c>
      <c r="R784" s="1" t="str">
        <f t="shared" si="214"/>
        <v/>
      </c>
      <c r="S784" s="14" t="str" cm="1">
        <f t="array" ref="S784">IF($A784="","",SUMPRODUCT((TRIM(tblDados[Mandante])=$A784)*tblDados[Primeira_Ocorrencia]*tblDados[GM_M]))</f>
        <v/>
      </c>
      <c r="T784" s="14" t="str" cm="1">
        <f t="array" ref="T784">IF($A784="","",SUMPRODUCT((TRIM(tblDados[Visitante])=$A784)*tblDados[Primeira_Ocorrencia]*tblDados[GM_V]))</f>
        <v/>
      </c>
      <c r="U784" s="14" t="str">
        <f t="shared" si="215"/>
        <v/>
      </c>
      <c r="V784" s="14" t="str">
        <f t="shared" si="204"/>
        <v/>
      </c>
      <c r="W784" s="14" t="str" cm="1">
        <f t="array" ref="W784">IF($A784="","",SUMPRODUCT((TRIM(tblDados[Mandante])=$A784)*tblDados[Primeira_Ocorrencia]*tblDados[GS_M]))</f>
        <v/>
      </c>
      <c r="X784" s="14" t="str" cm="1">
        <f t="array" ref="X784">IF($A784="","",SUMPRODUCT((TRIM(tblDados[Visitante])=$A784)*tblDados[Primeira_Ocorrencia]*tblDados[GS_V]))</f>
        <v/>
      </c>
      <c r="Y784" s="14" t="str">
        <f t="shared" si="216"/>
        <v/>
      </c>
      <c r="Z784" s="14" t="str">
        <f t="shared" si="205"/>
        <v/>
      </c>
      <c r="AA784" s="14" t="str">
        <f t="shared" si="206"/>
        <v/>
      </c>
      <c r="AB784" s="14" t="str">
        <f t="shared" si="207"/>
        <v/>
      </c>
      <c r="AC784" s="14" t="str">
        <f t="shared" si="208"/>
        <v/>
      </c>
      <c r="AD784" s="14" t="str">
        <f t="shared" si="209"/>
        <v/>
      </c>
    </row>
    <row r="785" spans="2:30" x14ac:dyDescent="0.3">
      <c r="B785" s="13" t="str" cm="1">
        <f t="array" ref="B785">IF($A785="","",_xlfn.LET(_xlpm.p,IFERROR(INDEX(tblDados[País],MATCH($A785,TRIM(tblDados[Mandante]),0)),INDEX(tblDados[País],MATCH($A785,TRIM(tblDados[Visitante]),0))),_xlpm.l,IFERROR(INDEX(tblDados[Liga],MATCH($A785,TRIM(tblDados[Mandante]),0)),INDEX(tblDados[Liga],MATCH($A785,TRIM(tblDados[Visitante]),0))),_xlpm.p&amp;" - "&amp;_xlpm.l))</f>
        <v/>
      </c>
      <c r="C785" s="14" t="str">
        <f t="shared" si="210"/>
        <v/>
      </c>
      <c r="D785" s="14" t="str">
        <f t="shared" si="211"/>
        <v/>
      </c>
      <c r="E785" s="15" t="str" cm="1">
        <f t="array" ref="E785">IF($A785="","",SUMPRODUCT((TRIM(tblDados[Mandante])=$A785)*tblDados[Primeira_Ocorrencia]))</f>
        <v/>
      </c>
      <c r="F785" s="15" t="str" cm="1">
        <f t="array" ref="F785">IF($A785="","",SUMPRODUCT((TRIM(tblDados[Visitante])=$A785)*tblDados[Primeira_Ocorrencia]))</f>
        <v/>
      </c>
      <c r="G785" s="15" t="str" cm="1">
        <f t="array" ref="G785">IF($A785="","",SUMPRODUCT((TRIM(tblDados[Mandante])=$A785)*tblDados[Primeira_Ocorrencia])+SUMPRODUCT((TRIM(tblDados[Visitante])=$A785)*tblDados[Primeira_Ocorrencia]))</f>
        <v/>
      </c>
      <c r="H785" s="14" t="str">
        <f t="shared" si="212"/>
        <v/>
      </c>
      <c r="I785" s="14" t="str" cm="1">
        <f t="array" ref="I785">IF($A785="","",_xlfn.LET(_xlpm.p,IFERROR(INDEX(tblDados[País],MATCH($A785,TRIM(tblDados[Mandante]),0)),INDEX(tblDados[País],MATCH($A785,TRIM(tblDados[Visitante]),0))),_xlpm.l,IFERROR(INDEX(tblDados[Liga],MATCH($A785,TRIM(tblDados[Mandante]),0)),INDEX(tblDados[Liga],MATCH($A785,TRIM(tblDados[Visitante]),0))),IFERROR(SUMIFS(Ligas!$D$2:$D$39,Ligas!$H$2:$H$39,_xlpm.p,Ligas!$I$2:$I$39,_xlpm.l),0)))</f>
        <v/>
      </c>
      <c r="J785" s="16" t="str" cm="1">
        <f t="array" ref="J785">IF($A785="","",IFERROR((SUMPRODUCT((TRIM(tblDados[Mandante])=$A785)*tblDados[Primeira_Ocorrencia]*(tblDados[GM_M]=0))+SUMPRODUCT((TRIM(tblDados[Visitante])=$A785)*tblDados[Primeira_Ocorrencia]*(tblDados[GM_V]=0)))/G785,0))</f>
        <v/>
      </c>
      <c r="K785" s="16" t="str" cm="1">
        <f t="array" ref="K785">IF($A785="","",IFERROR((SUMPRODUCT((TRIM(tblDados[Mandante])=$A785)*tblDados[Primeira_Ocorrencia]*((tblDados[GM_M]+tblDados[GS_M])&gt;0.5))+SUMPRODUCT((TRIM(tblDados[Visitante])=$A785)*tblDados[Primeira_Ocorrencia]*((tblDados[GM_V]+tblDados[GS_V])&gt;0.5)))/G785,0))</f>
        <v/>
      </c>
      <c r="L785" s="16" t="str" cm="1">
        <f t="array" ref="L785">IF($A785="","",IFERROR((SUMPRODUCT((TRIM(tblDados[Mandante])=$A785)*tblDados[Primeira_Ocorrencia]*((tblDados[GM_M]+tblDados[GS_M])&gt;1.5))+SUMPRODUCT((TRIM(tblDados[Visitante])=$A785)*tblDados[Primeira_Ocorrencia]*((tblDados[GM_V]+tblDados[GS_V])&gt;1.5)))/G785,0))</f>
        <v/>
      </c>
      <c r="M785" s="16" t="str" cm="1">
        <f t="array" ref="M785">IF($A785="","",IFERROR((SUMPRODUCT((TRIM(tblDados[Mandante])=$A785)*tblDados[Primeira_Ocorrencia]*((tblDados[GM_M]+tblDados[GS_M])&gt;2.5))+SUMPRODUCT((TRIM(tblDados[Visitante])=$A785)*tblDados[Primeira_Ocorrencia]*((tblDados[GM_V]+tblDados[GS_V])&gt;2.5)))/G785,0))</f>
        <v/>
      </c>
      <c r="N785" s="16" t="str" cm="1">
        <f t="array" ref="N785">IF($A785="","",IFERROR((SUMPRODUCT((TRIM(tblDados[Mandante])=$A785)*tblDados[Primeira_Ocorrencia]*((tblDados[GM_M]+tblDados[GS_M])&gt;3.5))+SUMPRODUCT((TRIM(tblDados[Visitante])=$A785)*tblDados[Primeira_Ocorrencia]*((tblDados[GM_V]+tblDados[GS_V])&gt;3.5)))/G785,0))</f>
        <v/>
      </c>
      <c r="O785" s="16" t="str" cm="1">
        <f t="array" ref="O785">IF($A785="","",IFERROR((SUMPRODUCT((TRIM(tblDados[Mandante])=$A785)*tblDados[Primeira_Ocorrencia]*(tblDados[GM_M]&gt;0)*(tblDados[GS_M]&gt;0))+SUMPRODUCT((TRIM(tblDados[Visitante])=$A785)*tblDados[Primeira_Ocorrencia]*(tblDados[GM_V]&gt;0)*(tblDados[GS_V]&gt;0)))/G785,0))</f>
        <v/>
      </c>
      <c r="P785" s="14" t="str" cm="1">
        <f t="array" ref="P785">IF($A785="","",IFERROR((SUMPRODUCT((TRIM(tblDados[Mandante])=$A785)*tblDados[Primeira_Ocorrencia]*tblDados[GM_M]^2)+SUMPRODUCT((TRIM(tblDados[Visitante])=$A785)*tblDados[Primeira_Ocorrencia]*tblDados[GM_V]^2))/G785-H785^2,0))</f>
        <v/>
      </c>
      <c r="Q785" s="14" t="str">
        <f t="shared" si="213"/>
        <v/>
      </c>
      <c r="R785" s="1" t="str">
        <f t="shared" si="214"/>
        <v/>
      </c>
      <c r="S785" s="14" t="str" cm="1">
        <f t="array" ref="S785">IF($A785="","",SUMPRODUCT((TRIM(tblDados[Mandante])=$A785)*tblDados[Primeira_Ocorrencia]*tblDados[GM_M]))</f>
        <v/>
      </c>
      <c r="T785" s="14" t="str" cm="1">
        <f t="array" ref="T785">IF($A785="","",SUMPRODUCT((TRIM(tblDados[Visitante])=$A785)*tblDados[Primeira_Ocorrencia]*tblDados[GM_V]))</f>
        <v/>
      </c>
      <c r="U785" s="14" t="str">
        <f t="shared" si="215"/>
        <v/>
      </c>
      <c r="V785" s="14" t="str">
        <f t="shared" si="204"/>
        <v/>
      </c>
      <c r="W785" s="14" t="str" cm="1">
        <f t="array" ref="W785">IF($A785="","",SUMPRODUCT((TRIM(tblDados[Mandante])=$A785)*tblDados[Primeira_Ocorrencia]*tblDados[GS_M]))</f>
        <v/>
      </c>
      <c r="X785" s="14" t="str" cm="1">
        <f t="array" ref="X785">IF($A785="","",SUMPRODUCT((TRIM(tblDados[Visitante])=$A785)*tblDados[Primeira_Ocorrencia]*tblDados[GS_V]))</f>
        <v/>
      </c>
      <c r="Y785" s="14" t="str">
        <f t="shared" si="216"/>
        <v/>
      </c>
      <c r="Z785" s="14" t="str">
        <f t="shared" si="205"/>
        <v/>
      </c>
      <c r="AA785" s="14" t="str">
        <f t="shared" si="206"/>
        <v/>
      </c>
      <c r="AB785" s="14" t="str">
        <f t="shared" si="207"/>
        <v/>
      </c>
      <c r="AC785" s="14" t="str">
        <f t="shared" si="208"/>
        <v/>
      </c>
      <c r="AD785" s="14" t="str">
        <f t="shared" si="209"/>
        <v/>
      </c>
    </row>
    <row r="786" spans="2:30" x14ac:dyDescent="0.3">
      <c r="B786" s="13" t="str" cm="1">
        <f t="array" ref="B786">IF($A786="","",_xlfn.LET(_xlpm.p,IFERROR(INDEX(tblDados[País],MATCH($A786,TRIM(tblDados[Mandante]),0)),INDEX(tblDados[País],MATCH($A786,TRIM(tblDados[Visitante]),0))),_xlpm.l,IFERROR(INDEX(tblDados[Liga],MATCH($A786,TRIM(tblDados[Mandante]),0)),INDEX(tblDados[Liga],MATCH($A786,TRIM(tblDados[Visitante]),0))),_xlpm.p&amp;" - "&amp;_xlpm.l))</f>
        <v/>
      </c>
      <c r="C786" s="14" t="str">
        <f t="shared" si="210"/>
        <v/>
      </c>
      <c r="D786" s="14" t="str">
        <f t="shared" si="211"/>
        <v/>
      </c>
      <c r="E786" s="15" t="str" cm="1">
        <f t="array" ref="E786">IF($A786="","",SUMPRODUCT((TRIM(tblDados[Mandante])=$A786)*tblDados[Primeira_Ocorrencia]))</f>
        <v/>
      </c>
      <c r="F786" s="15" t="str" cm="1">
        <f t="array" ref="F786">IF($A786="","",SUMPRODUCT((TRIM(tblDados[Visitante])=$A786)*tblDados[Primeira_Ocorrencia]))</f>
        <v/>
      </c>
      <c r="G786" s="15" t="str" cm="1">
        <f t="array" ref="G786">IF($A786="","",SUMPRODUCT((TRIM(tblDados[Mandante])=$A786)*tblDados[Primeira_Ocorrencia])+SUMPRODUCT((TRIM(tblDados[Visitante])=$A786)*tblDados[Primeira_Ocorrencia]))</f>
        <v/>
      </c>
      <c r="H786" s="14" t="str">
        <f t="shared" si="212"/>
        <v/>
      </c>
      <c r="I786" s="14" t="str" cm="1">
        <f t="array" ref="I786">IF($A786="","",_xlfn.LET(_xlpm.p,IFERROR(INDEX(tblDados[País],MATCH($A786,TRIM(tblDados[Mandante]),0)),INDEX(tblDados[País],MATCH($A786,TRIM(tblDados[Visitante]),0))),_xlpm.l,IFERROR(INDEX(tblDados[Liga],MATCH($A786,TRIM(tblDados[Mandante]),0)),INDEX(tblDados[Liga],MATCH($A786,TRIM(tblDados[Visitante]),0))),IFERROR(SUMIFS(Ligas!$D$2:$D$39,Ligas!$H$2:$H$39,_xlpm.p,Ligas!$I$2:$I$39,_xlpm.l),0)))</f>
        <v/>
      </c>
      <c r="J786" s="16" t="str" cm="1">
        <f t="array" ref="J786">IF($A786="","",IFERROR((SUMPRODUCT((TRIM(tblDados[Mandante])=$A786)*tblDados[Primeira_Ocorrencia]*(tblDados[GM_M]=0))+SUMPRODUCT((TRIM(tblDados[Visitante])=$A786)*tblDados[Primeira_Ocorrencia]*(tblDados[GM_V]=0)))/G786,0))</f>
        <v/>
      </c>
      <c r="K786" s="16" t="str" cm="1">
        <f t="array" ref="K786">IF($A786="","",IFERROR((SUMPRODUCT((TRIM(tblDados[Mandante])=$A786)*tblDados[Primeira_Ocorrencia]*((tblDados[GM_M]+tblDados[GS_M])&gt;0.5))+SUMPRODUCT((TRIM(tblDados[Visitante])=$A786)*tblDados[Primeira_Ocorrencia]*((tblDados[GM_V]+tblDados[GS_V])&gt;0.5)))/G786,0))</f>
        <v/>
      </c>
      <c r="L786" s="16" t="str" cm="1">
        <f t="array" ref="L786">IF($A786="","",IFERROR((SUMPRODUCT((TRIM(tblDados[Mandante])=$A786)*tblDados[Primeira_Ocorrencia]*((tblDados[GM_M]+tblDados[GS_M])&gt;1.5))+SUMPRODUCT((TRIM(tblDados[Visitante])=$A786)*tblDados[Primeira_Ocorrencia]*((tblDados[GM_V]+tblDados[GS_V])&gt;1.5)))/G786,0))</f>
        <v/>
      </c>
      <c r="M786" s="16" t="str" cm="1">
        <f t="array" ref="M786">IF($A786="","",IFERROR((SUMPRODUCT((TRIM(tblDados[Mandante])=$A786)*tblDados[Primeira_Ocorrencia]*((tblDados[GM_M]+tblDados[GS_M])&gt;2.5))+SUMPRODUCT((TRIM(tblDados[Visitante])=$A786)*tblDados[Primeira_Ocorrencia]*((tblDados[GM_V]+tblDados[GS_V])&gt;2.5)))/G786,0))</f>
        <v/>
      </c>
      <c r="N786" s="16" t="str" cm="1">
        <f t="array" ref="N786">IF($A786="","",IFERROR((SUMPRODUCT((TRIM(tblDados[Mandante])=$A786)*tblDados[Primeira_Ocorrencia]*((tblDados[GM_M]+tblDados[GS_M])&gt;3.5))+SUMPRODUCT((TRIM(tblDados[Visitante])=$A786)*tblDados[Primeira_Ocorrencia]*((tblDados[GM_V]+tblDados[GS_V])&gt;3.5)))/G786,0))</f>
        <v/>
      </c>
      <c r="O786" s="16" t="str" cm="1">
        <f t="array" ref="O786">IF($A786="","",IFERROR((SUMPRODUCT((TRIM(tblDados[Mandante])=$A786)*tblDados[Primeira_Ocorrencia]*(tblDados[GM_M]&gt;0)*(tblDados[GS_M]&gt;0))+SUMPRODUCT((TRIM(tblDados[Visitante])=$A786)*tblDados[Primeira_Ocorrencia]*(tblDados[GM_V]&gt;0)*(tblDados[GS_V]&gt;0)))/G786,0))</f>
        <v/>
      </c>
      <c r="P786" s="14" t="str" cm="1">
        <f t="array" ref="P786">IF($A786="","",IFERROR((SUMPRODUCT((TRIM(tblDados[Mandante])=$A786)*tblDados[Primeira_Ocorrencia]*tblDados[GM_M]^2)+SUMPRODUCT((TRIM(tblDados[Visitante])=$A786)*tblDados[Primeira_Ocorrencia]*tblDados[GM_V]^2))/G786-H786^2,0))</f>
        <v/>
      </c>
      <c r="Q786" s="14" t="str">
        <f t="shared" si="213"/>
        <v/>
      </c>
      <c r="R786" s="1" t="str">
        <f t="shared" si="214"/>
        <v/>
      </c>
      <c r="S786" s="14" t="str" cm="1">
        <f t="array" ref="S786">IF($A786="","",SUMPRODUCT((TRIM(tblDados[Mandante])=$A786)*tblDados[Primeira_Ocorrencia]*tblDados[GM_M]))</f>
        <v/>
      </c>
      <c r="T786" s="14" t="str" cm="1">
        <f t="array" ref="T786">IF($A786="","",SUMPRODUCT((TRIM(tblDados[Visitante])=$A786)*tblDados[Primeira_Ocorrencia]*tblDados[GM_V]))</f>
        <v/>
      </c>
      <c r="U786" s="14" t="str">
        <f t="shared" si="215"/>
        <v/>
      </c>
      <c r="V786" s="14" t="str">
        <f t="shared" si="204"/>
        <v/>
      </c>
      <c r="W786" s="14" t="str" cm="1">
        <f t="array" ref="W786">IF($A786="","",SUMPRODUCT((TRIM(tblDados[Mandante])=$A786)*tblDados[Primeira_Ocorrencia]*tblDados[GS_M]))</f>
        <v/>
      </c>
      <c r="X786" s="14" t="str" cm="1">
        <f t="array" ref="X786">IF($A786="","",SUMPRODUCT((TRIM(tblDados[Visitante])=$A786)*tblDados[Primeira_Ocorrencia]*tblDados[GS_V]))</f>
        <v/>
      </c>
      <c r="Y786" s="14" t="str">
        <f t="shared" si="216"/>
        <v/>
      </c>
      <c r="Z786" s="14" t="str">
        <f t="shared" si="205"/>
        <v/>
      </c>
      <c r="AA786" s="14" t="str">
        <f t="shared" si="206"/>
        <v/>
      </c>
      <c r="AB786" s="14" t="str">
        <f t="shared" si="207"/>
        <v/>
      </c>
      <c r="AC786" s="14" t="str">
        <f t="shared" si="208"/>
        <v/>
      </c>
      <c r="AD786" s="14" t="str">
        <f t="shared" si="209"/>
        <v/>
      </c>
    </row>
    <row r="787" spans="2:30" x14ac:dyDescent="0.3">
      <c r="B787" s="13" t="str" cm="1">
        <f t="array" ref="B787">IF($A787="","",_xlfn.LET(_xlpm.p,IFERROR(INDEX(tblDados[País],MATCH($A787,TRIM(tblDados[Mandante]),0)),INDEX(tblDados[País],MATCH($A787,TRIM(tblDados[Visitante]),0))),_xlpm.l,IFERROR(INDEX(tblDados[Liga],MATCH($A787,TRIM(tblDados[Mandante]),0)),INDEX(tblDados[Liga],MATCH($A787,TRIM(tblDados[Visitante]),0))),_xlpm.p&amp;" - "&amp;_xlpm.l))</f>
        <v/>
      </c>
      <c r="C787" s="14" t="str">
        <f t="shared" si="210"/>
        <v/>
      </c>
      <c r="D787" s="14" t="str">
        <f t="shared" si="211"/>
        <v/>
      </c>
      <c r="E787" s="15" t="str" cm="1">
        <f t="array" ref="E787">IF($A787="","",SUMPRODUCT((TRIM(tblDados[Mandante])=$A787)*tblDados[Primeira_Ocorrencia]))</f>
        <v/>
      </c>
      <c r="F787" s="15" t="str" cm="1">
        <f t="array" ref="F787">IF($A787="","",SUMPRODUCT((TRIM(tblDados[Visitante])=$A787)*tblDados[Primeira_Ocorrencia]))</f>
        <v/>
      </c>
      <c r="G787" s="15" t="str" cm="1">
        <f t="array" ref="G787">IF($A787="","",SUMPRODUCT((TRIM(tblDados[Mandante])=$A787)*tblDados[Primeira_Ocorrencia])+SUMPRODUCT((TRIM(tblDados[Visitante])=$A787)*tblDados[Primeira_Ocorrencia]))</f>
        <v/>
      </c>
      <c r="H787" s="14" t="str">
        <f t="shared" si="212"/>
        <v/>
      </c>
      <c r="I787" s="14" t="str" cm="1">
        <f t="array" ref="I787">IF($A787="","",_xlfn.LET(_xlpm.p,IFERROR(INDEX(tblDados[País],MATCH($A787,TRIM(tblDados[Mandante]),0)),INDEX(tblDados[País],MATCH($A787,TRIM(tblDados[Visitante]),0))),_xlpm.l,IFERROR(INDEX(tblDados[Liga],MATCH($A787,TRIM(tblDados[Mandante]),0)),INDEX(tblDados[Liga],MATCH($A787,TRIM(tblDados[Visitante]),0))),IFERROR(SUMIFS(Ligas!$D$2:$D$39,Ligas!$H$2:$H$39,_xlpm.p,Ligas!$I$2:$I$39,_xlpm.l),0)))</f>
        <v/>
      </c>
      <c r="J787" s="16" t="str" cm="1">
        <f t="array" ref="J787">IF($A787="","",IFERROR((SUMPRODUCT((TRIM(tblDados[Mandante])=$A787)*tblDados[Primeira_Ocorrencia]*(tblDados[GM_M]=0))+SUMPRODUCT((TRIM(tblDados[Visitante])=$A787)*tblDados[Primeira_Ocorrencia]*(tblDados[GM_V]=0)))/G787,0))</f>
        <v/>
      </c>
      <c r="K787" s="16" t="str" cm="1">
        <f t="array" ref="K787">IF($A787="","",IFERROR((SUMPRODUCT((TRIM(tblDados[Mandante])=$A787)*tblDados[Primeira_Ocorrencia]*((tblDados[GM_M]+tblDados[GS_M])&gt;0.5))+SUMPRODUCT((TRIM(tblDados[Visitante])=$A787)*tblDados[Primeira_Ocorrencia]*((tblDados[GM_V]+tblDados[GS_V])&gt;0.5)))/G787,0))</f>
        <v/>
      </c>
      <c r="L787" s="16" t="str" cm="1">
        <f t="array" ref="L787">IF($A787="","",IFERROR((SUMPRODUCT((TRIM(tblDados[Mandante])=$A787)*tblDados[Primeira_Ocorrencia]*((tblDados[GM_M]+tblDados[GS_M])&gt;1.5))+SUMPRODUCT((TRIM(tblDados[Visitante])=$A787)*tblDados[Primeira_Ocorrencia]*((tblDados[GM_V]+tblDados[GS_V])&gt;1.5)))/G787,0))</f>
        <v/>
      </c>
      <c r="M787" s="16" t="str" cm="1">
        <f t="array" ref="M787">IF($A787="","",IFERROR((SUMPRODUCT((TRIM(tblDados[Mandante])=$A787)*tblDados[Primeira_Ocorrencia]*((tblDados[GM_M]+tblDados[GS_M])&gt;2.5))+SUMPRODUCT((TRIM(tblDados[Visitante])=$A787)*tblDados[Primeira_Ocorrencia]*((tblDados[GM_V]+tblDados[GS_V])&gt;2.5)))/G787,0))</f>
        <v/>
      </c>
      <c r="N787" s="16" t="str" cm="1">
        <f t="array" ref="N787">IF($A787="","",IFERROR((SUMPRODUCT((TRIM(tblDados[Mandante])=$A787)*tblDados[Primeira_Ocorrencia]*((tblDados[GM_M]+tblDados[GS_M])&gt;3.5))+SUMPRODUCT((TRIM(tblDados[Visitante])=$A787)*tblDados[Primeira_Ocorrencia]*((tblDados[GM_V]+tblDados[GS_V])&gt;3.5)))/G787,0))</f>
        <v/>
      </c>
      <c r="O787" s="16" t="str" cm="1">
        <f t="array" ref="O787">IF($A787="","",IFERROR((SUMPRODUCT((TRIM(tblDados[Mandante])=$A787)*tblDados[Primeira_Ocorrencia]*(tblDados[GM_M]&gt;0)*(tblDados[GS_M]&gt;0))+SUMPRODUCT((TRIM(tblDados[Visitante])=$A787)*tblDados[Primeira_Ocorrencia]*(tblDados[GM_V]&gt;0)*(tblDados[GS_V]&gt;0)))/G787,0))</f>
        <v/>
      </c>
      <c r="P787" s="14" t="str" cm="1">
        <f t="array" ref="P787">IF($A787="","",IFERROR((SUMPRODUCT((TRIM(tblDados[Mandante])=$A787)*tblDados[Primeira_Ocorrencia]*tblDados[GM_M]^2)+SUMPRODUCT((TRIM(tblDados[Visitante])=$A787)*tblDados[Primeira_Ocorrencia]*tblDados[GM_V]^2))/G787-H787^2,0))</f>
        <v/>
      </c>
      <c r="Q787" s="14" t="str">
        <f t="shared" si="213"/>
        <v/>
      </c>
      <c r="R787" s="1" t="str">
        <f t="shared" si="214"/>
        <v/>
      </c>
      <c r="S787" s="14" t="str" cm="1">
        <f t="array" ref="S787">IF($A787="","",SUMPRODUCT((TRIM(tblDados[Mandante])=$A787)*tblDados[Primeira_Ocorrencia]*tblDados[GM_M]))</f>
        <v/>
      </c>
      <c r="T787" s="14" t="str" cm="1">
        <f t="array" ref="T787">IF($A787="","",SUMPRODUCT((TRIM(tblDados[Visitante])=$A787)*tblDados[Primeira_Ocorrencia]*tblDados[GM_V]))</f>
        <v/>
      </c>
      <c r="U787" s="14" t="str">
        <f t="shared" si="215"/>
        <v/>
      </c>
      <c r="V787" s="14" t="str">
        <f t="shared" si="204"/>
        <v/>
      </c>
      <c r="W787" s="14" t="str" cm="1">
        <f t="array" ref="W787">IF($A787="","",SUMPRODUCT((TRIM(tblDados[Mandante])=$A787)*tblDados[Primeira_Ocorrencia]*tblDados[GS_M]))</f>
        <v/>
      </c>
      <c r="X787" s="14" t="str" cm="1">
        <f t="array" ref="X787">IF($A787="","",SUMPRODUCT((TRIM(tblDados[Visitante])=$A787)*tblDados[Primeira_Ocorrencia]*tblDados[GS_V]))</f>
        <v/>
      </c>
      <c r="Y787" s="14" t="str">
        <f t="shared" si="216"/>
        <v/>
      </c>
      <c r="Z787" s="14" t="str">
        <f t="shared" si="205"/>
        <v/>
      </c>
      <c r="AA787" s="14" t="str">
        <f t="shared" si="206"/>
        <v/>
      </c>
      <c r="AB787" s="14" t="str">
        <f t="shared" si="207"/>
        <v/>
      </c>
      <c r="AC787" s="14" t="str">
        <f t="shared" si="208"/>
        <v/>
      </c>
      <c r="AD787" s="14" t="str">
        <f t="shared" si="209"/>
        <v/>
      </c>
    </row>
    <row r="788" spans="2:30" x14ac:dyDescent="0.3">
      <c r="B788" s="13" t="str" cm="1">
        <f t="array" ref="B788">IF($A788="","",_xlfn.LET(_xlpm.p,IFERROR(INDEX(tblDados[País],MATCH($A788,TRIM(tblDados[Mandante]),0)),INDEX(tblDados[País],MATCH($A788,TRIM(tblDados[Visitante]),0))),_xlpm.l,IFERROR(INDEX(tblDados[Liga],MATCH($A788,TRIM(tblDados[Mandante]),0)),INDEX(tblDados[Liga],MATCH($A788,TRIM(tblDados[Visitante]),0))),_xlpm.p&amp;" - "&amp;_xlpm.l))</f>
        <v/>
      </c>
      <c r="C788" s="14" t="str">
        <f t="shared" si="210"/>
        <v/>
      </c>
      <c r="D788" s="14" t="str">
        <f t="shared" si="211"/>
        <v/>
      </c>
      <c r="E788" s="15" t="str" cm="1">
        <f t="array" ref="E788">IF($A788="","",SUMPRODUCT((TRIM(tblDados[Mandante])=$A788)*tblDados[Primeira_Ocorrencia]))</f>
        <v/>
      </c>
      <c r="F788" s="15" t="str" cm="1">
        <f t="array" ref="F788">IF($A788="","",SUMPRODUCT((TRIM(tblDados[Visitante])=$A788)*tblDados[Primeira_Ocorrencia]))</f>
        <v/>
      </c>
      <c r="G788" s="15" t="str" cm="1">
        <f t="array" ref="G788">IF($A788="","",SUMPRODUCT((TRIM(tblDados[Mandante])=$A788)*tblDados[Primeira_Ocorrencia])+SUMPRODUCT((TRIM(tblDados[Visitante])=$A788)*tblDados[Primeira_Ocorrencia]))</f>
        <v/>
      </c>
      <c r="H788" s="14" t="str">
        <f t="shared" si="212"/>
        <v/>
      </c>
      <c r="I788" s="14" t="str" cm="1">
        <f t="array" ref="I788">IF($A788="","",_xlfn.LET(_xlpm.p,IFERROR(INDEX(tblDados[País],MATCH($A788,TRIM(tblDados[Mandante]),0)),INDEX(tblDados[País],MATCH($A788,TRIM(tblDados[Visitante]),0))),_xlpm.l,IFERROR(INDEX(tblDados[Liga],MATCH($A788,TRIM(tblDados[Mandante]),0)),INDEX(tblDados[Liga],MATCH($A788,TRIM(tblDados[Visitante]),0))),IFERROR(SUMIFS(Ligas!$D$2:$D$39,Ligas!$H$2:$H$39,_xlpm.p,Ligas!$I$2:$I$39,_xlpm.l),0)))</f>
        <v/>
      </c>
      <c r="J788" s="16" t="str" cm="1">
        <f t="array" ref="J788">IF($A788="","",IFERROR((SUMPRODUCT((TRIM(tblDados[Mandante])=$A788)*tblDados[Primeira_Ocorrencia]*(tblDados[GM_M]=0))+SUMPRODUCT((TRIM(tblDados[Visitante])=$A788)*tblDados[Primeira_Ocorrencia]*(tblDados[GM_V]=0)))/G788,0))</f>
        <v/>
      </c>
      <c r="K788" s="16" t="str" cm="1">
        <f t="array" ref="K788">IF($A788="","",IFERROR((SUMPRODUCT((TRIM(tblDados[Mandante])=$A788)*tblDados[Primeira_Ocorrencia]*((tblDados[GM_M]+tblDados[GS_M])&gt;0.5))+SUMPRODUCT((TRIM(tblDados[Visitante])=$A788)*tblDados[Primeira_Ocorrencia]*((tblDados[GM_V]+tblDados[GS_V])&gt;0.5)))/G788,0))</f>
        <v/>
      </c>
      <c r="L788" s="16" t="str" cm="1">
        <f t="array" ref="L788">IF($A788="","",IFERROR((SUMPRODUCT((TRIM(tblDados[Mandante])=$A788)*tblDados[Primeira_Ocorrencia]*((tblDados[GM_M]+tblDados[GS_M])&gt;1.5))+SUMPRODUCT((TRIM(tblDados[Visitante])=$A788)*tblDados[Primeira_Ocorrencia]*((tblDados[GM_V]+tblDados[GS_V])&gt;1.5)))/G788,0))</f>
        <v/>
      </c>
      <c r="M788" s="16" t="str" cm="1">
        <f t="array" ref="M788">IF($A788="","",IFERROR((SUMPRODUCT((TRIM(tblDados[Mandante])=$A788)*tblDados[Primeira_Ocorrencia]*((tblDados[GM_M]+tblDados[GS_M])&gt;2.5))+SUMPRODUCT((TRIM(tblDados[Visitante])=$A788)*tblDados[Primeira_Ocorrencia]*((tblDados[GM_V]+tblDados[GS_V])&gt;2.5)))/G788,0))</f>
        <v/>
      </c>
      <c r="N788" s="16" t="str" cm="1">
        <f t="array" ref="N788">IF($A788="","",IFERROR((SUMPRODUCT((TRIM(tblDados[Mandante])=$A788)*tblDados[Primeira_Ocorrencia]*((tblDados[GM_M]+tblDados[GS_M])&gt;3.5))+SUMPRODUCT((TRIM(tblDados[Visitante])=$A788)*tblDados[Primeira_Ocorrencia]*((tblDados[GM_V]+tblDados[GS_V])&gt;3.5)))/G788,0))</f>
        <v/>
      </c>
      <c r="O788" s="16" t="str" cm="1">
        <f t="array" ref="O788">IF($A788="","",IFERROR((SUMPRODUCT((TRIM(tblDados[Mandante])=$A788)*tblDados[Primeira_Ocorrencia]*(tblDados[GM_M]&gt;0)*(tblDados[GS_M]&gt;0))+SUMPRODUCT((TRIM(tblDados[Visitante])=$A788)*tblDados[Primeira_Ocorrencia]*(tblDados[GM_V]&gt;0)*(tblDados[GS_V]&gt;0)))/G788,0))</f>
        <v/>
      </c>
      <c r="P788" s="14" t="str" cm="1">
        <f t="array" ref="P788">IF($A788="","",IFERROR((SUMPRODUCT((TRIM(tblDados[Mandante])=$A788)*tblDados[Primeira_Ocorrencia]*tblDados[GM_M]^2)+SUMPRODUCT((TRIM(tblDados[Visitante])=$A788)*tblDados[Primeira_Ocorrencia]*tblDados[GM_V]^2))/G788-H788^2,0))</f>
        <v/>
      </c>
      <c r="Q788" s="14" t="str">
        <f t="shared" si="213"/>
        <v/>
      </c>
      <c r="R788" s="1" t="str">
        <f t="shared" si="214"/>
        <v/>
      </c>
      <c r="S788" s="14" t="str" cm="1">
        <f t="array" ref="S788">IF($A788="","",SUMPRODUCT((TRIM(tblDados[Mandante])=$A788)*tblDados[Primeira_Ocorrencia]*tblDados[GM_M]))</f>
        <v/>
      </c>
      <c r="T788" s="14" t="str" cm="1">
        <f t="array" ref="T788">IF($A788="","",SUMPRODUCT((TRIM(tblDados[Visitante])=$A788)*tblDados[Primeira_Ocorrencia]*tblDados[GM_V]))</f>
        <v/>
      </c>
      <c r="U788" s="14" t="str">
        <f t="shared" si="215"/>
        <v/>
      </c>
      <c r="V788" s="14" t="str">
        <f t="shared" si="204"/>
        <v/>
      </c>
      <c r="W788" s="14" t="str" cm="1">
        <f t="array" ref="W788">IF($A788="","",SUMPRODUCT((TRIM(tblDados[Mandante])=$A788)*tblDados[Primeira_Ocorrencia]*tblDados[GS_M]))</f>
        <v/>
      </c>
      <c r="X788" s="14" t="str" cm="1">
        <f t="array" ref="X788">IF($A788="","",SUMPRODUCT((TRIM(tblDados[Visitante])=$A788)*tblDados[Primeira_Ocorrencia]*tblDados[GS_V]))</f>
        <v/>
      </c>
      <c r="Y788" s="14" t="str">
        <f t="shared" si="216"/>
        <v/>
      </c>
      <c r="Z788" s="14" t="str">
        <f t="shared" si="205"/>
        <v/>
      </c>
      <c r="AA788" s="14" t="str">
        <f t="shared" si="206"/>
        <v/>
      </c>
      <c r="AB788" s="14" t="str">
        <f t="shared" si="207"/>
        <v/>
      </c>
      <c r="AC788" s="14" t="str">
        <f t="shared" si="208"/>
        <v/>
      </c>
      <c r="AD788" s="14" t="str">
        <f t="shared" si="209"/>
        <v/>
      </c>
    </row>
    <row r="789" spans="2:30" x14ac:dyDescent="0.3">
      <c r="B789" s="13" t="str" cm="1">
        <f t="array" ref="B789">IF($A789="","",_xlfn.LET(_xlpm.p,IFERROR(INDEX(tblDados[País],MATCH($A789,TRIM(tblDados[Mandante]),0)),INDEX(tblDados[País],MATCH($A789,TRIM(tblDados[Visitante]),0))),_xlpm.l,IFERROR(INDEX(tblDados[Liga],MATCH($A789,TRIM(tblDados[Mandante]),0)),INDEX(tblDados[Liga],MATCH($A789,TRIM(tblDados[Visitante]),0))),_xlpm.p&amp;" - "&amp;_xlpm.l))</f>
        <v/>
      </c>
      <c r="C789" s="14" t="str">
        <f t="shared" si="210"/>
        <v/>
      </c>
      <c r="D789" s="14" t="str">
        <f t="shared" si="211"/>
        <v/>
      </c>
      <c r="E789" s="15" t="str" cm="1">
        <f t="array" ref="E789">IF($A789="","",SUMPRODUCT((TRIM(tblDados[Mandante])=$A789)*tblDados[Primeira_Ocorrencia]))</f>
        <v/>
      </c>
      <c r="F789" s="15" t="str" cm="1">
        <f t="array" ref="F789">IF($A789="","",SUMPRODUCT((TRIM(tblDados[Visitante])=$A789)*tblDados[Primeira_Ocorrencia]))</f>
        <v/>
      </c>
      <c r="G789" s="15" t="str" cm="1">
        <f t="array" ref="G789">IF($A789="","",SUMPRODUCT((TRIM(tblDados[Mandante])=$A789)*tblDados[Primeira_Ocorrencia])+SUMPRODUCT((TRIM(tblDados[Visitante])=$A789)*tblDados[Primeira_Ocorrencia]))</f>
        <v/>
      </c>
      <c r="H789" s="14" t="str">
        <f t="shared" si="212"/>
        <v/>
      </c>
      <c r="I789" s="14" t="str" cm="1">
        <f t="array" ref="I789">IF($A789="","",_xlfn.LET(_xlpm.p,IFERROR(INDEX(tblDados[País],MATCH($A789,TRIM(tblDados[Mandante]),0)),INDEX(tblDados[País],MATCH($A789,TRIM(tblDados[Visitante]),0))),_xlpm.l,IFERROR(INDEX(tblDados[Liga],MATCH($A789,TRIM(tblDados[Mandante]),0)),INDEX(tblDados[Liga],MATCH($A789,TRIM(tblDados[Visitante]),0))),IFERROR(SUMIFS(Ligas!$D$2:$D$39,Ligas!$H$2:$H$39,_xlpm.p,Ligas!$I$2:$I$39,_xlpm.l),0)))</f>
        <v/>
      </c>
      <c r="J789" s="16" t="str" cm="1">
        <f t="array" ref="J789">IF($A789="","",IFERROR((SUMPRODUCT((TRIM(tblDados[Mandante])=$A789)*tblDados[Primeira_Ocorrencia]*(tblDados[GM_M]=0))+SUMPRODUCT((TRIM(tblDados[Visitante])=$A789)*tblDados[Primeira_Ocorrencia]*(tblDados[GM_V]=0)))/G789,0))</f>
        <v/>
      </c>
      <c r="K789" s="16" t="str" cm="1">
        <f t="array" ref="K789">IF($A789="","",IFERROR((SUMPRODUCT((TRIM(tblDados[Mandante])=$A789)*tblDados[Primeira_Ocorrencia]*((tblDados[GM_M]+tblDados[GS_M])&gt;0.5))+SUMPRODUCT((TRIM(tblDados[Visitante])=$A789)*tblDados[Primeira_Ocorrencia]*((tblDados[GM_V]+tblDados[GS_V])&gt;0.5)))/G789,0))</f>
        <v/>
      </c>
      <c r="L789" s="16" t="str" cm="1">
        <f t="array" ref="L789">IF($A789="","",IFERROR((SUMPRODUCT((TRIM(tblDados[Mandante])=$A789)*tblDados[Primeira_Ocorrencia]*((tblDados[GM_M]+tblDados[GS_M])&gt;1.5))+SUMPRODUCT((TRIM(tblDados[Visitante])=$A789)*tblDados[Primeira_Ocorrencia]*((tblDados[GM_V]+tblDados[GS_V])&gt;1.5)))/G789,0))</f>
        <v/>
      </c>
      <c r="M789" s="16" t="str" cm="1">
        <f t="array" ref="M789">IF($A789="","",IFERROR((SUMPRODUCT((TRIM(tblDados[Mandante])=$A789)*tblDados[Primeira_Ocorrencia]*((tblDados[GM_M]+tblDados[GS_M])&gt;2.5))+SUMPRODUCT((TRIM(tblDados[Visitante])=$A789)*tblDados[Primeira_Ocorrencia]*((tblDados[GM_V]+tblDados[GS_V])&gt;2.5)))/G789,0))</f>
        <v/>
      </c>
      <c r="N789" s="16" t="str" cm="1">
        <f t="array" ref="N789">IF($A789="","",IFERROR((SUMPRODUCT((TRIM(tblDados[Mandante])=$A789)*tblDados[Primeira_Ocorrencia]*((tblDados[GM_M]+tblDados[GS_M])&gt;3.5))+SUMPRODUCT((TRIM(tblDados[Visitante])=$A789)*tblDados[Primeira_Ocorrencia]*((tblDados[GM_V]+tblDados[GS_V])&gt;3.5)))/G789,0))</f>
        <v/>
      </c>
      <c r="O789" s="16" t="str" cm="1">
        <f t="array" ref="O789">IF($A789="","",IFERROR((SUMPRODUCT((TRIM(tblDados[Mandante])=$A789)*tblDados[Primeira_Ocorrencia]*(tblDados[GM_M]&gt;0)*(tblDados[GS_M]&gt;0))+SUMPRODUCT((TRIM(tblDados[Visitante])=$A789)*tblDados[Primeira_Ocorrencia]*(tblDados[GM_V]&gt;0)*(tblDados[GS_V]&gt;0)))/G789,0))</f>
        <v/>
      </c>
      <c r="P789" s="14" t="str" cm="1">
        <f t="array" ref="P789">IF($A789="","",IFERROR((SUMPRODUCT((TRIM(tblDados[Mandante])=$A789)*tblDados[Primeira_Ocorrencia]*tblDados[GM_M]^2)+SUMPRODUCT((TRIM(tblDados[Visitante])=$A789)*tblDados[Primeira_Ocorrencia]*tblDados[GM_V]^2))/G789-H789^2,0))</f>
        <v/>
      </c>
      <c r="Q789" s="14" t="str">
        <f t="shared" si="213"/>
        <v/>
      </c>
      <c r="R789" s="1" t="str">
        <f t="shared" si="214"/>
        <v/>
      </c>
      <c r="S789" s="14" t="str" cm="1">
        <f t="array" ref="S789">IF($A789="","",SUMPRODUCT((TRIM(tblDados[Mandante])=$A789)*tblDados[Primeira_Ocorrencia]*tblDados[GM_M]))</f>
        <v/>
      </c>
      <c r="T789" s="14" t="str" cm="1">
        <f t="array" ref="T789">IF($A789="","",SUMPRODUCT((TRIM(tblDados[Visitante])=$A789)*tblDados[Primeira_Ocorrencia]*tblDados[GM_V]))</f>
        <v/>
      </c>
      <c r="U789" s="14" t="str">
        <f t="shared" si="215"/>
        <v/>
      </c>
      <c r="V789" s="14" t="str">
        <f t="shared" si="204"/>
        <v/>
      </c>
      <c r="W789" s="14" t="str" cm="1">
        <f t="array" ref="W789">IF($A789="","",SUMPRODUCT((TRIM(tblDados[Mandante])=$A789)*tblDados[Primeira_Ocorrencia]*tblDados[GS_M]))</f>
        <v/>
      </c>
      <c r="X789" s="14" t="str" cm="1">
        <f t="array" ref="X789">IF($A789="","",SUMPRODUCT((TRIM(tblDados[Visitante])=$A789)*tblDados[Primeira_Ocorrencia]*tblDados[GS_V]))</f>
        <v/>
      </c>
      <c r="Y789" s="14" t="str">
        <f t="shared" si="216"/>
        <v/>
      </c>
      <c r="Z789" s="14" t="str">
        <f t="shared" si="205"/>
        <v/>
      </c>
      <c r="AA789" s="14" t="str">
        <f t="shared" si="206"/>
        <v/>
      </c>
      <c r="AB789" s="14" t="str">
        <f t="shared" si="207"/>
        <v/>
      </c>
      <c r="AC789" s="14" t="str">
        <f t="shared" si="208"/>
        <v/>
      </c>
      <c r="AD789" s="14" t="str">
        <f t="shared" si="209"/>
        <v/>
      </c>
    </row>
    <row r="790" spans="2:30" x14ac:dyDescent="0.3">
      <c r="B790" s="13" t="str" cm="1">
        <f t="array" ref="B790">IF($A790="","",_xlfn.LET(_xlpm.p,IFERROR(INDEX(tblDados[País],MATCH($A790,TRIM(tblDados[Mandante]),0)),INDEX(tblDados[País],MATCH($A790,TRIM(tblDados[Visitante]),0))),_xlpm.l,IFERROR(INDEX(tblDados[Liga],MATCH($A790,TRIM(tblDados[Mandante]),0)),INDEX(tblDados[Liga],MATCH($A790,TRIM(tblDados[Visitante]),0))),_xlpm.p&amp;" - "&amp;_xlpm.l))</f>
        <v/>
      </c>
      <c r="C790" s="14" t="str">
        <f t="shared" si="210"/>
        <v/>
      </c>
      <c r="D790" s="14" t="str">
        <f t="shared" si="211"/>
        <v/>
      </c>
      <c r="E790" s="15" t="str" cm="1">
        <f t="array" ref="E790">IF($A790="","",SUMPRODUCT((TRIM(tblDados[Mandante])=$A790)*tblDados[Primeira_Ocorrencia]))</f>
        <v/>
      </c>
      <c r="F790" s="15" t="str" cm="1">
        <f t="array" ref="F790">IF($A790="","",SUMPRODUCT((TRIM(tblDados[Visitante])=$A790)*tblDados[Primeira_Ocorrencia]))</f>
        <v/>
      </c>
      <c r="G790" s="15" t="str" cm="1">
        <f t="array" ref="G790">IF($A790="","",SUMPRODUCT((TRIM(tblDados[Mandante])=$A790)*tblDados[Primeira_Ocorrencia])+SUMPRODUCT((TRIM(tblDados[Visitante])=$A790)*tblDados[Primeira_Ocorrencia]))</f>
        <v/>
      </c>
      <c r="H790" s="14" t="str">
        <f t="shared" si="212"/>
        <v/>
      </c>
      <c r="I790" s="14" t="str" cm="1">
        <f t="array" ref="I790">IF($A790="","",_xlfn.LET(_xlpm.p,IFERROR(INDEX(tblDados[País],MATCH($A790,TRIM(tblDados[Mandante]),0)),INDEX(tblDados[País],MATCH($A790,TRIM(tblDados[Visitante]),0))),_xlpm.l,IFERROR(INDEX(tblDados[Liga],MATCH($A790,TRIM(tblDados[Mandante]),0)),INDEX(tblDados[Liga],MATCH($A790,TRIM(tblDados[Visitante]),0))),IFERROR(SUMIFS(Ligas!$D$2:$D$39,Ligas!$H$2:$H$39,_xlpm.p,Ligas!$I$2:$I$39,_xlpm.l),0)))</f>
        <v/>
      </c>
      <c r="J790" s="16" t="str" cm="1">
        <f t="array" ref="J790">IF($A790="","",IFERROR((SUMPRODUCT((TRIM(tblDados[Mandante])=$A790)*tblDados[Primeira_Ocorrencia]*(tblDados[GM_M]=0))+SUMPRODUCT((TRIM(tblDados[Visitante])=$A790)*tblDados[Primeira_Ocorrencia]*(tblDados[GM_V]=0)))/G790,0))</f>
        <v/>
      </c>
      <c r="K790" s="16" t="str" cm="1">
        <f t="array" ref="K790">IF($A790="","",IFERROR((SUMPRODUCT((TRIM(tblDados[Mandante])=$A790)*tblDados[Primeira_Ocorrencia]*((tblDados[GM_M]+tblDados[GS_M])&gt;0.5))+SUMPRODUCT((TRIM(tblDados[Visitante])=$A790)*tblDados[Primeira_Ocorrencia]*((tblDados[GM_V]+tblDados[GS_V])&gt;0.5)))/G790,0))</f>
        <v/>
      </c>
      <c r="L790" s="16" t="str" cm="1">
        <f t="array" ref="L790">IF($A790="","",IFERROR((SUMPRODUCT((TRIM(tblDados[Mandante])=$A790)*tblDados[Primeira_Ocorrencia]*((tblDados[GM_M]+tblDados[GS_M])&gt;1.5))+SUMPRODUCT((TRIM(tblDados[Visitante])=$A790)*tblDados[Primeira_Ocorrencia]*((tblDados[GM_V]+tblDados[GS_V])&gt;1.5)))/G790,0))</f>
        <v/>
      </c>
      <c r="M790" s="16" t="str" cm="1">
        <f t="array" ref="M790">IF($A790="","",IFERROR((SUMPRODUCT((TRIM(tblDados[Mandante])=$A790)*tblDados[Primeira_Ocorrencia]*((tblDados[GM_M]+tblDados[GS_M])&gt;2.5))+SUMPRODUCT((TRIM(tblDados[Visitante])=$A790)*tblDados[Primeira_Ocorrencia]*((tblDados[GM_V]+tblDados[GS_V])&gt;2.5)))/G790,0))</f>
        <v/>
      </c>
      <c r="N790" s="16" t="str" cm="1">
        <f t="array" ref="N790">IF($A790="","",IFERROR((SUMPRODUCT((TRIM(tblDados[Mandante])=$A790)*tblDados[Primeira_Ocorrencia]*((tblDados[GM_M]+tblDados[GS_M])&gt;3.5))+SUMPRODUCT((TRIM(tblDados[Visitante])=$A790)*tblDados[Primeira_Ocorrencia]*((tblDados[GM_V]+tblDados[GS_V])&gt;3.5)))/G790,0))</f>
        <v/>
      </c>
      <c r="O790" s="16" t="str" cm="1">
        <f t="array" ref="O790">IF($A790="","",IFERROR((SUMPRODUCT((TRIM(tblDados[Mandante])=$A790)*tblDados[Primeira_Ocorrencia]*(tblDados[GM_M]&gt;0)*(tblDados[GS_M]&gt;0))+SUMPRODUCT((TRIM(tblDados[Visitante])=$A790)*tblDados[Primeira_Ocorrencia]*(tblDados[GM_V]&gt;0)*(tblDados[GS_V]&gt;0)))/G790,0))</f>
        <v/>
      </c>
      <c r="P790" s="14" t="str" cm="1">
        <f t="array" ref="P790">IF($A790="","",IFERROR((SUMPRODUCT((TRIM(tblDados[Mandante])=$A790)*tblDados[Primeira_Ocorrencia]*tblDados[GM_M]^2)+SUMPRODUCT((TRIM(tblDados[Visitante])=$A790)*tblDados[Primeira_Ocorrencia]*tblDados[GM_V]^2))/G790-H790^2,0))</f>
        <v/>
      </c>
      <c r="Q790" s="14" t="str">
        <f t="shared" si="213"/>
        <v/>
      </c>
      <c r="R790" s="1" t="str">
        <f t="shared" si="214"/>
        <v/>
      </c>
      <c r="S790" s="14" t="str" cm="1">
        <f t="array" ref="S790">IF($A790="","",SUMPRODUCT((TRIM(tblDados[Mandante])=$A790)*tblDados[Primeira_Ocorrencia]*tblDados[GM_M]))</f>
        <v/>
      </c>
      <c r="T790" s="14" t="str" cm="1">
        <f t="array" ref="T790">IF($A790="","",SUMPRODUCT((TRIM(tblDados[Visitante])=$A790)*tblDados[Primeira_Ocorrencia]*tblDados[GM_V]))</f>
        <v/>
      </c>
      <c r="U790" s="14" t="str">
        <f t="shared" si="215"/>
        <v/>
      </c>
      <c r="V790" s="14" t="str">
        <f t="shared" si="204"/>
        <v/>
      </c>
      <c r="W790" s="14" t="str" cm="1">
        <f t="array" ref="W790">IF($A790="","",SUMPRODUCT((TRIM(tblDados[Mandante])=$A790)*tblDados[Primeira_Ocorrencia]*tblDados[GS_M]))</f>
        <v/>
      </c>
      <c r="X790" s="14" t="str" cm="1">
        <f t="array" ref="X790">IF($A790="","",SUMPRODUCT((TRIM(tblDados[Visitante])=$A790)*tblDados[Primeira_Ocorrencia]*tblDados[GS_V]))</f>
        <v/>
      </c>
      <c r="Y790" s="14" t="str">
        <f t="shared" si="216"/>
        <v/>
      </c>
      <c r="Z790" s="14" t="str">
        <f t="shared" si="205"/>
        <v/>
      </c>
      <c r="AA790" s="14" t="str">
        <f t="shared" si="206"/>
        <v/>
      </c>
      <c r="AB790" s="14" t="str">
        <f t="shared" si="207"/>
        <v/>
      </c>
      <c r="AC790" s="14" t="str">
        <f t="shared" si="208"/>
        <v/>
      </c>
      <c r="AD790" s="14" t="str">
        <f t="shared" si="209"/>
        <v/>
      </c>
    </row>
    <row r="791" spans="2:30" x14ac:dyDescent="0.3">
      <c r="B791" s="13" t="str" cm="1">
        <f t="array" ref="B791">IF($A791="","",_xlfn.LET(_xlpm.p,IFERROR(INDEX(tblDados[País],MATCH($A791,TRIM(tblDados[Mandante]),0)),INDEX(tblDados[País],MATCH($A791,TRIM(tblDados[Visitante]),0))),_xlpm.l,IFERROR(INDEX(tblDados[Liga],MATCH($A791,TRIM(tblDados[Mandante]),0)),INDEX(tblDados[Liga],MATCH($A791,TRIM(tblDados[Visitante]),0))),_xlpm.p&amp;" - "&amp;_xlpm.l))</f>
        <v/>
      </c>
      <c r="C791" s="14" t="str">
        <f t="shared" si="210"/>
        <v/>
      </c>
      <c r="D791" s="14" t="str">
        <f t="shared" si="211"/>
        <v/>
      </c>
      <c r="E791" s="15" t="str" cm="1">
        <f t="array" ref="E791">IF($A791="","",SUMPRODUCT((TRIM(tblDados[Mandante])=$A791)*tblDados[Primeira_Ocorrencia]))</f>
        <v/>
      </c>
      <c r="F791" s="15" t="str" cm="1">
        <f t="array" ref="F791">IF($A791="","",SUMPRODUCT((TRIM(tblDados[Visitante])=$A791)*tblDados[Primeira_Ocorrencia]))</f>
        <v/>
      </c>
      <c r="G791" s="15" t="str" cm="1">
        <f t="array" ref="G791">IF($A791="","",SUMPRODUCT((TRIM(tblDados[Mandante])=$A791)*tblDados[Primeira_Ocorrencia])+SUMPRODUCT((TRIM(tblDados[Visitante])=$A791)*tblDados[Primeira_Ocorrencia]))</f>
        <v/>
      </c>
      <c r="H791" s="14" t="str">
        <f t="shared" si="212"/>
        <v/>
      </c>
      <c r="I791" s="14" t="str" cm="1">
        <f t="array" ref="I791">IF($A791="","",_xlfn.LET(_xlpm.p,IFERROR(INDEX(tblDados[País],MATCH($A791,TRIM(tblDados[Mandante]),0)),INDEX(tblDados[País],MATCH($A791,TRIM(tblDados[Visitante]),0))),_xlpm.l,IFERROR(INDEX(tblDados[Liga],MATCH($A791,TRIM(tblDados[Mandante]),0)),INDEX(tblDados[Liga],MATCH($A791,TRIM(tblDados[Visitante]),0))),IFERROR(SUMIFS(Ligas!$D$2:$D$39,Ligas!$H$2:$H$39,_xlpm.p,Ligas!$I$2:$I$39,_xlpm.l),0)))</f>
        <v/>
      </c>
      <c r="J791" s="16" t="str" cm="1">
        <f t="array" ref="J791">IF($A791="","",IFERROR((SUMPRODUCT((TRIM(tblDados[Mandante])=$A791)*tblDados[Primeira_Ocorrencia]*(tblDados[GM_M]=0))+SUMPRODUCT((TRIM(tblDados[Visitante])=$A791)*tblDados[Primeira_Ocorrencia]*(tblDados[GM_V]=0)))/G791,0))</f>
        <v/>
      </c>
      <c r="K791" s="16" t="str" cm="1">
        <f t="array" ref="K791">IF($A791="","",IFERROR((SUMPRODUCT((TRIM(tblDados[Mandante])=$A791)*tblDados[Primeira_Ocorrencia]*((tblDados[GM_M]+tblDados[GS_M])&gt;0.5))+SUMPRODUCT((TRIM(tblDados[Visitante])=$A791)*tblDados[Primeira_Ocorrencia]*((tblDados[GM_V]+tblDados[GS_V])&gt;0.5)))/G791,0))</f>
        <v/>
      </c>
      <c r="L791" s="16" t="str" cm="1">
        <f t="array" ref="L791">IF($A791="","",IFERROR((SUMPRODUCT((TRIM(tblDados[Mandante])=$A791)*tblDados[Primeira_Ocorrencia]*((tblDados[GM_M]+tblDados[GS_M])&gt;1.5))+SUMPRODUCT((TRIM(tblDados[Visitante])=$A791)*tblDados[Primeira_Ocorrencia]*((tblDados[GM_V]+tblDados[GS_V])&gt;1.5)))/G791,0))</f>
        <v/>
      </c>
      <c r="M791" s="16" t="str" cm="1">
        <f t="array" ref="M791">IF($A791="","",IFERROR((SUMPRODUCT((TRIM(tblDados[Mandante])=$A791)*tblDados[Primeira_Ocorrencia]*((tblDados[GM_M]+tblDados[GS_M])&gt;2.5))+SUMPRODUCT((TRIM(tblDados[Visitante])=$A791)*tblDados[Primeira_Ocorrencia]*((tblDados[GM_V]+tblDados[GS_V])&gt;2.5)))/G791,0))</f>
        <v/>
      </c>
      <c r="N791" s="16" t="str" cm="1">
        <f t="array" ref="N791">IF($A791="","",IFERROR((SUMPRODUCT((TRIM(tblDados[Mandante])=$A791)*tblDados[Primeira_Ocorrencia]*((tblDados[GM_M]+tblDados[GS_M])&gt;3.5))+SUMPRODUCT((TRIM(tblDados[Visitante])=$A791)*tblDados[Primeira_Ocorrencia]*((tblDados[GM_V]+tblDados[GS_V])&gt;3.5)))/G791,0))</f>
        <v/>
      </c>
      <c r="O791" s="16" t="str" cm="1">
        <f t="array" ref="O791">IF($A791="","",IFERROR((SUMPRODUCT((TRIM(tblDados[Mandante])=$A791)*tblDados[Primeira_Ocorrencia]*(tblDados[GM_M]&gt;0)*(tblDados[GS_M]&gt;0))+SUMPRODUCT((TRIM(tblDados[Visitante])=$A791)*tblDados[Primeira_Ocorrencia]*(tblDados[GM_V]&gt;0)*(tblDados[GS_V]&gt;0)))/G791,0))</f>
        <v/>
      </c>
      <c r="P791" s="14" t="str" cm="1">
        <f t="array" ref="P791">IF($A791="","",IFERROR((SUMPRODUCT((TRIM(tblDados[Mandante])=$A791)*tblDados[Primeira_Ocorrencia]*tblDados[GM_M]^2)+SUMPRODUCT((TRIM(tblDados[Visitante])=$A791)*tblDados[Primeira_Ocorrencia]*tblDados[GM_V]^2))/G791-H791^2,0))</f>
        <v/>
      </c>
      <c r="Q791" s="14" t="str">
        <f t="shared" si="213"/>
        <v/>
      </c>
      <c r="R791" s="1" t="str">
        <f t="shared" si="214"/>
        <v/>
      </c>
      <c r="S791" s="14" t="str" cm="1">
        <f t="array" ref="S791">IF($A791="","",SUMPRODUCT((TRIM(tblDados[Mandante])=$A791)*tblDados[Primeira_Ocorrencia]*tblDados[GM_M]))</f>
        <v/>
      </c>
      <c r="T791" s="14" t="str" cm="1">
        <f t="array" ref="T791">IF($A791="","",SUMPRODUCT((TRIM(tblDados[Visitante])=$A791)*tblDados[Primeira_Ocorrencia]*tblDados[GM_V]))</f>
        <v/>
      </c>
      <c r="U791" s="14" t="str">
        <f t="shared" si="215"/>
        <v/>
      </c>
      <c r="V791" s="14" t="str">
        <f t="shared" si="204"/>
        <v/>
      </c>
      <c r="W791" s="14" t="str" cm="1">
        <f t="array" ref="W791">IF($A791="","",SUMPRODUCT((TRIM(tblDados[Mandante])=$A791)*tblDados[Primeira_Ocorrencia]*tblDados[GS_M]))</f>
        <v/>
      </c>
      <c r="X791" s="14" t="str" cm="1">
        <f t="array" ref="X791">IF($A791="","",SUMPRODUCT((TRIM(tblDados[Visitante])=$A791)*tblDados[Primeira_Ocorrencia]*tblDados[GS_V]))</f>
        <v/>
      </c>
      <c r="Y791" s="14" t="str">
        <f t="shared" si="216"/>
        <v/>
      </c>
      <c r="Z791" s="14" t="str">
        <f t="shared" si="205"/>
        <v/>
      </c>
      <c r="AA791" s="14" t="str">
        <f t="shared" si="206"/>
        <v/>
      </c>
      <c r="AB791" s="14" t="str">
        <f t="shared" si="207"/>
        <v/>
      </c>
      <c r="AC791" s="14" t="str">
        <f t="shared" si="208"/>
        <v/>
      </c>
      <c r="AD791" s="14" t="str">
        <f t="shared" si="209"/>
        <v/>
      </c>
    </row>
    <row r="792" spans="2:30" x14ac:dyDescent="0.3">
      <c r="B792" s="13" t="str" cm="1">
        <f t="array" ref="B792">IF($A792="","",_xlfn.LET(_xlpm.p,IFERROR(INDEX(tblDados[País],MATCH($A792,TRIM(tblDados[Mandante]),0)),INDEX(tblDados[País],MATCH($A792,TRIM(tblDados[Visitante]),0))),_xlpm.l,IFERROR(INDEX(tblDados[Liga],MATCH($A792,TRIM(tblDados[Mandante]),0)),INDEX(tblDados[Liga],MATCH($A792,TRIM(tblDados[Visitante]),0))),_xlpm.p&amp;" - "&amp;_xlpm.l))</f>
        <v/>
      </c>
      <c r="C792" s="14" t="str">
        <f t="shared" si="210"/>
        <v/>
      </c>
      <c r="D792" s="14" t="str">
        <f t="shared" si="211"/>
        <v/>
      </c>
      <c r="E792" s="15" t="str" cm="1">
        <f t="array" ref="E792">IF($A792="","",SUMPRODUCT((TRIM(tblDados[Mandante])=$A792)*tblDados[Primeira_Ocorrencia]))</f>
        <v/>
      </c>
      <c r="F792" s="15" t="str" cm="1">
        <f t="array" ref="F792">IF($A792="","",SUMPRODUCT((TRIM(tblDados[Visitante])=$A792)*tblDados[Primeira_Ocorrencia]))</f>
        <v/>
      </c>
      <c r="G792" s="15" t="str" cm="1">
        <f t="array" ref="G792">IF($A792="","",SUMPRODUCT((TRIM(tblDados[Mandante])=$A792)*tblDados[Primeira_Ocorrencia])+SUMPRODUCT((TRIM(tblDados[Visitante])=$A792)*tblDados[Primeira_Ocorrencia]))</f>
        <v/>
      </c>
      <c r="H792" s="14" t="str">
        <f t="shared" si="212"/>
        <v/>
      </c>
      <c r="I792" s="14" t="str" cm="1">
        <f t="array" ref="I792">IF($A792="","",_xlfn.LET(_xlpm.p,IFERROR(INDEX(tblDados[País],MATCH($A792,TRIM(tblDados[Mandante]),0)),INDEX(tblDados[País],MATCH($A792,TRIM(tblDados[Visitante]),0))),_xlpm.l,IFERROR(INDEX(tblDados[Liga],MATCH($A792,TRIM(tblDados[Mandante]),0)),INDEX(tblDados[Liga],MATCH($A792,TRIM(tblDados[Visitante]),0))),IFERROR(SUMIFS(Ligas!$D$2:$D$39,Ligas!$H$2:$H$39,_xlpm.p,Ligas!$I$2:$I$39,_xlpm.l),0)))</f>
        <v/>
      </c>
      <c r="J792" s="16" t="str" cm="1">
        <f t="array" ref="J792">IF($A792="","",IFERROR((SUMPRODUCT((TRIM(tblDados[Mandante])=$A792)*tblDados[Primeira_Ocorrencia]*(tblDados[GM_M]=0))+SUMPRODUCT((TRIM(tblDados[Visitante])=$A792)*tblDados[Primeira_Ocorrencia]*(tblDados[GM_V]=0)))/G792,0))</f>
        <v/>
      </c>
      <c r="K792" s="16" t="str" cm="1">
        <f t="array" ref="K792">IF($A792="","",IFERROR((SUMPRODUCT((TRIM(tblDados[Mandante])=$A792)*tblDados[Primeira_Ocorrencia]*((tblDados[GM_M]+tblDados[GS_M])&gt;0.5))+SUMPRODUCT((TRIM(tblDados[Visitante])=$A792)*tblDados[Primeira_Ocorrencia]*((tblDados[GM_V]+tblDados[GS_V])&gt;0.5)))/G792,0))</f>
        <v/>
      </c>
      <c r="L792" s="16" t="str" cm="1">
        <f t="array" ref="L792">IF($A792="","",IFERROR((SUMPRODUCT((TRIM(tblDados[Mandante])=$A792)*tblDados[Primeira_Ocorrencia]*((tblDados[GM_M]+tblDados[GS_M])&gt;1.5))+SUMPRODUCT((TRIM(tblDados[Visitante])=$A792)*tblDados[Primeira_Ocorrencia]*((tblDados[GM_V]+tblDados[GS_V])&gt;1.5)))/G792,0))</f>
        <v/>
      </c>
      <c r="M792" s="16" t="str" cm="1">
        <f t="array" ref="M792">IF($A792="","",IFERROR((SUMPRODUCT((TRIM(tblDados[Mandante])=$A792)*tblDados[Primeira_Ocorrencia]*((tblDados[GM_M]+tblDados[GS_M])&gt;2.5))+SUMPRODUCT((TRIM(tblDados[Visitante])=$A792)*tblDados[Primeira_Ocorrencia]*((tblDados[GM_V]+tblDados[GS_V])&gt;2.5)))/G792,0))</f>
        <v/>
      </c>
      <c r="N792" s="16" t="str" cm="1">
        <f t="array" ref="N792">IF($A792="","",IFERROR((SUMPRODUCT((TRIM(tblDados[Mandante])=$A792)*tblDados[Primeira_Ocorrencia]*((tblDados[GM_M]+tblDados[GS_M])&gt;3.5))+SUMPRODUCT((TRIM(tblDados[Visitante])=$A792)*tblDados[Primeira_Ocorrencia]*((tblDados[GM_V]+tblDados[GS_V])&gt;3.5)))/G792,0))</f>
        <v/>
      </c>
      <c r="O792" s="16" t="str" cm="1">
        <f t="array" ref="O792">IF($A792="","",IFERROR((SUMPRODUCT((TRIM(tblDados[Mandante])=$A792)*tblDados[Primeira_Ocorrencia]*(tblDados[GM_M]&gt;0)*(tblDados[GS_M]&gt;0))+SUMPRODUCT((TRIM(tblDados[Visitante])=$A792)*tblDados[Primeira_Ocorrencia]*(tblDados[GM_V]&gt;0)*(tblDados[GS_V]&gt;0)))/G792,0))</f>
        <v/>
      </c>
      <c r="P792" s="14" t="str" cm="1">
        <f t="array" ref="P792">IF($A792="","",IFERROR((SUMPRODUCT((TRIM(tblDados[Mandante])=$A792)*tblDados[Primeira_Ocorrencia]*tblDados[GM_M]^2)+SUMPRODUCT((TRIM(tblDados[Visitante])=$A792)*tblDados[Primeira_Ocorrencia]*tblDados[GM_V]^2))/G792-H792^2,0))</f>
        <v/>
      </c>
      <c r="Q792" s="14" t="str">
        <f t="shared" si="213"/>
        <v/>
      </c>
      <c r="R792" s="1" t="str">
        <f t="shared" si="214"/>
        <v/>
      </c>
      <c r="S792" s="14" t="str" cm="1">
        <f t="array" ref="S792">IF($A792="","",SUMPRODUCT((TRIM(tblDados[Mandante])=$A792)*tblDados[Primeira_Ocorrencia]*tblDados[GM_M]))</f>
        <v/>
      </c>
      <c r="T792" s="14" t="str" cm="1">
        <f t="array" ref="T792">IF($A792="","",SUMPRODUCT((TRIM(tblDados[Visitante])=$A792)*tblDados[Primeira_Ocorrencia]*tblDados[GM_V]))</f>
        <v/>
      </c>
      <c r="U792" s="14" t="str">
        <f t="shared" si="215"/>
        <v/>
      </c>
      <c r="V792" s="14" t="str">
        <f t="shared" si="204"/>
        <v/>
      </c>
      <c r="W792" s="14" t="str" cm="1">
        <f t="array" ref="W792">IF($A792="","",SUMPRODUCT((TRIM(tblDados[Mandante])=$A792)*tblDados[Primeira_Ocorrencia]*tblDados[GS_M]))</f>
        <v/>
      </c>
      <c r="X792" s="14" t="str" cm="1">
        <f t="array" ref="X792">IF($A792="","",SUMPRODUCT((TRIM(tblDados[Visitante])=$A792)*tblDados[Primeira_Ocorrencia]*tblDados[GS_V]))</f>
        <v/>
      </c>
      <c r="Y792" s="14" t="str">
        <f t="shared" si="216"/>
        <v/>
      </c>
      <c r="Z792" s="14" t="str">
        <f t="shared" si="205"/>
        <v/>
      </c>
      <c r="AA792" s="14" t="str">
        <f t="shared" si="206"/>
        <v/>
      </c>
      <c r="AB792" s="14" t="str">
        <f t="shared" si="207"/>
        <v/>
      </c>
      <c r="AC792" s="14" t="str">
        <f t="shared" si="208"/>
        <v/>
      </c>
      <c r="AD792" s="14" t="str">
        <f t="shared" si="209"/>
        <v/>
      </c>
    </row>
    <row r="793" spans="2:30" x14ac:dyDescent="0.3">
      <c r="B793" s="13" t="str" cm="1">
        <f t="array" ref="B793">IF($A793="","",_xlfn.LET(_xlpm.p,IFERROR(INDEX(tblDados[País],MATCH($A793,TRIM(tblDados[Mandante]),0)),INDEX(tblDados[País],MATCH($A793,TRIM(tblDados[Visitante]),0))),_xlpm.l,IFERROR(INDEX(tblDados[Liga],MATCH($A793,TRIM(tblDados[Mandante]),0)),INDEX(tblDados[Liga],MATCH($A793,TRIM(tblDados[Visitante]),0))),_xlpm.p&amp;" - "&amp;_xlpm.l))</f>
        <v/>
      </c>
      <c r="C793" s="14" t="str">
        <f t="shared" si="210"/>
        <v/>
      </c>
      <c r="D793" s="14" t="str">
        <f t="shared" si="211"/>
        <v/>
      </c>
      <c r="E793" s="15" t="str" cm="1">
        <f t="array" ref="E793">IF($A793="","",SUMPRODUCT((TRIM(tblDados[Mandante])=$A793)*tblDados[Primeira_Ocorrencia]))</f>
        <v/>
      </c>
      <c r="F793" s="15" t="str" cm="1">
        <f t="array" ref="F793">IF($A793="","",SUMPRODUCT((TRIM(tblDados[Visitante])=$A793)*tblDados[Primeira_Ocorrencia]))</f>
        <v/>
      </c>
      <c r="G793" s="15" t="str" cm="1">
        <f t="array" ref="G793">IF($A793="","",SUMPRODUCT((TRIM(tblDados[Mandante])=$A793)*tblDados[Primeira_Ocorrencia])+SUMPRODUCT((TRIM(tblDados[Visitante])=$A793)*tblDados[Primeira_Ocorrencia]))</f>
        <v/>
      </c>
      <c r="H793" s="14" t="str">
        <f t="shared" si="212"/>
        <v/>
      </c>
      <c r="I793" s="14" t="str" cm="1">
        <f t="array" ref="I793">IF($A793="","",_xlfn.LET(_xlpm.p,IFERROR(INDEX(tblDados[País],MATCH($A793,TRIM(tblDados[Mandante]),0)),INDEX(tblDados[País],MATCH($A793,TRIM(tblDados[Visitante]),0))),_xlpm.l,IFERROR(INDEX(tblDados[Liga],MATCH($A793,TRIM(tblDados[Mandante]),0)),INDEX(tblDados[Liga],MATCH($A793,TRIM(tblDados[Visitante]),0))),IFERROR(SUMIFS(Ligas!$D$2:$D$39,Ligas!$H$2:$H$39,_xlpm.p,Ligas!$I$2:$I$39,_xlpm.l),0)))</f>
        <v/>
      </c>
      <c r="J793" s="16" t="str" cm="1">
        <f t="array" ref="J793">IF($A793="","",IFERROR((SUMPRODUCT((TRIM(tblDados[Mandante])=$A793)*tblDados[Primeira_Ocorrencia]*(tblDados[GM_M]=0))+SUMPRODUCT((TRIM(tblDados[Visitante])=$A793)*tblDados[Primeira_Ocorrencia]*(tblDados[GM_V]=0)))/G793,0))</f>
        <v/>
      </c>
      <c r="K793" s="16" t="str" cm="1">
        <f t="array" ref="K793">IF($A793="","",IFERROR((SUMPRODUCT((TRIM(tblDados[Mandante])=$A793)*tblDados[Primeira_Ocorrencia]*((tblDados[GM_M]+tblDados[GS_M])&gt;0.5))+SUMPRODUCT((TRIM(tblDados[Visitante])=$A793)*tblDados[Primeira_Ocorrencia]*((tblDados[GM_V]+tblDados[GS_V])&gt;0.5)))/G793,0))</f>
        <v/>
      </c>
      <c r="L793" s="16" t="str" cm="1">
        <f t="array" ref="L793">IF($A793="","",IFERROR((SUMPRODUCT((TRIM(tblDados[Mandante])=$A793)*tblDados[Primeira_Ocorrencia]*((tblDados[GM_M]+tblDados[GS_M])&gt;1.5))+SUMPRODUCT((TRIM(tblDados[Visitante])=$A793)*tblDados[Primeira_Ocorrencia]*((tblDados[GM_V]+tblDados[GS_V])&gt;1.5)))/G793,0))</f>
        <v/>
      </c>
      <c r="M793" s="16" t="str" cm="1">
        <f t="array" ref="M793">IF($A793="","",IFERROR((SUMPRODUCT((TRIM(tblDados[Mandante])=$A793)*tblDados[Primeira_Ocorrencia]*((tblDados[GM_M]+tblDados[GS_M])&gt;2.5))+SUMPRODUCT((TRIM(tblDados[Visitante])=$A793)*tblDados[Primeira_Ocorrencia]*((tblDados[GM_V]+tblDados[GS_V])&gt;2.5)))/G793,0))</f>
        <v/>
      </c>
      <c r="N793" s="16" t="str" cm="1">
        <f t="array" ref="N793">IF($A793="","",IFERROR((SUMPRODUCT((TRIM(tblDados[Mandante])=$A793)*tblDados[Primeira_Ocorrencia]*((tblDados[GM_M]+tblDados[GS_M])&gt;3.5))+SUMPRODUCT((TRIM(tblDados[Visitante])=$A793)*tblDados[Primeira_Ocorrencia]*((tblDados[GM_V]+tblDados[GS_V])&gt;3.5)))/G793,0))</f>
        <v/>
      </c>
      <c r="O793" s="16" t="str" cm="1">
        <f t="array" ref="O793">IF($A793="","",IFERROR((SUMPRODUCT((TRIM(tblDados[Mandante])=$A793)*tblDados[Primeira_Ocorrencia]*(tblDados[GM_M]&gt;0)*(tblDados[GS_M]&gt;0))+SUMPRODUCT((TRIM(tblDados[Visitante])=$A793)*tblDados[Primeira_Ocorrencia]*(tblDados[GM_V]&gt;0)*(tblDados[GS_V]&gt;0)))/G793,0))</f>
        <v/>
      </c>
      <c r="P793" s="14" t="str" cm="1">
        <f t="array" ref="P793">IF($A793="","",IFERROR((SUMPRODUCT((TRIM(tblDados[Mandante])=$A793)*tblDados[Primeira_Ocorrencia]*tblDados[GM_M]^2)+SUMPRODUCT((TRIM(tblDados[Visitante])=$A793)*tblDados[Primeira_Ocorrencia]*tblDados[GM_V]^2))/G793-H793^2,0))</f>
        <v/>
      </c>
      <c r="Q793" s="14" t="str">
        <f t="shared" si="213"/>
        <v/>
      </c>
      <c r="R793" s="1" t="str">
        <f t="shared" si="214"/>
        <v/>
      </c>
      <c r="S793" s="14" t="str" cm="1">
        <f t="array" ref="S793">IF($A793="","",SUMPRODUCT((TRIM(tblDados[Mandante])=$A793)*tblDados[Primeira_Ocorrencia]*tblDados[GM_M]))</f>
        <v/>
      </c>
      <c r="T793" s="14" t="str" cm="1">
        <f t="array" ref="T793">IF($A793="","",SUMPRODUCT((TRIM(tblDados[Visitante])=$A793)*tblDados[Primeira_Ocorrencia]*tblDados[GM_V]))</f>
        <v/>
      </c>
      <c r="U793" s="14" t="str">
        <f t="shared" si="215"/>
        <v/>
      </c>
      <c r="V793" s="14" t="str">
        <f t="shared" si="204"/>
        <v/>
      </c>
      <c r="W793" s="14" t="str" cm="1">
        <f t="array" ref="W793">IF($A793="","",SUMPRODUCT((TRIM(tblDados[Mandante])=$A793)*tblDados[Primeira_Ocorrencia]*tblDados[GS_M]))</f>
        <v/>
      </c>
      <c r="X793" s="14" t="str" cm="1">
        <f t="array" ref="X793">IF($A793="","",SUMPRODUCT((TRIM(tblDados[Visitante])=$A793)*tblDados[Primeira_Ocorrencia]*tblDados[GS_V]))</f>
        <v/>
      </c>
      <c r="Y793" s="14" t="str">
        <f t="shared" si="216"/>
        <v/>
      </c>
      <c r="Z793" s="14" t="str">
        <f t="shared" si="205"/>
        <v/>
      </c>
      <c r="AA793" s="14" t="str">
        <f t="shared" si="206"/>
        <v/>
      </c>
      <c r="AB793" s="14" t="str">
        <f t="shared" si="207"/>
        <v/>
      </c>
      <c r="AC793" s="14" t="str">
        <f t="shared" si="208"/>
        <v/>
      </c>
      <c r="AD793" s="14" t="str">
        <f t="shared" si="209"/>
        <v/>
      </c>
    </row>
    <row r="794" spans="2:30" x14ac:dyDescent="0.3">
      <c r="B794" s="13" t="str" cm="1">
        <f t="array" ref="B794">IF($A794="","",_xlfn.LET(_xlpm.p,IFERROR(INDEX(tblDados[País],MATCH($A794,TRIM(tblDados[Mandante]),0)),INDEX(tblDados[País],MATCH($A794,TRIM(tblDados[Visitante]),0))),_xlpm.l,IFERROR(INDEX(tblDados[Liga],MATCH($A794,TRIM(tblDados[Mandante]),0)),INDEX(tblDados[Liga],MATCH($A794,TRIM(tblDados[Visitante]),0))),_xlpm.p&amp;" - "&amp;_xlpm.l))</f>
        <v/>
      </c>
      <c r="C794" s="14" t="str">
        <f t="shared" si="210"/>
        <v/>
      </c>
      <c r="D794" s="14" t="str">
        <f t="shared" si="211"/>
        <v/>
      </c>
      <c r="E794" s="15" t="str" cm="1">
        <f t="array" ref="E794">IF($A794="","",SUMPRODUCT((TRIM(tblDados[Mandante])=$A794)*tblDados[Primeira_Ocorrencia]))</f>
        <v/>
      </c>
      <c r="F794" s="15" t="str" cm="1">
        <f t="array" ref="F794">IF($A794="","",SUMPRODUCT((TRIM(tblDados[Visitante])=$A794)*tblDados[Primeira_Ocorrencia]))</f>
        <v/>
      </c>
      <c r="G794" s="15" t="str" cm="1">
        <f t="array" ref="G794">IF($A794="","",SUMPRODUCT((TRIM(tblDados[Mandante])=$A794)*tblDados[Primeira_Ocorrencia])+SUMPRODUCT((TRIM(tblDados[Visitante])=$A794)*tblDados[Primeira_Ocorrencia]))</f>
        <v/>
      </c>
      <c r="H794" s="14" t="str">
        <f t="shared" si="212"/>
        <v/>
      </c>
      <c r="I794" s="14" t="str" cm="1">
        <f t="array" ref="I794">IF($A794="","",_xlfn.LET(_xlpm.p,IFERROR(INDEX(tblDados[País],MATCH($A794,TRIM(tblDados[Mandante]),0)),INDEX(tblDados[País],MATCH($A794,TRIM(tblDados[Visitante]),0))),_xlpm.l,IFERROR(INDEX(tblDados[Liga],MATCH($A794,TRIM(tblDados[Mandante]),0)),INDEX(tblDados[Liga],MATCH($A794,TRIM(tblDados[Visitante]),0))),IFERROR(SUMIFS(Ligas!$D$2:$D$39,Ligas!$H$2:$H$39,_xlpm.p,Ligas!$I$2:$I$39,_xlpm.l),0)))</f>
        <v/>
      </c>
      <c r="J794" s="16" t="str" cm="1">
        <f t="array" ref="J794">IF($A794="","",IFERROR((SUMPRODUCT((TRIM(tblDados[Mandante])=$A794)*tblDados[Primeira_Ocorrencia]*(tblDados[GM_M]=0))+SUMPRODUCT((TRIM(tblDados[Visitante])=$A794)*tblDados[Primeira_Ocorrencia]*(tblDados[GM_V]=0)))/G794,0))</f>
        <v/>
      </c>
      <c r="K794" s="16" t="str" cm="1">
        <f t="array" ref="K794">IF($A794="","",IFERROR((SUMPRODUCT((TRIM(tblDados[Mandante])=$A794)*tblDados[Primeira_Ocorrencia]*((tblDados[GM_M]+tblDados[GS_M])&gt;0.5))+SUMPRODUCT((TRIM(tblDados[Visitante])=$A794)*tblDados[Primeira_Ocorrencia]*((tblDados[GM_V]+tblDados[GS_V])&gt;0.5)))/G794,0))</f>
        <v/>
      </c>
      <c r="L794" s="16" t="str" cm="1">
        <f t="array" ref="L794">IF($A794="","",IFERROR((SUMPRODUCT((TRIM(tblDados[Mandante])=$A794)*tblDados[Primeira_Ocorrencia]*((tblDados[GM_M]+tblDados[GS_M])&gt;1.5))+SUMPRODUCT((TRIM(tblDados[Visitante])=$A794)*tblDados[Primeira_Ocorrencia]*((tblDados[GM_V]+tblDados[GS_V])&gt;1.5)))/G794,0))</f>
        <v/>
      </c>
      <c r="M794" s="16" t="str" cm="1">
        <f t="array" ref="M794">IF($A794="","",IFERROR((SUMPRODUCT((TRIM(tblDados[Mandante])=$A794)*tblDados[Primeira_Ocorrencia]*((tblDados[GM_M]+tblDados[GS_M])&gt;2.5))+SUMPRODUCT((TRIM(tblDados[Visitante])=$A794)*tblDados[Primeira_Ocorrencia]*((tblDados[GM_V]+tblDados[GS_V])&gt;2.5)))/G794,0))</f>
        <v/>
      </c>
      <c r="N794" s="16" t="str" cm="1">
        <f t="array" ref="N794">IF($A794="","",IFERROR((SUMPRODUCT((TRIM(tblDados[Mandante])=$A794)*tblDados[Primeira_Ocorrencia]*((tblDados[GM_M]+tblDados[GS_M])&gt;3.5))+SUMPRODUCT((TRIM(tblDados[Visitante])=$A794)*tblDados[Primeira_Ocorrencia]*((tblDados[GM_V]+tblDados[GS_V])&gt;3.5)))/G794,0))</f>
        <v/>
      </c>
      <c r="O794" s="16" t="str" cm="1">
        <f t="array" ref="O794">IF($A794="","",IFERROR((SUMPRODUCT((TRIM(tblDados[Mandante])=$A794)*tblDados[Primeira_Ocorrencia]*(tblDados[GM_M]&gt;0)*(tblDados[GS_M]&gt;0))+SUMPRODUCT((TRIM(tblDados[Visitante])=$A794)*tblDados[Primeira_Ocorrencia]*(tblDados[GM_V]&gt;0)*(tblDados[GS_V]&gt;0)))/G794,0))</f>
        <v/>
      </c>
      <c r="P794" s="14" t="str" cm="1">
        <f t="array" ref="P794">IF($A794="","",IFERROR((SUMPRODUCT((TRIM(tblDados[Mandante])=$A794)*tblDados[Primeira_Ocorrencia]*tblDados[GM_M]^2)+SUMPRODUCT((TRIM(tblDados[Visitante])=$A794)*tblDados[Primeira_Ocorrencia]*tblDados[GM_V]^2))/G794-H794^2,0))</f>
        <v/>
      </c>
      <c r="Q794" s="14" t="str">
        <f t="shared" si="213"/>
        <v/>
      </c>
      <c r="R794" s="1" t="str">
        <f t="shared" si="214"/>
        <v/>
      </c>
      <c r="S794" s="14" t="str" cm="1">
        <f t="array" ref="S794">IF($A794="","",SUMPRODUCT((TRIM(tblDados[Mandante])=$A794)*tblDados[Primeira_Ocorrencia]*tblDados[GM_M]))</f>
        <v/>
      </c>
      <c r="T794" s="14" t="str" cm="1">
        <f t="array" ref="T794">IF($A794="","",SUMPRODUCT((TRIM(tblDados[Visitante])=$A794)*tblDados[Primeira_Ocorrencia]*tblDados[GM_V]))</f>
        <v/>
      </c>
      <c r="U794" s="14" t="str">
        <f t="shared" si="215"/>
        <v/>
      </c>
      <c r="V794" s="14" t="str">
        <f t="shared" si="204"/>
        <v/>
      </c>
      <c r="W794" s="14" t="str" cm="1">
        <f t="array" ref="W794">IF($A794="","",SUMPRODUCT((TRIM(tblDados[Mandante])=$A794)*tblDados[Primeira_Ocorrencia]*tblDados[GS_M]))</f>
        <v/>
      </c>
      <c r="X794" s="14" t="str" cm="1">
        <f t="array" ref="X794">IF($A794="","",SUMPRODUCT((TRIM(tblDados[Visitante])=$A794)*tblDados[Primeira_Ocorrencia]*tblDados[GS_V]))</f>
        <v/>
      </c>
      <c r="Y794" s="14" t="str">
        <f t="shared" si="216"/>
        <v/>
      </c>
      <c r="Z794" s="14" t="str">
        <f t="shared" si="205"/>
        <v/>
      </c>
      <c r="AA794" s="14" t="str">
        <f t="shared" si="206"/>
        <v/>
      </c>
      <c r="AB794" s="14" t="str">
        <f t="shared" si="207"/>
        <v/>
      </c>
      <c r="AC794" s="14" t="str">
        <f t="shared" si="208"/>
        <v/>
      </c>
      <c r="AD794" s="14" t="str">
        <f t="shared" si="209"/>
        <v/>
      </c>
    </row>
    <row r="795" spans="2:30" x14ac:dyDescent="0.3">
      <c r="B795" s="13" t="str" cm="1">
        <f t="array" ref="B795">IF($A795="","",_xlfn.LET(_xlpm.p,IFERROR(INDEX(tblDados[País],MATCH($A795,TRIM(tblDados[Mandante]),0)),INDEX(tblDados[País],MATCH($A795,TRIM(tblDados[Visitante]),0))),_xlpm.l,IFERROR(INDEX(tblDados[Liga],MATCH($A795,TRIM(tblDados[Mandante]),0)),INDEX(tblDados[Liga],MATCH($A795,TRIM(tblDados[Visitante]),0))),_xlpm.p&amp;" - "&amp;_xlpm.l))</f>
        <v/>
      </c>
      <c r="C795" s="14" t="str">
        <f t="shared" si="210"/>
        <v/>
      </c>
      <c r="D795" s="14" t="str">
        <f t="shared" si="211"/>
        <v/>
      </c>
      <c r="E795" s="15" t="str" cm="1">
        <f t="array" ref="E795">IF($A795="","",SUMPRODUCT((TRIM(tblDados[Mandante])=$A795)*tblDados[Primeira_Ocorrencia]))</f>
        <v/>
      </c>
      <c r="F795" s="15" t="str" cm="1">
        <f t="array" ref="F795">IF($A795="","",SUMPRODUCT((TRIM(tblDados[Visitante])=$A795)*tblDados[Primeira_Ocorrencia]))</f>
        <v/>
      </c>
      <c r="G795" s="15" t="str" cm="1">
        <f t="array" ref="G795">IF($A795="","",SUMPRODUCT((TRIM(tblDados[Mandante])=$A795)*tblDados[Primeira_Ocorrencia])+SUMPRODUCT((TRIM(tblDados[Visitante])=$A795)*tblDados[Primeira_Ocorrencia]))</f>
        <v/>
      </c>
      <c r="H795" s="14" t="str">
        <f t="shared" si="212"/>
        <v/>
      </c>
      <c r="I795" s="14" t="str" cm="1">
        <f t="array" ref="I795">IF($A795="","",_xlfn.LET(_xlpm.p,IFERROR(INDEX(tblDados[País],MATCH($A795,TRIM(tblDados[Mandante]),0)),INDEX(tblDados[País],MATCH($A795,TRIM(tblDados[Visitante]),0))),_xlpm.l,IFERROR(INDEX(tblDados[Liga],MATCH($A795,TRIM(tblDados[Mandante]),0)),INDEX(tblDados[Liga],MATCH($A795,TRIM(tblDados[Visitante]),0))),IFERROR(SUMIFS(Ligas!$D$2:$D$39,Ligas!$H$2:$H$39,_xlpm.p,Ligas!$I$2:$I$39,_xlpm.l),0)))</f>
        <v/>
      </c>
      <c r="J795" s="16" t="str" cm="1">
        <f t="array" ref="J795">IF($A795="","",IFERROR((SUMPRODUCT((TRIM(tblDados[Mandante])=$A795)*tblDados[Primeira_Ocorrencia]*(tblDados[GM_M]=0))+SUMPRODUCT((TRIM(tblDados[Visitante])=$A795)*tblDados[Primeira_Ocorrencia]*(tblDados[GM_V]=0)))/G795,0))</f>
        <v/>
      </c>
      <c r="K795" s="16" t="str" cm="1">
        <f t="array" ref="K795">IF($A795="","",IFERROR((SUMPRODUCT((TRIM(tblDados[Mandante])=$A795)*tblDados[Primeira_Ocorrencia]*((tblDados[GM_M]+tblDados[GS_M])&gt;0.5))+SUMPRODUCT((TRIM(tblDados[Visitante])=$A795)*tblDados[Primeira_Ocorrencia]*((tblDados[GM_V]+tblDados[GS_V])&gt;0.5)))/G795,0))</f>
        <v/>
      </c>
      <c r="L795" s="16" t="str" cm="1">
        <f t="array" ref="L795">IF($A795="","",IFERROR((SUMPRODUCT((TRIM(tblDados[Mandante])=$A795)*tblDados[Primeira_Ocorrencia]*((tblDados[GM_M]+tblDados[GS_M])&gt;1.5))+SUMPRODUCT((TRIM(tblDados[Visitante])=$A795)*tblDados[Primeira_Ocorrencia]*((tblDados[GM_V]+tblDados[GS_V])&gt;1.5)))/G795,0))</f>
        <v/>
      </c>
      <c r="M795" s="16" t="str" cm="1">
        <f t="array" ref="M795">IF($A795="","",IFERROR((SUMPRODUCT((TRIM(tblDados[Mandante])=$A795)*tblDados[Primeira_Ocorrencia]*((tblDados[GM_M]+tblDados[GS_M])&gt;2.5))+SUMPRODUCT((TRIM(tblDados[Visitante])=$A795)*tblDados[Primeira_Ocorrencia]*((tblDados[GM_V]+tblDados[GS_V])&gt;2.5)))/G795,0))</f>
        <v/>
      </c>
      <c r="N795" s="16" t="str" cm="1">
        <f t="array" ref="N795">IF($A795="","",IFERROR((SUMPRODUCT((TRIM(tblDados[Mandante])=$A795)*tblDados[Primeira_Ocorrencia]*((tblDados[GM_M]+tblDados[GS_M])&gt;3.5))+SUMPRODUCT((TRIM(tblDados[Visitante])=$A795)*tblDados[Primeira_Ocorrencia]*((tblDados[GM_V]+tblDados[GS_V])&gt;3.5)))/G795,0))</f>
        <v/>
      </c>
      <c r="O795" s="16" t="str" cm="1">
        <f t="array" ref="O795">IF($A795="","",IFERROR((SUMPRODUCT((TRIM(tblDados[Mandante])=$A795)*tblDados[Primeira_Ocorrencia]*(tblDados[GM_M]&gt;0)*(tblDados[GS_M]&gt;0))+SUMPRODUCT((TRIM(tblDados[Visitante])=$A795)*tblDados[Primeira_Ocorrencia]*(tblDados[GM_V]&gt;0)*(tblDados[GS_V]&gt;0)))/G795,0))</f>
        <v/>
      </c>
      <c r="P795" s="14" t="str" cm="1">
        <f t="array" ref="P795">IF($A795="","",IFERROR((SUMPRODUCT((TRIM(tblDados[Mandante])=$A795)*tblDados[Primeira_Ocorrencia]*tblDados[GM_M]^2)+SUMPRODUCT((TRIM(tblDados[Visitante])=$A795)*tblDados[Primeira_Ocorrencia]*tblDados[GM_V]^2))/G795-H795^2,0))</f>
        <v/>
      </c>
      <c r="Q795" s="14" t="str">
        <f t="shared" si="213"/>
        <v/>
      </c>
      <c r="R795" s="1" t="str">
        <f t="shared" si="214"/>
        <v/>
      </c>
      <c r="S795" s="14" t="str" cm="1">
        <f t="array" ref="S795">IF($A795="","",SUMPRODUCT((TRIM(tblDados[Mandante])=$A795)*tblDados[Primeira_Ocorrencia]*tblDados[GM_M]))</f>
        <v/>
      </c>
      <c r="T795" s="14" t="str" cm="1">
        <f t="array" ref="T795">IF($A795="","",SUMPRODUCT((TRIM(tblDados[Visitante])=$A795)*tblDados[Primeira_Ocorrencia]*tblDados[GM_V]))</f>
        <v/>
      </c>
      <c r="U795" s="14" t="str">
        <f t="shared" si="215"/>
        <v/>
      </c>
      <c r="V795" s="14" t="str">
        <f t="shared" si="204"/>
        <v/>
      </c>
      <c r="W795" s="14" t="str" cm="1">
        <f t="array" ref="W795">IF($A795="","",SUMPRODUCT((TRIM(tblDados[Mandante])=$A795)*tblDados[Primeira_Ocorrencia]*tblDados[GS_M]))</f>
        <v/>
      </c>
      <c r="X795" s="14" t="str" cm="1">
        <f t="array" ref="X795">IF($A795="","",SUMPRODUCT((TRIM(tblDados[Visitante])=$A795)*tblDados[Primeira_Ocorrencia]*tblDados[GS_V]))</f>
        <v/>
      </c>
      <c r="Y795" s="14" t="str">
        <f t="shared" si="216"/>
        <v/>
      </c>
      <c r="Z795" s="14" t="str">
        <f t="shared" si="205"/>
        <v/>
      </c>
      <c r="AA795" s="14" t="str">
        <f t="shared" si="206"/>
        <v/>
      </c>
      <c r="AB795" s="14" t="str">
        <f t="shared" si="207"/>
        <v/>
      </c>
      <c r="AC795" s="14" t="str">
        <f t="shared" si="208"/>
        <v/>
      </c>
      <c r="AD795" s="14" t="str">
        <f t="shared" si="209"/>
        <v/>
      </c>
    </row>
    <row r="796" spans="2:30" x14ac:dyDescent="0.3">
      <c r="B796" s="13" t="str" cm="1">
        <f t="array" ref="B796">IF($A796="","",_xlfn.LET(_xlpm.p,IFERROR(INDEX(tblDados[País],MATCH($A796,TRIM(tblDados[Mandante]),0)),INDEX(tblDados[País],MATCH($A796,TRIM(tblDados[Visitante]),0))),_xlpm.l,IFERROR(INDEX(tblDados[Liga],MATCH($A796,TRIM(tblDados[Mandante]),0)),INDEX(tblDados[Liga],MATCH($A796,TRIM(tblDados[Visitante]),0))),_xlpm.p&amp;" - "&amp;_xlpm.l))</f>
        <v/>
      </c>
      <c r="C796" s="14" t="str">
        <f t="shared" si="210"/>
        <v/>
      </c>
      <c r="D796" s="14" t="str">
        <f t="shared" si="211"/>
        <v/>
      </c>
      <c r="E796" s="15" t="str" cm="1">
        <f t="array" ref="E796">IF($A796="","",SUMPRODUCT((TRIM(tblDados[Mandante])=$A796)*tblDados[Primeira_Ocorrencia]))</f>
        <v/>
      </c>
      <c r="F796" s="15" t="str" cm="1">
        <f t="array" ref="F796">IF($A796="","",SUMPRODUCT((TRIM(tblDados[Visitante])=$A796)*tblDados[Primeira_Ocorrencia]))</f>
        <v/>
      </c>
      <c r="G796" s="15" t="str" cm="1">
        <f t="array" ref="G796">IF($A796="","",SUMPRODUCT((TRIM(tblDados[Mandante])=$A796)*tblDados[Primeira_Ocorrencia])+SUMPRODUCT((TRIM(tblDados[Visitante])=$A796)*tblDados[Primeira_Ocorrencia]))</f>
        <v/>
      </c>
      <c r="H796" s="14" t="str">
        <f t="shared" si="212"/>
        <v/>
      </c>
      <c r="I796" s="14" t="str" cm="1">
        <f t="array" ref="I796">IF($A796="","",_xlfn.LET(_xlpm.p,IFERROR(INDEX(tblDados[País],MATCH($A796,TRIM(tblDados[Mandante]),0)),INDEX(tblDados[País],MATCH($A796,TRIM(tblDados[Visitante]),0))),_xlpm.l,IFERROR(INDEX(tblDados[Liga],MATCH($A796,TRIM(tblDados[Mandante]),0)),INDEX(tblDados[Liga],MATCH($A796,TRIM(tblDados[Visitante]),0))),IFERROR(SUMIFS(Ligas!$D$2:$D$39,Ligas!$H$2:$H$39,_xlpm.p,Ligas!$I$2:$I$39,_xlpm.l),0)))</f>
        <v/>
      </c>
      <c r="J796" s="16" t="str" cm="1">
        <f t="array" ref="J796">IF($A796="","",IFERROR((SUMPRODUCT((TRIM(tblDados[Mandante])=$A796)*tblDados[Primeira_Ocorrencia]*(tblDados[GM_M]=0))+SUMPRODUCT((TRIM(tblDados[Visitante])=$A796)*tblDados[Primeira_Ocorrencia]*(tblDados[GM_V]=0)))/G796,0))</f>
        <v/>
      </c>
      <c r="K796" s="16" t="str" cm="1">
        <f t="array" ref="K796">IF($A796="","",IFERROR((SUMPRODUCT((TRIM(tblDados[Mandante])=$A796)*tblDados[Primeira_Ocorrencia]*((tblDados[GM_M]+tblDados[GS_M])&gt;0.5))+SUMPRODUCT((TRIM(tblDados[Visitante])=$A796)*tblDados[Primeira_Ocorrencia]*((tblDados[GM_V]+tblDados[GS_V])&gt;0.5)))/G796,0))</f>
        <v/>
      </c>
      <c r="L796" s="16" t="str" cm="1">
        <f t="array" ref="L796">IF($A796="","",IFERROR((SUMPRODUCT((TRIM(tblDados[Mandante])=$A796)*tblDados[Primeira_Ocorrencia]*((tblDados[GM_M]+tblDados[GS_M])&gt;1.5))+SUMPRODUCT((TRIM(tblDados[Visitante])=$A796)*tblDados[Primeira_Ocorrencia]*((tblDados[GM_V]+tblDados[GS_V])&gt;1.5)))/G796,0))</f>
        <v/>
      </c>
      <c r="M796" s="16" t="str" cm="1">
        <f t="array" ref="M796">IF($A796="","",IFERROR((SUMPRODUCT((TRIM(tblDados[Mandante])=$A796)*tblDados[Primeira_Ocorrencia]*((tblDados[GM_M]+tblDados[GS_M])&gt;2.5))+SUMPRODUCT((TRIM(tblDados[Visitante])=$A796)*tblDados[Primeira_Ocorrencia]*((tblDados[GM_V]+tblDados[GS_V])&gt;2.5)))/G796,0))</f>
        <v/>
      </c>
      <c r="N796" s="16" t="str" cm="1">
        <f t="array" ref="N796">IF($A796="","",IFERROR((SUMPRODUCT((TRIM(tblDados[Mandante])=$A796)*tblDados[Primeira_Ocorrencia]*((tblDados[GM_M]+tblDados[GS_M])&gt;3.5))+SUMPRODUCT((TRIM(tblDados[Visitante])=$A796)*tblDados[Primeira_Ocorrencia]*((tblDados[GM_V]+tblDados[GS_V])&gt;3.5)))/G796,0))</f>
        <v/>
      </c>
      <c r="O796" s="16" t="str" cm="1">
        <f t="array" ref="O796">IF($A796="","",IFERROR((SUMPRODUCT((TRIM(tblDados[Mandante])=$A796)*tblDados[Primeira_Ocorrencia]*(tblDados[GM_M]&gt;0)*(tblDados[GS_M]&gt;0))+SUMPRODUCT((TRIM(tblDados[Visitante])=$A796)*tblDados[Primeira_Ocorrencia]*(tblDados[GM_V]&gt;0)*(tblDados[GS_V]&gt;0)))/G796,0))</f>
        <v/>
      </c>
      <c r="P796" s="14" t="str" cm="1">
        <f t="array" ref="P796">IF($A796="","",IFERROR((SUMPRODUCT((TRIM(tblDados[Mandante])=$A796)*tblDados[Primeira_Ocorrencia]*tblDados[GM_M]^2)+SUMPRODUCT((TRIM(tblDados[Visitante])=$A796)*tblDados[Primeira_Ocorrencia]*tblDados[GM_V]^2))/G796-H796^2,0))</f>
        <v/>
      </c>
      <c r="Q796" s="14" t="str">
        <f t="shared" si="213"/>
        <v/>
      </c>
      <c r="R796" s="1" t="str">
        <f t="shared" si="214"/>
        <v/>
      </c>
      <c r="S796" s="14" t="str" cm="1">
        <f t="array" ref="S796">IF($A796="","",SUMPRODUCT((TRIM(tblDados[Mandante])=$A796)*tblDados[Primeira_Ocorrencia]*tblDados[GM_M]))</f>
        <v/>
      </c>
      <c r="T796" s="14" t="str" cm="1">
        <f t="array" ref="T796">IF($A796="","",SUMPRODUCT((TRIM(tblDados[Visitante])=$A796)*tblDados[Primeira_Ocorrencia]*tblDados[GM_V]))</f>
        <v/>
      </c>
      <c r="U796" s="14" t="str">
        <f t="shared" si="215"/>
        <v/>
      </c>
      <c r="V796" s="14" t="str">
        <f t="shared" si="204"/>
        <v/>
      </c>
      <c r="W796" s="14" t="str" cm="1">
        <f t="array" ref="W796">IF($A796="","",SUMPRODUCT((TRIM(tblDados[Mandante])=$A796)*tblDados[Primeira_Ocorrencia]*tblDados[GS_M]))</f>
        <v/>
      </c>
      <c r="X796" s="14" t="str" cm="1">
        <f t="array" ref="X796">IF($A796="","",SUMPRODUCT((TRIM(tblDados[Visitante])=$A796)*tblDados[Primeira_Ocorrencia]*tblDados[GS_V]))</f>
        <v/>
      </c>
      <c r="Y796" s="14" t="str">
        <f t="shared" si="216"/>
        <v/>
      </c>
      <c r="Z796" s="14" t="str">
        <f t="shared" si="205"/>
        <v/>
      </c>
      <c r="AA796" s="14" t="str">
        <f t="shared" si="206"/>
        <v/>
      </c>
      <c r="AB796" s="14" t="str">
        <f t="shared" si="207"/>
        <v/>
      </c>
      <c r="AC796" s="14" t="str">
        <f t="shared" si="208"/>
        <v/>
      </c>
      <c r="AD796" s="14" t="str">
        <f t="shared" si="209"/>
        <v/>
      </c>
    </row>
    <row r="797" spans="2:30" x14ac:dyDescent="0.3">
      <c r="B797" s="13" t="str" cm="1">
        <f t="array" ref="B797">IF($A797="","",_xlfn.LET(_xlpm.p,IFERROR(INDEX(tblDados[País],MATCH($A797,TRIM(tblDados[Mandante]),0)),INDEX(tblDados[País],MATCH($A797,TRIM(tblDados[Visitante]),0))),_xlpm.l,IFERROR(INDEX(tblDados[Liga],MATCH($A797,TRIM(tblDados[Mandante]),0)),INDEX(tblDados[Liga],MATCH($A797,TRIM(tblDados[Visitante]),0))),_xlpm.p&amp;" - "&amp;_xlpm.l))</f>
        <v/>
      </c>
      <c r="C797" s="14" t="str">
        <f t="shared" si="210"/>
        <v/>
      </c>
      <c r="D797" s="14" t="str">
        <f t="shared" si="211"/>
        <v/>
      </c>
      <c r="E797" s="15" t="str" cm="1">
        <f t="array" ref="E797">IF($A797="","",SUMPRODUCT((TRIM(tblDados[Mandante])=$A797)*tblDados[Primeira_Ocorrencia]))</f>
        <v/>
      </c>
      <c r="F797" s="15" t="str" cm="1">
        <f t="array" ref="F797">IF($A797="","",SUMPRODUCT((TRIM(tblDados[Visitante])=$A797)*tblDados[Primeira_Ocorrencia]))</f>
        <v/>
      </c>
      <c r="G797" s="15" t="str" cm="1">
        <f t="array" ref="G797">IF($A797="","",SUMPRODUCT((TRIM(tblDados[Mandante])=$A797)*tblDados[Primeira_Ocorrencia])+SUMPRODUCT((TRIM(tblDados[Visitante])=$A797)*tblDados[Primeira_Ocorrencia]))</f>
        <v/>
      </c>
      <c r="H797" s="14" t="str">
        <f t="shared" si="212"/>
        <v/>
      </c>
      <c r="I797" s="14" t="str" cm="1">
        <f t="array" ref="I797">IF($A797="","",_xlfn.LET(_xlpm.p,IFERROR(INDEX(tblDados[País],MATCH($A797,TRIM(tblDados[Mandante]),0)),INDEX(tblDados[País],MATCH($A797,TRIM(tblDados[Visitante]),0))),_xlpm.l,IFERROR(INDEX(tblDados[Liga],MATCH($A797,TRIM(tblDados[Mandante]),0)),INDEX(tblDados[Liga],MATCH($A797,TRIM(tblDados[Visitante]),0))),IFERROR(SUMIFS(Ligas!$D$2:$D$39,Ligas!$H$2:$H$39,_xlpm.p,Ligas!$I$2:$I$39,_xlpm.l),0)))</f>
        <v/>
      </c>
      <c r="J797" s="16" t="str" cm="1">
        <f t="array" ref="J797">IF($A797="","",IFERROR((SUMPRODUCT((TRIM(tblDados[Mandante])=$A797)*tblDados[Primeira_Ocorrencia]*(tblDados[GM_M]=0))+SUMPRODUCT((TRIM(tblDados[Visitante])=$A797)*tblDados[Primeira_Ocorrencia]*(tblDados[GM_V]=0)))/G797,0))</f>
        <v/>
      </c>
      <c r="K797" s="16" t="str" cm="1">
        <f t="array" ref="K797">IF($A797="","",IFERROR((SUMPRODUCT((TRIM(tblDados[Mandante])=$A797)*tblDados[Primeira_Ocorrencia]*((tblDados[GM_M]+tblDados[GS_M])&gt;0.5))+SUMPRODUCT((TRIM(tblDados[Visitante])=$A797)*tblDados[Primeira_Ocorrencia]*((tblDados[GM_V]+tblDados[GS_V])&gt;0.5)))/G797,0))</f>
        <v/>
      </c>
      <c r="L797" s="16" t="str" cm="1">
        <f t="array" ref="L797">IF($A797="","",IFERROR((SUMPRODUCT((TRIM(tblDados[Mandante])=$A797)*tblDados[Primeira_Ocorrencia]*((tblDados[GM_M]+tblDados[GS_M])&gt;1.5))+SUMPRODUCT((TRIM(tblDados[Visitante])=$A797)*tblDados[Primeira_Ocorrencia]*((tblDados[GM_V]+tblDados[GS_V])&gt;1.5)))/G797,0))</f>
        <v/>
      </c>
      <c r="M797" s="16" t="str" cm="1">
        <f t="array" ref="M797">IF($A797="","",IFERROR((SUMPRODUCT((TRIM(tblDados[Mandante])=$A797)*tblDados[Primeira_Ocorrencia]*((tblDados[GM_M]+tblDados[GS_M])&gt;2.5))+SUMPRODUCT((TRIM(tblDados[Visitante])=$A797)*tblDados[Primeira_Ocorrencia]*((tblDados[GM_V]+tblDados[GS_V])&gt;2.5)))/G797,0))</f>
        <v/>
      </c>
      <c r="N797" s="16" t="str" cm="1">
        <f t="array" ref="N797">IF($A797="","",IFERROR((SUMPRODUCT((TRIM(tblDados[Mandante])=$A797)*tblDados[Primeira_Ocorrencia]*((tblDados[GM_M]+tblDados[GS_M])&gt;3.5))+SUMPRODUCT((TRIM(tblDados[Visitante])=$A797)*tblDados[Primeira_Ocorrencia]*((tblDados[GM_V]+tblDados[GS_V])&gt;3.5)))/G797,0))</f>
        <v/>
      </c>
      <c r="O797" s="16" t="str" cm="1">
        <f t="array" ref="O797">IF($A797="","",IFERROR((SUMPRODUCT((TRIM(tblDados[Mandante])=$A797)*tblDados[Primeira_Ocorrencia]*(tblDados[GM_M]&gt;0)*(tblDados[GS_M]&gt;0))+SUMPRODUCT((TRIM(tblDados[Visitante])=$A797)*tblDados[Primeira_Ocorrencia]*(tblDados[GM_V]&gt;0)*(tblDados[GS_V]&gt;0)))/G797,0))</f>
        <v/>
      </c>
      <c r="P797" s="14" t="str" cm="1">
        <f t="array" ref="P797">IF($A797="","",IFERROR((SUMPRODUCT((TRIM(tblDados[Mandante])=$A797)*tblDados[Primeira_Ocorrencia]*tblDados[GM_M]^2)+SUMPRODUCT((TRIM(tblDados[Visitante])=$A797)*tblDados[Primeira_Ocorrencia]*tblDados[GM_V]^2))/G797-H797^2,0))</f>
        <v/>
      </c>
      <c r="Q797" s="14" t="str">
        <f t="shared" si="213"/>
        <v/>
      </c>
      <c r="R797" s="1" t="str">
        <f t="shared" si="214"/>
        <v/>
      </c>
      <c r="S797" s="14" t="str" cm="1">
        <f t="array" ref="S797">IF($A797="","",SUMPRODUCT((TRIM(tblDados[Mandante])=$A797)*tblDados[Primeira_Ocorrencia]*tblDados[GM_M]))</f>
        <v/>
      </c>
      <c r="T797" s="14" t="str" cm="1">
        <f t="array" ref="T797">IF($A797="","",SUMPRODUCT((TRIM(tblDados[Visitante])=$A797)*tblDados[Primeira_Ocorrencia]*tblDados[GM_V]))</f>
        <v/>
      </c>
      <c r="U797" s="14" t="str">
        <f t="shared" si="215"/>
        <v/>
      </c>
      <c r="V797" s="14" t="str">
        <f t="shared" si="204"/>
        <v/>
      </c>
      <c r="W797" s="14" t="str" cm="1">
        <f t="array" ref="W797">IF($A797="","",SUMPRODUCT((TRIM(tblDados[Mandante])=$A797)*tblDados[Primeira_Ocorrencia]*tblDados[GS_M]))</f>
        <v/>
      </c>
      <c r="X797" s="14" t="str" cm="1">
        <f t="array" ref="X797">IF($A797="","",SUMPRODUCT((TRIM(tblDados[Visitante])=$A797)*tblDados[Primeira_Ocorrencia]*tblDados[GS_V]))</f>
        <v/>
      </c>
      <c r="Y797" s="14" t="str">
        <f t="shared" si="216"/>
        <v/>
      </c>
      <c r="Z797" s="14" t="str">
        <f t="shared" si="205"/>
        <v/>
      </c>
      <c r="AA797" s="14" t="str">
        <f t="shared" si="206"/>
        <v/>
      </c>
      <c r="AB797" s="14" t="str">
        <f t="shared" si="207"/>
        <v/>
      </c>
      <c r="AC797" s="14" t="str">
        <f t="shared" si="208"/>
        <v/>
      </c>
      <c r="AD797" s="14" t="str">
        <f t="shared" si="209"/>
        <v/>
      </c>
    </row>
    <row r="798" spans="2:30" x14ac:dyDescent="0.3">
      <c r="B798" s="13" t="str" cm="1">
        <f t="array" ref="B798">IF($A798="","",_xlfn.LET(_xlpm.p,IFERROR(INDEX(tblDados[País],MATCH($A798,TRIM(tblDados[Mandante]),0)),INDEX(tblDados[País],MATCH($A798,TRIM(tblDados[Visitante]),0))),_xlpm.l,IFERROR(INDEX(tblDados[Liga],MATCH($A798,TRIM(tblDados[Mandante]),0)),INDEX(tblDados[Liga],MATCH($A798,TRIM(tblDados[Visitante]),0))),_xlpm.p&amp;" - "&amp;_xlpm.l))</f>
        <v/>
      </c>
      <c r="C798" s="14" t="str">
        <f t="shared" si="210"/>
        <v/>
      </c>
      <c r="D798" s="14" t="str">
        <f t="shared" si="211"/>
        <v/>
      </c>
      <c r="E798" s="15" t="str" cm="1">
        <f t="array" ref="E798">IF($A798="","",SUMPRODUCT((TRIM(tblDados[Mandante])=$A798)*tblDados[Primeira_Ocorrencia]))</f>
        <v/>
      </c>
      <c r="F798" s="15" t="str" cm="1">
        <f t="array" ref="F798">IF($A798="","",SUMPRODUCT((TRIM(tblDados[Visitante])=$A798)*tblDados[Primeira_Ocorrencia]))</f>
        <v/>
      </c>
      <c r="G798" s="15" t="str" cm="1">
        <f t="array" ref="G798">IF($A798="","",SUMPRODUCT((TRIM(tblDados[Mandante])=$A798)*tblDados[Primeira_Ocorrencia])+SUMPRODUCT((TRIM(tblDados[Visitante])=$A798)*tblDados[Primeira_Ocorrencia]))</f>
        <v/>
      </c>
      <c r="H798" s="14" t="str">
        <f t="shared" si="212"/>
        <v/>
      </c>
      <c r="I798" s="14" t="str" cm="1">
        <f t="array" ref="I798">IF($A798="","",_xlfn.LET(_xlpm.p,IFERROR(INDEX(tblDados[País],MATCH($A798,TRIM(tblDados[Mandante]),0)),INDEX(tblDados[País],MATCH($A798,TRIM(tblDados[Visitante]),0))),_xlpm.l,IFERROR(INDEX(tblDados[Liga],MATCH($A798,TRIM(tblDados[Mandante]),0)),INDEX(tblDados[Liga],MATCH($A798,TRIM(tblDados[Visitante]),0))),IFERROR(SUMIFS(Ligas!$D$2:$D$39,Ligas!$H$2:$H$39,_xlpm.p,Ligas!$I$2:$I$39,_xlpm.l),0)))</f>
        <v/>
      </c>
      <c r="J798" s="16" t="str" cm="1">
        <f t="array" ref="J798">IF($A798="","",IFERROR((SUMPRODUCT((TRIM(tblDados[Mandante])=$A798)*tblDados[Primeira_Ocorrencia]*(tblDados[GM_M]=0))+SUMPRODUCT((TRIM(tblDados[Visitante])=$A798)*tblDados[Primeira_Ocorrencia]*(tblDados[GM_V]=0)))/G798,0))</f>
        <v/>
      </c>
      <c r="K798" s="16" t="str" cm="1">
        <f t="array" ref="K798">IF($A798="","",IFERROR((SUMPRODUCT((TRIM(tblDados[Mandante])=$A798)*tblDados[Primeira_Ocorrencia]*((tblDados[GM_M]+tblDados[GS_M])&gt;0.5))+SUMPRODUCT((TRIM(tblDados[Visitante])=$A798)*tblDados[Primeira_Ocorrencia]*((tblDados[GM_V]+tblDados[GS_V])&gt;0.5)))/G798,0))</f>
        <v/>
      </c>
      <c r="L798" s="16" t="str" cm="1">
        <f t="array" ref="L798">IF($A798="","",IFERROR((SUMPRODUCT((TRIM(tblDados[Mandante])=$A798)*tblDados[Primeira_Ocorrencia]*((tblDados[GM_M]+tblDados[GS_M])&gt;1.5))+SUMPRODUCT((TRIM(tblDados[Visitante])=$A798)*tblDados[Primeira_Ocorrencia]*((tblDados[GM_V]+tblDados[GS_V])&gt;1.5)))/G798,0))</f>
        <v/>
      </c>
      <c r="M798" s="16" t="str" cm="1">
        <f t="array" ref="M798">IF($A798="","",IFERROR((SUMPRODUCT((TRIM(tblDados[Mandante])=$A798)*tblDados[Primeira_Ocorrencia]*((tblDados[GM_M]+tblDados[GS_M])&gt;2.5))+SUMPRODUCT((TRIM(tblDados[Visitante])=$A798)*tblDados[Primeira_Ocorrencia]*((tblDados[GM_V]+tblDados[GS_V])&gt;2.5)))/G798,0))</f>
        <v/>
      </c>
      <c r="N798" s="16" t="str" cm="1">
        <f t="array" ref="N798">IF($A798="","",IFERROR((SUMPRODUCT((TRIM(tblDados[Mandante])=$A798)*tblDados[Primeira_Ocorrencia]*((tblDados[GM_M]+tblDados[GS_M])&gt;3.5))+SUMPRODUCT((TRIM(tblDados[Visitante])=$A798)*tblDados[Primeira_Ocorrencia]*((tblDados[GM_V]+tblDados[GS_V])&gt;3.5)))/G798,0))</f>
        <v/>
      </c>
      <c r="O798" s="16" t="str" cm="1">
        <f t="array" ref="O798">IF($A798="","",IFERROR((SUMPRODUCT((TRIM(tblDados[Mandante])=$A798)*tblDados[Primeira_Ocorrencia]*(tblDados[GM_M]&gt;0)*(tblDados[GS_M]&gt;0))+SUMPRODUCT((TRIM(tblDados[Visitante])=$A798)*tblDados[Primeira_Ocorrencia]*(tblDados[GM_V]&gt;0)*(tblDados[GS_V]&gt;0)))/G798,0))</f>
        <v/>
      </c>
      <c r="P798" s="14" t="str" cm="1">
        <f t="array" ref="P798">IF($A798="","",IFERROR((SUMPRODUCT((TRIM(tblDados[Mandante])=$A798)*tblDados[Primeira_Ocorrencia]*tblDados[GM_M]^2)+SUMPRODUCT((TRIM(tblDados[Visitante])=$A798)*tblDados[Primeira_Ocorrencia]*tblDados[GM_V]^2))/G798-H798^2,0))</f>
        <v/>
      </c>
      <c r="Q798" s="14" t="str">
        <f t="shared" si="213"/>
        <v/>
      </c>
      <c r="R798" s="1" t="str">
        <f t="shared" si="214"/>
        <v/>
      </c>
      <c r="S798" s="14" t="str" cm="1">
        <f t="array" ref="S798">IF($A798="","",SUMPRODUCT((TRIM(tblDados[Mandante])=$A798)*tblDados[Primeira_Ocorrencia]*tblDados[GM_M]))</f>
        <v/>
      </c>
      <c r="T798" s="14" t="str" cm="1">
        <f t="array" ref="T798">IF($A798="","",SUMPRODUCT((TRIM(tblDados[Visitante])=$A798)*tblDados[Primeira_Ocorrencia]*tblDados[GM_V]))</f>
        <v/>
      </c>
      <c r="U798" s="14" t="str">
        <f t="shared" si="215"/>
        <v/>
      </c>
      <c r="V798" s="14" t="str">
        <f t="shared" si="204"/>
        <v/>
      </c>
      <c r="W798" s="14" t="str" cm="1">
        <f t="array" ref="W798">IF($A798="","",SUMPRODUCT((TRIM(tblDados[Mandante])=$A798)*tblDados[Primeira_Ocorrencia]*tblDados[GS_M]))</f>
        <v/>
      </c>
      <c r="X798" s="14" t="str" cm="1">
        <f t="array" ref="X798">IF($A798="","",SUMPRODUCT((TRIM(tblDados[Visitante])=$A798)*tblDados[Primeira_Ocorrencia]*tblDados[GS_V]))</f>
        <v/>
      </c>
      <c r="Y798" s="14" t="str">
        <f t="shared" si="216"/>
        <v/>
      </c>
      <c r="Z798" s="14" t="str">
        <f t="shared" si="205"/>
        <v/>
      </c>
      <c r="AA798" s="14" t="str">
        <f t="shared" si="206"/>
        <v/>
      </c>
      <c r="AB798" s="14" t="str">
        <f t="shared" si="207"/>
        <v/>
      </c>
      <c r="AC798" s="14" t="str">
        <f t="shared" si="208"/>
        <v/>
      </c>
      <c r="AD798" s="14" t="str">
        <f t="shared" si="209"/>
        <v/>
      </c>
    </row>
    <row r="799" spans="2:30" x14ac:dyDescent="0.3">
      <c r="B799" s="13" t="str" cm="1">
        <f t="array" ref="B799">IF($A799="","",_xlfn.LET(_xlpm.p,IFERROR(INDEX(tblDados[País],MATCH($A799,TRIM(tblDados[Mandante]),0)),INDEX(tblDados[País],MATCH($A799,TRIM(tblDados[Visitante]),0))),_xlpm.l,IFERROR(INDEX(tblDados[Liga],MATCH($A799,TRIM(tblDados[Mandante]),0)),INDEX(tblDados[Liga],MATCH($A799,TRIM(tblDados[Visitante]),0))),_xlpm.p&amp;" - "&amp;_xlpm.l))</f>
        <v/>
      </c>
      <c r="C799" s="14" t="str">
        <f t="shared" si="210"/>
        <v/>
      </c>
      <c r="D799" s="14" t="str">
        <f t="shared" si="211"/>
        <v/>
      </c>
      <c r="E799" s="15" t="str" cm="1">
        <f t="array" ref="E799">IF($A799="","",SUMPRODUCT((TRIM(tblDados[Mandante])=$A799)*tblDados[Primeira_Ocorrencia]))</f>
        <v/>
      </c>
      <c r="F799" s="15" t="str" cm="1">
        <f t="array" ref="F799">IF($A799="","",SUMPRODUCT((TRIM(tblDados[Visitante])=$A799)*tblDados[Primeira_Ocorrencia]))</f>
        <v/>
      </c>
      <c r="G799" s="15" t="str" cm="1">
        <f t="array" ref="G799">IF($A799="","",SUMPRODUCT((TRIM(tblDados[Mandante])=$A799)*tblDados[Primeira_Ocorrencia])+SUMPRODUCT((TRIM(tblDados[Visitante])=$A799)*tblDados[Primeira_Ocorrencia]))</f>
        <v/>
      </c>
      <c r="H799" s="14" t="str">
        <f t="shared" si="212"/>
        <v/>
      </c>
      <c r="I799" s="14" t="str" cm="1">
        <f t="array" ref="I799">IF($A799="","",_xlfn.LET(_xlpm.p,IFERROR(INDEX(tblDados[País],MATCH($A799,TRIM(tblDados[Mandante]),0)),INDEX(tblDados[País],MATCH($A799,TRIM(tblDados[Visitante]),0))),_xlpm.l,IFERROR(INDEX(tblDados[Liga],MATCH($A799,TRIM(tblDados[Mandante]),0)),INDEX(tblDados[Liga],MATCH($A799,TRIM(tblDados[Visitante]),0))),IFERROR(SUMIFS(Ligas!$D$2:$D$39,Ligas!$H$2:$H$39,_xlpm.p,Ligas!$I$2:$I$39,_xlpm.l),0)))</f>
        <v/>
      </c>
      <c r="J799" s="16" t="str" cm="1">
        <f t="array" ref="J799">IF($A799="","",IFERROR((SUMPRODUCT((TRIM(tblDados[Mandante])=$A799)*tblDados[Primeira_Ocorrencia]*(tblDados[GM_M]=0))+SUMPRODUCT((TRIM(tblDados[Visitante])=$A799)*tblDados[Primeira_Ocorrencia]*(tblDados[GM_V]=0)))/G799,0))</f>
        <v/>
      </c>
      <c r="K799" s="16" t="str" cm="1">
        <f t="array" ref="K799">IF($A799="","",IFERROR((SUMPRODUCT((TRIM(tblDados[Mandante])=$A799)*tblDados[Primeira_Ocorrencia]*((tblDados[GM_M]+tblDados[GS_M])&gt;0.5))+SUMPRODUCT((TRIM(tblDados[Visitante])=$A799)*tblDados[Primeira_Ocorrencia]*((tblDados[GM_V]+tblDados[GS_V])&gt;0.5)))/G799,0))</f>
        <v/>
      </c>
      <c r="L799" s="16" t="str" cm="1">
        <f t="array" ref="L799">IF($A799="","",IFERROR((SUMPRODUCT((TRIM(tblDados[Mandante])=$A799)*tblDados[Primeira_Ocorrencia]*((tblDados[GM_M]+tblDados[GS_M])&gt;1.5))+SUMPRODUCT((TRIM(tblDados[Visitante])=$A799)*tblDados[Primeira_Ocorrencia]*((tblDados[GM_V]+tblDados[GS_V])&gt;1.5)))/G799,0))</f>
        <v/>
      </c>
      <c r="M799" s="16" t="str" cm="1">
        <f t="array" ref="M799">IF($A799="","",IFERROR((SUMPRODUCT((TRIM(tblDados[Mandante])=$A799)*tblDados[Primeira_Ocorrencia]*((tblDados[GM_M]+tblDados[GS_M])&gt;2.5))+SUMPRODUCT((TRIM(tblDados[Visitante])=$A799)*tblDados[Primeira_Ocorrencia]*((tblDados[GM_V]+tblDados[GS_V])&gt;2.5)))/G799,0))</f>
        <v/>
      </c>
      <c r="N799" s="16" t="str" cm="1">
        <f t="array" ref="N799">IF($A799="","",IFERROR((SUMPRODUCT((TRIM(tblDados[Mandante])=$A799)*tblDados[Primeira_Ocorrencia]*((tblDados[GM_M]+tblDados[GS_M])&gt;3.5))+SUMPRODUCT((TRIM(tblDados[Visitante])=$A799)*tblDados[Primeira_Ocorrencia]*((tblDados[GM_V]+tblDados[GS_V])&gt;3.5)))/G799,0))</f>
        <v/>
      </c>
      <c r="O799" s="16" t="str" cm="1">
        <f t="array" ref="O799">IF($A799="","",IFERROR((SUMPRODUCT((TRIM(tblDados[Mandante])=$A799)*tblDados[Primeira_Ocorrencia]*(tblDados[GM_M]&gt;0)*(tblDados[GS_M]&gt;0))+SUMPRODUCT((TRIM(tblDados[Visitante])=$A799)*tblDados[Primeira_Ocorrencia]*(tblDados[GM_V]&gt;0)*(tblDados[GS_V]&gt;0)))/G799,0))</f>
        <v/>
      </c>
      <c r="P799" s="14" t="str" cm="1">
        <f t="array" ref="P799">IF($A799="","",IFERROR((SUMPRODUCT((TRIM(tblDados[Mandante])=$A799)*tblDados[Primeira_Ocorrencia]*tblDados[GM_M]^2)+SUMPRODUCT((TRIM(tblDados[Visitante])=$A799)*tblDados[Primeira_Ocorrencia]*tblDados[GM_V]^2))/G799-H799^2,0))</f>
        <v/>
      </c>
      <c r="Q799" s="14" t="str">
        <f t="shared" si="213"/>
        <v/>
      </c>
      <c r="R799" s="1" t="str">
        <f t="shared" si="214"/>
        <v/>
      </c>
      <c r="S799" s="14" t="str" cm="1">
        <f t="array" ref="S799">IF($A799="","",SUMPRODUCT((TRIM(tblDados[Mandante])=$A799)*tblDados[Primeira_Ocorrencia]*tblDados[GM_M]))</f>
        <v/>
      </c>
      <c r="T799" s="14" t="str" cm="1">
        <f t="array" ref="T799">IF($A799="","",SUMPRODUCT((TRIM(tblDados[Visitante])=$A799)*tblDados[Primeira_Ocorrencia]*tblDados[GM_V]))</f>
        <v/>
      </c>
      <c r="U799" s="14" t="str">
        <f t="shared" si="215"/>
        <v/>
      </c>
      <c r="V799" s="14" t="str">
        <f t="shared" si="204"/>
        <v/>
      </c>
      <c r="W799" s="14" t="str" cm="1">
        <f t="array" ref="W799">IF($A799="","",SUMPRODUCT((TRIM(tblDados[Mandante])=$A799)*tblDados[Primeira_Ocorrencia]*tblDados[GS_M]))</f>
        <v/>
      </c>
      <c r="X799" s="14" t="str" cm="1">
        <f t="array" ref="X799">IF($A799="","",SUMPRODUCT((TRIM(tblDados[Visitante])=$A799)*tblDados[Primeira_Ocorrencia]*tblDados[GS_V]))</f>
        <v/>
      </c>
      <c r="Y799" s="14" t="str">
        <f t="shared" si="216"/>
        <v/>
      </c>
      <c r="Z799" s="14" t="str">
        <f t="shared" si="205"/>
        <v/>
      </c>
      <c r="AA799" s="14" t="str">
        <f t="shared" si="206"/>
        <v/>
      </c>
      <c r="AB799" s="14" t="str">
        <f t="shared" si="207"/>
        <v/>
      </c>
      <c r="AC799" s="14" t="str">
        <f t="shared" si="208"/>
        <v/>
      </c>
      <c r="AD799" s="14" t="str">
        <f t="shared" si="209"/>
        <v/>
      </c>
    </row>
    <row r="800" spans="2:30" x14ac:dyDescent="0.3">
      <c r="B800" s="13" t="str" cm="1">
        <f t="array" ref="B800">IF($A800="","",_xlfn.LET(_xlpm.p,IFERROR(INDEX(tblDados[País],MATCH($A800,TRIM(tblDados[Mandante]),0)),INDEX(tblDados[País],MATCH($A800,TRIM(tblDados[Visitante]),0))),_xlpm.l,IFERROR(INDEX(tblDados[Liga],MATCH($A800,TRIM(tblDados[Mandante]),0)),INDEX(tblDados[Liga],MATCH($A800,TRIM(tblDados[Visitante]),0))),_xlpm.p&amp;" - "&amp;_xlpm.l))</f>
        <v/>
      </c>
      <c r="C800" s="14" t="str">
        <f t="shared" si="210"/>
        <v/>
      </c>
      <c r="D800" s="14" t="str">
        <f t="shared" si="211"/>
        <v/>
      </c>
      <c r="E800" s="15" t="str" cm="1">
        <f t="array" ref="E800">IF($A800="","",SUMPRODUCT((TRIM(tblDados[Mandante])=$A800)*tblDados[Primeira_Ocorrencia]))</f>
        <v/>
      </c>
      <c r="F800" s="15" t="str" cm="1">
        <f t="array" ref="F800">IF($A800="","",SUMPRODUCT((TRIM(tblDados[Visitante])=$A800)*tblDados[Primeira_Ocorrencia]))</f>
        <v/>
      </c>
      <c r="G800" s="15" t="str" cm="1">
        <f t="array" ref="G800">IF($A800="","",SUMPRODUCT((TRIM(tblDados[Mandante])=$A800)*tblDados[Primeira_Ocorrencia])+SUMPRODUCT((TRIM(tblDados[Visitante])=$A800)*tblDados[Primeira_Ocorrencia]))</f>
        <v/>
      </c>
      <c r="H800" s="14" t="str">
        <f t="shared" si="212"/>
        <v/>
      </c>
      <c r="I800" s="14" t="str" cm="1">
        <f t="array" ref="I800">IF($A800="","",_xlfn.LET(_xlpm.p,IFERROR(INDEX(tblDados[País],MATCH($A800,TRIM(tblDados[Mandante]),0)),INDEX(tblDados[País],MATCH($A800,TRIM(tblDados[Visitante]),0))),_xlpm.l,IFERROR(INDEX(tblDados[Liga],MATCH($A800,TRIM(tblDados[Mandante]),0)),INDEX(tblDados[Liga],MATCH($A800,TRIM(tblDados[Visitante]),0))),IFERROR(SUMIFS(Ligas!$D$2:$D$39,Ligas!$H$2:$H$39,_xlpm.p,Ligas!$I$2:$I$39,_xlpm.l),0)))</f>
        <v/>
      </c>
      <c r="J800" s="16" t="str" cm="1">
        <f t="array" ref="J800">IF($A800="","",IFERROR((SUMPRODUCT((TRIM(tblDados[Mandante])=$A800)*tblDados[Primeira_Ocorrencia]*(tblDados[GM_M]=0))+SUMPRODUCT((TRIM(tblDados[Visitante])=$A800)*tblDados[Primeira_Ocorrencia]*(tblDados[GM_V]=0)))/G800,0))</f>
        <v/>
      </c>
      <c r="K800" s="16" t="str" cm="1">
        <f t="array" ref="K800">IF($A800="","",IFERROR((SUMPRODUCT((TRIM(tblDados[Mandante])=$A800)*tblDados[Primeira_Ocorrencia]*((tblDados[GM_M]+tblDados[GS_M])&gt;0.5))+SUMPRODUCT((TRIM(tblDados[Visitante])=$A800)*tblDados[Primeira_Ocorrencia]*((tblDados[GM_V]+tblDados[GS_V])&gt;0.5)))/G800,0))</f>
        <v/>
      </c>
      <c r="L800" s="16" t="str" cm="1">
        <f t="array" ref="L800">IF($A800="","",IFERROR((SUMPRODUCT((TRIM(tblDados[Mandante])=$A800)*tblDados[Primeira_Ocorrencia]*((tblDados[GM_M]+tblDados[GS_M])&gt;1.5))+SUMPRODUCT((TRIM(tblDados[Visitante])=$A800)*tblDados[Primeira_Ocorrencia]*((tblDados[GM_V]+tblDados[GS_V])&gt;1.5)))/G800,0))</f>
        <v/>
      </c>
      <c r="M800" s="16" t="str" cm="1">
        <f t="array" ref="M800">IF($A800="","",IFERROR((SUMPRODUCT((TRIM(tblDados[Mandante])=$A800)*tblDados[Primeira_Ocorrencia]*((tblDados[GM_M]+tblDados[GS_M])&gt;2.5))+SUMPRODUCT((TRIM(tblDados[Visitante])=$A800)*tblDados[Primeira_Ocorrencia]*((tblDados[GM_V]+tblDados[GS_V])&gt;2.5)))/G800,0))</f>
        <v/>
      </c>
      <c r="N800" s="16" t="str" cm="1">
        <f t="array" ref="N800">IF($A800="","",IFERROR((SUMPRODUCT((TRIM(tblDados[Mandante])=$A800)*tblDados[Primeira_Ocorrencia]*((tblDados[GM_M]+tblDados[GS_M])&gt;3.5))+SUMPRODUCT((TRIM(tblDados[Visitante])=$A800)*tblDados[Primeira_Ocorrencia]*((tblDados[GM_V]+tblDados[GS_V])&gt;3.5)))/G800,0))</f>
        <v/>
      </c>
      <c r="O800" s="16" t="str" cm="1">
        <f t="array" ref="O800">IF($A800="","",IFERROR((SUMPRODUCT((TRIM(tblDados[Mandante])=$A800)*tblDados[Primeira_Ocorrencia]*(tblDados[GM_M]&gt;0)*(tblDados[GS_M]&gt;0))+SUMPRODUCT((TRIM(tblDados[Visitante])=$A800)*tblDados[Primeira_Ocorrencia]*(tblDados[GM_V]&gt;0)*(tblDados[GS_V]&gt;0)))/G800,0))</f>
        <v/>
      </c>
      <c r="P800" s="14" t="str" cm="1">
        <f t="array" ref="P800">IF($A800="","",IFERROR((SUMPRODUCT((TRIM(tblDados[Mandante])=$A800)*tblDados[Primeira_Ocorrencia]*tblDados[GM_M]^2)+SUMPRODUCT((TRIM(tblDados[Visitante])=$A800)*tblDados[Primeira_Ocorrencia]*tblDados[GM_V]^2))/G800-H800^2,0))</f>
        <v/>
      </c>
      <c r="Q800" s="14" t="str">
        <f t="shared" si="213"/>
        <v/>
      </c>
      <c r="R800" s="1" t="str">
        <f t="shared" si="214"/>
        <v/>
      </c>
      <c r="S800" s="14" t="str" cm="1">
        <f t="array" ref="S800">IF($A800="","",SUMPRODUCT((TRIM(tblDados[Mandante])=$A800)*tblDados[Primeira_Ocorrencia]*tblDados[GM_M]))</f>
        <v/>
      </c>
      <c r="T800" s="14" t="str" cm="1">
        <f t="array" ref="T800">IF($A800="","",SUMPRODUCT((TRIM(tblDados[Visitante])=$A800)*tblDados[Primeira_Ocorrencia]*tblDados[GM_V]))</f>
        <v/>
      </c>
      <c r="U800" s="14" t="str">
        <f t="shared" si="215"/>
        <v/>
      </c>
      <c r="V800" s="14" t="str">
        <f t="shared" si="204"/>
        <v/>
      </c>
      <c r="W800" s="14" t="str" cm="1">
        <f t="array" ref="W800">IF($A800="","",SUMPRODUCT((TRIM(tblDados[Mandante])=$A800)*tblDados[Primeira_Ocorrencia]*tblDados[GS_M]))</f>
        <v/>
      </c>
      <c r="X800" s="14" t="str" cm="1">
        <f t="array" ref="X800">IF($A800="","",SUMPRODUCT((TRIM(tblDados[Visitante])=$A800)*tblDados[Primeira_Ocorrencia]*tblDados[GS_V]))</f>
        <v/>
      </c>
      <c r="Y800" s="14" t="str">
        <f t="shared" si="216"/>
        <v/>
      </c>
      <c r="Z800" s="14" t="str">
        <f t="shared" si="205"/>
        <v/>
      </c>
      <c r="AA800" s="14" t="str">
        <f t="shared" si="206"/>
        <v/>
      </c>
      <c r="AB800" s="14" t="str">
        <f t="shared" si="207"/>
        <v/>
      </c>
      <c r="AC800" s="14" t="str">
        <f t="shared" si="208"/>
        <v/>
      </c>
      <c r="AD800" s="14" t="str">
        <f t="shared" si="209"/>
        <v/>
      </c>
    </row>
    <row r="801" spans="2:30" x14ac:dyDescent="0.3">
      <c r="B801" s="13" t="str" cm="1">
        <f t="array" ref="B801">IF($A801="","",_xlfn.LET(_xlpm.p,IFERROR(INDEX(tblDados[País],MATCH($A801,TRIM(tblDados[Mandante]),0)),INDEX(tblDados[País],MATCH($A801,TRIM(tblDados[Visitante]),0))),_xlpm.l,IFERROR(INDEX(tblDados[Liga],MATCH($A801,TRIM(tblDados[Mandante]),0)),INDEX(tblDados[Liga],MATCH($A801,TRIM(tblDados[Visitante]),0))),_xlpm.p&amp;" - "&amp;_xlpm.l))</f>
        <v/>
      </c>
      <c r="C801" s="14" t="str">
        <f t="shared" si="210"/>
        <v/>
      </c>
      <c r="D801" s="14" t="str">
        <f t="shared" si="211"/>
        <v/>
      </c>
      <c r="E801" s="15" t="str" cm="1">
        <f t="array" ref="E801">IF($A801="","",SUMPRODUCT((TRIM(tblDados[Mandante])=$A801)*tblDados[Primeira_Ocorrencia]))</f>
        <v/>
      </c>
      <c r="F801" s="15" t="str" cm="1">
        <f t="array" ref="F801">IF($A801="","",SUMPRODUCT((TRIM(tblDados[Visitante])=$A801)*tblDados[Primeira_Ocorrencia]))</f>
        <v/>
      </c>
      <c r="G801" s="15" t="str" cm="1">
        <f t="array" ref="G801">IF($A801="","",SUMPRODUCT((TRIM(tblDados[Mandante])=$A801)*tblDados[Primeira_Ocorrencia])+SUMPRODUCT((TRIM(tblDados[Visitante])=$A801)*tblDados[Primeira_Ocorrencia]))</f>
        <v/>
      </c>
      <c r="H801" s="14" t="str">
        <f t="shared" si="212"/>
        <v/>
      </c>
      <c r="I801" s="14" t="str" cm="1">
        <f t="array" ref="I801">IF($A801="","",_xlfn.LET(_xlpm.p,IFERROR(INDEX(tblDados[País],MATCH($A801,TRIM(tblDados[Mandante]),0)),INDEX(tblDados[País],MATCH($A801,TRIM(tblDados[Visitante]),0))),_xlpm.l,IFERROR(INDEX(tblDados[Liga],MATCH($A801,TRIM(tblDados[Mandante]),0)),INDEX(tblDados[Liga],MATCH($A801,TRIM(tblDados[Visitante]),0))),IFERROR(SUMIFS(Ligas!$D$2:$D$39,Ligas!$H$2:$H$39,_xlpm.p,Ligas!$I$2:$I$39,_xlpm.l),0)))</f>
        <v/>
      </c>
      <c r="J801" s="16" t="str" cm="1">
        <f t="array" ref="J801">IF($A801="","",IFERROR((SUMPRODUCT((TRIM(tblDados[Mandante])=$A801)*tblDados[Primeira_Ocorrencia]*(tblDados[GM_M]=0))+SUMPRODUCT((TRIM(tblDados[Visitante])=$A801)*tblDados[Primeira_Ocorrencia]*(tblDados[GM_V]=0)))/G801,0))</f>
        <v/>
      </c>
      <c r="K801" s="16" t="str" cm="1">
        <f t="array" ref="K801">IF($A801="","",IFERROR((SUMPRODUCT((TRIM(tblDados[Mandante])=$A801)*tblDados[Primeira_Ocorrencia]*((tblDados[GM_M]+tblDados[GS_M])&gt;0.5))+SUMPRODUCT((TRIM(tblDados[Visitante])=$A801)*tblDados[Primeira_Ocorrencia]*((tblDados[GM_V]+tblDados[GS_V])&gt;0.5)))/G801,0))</f>
        <v/>
      </c>
      <c r="L801" s="16" t="str" cm="1">
        <f t="array" ref="L801">IF($A801="","",IFERROR((SUMPRODUCT((TRIM(tblDados[Mandante])=$A801)*tblDados[Primeira_Ocorrencia]*((tblDados[GM_M]+tblDados[GS_M])&gt;1.5))+SUMPRODUCT((TRIM(tblDados[Visitante])=$A801)*tblDados[Primeira_Ocorrencia]*((tblDados[GM_V]+tblDados[GS_V])&gt;1.5)))/G801,0))</f>
        <v/>
      </c>
      <c r="M801" s="16" t="str" cm="1">
        <f t="array" ref="M801">IF($A801="","",IFERROR((SUMPRODUCT((TRIM(tblDados[Mandante])=$A801)*tblDados[Primeira_Ocorrencia]*((tblDados[GM_M]+tblDados[GS_M])&gt;2.5))+SUMPRODUCT((TRIM(tblDados[Visitante])=$A801)*tblDados[Primeira_Ocorrencia]*((tblDados[GM_V]+tblDados[GS_V])&gt;2.5)))/G801,0))</f>
        <v/>
      </c>
      <c r="N801" s="16" t="str" cm="1">
        <f t="array" ref="N801">IF($A801="","",IFERROR((SUMPRODUCT((TRIM(tblDados[Mandante])=$A801)*tblDados[Primeira_Ocorrencia]*((tblDados[GM_M]+tblDados[GS_M])&gt;3.5))+SUMPRODUCT((TRIM(tblDados[Visitante])=$A801)*tblDados[Primeira_Ocorrencia]*((tblDados[GM_V]+tblDados[GS_V])&gt;3.5)))/G801,0))</f>
        <v/>
      </c>
      <c r="O801" s="16" t="str" cm="1">
        <f t="array" ref="O801">IF($A801="","",IFERROR((SUMPRODUCT((TRIM(tblDados[Mandante])=$A801)*tblDados[Primeira_Ocorrencia]*(tblDados[GM_M]&gt;0)*(tblDados[GS_M]&gt;0))+SUMPRODUCT((TRIM(tblDados[Visitante])=$A801)*tblDados[Primeira_Ocorrencia]*(tblDados[GM_V]&gt;0)*(tblDados[GS_V]&gt;0)))/G801,0))</f>
        <v/>
      </c>
      <c r="P801" s="14" t="str" cm="1">
        <f t="array" ref="P801">IF($A801="","",IFERROR((SUMPRODUCT((TRIM(tblDados[Mandante])=$A801)*tblDados[Primeira_Ocorrencia]*tblDados[GM_M]^2)+SUMPRODUCT((TRIM(tblDados[Visitante])=$A801)*tblDados[Primeira_Ocorrencia]*tblDados[GM_V]^2))/G801-H801^2,0))</f>
        <v/>
      </c>
      <c r="Q801" s="14" t="str">
        <f t="shared" si="213"/>
        <v/>
      </c>
      <c r="R801" s="1" t="str">
        <f t="shared" si="214"/>
        <v/>
      </c>
      <c r="S801" s="14" t="str" cm="1">
        <f t="array" ref="S801">IF($A801="","",SUMPRODUCT((TRIM(tblDados[Mandante])=$A801)*tblDados[Primeira_Ocorrencia]*tblDados[GM_M]))</f>
        <v/>
      </c>
      <c r="T801" s="14" t="str" cm="1">
        <f t="array" ref="T801">IF($A801="","",SUMPRODUCT((TRIM(tblDados[Visitante])=$A801)*tblDados[Primeira_Ocorrencia]*tblDados[GM_V]))</f>
        <v/>
      </c>
      <c r="U801" s="14" t="str">
        <f t="shared" si="215"/>
        <v/>
      </c>
      <c r="V801" s="14" t="str">
        <f t="shared" si="204"/>
        <v/>
      </c>
      <c r="W801" s="14" t="str" cm="1">
        <f t="array" ref="W801">IF($A801="","",SUMPRODUCT((TRIM(tblDados[Mandante])=$A801)*tblDados[Primeira_Ocorrencia]*tblDados[GS_M]))</f>
        <v/>
      </c>
      <c r="X801" s="14" t="str" cm="1">
        <f t="array" ref="X801">IF($A801="","",SUMPRODUCT((TRIM(tblDados[Visitante])=$A801)*tblDados[Primeira_Ocorrencia]*tblDados[GS_V]))</f>
        <v/>
      </c>
      <c r="Y801" s="14" t="str">
        <f t="shared" si="216"/>
        <v/>
      </c>
      <c r="Z801" s="14" t="str">
        <f t="shared" si="205"/>
        <v/>
      </c>
      <c r="AA801" s="14" t="str">
        <f t="shared" si="206"/>
        <v/>
      </c>
      <c r="AB801" s="14" t="str">
        <f t="shared" si="207"/>
        <v/>
      </c>
      <c r="AC801" s="14" t="str">
        <f t="shared" si="208"/>
        <v/>
      </c>
      <c r="AD801" s="14" t="str">
        <f t="shared" si="209"/>
        <v/>
      </c>
    </row>
    <row r="802" spans="2:30" x14ac:dyDescent="0.3">
      <c r="B802" s="13" t="str" cm="1">
        <f t="array" ref="B802">IF($A802="","",_xlfn.LET(_xlpm.p,IFERROR(INDEX(tblDados[País],MATCH($A802,TRIM(tblDados[Mandante]),0)),INDEX(tblDados[País],MATCH($A802,TRIM(tblDados[Visitante]),0))),_xlpm.l,IFERROR(INDEX(tblDados[Liga],MATCH($A802,TRIM(tblDados[Mandante]),0)),INDEX(tblDados[Liga],MATCH($A802,TRIM(tblDados[Visitante]),0))),_xlpm.p&amp;" - "&amp;_xlpm.l))</f>
        <v/>
      </c>
      <c r="C802" s="14" t="str">
        <f t="shared" si="210"/>
        <v/>
      </c>
      <c r="D802" s="14" t="str">
        <f t="shared" si="211"/>
        <v/>
      </c>
      <c r="E802" s="15" t="str" cm="1">
        <f t="array" ref="E802">IF($A802="","",SUMPRODUCT((TRIM(tblDados[Mandante])=$A802)*tblDados[Primeira_Ocorrencia]))</f>
        <v/>
      </c>
      <c r="F802" s="15" t="str" cm="1">
        <f t="array" ref="F802">IF($A802="","",SUMPRODUCT((TRIM(tblDados[Visitante])=$A802)*tblDados[Primeira_Ocorrencia]))</f>
        <v/>
      </c>
      <c r="G802" s="15" t="str" cm="1">
        <f t="array" ref="G802">IF($A802="","",SUMPRODUCT((TRIM(tblDados[Mandante])=$A802)*tblDados[Primeira_Ocorrencia])+SUMPRODUCT((TRIM(tblDados[Visitante])=$A802)*tblDados[Primeira_Ocorrencia]))</f>
        <v/>
      </c>
      <c r="H802" s="14" t="str">
        <f t="shared" si="212"/>
        <v/>
      </c>
      <c r="I802" s="14" t="str" cm="1">
        <f t="array" ref="I802">IF($A802="","",_xlfn.LET(_xlpm.p,IFERROR(INDEX(tblDados[País],MATCH($A802,TRIM(tblDados[Mandante]),0)),INDEX(tblDados[País],MATCH($A802,TRIM(tblDados[Visitante]),0))),_xlpm.l,IFERROR(INDEX(tblDados[Liga],MATCH($A802,TRIM(tblDados[Mandante]),0)),INDEX(tblDados[Liga],MATCH($A802,TRIM(tblDados[Visitante]),0))),IFERROR(SUMIFS(Ligas!$D$2:$D$39,Ligas!$H$2:$H$39,_xlpm.p,Ligas!$I$2:$I$39,_xlpm.l),0)))</f>
        <v/>
      </c>
      <c r="J802" s="16" t="str" cm="1">
        <f t="array" ref="J802">IF($A802="","",IFERROR((SUMPRODUCT((TRIM(tblDados[Mandante])=$A802)*tblDados[Primeira_Ocorrencia]*(tblDados[GM_M]=0))+SUMPRODUCT((TRIM(tblDados[Visitante])=$A802)*tblDados[Primeira_Ocorrencia]*(tblDados[GM_V]=0)))/G802,0))</f>
        <v/>
      </c>
      <c r="K802" s="16" t="str" cm="1">
        <f t="array" ref="K802">IF($A802="","",IFERROR((SUMPRODUCT((TRIM(tblDados[Mandante])=$A802)*tblDados[Primeira_Ocorrencia]*((tblDados[GM_M]+tblDados[GS_M])&gt;0.5))+SUMPRODUCT((TRIM(tblDados[Visitante])=$A802)*tblDados[Primeira_Ocorrencia]*((tblDados[GM_V]+tblDados[GS_V])&gt;0.5)))/G802,0))</f>
        <v/>
      </c>
      <c r="L802" s="16" t="str" cm="1">
        <f t="array" ref="L802">IF($A802="","",IFERROR((SUMPRODUCT((TRIM(tblDados[Mandante])=$A802)*tblDados[Primeira_Ocorrencia]*((tblDados[GM_M]+tblDados[GS_M])&gt;1.5))+SUMPRODUCT((TRIM(tblDados[Visitante])=$A802)*tblDados[Primeira_Ocorrencia]*((tblDados[GM_V]+tblDados[GS_V])&gt;1.5)))/G802,0))</f>
        <v/>
      </c>
      <c r="M802" s="16" t="str" cm="1">
        <f t="array" ref="M802">IF($A802="","",IFERROR((SUMPRODUCT((TRIM(tblDados[Mandante])=$A802)*tblDados[Primeira_Ocorrencia]*((tblDados[GM_M]+tblDados[GS_M])&gt;2.5))+SUMPRODUCT((TRIM(tblDados[Visitante])=$A802)*tblDados[Primeira_Ocorrencia]*((tblDados[GM_V]+tblDados[GS_V])&gt;2.5)))/G802,0))</f>
        <v/>
      </c>
      <c r="N802" s="16" t="str" cm="1">
        <f t="array" ref="N802">IF($A802="","",IFERROR((SUMPRODUCT((TRIM(tblDados[Mandante])=$A802)*tblDados[Primeira_Ocorrencia]*((tblDados[GM_M]+tblDados[GS_M])&gt;3.5))+SUMPRODUCT((TRIM(tblDados[Visitante])=$A802)*tblDados[Primeira_Ocorrencia]*((tblDados[GM_V]+tblDados[GS_V])&gt;3.5)))/G802,0))</f>
        <v/>
      </c>
      <c r="O802" s="16" t="str" cm="1">
        <f t="array" ref="O802">IF($A802="","",IFERROR((SUMPRODUCT((TRIM(tblDados[Mandante])=$A802)*tblDados[Primeira_Ocorrencia]*(tblDados[GM_M]&gt;0)*(tblDados[GS_M]&gt;0))+SUMPRODUCT((TRIM(tblDados[Visitante])=$A802)*tblDados[Primeira_Ocorrencia]*(tblDados[GM_V]&gt;0)*(tblDados[GS_V]&gt;0)))/G802,0))</f>
        <v/>
      </c>
      <c r="P802" s="14" t="str" cm="1">
        <f t="array" ref="P802">IF($A802="","",IFERROR((SUMPRODUCT((TRIM(tblDados[Mandante])=$A802)*tblDados[Primeira_Ocorrencia]*tblDados[GM_M]^2)+SUMPRODUCT((TRIM(tblDados[Visitante])=$A802)*tblDados[Primeira_Ocorrencia]*tblDados[GM_V]^2))/G802-H802^2,0))</f>
        <v/>
      </c>
      <c r="Q802" s="14" t="str">
        <f t="shared" si="213"/>
        <v/>
      </c>
      <c r="R802" s="1" t="str">
        <f t="shared" si="214"/>
        <v/>
      </c>
      <c r="S802" s="14" t="str" cm="1">
        <f t="array" ref="S802">IF($A802="","",SUMPRODUCT((TRIM(tblDados[Mandante])=$A802)*tblDados[Primeira_Ocorrencia]*tblDados[GM_M]))</f>
        <v/>
      </c>
      <c r="T802" s="14" t="str" cm="1">
        <f t="array" ref="T802">IF($A802="","",SUMPRODUCT((TRIM(tblDados[Visitante])=$A802)*tblDados[Primeira_Ocorrencia]*tblDados[GM_V]))</f>
        <v/>
      </c>
      <c r="U802" s="14" t="str">
        <f t="shared" si="215"/>
        <v/>
      </c>
      <c r="V802" s="14" t="str">
        <f t="shared" si="204"/>
        <v/>
      </c>
      <c r="W802" s="14" t="str" cm="1">
        <f t="array" ref="W802">IF($A802="","",SUMPRODUCT((TRIM(tblDados[Mandante])=$A802)*tblDados[Primeira_Ocorrencia]*tblDados[GS_M]))</f>
        <v/>
      </c>
      <c r="X802" s="14" t="str" cm="1">
        <f t="array" ref="X802">IF($A802="","",SUMPRODUCT((TRIM(tblDados[Visitante])=$A802)*tblDados[Primeira_Ocorrencia]*tblDados[GS_V]))</f>
        <v/>
      </c>
      <c r="Y802" s="14" t="str">
        <f t="shared" si="216"/>
        <v/>
      </c>
      <c r="Z802" s="14" t="str">
        <f t="shared" si="205"/>
        <v/>
      </c>
      <c r="AA802" s="14" t="str">
        <f t="shared" si="206"/>
        <v/>
      </c>
      <c r="AB802" s="14" t="str">
        <f t="shared" si="207"/>
        <v/>
      </c>
      <c r="AC802" s="14" t="str">
        <f t="shared" si="208"/>
        <v/>
      </c>
      <c r="AD802" s="14" t="str">
        <f t="shared" si="209"/>
        <v/>
      </c>
    </row>
    <row r="803" spans="2:30" x14ac:dyDescent="0.3">
      <c r="B803" s="13" t="str" cm="1">
        <f t="array" ref="B803">IF($A803="","",_xlfn.LET(_xlpm.p,IFERROR(INDEX(tblDados[País],MATCH($A803,TRIM(tblDados[Mandante]),0)),INDEX(tblDados[País],MATCH($A803,TRIM(tblDados[Visitante]),0))),_xlpm.l,IFERROR(INDEX(tblDados[Liga],MATCH($A803,TRIM(tblDados[Mandante]),0)),INDEX(tblDados[Liga],MATCH($A803,TRIM(tblDados[Visitante]),0))),_xlpm.p&amp;" - "&amp;_xlpm.l))</f>
        <v/>
      </c>
      <c r="C803" s="14" t="str">
        <f t="shared" si="210"/>
        <v/>
      </c>
      <c r="D803" s="14" t="str">
        <f t="shared" si="211"/>
        <v/>
      </c>
      <c r="E803" s="15" t="str" cm="1">
        <f t="array" ref="E803">IF($A803="","",SUMPRODUCT((TRIM(tblDados[Mandante])=$A803)*tblDados[Primeira_Ocorrencia]))</f>
        <v/>
      </c>
      <c r="F803" s="15" t="str" cm="1">
        <f t="array" ref="F803">IF($A803="","",SUMPRODUCT((TRIM(tblDados[Visitante])=$A803)*tblDados[Primeira_Ocorrencia]))</f>
        <v/>
      </c>
      <c r="G803" s="15" t="str" cm="1">
        <f t="array" ref="G803">IF($A803="","",SUMPRODUCT((TRIM(tblDados[Mandante])=$A803)*tblDados[Primeira_Ocorrencia])+SUMPRODUCT((TRIM(tblDados[Visitante])=$A803)*tblDados[Primeira_Ocorrencia]))</f>
        <v/>
      </c>
      <c r="H803" s="14" t="str">
        <f t="shared" si="212"/>
        <v/>
      </c>
      <c r="I803" s="14" t="str" cm="1">
        <f t="array" ref="I803">IF($A803="","",_xlfn.LET(_xlpm.p,IFERROR(INDEX(tblDados[País],MATCH($A803,TRIM(tblDados[Mandante]),0)),INDEX(tblDados[País],MATCH($A803,TRIM(tblDados[Visitante]),0))),_xlpm.l,IFERROR(INDEX(tblDados[Liga],MATCH($A803,TRIM(tblDados[Mandante]),0)),INDEX(tblDados[Liga],MATCH($A803,TRIM(tblDados[Visitante]),0))),IFERROR(SUMIFS(Ligas!$D$2:$D$39,Ligas!$H$2:$H$39,_xlpm.p,Ligas!$I$2:$I$39,_xlpm.l),0)))</f>
        <v/>
      </c>
      <c r="J803" s="16" t="str" cm="1">
        <f t="array" ref="J803">IF($A803="","",IFERROR((SUMPRODUCT((TRIM(tblDados[Mandante])=$A803)*tblDados[Primeira_Ocorrencia]*(tblDados[GM_M]=0))+SUMPRODUCT((TRIM(tblDados[Visitante])=$A803)*tblDados[Primeira_Ocorrencia]*(tblDados[GM_V]=0)))/G803,0))</f>
        <v/>
      </c>
      <c r="K803" s="16" t="str" cm="1">
        <f t="array" ref="K803">IF($A803="","",IFERROR((SUMPRODUCT((TRIM(tblDados[Mandante])=$A803)*tblDados[Primeira_Ocorrencia]*((tblDados[GM_M]+tblDados[GS_M])&gt;0.5))+SUMPRODUCT((TRIM(tblDados[Visitante])=$A803)*tblDados[Primeira_Ocorrencia]*((tblDados[GM_V]+tblDados[GS_V])&gt;0.5)))/G803,0))</f>
        <v/>
      </c>
      <c r="L803" s="16" t="str" cm="1">
        <f t="array" ref="L803">IF($A803="","",IFERROR((SUMPRODUCT((TRIM(tblDados[Mandante])=$A803)*tblDados[Primeira_Ocorrencia]*((tblDados[GM_M]+tblDados[GS_M])&gt;1.5))+SUMPRODUCT((TRIM(tblDados[Visitante])=$A803)*tblDados[Primeira_Ocorrencia]*((tblDados[GM_V]+tblDados[GS_V])&gt;1.5)))/G803,0))</f>
        <v/>
      </c>
      <c r="M803" s="16" t="str" cm="1">
        <f t="array" ref="M803">IF($A803="","",IFERROR((SUMPRODUCT((TRIM(tblDados[Mandante])=$A803)*tblDados[Primeira_Ocorrencia]*((tblDados[GM_M]+tblDados[GS_M])&gt;2.5))+SUMPRODUCT((TRIM(tblDados[Visitante])=$A803)*tblDados[Primeira_Ocorrencia]*((tblDados[GM_V]+tblDados[GS_V])&gt;2.5)))/G803,0))</f>
        <v/>
      </c>
      <c r="N803" s="16" t="str" cm="1">
        <f t="array" ref="N803">IF($A803="","",IFERROR((SUMPRODUCT((TRIM(tblDados[Mandante])=$A803)*tblDados[Primeira_Ocorrencia]*((tblDados[GM_M]+tblDados[GS_M])&gt;3.5))+SUMPRODUCT((TRIM(tblDados[Visitante])=$A803)*tblDados[Primeira_Ocorrencia]*((tblDados[GM_V]+tblDados[GS_V])&gt;3.5)))/G803,0))</f>
        <v/>
      </c>
      <c r="O803" s="16" t="str" cm="1">
        <f t="array" ref="O803">IF($A803="","",IFERROR((SUMPRODUCT((TRIM(tblDados[Mandante])=$A803)*tblDados[Primeira_Ocorrencia]*(tblDados[GM_M]&gt;0)*(tblDados[GS_M]&gt;0))+SUMPRODUCT((TRIM(tblDados[Visitante])=$A803)*tblDados[Primeira_Ocorrencia]*(tblDados[GM_V]&gt;0)*(tblDados[GS_V]&gt;0)))/G803,0))</f>
        <v/>
      </c>
      <c r="P803" s="14" t="str" cm="1">
        <f t="array" ref="P803">IF($A803="","",IFERROR((SUMPRODUCT((TRIM(tblDados[Mandante])=$A803)*tblDados[Primeira_Ocorrencia]*tblDados[GM_M]^2)+SUMPRODUCT((TRIM(tblDados[Visitante])=$A803)*tblDados[Primeira_Ocorrencia]*tblDados[GM_V]^2))/G803-H803^2,0))</f>
        <v/>
      </c>
      <c r="Q803" s="14" t="str">
        <f t="shared" si="213"/>
        <v/>
      </c>
      <c r="R803" s="1" t="str">
        <f t="shared" si="214"/>
        <v/>
      </c>
      <c r="S803" s="14" t="str" cm="1">
        <f t="array" ref="S803">IF($A803="","",SUMPRODUCT((TRIM(tblDados[Mandante])=$A803)*tblDados[Primeira_Ocorrencia]*tblDados[GM_M]))</f>
        <v/>
      </c>
      <c r="T803" s="14" t="str" cm="1">
        <f t="array" ref="T803">IF($A803="","",SUMPRODUCT((TRIM(tblDados[Visitante])=$A803)*tblDados[Primeira_Ocorrencia]*tblDados[GM_V]))</f>
        <v/>
      </c>
      <c r="U803" s="14" t="str">
        <f t="shared" si="215"/>
        <v/>
      </c>
      <c r="V803" s="14" t="str">
        <f t="shared" si="204"/>
        <v/>
      </c>
      <c r="W803" s="14" t="str" cm="1">
        <f t="array" ref="W803">IF($A803="","",SUMPRODUCT((TRIM(tblDados[Mandante])=$A803)*tblDados[Primeira_Ocorrencia]*tblDados[GS_M]))</f>
        <v/>
      </c>
      <c r="X803" s="14" t="str" cm="1">
        <f t="array" ref="X803">IF($A803="","",SUMPRODUCT((TRIM(tblDados[Visitante])=$A803)*tblDados[Primeira_Ocorrencia]*tblDados[GS_V]))</f>
        <v/>
      </c>
      <c r="Y803" s="14" t="str">
        <f t="shared" si="216"/>
        <v/>
      </c>
      <c r="Z803" s="14" t="str">
        <f t="shared" si="205"/>
        <v/>
      </c>
      <c r="AA803" s="14" t="str">
        <f t="shared" si="206"/>
        <v/>
      </c>
      <c r="AB803" s="14" t="str">
        <f t="shared" si="207"/>
        <v/>
      </c>
      <c r="AC803" s="14" t="str">
        <f t="shared" si="208"/>
        <v/>
      </c>
      <c r="AD803" s="14" t="str">
        <f t="shared" si="209"/>
        <v/>
      </c>
    </row>
    <row r="804" spans="2:30" x14ac:dyDescent="0.3">
      <c r="B804" s="13" t="str" cm="1">
        <f t="array" ref="B804">IF($A804="","",_xlfn.LET(_xlpm.p,IFERROR(INDEX(tblDados[País],MATCH($A804,TRIM(tblDados[Mandante]),0)),INDEX(tblDados[País],MATCH($A804,TRIM(tblDados[Visitante]),0))),_xlpm.l,IFERROR(INDEX(tblDados[Liga],MATCH($A804,TRIM(tblDados[Mandante]),0)),INDEX(tblDados[Liga],MATCH($A804,TRIM(tblDados[Visitante]),0))),_xlpm.p&amp;" - "&amp;_xlpm.l))</f>
        <v/>
      </c>
      <c r="C804" s="14" t="str">
        <f t="shared" si="210"/>
        <v/>
      </c>
      <c r="D804" s="14" t="str">
        <f t="shared" si="211"/>
        <v/>
      </c>
      <c r="E804" s="15" t="str" cm="1">
        <f t="array" ref="E804">IF($A804="","",SUMPRODUCT((TRIM(tblDados[Mandante])=$A804)*tblDados[Primeira_Ocorrencia]))</f>
        <v/>
      </c>
      <c r="F804" s="15" t="str" cm="1">
        <f t="array" ref="F804">IF($A804="","",SUMPRODUCT((TRIM(tblDados[Visitante])=$A804)*tblDados[Primeira_Ocorrencia]))</f>
        <v/>
      </c>
      <c r="G804" s="15" t="str" cm="1">
        <f t="array" ref="G804">IF($A804="","",SUMPRODUCT((TRIM(tblDados[Mandante])=$A804)*tblDados[Primeira_Ocorrencia])+SUMPRODUCT((TRIM(tblDados[Visitante])=$A804)*tblDados[Primeira_Ocorrencia]))</f>
        <v/>
      </c>
      <c r="H804" s="14" t="str">
        <f t="shared" si="212"/>
        <v/>
      </c>
      <c r="I804" s="14" t="str" cm="1">
        <f t="array" ref="I804">IF($A804="","",_xlfn.LET(_xlpm.p,IFERROR(INDEX(tblDados[País],MATCH($A804,TRIM(tblDados[Mandante]),0)),INDEX(tblDados[País],MATCH($A804,TRIM(tblDados[Visitante]),0))),_xlpm.l,IFERROR(INDEX(tblDados[Liga],MATCH($A804,TRIM(tblDados[Mandante]),0)),INDEX(tblDados[Liga],MATCH($A804,TRIM(tblDados[Visitante]),0))),IFERROR(SUMIFS(Ligas!$D$2:$D$39,Ligas!$H$2:$H$39,_xlpm.p,Ligas!$I$2:$I$39,_xlpm.l),0)))</f>
        <v/>
      </c>
      <c r="J804" s="16" t="str" cm="1">
        <f t="array" ref="J804">IF($A804="","",IFERROR((SUMPRODUCT((TRIM(tblDados[Mandante])=$A804)*tblDados[Primeira_Ocorrencia]*(tblDados[GM_M]=0))+SUMPRODUCT((TRIM(tblDados[Visitante])=$A804)*tblDados[Primeira_Ocorrencia]*(tblDados[GM_V]=0)))/G804,0))</f>
        <v/>
      </c>
      <c r="K804" s="16" t="str" cm="1">
        <f t="array" ref="K804">IF($A804="","",IFERROR((SUMPRODUCT((TRIM(tblDados[Mandante])=$A804)*tblDados[Primeira_Ocorrencia]*((tblDados[GM_M]+tblDados[GS_M])&gt;0.5))+SUMPRODUCT((TRIM(tblDados[Visitante])=$A804)*tblDados[Primeira_Ocorrencia]*((tblDados[GM_V]+tblDados[GS_V])&gt;0.5)))/G804,0))</f>
        <v/>
      </c>
      <c r="L804" s="16" t="str" cm="1">
        <f t="array" ref="L804">IF($A804="","",IFERROR((SUMPRODUCT((TRIM(tblDados[Mandante])=$A804)*tblDados[Primeira_Ocorrencia]*((tblDados[GM_M]+tblDados[GS_M])&gt;1.5))+SUMPRODUCT((TRIM(tblDados[Visitante])=$A804)*tblDados[Primeira_Ocorrencia]*((tblDados[GM_V]+tblDados[GS_V])&gt;1.5)))/G804,0))</f>
        <v/>
      </c>
      <c r="M804" s="16" t="str" cm="1">
        <f t="array" ref="M804">IF($A804="","",IFERROR((SUMPRODUCT((TRIM(tblDados[Mandante])=$A804)*tblDados[Primeira_Ocorrencia]*((tblDados[GM_M]+tblDados[GS_M])&gt;2.5))+SUMPRODUCT((TRIM(tblDados[Visitante])=$A804)*tblDados[Primeira_Ocorrencia]*((tblDados[GM_V]+tblDados[GS_V])&gt;2.5)))/G804,0))</f>
        <v/>
      </c>
      <c r="N804" s="16" t="str" cm="1">
        <f t="array" ref="N804">IF($A804="","",IFERROR((SUMPRODUCT((TRIM(tblDados[Mandante])=$A804)*tblDados[Primeira_Ocorrencia]*((tblDados[GM_M]+tblDados[GS_M])&gt;3.5))+SUMPRODUCT((TRIM(tblDados[Visitante])=$A804)*tblDados[Primeira_Ocorrencia]*((tblDados[GM_V]+tblDados[GS_V])&gt;3.5)))/G804,0))</f>
        <v/>
      </c>
      <c r="O804" s="16" t="str" cm="1">
        <f t="array" ref="O804">IF($A804="","",IFERROR((SUMPRODUCT((TRIM(tblDados[Mandante])=$A804)*tblDados[Primeira_Ocorrencia]*(tblDados[GM_M]&gt;0)*(tblDados[GS_M]&gt;0))+SUMPRODUCT((TRIM(tblDados[Visitante])=$A804)*tblDados[Primeira_Ocorrencia]*(tblDados[GM_V]&gt;0)*(tblDados[GS_V]&gt;0)))/G804,0))</f>
        <v/>
      </c>
      <c r="P804" s="14" t="str" cm="1">
        <f t="array" ref="P804">IF($A804="","",IFERROR((SUMPRODUCT((TRIM(tblDados[Mandante])=$A804)*tblDados[Primeira_Ocorrencia]*tblDados[GM_M]^2)+SUMPRODUCT((TRIM(tblDados[Visitante])=$A804)*tblDados[Primeira_Ocorrencia]*tblDados[GM_V]^2))/G804-H804^2,0))</f>
        <v/>
      </c>
      <c r="Q804" s="14" t="str">
        <f t="shared" si="213"/>
        <v/>
      </c>
      <c r="R804" s="1" t="str">
        <f t="shared" si="214"/>
        <v/>
      </c>
      <c r="S804" s="14" t="str" cm="1">
        <f t="array" ref="S804">IF($A804="","",SUMPRODUCT((TRIM(tblDados[Mandante])=$A804)*tblDados[Primeira_Ocorrencia]*tblDados[GM_M]))</f>
        <v/>
      </c>
      <c r="T804" s="14" t="str" cm="1">
        <f t="array" ref="T804">IF($A804="","",SUMPRODUCT((TRIM(tblDados[Visitante])=$A804)*tblDados[Primeira_Ocorrencia]*tblDados[GM_V]))</f>
        <v/>
      </c>
      <c r="U804" s="14" t="str">
        <f t="shared" si="215"/>
        <v/>
      </c>
      <c r="V804" s="14" t="str">
        <f t="shared" si="204"/>
        <v/>
      </c>
      <c r="W804" s="14" t="str" cm="1">
        <f t="array" ref="W804">IF($A804="","",SUMPRODUCT((TRIM(tblDados[Mandante])=$A804)*tblDados[Primeira_Ocorrencia]*tblDados[GS_M]))</f>
        <v/>
      </c>
      <c r="X804" s="14" t="str" cm="1">
        <f t="array" ref="X804">IF($A804="","",SUMPRODUCT((TRIM(tblDados[Visitante])=$A804)*tblDados[Primeira_Ocorrencia]*tblDados[GS_V]))</f>
        <v/>
      </c>
      <c r="Y804" s="14" t="str">
        <f t="shared" si="216"/>
        <v/>
      </c>
      <c r="Z804" s="14" t="str">
        <f t="shared" si="205"/>
        <v/>
      </c>
      <c r="AA804" s="14" t="str">
        <f t="shared" si="206"/>
        <v/>
      </c>
      <c r="AB804" s="14" t="str">
        <f t="shared" si="207"/>
        <v/>
      </c>
      <c r="AC804" s="14" t="str">
        <f t="shared" si="208"/>
        <v/>
      </c>
      <c r="AD804" s="14" t="str">
        <f t="shared" si="209"/>
        <v/>
      </c>
    </row>
    <row r="805" spans="2:30" x14ac:dyDescent="0.3">
      <c r="B805" s="13" t="str" cm="1">
        <f t="array" ref="B805">IF($A805="","",_xlfn.LET(_xlpm.p,IFERROR(INDEX(tblDados[País],MATCH($A805,TRIM(tblDados[Mandante]),0)),INDEX(tblDados[País],MATCH($A805,TRIM(tblDados[Visitante]),0))),_xlpm.l,IFERROR(INDEX(tblDados[Liga],MATCH($A805,TRIM(tblDados[Mandante]),0)),INDEX(tblDados[Liga],MATCH($A805,TRIM(tblDados[Visitante]),0))),_xlpm.p&amp;" - "&amp;_xlpm.l))</f>
        <v/>
      </c>
      <c r="C805" s="14" t="str">
        <f t="shared" si="210"/>
        <v/>
      </c>
      <c r="D805" s="14" t="str">
        <f t="shared" si="211"/>
        <v/>
      </c>
      <c r="E805" s="15" t="str" cm="1">
        <f t="array" ref="E805">IF($A805="","",SUMPRODUCT((TRIM(tblDados[Mandante])=$A805)*tblDados[Primeira_Ocorrencia]))</f>
        <v/>
      </c>
      <c r="F805" s="15" t="str" cm="1">
        <f t="array" ref="F805">IF($A805="","",SUMPRODUCT((TRIM(tblDados[Visitante])=$A805)*tblDados[Primeira_Ocorrencia]))</f>
        <v/>
      </c>
      <c r="G805" s="15" t="str" cm="1">
        <f t="array" ref="G805">IF($A805="","",SUMPRODUCT((TRIM(tblDados[Mandante])=$A805)*tblDados[Primeira_Ocorrencia])+SUMPRODUCT((TRIM(tblDados[Visitante])=$A805)*tblDados[Primeira_Ocorrencia]))</f>
        <v/>
      </c>
      <c r="H805" s="14" t="str">
        <f t="shared" si="212"/>
        <v/>
      </c>
      <c r="I805" s="14" t="str" cm="1">
        <f t="array" ref="I805">IF($A805="","",_xlfn.LET(_xlpm.p,IFERROR(INDEX(tblDados[País],MATCH($A805,TRIM(tblDados[Mandante]),0)),INDEX(tblDados[País],MATCH($A805,TRIM(tblDados[Visitante]),0))),_xlpm.l,IFERROR(INDEX(tblDados[Liga],MATCH($A805,TRIM(tblDados[Mandante]),0)),INDEX(tblDados[Liga],MATCH($A805,TRIM(tblDados[Visitante]),0))),IFERROR(SUMIFS(Ligas!$D$2:$D$39,Ligas!$H$2:$H$39,_xlpm.p,Ligas!$I$2:$I$39,_xlpm.l),0)))</f>
        <v/>
      </c>
      <c r="J805" s="16" t="str" cm="1">
        <f t="array" ref="J805">IF($A805="","",IFERROR((SUMPRODUCT((TRIM(tblDados[Mandante])=$A805)*tblDados[Primeira_Ocorrencia]*(tblDados[GM_M]=0))+SUMPRODUCT((TRIM(tblDados[Visitante])=$A805)*tblDados[Primeira_Ocorrencia]*(tblDados[GM_V]=0)))/G805,0))</f>
        <v/>
      </c>
      <c r="K805" s="16" t="str" cm="1">
        <f t="array" ref="K805">IF($A805="","",IFERROR((SUMPRODUCT((TRIM(tblDados[Mandante])=$A805)*tblDados[Primeira_Ocorrencia]*((tblDados[GM_M]+tblDados[GS_M])&gt;0.5))+SUMPRODUCT((TRIM(tblDados[Visitante])=$A805)*tblDados[Primeira_Ocorrencia]*((tblDados[GM_V]+tblDados[GS_V])&gt;0.5)))/G805,0))</f>
        <v/>
      </c>
      <c r="L805" s="16" t="str" cm="1">
        <f t="array" ref="L805">IF($A805="","",IFERROR((SUMPRODUCT((TRIM(tblDados[Mandante])=$A805)*tblDados[Primeira_Ocorrencia]*((tblDados[GM_M]+tblDados[GS_M])&gt;1.5))+SUMPRODUCT((TRIM(tblDados[Visitante])=$A805)*tblDados[Primeira_Ocorrencia]*((tblDados[GM_V]+tblDados[GS_V])&gt;1.5)))/G805,0))</f>
        <v/>
      </c>
      <c r="M805" s="16" t="str" cm="1">
        <f t="array" ref="M805">IF($A805="","",IFERROR((SUMPRODUCT((TRIM(tblDados[Mandante])=$A805)*tblDados[Primeira_Ocorrencia]*((tblDados[GM_M]+tblDados[GS_M])&gt;2.5))+SUMPRODUCT((TRIM(tblDados[Visitante])=$A805)*tblDados[Primeira_Ocorrencia]*((tblDados[GM_V]+tblDados[GS_V])&gt;2.5)))/G805,0))</f>
        <v/>
      </c>
      <c r="N805" s="16" t="str" cm="1">
        <f t="array" ref="N805">IF($A805="","",IFERROR((SUMPRODUCT((TRIM(tblDados[Mandante])=$A805)*tblDados[Primeira_Ocorrencia]*((tblDados[GM_M]+tblDados[GS_M])&gt;3.5))+SUMPRODUCT((TRIM(tblDados[Visitante])=$A805)*tblDados[Primeira_Ocorrencia]*((tblDados[GM_V]+tblDados[GS_V])&gt;3.5)))/G805,0))</f>
        <v/>
      </c>
      <c r="O805" s="16" t="str" cm="1">
        <f t="array" ref="O805">IF($A805="","",IFERROR((SUMPRODUCT((TRIM(tblDados[Mandante])=$A805)*tblDados[Primeira_Ocorrencia]*(tblDados[GM_M]&gt;0)*(tblDados[GS_M]&gt;0))+SUMPRODUCT((TRIM(tblDados[Visitante])=$A805)*tblDados[Primeira_Ocorrencia]*(tblDados[GM_V]&gt;0)*(tblDados[GS_V]&gt;0)))/G805,0))</f>
        <v/>
      </c>
      <c r="P805" s="14" t="str" cm="1">
        <f t="array" ref="P805">IF($A805="","",IFERROR((SUMPRODUCT((TRIM(tblDados[Mandante])=$A805)*tblDados[Primeira_Ocorrencia]*tblDados[GM_M]^2)+SUMPRODUCT((TRIM(tblDados[Visitante])=$A805)*tblDados[Primeira_Ocorrencia]*tblDados[GM_V]^2))/G805-H805^2,0))</f>
        <v/>
      </c>
      <c r="Q805" s="14" t="str">
        <f t="shared" si="213"/>
        <v/>
      </c>
      <c r="R805" s="1" t="str">
        <f t="shared" si="214"/>
        <v/>
      </c>
      <c r="S805" s="14" t="str" cm="1">
        <f t="array" ref="S805">IF($A805="","",SUMPRODUCT((TRIM(tblDados[Mandante])=$A805)*tblDados[Primeira_Ocorrencia]*tblDados[GM_M]))</f>
        <v/>
      </c>
      <c r="T805" s="14" t="str" cm="1">
        <f t="array" ref="T805">IF($A805="","",SUMPRODUCT((TRIM(tblDados[Visitante])=$A805)*tblDados[Primeira_Ocorrencia]*tblDados[GM_V]))</f>
        <v/>
      </c>
      <c r="U805" s="14" t="str">
        <f t="shared" si="215"/>
        <v/>
      </c>
      <c r="V805" s="14" t="str">
        <f t="shared" si="204"/>
        <v/>
      </c>
      <c r="W805" s="14" t="str" cm="1">
        <f t="array" ref="W805">IF($A805="","",SUMPRODUCT((TRIM(tblDados[Mandante])=$A805)*tblDados[Primeira_Ocorrencia]*tblDados[GS_M]))</f>
        <v/>
      </c>
      <c r="X805" s="14" t="str" cm="1">
        <f t="array" ref="X805">IF($A805="","",SUMPRODUCT((TRIM(tblDados[Visitante])=$A805)*tblDados[Primeira_Ocorrencia]*tblDados[GS_V]))</f>
        <v/>
      </c>
      <c r="Y805" s="14" t="str">
        <f t="shared" si="216"/>
        <v/>
      </c>
      <c r="Z805" s="14" t="str">
        <f t="shared" si="205"/>
        <v/>
      </c>
      <c r="AA805" s="14" t="str">
        <f t="shared" si="206"/>
        <v/>
      </c>
      <c r="AB805" s="14" t="str">
        <f t="shared" si="207"/>
        <v/>
      </c>
      <c r="AC805" s="14" t="str">
        <f t="shared" si="208"/>
        <v/>
      </c>
      <c r="AD805" s="14" t="str">
        <f t="shared" si="209"/>
        <v/>
      </c>
    </row>
    <row r="806" spans="2:30" x14ac:dyDescent="0.3">
      <c r="B806" s="13" t="str" cm="1">
        <f t="array" ref="B806">IF($A806="","",_xlfn.LET(_xlpm.p,IFERROR(INDEX(tblDados[País],MATCH($A806,TRIM(tblDados[Mandante]),0)),INDEX(tblDados[País],MATCH($A806,TRIM(tblDados[Visitante]),0))),_xlpm.l,IFERROR(INDEX(tblDados[Liga],MATCH($A806,TRIM(tblDados[Mandante]),0)),INDEX(tblDados[Liga],MATCH($A806,TRIM(tblDados[Visitante]),0))),_xlpm.p&amp;" - "&amp;_xlpm.l))</f>
        <v/>
      </c>
      <c r="C806" s="14" t="str">
        <f t="shared" si="210"/>
        <v/>
      </c>
      <c r="D806" s="14" t="str">
        <f t="shared" si="211"/>
        <v/>
      </c>
      <c r="E806" s="15" t="str" cm="1">
        <f t="array" ref="E806">IF($A806="","",SUMPRODUCT((TRIM(tblDados[Mandante])=$A806)*tblDados[Primeira_Ocorrencia]))</f>
        <v/>
      </c>
      <c r="F806" s="15" t="str" cm="1">
        <f t="array" ref="F806">IF($A806="","",SUMPRODUCT((TRIM(tblDados[Visitante])=$A806)*tblDados[Primeira_Ocorrencia]))</f>
        <v/>
      </c>
      <c r="G806" s="15" t="str" cm="1">
        <f t="array" ref="G806">IF($A806="","",SUMPRODUCT((TRIM(tblDados[Mandante])=$A806)*tblDados[Primeira_Ocorrencia])+SUMPRODUCT((TRIM(tblDados[Visitante])=$A806)*tblDados[Primeira_Ocorrencia]))</f>
        <v/>
      </c>
      <c r="H806" s="14" t="str">
        <f t="shared" si="212"/>
        <v/>
      </c>
      <c r="I806" s="14" t="str" cm="1">
        <f t="array" ref="I806">IF($A806="","",_xlfn.LET(_xlpm.p,IFERROR(INDEX(tblDados[País],MATCH($A806,TRIM(tblDados[Mandante]),0)),INDEX(tblDados[País],MATCH($A806,TRIM(tblDados[Visitante]),0))),_xlpm.l,IFERROR(INDEX(tblDados[Liga],MATCH($A806,TRIM(tblDados[Mandante]),0)),INDEX(tblDados[Liga],MATCH($A806,TRIM(tblDados[Visitante]),0))),IFERROR(SUMIFS(Ligas!$D$2:$D$39,Ligas!$H$2:$H$39,_xlpm.p,Ligas!$I$2:$I$39,_xlpm.l),0)))</f>
        <v/>
      </c>
      <c r="J806" s="16" t="str" cm="1">
        <f t="array" ref="J806">IF($A806="","",IFERROR((SUMPRODUCT((TRIM(tblDados[Mandante])=$A806)*tblDados[Primeira_Ocorrencia]*(tblDados[GM_M]=0))+SUMPRODUCT((TRIM(tblDados[Visitante])=$A806)*tblDados[Primeira_Ocorrencia]*(tblDados[GM_V]=0)))/G806,0))</f>
        <v/>
      </c>
      <c r="K806" s="16" t="str" cm="1">
        <f t="array" ref="K806">IF($A806="","",IFERROR((SUMPRODUCT((TRIM(tblDados[Mandante])=$A806)*tblDados[Primeira_Ocorrencia]*((tblDados[GM_M]+tblDados[GS_M])&gt;0.5))+SUMPRODUCT((TRIM(tblDados[Visitante])=$A806)*tblDados[Primeira_Ocorrencia]*((tblDados[GM_V]+tblDados[GS_V])&gt;0.5)))/G806,0))</f>
        <v/>
      </c>
      <c r="L806" s="16" t="str" cm="1">
        <f t="array" ref="L806">IF($A806="","",IFERROR((SUMPRODUCT((TRIM(tblDados[Mandante])=$A806)*tblDados[Primeira_Ocorrencia]*((tblDados[GM_M]+tblDados[GS_M])&gt;1.5))+SUMPRODUCT((TRIM(tblDados[Visitante])=$A806)*tblDados[Primeira_Ocorrencia]*((tblDados[GM_V]+tblDados[GS_V])&gt;1.5)))/G806,0))</f>
        <v/>
      </c>
      <c r="M806" s="16" t="str" cm="1">
        <f t="array" ref="M806">IF($A806="","",IFERROR((SUMPRODUCT((TRIM(tblDados[Mandante])=$A806)*tblDados[Primeira_Ocorrencia]*((tblDados[GM_M]+tblDados[GS_M])&gt;2.5))+SUMPRODUCT((TRIM(tblDados[Visitante])=$A806)*tblDados[Primeira_Ocorrencia]*((tblDados[GM_V]+tblDados[GS_V])&gt;2.5)))/G806,0))</f>
        <v/>
      </c>
      <c r="N806" s="16" t="str" cm="1">
        <f t="array" ref="N806">IF($A806="","",IFERROR((SUMPRODUCT((TRIM(tblDados[Mandante])=$A806)*tblDados[Primeira_Ocorrencia]*((tblDados[GM_M]+tblDados[GS_M])&gt;3.5))+SUMPRODUCT((TRIM(tblDados[Visitante])=$A806)*tblDados[Primeira_Ocorrencia]*((tblDados[GM_V]+tblDados[GS_V])&gt;3.5)))/G806,0))</f>
        <v/>
      </c>
      <c r="O806" s="16" t="str" cm="1">
        <f t="array" ref="O806">IF($A806="","",IFERROR((SUMPRODUCT((TRIM(tblDados[Mandante])=$A806)*tblDados[Primeira_Ocorrencia]*(tblDados[GM_M]&gt;0)*(tblDados[GS_M]&gt;0))+SUMPRODUCT((TRIM(tblDados[Visitante])=$A806)*tblDados[Primeira_Ocorrencia]*(tblDados[GM_V]&gt;0)*(tblDados[GS_V]&gt;0)))/G806,0))</f>
        <v/>
      </c>
      <c r="P806" s="14" t="str" cm="1">
        <f t="array" ref="P806">IF($A806="","",IFERROR((SUMPRODUCT((TRIM(tblDados[Mandante])=$A806)*tblDados[Primeira_Ocorrencia]*tblDados[GM_M]^2)+SUMPRODUCT((TRIM(tblDados[Visitante])=$A806)*tblDados[Primeira_Ocorrencia]*tblDados[GM_V]^2))/G806-H806^2,0))</f>
        <v/>
      </c>
      <c r="Q806" s="14" t="str">
        <f t="shared" si="213"/>
        <v/>
      </c>
      <c r="R806" s="1" t="str">
        <f t="shared" si="214"/>
        <v/>
      </c>
      <c r="S806" s="14" t="str" cm="1">
        <f t="array" ref="S806">IF($A806="","",SUMPRODUCT((TRIM(tblDados[Mandante])=$A806)*tblDados[Primeira_Ocorrencia]*tblDados[GM_M]))</f>
        <v/>
      </c>
      <c r="T806" s="14" t="str" cm="1">
        <f t="array" ref="T806">IF($A806="","",SUMPRODUCT((TRIM(tblDados[Visitante])=$A806)*tblDados[Primeira_Ocorrencia]*tblDados[GM_V]))</f>
        <v/>
      </c>
      <c r="U806" s="14" t="str">
        <f t="shared" si="215"/>
        <v/>
      </c>
      <c r="V806" s="14" t="str">
        <f t="shared" si="204"/>
        <v/>
      </c>
      <c r="W806" s="14" t="str" cm="1">
        <f t="array" ref="W806">IF($A806="","",SUMPRODUCT((TRIM(tblDados[Mandante])=$A806)*tblDados[Primeira_Ocorrencia]*tblDados[GS_M]))</f>
        <v/>
      </c>
      <c r="X806" s="14" t="str" cm="1">
        <f t="array" ref="X806">IF($A806="","",SUMPRODUCT((TRIM(tblDados[Visitante])=$A806)*tblDados[Primeira_Ocorrencia]*tblDados[GS_V]))</f>
        <v/>
      </c>
      <c r="Y806" s="14" t="str">
        <f t="shared" si="216"/>
        <v/>
      </c>
      <c r="Z806" s="14" t="str">
        <f t="shared" si="205"/>
        <v/>
      </c>
      <c r="AA806" s="14" t="str">
        <f t="shared" si="206"/>
        <v/>
      </c>
      <c r="AB806" s="14" t="str">
        <f t="shared" si="207"/>
        <v/>
      </c>
      <c r="AC806" s="14" t="str">
        <f t="shared" si="208"/>
        <v/>
      </c>
      <c r="AD806" s="14" t="str">
        <f t="shared" si="209"/>
        <v/>
      </c>
    </row>
    <row r="807" spans="2:30" x14ac:dyDescent="0.3">
      <c r="B807" s="13" t="str" cm="1">
        <f t="array" ref="B807">IF($A807="","",_xlfn.LET(_xlpm.p,IFERROR(INDEX(tblDados[País],MATCH($A807,TRIM(tblDados[Mandante]),0)),INDEX(tblDados[País],MATCH($A807,TRIM(tblDados[Visitante]),0))),_xlpm.l,IFERROR(INDEX(tblDados[Liga],MATCH($A807,TRIM(tblDados[Mandante]),0)),INDEX(tblDados[Liga],MATCH($A807,TRIM(tblDados[Visitante]),0))),_xlpm.p&amp;" - "&amp;_xlpm.l))</f>
        <v/>
      </c>
      <c r="C807" s="14" t="str">
        <f t="shared" si="210"/>
        <v/>
      </c>
      <c r="D807" s="14" t="str">
        <f t="shared" si="211"/>
        <v/>
      </c>
      <c r="E807" s="15" t="str" cm="1">
        <f t="array" ref="E807">IF($A807="","",SUMPRODUCT((TRIM(tblDados[Mandante])=$A807)*tblDados[Primeira_Ocorrencia]))</f>
        <v/>
      </c>
      <c r="F807" s="15" t="str" cm="1">
        <f t="array" ref="F807">IF($A807="","",SUMPRODUCT((TRIM(tblDados[Visitante])=$A807)*tblDados[Primeira_Ocorrencia]))</f>
        <v/>
      </c>
      <c r="G807" s="15" t="str" cm="1">
        <f t="array" ref="G807">IF($A807="","",SUMPRODUCT((TRIM(tblDados[Mandante])=$A807)*tblDados[Primeira_Ocorrencia])+SUMPRODUCT((TRIM(tblDados[Visitante])=$A807)*tblDados[Primeira_Ocorrencia]))</f>
        <v/>
      </c>
      <c r="H807" s="14" t="str">
        <f t="shared" si="212"/>
        <v/>
      </c>
      <c r="I807" s="14" t="str" cm="1">
        <f t="array" ref="I807">IF($A807="","",_xlfn.LET(_xlpm.p,IFERROR(INDEX(tblDados[País],MATCH($A807,TRIM(tblDados[Mandante]),0)),INDEX(tblDados[País],MATCH($A807,TRIM(tblDados[Visitante]),0))),_xlpm.l,IFERROR(INDEX(tblDados[Liga],MATCH($A807,TRIM(tblDados[Mandante]),0)),INDEX(tblDados[Liga],MATCH($A807,TRIM(tblDados[Visitante]),0))),IFERROR(SUMIFS(Ligas!$D$2:$D$39,Ligas!$H$2:$H$39,_xlpm.p,Ligas!$I$2:$I$39,_xlpm.l),0)))</f>
        <v/>
      </c>
      <c r="J807" s="16" t="str" cm="1">
        <f t="array" ref="J807">IF($A807="","",IFERROR((SUMPRODUCT((TRIM(tblDados[Mandante])=$A807)*tblDados[Primeira_Ocorrencia]*(tblDados[GM_M]=0))+SUMPRODUCT((TRIM(tblDados[Visitante])=$A807)*tblDados[Primeira_Ocorrencia]*(tblDados[GM_V]=0)))/G807,0))</f>
        <v/>
      </c>
      <c r="K807" s="16" t="str" cm="1">
        <f t="array" ref="K807">IF($A807="","",IFERROR((SUMPRODUCT((TRIM(tblDados[Mandante])=$A807)*tblDados[Primeira_Ocorrencia]*((tblDados[GM_M]+tblDados[GS_M])&gt;0.5))+SUMPRODUCT((TRIM(tblDados[Visitante])=$A807)*tblDados[Primeira_Ocorrencia]*((tblDados[GM_V]+tblDados[GS_V])&gt;0.5)))/G807,0))</f>
        <v/>
      </c>
      <c r="L807" s="16" t="str" cm="1">
        <f t="array" ref="L807">IF($A807="","",IFERROR((SUMPRODUCT((TRIM(tblDados[Mandante])=$A807)*tblDados[Primeira_Ocorrencia]*((tblDados[GM_M]+tblDados[GS_M])&gt;1.5))+SUMPRODUCT((TRIM(tblDados[Visitante])=$A807)*tblDados[Primeira_Ocorrencia]*((tblDados[GM_V]+tblDados[GS_V])&gt;1.5)))/G807,0))</f>
        <v/>
      </c>
      <c r="M807" s="16" t="str" cm="1">
        <f t="array" ref="M807">IF($A807="","",IFERROR((SUMPRODUCT((TRIM(tblDados[Mandante])=$A807)*tblDados[Primeira_Ocorrencia]*((tblDados[GM_M]+tblDados[GS_M])&gt;2.5))+SUMPRODUCT((TRIM(tblDados[Visitante])=$A807)*tblDados[Primeira_Ocorrencia]*((tblDados[GM_V]+tblDados[GS_V])&gt;2.5)))/G807,0))</f>
        <v/>
      </c>
      <c r="N807" s="16" t="str" cm="1">
        <f t="array" ref="N807">IF($A807="","",IFERROR((SUMPRODUCT((TRIM(tblDados[Mandante])=$A807)*tblDados[Primeira_Ocorrencia]*((tblDados[GM_M]+tblDados[GS_M])&gt;3.5))+SUMPRODUCT((TRIM(tblDados[Visitante])=$A807)*tblDados[Primeira_Ocorrencia]*((tblDados[GM_V]+tblDados[GS_V])&gt;3.5)))/G807,0))</f>
        <v/>
      </c>
      <c r="O807" s="16" t="str" cm="1">
        <f t="array" ref="O807">IF($A807="","",IFERROR((SUMPRODUCT((TRIM(tblDados[Mandante])=$A807)*tblDados[Primeira_Ocorrencia]*(tblDados[GM_M]&gt;0)*(tblDados[GS_M]&gt;0))+SUMPRODUCT((TRIM(tblDados[Visitante])=$A807)*tblDados[Primeira_Ocorrencia]*(tblDados[GM_V]&gt;0)*(tblDados[GS_V]&gt;0)))/G807,0))</f>
        <v/>
      </c>
      <c r="P807" s="14" t="str" cm="1">
        <f t="array" ref="P807">IF($A807="","",IFERROR((SUMPRODUCT((TRIM(tblDados[Mandante])=$A807)*tblDados[Primeira_Ocorrencia]*tblDados[GM_M]^2)+SUMPRODUCT((TRIM(tblDados[Visitante])=$A807)*tblDados[Primeira_Ocorrencia]*tblDados[GM_V]^2))/G807-H807^2,0))</f>
        <v/>
      </c>
      <c r="Q807" s="14" t="str">
        <f t="shared" si="213"/>
        <v/>
      </c>
      <c r="R807" s="1" t="str">
        <f t="shared" si="214"/>
        <v/>
      </c>
      <c r="S807" s="14" t="str" cm="1">
        <f t="array" ref="S807">IF($A807="","",SUMPRODUCT((TRIM(tblDados[Mandante])=$A807)*tblDados[Primeira_Ocorrencia]*tblDados[GM_M]))</f>
        <v/>
      </c>
      <c r="T807" s="14" t="str" cm="1">
        <f t="array" ref="T807">IF($A807="","",SUMPRODUCT((TRIM(tblDados[Visitante])=$A807)*tblDados[Primeira_Ocorrencia]*tblDados[GM_V]))</f>
        <v/>
      </c>
      <c r="U807" s="14" t="str">
        <f t="shared" si="215"/>
        <v/>
      </c>
      <c r="V807" s="14" t="str">
        <f t="shared" si="204"/>
        <v/>
      </c>
      <c r="W807" s="14" t="str" cm="1">
        <f t="array" ref="W807">IF($A807="","",SUMPRODUCT((TRIM(tblDados[Mandante])=$A807)*tblDados[Primeira_Ocorrencia]*tblDados[GS_M]))</f>
        <v/>
      </c>
      <c r="X807" s="14" t="str" cm="1">
        <f t="array" ref="X807">IF($A807="","",SUMPRODUCT((TRIM(tblDados[Visitante])=$A807)*tblDados[Primeira_Ocorrencia]*tblDados[GS_V]))</f>
        <v/>
      </c>
      <c r="Y807" s="14" t="str">
        <f t="shared" si="216"/>
        <v/>
      </c>
      <c r="Z807" s="14" t="str">
        <f t="shared" si="205"/>
        <v/>
      </c>
      <c r="AA807" s="14" t="str">
        <f t="shared" si="206"/>
        <v/>
      </c>
      <c r="AB807" s="14" t="str">
        <f t="shared" si="207"/>
        <v/>
      </c>
      <c r="AC807" s="14" t="str">
        <f t="shared" si="208"/>
        <v/>
      </c>
      <c r="AD807" s="14" t="str">
        <f t="shared" si="209"/>
        <v/>
      </c>
    </row>
    <row r="808" spans="2:30" x14ac:dyDescent="0.3">
      <c r="B808" s="13" t="str" cm="1">
        <f t="array" ref="B808">IF($A808="","",_xlfn.LET(_xlpm.p,IFERROR(INDEX(tblDados[País],MATCH($A808,TRIM(tblDados[Mandante]),0)),INDEX(tblDados[País],MATCH($A808,TRIM(tblDados[Visitante]),0))),_xlpm.l,IFERROR(INDEX(tblDados[Liga],MATCH($A808,TRIM(tblDados[Mandante]),0)),INDEX(tblDados[Liga],MATCH($A808,TRIM(tblDados[Visitante]),0))),_xlpm.p&amp;" - "&amp;_xlpm.l))</f>
        <v/>
      </c>
      <c r="C808" s="14" t="str">
        <f t="shared" si="210"/>
        <v/>
      </c>
      <c r="D808" s="14" t="str">
        <f t="shared" si="211"/>
        <v/>
      </c>
      <c r="E808" s="15" t="str" cm="1">
        <f t="array" ref="E808">IF($A808="","",SUMPRODUCT((TRIM(tblDados[Mandante])=$A808)*tblDados[Primeira_Ocorrencia]))</f>
        <v/>
      </c>
      <c r="F808" s="15" t="str" cm="1">
        <f t="array" ref="F808">IF($A808="","",SUMPRODUCT((TRIM(tblDados[Visitante])=$A808)*tblDados[Primeira_Ocorrencia]))</f>
        <v/>
      </c>
      <c r="G808" s="15" t="str" cm="1">
        <f t="array" ref="G808">IF($A808="","",SUMPRODUCT((TRIM(tblDados[Mandante])=$A808)*tblDados[Primeira_Ocorrencia])+SUMPRODUCT((TRIM(tblDados[Visitante])=$A808)*tblDados[Primeira_Ocorrencia]))</f>
        <v/>
      </c>
      <c r="H808" s="14" t="str">
        <f t="shared" si="212"/>
        <v/>
      </c>
      <c r="I808" s="14" t="str" cm="1">
        <f t="array" ref="I808">IF($A808="","",_xlfn.LET(_xlpm.p,IFERROR(INDEX(tblDados[País],MATCH($A808,TRIM(tblDados[Mandante]),0)),INDEX(tblDados[País],MATCH($A808,TRIM(tblDados[Visitante]),0))),_xlpm.l,IFERROR(INDEX(tblDados[Liga],MATCH($A808,TRIM(tblDados[Mandante]),0)),INDEX(tblDados[Liga],MATCH($A808,TRIM(tblDados[Visitante]),0))),IFERROR(SUMIFS(Ligas!$D$2:$D$39,Ligas!$H$2:$H$39,_xlpm.p,Ligas!$I$2:$I$39,_xlpm.l),0)))</f>
        <v/>
      </c>
      <c r="J808" s="16" t="str" cm="1">
        <f t="array" ref="J808">IF($A808="","",IFERROR((SUMPRODUCT((TRIM(tblDados[Mandante])=$A808)*tblDados[Primeira_Ocorrencia]*(tblDados[GM_M]=0))+SUMPRODUCT((TRIM(tblDados[Visitante])=$A808)*tblDados[Primeira_Ocorrencia]*(tblDados[GM_V]=0)))/G808,0))</f>
        <v/>
      </c>
      <c r="K808" s="16" t="str" cm="1">
        <f t="array" ref="K808">IF($A808="","",IFERROR((SUMPRODUCT((TRIM(tblDados[Mandante])=$A808)*tblDados[Primeira_Ocorrencia]*((tblDados[GM_M]+tblDados[GS_M])&gt;0.5))+SUMPRODUCT((TRIM(tblDados[Visitante])=$A808)*tblDados[Primeira_Ocorrencia]*((tblDados[GM_V]+tblDados[GS_V])&gt;0.5)))/G808,0))</f>
        <v/>
      </c>
      <c r="L808" s="16" t="str" cm="1">
        <f t="array" ref="L808">IF($A808="","",IFERROR((SUMPRODUCT((TRIM(tblDados[Mandante])=$A808)*tblDados[Primeira_Ocorrencia]*((tblDados[GM_M]+tblDados[GS_M])&gt;1.5))+SUMPRODUCT((TRIM(tblDados[Visitante])=$A808)*tblDados[Primeira_Ocorrencia]*((tblDados[GM_V]+tblDados[GS_V])&gt;1.5)))/G808,0))</f>
        <v/>
      </c>
      <c r="M808" s="16" t="str" cm="1">
        <f t="array" ref="M808">IF($A808="","",IFERROR((SUMPRODUCT((TRIM(tblDados[Mandante])=$A808)*tblDados[Primeira_Ocorrencia]*((tblDados[GM_M]+tblDados[GS_M])&gt;2.5))+SUMPRODUCT((TRIM(tblDados[Visitante])=$A808)*tblDados[Primeira_Ocorrencia]*((tblDados[GM_V]+tblDados[GS_V])&gt;2.5)))/G808,0))</f>
        <v/>
      </c>
      <c r="N808" s="16" t="str" cm="1">
        <f t="array" ref="N808">IF($A808="","",IFERROR((SUMPRODUCT((TRIM(tblDados[Mandante])=$A808)*tblDados[Primeira_Ocorrencia]*((tblDados[GM_M]+tblDados[GS_M])&gt;3.5))+SUMPRODUCT((TRIM(tblDados[Visitante])=$A808)*tblDados[Primeira_Ocorrencia]*((tblDados[GM_V]+tblDados[GS_V])&gt;3.5)))/G808,0))</f>
        <v/>
      </c>
      <c r="O808" s="16" t="str" cm="1">
        <f t="array" ref="O808">IF($A808="","",IFERROR((SUMPRODUCT((TRIM(tblDados[Mandante])=$A808)*tblDados[Primeira_Ocorrencia]*(tblDados[GM_M]&gt;0)*(tblDados[GS_M]&gt;0))+SUMPRODUCT((TRIM(tblDados[Visitante])=$A808)*tblDados[Primeira_Ocorrencia]*(tblDados[GM_V]&gt;0)*(tblDados[GS_V]&gt;0)))/G808,0))</f>
        <v/>
      </c>
      <c r="P808" s="14" t="str" cm="1">
        <f t="array" ref="P808">IF($A808="","",IFERROR((SUMPRODUCT((TRIM(tblDados[Mandante])=$A808)*tblDados[Primeira_Ocorrencia]*tblDados[GM_M]^2)+SUMPRODUCT((TRIM(tblDados[Visitante])=$A808)*tblDados[Primeira_Ocorrencia]*tblDados[GM_V]^2))/G808-H808^2,0))</f>
        <v/>
      </c>
      <c r="Q808" s="14" t="str">
        <f t="shared" si="213"/>
        <v/>
      </c>
      <c r="R808" s="1" t="str">
        <f t="shared" si="214"/>
        <v/>
      </c>
      <c r="S808" s="14" t="str" cm="1">
        <f t="array" ref="S808">IF($A808="","",SUMPRODUCT((TRIM(tblDados[Mandante])=$A808)*tblDados[Primeira_Ocorrencia]*tblDados[GM_M]))</f>
        <v/>
      </c>
      <c r="T808" s="14" t="str" cm="1">
        <f t="array" ref="T808">IF($A808="","",SUMPRODUCT((TRIM(tblDados[Visitante])=$A808)*tblDados[Primeira_Ocorrencia]*tblDados[GM_V]))</f>
        <v/>
      </c>
      <c r="U808" s="14" t="str">
        <f t="shared" si="215"/>
        <v/>
      </c>
      <c r="V808" s="14" t="str">
        <f t="shared" si="204"/>
        <v/>
      </c>
      <c r="W808" s="14" t="str" cm="1">
        <f t="array" ref="W808">IF($A808="","",SUMPRODUCT((TRIM(tblDados[Mandante])=$A808)*tblDados[Primeira_Ocorrencia]*tblDados[GS_M]))</f>
        <v/>
      </c>
      <c r="X808" s="14" t="str" cm="1">
        <f t="array" ref="X808">IF($A808="","",SUMPRODUCT((TRIM(tblDados[Visitante])=$A808)*tblDados[Primeira_Ocorrencia]*tblDados[GS_V]))</f>
        <v/>
      </c>
      <c r="Y808" s="14" t="str">
        <f t="shared" si="216"/>
        <v/>
      </c>
      <c r="Z808" s="14" t="str">
        <f t="shared" si="205"/>
        <v/>
      </c>
      <c r="AA808" s="14" t="str">
        <f t="shared" si="206"/>
        <v/>
      </c>
      <c r="AB808" s="14" t="str">
        <f t="shared" si="207"/>
        <v/>
      </c>
      <c r="AC808" s="14" t="str">
        <f t="shared" si="208"/>
        <v/>
      </c>
      <c r="AD808" s="14" t="str">
        <f t="shared" si="209"/>
        <v/>
      </c>
    </row>
    <row r="809" spans="2:30" x14ac:dyDescent="0.3">
      <c r="B809" s="13" t="str" cm="1">
        <f t="array" ref="B809">IF($A809="","",_xlfn.LET(_xlpm.p,IFERROR(INDEX(tblDados[País],MATCH($A809,TRIM(tblDados[Mandante]),0)),INDEX(tblDados[País],MATCH($A809,TRIM(tblDados[Visitante]),0))),_xlpm.l,IFERROR(INDEX(tblDados[Liga],MATCH($A809,TRIM(tblDados[Mandante]),0)),INDEX(tblDados[Liga],MATCH($A809,TRIM(tblDados[Visitante]),0))),_xlpm.p&amp;" - "&amp;_xlpm.l))</f>
        <v/>
      </c>
      <c r="C809" s="14" t="str">
        <f t="shared" si="210"/>
        <v/>
      </c>
      <c r="D809" s="14" t="str">
        <f t="shared" si="211"/>
        <v/>
      </c>
      <c r="E809" s="15" t="str" cm="1">
        <f t="array" ref="E809">IF($A809="","",SUMPRODUCT((TRIM(tblDados[Mandante])=$A809)*tblDados[Primeira_Ocorrencia]))</f>
        <v/>
      </c>
      <c r="F809" s="15" t="str" cm="1">
        <f t="array" ref="F809">IF($A809="","",SUMPRODUCT((TRIM(tblDados[Visitante])=$A809)*tblDados[Primeira_Ocorrencia]))</f>
        <v/>
      </c>
      <c r="G809" s="15" t="str" cm="1">
        <f t="array" ref="G809">IF($A809="","",SUMPRODUCT((TRIM(tblDados[Mandante])=$A809)*tblDados[Primeira_Ocorrencia])+SUMPRODUCT((TRIM(tblDados[Visitante])=$A809)*tblDados[Primeira_Ocorrencia]))</f>
        <v/>
      </c>
      <c r="H809" s="14" t="str">
        <f t="shared" si="212"/>
        <v/>
      </c>
      <c r="I809" s="14" t="str" cm="1">
        <f t="array" ref="I809">IF($A809="","",_xlfn.LET(_xlpm.p,IFERROR(INDEX(tblDados[País],MATCH($A809,TRIM(tblDados[Mandante]),0)),INDEX(tblDados[País],MATCH($A809,TRIM(tblDados[Visitante]),0))),_xlpm.l,IFERROR(INDEX(tblDados[Liga],MATCH($A809,TRIM(tblDados[Mandante]),0)),INDEX(tblDados[Liga],MATCH($A809,TRIM(tblDados[Visitante]),0))),IFERROR(SUMIFS(Ligas!$D$2:$D$39,Ligas!$H$2:$H$39,_xlpm.p,Ligas!$I$2:$I$39,_xlpm.l),0)))</f>
        <v/>
      </c>
      <c r="J809" s="16" t="str" cm="1">
        <f t="array" ref="J809">IF($A809="","",IFERROR((SUMPRODUCT((TRIM(tblDados[Mandante])=$A809)*tblDados[Primeira_Ocorrencia]*(tblDados[GM_M]=0))+SUMPRODUCT((TRIM(tblDados[Visitante])=$A809)*tblDados[Primeira_Ocorrencia]*(tblDados[GM_V]=0)))/G809,0))</f>
        <v/>
      </c>
      <c r="K809" s="16" t="str" cm="1">
        <f t="array" ref="K809">IF($A809="","",IFERROR((SUMPRODUCT((TRIM(tblDados[Mandante])=$A809)*tblDados[Primeira_Ocorrencia]*((tblDados[GM_M]+tblDados[GS_M])&gt;0.5))+SUMPRODUCT((TRIM(tblDados[Visitante])=$A809)*tblDados[Primeira_Ocorrencia]*((tblDados[GM_V]+tblDados[GS_V])&gt;0.5)))/G809,0))</f>
        <v/>
      </c>
      <c r="L809" s="16" t="str" cm="1">
        <f t="array" ref="L809">IF($A809="","",IFERROR((SUMPRODUCT((TRIM(tblDados[Mandante])=$A809)*tblDados[Primeira_Ocorrencia]*((tblDados[GM_M]+tblDados[GS_M])&gt;1.5))+SUMPRODUCT((TRIM(tblDados[Visitante])=$A809)*tblDados[Primeira_Ocorrencia]*((tblDados[GM_V]+tblDados[GS_V])&gt;1.5)))/G809,0))</f>
        <v/>
      </c>
      <c r="M809" s="16" t="str" cm="1">
        <f t="array" ref="M809">IF($A809="","",IFERROR((SUMPRODUCT((TRIM(tblDados[Mandante])=$A809)*tblDados[Primeira_Ocorrencia]*((tblDados[GM_M]+tblDados[GS_M])&gt;2.5))+SUMPRODUCT((TRIM(tblDados[Visitante])=$A809)*tblDados[Primeira_Ocorrencia]*((tblDados[GM_V]+tblDados[GS_V])&gt;2.5)))/G809,0))</f>
        <v/>
      </c>
      <c r="N809" s="16" t="str" cm="1">
        <f t="array" ref="N809">IF($A809="","",IFERROR((SUMPRODUCT((TRIM(tblDados[Mandante])=$A809)*tblDados[Primeira_Ocorrencia]*((tblDados[GM_M]+tblDados[GS_M])&gt;3.5))+SUMPRODUCT((TRIM(tblDados[Visitante])=$A809)*tblDados[Primeira_Ocorrencia]*((tblDados[GM_V]+tblDados[GS_V])&gt;3.5)))/G809,0))</f>
        <v/>
      </c>
      <c r="O809" s="16" t="str" cm="1">
        <f t="array" ref="O809">IF($A809="","",IFERROR((SUMPRODUCT((TRIM(tblDados[Mandante])=$A809)*tblDados[Primeira_Ocorrencia]*(tblDados[GM_M]&gt;0)*(tblDados[GS_M]&gt;0))+SUMPRODUCT((TRIM(tblDados[Visitante])=$A809)*tblDados[Primeira_Ocorrencia]*(tblDados[GM_V]&gt;0)*(tblDados[GS_V]&gt;0)))/G809,0))</f>
        <v/>
      </c>
      <c r="P809" s="14" t="str" cm="1">
        <f t="array" ref="P809">IF($A809="","",IFERROR((SUMPRODUCT((TRIM(tblDados[Mandante])=$A809)*tblDados[Primeira_Ocorrencia]*tblDados[GM_M]^2)+SUMPRODUCT((TRIM(tblDados[Visitante])=$A809)*tblDados[Primeira_Ocorrencia]*tblDados[GM_V]^2))/G809-H809^2,0))</f>
        <v/>
      </c>
      <c r="Q809" s="14" t="str">
        <f t="shared" si="213"/>
        <v/>
      </c>
      <c r="R809" s="1" t="str">
        <f t="shared" si="214"/>
        <v/>
      </c>
      <c r="S809" s="14" t="str" cm="1">
        <f t="array" ref="S809">IF($A809="","",SUMPRODUCT((TRIM(tblDados[Mandante])=$A809)*tblDados[Primeira_Ocorrencia]*tblDados[GM_M]))</f>
        <v/>
      </c>
      <c r="T809" s="14" t="str" cm="1">
        <f t="array" ref="T809">IF($A809="","",SUMPRODUCT((TRIM(tblDados[Visitante])=$A809)*tblDados[Primeira_Ocorrencia]*tblDados[GM_V]))</f>
        <v/>
      </c>
      <c r="U809" s="14" t="str">
        <f t="shared" si="215"/>
        <v/>
      </c>
      <c r="V809" s="14" t="str">
        <f t="shared" si="204"/>
        <v/>
      </c>
      <c r="W809" s="14" t="str" cm="1">
        <f t="array" ref="W809">IF($A809="","",SUMPRODUCT((TRIM(tblDados[Mandante])=$A809)*tblDados[Primeira_Ocorrencia]*tblDados[GS_M]))</f>
        <v/>
      </c>
      <c r="X809" s="14" t="str" cm="1">
        <f t="array" ref="X809">IF($A809="","",SUMPRODUCT((TRIM(tblDados[Visitante])=$A809)*tblDados[Primeira_Ocorrencia]*tblDados[GS_V]))</f>
        <v/>
      </c>
      <c r="Y809" s="14" t="str">
        <f t="shared" si="216"/>
        <v/>
      </c>
      <c r="Z809" s="14" t="str">
        <f t="shared" si="205"/>
        <v/>
      </c>
      <c r="AA809" s="14" t="str">
        <f t="shared" si="206"/>
        <v/>
      </c>
      <c r="AB809" s="14" t="str">
        <f t="shared" si="207"/>
        <v/>
      </c>
      <c r="AC809" s="14" t="str">
        <f t="shared" si="208"/>
        <v/>
      </c>
      <c r="AD809" s="14" t="str">
        <f t="shared" si="209"/>
        <v/>
      </c>
    </row>
    <row r="810" spans="2:30" x14ac:dyDescent="0.3">
      <c r="B810" s="13" t="str" cm="1">
        <f t="array" ref="B810">IF($A810="","",_xlfn.LET(_xlpm.p,IFERROR(INDEX(tblDados[País],MATCH($A810,TRIM(tblDados[Mandante]),0)),INDEX(tblDados[País],MATCH($A810,TRIM(tblDados[Visitante]),0))),_xlpm.l,IFERROR(INDEX(tblDados[Liga],MATCH($A810,TRIM(tblDados[Mandante]),0)),INDEX(tblDados[Liga],MATCH($A810,TRIM(tblDados[Visitante]),0))),_xlpm.p&amp;" - "&amp;_xlpm.l))</f>
        <v/>
      </c>
      <c r="C810" s="14" t="str">
        <f t="shared" si="210"/>
        <v/>
      </c>
      <c r="D810" s="14" t="str">
        <f t="shared" si="211"/>
        <v/>
      </c>
      <c r="E810" s="15" t="str" cm="1">
        <f t="array" ref="E810">IF($A810="","",SUMPRODUCT((TRIM(tblDados[Mandante])=$A810)*tblDados[Primeira_Ocorrencia]))</f>
        <v/>
      </c>
      <c r="F810" s="15" t="str" cm="1">
        <f t="array" ref="F810">IF($A810="","",SUMPRODUCT((TRIM(tblDados[Visitante])=$A810)*tblDados[Primeira_Ocorrencia]))</f>
        <v/>
      </c>
      <c r="G810" s="15" t="str" cm="1">
        <f t="array" ref="G810">IF($A810="","",SUMPRODUCT((TRIM(tblDados[Mandante])=$A810)*tblDados[Primeira_Ocorrencia])+SUMPRODUCT((TRIM(tblDados[Visitante])=$A810)*tblDados[Primeira_Ocorrencia]))</f>
        <v/>
      </c>
      <c r="H810" s="14" t="str">
        <f t="shared" si="212"/>
        <v/>
      </c>
      <c r="I810" s="14" t="str" cm="1">
        <f t="array" ref="I810">IF($A810="","",_xlfn.LET(_xlpm.p,IFERROR(INDEX(tblDados[País],MATCH($A810,TRIM(tblDados[Mandante]),0)),INDEX(tblDados[País],MATCH($A810,TRIM(tblDados[Visitante]),0))),_xlpm.l,IFERROR(INDEX(tblDados[Liga],MATCH($A810,TRIM(tblDados[Mandante]),0)),INDEX(tblDados[Liga],MATCH($A810,TRIM(tblDados[Visitante]),0))),IFERROR(SUMIFS(Ligas!$D$2:$D$39,Ligas!$H$2:$H$39,_xlpm.p,Ligas!$I$2:$I$39,_xlpm.l),0)))</f>
        <v/>
      </c>
      <c r="J810" s="16" t="str" cm="1">
        <f t="array" ref="J810">IF($A810="","",IFERROR((SUMPRODUCT((TRIM(tblDados[Mandante])=$A810)*tblDados[Primeira_Ocorrencia]*(tblDados[GM_M]=0))+SUMPRODUCT((TRIM(tblDados[Visitante])=$A810)*tblDados[Primeira_Ocorrencia]*(tblDados[GM_V]=0)))/G810,0))</f>
        <v/>
      </c>
      <c r="K810" s="16" t="str" cm="1">
        <f t="array" ref="K810">IF($A810="","",IFERROR((SUMPRODUCT((TRIM(tblDados[Mandante])=$A810)*tblDados[Primeira_Ocorrencia]*((tblDados[GM_M]+tblDados[GS_M])&gt;0.5))+SUMPRODUCT((TRIM(tblDados[Visitante])=$A810)*tblDados[Primeira_Ocorrencia]*((tblDados[GM_V]+tblDados[GS_V])&gt;0.5)))/G810,0))</f>
        <v/>
      </c>
      <c r="L810" s="16" t="str" cm="1">
        <f t="array" ref="L810">IF($A810="","",IFERROR((SUMPRODUCT((TRIM(tblDados[Mandante])=$A810)*tblDados[Primeira_Ocorrencia]*((tblDados[GM_M]+tblDados[GS_M])&gt;1.5))+SUMPRODUCT((TRIM(tblDados[Visitante])=$A810)*tblDados[Primeira_Ocorrencia]*((tblDados[GM_V]+tblDados[GS_V])&gt;1.5)))/G810,0))</f>
        <v/>
      </c>
      <c r="M810" s="16" t="str" cm="1">
        <f t="array" ref="M810">IF($A810="","",IFERROR((SUMPRODUCT((TRIM(tblDados[Mandante])=$A810)*tblDados[Primeira_Ocorrencia]*((tblDados[GM_M]+tblDados[GS_M])&gt;2.5))+SUMPRODUCT((TRIM(tblDados[Visitante])=$A810)*tblDados[Primeira_Ocorrencia]*((tblDados[GM_V]+tblDados[GS_V])&gt;2.5)))/G810,0))</f>
        <v/>
      </c>
      <c r="N810" s="16" t="str" cm="1">
        <f t="array" ref="N810">IF($A810="","",IFERROR((SUMPRODUCT((TRIM(tblDados[Mandante])=$A810)*tblDados[Primeira_Ocorrencia]*((tblDados[GM_M]+tblDados[GS_M])&gt;3.5))+SUMPRODUCT((TRIM(tblDados[Visitante])=$A810)*tblDados[Primeira_Ocorrencia]*((tblDados[GM_V]+tblDados[GS_V])&gt;3.5)))/G810,0))</f>
        <v/>
      </c>
      <c r="O810" s="16" t="str" cm="1">
        <f t="array" ref="O810">IF($A810="","",IFERROR((SUMPRODUCT((TRIM(tblDados[Mandante])=$A810)*tblDados[Primeira_Ocorrencia]*(tblDados[GM_M]&gt;0)*(tblDados[GS_M]&gt;0))+SUMPRODUCT((TRIM(tblDados[Visitante])=$A810)*tblDados[Primeira_Ocorrencia]*(tblDados[GM_V]&gt;0)*(tblDados[GS_V]&gt;0)))/G810,0))</f>
        <v/>
      </c>
      <c r="P810" s="14" t="str" cm="1">
        <f t="array" ref="P810">IF($A810="","",IFERROR((SUMPRODUCT((TRIM(tblDados[Mandante])=$A810)*tblDados[Primeira_Ocorrencia]*tblDados[GM_M]^2)+SUMPRODUCT((TRIM(tblDados[Visitante])=$A810)*tblDados[Primeira_Ocorrencia]*tblDados[GM_V]^2))/G810-H810^2,0))</f>
        <v/>
      </c>
      <c r="Q810" s="14" t="str">
        <f t="shared" si="213"/>
        <v/>
      </c>
      <c r="R810" s="1" t="str">
        <f t="shared" si="214"/>
        <v/>
      </c>
      <c r="S810" s="14" t="str" cm="1">
        <f t="array" ref="S810">IF($A810="","",SUMPRODUCT((TRIM(tblDados[Mandante])=$A810)*tblDados[Primeira_Ocorrencia]*tblDados[GM_M]))</f>
        <v/>
      </c>
      <c r="T810" s="14" t="str" cm="1">
        <f t="array" ref="T810">IF($A810="","",SUMPRODUCT((TRIM(tblDados[Visitante])=$A810)*tblDados[Primeira_Ocorrencia]*tblDados[GM_V]))</f>
        <v/>
      </c>
      <c r="U810" s="14" t="str">
        <f t="shared" si="215"/>
        <v/>
      </c>
      <c r="V810" s="14" t="str">
        <f t="shared" si="204"/>
        <v/>
      </c>
      <c r="W810" s="14" t="str" cm="1">
        <f t="array" ref="W810">IF($A810="","",SUMPRODUCT((TRIM(tblDados[Mandante])=$A810)*tblDados[Primeira_Ocorrencia]*tblDados[GS_M]))</f>
        <v/>
      </c>
      <c r="X810" s="14" t="str" cm="1">
        <f t="array" ref="X810">IF($A810="","",SUMPRODUCT((TRIM(tblDados[Visitante])=$A810)*tblDados[Primeira_Ocorrencia]*tblDados[GS_V]))</f>
        <v/>
      </c>
      <c r="Y810" s="14" t="str">
        <f t="shared" si="216"/>
        <v/>
      </c>
      <c r="Z810" s="14" t="str">
        <f t="shared" si="205"/>
        <v/>
      </c>
      <c r="AA810" s="14" t="str">
        <f t="shared" si="206"/>
        <v/>
      </c>
      <c r="AB810" s="14" t="str">
        <f t="shared" si="207"/>
        <v/>
      </c>
      <c r="AC810" s="14" t="str">
        <f t="shared" si="208"/>
        <v/>
      </c>
      <c r="AD810" s="14" t="str">
        <f t="shared" si="209"/>
        <v/>
      </c>
    </row>
    <row r="811" spans="2:30" x14ac:dyDescent="0.3">
      <c r="B811" s="13" t="str" cm="1">
        <f t="array" ref="B811">IF($A811="","",_xlfn.LET(_xlpm.p,IFERROR(INDEX(tblDados[País],MATCH($A811,TRIM(tblDados[Mandante]),0)),INDEX(tblDados[País],MATCH($A811,TRIM(tblDados[Visitante]),0))),_xlpm.l,IFERROR(INDEX(tblDados[Liga],MATCH($A811,TRIM(tblDados[Mandante]),0)),INDEX(tblDados[Liga],MATCH($A811,TRIM(tblDados[Visitante]),0))),_xlpm.p&amp;" - "&amp;_xlpm.l))</f>
        <v/>
      </c>
      <c r="C811" s="14" t="str">
        <f t="shared" si="210"/>
        <v/>
      </c>
      <c r="D811" s="14" t="str">
        <f t="shared" si="211"/>
        <v/>
      </c>
      <c r="E811" s="15" t="str" cm="1">
        <f t="array" ref="E811">IF($A811="","",SUMPRODUCT((TRIM(tblDados[Mandante])=$A811)*tblDados[Primeira_Ocorrencia]))</f>
        <v/>
      </c>
      <c r="F811" s="15" t="str" cm="1">
        <f t="array" ref="F811">IF($A811="","",SUMPRODUCT((TRIM(tblDados[Visitante])=$A811)*tblDados[Primeira_Ocorrencia]))</f>
        <v/>
      </c>
      <c r="G811" s="15" t="str" cm="1">
        <f t="array" ref="G811">IF($A811="","",SUMPRODUCT((TRIM(tblDados[Mandante])=$A811)*tblDados[Primeira_Ocorrencia])+SUMPRODUCT((TRIM(tblDados[Visitante])=$A811)*tblDados[Primeira_Ocorrencia]))</f>
        <v/>
      </c>
      <c r="H811" s="14" t="str">
        <f t="shared" si="212"/>
        <v/>
      </c>
      <c r="I811" s="14" t="str" cm="1">
        <f t="array" ref="I811">IF($A811="","",_xlfn.LET(_xlpm.p,IFERROR(INDEX(tblDados[País],MATCH($A811,TRIM(tblDados[Mandante]),0)),INDEX(tblDados[País],MATCH($A811,TRIM(tblDados[Visitante]),0))),_xlpm.l,IFERROR(INDEX(tblDados[Liga],MATCH($A811,TRIM(tblDados[Mandante]),0)),INDEX(tblDados[Liga],MATCH($A811,TRIM(tblDados[Visitante]),0))),IFERROR(SUMIFS(Ligas!$D$2:$D$39,Ligas!$H$2:$H$39,_xlpm.p,Ligas!$I$2:$I$39,_xlpm.l),0)))</f>
        <v/>
      </c>
      <c r="J811" s="16" t="str" cm="1">
        <f t="array" ref="J811">IF($A811="","",IFERROR((SUMPRODUCT((TRIM(tblDados[Mandante])=$A811)*tblDados[Primeira_Ocorrencia]*(tblDados[GM_M]=0))+SUMPRODUCT((TRIM(tblDados[Visitante])=$A811)*tblDados[Primeira_Ocorrencia]*(tblDados[GM_V]=0)))/G811,0))</f>
        <v/>
      </c>
      <c r="K811" s="16" t="str" cm="1">
        <f t="array" ref="K811">IF($A811="","",IFERROR((SUMPRODUCT((TRIM(tblDados[Mandante])=$A811)*tblDados[Primeira_Ocorrencia]*((tblDados[GM_M]+tblDados[GS_M])&gt;0.5))+SUMPRODUCT((TRIM(tblDados[Visitante])=$A811)*tblDados[Primeira_Ocorrencia]*((tblDados[GM_V]+tblDados[GS_V])&gt;0.5)))/G811,0))</f>
        <v/>
      </c>
      <c r="L811" s="16" t="str" cm="1">
        <f t="array" ref="L811">IF($A811="","",IFERROR((SUMPRODUCT((TRIM(tblDados[Mandante])=$A811)*tblDados[Primeira_Ocorrencia]*((tblDados[GM_M]+tblDados[GS_M])&gt;1.5))+SUMPRODUCT((TRIM(tblDados[Visitante])=$A811)*tblDados[Primeira_Ocorrencia]*((tblDados[GM_V]+tblDados[GS_V])&gt;1.5)))/G811,0))</f>
        <v/>
      </c>
      <c r="M811" s="16" t="str" cm="1">
        <f t="array" ref="M811">IF($A811="","",IFERROR((SUMPRODUCT((TRIM(tblDados[Mandante])=$A811)*tblDados[Primeira_Ocorrencia]*((tblDados[GM_M]+tblDados[GS_M])&gt;2.5))+SUMPRODUCT((TRIM(tblDados[Visitante])=$A811)*tblDados[Primeira_Ocorrencia]*((tblDados[GM_V]+tblDados[GS_V])&gt;2.5)))/G811,0))</f>
        <v/>
      </c>
      <c r="N811" s="16" t="str" cm="1">
        <f t="array" ref="N811">IF($A811="","",IFERROR((SUMPRODUCT((TRIM(tblDados[Mandante])=$A811)*tblDados[Primeira_Ocorrencia]*((tblDados[GM_M]+tblDados[GS_M])&gt;3.5))+SUMPRODUCT((TRIM(tblDados[Visitante])=$A811)*tblDados[Primeira_Ocorrencia]*((tblDados[GM_V]+tblDados[GS_V])&gt;3.5)))/G811,0))</f>
        <v/>
      </c>
      <c r="O811" s="16" t="str" cm="1">
        <f t="array" ref="O811">IF($A811="","",IFERROR((SUMPRODUCT((TRIM(tblDados[Mandante])=$A811)*tblDados[Primeira_Ocorrencia]*(tblDados[GM_M]&gt;0)*(tblDados[GS_M]&gt;0))+SUMPRODUCT((TRIM(tblDados[Visitante])=$A811)*tblDados[Primeira_Ocorrencia]*(tblDados[GM_V]&gt;0)*(tblDados[GS_V]&gt;0)))/G811,0))</f>
        <v/>
      </c>
      <c r="P811" s="14" t="str" cm="1">
        <f t="array" ref="P811">IF($A811="","",IFERROR((SUMPRODUCT((TRIM(tblDados[Mandante])=$A811)*tblDados[Primeira_Ocorrencia]*tblDados[GM_M]^2)+SUMPRODUCT((TRIM(tblDados[Visitante])=$A811)*tblDados[Primeira_Ocorrencia]*tblDados[GM_V]^2))/G811-H811^2,0))</f>
        <v/>
      </c>
      <c r="Q811" s="14" t="str">
        <f t="shared" si="213"/>
        <v/>
      </c>
      <c r="R811" s="1" t="str">
        <f t="shared" si="214"/>
        <v/>
      </c>
      <c r="S811" s="14" t="str" cm="1">
        <f t="array" ref="S811">IF($A811="","",SUMPRODUCT((TRIM(tblDados[Mandante])=$A811)*tblDados[Primeira_Ocorrencia]*tblDados[GM_M]))</f>
        <v/>
      </c>
      <c r="T811" s="14" t="str" cm="1">
        <f t="array" ref="T811">IF($A811="","",SUMPRODUCT((TRIM(tblDados[Visitante])=$A811)*tblDados[Primeira_Ocorrencia]*tblDados[GM_V]))</f>
        <v/>
      </c>
      <c r="U811" s="14" t="str">
        <f t="shared" si="215"/>
        <v/>
      </c>
      <c r="V811" s="14" t="str">
        <f t="shared" si="204"/>
        <v/>
      </c>
      <c r="W811" s="14" t="str" cm="1">
        <f t="array" ref="W811">IF($A811="","",SUMPRODUCT((TRIM(tblDados[Mandante])=$A811)*tblDados[Primeira_Ocorrencia]*tblDados[GS_M]))</f>
        <v/>
      </c>
      <c r="X811" s="14" t="str" cm="1">
        <f t="array" ref="X811">IF($A811="","",SUMPRODUCT((TRIM(tblDados[Visitante])=$A811)*tblDados[Primeira_Ocorrencia]*tblDados[GS_V]))</f>
        <v/>
      </c>
      <c r="Y811" s="14" t="str">
        <f t="shared" si="216"/>
        <v/>
      </c>
      <c r="Z811" s="14" t="str">
        <f t="shared" si="205"/>
        <v/>
      </c>
      <c r="AA811" s="14" t="str">
        <f t="shared" si="206"/>
        <v/>
      </c>
      <c r="AB811" s="14" t="str">
        <f t="shared" si="207"/>
        <v/>
      </c>
      <c r="AC811" s="14" t="str">
        <f t="shared" si="208"/>
        <v/>
      </c>
      <c r="AD811" s="14" t="str">
        <f t="shared" si="209"/>
        <v/>
      </c>
    </row>
    <row r="812" spans="2:30" x14ac:dyDescent="0.3">
      <c r="B812" s="13" t="str" cm="1">
        <f t="array" ref="B812">IF($A812="","",_xlfn.LET(_xlpm.p,IFERROR(INDEX(tblDados[País],MATCH($A812,TRIM(tblDados[Mandante]),0)),INDEX(tblDados[País],MATCH($A812,TRIM(tblDados[Visitante]),0))),_xlpm.l,IFERROR(INDEX(tblDados[Liga],MATCH($A812,TRIM(tblDados[Mandante]),0)),INDEX(tblDados[Liga],MATCH($A812,TRIM(tblDados[Visitante]),0))),_xlpm.p&amp;" - "&amp;_xlpm.l))</f>
        <v/>
      </c>
      <c r="C812" s="14" t="str">
        <f t="shared" si="210"/>
        <v/>
      </c>
      <c r="D812" s="14" t="str">
        <f t="shared" si="211"/>
        <v/>
      </c>
      <c r="E812" s="15" t="str" cm="1">
        <f t="array" ref="E812">IF($A812="","",SUMPRODUCT((TRIM(tblDados[Mandante])=$A812)*tblDados[Primeira_Ocorrencia]))</f>
        <v/>
      </c>
      <c r="F812" s="15" t="str" cm="1">
        <f t="array" ref="F812">IF($A812="","",SUMPRODUCT((TRIM(tblDados[Visitante])=$A812)*tblDados[Primeira_Ocorrencia]))</f>
        <v/>
      </c>
      <c r="G812" s="15" t="str" cm="1">
        <f t="array" ref="G812">IF($A812="","",SUMPRODUCT((TRIM(tblDados[Mandante])=$A812)*tblDados[Primeira_Ocorrencia])+SUMPRODUCT((TRIM(tblDados[Visitante])=$A812)*tblDados[Primeira_Ocorrencia]))</f>
        <v/>
      </c>
      <c r="H812" s="14" t="str">
        <f t="shared" si="212"/>
        <v/>
      </c>
      <c r="I812" s="14" t="str" cm="1">
        <f t="array" ref="I812">IF($A812="","",_xlfn.LET(_xlpm.p,IFERROR(INDEX(tblDados[País],MATCH($A812,TRIM(tblDados[Mandante]),0)),INDEX(tblDados[País],MATCH($A812,TRIM(tblDados[Visitante]),0))),_xlpm.l,IFERROR(INDEX(tblDados[Liga],MATCH($A812,TRIM(tblDados[Mandante]),0)),INDEX(tblDados[Liga],MATCH($A812,TRIM(tblDados[Visitante]),0))),IFERROR(SUMIFS(Ligas!$D$2:$D$39,Ligas!$H$2:$H$39,_xlpm.p,Ligas!$I$2:$I$39,_xlpm.l),0)))</f>
        <v/>
      </c>
      <c r="J812" s="16" t="str" cm="1">
        <f t="array" ref="J812">IF($A812="","",IFERROR((SUMPRODUCT((TRIM(tblDados[Mandante])=$A812)*tblDados[Primeira_Ocorrencia]*(tblDados[GM_M]=0))+SUMPRODUCT((TRIM(tblDados[Visitante])=$A812)*tblDados[Primeira_Ocorrencia]*(tblDados[GM_V]=0)))/G812,0))</f>
        <v/>
      </c>
      <c r="K812" s="16" t="str" cm="1">
        <f t="array" ref="K812">IF($A812="","",IFERROR((SUMPRODUCT((TRIM(tblDados[Mandante])=$A812)*tblDados[Primeira_Ocorrencia]*((tblDados[GM_M]+tblDados[GS_M])&gt;0.5))+SUMPRODUCT((TRIM(tblDados[Visitante])=$A812)*tblDados[Primeira_Ocorrencia]*((tblDados[GM_V]+tblDados[GS_V])&gt;0.5)))/G812,0))</f>
        <v/>
      </c>
      <c r="L812" s="16" t="str" cm="1">
        <f t="array" ref="L812">IF($A812="","",IFERROR((SUMPRODUCT((TRIM(tblDados[Mandante])=$A812)*tblDados[Primeira_Ocorrencia]*((tblDados[GM_M]+tblDados[GS_M])&gt;1.5))+SUMPRODUCT((TRIM(tblDados[Visitante])=$A812)*tblDados[Primeira_Ocorrencia]*((tblDados[GM_V]+tblDados[GS_V])&gt;1.5)))/G812,0))</f>
        <v/>
      </c>
      <c r="M812" s="16" t="str" cm="1">
        <f t="array" ref="M812">IF($A812="","",IFERROR((SUMPRODUCT((TRIM(tblDados[Mandante])=$A812)*tblDados[Primeira_Ocorrencia]*((tblDados[GM_M]+tblDados[GS_M])&gt;2.5))+SUMPRODUCT((TRIM(tblDados[Visitante])=$A812)*tblDados[Primeira_Ocorrencia]*((tblDados[GM_V]+tblDados[GS_V])&gt;2.5)))/G812,0))</f>
        <v/>
      </c>
      <c r="N812" s="16" t="str" cm="1">
        <f t="array" ref="N812">IF($A812="","",IFERROR((SUMPRODUCT((TRIM(tblDados[Mandante])=$A812)*tblDados[Primeira_Ocorrencia]*((tblDados[GM_M]+tblDados[GS_M])&gt;3.5))+SUMPRODUCT((TRIM(tblDados[Visitante])=$A812)*tblDados[Primeira_Ocorrencia]*((tblDados[GM_V]+tblDados[GS_V])&gt;3.5)))/G812,0))</f>
        <v/>
      </c>
      <c r="O812" s="16" t="str" cm="1">
        <f t="array" ref="O812">IF($A812="","",IFERROR((SUMPRODUCT((TRIM(tblDados[Mandante])=$A812)*tblDados[Primeira_Ocorrencia]*(tblDados[GM_M]&gt;0)*(tblDados[GS_M]&gt;0))+SUMPRODUCT((TRIM(tblDados[Visitante])=$A812)*tblDados[Primeira_Ocorrencia]*(tblDados[GM_V]&gt;0)*(tblDados[GS_V]&gt;0)))/G812,0))</f>
        <v/>
      </c>
      <c r="P812" s="14" t="str" cm="1">
        <f t="array" ref="P812">IF($A812="","",IFERROR((SUMPRODUCT((TRIM(tblDados[Mandante])=$A812)*tblDados[Primeira_Ocorrencia]*tblDados[GM_M]^2)+SUMPRODUCT((TRIM(tblDados[Visitante])=$A812)*tblDados[Primeira_Ocorrencia]*tblDados[GM_V]^2))/G812-H812^2,0))</f>
        <v/>
      </c>
      <c r="Q812" s="14" t="str">
        <f t="shared" si="213"/>
        <v/>
      </c>
      <c r="R812" s="1" t="str">
        <f t="shared" si="214"/>
        <v/>
      </c>
      <c r="S812" s="14" t="str" cm="1">
        <f t="array" ref="S812">IF($A812="","",SUMPRODUCT((TRIM(tblDados[Mandante])=$A812)*tblDados[Primeira_Ocorrencia]*tblDados[GM_M]))</f>
        <v/>
      </c>
      <c r="T812" s="14" t="str" cm="1">
        <f t="array" ref="T812">IF($A812="","",SUMPRODUCT((TRIM(tblDados[Visitante])=$A812)*tblDados[Primeira_Ocorrencia]*tblDados[GM_V]))</f>
        <v/>
      </c>
      <c r="U812" s="14" t="str">
        <f t="shared" si="215"/>
        <v/>
      </c>
      <c r="V812" s="14" t="str">
        <f t="shared" si="204"/>
        <v/>
      </c>
      <c r="W812" s="14" t="str" cm="1">
        <f t="array" ref="W812">IF($A812="","",SUMPRODUCT((TRIM(tblDados[Mandante])=$A812)*tblDados[Primeira_Ocorrencia]*tblDados[GS_M]))</f>
        <v/>
      </c>
      <c r="X812" s="14" t="str" cm="1">
        <f t="array" ref="X812">IF($A812="","",SUMPRODUCT((TRIM(tblDados[Visitante])=$A812)*tblDados[Primeira_Ocorrencia]*tblDados[GS_V]))</f>
        <v/>
      </c>
      <c r="Y812" s="14" t="str">
        <f t="shared" si="216"/>
        <v/>
      </c>
      <c r="Z812" s="14" t="str">
        <f t="shared" si="205"/>
        <v/>
      </c>
      <c r="AA812" s="14" t="str">
        <f t="shared" si="206"/>
        <v/>
      </c>
      <c r="AB812" s="14" t="str">
        <f t="shared" si="207"/>
        <v/>
      </c>
      <c r="AC812" s="14" t="str">
        <f t="shared" si="208"/>
        <v/>
      </c>
      <c r="AD812" s="14" t="str">
        <f t="shared" si="209"/>
        <v/>
      </c>
    </row>
    <row r="813" spans="2:30" x14ac:dyDescent="0.3">
      <c r="B813" s="13" t="str" cm="1">
        <f t="array" ref="B813">IF($A813="","",_xlfn.LET(_xlpm.p,IFERROR(INDEX(tblDados[País],MATCH($A813,TRIM(tblDados[Mandante]),0)),INDEX(tblDados[País],MATCH($A813,TRIM(tblDados[Visitante]),0))),_xlpm.l,IFERROR(INDEX(tblDados[Liga],MATCH($A813,TRIM(tblDados[Mandante]),0)),INDEX(tblDados[Liga],MATCH($A813,TRIM(tblDados[Visitante]),0))),_xlpm.p&amp;" - "&amp;_xlpm.l))</f>
        <v/>
      </c>
      <c r="C813" s="14" t="str">
        <f t="shared" si="210"/>
        <v/>
      </c>
      <c r="D813" s="14" t="str">
        <f t="shared" si="211"/>
        <v/>
      </c>
      <c r="E813" s="15" t="str" cm="1">
        <f t="array" ref="E813">IF($A813="","",SUMPRODUCT((TRIM(tblDados[Mandante])=$A813)*tblDados[Primeira_Ocorrencia]))</f>
        <v/>
      </c>
      <c r="F813" s="15" t="str" cm="1">
        <f t="array" ref="F813">IF($A813="","",SUMPRODUCT((TRIM(tblDados[Visitante])=$A813)*tblDados[Primeira_Ocorrencia]))</f>
        <v/>
      </c>
      <c r="G813" s="15" t="str" cm="1">
        <f t="array" ref="G813">IF($A813="","",SUMPRODUCT((TRIM(tblDados[Mandante])=$A813)*tblDados[Primeira_Ocorrencia])+SUMPRODUCT((TRIM(tblDados[Visitante])=$A813)*tblDados[Primeira_Ocorrencia]))</f>
        <v/>
      </c>
      <c r="H813" s="14" t="str">
        <f t="shared" si="212"/>
        <v/>
      </c>
      <c r="I813" s="14" t="str" cm="1">
        <f t="array" ref="I813">IF($A813="","",_xlfn.LET(_xlpm.p,IFERROR(INDEX(tblDados[País],MATCH($A813,TRIM(tblDados[Mandante]),0)),INDEX(tblDados[País],MATCH($A813,TRIM(tblDados[Visitante]),0))),_xlpm.l,IFERROR(INDEX(tblDados[Liga],MATCH($A813,TRIM(tblDados[Mandante]),0)),INDEX(tblDados[Liga],MATCH($A813,TRIM(tblDados[Visitante]),0))),IFERROR(SUMIFS(Ligas!$D$2:$D$39,Ligas!$H$2:$H$39,_xlpm.p,Ligas!$I$2:$I$39,_xlpm.l),0)))</f>
        <v/>
      </c>
      <c r="J813" s="16" t="str" cm="1">
        <f t="array" ref="J813">IF($A813="","",IFERROR((SUMPRODUCT((TRIM(tblDados[Mandante])=$A813)*tblDados[Primeira_Ocorrencia]*(tblDados[GM_M]=0))+SUMPRODUCT((TRIM(tblDados[Visitante])=$A813)*tblDados[Primeira_Ocorrencia]*(tblDados[GM_V]=0)))/G813,0))</f>
        <v/>
      </c>
      <c r="K813" s="16" t="str" cm="1">
        <f t="array" ref="K813">IF($A813="","",IFERROR((SUMPRODUCT((TRIM(tblDados[Mandante])=$A813)*tblDados[Primeira_Ocorrencia]*((tblDados[GM_M]+tblDados[GS_M])&gt;0.5))+SUMPRODUCT((TRIM(tblDados[Visitante])=$A813)*tblDados[Primeira_Ocorrencia]*((tblDados[GM_V]+tblDados[GS_V])&gt;0.5)))/G813,0))</f>
        <v/>
      </c>
      <c r="L813" s="16" t="str" cm="1">
        <f t="array" ref="L813">IF($A813="","",IFERROR((SUMPRODUCT((TRIM(tblDados[Mandante])=$A813)*tblDados[Primeira_Ocorrencia]*((tblDados[GM_M]+tblDados[GS_M])&gt;1.5))+SUMPRODUCT((TRIM(tblDados[Visitante])=$A813)*tblDados[Primeira_Ocorrencia]*((tblDados[GM_V]+tblDados[GS_V])&gt;1.5)))/G813,0))</f>
        <v/>
      </c>
      <c r="M813" s="16" t="str" cm="1">
        <f t="array" ref="M813">IF($A813="","",IFERROR((SUMPRODUCT((TRIM(tblDados[Mandante])=$A813)*tblDados[Primeira_Ocorrencia]*((tblDados[GM_M]+tblDados[GS_M])&gt;2.5))+SUMPRODUCT((TRIM(tblDados[Visitante])=$A813)*tblDados[Primeira_Ocorrencia]*((tblDados[GM_V]+tblDados[GS_V])&gt;2.5)))/G813,0))</f>
        <v/>
      </c>
      <c r="N813" s="16" t="str" cm="1">
        <f t="array" ref="N813">IF($A813="","",IFERROR((SUMPRODUCT((TRIM(tblDados[Mandante])=$A813)*tblDados[Primeira_Ocorrencia]*((tblDados[GM_M]+tblDados[GS_M])&gt;3.5))+SUMPRODUCT((TRIM(tblDados[Visitante])=$A813)*tblDados[Primeira_Ocorrencia]*((tblDados[GM_V]+tblDados[GS_V])&gt;3.5)))/G813,0))</f>
        <v/>
      </c>
      <c r="O813" s="16" t="str" cm="1">
        <f t="array" ref="O813">IF($A813="","",IFERROR((SUMPRODUCT((TRIM(tblDados[Mandante])=$A813)*tblDados[Primeira_Ocorrencia]*(tblDados[GM_M]&gt;0)*(tblDados[GS_M]&gt;0))+SUMPRODUCT((TRIM(tblDados[Visitante])=$A813)*tblDados[Primeira_Ocorrencia]*(tblDados[GM_V]&gt;0)*(tblDados[GS_V]&gt;0)))/G813,0))</f>
        <v/>
      </c>
      <c r="P813" s="14" t="str" cm="1">
        <f t="array" ref="P813">IF($A813="","",IFERROR((SUMPRODUCT((TRIM(tblDados[Mandante])=$A813)*tblDados[Primeira_Ocorrencia]*tblDados[GM_M]^2)+SUMPRODUCT((TRIM(tblDados[Visitante])=$A813)*tblDados[Primeira_Ocorrencia]*tblDados[GM_V]^2))/G813-H813^2,0))</f>
        <v/>
      </c>
      <c r="Q813" s="14" t="str">
        <f t="shared" si="213"/>
        <v/>
      </c>
      <c r="R813" s="1" t="str">
        <f t="shared" si="214"/>
        <v/>
      </c>
      <c r="S813" s="14" t="str" cm="1">
        <f t="array" ref="S813">IF($A813="","",SUMPRODUCT((TRIM(tblDados[Mandante])=$A813)*tblDados[Primeira_Ocorrencia]*tblDados[GM_M]))</f>
        <v/>
      </c>
      <c r="T813" s="14" t="str" cm="1">
        <f t="array" ref="T813">IF($A813="","",SUMPRODUCT((TRIM(tblDados[Visitante])=$A813)*tblDados[Primeira_Ocorrencia]*tblDados[GM_V]))</f>
        <v/>
      </c>
      <c r="U813" s="14" t="str">
        <f t="shared" si="215"/>
        <v/>
      </c>
      <c r="V813" s="14" t="str">
        <f t="shared" si="204"/>
        <v/>
      </c>
      <c r="W813" s="14" t="str" cm="1">
        <f t="array" ref="W813">IF($A813="","",SUMPRODUCT((TRIM(tblDados[Mandante])=$A813)*tblDados[Primeira_Ocorrencia]*tblDados[GS_M]))</f>
        <v/>
      </c>
      <c r="X813" s="14" t="str" cm="1">
        <f t="array" ref="X813">IF($A813="","",SUMPRODUCT((TRIM(tblDados[Visitante])=$A813)*tblDados[Primeira_Ocorrencia]*tblDados[GS_V]))</f>
        <v/>
      </c>
      <c r="Y813" s="14" t="str">
        <f t="shared" si="216"/>
        <v/>
      </c>
      <c r="Z813" s="14" t="str">
        <f t="shared" si="205"/>
        <v/>
      </c>
      <c r="AA813" s="14" t="str">
        <f t="shared" si="206"/>
        <v/>
      </c>
      <c r="AB813" s="14" t="str">
        <f t="shared" si="207"/>
        <v/>
      </c>
      <c r="AC813" s="14" t="str">
        <f t="shared" si="208"/>
        <v/>
      </c>
      <c r="AD813" s="14" t="str">
        <f t="shared" si="209"/>
        <v/>
      </c>
    </row>
    <row r="814" spans="2:30" x14ac:dyDescent="0.3">
      <c r="B814" s="13" t="str" cm="1">
        <f t="array" ref="B814">IF($A814="","",_xlfn.LET(_xlpm.p,IFERROR(INDEX(tblDados[País],MATCH($A814,TRIM(tblDados[Mandante]),0)),INDEX(tblDados[País],MATCH($A814,TRIM(tblDados[Visitante]),0))),_xlpm.l,IFERROR(INDEX(tblDados[Liga],MATCH($A814,TRIM(tblDados[Mandante]),0)),INDEX(tblDados[Liga],MATCH($A814,TRIM(tblDados[Visitante]),0))),_xlpm.p&amp;" - "&amp;_xlpm.l))</f>
        <v/>
      </c>
      <c r="C814" s="14" t="str">
        <f t="shared" si="210"/>
        <v/>
      </c>
      <c r="D814" s="14" t="str">
        <f t="shared" si="211"/>
        <v/>
      </c>
      <c r="E814" s="15" t="str" cm="1">
        <f t="array" ref="E814">IF($A814="","",SUMPRODUCT((TRIM(tblDados[Mandante])=$A814)*tblDados[Primeira_Ocorrencia]))</f>
        <v/>
      </c>
      <c r="F814" s="15" t="str" cm="1">
        <f t="array" ref="F814">IF($A814="","",SUMPRODUCT((TRIM(tblDados[Visitante])=$A814)*tblDados[Primeira_Ocorrencia]))</f>
        <v/>
      </c>
      <c r="G814" s="15" t="str" cm="1">
        <f t="array" ref="G814">IF($A814="","",SUMPRODUCT((TRIM(tblDados[Mandante])=$A814)*tblDados[Primeira_Ocorrencia])+SUMPRODUCT((TRIM(tblDados[Visitante])=$A814)*tblDados[Primeira_Ocorrencia]))</f>
        <v/>
      </c>
      <c r="H814" s="14" t="str">
        <f t="shared" si="212"/>
        <v/>
      </c>
      <c r="I814" s="14" t="str" cm="1">
        <f t="array" ref="I814">IF($A814="","",_xlfn.LET(_xlpm.p,IFERROR(INDEX(tblDados[País],MATCH($A814,TRIM(tblDados[Mandante]),0)),INDEX(tblDados[País],MATCH($A814,TRIM(tblDados[Visitante]),0))),_xlpm.l,IFERROR(INDEX(tblDados[Liga],MATCH($A814,TRIM(tblDados[Mandante]),0)),INDEX(tblDados[Liga],MATCH($A814,TRIM(tblDados[Visitante]),0))),IFERROR(SUMIFS(Ligas!$D$2:$D$39,Ligas!$H$2:$H$39,_xlpm.p,Ligas!$I$2:$I$39,_xlpm.l),0)))</f>
        <v/>
      </c>
      <c r="J814" s="16" t="str" cm="1">
        <f t="array" ref="J814">IF($A814="","",IFERROR((SUMPRODUCT((TRIM(tblDados[Mandante])=$A814)*tblDados[Primeira_Ocorrencia]*(tblDados[GM_M]=0))+SUMPRODUCT((TRIM(tblDados[Visitante])=$A814)*tblDados[Primeira_Ocorrencia]*(tblDados[GM_V]=0)))/G814,0))</f>
        <v/>
      </c>
      <c r="K814" s="16" t="str" cm="1">
        <f t="array" ref="K814">IF($A814="","",IFERROR((SUMPRODUCT((TRIM(tblDados[Mandante])=$A814)*tblDados[Primeira_Ocorrencia]*((tblDados[GM_M]+tblDados[GS_M])&gt;0.5))+SUMPRODUCT((TRIM(tblDados[Visitante])=$A814)*tblDados[Primeira_Ocorrencia]*((tblDados[GM_V]+tblDados[GS_V])&gt;0.5)))/G814,0))</f>
        <v/>
      </c>
      <c r="L814" s="16" t="str" cm="1">
        <f t="array" ref="L814">IF($A814="","",IFERROR((SUMPRODUCT((TRIM(tblDados[Mandante])=$A814)*tblDados[Primeira_Ocorrencia]*((tblDados[GM_M]+tblDados[GS_M])&gt;1.5))+SUMPRODUCT((TRIM(tblDados[Visitante])=$A814)*tblDados[Primeira_Ocorrencia]*((tblDados[GM_V]+tblDados[GS_V])&gt;1.5)))/G814,0))</f>
        <v/>
      </c>
      <c r="M814" s="16" t="str" cm="1">
        <f t="array" ref="M814">IF($A814="","",IFERROR((SUMPRODUCT((TRIM(tblDados[Mandante])=$A814)*tblDados[Primeira_Ocorrencia]*((tblDados[GM_M]+tblDados[GS_M])&gt;2.5))+SUMPRODUCT((TRIM(tblDados[Visitante])=$A814)*tblDados[Primeira_Ocorrencia]*((tblDados[GM_V]+tblDados[GS_V])&gt;2.5)))/G814,0))</f>
        <v/>
      </c>
      <c r="N814" s="16" t="str" cm="1">
        <f t="array" ref="N814">IF($A814="","",IFERROR((SUMPRODUCT((TRIM(tblDados[Mandante])=$A814)*tblDados[Primeira_Ocorrencia]*((tblDados[GM_M]+tblDados[GS_M])&gt;3.5))+SUMPRODUCT((TRIM(tblDados[Visitante])=$A814)*tblDados[Primeira_Ocorrencia]*((tblDados[GM_V]+tblDados[GS_V])&gt;3.5)))/G814,0))</f>
        <v/>
      </c>
      <c r="O814" s="16" t="str" cm="1">
        <f t="array" ref="O814">IF($A814="","",IFERROR((SUMPRODUCT((TRIM(tblDados[Mandante])=$A814)*tblDados[Primeira_Ocorrencia]*(tblDados[GM_M]&gt;0)*(tblDados[GS_M]&gt;0))+SUMPRODUCT((TRIM(tblDados[Visitante])=$A814)*tblDados[Primeira_Ocorrencia]*(tblDados[GM_V]&gt;0)*(tblDados[GS_V]&gt;0)))/G814,0))</f>
        <v/>
      </c>
      <c r="P814" s="14" t="str" cm="1">
        <f t="array" ref="P814">IF($A814="","",IFERROR((SUMPRODUCT((TRIM(tblDados[Mandante])=$A814)*tblDados[Primeira_Ocorrencia]*tblDados[GM_M]^2)+SUMPRODUCT((TRIM(tblDados[Visitante])=$A814)*tblDados[Primeira_Ocorrencia]*tblDados[GM_V]^2))/G814-H814^2,0))</f>
        <v/>
      </c>
      <c r="Q814" s="14" t="str">
        <f t="shared" si="213"/>
        <v/>
      </c>
      <c r="R814" s="1" t="str">
        <f t="shared" si="214"/>
        <v/>
      </c>
      <c r="S814" s="14" t="str" cm="1">
        <f t="array" ref="S814">IF($A814="","",SUMPRODUCT((TRIM(tblDados[Mandante])=$A814)*tblDados[Primeira_Ocorrencia]*tblDados[GM_M]))</f>
        <v/>
      </c>
      <c r="T814" s="14" t="str" cm="1">
        <f t="array" ref="T814">IF($A814="","",SUMPRODUCT((TRIM(tblDados[Visitante])=$A814)*tblDados[Primeira_Ocorrencia]*tblDados[GM_V]))</f>
        <v/>
      </c>
      <c r="U814" s="14" t="str">
        <f t="shared" si="215"/>
        <v/>
      </c>
      <c r="V814" s="14" t="str">
        <f t="shared" si="204"/>
        <v/>
      </c>
      <c r="W814" s="14" t="str" cm="1">
        <f t="array" ref="W814">IF($A814="","",SUMPRODUCT((TRIM(tblDados[Mandante])=$A814)*tblDados[Primeira_Ocorrencia]*tblDados[GS_M]))</f>
        <v/>
      </c>
      <c r="X814" s="14" t="str" cm="1">
        <f t="array" ref="X814">IF($A814="","",SUMPRODUCT((TRIM(tblDados[Visitante])=$A814)*tblDados[Primeira_Ocorrencia]*tblDados[GS_V]))</f>
        <v/>
      </c>
      <c r="Y814" s="14" t="str">
        <f t="shared" si="216"/>
        <v/>
      </c>
      <c r="Z814" s="14" t="str">
        <f t="shared" si="205"/>
        <v/>
      </c>
      <c r="AA814" s="14" t="str">
        <f t="shared" si="206"/>
        <v/>
      </c>
      <c r="AB814" s="14" t="str">
        <f t="shared" si="207"/>
        <v/>
      </c>
      <c r="AC814" s="14" t="str">
        <f t="shared" si="208"/>
        <v/>
      </c>
      <c r="AD814" s="14" t="str">
        <f t="shared" si="209"/>
        <v/>
      </c>
    </row>
    <row r="815" spans="2:30" x14ac:dyDescent="0.3">
      <c r="B815" s="13" t="str" cm="1">
        <f t="array" ref="B815">IF($A815="","",_xlfn.LET(_xlpm.p,IFERROR(INDEX(tblDados[País],MATCH($A815,TRIM(tblDados[Mandante]),0)),INDEX(tblDados[País],MATCH($A815,TRIM(tblDados[Visitante]),0))),_xlpm.l,IFERROR(INDEX(tblDados[Liga],MATCH($A815,TRIM(tblDados[Mandante]),0)),INDEX(tblDados[Liga],MATCH($A815,TRIM(tblDados[Visitante]),0))),_xlpm.p&amp;" - "&amp;_xlpm.l))</f>
        <v/>
      </c>
      <c r="C815" s="14" t="str">
        <f t="shared" si="210"/>
        <v/>
      </c>
      <c r="D815" s="14" t="str">
        <f t="shared" si="211"/>
        <v/>
      </c>
      <c r="E815" s="15" t="str" cm="1">
        <f t="array" ref="E815">IF($A815="","",SUMPRODUCT((TRIM(tblDados[Mandante])=$A815)*tblDados[Primeira_Ocorrencia]))</f>
        <v/>
      </c>
      <c r="F815" s="15" t="str" cm="1">
        <f t="array" ref="F815">IF($A815="","",SUMPRODUCT((TRIM(tblDados[Visitante])=$A815)*tblDados[Primeira_Ocorrencia]))</f>
        <v/>
      </c>
      <c r="G815" s="15" t="str" cm="1">
        <f t="array" ref="G815">IF($A815="","",SUMPRODUCT((TRIM(tblDados[Mandante])=$A815)*tblDados[Primeira_Ocorrencia])+SUMPRODUCT((TRIM(tblDados[Visitante])=$A815)*tblDados[Primeira_Ocorrencia]))</f>
        <v/>
      </c>
      <c r="H815" s="14" t="str">
        <f t="shared" si="212"/>
        <v/>
      </c>
      <c r="I815" s="14" t="str" cm="1">
        <f t="array" ref="I815">IF($A815="","",_xlfn.LET(_xlpm.p,IFERROR(INDEX(tblDados[País],MATCH($A815,TRIM(tblDados[Mandante]),0)),INDEX(tblDados[País],MATCH($A815,TRIM(tblDados[Visitante]),0))),_xlpm.l,IFERROR(INDEX(tblDados[Liga],MATCH($A815,TRIM(tblDados[Mandante]),0)),INDEX(tblDados[Liga],MATCH($A815,TRIM(tblDados[Visitante]),0))),IFERROR(SUMIFS(Ligas!$D$2:$D$39,Ligas!$H$2:$H$39,_xlpm.p,Ligas!$I$2:$I$39,_xlpm.l),0)))</f>
        <v/>
      </c>
      <c r="J815" s="16" t="str" cm="1">
        <f t="array" ref="J815">IF($A815="","",IFERROR((SUMPRODUCT((TRIM(tblDados[Mandante])=$A815)*tblDados[Primeira_Ocorrencia]*(tblDados[GM_M]=0))+SUMPRODUCT((TRIM(tblDados[Visitante])=$A815)*tblDados[Primeira_Ocorrencia]*(tblDados[GM_V]=0)))/G815,0))</f>
        <v/>
      </c>
      <c r="K815" s="16" t="str" cm="1">
        <f t="array" ref="K815">IF($A815="","",IFERROR((SUMPRODUCT((TRIM(tblDados[Mandante])=$A815)*tblDados[Primeira_Ocorrencia]*((tblDados[GM_M]+tblDados[GS_M])&gt;0.5))+SUMPRODUCT((TRIM(tblDados[Visitante])=$A815)*tblDados[Primeira_Ocorrencia]*((tblDados[GM_V]+tblDados[GS_V])&gt;0.5)))/G815,0))</f>
        <v/>
      </c>
      <c r="L815" s="16" t="str" cm="1">
        <f t="array" ref="L815">IF($A815="","",IFERROR((SUMPRODUCT((TRIM(tblDados[Mandante])=$A815)*tblDados[Primeira_Ocorrencia]*((tblDados[GM_M]+tblDados[GS_M])&gt;1.5))+SUMPRODUCT((TRIM(tblDados[Visitante])=$A815)*tblDados[Primeira_Ocorrencia]*((tblDados[GM_V]+tblDados[GS_V])&gt;1.5)))/G815,0))</f>
        <v/>
      </c>
      <c r="M815" s="16" t="str" cm="1">
        <f t="array" ref="M815">IF($A815="","",IFERROR((SUMPRODUCT((TRIM(tblDados[Mandante])=$A815)*tblDados[Primeira_Ocorrencia]*((tblDados[GM_M]+tblDados[GS_M])&gt;2.5))+SUMPRODUCT((TRIM(tblDados[Visitante])=$A815)*tblDados[Primeira_Ocorrencia]*((tblDados[GM_V]+tblDados[GS_V])&gt;2.5)))/G815,0))</f>
        <v/>
      </c>
      <c r="N815" s="16" t="str" cm="1">
        <f t="array" ref="N815">IF($A815="","",IFERROR((SUMPRODUCT((TRIM(tblDados[Mandante])=$A815)*tblDados[Primeira_Ocorrencia]*((tblDados[GM_M]+tblDados[GS_M])&gt;3.5))+SUMPRODUCT((TRIM(tblDados[Visitante])=$A815)*tblDados[Primeira_Ocorrencia]*((tblDados[GM_V]+tblDados[GS_V])&gt;3.5)))/G815,0))</f>
        <v/>
      </c>
      <c r="O815" s="16" t="str" cm="1">
        <f t="array" ref="O815">IF($A815="","",IFERROR((SUMPRODUCT((TRIM(tblDados[Mandante])=$A815)*tblDados[Primeira_Ocorrencia]*(tblDados[GM_M]&gt;0)*(tblDados[GS_M]&gt;0))+SUMPRODUCT((TRIM(tblDados[Visitante])=$A815)*tblDados[Primeira_Ocorrencia]*(tblDados[GM_V]&gt;0)*(tblDados[GS_V]&gt;0)))/G815,0))</f>
        <v/>
      </c>
      <c r="P815" s="14" t="str" cm="1">
        <f t="array" ref="P815">IF($A815="","",IFERROR((SUMPRODUCT((TRIM(tblDados[Mandante])=$A815)*tblDados[Primeira_Ocorrencia]*tblDados[GM_M]^2)+SUMPRODUCT((TRIM(tblDados[Visitante])=$A815)*tblDados[Primeira_Ocorrencia]*tblDados[GM_V]^2))/G815-H815^2,0))</f>
        <v/>
      </c>
      <c r="Q815" s="14" t="str">
        <f t="shared" si="213"/>
        <v/>
      </c>
      <c r="R815" s="1" t="str">
        <f t="shared" si="214"/>
        <v/>
      </c>
      <c r="S815" s="14" t="str" cm="1">
        <f t="array" ref="S815">IF($A815="","",SUMPRODUCT((TRIM(tblDados[Mandante])=$A815)*tblDados[Primeira_Ocorrencia]*tblDados[GM_M]))</f>
        <v/>
      </c>
      <c r="T815" s="14" t="str" cm="1">
        <f t="array" ref="T815">IF($A815="","",SUMPRODUCT((TRIM(tblDados[Visitante])=$A815)*tblDados[Primeira_Ocorrencia]*tblDados[GM_V]))</f>
        <v/>
      </c>
      <c r="U815" s="14" t="str">
        <f t="shared" si="215"/>
        <v/>
      </c>
      <c r="V815" s="14" t="str">
        <f t="shared" si="204"/>
        <v/>
      </c>
      <c r="W815" s="14" t="str" cm="1">
        <f t="array" ref="W815">IF($A815="","",SUMPRODUCT((TRIM(tblDados[Mandante])=$A815)*tblDados[Primeira_Ocorrencia]*tblDados[GS_M]))</f>
        <v/>
      </c>
      <c r="X815" s="14" t="str" cm="1">
        <f t="array" ref="X815">IF($A815="","",SUMPRODUCT((TRIM(tblDados[Visitante])=$A815)*tblDados[Primeira_Ocorrencia]*tblDados[GS_V]))</f>
        <v/>
      </c>
      <c r="Y815" s="14" t="str">
        <f t="shared" si="216"/>
        <v/>
      </c>
      <c r="Z815" s="14" t="str">
        <f t="shared" si="205"/>
        <v/>
      </c>
      <c r="AA815" s="14" t="str">
        <f t="shared" si="206"/>
        <v/>
      </c>
      <c r="AB815" s="14" t="str">
        <f t="shared" si="207"/>
        <v/>
      </c>
      <c r="AC815" s="14" t="str">
        <f t="shared" si="208"/>
        <v/>
      </c>
      <c r="AD815" s="14" t="str">
        <f t="shared" si="209"/>
        <v/>
      </c>
    </row>
    <row r="816" spans="2:30" x14ac:dyDescent="0.3">
      <c r="B816" s="13" t="str" cm="1">
        <f t="array" ref="B816">IF($A816="","",_xlfn.LET(_xlpm.p,IFERROR(INDEX(tblDados[País],MATCH($A816,TRIM(tblDados[Mandante]),0)),INDEX(tblDados[País],MATCH($A816,TRIM(tblDados[Visitante]),0))),_xlpm.l,IFERROR(INDEX(tblDados[Liga],MATCH($A816,TRIM(tblDados[Mandante]),0)),INDEX(tblDados[Liga],MATCH($A816,TRIM(tblDados[Visitante]),0))),_xlpm.p&amp;" - "&amp;_xlpm.l))</f>
        <v/>
      </c>
      <c r="C816" s="14" t="str">
        <f t="shared" si="210"/>
        <v/>
      </c>
      <c r="D816" s="14" t="str">
        <f t="shared" si="211"/>
        <v/>
      </c>
      <c r="E816" s="15" t="str" cm="1">
        <f t="array" ref="E816">IF($A816="","",SUMPRODUCT((TRIM(tblDados[Mandante])=$A816)*tblDados[Primeira_Ocorrencia]))</f>
        <v/>
      </c>
      <c r="F816" s="15" t="str" cm="1">
        <f t="array" ref="F816">IF($A816="","",SUMPRODUCT((TRIM(tblDados[Visitante])=$A816)*tblDados[Primeira_Ocorrencia]))</f>
        <v/>
      </c>
      <c r="G816" s="15" t="str" cm="1">
        <f t="array" ref="G816">IF($A816="","",SUMPRODUCT((TRIM(tblDados[Mandante])=$A816)*tblDados[Primeira_Ocorrencia])+SUMPRODUCT((TRIM(tblDados[Visitante])=$A816)*tblDados[Primeira_Ocorrencia]))</f>
        <v/>
      </c>
      <c r="H816" s="14" t="str">
        <f t="shared" si="212"/>
        <v/>
      </c>
      <c r="I816" s="14" t="str" cm="1">
        <f t="array" ref="I816">IF($A816="","",_xlfn.LET(_xlpm.p,IFERROR(INDEX(tblDados[País],MATCH($A816,TRIM(tblDados[Mandante]),0)),INDEX(tblDados[País],MATCH($A816,TRIM(tblDados[Visitante]),0))),_xlpm.l,IFERROR(INDEX(tblDados[Liga],MATCH($A816,TRIM(tblDados[Mandante]),0)),INDEX(tblDados[Liga],MATCH($A816,TRIM(tblDados[Visitante]),0))),IFERROR(SUMIFS(Ligas!$D$2:$D$39,Ligas!$H$2:$H$39,_xlpm.p,Ligas!$I$2:$I$39,_xlpm.l),0)))</f>
        <v/>
      </c>
      <c r="J816" s="16" t="str" cm="1">
        <f t="array" ref="J816">IF($A816="","",IFERROR((SUMPRODUCT((TRIM(tblDados[Mandante])=$A816)*tblDados[Primeira_Ocorrencia]*(tblDados[GM_M]=0))+SUMPRODUCT((TRIM(tblDados[Visitante])=$A816)*tblDados[Primeira_Ocorrencia]*(tblDados[GM_V]=0)))/G816,0))</f>
        <v/>
      </c>
      <c r="K816" s="16" t="str" cm="1">
        <f t="array" ref="K816">IF($A816="","",IFERROR((SUMPRODUCT((TRIM(tblDados[Mandante])=$A816)*tblDados[Primeira_Ocorrencia]*((tblDados[GM_M]+tblDados[GS_M])&gt;0.5))+SUMPRODUCT((TRIM(tblDados[Visitante])=$A816)*tblDados[Primeira_Ocorrencia]*((tblDados[GM_V]+tblDados[GS_V])&gt;0.5)))/G816,0))</f>
        <v/>
      </c>
      <c r="L816" s="16" t="str" cm="1">
        <f t="array" ref="L816">IF($A816="","",IFERROR((SUMPRODUCT((TRIM(tblDados[Mandante])=$A816)*tblDados[Primeira_Ocorrencia]*((tblDados[GM_M]+tblDados[GS_M])&gt;1.5))+SUMPRODUCT((TRIM(tblDados[Visitante])=$A816)*tblDados[Primeira_Ocorrencia]*((tblDados[GM_V]+tblDados[GS_V])&gt;1.5)))/G816,0))</f>
        <v/>
      </c>
      <c r="M816" s="16" t="str" cm="1">
        <f t="array" ref="M816">IF($A816="","",IFERROR((SUMPRODUCT((TRIM(tblDados[Mandante])=$A816)*tblDados[Primeira_Ocorrencia]*((tblDados[GM_M]+tblDados[GS_M])&gt;2.5))+SUMPRODUCT((TRIM(tblDados[Visitante])=$A816)*tblDados[Primeira_Ocorrencia]*((tblDados[GM_V]+tblDados[GS_V])&gt;2.5)))/G816,0))</f>
        <v/>
      </c>
      <c r="N816" s="16" t="str" cm="1">
        <f t="array" ref="N816">IF($A816="","",IFERROR((SUMPRODUCT((TRIM(tblDados[Mandante])=$A816)*tblDados[Primeira_Ocorrencia]*((tblDados[GM_M]+tblDados[GS_M])&gt;3.5))+SUMPRODUCT((TRIM(tblDados[Visitante])=$A816)*tblDados[Primeira_Ocorrencia]*((tblDados[GM_V]+tblDados[GS_V])&gt;3.5)))/G816,0))</f>
        <v/>
      </c>
      <c r="O816" s="16" t="str" cm="1">
        <f t="array" ref="O816">IF($A816="","",IFERROR((SUMPRODUCT((TRIM(tblDados[Mandante])=$A816)*tblDados[Primeira_Ocorrencia]*(tblDados[GM_M]&gt;0)*(tblDados[GS_M]&gt;0))+SUMPRODUCT((TRIM(tblDados[Visitante])=$A816)*tblDados[Primeira_Ocorrencia]*(tblDados[GM_V]&gt;0)*(tblDados[GS_V]&gt;0)))/G816,0))</f>
        <v/>
      </c>
      <c r="P816" s="14" t="str" cm="1">
        <f t="array" ref="P816">IF($A816="","",IFERROR((SUMPRODUCT((TRIM(tblDados[Mandante])=$A816)*tblDados[Primeira_Ocorrencia]*tblDados[GM_M]^2)+SUMPRODUCT((TRIM(tblDados[Visitante])=$A816)*tblDados[Primeira_Ocorrencia]*tblDados[GM_V]^2))/G816-H816^2,0))</f>
        <v/>
      </c>
      <c r="Q816" s="14" t="str">
        <f t="shared" si="213"/>
        <v/>
      </c>
      <c r="R816" s="1" t="str">
        <f t="shared" si="214"/>
        <v/>
      </c>
      <c r="S816" s="14" t="str" cm="1">
        <f t="array" ref="S816">IF($A816="","",SUMPRODUCT((TRIM(tblDados[Mandante])=$A816)*tblDados[Primeira_Ocorrencia]*tblDados[GM_M]))</f>
        <v/>
      </c>
      <c r="T816" s="14" t="str" cm="1">
        <f t="array" ref="T816">IF($A816="","",SUMPRODUCT((TRIM(tblDados[Visitante])=$A816)*tblDados[Primeira_Ocorrencia]*tblDados[GM_V]))</f>
        <v/>
      </c>
      <c r="U816" s="14" t="str">
        <f t="shared" si="215"/>
        <v/>
      </c>
      <c r="V816" s="14" t="str">
        <f t="shared" si="204"/>
        <v/>
      </c>
      <c r="W816" s="14" t="str" cm="1">
        <f t="array" ref="W816">IF($A816="","",SUMPRODUCT((TRIM(tblDados[Mandante])=$A816)*tblDados[Primeira_Ocorrencia]*tblDados[GS_M]))</f>
        <v/>
      </c>
      <c r="X816" s="14" t="str" cm="1">
        <f t="array" ref="X816">IF($A816="","",SUMPRODUCT((TRIM(tblDados[Visitante])=$A816)*tblDados[Primeira_Ocorrencia]*tblDados[GS_V]))</f>
        <v/>
      </c>
      <c r="Y816" s="14" t="str">
        <f t="shared" si="216"/>
        <v/>
      </c>
      <c r="Z816" s="14" t="str">
        <f t="shared" si="205"/>
        <v/>
      </c>
      <c r="AA816" s="14" t="str">
        <f t="shared" si="206"/>
        <v/>
      </c>
      <c r="AB816" s="14" t="str">
        <f t="shared" si="207"/>
        <v/>
      </c>
      <c r="AC816" s="14" t="str">
        <f t="shared" si="208"/>
        <v/>
      </c>
      <c r="AD816" s="14" t="str">
        <f t="shared" si="209"/>
        <v/>
      </c>
    </row>
    <row r="817" spans="2:30" x14ac:dyDescent="0.3">
      <c r="B817" s="13" t="str" cm="1">
        <f t="array" ref="B817">IF($A817="","",_xlfn.LET(_xlpm.p,IFERROR(INDEX(tblDados[País],MATCH($A817,TRIM(tblDados[Mandante]),0)),INDEX(tblDados[País],MATCH($A817,TRIM(tblDados[Visitante]),0))),_xlpm.l,IFERROR(INDEX(tblDados[Liga],MATCH($A817,TRIM(tblDados[Mandante]),0)),INDEX(tblDados[Liga],MATCH($A817,TRIM(tblDados[Visitante]),0))),_xlpm.p&amp;" - "&amp;_xlpm.l))</f>
        <v/>
      </c>
      <c r="C817" s="14" t="str">
        <f t="shared" si="210"/>
        <v/>
      </c>
      <c r="D817" s="14" t="str">
        <f t="shared" si="211"/>
        <v/>
      </c>
      <c r="E817" s="15" t="str" cm="1">
        <f t="array" ref="E817">IF($A817="","",SUMPRODUCT((TRIM(tblDados[Mandante])=$A817)*tblDados[Primeira_Ocorrencia]))</f>
        <v/>
      </c>
      <c r="F817" s="15" t="str" cm="1">
        <f t="array" ref="F817">IF($A817="","",SUMPRODUCT((TRIM(tblDados[Visitante])=$A817)*tblDados[Primeira_Ocorrencia]))</f>
        <v/>
      </c>
      <c r="G817" s="15" t="str" cm="1">
        <f t="array" ref="G817">IF($A817="","",SUMPRODUCT((TRIM(tblDados[Mandante])=$A817)*tblDados[Primeira_Ocorrencia])+SUMPRODUCT((TRIM(tblDados[Visitante])=$A817)*tblDados[Primeira_Ocorrencia]))</f>
        <v/>
      </c>
      <c r="H817" s="14" t="str">
        <f t="shared" si="212"/>
        <v/>
      </c>
      <c r="I817" s="14" t="str" cm="1">
        <f t="array" ref="I817">IF($A817="","",_xlfn.LET(_xlpm.p,IFERROR(INDEX(tblDados[País],MATCH($A817,TRIM(tblDados[Mandante]),0)),INDEX(tblDados[País],MATCH($A817,TRIM(tblDados[Visitante]),0))),_xlpm.l,IFERROR(INDEX(tblDados[Liga],MATCH($A817,TRIM(tblDados[Mandante]),0)),INDEX(tblDados[Liga],MATCH($A817,TRIM(tblDados[Visitante]),0))),IFERROR(SUMIFS(Ligas!$D$2:$D$39,Ligas!$H$2:$H$39,_xlpm.p,Ligas!$I$2:$I$39,_xlpm.l),0)))</f>
        <v/>
      </c>
      <c r="J817" s="16" t="str" cm="1">
        <f t="array" ref="J817">IF($A817="","",IFERROR((SUMPRODUCT((TRIM(tblDados[Mandante])=$A817)*tblDados[Primeira_Ocorrencia]*(tblDados[GM_M]=0))+SUMPRODUCT((TRIM(tblDados[Visitante])=$A817)*tblDados[Primeira_Ocorrencia]*(tblDados[GM_V]=0)))/G817,0))</f>
        <v/>
      </c>
      <c r="K817" s="16" t="str" cm="1">
        <f t="array" ref="K817">IF($A817="","",IFERROR((SUMPRODUCT((TRIM(tblDados[Mandante])=$A817)*tblDados[Primeira_Ocorrencia]*((tblDados[GM_M]+tblDados[GS_M])&gt;0.5))+SUMPRODUCT((TRIM(tblDados[Visitante])=$A817)*tblDados[Primeira_Ocorrencia]*((tblDados[GM_V]+tblDados[GS_V])&gt;0.5)))/G817,0))</f>
        <v/>
      </c>
      <c r="L817" s="16" t="str" cm="1">
        <f t="array" ref="L817">IF($A817="","",IFERROR((SUMPRODUCT((TRIM(tblDados[Mandante])=$A817)*tblDados[Primeira_Ocorrencia]*((tblDados[GM_M]+tblDados[GS_M])&gt;1.5))+SUMPRODUCT((TRIM(tblDados[Visitante])=$A817)*tblDados[Primeira_Ocorrencia]*((tblDados[GM_V]+tblDados[GS_V])&gt;1.5)))/G817,0))</f>
        <v/>
      </c>
      <c r="M817" s="16" t="str" cm="1">
        <f t="array" ref="M817">IF($A817="","",IFERROR((SUMPRODUCT((TRIM(tblDados[Mandante])=$A817)*tblDados[Primeira_Ocorrencia]*((tblDados[GM_M]+tblDados[GS_M])&gt;2.5))+SUMPRODUCT((TRIM(tblDados[Visitante])=$A817)*tblDados[Primeira_Ocorrencia]*((tblDados[GM_V]+tblDados[GS_V])&gt;2.5)))/G817,0))</f>
        <v/>
      </c>
      <c r="N817" s="16" t="str" cm="1">
        <f t="array" ref="N817">IF($A817="","",IFERROR((SUMPRODUCT((TRIM(tblDados[Mandante])=$A817)*tblDados[Primeira_Ocorrencia]*((tblDados[GM_M]+tblDados[GS_M])&gt;3.5))+SUMPRODUCT((TRIM(tblDados[Visitante])=$A817)*tblDados[Primeira_Ocorrencia]*((tblDados[GM_V]+tblDados[GS_V])&gt;3.5)))/G817,0))</f>
        <v/>
      </c>
      <c r="O817" s="16" t="str" cm="1">
        <f t="array" ref="O817">IF($A817="","",IFERROR((SUMPRODUCT((TRIM(tblDados[Mandante])=$A817)*tblDados[Primeira_Ocorrencia]*(tblDados[GM_M]&gt;0)*(tblDados[GS_M]&gt;0))+SUMPRODUCT((TRIM(tblDados[Visitante])=$A817)*tblDados[Primeira_Ocorrencia]*(tblDados[GM_V]&gt;0)*(tblDados[GS_V]&gt;0)))/G817,0))</f>
        <v/>
      </c>
      <c r="P817" s="14" t="str" cm="1">
        <f t="array" ref="P817">IF($A817="","",IFERROR((SUMPRODUCT((TRIM(tblDados[Mandante])=$A817)*tblDados[Primeira_Ocorrencia]*tblDados[GM_M]^2)+SUMPRODUCT((TRIM(tblDados[Visitante])=$A817)*tblDados[Primeira_Ocorrencia]*tblDados[GM_V]^2))/G817-H817^2,0))</f>
        <v/>
      </c>
      <c r="Q817" s="14" t="str">
        <f t="shared" si="213"/>
        <v/>
      </c>
      <c r="R817" s="1" t="str">
        <f t="shared" si="214"/>
        <v/>
      </c>
      <c r="S817" s="14" t="str" cm="1">
        <f t="array" ref="S817">IF($A817="","",SUMPRODUCT((TRIM(tblDados[Mandante])=$A817)*tblDados[Primeira_Ocorrencia]*tblDados[GM_M]))</f>
        <v/>
      </c>
      <c r="T817" s="14" t="str" cm="1">
        <f t="array" ref="T817">IF($A817="","",SUMPRODUCT((TRIM(tblDados[Visitante])=$A817)*tblDados[Primeira_Ocorrencia]*tblDados[GM_V]))</f>
        <v/>
      </c>
      <c r="U817" s="14" t="str">
        <f t="shared" si="215"/>
        <v/>
      </c>
      <c r="V817" s="14" t="str">
        <f t="shared" si="204"/>
        <v/>
      </c>
      <c r="W817" s="14" t="str" cm="1">
        <f t="array" ref="W817">IF($A817="","",SUMPRODUCT((TRIM(tblDados[Mandante])=$A817)*tblDados[Primeira_Ocorrencia]*tblDados[GS_M]))</f>
        <v/>
      </c>
      <c r="X817" s="14" t="str" cm="1">
        <f t="array" ref="X817">IF($A817="","",SUMPRODUCT((TRIM(tblDados[Visitante])=$A817)*tblDados[Primeira_Ocorrencia]*tblDados[GS_V]))</f>
        <v/>
      </c>
      <c r="Y817" s="14" t="str">
        <f t="shared" si="216"/>
        <v/>
      </c>
      <c r="Z817" s="14" t="str">
        <f t="shared" si="205"/>
        <v/>
      </c>
      <c r="AA817" s="14" t="str">
        <f t="shared" si="206"/>
        <v/>
      </c>
      <c r="AB817" s="14" t="str">
        <f t="shared" si="207"/>
        <v/>
      </c>
      <c r="AC817" s="14" t="str">
        <f t="shared" si="208"/>
        <v/>
      </c>
      <c r="AD817" s="14" t="str">
        <f t="shared" si="209"/>
        <v/>
      </c>
    </row>
    <row r="818" spans="2:30" x14ac:dyDescent="0.3">
      <c r="B818" s="13" t="str" cm="1">
        <f t="array" ref="B818">IF($A818="","",_xlfn.LET(_xlpm.p,IFERROR(INDEX(tblDados[País],MATCH($A818,TRIM(tblDados[Mandante]),0)),INDEX(tblDados[País],MATCH($A818,TRIM(tblDados[Visitante]),0))),_xlpm.l,IFERROR(INDEX(tblDados[Liga],MATCH($A818,TRIM(tblDados[Mandante]),0)),INDEX(tblDados[Liga],MATCH($A818,TRIM(tblDados[Visitante]),0))),_xlpm.p&amp;" - "&amp;_xlpm.l))</f>
        <v/>
      </c>
      <c r="C818" s="14" t="str">
        <f t="shared" si="210"/>
        <v/>
      </c>
      <c r="D818" s="14" t="str">
        <f t="shared" si="211"/>
        <v/>
      </c>
      <c r="E818" s="15" t="str" cm="1">
        <f t="array" ref="E818">IF($A818="","",SUMPRODUCT((TRIM(tblDados[Mandante])=$A818)*tblDados[Primeira_Ocorrencia]))</f>
        <v/>
      </c>
      <c r="F818" s="15" t="str" cm="1">
        <f t="array" ref="F818">IF($A818="","",SUMPRODUCT((TRIM(tblDados[Visitante])=$A818)*tblDados[Primeira_Ocorrencia]))</f>
        <v/>
      </c>
      <c r="G818" s="15" t="str" cm="1">
        <f t="array" ref="G818">IF($A818="","",SUMPRODUCT((TRIM(tblDados[Mandante])=$A818)*tblDados[Primeira_Ocorrencia])+SUMPRODUCT((TRIM(tblDados[Visitante])=$A818)*tblDados[Primeira_Ocorrencia]))</f>
        <v/>
      </c>
      <c r="H818" s="14" t="str">
        <f t="shared" si="212"/>
        <v/>
      </c>
      <c r="I818" s="14" t="str" cm="1">
        <f t="array" ref="I818">IF($A818="","",_xlfn.LET(_xlpm.p,IFERROR(INDEX(tblDados[País],MATCH($A818,TRIM(tblDados[Mandante]),0)),INDEX(tblDados[País],MATCH($A818,TRIM(tblDados[Visitante]),0))),_xlpm.l,IFERROR(INDEX(tblDados[Liga],MATCH($A818,TRIM(tblDados[Mandante]),0)),INDEX(tblDados[Liga],MATCH($A818,TRIM(tblDados[Visitante]),0))),IFERROR(SUMIFS(Ligas!$D$2:$D$39,Ligas!$H$2:$H$39,_xlpm.p,Ligas!$I$2:$I$39,_xlpm.l),0)))</f>
        <v/>
      </c>
      <c r="J818" s="16" t="str" cm="1">
        <f t="array" ref="J818">IF($A818="","",IFERROR((SUMPRODUCT((TRIM(tblDados[Mandante])=$A818)*tblDados[Primeira_Ocorrencia]*(tblDados[GM_M]=0))+SUMPRODUCT((TRIM(tblDados[Visitante])=$A818)*tblDados[Primeira_Ocorrencia]*(tblDados[GM_V]=0)))/G818,0))</f>
        <v/>
      </c>
      <c r="K818" s="16" t="str" cm="1">
        <f t="array" ref="K818">IF($A818="","",IFERROR((SUMPRODUCT((TRIM(tblDados[Mandante])=$A818)*tblDados[Primeira_Ocorrencia]*((tblDados[GM_M]+tblDados[GS_M])&gt;0.5))+SUMPRODUCT((TRIM(tblDados[Visitante])=$A818)*tblDados[Primeira_Ocorrencia]*((tblDados[GM_V]+tblDados[GS_V])&gt;0.5)))/G818,0))</f>
        <v/>
      </c>
      <c r="L818" s="16" t="str" cm="1">
        <f t="array" ref="L818">IF($A818="","",IFERROR((SUMPRODUCT((TRIM(tblDados[Mandante])=$A818)*tblDados[Primeira_Ocorrencia]*((tblDados[GM_M]+tblDados[GS_M])&gt;1.5))+SUMPRODUCT((TRIM(tblDados[Visitante])=$A818)*tblDados[Primeira_Ocorrencia]*((tblDados[GM_V]+tblDados[GS_V])&gt;1.5)))/G818,0))</f>
        <v/>
      </c>
      <c r="M818" s="16" t="str" cm="1">
        <f t="array" ref="M818">IF($A818="","",IFERROR((SUMPRODUCT((TRIM(tblDados[Mandante])=$A818)*tblDados[Primeira_Ocorrencia]*((tblDados[GM_M]+tblDados[GS_M])&gt;2.5))+SUMPRODUCT((TRIM(tblDados[Visitante])=$A818)*tblDados[Primeira_Ocorrencia]*((tblDados[GM_V]+tblDados[GS_V])&gt;2.5)))/G818,0))</f>
        <v/>
      </c>
      <c r="N818" s="16" t="str" cm="1">
        <f t="array" ref="N818">IF($A818="","",IFERROR((SUMPRODUCT((TRIM(tblDados[Mandante])=$A818)*tblDados[Primeira_Ocorrencia]*((tblDados[GM_M]+tblDados[GS_M])&gt;3.5))+SUMPRODUCT((TRIM(tblDados[Visitante])=$A818)*tblDados[Primeira_Ocorrencia]*((tblDados[GM_V]+tblDados[GS_V])&gt;3.5)))/G818,0))</f>
        <v/>
      </c>
      <c r="O818" s="16" t="str" cm="1">
        <f t="array" ref="O818">IF($A818="","",IFERROR((SUMPRODUCT((TRIM(tblDados[Mandante])=$A818)*tblDados[Primeira_Ocorrencia]*(tblDados[GM_M]&gt;0)*(tblDados[GS_M]&gt;0))+SUMPRODUCT((TRIM(tblDados[Visitante])=$A818)*tblDados[Primeira_Ocorrencia]*(tblDados[GM_V]&gt;0)*(tblDados[GS_V]&gt;0)))/G818,0))</f>
        <v/>
      </c>
      <c r="P818" s="14" t="str" cm="1">
        <f t="array" ref="P818">IF($A818="","",IFERROR((SUMPRODUCT((TRIM(tblDados[Mandante])=$A818)*tblDados[Primeira_Ocorrencia]*tblDados[GM_M]^2)+SUMPRODUCT((TRIM(tblDados[Visitante])=$A818)*tblDados[Primeira_Ocorrencia]*tblDados[GM_V]^2))/G818-H818^2,0))</f>
        <v/>
      </c>
      <c r="Q818" s="14" t="str">
        <f t="shared" si="213"/>
        <v/>
      </c>
      <c r="R818" s="1" t="str">
        <f t="shared" si="214"/>
        <v/>
      </c>
      <c r="S818" s="14" t="str" cm="1">
        <f t="array" ref="S818">IF($A818="","",SUMPRODUCT((TRIM(tblDados[Mandante])=$A818)*tblDados[Primeira_Ocorrencia]*tblDados[GM_M]))</f>
        <v/>
      </c>
      <c r="T818" s="14" t="str" cm="1">
        <f t="array" ref="T818">IF($A818="","",SUMPRODUCT((TRIM(tblDados[Visitante])=$A818)*tblDados[Primeira_Ocorrencia]*tblDados[GM_V]))</f>
        <v/>
      </c>
      <c r="U818" s="14" t="str">
        <f t="shared" si="215"/>
        <v/>
      </c>
      <c r="V818" s="14" t="str">
        <f t="shared" si="204"/>
        <v/>
      </c>
      <c r="W818" s="14" t="str" cm="1">
        <f t="array" ref="W818">IF($A818="","",SUMPRODUCT((TRIM(tblDados[Mandante])=$A818)*tblDados[Primeira_Ocorrencia]*tblDados[GS_M]))</f>
        <v/>
      </c>
      <c r="X818" s="14" t="str" cm="1">
        <f t="array" ref="X818">IF($A818="","",SUMPRODUCT((TRIM(tblDados[Visitante])=$A818)*tblDados[Primeira_Ocorrencia]*tblDados[GS_V]))</f>
        <v/>
      </c>
      <c r="Y818" s="14" t="str">
        <f t="shared" si="216"/>
        <v/>
      </c>
      <c r="Z818" s="14" t="str">
        <f t="shared" si="205"/>
        <v/>
      </c>
      <c r="AA818" s="14" t="str">
        <f t="shared" si="206"/>
        <v/>
      </c>
      <c r="AB818" s="14" t="str">
        <f t="shared" si="207"/>
        <v/>
      </c>
      <c r="AC818" s="14" t="str">
        <f t="shared" si="208"/>
        <v/>
      </c>
      <c r="AD818" s="14" t="str">
        <f t="shared" si="209"/>
        <v/>
      </c>
    </row>
    <row r="819" spans="2:30" x14ac:dyDescent="0.3">
      <c r="B819" s="13" t="str" cm="1">
        <f t="array" ref="B819">IF($A819="","",_xlfn.LET(_xlpm.p,IFERROR(INDEX(tblDados[País],MATCH($A819,TRIM(tblDados[Mandante]),0)),INDEX(tblDados[País],MATCH($A819,TRIM(tblDados[Visitante]),0))),_xlpm.l,IFERROR(INDEX(tblDados[Liga],MATCH($A819,TRIM(tblDados[Mandante]),0)),INDEX(tblDados[Liga],MATCH($A819,TRIM(tblDados[Visitante]),0))),_xlpm.p&amp;" - "&amp;_xlpm.l))</f>
        <v/>
      </c>
      <c r="C819" s="14" t="str">
        <f t="shared" si="210"/>
        <v/>
      </c>
      <c r="D819" s="14" t="str">
        <f t="shared" si="211"/>
        <v/>
      </c>
      <c r="E819" s="15" t="str" cm="1">
        <f t="array" ref="E819">IF($A819="","",SUMPRODUCT((TRIM(tblDados[Mandante])=$A819)*tblDados[Primeira_Ocorrencia]))</f>
        <v/>
      </c>
      <c r="F819" s="15" t="str" cm="1">
        <f t="array" ref="F819">IF($A819="","",SUMPRODUCT((TRIM(tblDados[Visitante])=$A819)*tblDados[Primeira_Ocorrencia]))</f>
        <v/>
      </c>
      <c r="G819" s="15" t="str" cm="1">
        <f t="array" ref="G819">IF($A819="","",SUMPRODUCT((TRIM(tblDados[Mandante])=$A819)*tblDados[Primeira_Ocorrencia])+SUMPRODUCT((TRIM(tblDados[Visitante])=$A819)*tblDados[Primeira_Ocorrencia]))</f>
        <v/>
      </c>
      <c r="H819" s="14" t="str">
        <f t="shared" si="212"/>
        <v/>
      </c>
      <c r="I819" s="14" t="str" cm="1">
        <f t="array" ref="I819">IF($A819="","",_xlfn.LET(_xlpm.p,IFERROR(INDEX(tblDados[País],MATCH($A819,TRIM(tblDados[Mandante]),0)),INDEX(tblDados[País],MATCH($A819,TRIM(tblDados[Visitante]),0))),_xlpm.l,IFERROR(INDEX(tblDados[Liga],MATCH($A819,TRIM(tblDados[Mandante]),0)),INDEX(tblDados[Liga],MATCH($A819,TRIM(tblDados[Visitante]),0))),IFERROR(SUMIFS(Ligas!$D$2:$D$39,Ligas!$H$2:$H$39,_xlpm.p,Ligas!$I$2:$I$39,_xlpm.l),0)))</f>
        <v/>
      </c>
      <c r="J819" s="16" t="str" cm="1">
        <f t="array" ref="J819">IF($A819="","",IFERROR((SUMPRODUCT((TRIM(tblDados[Mandante])=$A819)*tblDados[Primeira_Ocorrencia]*(tblDados[GM_M]=0))+SUMPRODUCT((TRIM(tblDados[Visitante])=$A819)*tblDados[Primeira_Ocorrencia]*(tblDados[GM_V]=0)))/G819,0))</f>
        <v/>
      </c>
      <c r="K819" s="16" t="str" cm="1">
        <f t="array" ref="K819">IF($A819="","",IFERROR((SUMPRODUCT((TRIM(tblDados[Mandante])=$A819)*tblDados[Primeira_Ocorrencia]*((tblDados[GM_M]+tblDados[GS_M])&gt;0.5))+SUMPRODUCT((TRIM(tblDados[Visitante])=$A819)*tblDados[Primeira_Ocorrencia]*((tblDados[GM_V]+tblDados[GS_V])&gt;0.5)))/G819,0))</f>
        <v/>
      </c>
      <c r="L819" s="16" t="str" cm="1">
        <f t="array" ref="L819">IF($A819="","",IFERROR((SUMPRODUCT((TRIM(tblDados[Mandante])=$A819)*tblDados[Primeira_Ocorrencia]*((tblDados[GM_M]+tblDados[GS_M])&gt;1.5))+SUMPRODUCT((TRIM(tblDados[Visitante])=$A819)*tblDados[Primeira_Ocorrencia]*((tblDados[GM_V]+tblDados[GS_V])&gt;1.5)))/G819,0))</f>
        <v/>
      </c>
      <c r="M819" s="16" t="str" cm="1">
        <f t="array" ref="M819">IF($A819="","",IFERROR((SUMPRODUCT((TRIM(tblDados[Mandante])=$A819)*tblDados[Primeira_Ocorrencia]*((tblDados[GM_M]+tblDados[GS_M])&gt;2.5))+SUMPRODUCT((TRIM(tblDados[Visitante])=$A819)*tblDados[Primeira_Ocorrencia]*((tblDados[GM_V]+tblDados[GS_V])&gt;2.5)))/G819,0))</f>
        <v/>
      </c>
      <c r="N819" s="16" t="str" cm="1">
        <f t="array" ref="N819">IF($A819="","",IFERROR((SUMPRODUCT((TRIM(tblDados[Mandante])=$A819)*tblDados[Primeira_Ocorrencia]*((tblDados[GM_M]+tblDados[GS_M])&gt;3.5))+SUMPRODUCT((TRIM(tblDados[Visitante])=$A819)*tblDados[Primeira_Ocorrencia]*((tblDados[GM_V]+tblDados[GS_V])&gt;3.5)))/G819,0))</f>
        <v/>
      </c>
      <c r="O819" s="16" t="str" cm="1">
        <f t="array" ref="O819">IF($A819="","",IFERROR((SUMPRODUCT((TRIM(tblDados[Mandante])=$A819)*tblDados[Primeira_Ocorrencia]*(tblDados[GM_M]&gt;0)*(tblDados[GS_M]&gt;0))+SUMPRODUCT((TRIM(tblDados[Visitante])=$A819)*tblDados[Primeira_Ocorrencia]*(tblDados[GM_V]&gt;0)*(tblDados[GS_V]&gt;0)))/G819,0))</f>
        <v/>
      </c>
      <c r="P819" s="14" t="str" cm="1">
        <f t="array" ref="P819">IF($A819="","",IFERROR((SUMPRODUCT((TRIM(tblDados[Mandante])=$A819)*tblDados[Primeira_Ocorrencia]*tblDados[GM_M]^2)+SUMPRODUCT((TRIM(tblDados[Visitante])=$A819)*tblDados[Primeira_Ocorrencia]*tblDados[GM_V]^2))/G819-H819^2,0))</f>
        <v/>
      </c>
      <c r="Q819" s="14" t="str">
        <f t="shared" si="213"/>
        <v/>
      </c>
      <c r="R819" s="1" t="str">
        <f t="shared" si="214"/>
        <v/>
      </c>
      <c r="S819" s="14" t="str" cm="1">
        <f t="array" ref="S819">IF($A819="","",SUMPRODUCT((TRIM(tblDados[Mandante])=$A819)*tblDados[Primeira_Ocorrencia]*tblDados[GM_M]))</f>
        <v/>
      </c>
      <c r="T819" s="14" t="str" cm="1">
        <f t="array" ref="T819">IF($A819="","",SUMPRODUCT((TRIM(tblDados[Visitante])=$A819)*tblDados[Primeira_Ocorrencia]*tblDados[GM_V]))</f>
        <v/>
      </c>
      <c r="U819" s="14" t="str">
        <f t="shared" si="215"/>
        <v/>
      </c>
      <c r="V819" s="14" t="str">
        <f t="shared" si="204"/>
        <v/>
      </c>
      <c r="W819" s="14" t="str" cm="1">
        <f t="array" ref="W819">IF($A819="","",SUMPRODUCT((TRIM(tblDados[Mandante])=$A819)*tblDados[Primeira_Ocorrencia]*tblDados[GS_M]))</f>
        <v/>
      </c>
      <c r="X819" s="14" t="str" cm="1">
        <f t="array" ref="X819">IF($A819="","",SUMPRODUCT((TRIM(tblDados[Visitante])=$A819)*tblDados[Primeira_Ocorrencia]*tblDados[GS_V]))</f>
        <v/>
      </c>
      <c r="Y819" s="14" t="str">
        <f t="shared" si="216"/>
        <v/>
      </c>
      <c r="Z819" s="14" t="str">
        <f t="shared" si="205"/>
        <v/>
      </c>
      <c r="AA819" s="14" t="str">
        <f t="shared" si="206"/>
        <v/>
      </c>
      <c r="AB819" s="14" t="str">
        <f t="shared" si="207"/>
        <v/>
      </c>
      <c r="AC819" s="14" t="str">
        <f t="shared" si="208"/>
        <v/>
      </c>
      <c r="AD819" s="14" t="str">
        <f t="shared" si="209"/>
        <v/>
      </c>
    </row>
    <row r="820" spans="2:30" x14ac:dyDescent="0.3">
      <c r="B820" s="13" t="str" cm="1">
        <f t="array" ref="B820">IF($A820="","",_xlfn.LET(_xlpm.p,IFERROR(INDEX(tblDados[País],MATCH($A820,TRIM(tblDados[Mandante]),0)),INDEX(tblDados[País],MATCH($A820,TRIM(tblDados[Visitante]),0))),_xlpm.l,IFERROR(INDEX(tblDados[Liga],MATCH($A820,TRIM(tblDados[Mandante]),0)),INDEX(tblDados[Liga],MATCH($A820,TRIM(tblDados[Visitante]),0))),_xlpm.p&amp;" - "&amp;_xlpm.l))</f>
        <v/>
      </c>
      <c r="C820" s="14" t="str">
        <f t="shared" si="210"/>
        <v/>
      </c>
      <c r="D820" s="14" t="str">
        <f t="shared" si="211"/>
        <v/>
      </c>
      <c r="E820" s="15" t="str" cm="1">
        <f t="array" ref="E820">IF($A820="","",SUMPRODUCT((TRIM(tblDados[Mandante])=$A820)*tblDados[Primeira_Ocorrencia]))</f>
        <v/>
      </c>
      <c r="F820" s="15" t="str" cm="1">
        <f t="array" ref="F820">IF($A820="","",SUMPRODUCT((TRIM(tblDados[Visitante])=$A820)*tblDados[Primeira_Ocorrencia]))</f>
        <v/>
      </c>
      <c r="G820" s="15" t="str" cm="1">
        <f t="array" ref="G820">IF($A820="","",SUMPRODUCT((TRIM(tblDados[Mandante])=$A820)*tblDados[Primeira_Ocorrencia])+SUMPRODUCT((TRIM(tblDados[Visitante])=$A820)*tblDados[Primeira_Ocorrencia]))</f>
        <v/>
      </c>
      <c r="H820" s="14" t="str">
        <f t="shared" si="212"/>
        <v/>
      </c>
      <c r="I820" s="14" t="str" cm="1">
        <f t="array" ref="I820">IF($A820="","",_xlfn.LET(_xlpm.p,IFERROR(INDEX(tblDados[País],MATCH($A820,TRIM(tblDados[Mandante]),0)),INDEX(tblDados[País],MATCH($A820,TRIM(tblDados[Visitante]),0))),_xlpm.l,IFERROR(INDEX(tblDados[Liga],MATCH($A820,TRIM(tblDados[Mandante]),0)),INDEX(tblDados[Liga],MATCH($A820,TRIM(tblDados[Visitante]),0))),IFERROR(SUMIFS(Ligas!$D$2:$D$39,Ligas!$H$2:$H$39,_xlpm.p,Ligas!$I$2:$I$39,_xlpm.l),0)))</f>
        <v/>
      </c>
      <c r="J820" s="16" t="str" cm="1">
        <f t="array" ref="J820">IF($A820="","",IFERROR((SUMPRODUCT((TRIM(tblDados[Mandante])=$A820)*tblDados[Primeira_Ocorrencia]*(tblDados[GM_M]=0))+SUMPRODUCT((TRIM(tblDados[Visitante])=$A820)*tblDados[Primeira_Ocorrencia]*(tblDados[GM_V]=0)))/G820,0))</f>
        <v/>
      </c>
      <c r="K820" s="16" t="str" cm="1">
        <f t="array" ref="K820">IF($A820="","",IFERROR((SUMPRODUCT((TRIM(tblDados[Mandante])=$A820)*tblDados[Primeira_Ocorrencia]*((tblDados[GM_M]+tblDados[GS_M])&gt;0.5))+SUMPRODUCT((TRIM(tblDados[Visitante])=$A820)*tblDados[Primeira_Ocorrencia]*((tblDados[GM_V]+tblDados[GS_V])&gt;0.5)))/G820,0))</f>
        <v/>
      </c>
      <c r="L820" s="16" t="str" cm="1">
        <f t="array" ref="L820">IF($A820="","",IFERROR((SUMPRODUCT((TRIM(tblDados[Mandante])=$A820)*tblDados[Primeira_Ocorrencia]*((tblDados[GM_M]+tblDados[GS_M])&gt;1.5))+SUMPRODUCT((TRIM(tblDados[Visitante])=$A820)*tblDados[Primeira_Ocorrencia]*((tblDados[GM_V]+tblDados[GS_V])&gt;1.5)))/G820,0))</f>
        <v/>
      </c>
      <c r="M820" s="16" t="str" cm="1">
        <f t="array" ref="M820">IF($A820="","",IFERROR((SUMPRODUCT((TRIM(tblDados[Mandante])=$A820)*tblDados[Primeira_Ocorrencia]*((tblDados[GM_M]+tblDados[GS_M])&gt;2.5))+SUMPRODUCT((TRIM(tblDados[Visitante])=$A820)*tblDados[Primeira_Ocorrencia]*((tblDados[GM_V]+tblDados[GS_V])&gt;2.5)))/G820,0))</f>
        <v/>
      </c>
      <c r="N820" s="16" t="str" cm="1">
        <f t="array" ref="N820">IF($A820="","",IFERROR((SUMPRODUCT((TRIM(tblDados[Mandante])=$A820)*tblDados[Primeira_Ocorrencia]*((tblDados[GM_M]+tblDados[GS_M])&gt;3.5))+SUMPRODUCT((TRIM(tblDados[Visitante])=$A820)*tblDados[Primeira_Ocorrencia]*((tblDados[GM_V]+tblDados[GS_V])&gt;3.5)))/G820,0))</f>
        <v/>
      </c>
      <c r="O820" s="16" t="str" cm="1">
        <f t="array" ref="O820">IF($A820="","",IFERROR((SUMPRODUCT((TRIM(tblDados[Mandante])=$A820)*tblDados[Primeira_Ocorrencia]*(tblDados[GM_M]&gt;0)*(tblDados[GS_M]&gt;0))+SUMPRODUCT((TRIM(tblDados[Visitante])=$A820)*tblDados[Primeira_Ocorrencia]*(tblDados[GM_V]&gt;0)*(tblDados[GS_V]&gt;0)))/G820,0))</f>
        <v/>
      </c>
      <c r="P820" s="14" t="str" cm="1">
        <f t="array" ref="P820">IF($A820="","",IFERROR((SUMPRODUCT((TRIM(tblDados[Mandante])=$A820)*tblDados[Primeira_Ocorrencia]*tblDados[GM_M]^2)+SUMPRODUCT((TRIM(tblDados[Visitante])=$A820)*tblDados[Primeira_Ocorrencia]*tblDados[GM_V]^2))/G820-H820^2,0))</f>
        <v/>
      </c>
      <c r="Q820" s="14" t="str">
        <f t="shared" si="213"/>
        <v/>
      </c>
      <c r="R820" s="1" t="str">
        <f t="shared" si="214"/>
        <v/>
      </c>
      <c r="S820" s="14" t="str" cm="1">
        <f t="array" ref="S820">IF($A820="","",SUMPRODUCT((TRIM(tblDados[Mandante])=$A820)*tblDados[Primeira_Ocorrencia]*tblDados[GM_M]))</f>
        <v/>
      </c>
      <c r="T820" s="14" t="str" cm="1">
        <f t="array" ref="T820">IF($A820="","",SUMPRODUCT((TRIM(tblDados[Visitante])=$A820)*tblDados[Primeira_Ocorrencia]*tblDados[GM_V]))</f>
        <v/>
      </c>
      <c r="U820" s="14" t="str">
        <f t="shared" si="215"/>
        <v/>
      </c>
      <c r="V820" s="14" t="str">
        <f t="shared" si="204"/>
        <v/>
      </c>
      <c r="W820" s="14" t="str" cm="1">
        <f t="array" ref="W820">IF($A820="","",SUMPRODUCT((TRIM(tblDados[Mandante])=$A820)*tblDados[Primeira_Ocorrencia]*tblDados[GS_M]))</f>
        <v/>
      </c>
      <c r="X820" s="14" t="str" cm="1">
        <f t="array" ref="X820">IF($A820="","",SUMPRODUCT((TRIM(tblDados[Visitante])=$A820)*tblDados[Primeira_Ocorrencia]*tblDados[GS_V]))</f>
        <v/>
      </c>
      <c r="Y820" s="14" t="str">
        <f t="shared" si="216"/>
        <v/>
      </c>
      <c r="Z820" s="14" t="str">
        <f t="shared" si="205"/>
        <v/>
      </c>
      <c r="AA820" s="14" t="str">
        <f t="shared" si="206"/>
        <v/>
      </c>
      <c r="AB820" s="14" t="str">
        <f t="shared" si="207"/>
        <v/>
      </c>
      <c r="AC820" s="14" t="str">
        <f t="shared" si="208"/>
        <v/>
      </c>
      <c r="AD820" s="14" t="str">
        <f t="shared" si="209"/>
        <v/>
      </c>
    </row>
    <row r="821" spans="2:30" x14ac:dyDescent="0.3">
      <c r="B821" s="13" t="str" cm="1">
        <f t="array" ref="B821">IF($A821="","",_xlfn.LET(_xlpm.p,IFERROR(INDEX(tblDados[País],MATCH($A821,TRIM(tblDados[Mandante]),0)),INDEX(tblDados[País],MATCH($A821,TRIM(tblDados[Visitante]),0))),_xlpm.l,IFERROR(INDEX(tblDados[Liga],MATCH($A821,TRIM(tblDados[Mandante]),0)),INDEX(tblDados[Liga],MATCH($A821,TRIM(tblDados[Visitante]),0))),_xlpm.p&amp;" - "&amp;_xlpm.l))</f>
        <v/>
      </c>
      <c r="C821" s="14" t="str">
        <f t="shared" si="210"/>
        <v/>
      </c>
      <c r="D821" s="14" t="str">
        <f t="shared" si="211"/>
        <v/>
      </c>
      <c r="E821" s="15" t="str" cm="1">
        <f t="array" ref="E821">IF($A821="","",SUMPRODUCT((TRIM(tblDados[Mandante])=$A821)*tblDados[Primeira_Ocorrencia]))</f>
        <v/>
      </c>
      <c r="F821" s="15" t="str" cm="1">
        <f t="array" ref="F821">IF($A821="","",SUMPRODUCT((TRIM(tblDados[Visitante])=$A821)*tblDados[Primeira_Ocorrencia]))</f>
        <v/>
      </c>
      <c r="G821" s="15" t="str" cm="1">
        <f t="array" ref="G821">IF($A821="","",SUMPRODUCT((TRIM(tblDados[Mandante])=$A821)*tblDados[Primeira_Ocorrencia])+SUMPRODUCT((TRIM(tblDados[Visitante])=$A821)*tblDados[Primeira_Ocorrencia]))</f>
        <v/>
      </c>
      <c r="H821" s="14" t="str">
        <f t="shared" si="212"/>
        <v/>
      </c>
      <c r="I821" s="14" t="str" cm="1">
        <f t="array" ref="I821">IF($A821="","",_xlfn.LET(_xlpm.p,IFERROR(INDEX(tblDados[País],MATCH($A821,TRIM(tblDados[Mandante]),0)),INDEX(tblDados[País],MATCH($A821,TRIM(tblDados[Visitante]),0))),_xlpm.l,IFERROR(INDEX(tblDados[Liga],MATCH($A821,TRIM(tblDados[Mandante]),0)),INDEX(tblDados[Liga],MATCH($A821,TRIM(tblDados[Visitante]),0))),IFERROR(SUMIFS(Ligas!$D$2:$D$39,Ligas!$H$2:$H$39,_xlpm.p,Ligas!$I$2:$I$39,_xlpm.l),0)))</f>
        <v/>
      </c>
      <c r="J821" s="16" t="str" cm="1">
        <f t="array" ref="J821">IF($A821="","",IFERROR((SUMPRODUCT((TRIM(tblDados[Mandante])=$A821)*tblDados[Primeira_Ocorrencia]*(tblDados[GM_M]=0))+SUMPRODUCT((TRIM(tblDados[Visitante])=$A821)*tblDados[Primeira_Ocorrencia]*(tblDados[GM_V]=0)))/G821,0))</f>
        <v/>
      </c>
      <c r="K821" s="16" t="str" cm="1">
        <f t="array" ref="K821">IF($A821="","",IFERROR((SUMPRODUCT((TRIM(tblDados[Mandante])=$A821)*tblDados[Primeira_Ocorrencia]*((tblDados[GM_M]+tblDados[GS_M])&gt;0.5))+SUMPRODUCT((TRIM(tblDados[Visitante])=$A821)*tblDados[Primeira_Ocorrencia]*((tblDados[GM_V]+tblDados[GS_V])&gt;0.5)))/G821,0))</f>
        <v/>
      </c>
      <c r="L821" s="16" t="str" cm="1">
        <f t="array" ref="L821">IF($A821="","",IFERROR((SUMPRODUCT((TRIM(tblDados[Mandante])=$A821)*tblDados[Primeira_Ocorrencia]*((tblDados[GM_M]+tblDados[GS_M])&gt;1.5))+SUMPRODUCT((TRIM(tblDados[Visitante])=$A821)*tblDados[Primeira_Ocorrencia]*((tblDados[GM_V]+tblDados[GS_V])&gt;1.5)))/G821,0))</f>
        <v/>
      </c>
      <c r="M821" s="16" t="str" cm="1">
        <f t="array" ref="M821">IF($A821="","",IFERROR((SUMPRODUCT((TRIM(tblDados[Mandante])=$A821)*tblDados[Primeira_Ocorrencia]*((tblDados[GM_M]+tblDados[GS_M])&gt;2.5))+SUMPRODUCT((TRIM(tblDados[Visitante])=$A821)*tblDados[Primeira_Ocorrencia]*((tblDados[GM_V]+tblDados[GS_V])&gt;2.5)))/G821,0))</f>
        <v/>
      </c>
      <c r="N821" s="16" t="str" cm="1">
        <f t="array" ref="N821">IF($A821="","",IFERROR((SUMPRODUCT((TRIM(tblDados[Mandante])=$A821)*tblDados[Primeira_Ocorrencia]*((tblDados[GM_M]+tblDados[GS_M])&gt;3.5))+SUMPRODUCT((TRIM(tblDados[Visitante])=$A821)*tblDados[Primeira_Ocorrencia]*((tblDados[GM_V]+tblDados[GS_V])&gt;3.5)))/G821,0))</f>
        <v/>
      </c>
      <c r="O821" s="16" t="str" cm="1">
        <f t="array" ref="O821">IF($A821="","",IFERROR((SUMPRODUCT((TRIM(tblDados[Mandante])=$A821)*tblDados[Primeira_Ocorrencia]*(tblDados[GM_M]&gt;0)*(tblDados[GS_M]&gt;0))+SUMPRODUCT((TRIM(tblDados[Visitante])=$A821)*tblDados[Primeira_Ocorrencia]*(tblDados[GM_V]&gt;0)*(tblDados[GS_V]&gt;0)))/G821,0))</f>
        <v/>
      </c>
      <c r="P821" s="14" t="str" cm="1">
        <f t="array" ref="P821">IF($A821="","",IFERROR((SUMPRODUCT((TRIM(tblDados[Mandante])=$A821)*tblDados[Primeira_Ocorrencia]*tblDados[GM_M]^2)+SUMPRODUCT((TRIM(tblDados[Visitante])=$A821)*tblDados[Primeira_Ocorrencia]*tblDados[GM_V]^2))/G821-H821^2,0))</f>
        <v/>
      </c>
      <c r="Q821" s="14" t="str">
        <f t="shared" si="213"/>
        <v/>
      </c>
      <c r="R821" s="1" t="str">
        <f t="shared" si="214"/>
        <v/>
      </c>
      <c r="S821" s="14" t="str" cm="1">
        <f t="array" ref="S821">IF($A821="","",SUMPRODUCT((TRIM(tblDados[Mandante])=$A821)*tblDados[Primeira_Ocorrencia]*tblDados[GM_M]))</f>
        <v/>
      </c>
      <c r="T821" s="14" t="str" cm="1">
        <f t="array" ref="T821">IF($A821="","",SUMPRODUCT((TRIM(tblDados[Visitante])=$A821)*tblDados[Primeira_Ocorrencia]*tblDados[GM_V]))</f>
        <v/>
      </c>
      <c r="U821" s="14" t="str">
        <f t="shared" si="215"/>
        <v/>
      </c>
      <c r="V821" s="14" t="str">
        <f t="shared" si="204"/>
        <v/>
      </c>
      <c r="W821" s="14" t="str" cm="1">
        <f t="array" ref="W821">IF($A821="","",SUMPRODUCT((TRIM(tblDados[Mandante])=$A821)*tblDados[Primeira_Ocorrencia]*tblDados[GS_M]))</f>
        <v/>
      </c>
      <c r="X821" s="14" t="str" cm="1">
        <f t="array" ref="X821">IF($A821="","",SUMPRODUCT((TRIM(tblDados[Visitante])=$A821)*tblDados[Primeira_Ocorrencia]*tblDados[GS_V]))</f>
        <v/>
      </c>
      <c r="Y821" s="14" t="str">
        <f t="shared" si="216"/>
        <v/>
      </c>
      <c r="Z821" s="14" t="str">
        <f t="shared" si="205"/>
        <v/>
      </c>
      <c r="AA821" s="14" t="str">
        <f t="shared" si="206"/>
        <v/>
      </c>
      <c r="AB821" s="14" t="str">
        <f t="shared" si="207"/>
        <v/>
      </c>
      <c r="AC821" s="14" t="str">
        <f t="shared" si="208"/>
        <v/>
      </c>
      <c r="AD821" s="14" t="str">
        <f t="shared" si="209"/>
        <v/>
      </c>
    </row>
    <row r="822" spans="2:30" x14ac:dyDescent="0.3">
      <c r="B822" s="13" t="str" cm="1">
        <f t="array" ref="B822">IF($A822="","",_xlfn.LET(_xlpm.p,IFERROR(INDEX(tblDados[País],MATCH($A822,TRIM(tblDados[Mandante]),0)),INDEX(tblDados[País],MATCH($A822,TRIM(tblDados[Visitante]),0))),_xlpm.l,IFERROR(INDEX(tblDados[Liga],MATCH($A822,TRIM(tblDados[Mandante]),0)),INDEX(tblDados[Liga],MATCH($A822,TRIM(tblDados[Visitante]),0))),_xlpm.p&amp;" - "&amp;_xlpm.l))</f>
        <v/>
      </c>
      <c r="C822" s="14" t="str">
        <f t="shared" si="210"/>
        <v/>
      </c>
      <c r="D822" s="14" t="str">
        <f t="shared" si="211"/>
        <v/>
      </c>
      <c r="E822" s="15" t="str" cm="1">
        <f t="array" ref="E822">IF($A822="","",SUMPRODUCT((TRIM(tblDados[Mandante])=$A822)*tblDados[Primeira_Ocorrencia]))</f>
        <v/>
      </c>
      <c r="F822" s="15" t="str" cm="1">
        <f t="array" ref="F822">IF($A822="","",SUMPRODUCT((TRIM(tblDados[Visitante])=$A822)*tblDados[Primeira_Ocorrencia]))</f>
        <v/>
      </c>
      <c r="G822" s="15" t="str" cm="1">
        <f t="array" ref="G822">IF($A822="","",SUMPRODUCT((TRIM(tblDados[Mandante])=$A822)*tblDados[Primeira_Ocorrencia])+SUMPRODUCT((TRIM(tblDados[Visitante])=$A822)*tblDados[Primeira_Ocorrencia]))</f>
        <v/>
      </c>
      <c r="H822" s="14" t="str">
        <f t="shared" si="212"/>
        <v/>
      </c>
      <c r="I822" s="14" t="str" cm="1">
        <f t="array" ref="I822">IF($A822="","",_xlfn.LET(_xlpm.p,IFERROR(INDEX(tblDados[País],MATCH($A822,TRIM(tblDados[Mandante]),0)),INDEX(tblDados[País],MATCH($A822,TRIM(tblDados[Visitante]),0))),_xlpm.l,IFERROR(INDEX(tblDados[Liga],MATCH($A822,TRIM(tblDados[Mandante]),0)),INDEX(tblDados[Liga],MATCH($A822,TRIM(tblDados[Visitante]),0))),IFERROR(SUMIFS(Ligas!$D$2:$D$39,Ligas!$H$2:$H$39,_xlpm.p,Ligas!$I$2:$I$39,_xlpm.l),0)))</f>
        <v/>
      </c>
      <c r="J822" s="16" t="str" cm="1">
        <f t="array" ref="J822">IF($A822="","",IFERROR((SUMPRODUCT((TRIM(tblDados[Mandante])=$A822)*tblDados[Primeira_Ocorrencia]*(tblDados[GM_M]=0))+SUMPRODUCT((TRIM(tblDados[Visitante])=$A822)*tblDados[Primeira_Ocorrencia]*(tblDados[GM_V]=0)))/G822,0))</f>
        <v/>
      </c>
      <c r="K822" s="16" t="str" cm="1">
        <f t="array" ref="K822">IF($A822="","",IFERROR((SUMPRODUCT((TRIM(tblDados[Mandante])=$A822)*tblDados[Primeira_Ocorrencia]*((tblDados[GM_M]+tblDados[GS_M])&gt;0.5))+SUMPRODUCT((TRIM(tblDados[Visitante])=$A822)*tblDados[Primeira_Ocorrencia]*((tblDados[GM_V]+tblDados[GS_V])&gt;0.5)))/G822,0))</f>
        <v/>
      </c>
      <c r="L822" s="16" t="str" cm="1">
        <f t="array" ref="L822">IF($A822="","",IFERROR((SUMPRODUCT((TRIM(tblDados[Mandante])=$A822)*tblDados[Primeira_Ocorrencia]*((tblDados[GM_M]+tblDados[GS_M])&gt;1.5))+SUMPRODUCT((TRIM(tblDados[Visitante])=$A822)*tblDados[Primeira_Ocorrencia]*((tblDados[GM_V]+tblDados[GS_V])&gt;1.5)))/G822,0))</f>
        <v/>
      </c>
      <c r="M822" s="16" t="str" cm="1">
        <f t="array" ref="M822">IF($A822="","",IFERROR((SUMPRODUCT((TRIM(tblDados[Mandante])=$A822)*tblDados[Primeira_Ocorrencia]*((tblDados[GM_M]+tblDados[GS_M])&gt;2.5))+SUMPRODUCT((TRIM(tblDados[Visitante])=$A822)*tblDados[Primeira_Ocorrencia]*((tblDados[GM_V]+tblDados[GS_V])&gt;2.5)))/G822,0))</f>
        <v/>
      </c>
      <c r="N822" s="16" t="str" cm="1">
        <f t="array" ref="N822">IF($A822="","",IFERROR((SUMPRODUCT((TRIM(tblDados[Mandante])=$A822)*tblDados[Primeira_Ocorrencia]*((tblDados[GM_M]+tblDados[GS_M])&gt;3.5))+SUMPRODUCT((TRIM(tblDados[Visitante])=$A822)*tblDados[Primeira_Ocorrencia]*((tblDados[GM_V]+tblDados[GS_V])&gt;3.5)))/G822,0))</f>
        <v/>
      </c>
      <c r="O822" s="16" t="str" cm="1">
        <f t="array" ref="O822">IF($A822="","",IFERROR((SUMPRODUCT((TRIM(tblDados[Mandante])=$A822)*tblDados[Primeira_Ocorrencia]*(tblDados[GM_M]&gt;0)*(tblDados[GS_M]&gt;0))+SUMPRODUCT((TRIM(tblDados[Visitante])=$A822)*tblDados[Primeira_Ocorrencia]*(tblDados[GM_V]&gt;0)*(tblDados[GS_V]&gt;0)))/G822,0))</f>
        <v/>
      </c>
      <c r="P822" s="14" t="str" cm="1">
        <f t="array" ref="P822">IF($A822="","",IFERROR((SUMPRODUCT((TRIM(tblDados[Mandante])=$A822)*tblDados[Primeira_Ocorrencia]*tblDados[GM_M]^2)+SUMPRODUCT((TRIM(tblDados[Visitante])=$A822)*tblDados[Primeira_Ocorrencia]*tblDados[GM_V]^2))/G822-H822^2,0))</f>
        <v/>
      </c>
      <c r="Q822" s="14" t="str">
        <f t="shared" si="213"/>
        <v/>
      </c>
      <c r="R822" s="1" t="str">
        <f t="shared" si="214"/>
        <v/>
      </c>
      <c r="S822" s="14" t="str" cm="1">
        <f t="array" ref="S822">IF($A822="","",SUMPRODUCT((TRIM(tblDados[Mandante])=$A822)*tblDados[Primeira_Ocorrencia]*tblDados[GM_M]))</f>
        <v/>
      </c>
      <c r="T822" s="14" t="str" cm="1">
        <f t="array" ref="T822">IF($A822="","",SUMPRODUCT((TRIM(tblDados[Visitante])=$A822)*tblDados[Primeira_Ocorrencia]*tblDados[GM_V]))</f>
        <v/>
      </c>
      <c r="U822" s="14" t="str">
        <f t="shared" si="215"/>
        <v/>
      </c>
      <c r="V822" s="14" t="str">
        <f t="shared" si="204"/>
        <v/>
      </c>
      <c r="W822" s="14" t="str" cm="1">
        <f t="array" ref="W822">IF($A822="","",SUMPRODUCT((TRIM(tblDados[Mandante])=$A822)*tblDados[Primeira_Ocorrencia]*tblDados[GS_M]))</f>
        <v/>
      </c>
      <c r="X822" s="14" t="str" cm="1">
        <f t="array" ref="X822">IF($A822="","",SUMPRODUCT((TRIM(tblDados[Visitante])=$A822)*tblDados[Primeira_Ocorrencia]*tblDados[GS_V]))</f>
        <v/>
      </c>
      <c r="Y822" s="14" t="str">
        <f t="shared" si="216"/>
        <v/>
      </c>
      <c r="Z822" s="14" t="str">
        <f t="shared" si="205"/>
        <v/>
      </c>
      <c r="AA822" s="14" t="str">
        <f t="shared" si="206"/>
        <v/>
      </c>
      <c r="AB822" s="14" t="str">
        <f t="shared" si="207"/>
        <v/>
      </c>
      <c r="AC822" s="14" t="str">
        <f t="shared" si="208"/>
        <v/>
      </c>
      <c r="AD822" s="14" t="str">
        <f t="shared" si="209"/>
        <v/>
      </c>
    </row>
    <row r="823" spans="2:30" x14ac:dyDescent="0.3">
      <c r="B823" s="13" t="str" cm="1">
        <f t="array" ref="B823">IF($A823="","",_xlfn.LET(_xlpm.p,IFERROR(INDEX(tblDados[País],MATCH($A823,TRIM(tblDados[Mandante]),0)),INDEX(tblDados[País],MATCH($A823,TRIM(tblDados[Visitante]),0))),_xlpm.l,IFERROR(INDEX(tblDados[Liga],MATCH($A823,TRIM(tblDados[Mandante]),0)),INDEX(tblDados[Liga],MATCH($A823,TRIM(tblDados[Visitante]),0))),_xlpm.p&amp;" - "&amp;_xlpm.l))</f>
        <v/>
      </c>
      <c r="C823" s="14" t="str">
        <f t="shared" si="210"/>
        <v/>
      </c>
      <c r="D823" s="14" t="str">
        <f t="shared" si="211"/>
        <v/>
      </c>
      <c r="E823" s="15" t="str" cm="1">
        <f t="array" ref="E823">IF($A823="","",SUMPRODUCT((TRIM(tblDados[Mandante])=$A823)*tblDados[Primeira_Ocorrencia]))</f>
        <v/>
      </c>
      <c r="F823" s="15" t="str" cm="1">
        <f t="array" ref="F823">IF($A823="","",SUMPRODUCT((TRIM(tblDados[Visitante])=$A823)*tblDados[Primeira_Ocorrencia]))</f>
        <v/>
      </c>
      <c r="G823" s="15" t="str" cm="1">
        <f t="array" ref="G823">IF($A823="","",SUMPRODUCT((TRIM(tblDados[Mandante])=$A823)*tblDados[Primeira_Ocorrencia])+SUMPRODUCT((TRIM(tblDados[Visitante])=$A823)*tblDados[Primeira_Ocorrencia]))</f>
        <v/>
      </c>
      <c r="H823" s="14" t="str">
        <f t="shared" si="212"/>
        <v/>
      </c>
      <c r="I823" s="14" t="str" cm="1">
        <f t="array" ref="I823">IF($A823="","",_xlfn.LET(_xlpm.p,IFERROR(INDEX(tblDados[País],MATCH($A823,TRIM(tblDados[Mandante]),0)),INDEX(tblDados[País],MATCH($A823,TRIM(tblDados[Visitante]),0))),_xlpm.l,IFERROR(INDEX(tblDados[Liga],MATCH($A823,TRIM(tblDados[Mandante]),0)),INDEX(tblDados[Liga],MATCH($A823,TRIM(tblDados[Visitante]),0))),IFERROR(SUMIFS(Ligas!$D$2:$D$39,Ligas!$H$2:$H$39,_xlpm.p,Ligas!$I$2:$I$39,_xlpm.l),0)))</f>
        <v/>
      </c>
      <c r="J823" s="16" t="str" cm="1">
        <f t="array" ref="J823">IF($A823="","",IFERROR((SUMPRODUCT((TRIM(tblDados[Mandante])=$A823)*tblDados[Primeira_Ocorrencia]*(tblDados[GM_M]=0))+SUMPRODUCT((TRIM(tblDados[Visitante])=$A823)*tblDados[Primeira_Ocorrencia]*(tblDados[GM_V]=0)))/G823,0))</f>
        <v/>
      </c>
      <c r="K823" s="16" t="str" cm="1">
        <f t="array" ref="K823">IF($A823="","",IFERROR((SUMPRODUCT((TRIM(tblDados[Mandante])=$A823)*tblDados[Primeira_Ocorrencia]*((tblDados[GM_M]+tblDados[GS_M])&gt;0.5))+SUMPRODUCT((TRIM(tblDados[Visitante])=$A823)*tblDados[Primeira_Ocorrencia]*((tblDados[GM_V]+tblDados[GS_V])&gt;0.5)))/G823,0))</f>
        <v/>
      </c>
      <c r="L823" s="16" t="str" cm="1">
        <f t="array" ref="L823">IF($A823="","",IFERROR((SUMPRODUCT((TRIM(tblDados[Mandante])=$A823)*tblDados[Primeira_Ocorrencia]*((tblDados[GM_M]+tblDados[GS_M])&gt;1.5))+SUMPRODUCT((TRIM(tblDados[Visitante])=$A823)*tblDados[Primeira_Ocorrencia]*((tblDados[GM_V]+tblDados[GS_V])&gt;1.5)))/G823,0))</f>
        <v/>
      </c>
      <c r="M823" s="16" t="str" cm="1">
        <f t="array" ref="M823">IF($A823="","",IFERROR((SUMPRODUCT((TRIM(tblDados[Mandante])=$A823)*tblDados[Primeira_Ocorrencia]*((tblDados[GM_M]+tblDados[GS_M])&gt;2.5))+SUMPRODUCT((TRIM(tblDados[Visitante])=$A823)*tblDados[Primeira_Ocorrencia]*((tblDados[GM_V]+tblDados[GS_V])&gt;2.5)))/G823,0))</f>
        <v/>
      </c>
      <c r="N823" s="16" t="str" cm="1">
        <f t="array" ref="N823">IF($A823="","",IFERROR((SUMPRODUCT((TRIM(tblDados[Mandante])=$A823)*tblDados[Primeira_Ocorrencia]*((tblDados[GM_M]+tblDados[GS_M])&gt;3.5))+SUMPRODUCT((TRIM(tblDados[Visitante])=$A823)*tblDados[Primeira_Ocorrencia]*((tblDados[GM_V]+tblDados[GS_V])&gt;3.5)))/G823,0))</f>
        <v/>
      </c>
      <c r="O823" s="16" t="str" cm="1">
        <f t="array" ref="O823">IF($A823="","",IFERROR((SUMPRODUCT((TRIM(tblDados[Mandante])=$A823)*tblDados[Primeira_Ocorrencia]*(tblDados[GM_M]&gt;0)*(tblDados[GS_M]&gt;0))+SUMPRODUCT((TRIM(tblDados[Visitante])=$A823)*tblDados[Primeira_Ocorrencia]*(tblDados[GM_V]&gt;0)*(tblDados[GS_V]&gt;0)))/G823,0))</f>
        <v/>
      </c>
      <c r="P823" s="14" t="str" cm="1">
        <f t="array" ref="P823">IF($A823="","",IFERROR((SUMPRODUCT((TRIM(tblDados[Mandante])=$A823)*tblDados[Primeira_Ocorrencia]*tblDados[GM_M]^2)+SUMPRODUCT((TRIM(tblDados[Visitante])=$A823)*tblDados[Primeira_Ocorrencia]*tblDados[GM_V]^2))/G823-H823^2,0))</f>
        <v/>
      </c>
      <c r="Q823" s="14" t="str">
        <f t="shared" si="213"/>
        <v/>
      </c>
      <c r="R823" s="1" t="str">
        <f t="shared" si="214"/>
        <v/>
      </c>
      <c r="S823" s="14" t="str" cm="1">
        <f t="array" ref="S823">IF($A823="","",SUMPRODUCT((TRIM(tblDados[Mandante])=$A823)*tblDados[Primeira_Ocorrencia]*tblDados[GM_M]))</f>
        <v/>
      </c>
      <c r="T823" s="14" t="str" cm="1">
        <f t="array" ref="T823">IF($A823="","",SUMPRODUCT((TRIM(tblDados[Visitante])=$A823)*tblDados[Primeira_Ocorrencia]*tblDados[GM_V]))</f>
        <v/>
      </c>
      <c r="U823" s="14" t="str">
        <f t="shared" si="215"/>
        <v/>
      </c>
      <c r="V823" s="14" t="str">
        <f t="shared" si="204"/>
        <v/>
      </c>
      <c r="W823" s="14" t="str" cm="1">
        <f t="array" ref="W823">IF($A823="","",SUMPRODUCT((TRIM(tblDados[Mandante])=$A823)*tblDados[Primeira_Ocorrencia]*tblDados[GS_M]))</f>
        <v/>
      </c>
      <c r="X823" s="14" t="str" cm="1">
        <f t="array" ref="X823">IF($A823="","",SUMPRODUCT((TRIM(tblDados[Visitante])=$A823)*tblDados[Primeira_Ocorrencia]*tblDados[GS_V]))</f>
        <v/>
      </c>
      <c r="Y823" s="14" t="str">
        <f t="shared" si="216"/>
        <v/>
      </c>
      <c r="Z823" s="14" t="str">
        <f t="shared" si="205"/>
        <v/>
      </c>
      <c r="AA823" s="14" t="str">
        <f t="shared" si="206"/>
        <v/>
      </c>
      <c r="AB823" s="14" t="str">
        <f t="shared" si="207"/>
        <v/>
      </c>
      <c r="AC823" s="14" t="str">
        <f t="shared" si="208"/>
        <v/>
      </c>
      <c r="AD823" s="14" t="str">
        <f t="shared" si="209"/>
        <v/>
      </c>
    </row>
    <row r="824" spans="2:30" x14ac:dyDescent="0.3">
      <c r="B824" s="13" t="str" cm="1">
        <f t="array" ref="B824">IF($A824="","",_xlfn.LET(_xlpm.p,IFERROR(INDEX(tblDados[País],MATCH($A824,TRIM(tblDados[Mandante]),0)),INDEX(tblDados[País],MATCH($A824,TRIM(tblDados[Visitante]),0))),_xlpm.l,IFERROR(INDEX(tblDados[Liga],MATCH($A824,TRIM(tblDados[Mandante]),0)),INDEX(tblDados[Liga],MATCH($A824,TRIM(tblDados[Visitante]),0))),_xlpm.p&amp;" - "&amp;_xlpm.l))</f>
        <v/>
      </c>
      <c r="C824" s="14" t="str">
        <f t="shared" si="210"/>
        <v/>
      </c>
      <c r="D824" s="14" t="str">
        <f t="shared" si="211"/>
        <v/>
      </c>
      <c r="E824" s="15" t="str" cm="1">
        <f t="array" ref="E824">IF($A824="","",SUMPRODUCT((TRIM(tblDados[Mandante])=$A824)*tblDados[Primeira_Ocorrencia]))</f>
        <v/>
      </c>
      <c r="F824" s="15" t="str" cm="1">
        <f t="array" ref="F824">IF($A824="","",SUMPRODUCT((TRIM(tblDados[Visitante])=$A824)*tblDados[Primeira_Ocorrencia]))</f>
        <v/>
      </c>
      <c r="G824" s="15" t="str" cm="1">
        <f t="array" ref="G824">IF($A824="","",SUMPRODUCT((TRIM(tblDados[Mandante])=$A824)*tblDados[Primeira_Ocorrencia])+SUMPRODUCT((TRIM(tblDados[Visitante])=$A824)*tblDados[Primeira_Ocorrencia]))</f>
        <v/>
      </c>
      <c r="H824" s="14" t="str">
        <f t="shared" si="212"/>
        <v/>
      </c>
      <c r="I824" s="14" t="str" cm="1">
        <f t="array" ref="I824">IF($A824="","",_xlfn.LET(_xlpm.p,IFERROR(INDEX(tblDados[País],MATCH($A824,TRIM(tblDados[Mandante]),0)),INDEX(tblDados[País],MATCH($A824,TRIM(tblDados[Visitante]),0))),_xlpm.l,IFERROR(INDEX(tblDados[Liga],MATCH($A824,TRIM(tblDados[Mandante]),0)),INDEX(tblDados[Liga],MATCH($A824,TRIM(tblDados[Visitante]),0))),IFERROR(SUMIFS(Ligas!$D$2:$D$39,Ligas!$H$2:$H$39,_xlpm.p,Ligas!$I$2:$I$39,_xlpm.l),0)))</f>
        <v/>
      </c>
      <c r="J824" s="16" t="str" cm="1">
        <f t="array" ref="J824">IF($A824="","",IFERROR((SUMPRODUCT((TRIM(tblDados[Mandante])=$A824)*tblDados[Primeira_Ocorrencia]*(tblDados[GM_M]=0))+SUMPRODUCT((TRIM(tblDados[Visitante])=$A824)*tblDados[Primeira_Ocorrencia]*(tblDados[GM_V]=0)))/G824,0))</f>
        <v/>
      </c>
      <c r="K824" s="16" t="str" cm="1">
        <f t="array" ref="K824">IF($A824="","",IFERROR((SUMPRODUCT((TRIM(tblDados[Mandante])=$A824)*tblDados[Primeira_Ocorrencia]*((tblDados[GM_M]+tblDados[GS_M])&gt;0.5))+SUMPRODUCT((TRIM(tblDados[Visitante])=$A824)*tblDados[Primeira_Ocorrencia]*((tblDados[GM_V]+tblDados[GS_V])&gt;0.5)))/G824,0))</f>
        <v/>
      </c>
      <c r="L824" s="16" t="str" cm="1">
        <f t="array" ref="L824">IF($A824="","",IFERROR((SUMPRODUCT((TRIM(tblDados[Mandante])=$A824)*tblDados[Primeira_Ocorrencia]*((tblDados[GM_M]+tblDados[GS_M])&gt;1.5))+SUMPRODUCT((TRIM(tblDados[Visitante])=$A824)*tblDados[Primeira_Ocorrencia]*((tblDados[GM_V]+tblDados[GS_V])&gt;1.5)))/G824,0))</f>
        <v/>
      </c>
      <c r="M824" s="16" t="str" cm="1">
        <f t="array" ref="M824">IF($A824="","",IFERROR((SUMPRODUCT((TRIM(tblDados[Mandante])=$A824)*tblDados[Primeira_Ocorrencia]*((tblDados[GM_M]+tblDados[GS_M])&gt;2.5))+SUMPRODUCT((TRIM(tblDados[Visitante])=$A824)*tblDados[Primeira_Ocorrencia]*((tblDados[GM_V]+tblDados[GS_V])&gt;2.5)))/G824,0))</f>
        <v/>
      </c>
      <c r="N824" s="16" t="str" cm="1">
        <f t="array" ref="N824">IF($A824="","",IFERROR((SUMPRODUCT((TRIM(tblDados[Mandante])=$A824)*tblDados[Primeira_Ocorrencia]*((tblDados[GM_M]+tblDados[GS_M])&gt;3.5))+SUMPRODUCT((TRIM(tblDados[Visitante])=$A824)*tblDados[Primeira_Ocorrencia]*((tblDados[GM_V]+tblDados[GS_V])&gt;3.5)))/G824,0))</f>
        <v/>
      </c>
      <c r="O824" s="16" t="str" cm="1">
        <f t="array" ref="O824">IF($A824="","",IFERROR((SUMPRODUCT((TRIM(tblDados[Mandante])=$A824)*tblDados[Primeira_Ocorrencia]*(tblDados[GM_M]&gt;0)*(tblDados[GS_M]&gt;0))+SUMPRODUCT((TRIM(tblDados[Visitante])=$A824)*tblDados[Primeira_Ocorrencia]*(tblDados[GM_V]&gt;0)*(tblDados[GS_V]&gt;0)))/G824,0))</f>
        <v/>
      </c>
      <c r="P824" s="14" t="str" cm="1">
        <f t="array" ref="P824">IF($A824="","",IFERROR((SUMPRODUCT((TRIM(tblDados[Mandante])=$A824)*tblDados[Primeira_Ocorrencia]*tblDados[GM_M]^2)+SUMPRODUCT((TRIM(tblDados[Visitante])=$A824)*tblDados[Primeira_Ocorrencia]*tblDados[GM_V]^2))/G824-H824^2,0))</f>
        <v/>
      </c>
      <c r="Q824" s="14" t="str">
        <f t="shared" si="213"/>
        <v/>
      </c>
      <c r="R824" s="1" t="str">
        <f t="shared" si="214"/>
        <v/>
      </c>
      <c r="S824" s="14" t="str" cm="1">
        <f t="array" ref="S824">IF($A824="","",SUMPRODUCT((TRIM(tblDados[Mandante])=$A824)*tblDados[Primeira_Ocorrencia]*tblDados[GM_M]))</f>
        <v/>
      </c>
      <c r="T824" s="14" t="str" cm="1">
        <f t="array" ref="T824">IF($A824="","",SUMPRODUCT((TRIM(tblDados[Visitante])=$A824)*tblDados[Primeira_Ocorrencia]*tblDados[GM_V]))</f>
        <v/>
      </c>
      <c r="U824" s="14" t="str">
        <f t="shared" si="215"/>
        <v/>
      </c>
      <c r="V824" s="14" t="str">
        <f t="shared" si="204"/>
        <v/>
      </c>
      <c r="W824" s="14" t="str" cm="1">
        <f t="array" ref="W824">IF($A824="","",SUMPRODUCT((TRIM(tblDados[Mandante])=$A824)*tblDados[Primeira_Ocorrencia]*tblDados[GS_M]))</f>
        <v/>
      </c>
      <c r="X824" s="14" t="str" cm="1">
        <f t="array" ref="X824">IF($A824="","",SUMPRODUCT((TRIM(tblDados[Visitante])=$A824)*tblDados[Primeira_Ocorrencia]*tblDados[GS_V]))</f>
        <v/>
      </c>
      <c r="Y824" s="14" t="str">
        <f t="shared" si="216"/>
        <v/>
      </c>
      <c r="Z824" s="14" t="str">
        <f t="shared" si="205"/>
        <v/>
      </c>
      <c r="AA824" s="14" t="str">
        <f t="shared" si="206"/>
        <v/>
      </c>
      <c r="AB824" s="14" t="str">
        <f t="shared" si="207"/>
        <v/>
      </c>
      <c r="AC824" s="14" t="str">
        <f t="shared" si="208"/>
        <v/>
      </c>
      <c r="AD824" s="14" t="str">
        <f t="shared" si="209"/>
        <v/>
      </c>
    </row>
    <row r="825" spans="2:30" x14ac:dyDescent="0.3">
      <c r="B825" s="13" t="str" cm="1">
        <f t="array" ref="B825">IF($A825="","",_xlfn.LET(_xlpm.p,IFERROR(INDEX(tblDados[País],MATCH($A825,TRIM(tblDados[Mandante]),0)),INDEX(tblDados[País],MATCH($A825,TRIM(tblDados[Visitante]),0))),_xlpm.l,IFERROR(INDEX(tblDados[Liga],MATCH($A825,TRIM(tblDados[Mandante]),0)),INDEX(tblDados[Liga],MATCH($A825,TRIM(tblDados[Visitante]),0))),_xlpm.p&amp;" - "&amp;_xlpm.l))</f>
        <v/>
      </c>
      <c r="C825" s="14" t="str">
        <f t="shared" si="210"/>
        <v/>
      </c>
      <c r="D825" s="14" t="str">
        <f t="shared" si="211"/>
        <v/>
      </c>
      <c r="E825" s="15" t="str" cm="1">
        <f t="array" ref="E825">IF($A825="","",SUMPRODUCT((TRIM(tblDados[Mandante])=$A825)*tblDados[Primeira_Ocorrencia]))</f>
        <v/>
      </c>
      <c r="F825" s="15" t="str" cm="1">
        <f t="array" ref="F825">IF($A825="","",SUMPRODUCT((TRIM(tblDados[Visitante])=$A825)*tblDados[Primeira_Ocorrencia]))</f>
        <v/>
      </c>
      <c r="G825" s="15" t="str" cm="1">
        <f t="array" ref="G825">IF($A825="","",SUMPRODUCT((TRIM(tblDados[Mandante])=$A825)*tblDados[Primeira_Ocorrencia])+SUMPRODUCT((TRIM(tblDados[Visitante])=$A825)*tblDados[Primeira_Ocorrencia]))</f>
        <v/>
      </c>
      <c r="H825" s="14" t="str">
        <f t="shared" si="212"/>
        <v/>
      </c>
      <c r="I825" s="14" t="str" cm="1">
        <f t="array" ref="I825">IF($A825="","",_xlfn.LET(_xlpm.p,IFERROR(INDEX(tblDados[País],MATCH($A825,TRIM(tblDados[Mandante]),0)),INDEX(tblDados[País],MATCH($A825,TRIM(tblDados[Visitante]),0))),_xlpm.l,IFERROR(INDEX(tblDados[Liga],MATCH($A825,TRIM(tblDados[Mandante]),0)),INDEX(tblDados[Liga],MATCH($A825,TRIM(tblDados[Visitante]),0))),IFERROR(SUMIFS(Ligas!$D$2:$D$39,Ligas!$H$2:$H$39,_xlpm.p,Ligas!$I$2:$I$39,_xlpm.l),0)))</f>
        <v/>
      </c>
      <c r="J825" s="16" t="str" cm="1">
        <f t="array" ref="J825">IF($A825="","",IFERROR((SUMPRODUCT((TRIM(tblDados[Mandante])=$A825)*tblDados[Primeira_Ocorrencia]*(tblDados[GM_M]=0))+SUMPRODUCT((TRIM(tblDados[Visitante])=$A825)*tblDados[Primeira_Ocorrencia]*(tblDados[GM_V]=0)))/G825,0))</f>
        <v/>
      </c>
      <c r="K825" s="16" t="str" cm="1">
        <f t="array" ref="K825">IF($A825="","",IFERROR((SUMPRODUCT((TRIM(tblDados[Mandante])=$A825)*tblDados[Primeira_Ocorrencia]*((tblDados[GM_M]+tblDados[GS_M])&gt;0.5))+SUMPRODUCT((TRIM(tblDados[Visitante])=$A825)*tblDados[Primeira_Ocorrencia]*((tblDados[GM_V]+tblDados[GS_V])&gt;0.5)))/G825,0))</f>
        <v/>
      </c>
      <c r="L825" s="16" t="str" cm="1">
        <f t="array" ref="L825">IF($A825="","",IFERROR((SUMPRODUCT((TRIM(tblDados[Mandante])=$A825)*tblDados[Primeira_Ocorrencia]*((tblDados[GM_M]+tblDados[GS_M])&gt;1.5))+SUMPRODUCT((TRIM(tblDados[Visitante])=$A825)*tblDados[Primeira_Ocorrencia]*((tblDados[GM_V]+tblDados[GS_V])&gt;1.5)))/G825,0))</f>
        <v/>
      </c>
      <c r="M825" s="16" t="str" cm="1">
        <f t="array" ref="M825">IF($A825="","",IFERROR((SUMPRODUCT((TRIM(tblDados[Mandante])=$A825)*tblDados[Primeira_Ocorrencia]*((tblDados[GM_M]+tblDados[GS_M])&gt;2.5))+SUMPRODUCT((TRIM(tblDados[Visitante])=$A825)*tblDados[Primeira_Ocorrencia]*((tblDados[GM_V]+tblDados[GS_V])&gt;2.5)))/G825,0))</f>
        <v/>
      </c>
      <c r="N825" s="16" t="str" cm="1">
        <f t="array" ref="N825">IF($A825="","",IFERROR((SUMPRODUCT((TRIM(tblDados[Mandante])=$A825)*tblDados[Primeira_Ocorrencia]*((tblDados[GM_M]+tblDados[GS_M])&gt;3.5))+SUMPRODUCT((TRIM(tblDados[Visitante])=$A825)*tblDados[Primeira_Ocorrencia]*((tblDados[GM_V]+tblDados[GS_V])&gt;3.5)))/G825,0))</f>
        <v/>
      </c>
      <c r="O825" s="16" t="str" cm="1">
        <f t="array" ref="O825">IF($A825="","",IFERROR((SUMPRODUCT((TRIM(tblDados[Mandante])=$A825)*tblDados[Primeira_Ocorrencia]*(tblDados[GM_M]&gt;0)*(tblDados[GS_M]&gt;0))+SUMPRODUCT((TRIM(tblDados[Visitante])=$A825)*tblDados[Primeira_Ocorrencia]*(tblDados[GM_V]&gt;0)*(tblDados[GS_V]&gt;0)))/G825,0))</f>
        <v/>
      </c>
      <c r="P825" s="14" t="str" cm="1">
        <f t="array" ref="P825">IF($A825="","",IFERROR((SUMPRODUCT((TRIM(tblDados[Mandante])=$A825)*tblDados[Primeira_Ocorrencia]*tblDados[GM_M]^2)+SUMPRODUCT((TRIM(tblDados[Visitante])=$A825)*tblDados[Primeira_Ocorrencia]*tblDados[GM_V]^2))/G825-H825^2,0))</f>
        <v/>
      </c>
      <c r="Q825" s="14" t="str">
        <f t="shared" si="213"/>
        <v/>
      </c>
      <c r="R825" s="1" t="str">
        <f t="shared" si="214"/>
        <v/>
      </c>
      <c r="S825" s="14" t="str" cm="1">
        <f t="array" ref="S825">IF($A825="","",SUMPRODUCT((TRIM(tblDados[Mandante])=$A825)*tblDados[Primeira_Ocorrencia]*tblDados[GM_M]))</f>
        <v/>
      </c>
      <c r="T825" s="14" t="str" cm="1">
        <f t="array" ref="T825">IF($A825="","",SUMPRODUCT((TRIM(tblDados[Visitante])=$A825)*tblDados[Primeira_Ocorrencia]*tblDados[GM_V]))</f>
        <v/>
      </c>
      <c r="U825" s="14" t="str">
        <f t="shared" si="215"/>
        <v/>
      </c>
      <c r="V825" s="14" t="str">
        <f t="shared" si="204"/>
        <v/>
      </c>
      <c r="W825" s="14" t="str" cm="1">
        <f t="array" ref="W825">IF($A825="","",SUMPRODUCT((TRIM(tblDados[Mandante])=$A825)*tblDados[Primeira_Ocorrencia]*tblDados[GS_M]))</f>
        <v/>
      </c>
      <c r="X825" s="14" t="str" cm="1">
        <f t="array" ref="X825">IF($A825="","",SUMPRODUCT((TRIM(tblDados[Visitante])=$A825)*tblDados[Primeira_Ocorrencia]*tblDados[GS_V]))</f>
        <v/>
      </c>
      <c r="Y825" s="14" t="str">
        <f t="shared" si="216"/>
        <v/>
      </c>
      <c r="Z825" s="14" t="str">
        <f t="shared" si="205"/>
        <v/>
      </c>
      <c r="AA825" s="14" t="str">
        <f t="shared" si="206"/>
        <v/>
      </c>
      <c r="AB825" s="14" t="str">
        <f t="shared" si="207"/>
        <v/>
      </c>
      <c r="AC825" s="14" t="str">
        <f t="shared" si="208"/>
        <v/>
      </c>
      <c r="AD825" s="14" t="str">
        <f t="shared" si="209"/>
        <v/>
      </c>
    </row>
    <row r="826" spans="2:30" x14ac:dyDescent="0.3">
      <c r="B826" s="13" t="str" cm="1">
        <f t="array" ref="B826">IF($A826="","",_xlfn.LET(_xlpm.p,IFERROR(INDEX(tblDados[País],MATCH($A826,TRIM(tblDados[Mandante]),0)),INDEX(tblDados[País],MATCH($A826,TRIM(tblDados[Visitante]),0))),_xlpm.l,IFERROR(INDEX(tblDados[Liga],MATCH($A826,TRIM(tblDados[Mandante]),0)),INDEX(tblDados[Liga],MATCH($A826,TRIM(tblDados[Visitante]),0))),_xlpm.p&amp;" - "&amp;_xlpm.l))</f>
        <v/>
      </c>
      <c r="C826" s="14" t="str">
        <f t="shared" si="210"/>
        <v/>
      </c>
      <c r="D826" s="14" t="str">
        <f t="shared" si="211"/>
        <v/>
      </c>
      <c r="E826" s="15" t="str" cm="1">
        <f t="array" ref="E826">IF($A826="","",SUMPRODUCT((TRIM(tblDados[Mandante])=$A826)*tblDados[Primeira_Ocorrencia]))</f>
        <v/>
      </c>
      <c r="F826" s="15" t="str" cm="1">
        <f t="array" ref="F826">IF($A826="","",SUMPRODUCT((TRIM(tblDados[Visitante])=$A826)*tblDados[Primeira_Ocorrencia]))</f>
        <v/>
      </c>
      <c r="G826" s="15" t="str" cm="1">
        <f t="array" ref="G826">IF($A826="","",SUMPRODUCT((TRIM(tblDados[Mandante])=$A826)*tblDados[Primeira_Ocorrencia])+SUMPRODUCT((TRIM(tblDados[Visitante])=$A826)*tblDados[Primeira_Ocorrencia]))</f>
        <v/>
      </c>
      <c r="H826" s="14" t="str">
        <f t="shared" si="212"/>
        <v/>
      </c>
      <c r="I826" s="14" t="str" cm="1">
        <f t="array" ref="I826">IF($A826="","",_xlfn.LET(_xlpm.p,IFERROR(INDEX(tblDados[País],MATCH($A826,TRIM(tblDados[Mandante]),0)),INDEX(tblDados[País],MATCH($A826,TRIM(tblDados[Visitante]),0))),_xlpm.l,IFERROR(INDEX(tblDados[Liga],MATCH($A826,TRIM(tblDados[Mandante]),0)),INDEX(tblDados[Liga],MATCH($A826,TRIM(tblDados[Visitante]),0))),IFERROR(SUMIFS(Ligas!$D$2:$D$39,Ligas!$H$2:$H$39,_xlpm.p,Ligas!$I$2:$I$39,_xlpm.l),0)))</f>
        <v/>
      </c>
      <c r="J826" s="16" t="str" cm="1">
        <f t="array" ref="J826">IF($A826="","",IFERROR((SUMPRODUCT((TRIM(tblDados[Mandante])=$A826)*tblDados[Primeira_Ocorrencia]*(tblDados[GM_M]=0))+SUMPRODUCT((TRIM(tblDados[Visitante])=$A826)*tblDados[Primeira_Ocorrencia]*(tblDados[GM_V]=0)))/G826,0))</f>
        <v/>
      </c>
      <c r="K826" s="16" t="str" cm="1">
        <f t="array" ref="K826">IF($A826="","",IFERROR((SUMPRODUCT((TRIM(tblDados[Mandante])=$A826)*tblDados[Primeira_Ocorrencia]*((tblDados[GM_M]+tblDados[GS_M])&gt;0.5))+SUMPRODUCT((TRIM(tblDados[Visitante])=$A826)*tblDados[Primeira_Ocorrencia]*((tblDados[GM_V]+tblDados[GS_V])&gt;0.5)))/G826,0))</f>
        <v/>
      </c>
      <c r="L826" s="16" t="str" cm="1">
        <f t="array" ref="L826">IF($A826="","",IFERROR((SUMPRODUCT((TRIM(tblDados[Mandante])=$A826)*tblDados[Primeira_Ocorrencia]*((tblDados[GM_M]+tblDados[GS_M])&gt;1.5))+SUMPRODUCT((TRIM(tblDados[Visitante])=$A826)*tblDados[Primeira_Ocorrencia]*((tblDados[GM_V]+tblDados[GS_V])&gt;1.5)))/G826,0))</f>
        <v/>
      </c>
      <c r="M826" s="16" t="str" cm="1">
        <f t="array" ref="M826">IF($A826="","",IFERROR((SUMPRODUCT((TRIM(tblDados[Mandante])=$A826)*tblDados[Primeira_Ocorrencia]*((tblDados[GM_M]+tblDados[GS_M])&gt;2.5))+SUMPRODUCT((TRIM(tblDados[Visitante])=$A826)*tblDados[Primeira_Ocorrencia]*((tblDados[GM_V]+tblDados[GS_V])&gt;2.5)))/G826,0))</f>
        <v/>
      </c>
      <c r="N826" s="16" t="str" cm="1">
        <f t="array" ref="N826">IF($A826="","",IFERROR((SUMPRODUCT((TRIM(tblDados[Mandante])=$A826)*tblDados[Primeira_Ocorrencia]*((tblDados[GM_M]+tblDados[GS_M])&gt;3.5))+SUMPRODUCT((TRIM(tblDados[Visitante])=$A826)*tblDados[Primeira_Ocorrencia]*((tblDados[GM_V]+tblDados[GS_V])&gt;3.5)))/G826,0))</f>
        <v/>
      </c>
      <c r="O826" s="16" t="str" cm="1">
        <f t="array" ref="O826">IF($A826="","",IFERROR((SUMPRODUCT((TRIM(tblDados[Mandante])=$A826)*tblDados[Primeira_Ocorrencia]*(tblDados[GM_M]&gt;0)*(tblDados[GS_M]&gt;0))+SUMPRODUCT((TRIM(tblDados[Visitante])=$A826)*tblDados[Primeira_Ocorrencia]*(tblDados[GM_V]&gt;0)*(tblDados[GS_V]&gt;0)))/G826,0))</f>
        <v/>
      </c>
      <c r="P826" s="14" t="str" cm="1">
        <f t="array" ref="P826">IF($A826="","",IFERROR((SUMPRODUCT((TRIM(tblDados[Mandante])=$A826)*tblDados[Primeira_Ocorrencia]*tblDados[GM_M]^2)+SUMPRODUCT((TRIM(tblDados[Visitante])=$A826)*tblDados[Primeira_Ocorrencia]*tblDados[GM_V]^2))/G826-H826^2,0))</f>
        <v/>
      </c>
      <c r="Q826" s="14" t="str">
        <f t="shared" si="213"/>
        <v/>
      </c>
      <c r="R826" s="1" t="str">
        <f t="shared" si="214"/>
        <v/>
      </c>
      <c r="S826" s="14" t="str" cm="1">
        <f t="array" ref="S826">IF($A826="","",SUMPRODUCT((TRIM(tblDados[Mandante])=$A826)*tblDados[Primeira_Ocorrencia]*tblDados[GM_M]))</f>
        <v/>
      </c>
      <c r="T826" s="14" t="str" cm="1">
        <f t="array" ref="T826">IF($A826="","",SUMPRODUCT((TRIM(tblDados[Visitante])=$A826)*tblDados[Primeira_Ocorrencia]*tblDados[GM_V]))</f>
        <v/>
      </c>
      <c r="U826" s="14" t="str">
        <f t="shared" si="215"/>
        <v/>
      </c>
      <c r="V826" s="14" t="str">
        <f t="shared" si="204"/>
        <v/>
      </c>
      <c r="W826" s="14" t="str" cm="1">
        <f t="array" ref="W826">IF($A826="","",SUMPRODUCT((TRIM(tblDados[Mandante])=$A826)*tblDados[Primeira_Ocorrencia]*tblDados[GS_M]))</f>
        <v/>
      </c>
      <c r="X826" s="14" t="str" cm="1">
        <f t="array" ref="X826">IF($A826="","",SUMPRODUCT((TRIM(tblDados[Visitante])=$A826)*tblDados[Primeira_Ocorrencia]*tblDados[GS_V]))</f>
        <v/>
      </c>
      <c r="Y826" s="14" t="str">
        <f t="shared" si="216"/>
        <v/>
      </c>
      <c r="Z826" s="14" t="str">
        <f t="shared" si="205"/>
        <v/>
      </c>
      <c r="AA826" s="14" t="str">
        <f t="shared" si="206"/>
        <v/>
      </c>
      <c r="AB826" s="14" t="str">
        <f t="shared" si="207"/>
        <v/>
      </c>
      <c r="AC826" s="14" t="str">
        <f t="shared" si="208"/>
        <v/>
      </c>
      <c r="AD826" s="14" t="str">
        <f t="shared" si="209"/>
        <v/>
      </c>
    </row>
    <row r="827" spans="2:30" x14ac:dyDescent="0.3">
      <c r="B827" s="13" t="str" cm="1">
        <f t="array" ref="B827">IF($A827="","",_xlfn.LET(_xlpm.p,IFERROR(INDEX(tblDados[País],MATCH($A827,TRIM(tblDados[Mandante]),0)),INDEX(tblDados[País],MATCH($A827,TRIM(tblDados[Visitante]),0))),_xlpm.l,IFERROR(INDEX(tblDados[Liga],MATCH($A827,TRIM(tblDados[Mandante]),0)),INDEX(tblDados[Liga],MATCH($A827,TRIM(tblDados[Visitante]),0))),_xlpm.p&amp;" - "&amp;_xlpm.l))</f>
        <v/>
      </c>
      <c r="C827" s="14" t="str">
        <f t="shared" si="210"/>
        <v/>
      </c>
      <c r="D827" s="14" t="str">
        <f t="shared" si="211"/>
        <v/>
      </c>
      <c r="E827" s="15" t="str" cm="1">
        <f t="array" ref="E827">IF($A827="","",SUMPRODUCT((TRIM(tblDados[Mandante])=$A827)*tblDados[Primeira_Ocorrencia]))</f>
        <v/>
      </c>
      <c r="F827" s="15" t="str" cm="1">
        <f t="array" ref="F827">IF($A827="","",SUMPRODUCT((TRIM(tblDados[Visitante])=$A827)*tblDados[Primeira_Ocorrencia]))</f>
        <v/>
      </c>
      <c r="G827" s="15" t="str" cm="1">
        <f t="array" ref="G827">IF($A827="","",SUMPRODUCT((TRIM(tblDados[Mandante])=$A827)*tblDados[Primeira_Ocorrencia])+SUMPRODUCT((TRIM(tblDados[Visitante])=$A827)*tblDados[Primeira_Ocorrencia]))</f>
        <v/>
      </c>
      <c r="H827" s="14" t="str">
        <f t="shared" si="212"/>
        <v/>
      </c>
      <c r="I827" s="14" t="str" cm="1">
        <f t="array" ref="I827">IF($A827="","",_xlfn.LET(_xlpm.p,IFERROR(INDEX(tblDados[País],MATCH($A827,TRIM(tblDados[Mandante]),0)),INDEX(tblDados[País],MATCH($A827,TRIM(tblDados[Visitante]),0))),_xlpm.l,IFERROR(INDEX(tblDados[Liga],MATCH($A827,TRIM(tblDados[Mandante]),0)),INDEX(tblDados[Liga],MATCH($A827,TRIM(tblDados[Visitante]),0))),IFERROR(SUMIFS(Ligas!$D$2:$D$39,Ligas!$H$2:$H$39,_xlpm.p,Ligas!$I$2:$I$39,_xlpm.l),0)))</f>
        <v/>
      </c>
      <c r="J827" s="16" t="str" cm="1">
        <f t="array" ref="J827">IF($A827="","",IFERROR((SUMPRODUCT((TRIM(tblDados[Mandante])=$A827)*tblDados[Primeira_Ocorrencia]*(tblDados[GM_M]=0))+SUMPRODUCT((TRIM(tblDados[Visitante])=$A827)*tblDados[Primeira_Ocorrencia]*(tblDados[GM_V]=0)))/G827,0))</f>
        <v/>
      </c>
      <c r="K827" s="16" t="str" cm="1">
        <f t="array" ref="K827">IF($A827="","",IFERROR((SUMPRODUCT((TRIM(tblDados[Mandante])=$A827)*tblDados[Primeira_Ocorrencia]*((tblDados[GM_M]+tblDados[GS_M])&gt;0.5))+SUMPRODUCT((TRIM(tblDados[Visitante])=$A827)*tblDados[Primeira_Ocorrencia]*((tblDados[GM_V]+tblDados[GS_V])&gt;0.5)))/G827,0))</f>
        <v/>
      </c>
      <c r="L827" s="16" t="str" cm="1">
        <f t="array" ref="L827">IF($A827="","",IFERROR((SUMPRODUCT((TRIM(tblDados[Mandante])=$A827)*tblDados[Primeira_Ocorrencia]*((tblDados[GM_M]+tblDados[GS_M])&gt;1.5))+SUMPRODUCT((TRIM(tblDados[Visitante])=$A827)*tblDados[Primeira_Ocorrencia]*((tblDados[GM_V]+tblDados[GS_V])&gt;1.5)))/G827,0))</f>
        <v/>
      </c>
      <c r="M827" s="16" t="str" cm="1">
        <f t="array" ref="M827">IF($A827="","",IFERROR((SUMPRODUCT((TRIM(tblDados[Mandante])=$A827)*tblDados[Primeira_Ocorrencia]*((tblDados[GM_M]+tblDados[GS_M])&gt;2.5))+SUMPRODUCT((TRIM(tblDados[Visitante])=$A827)*tblDados[Primeira_Ocorrencia]*((tblDados[GM_V]+tblDados[GS_V])&gt;2.5)))/G827,0))</f>
        <v/>
      </c>
      <c r="N827" s="16" t="str" cm="1">
        <f t="array" ref="N827">IF($A827="","",IFERROR((SUMPRODUCT((TRIM(tblDados[Mandante])=$A827)*tblDados[Primeira_Ocorrencia]*((tblDados[GM_M]+tblDados[GS_M])&gt;3.5))+SUMPRODUCT((TRIM(tblDados[Visitante])=$A827)*tblDados[Primeira_Ocorrencia]*((tblDados[GM_V]+tblDados[GS_V])&gt;3.5)))/G827,0))</f>
        <v/>
      </c>
      <c r="O827" s="16" t="str" cm="1">
        <f t="array" ref="O827">IF($A827="","",IFERROR((SUMPRODUCT((TRIM(tblDados[Mandante])=$A827)*tblDados[Primeira_Ocorrencia]*(tblDados[GM_M]&gt;0)*(tblDados[GS_M]&gt;0))+SUMPRODUCT((TRIM(tblDados[Visitante])=$A827)*tblDados[Primeira_Ocorrencia]*(tblDados[GM_V]&gt;0)*(tblDados[GS_V]&gt;0)))/G827,0))</f>
        <v/>
      </c>
      <c r="P827" s="14" t="str" cm="1">
        <f t="array" ref="P827">IF($A827="","",IFERROR((SUMPRODUCT((TRIM(tblDados[Mandante])=$A827)*tblDados[Primeira_Ocorrencia]*tblDados[GM_M]^2)+SUMPRODUCT((TRIM(tblDados[Visitante])=$A827)*tblDados[Primeira_Ocorrencia]*tblDados[GM_V]^2))/G827-H827^2,0))</f>
        <v/>
      </c>
      <c r="Q827" s="14" t="str">
        <f t="shared" si="213"/>
        <v/>
      </c>
      <c r="R827" s="1" t="str">
        <f t="shared" si="214"/>
        <v/>
      </c>
      <c r="S827" s="14" t="str" cm="1">
        <f t="array" ref="S827">IF($A827="","",SUMPRODUCT((TRIM(tblDados[Mandante])=$A827)*tblDados[Primeira_Ocorrencia]*tblDados[GM_M]))</f>
        <v/>
      </c>
      <c r="T827" s="14" t="str" cm="1">
        <f t="array" ref="T827">IF($A827="","",SUMPRODUCT((TRIM(tblDados[Visitante])=$A827)*tblDados[Primeira_Ocorrencia]*tblDados[GM_V]))</f>
        <v/>
      </c>
      <c r="U827" s="14" t="str">
        <f t="shared" si="215"/>
        <v/>
      </c>
      <c r="V827" s="14" t="str">
        <f t="shared" si="204"/>
        <v/>
      </c>
      <c r="W827" s="14" t="str" cm="1">
        <f t="array" ref="W827">IF($A827="","",SUMPRODUCT((TRIM(tblDados[Mandante])=$A827)*tblDados[Primeira_Ocorrencia]*tblDados[GS_M]))</f>
        <v/>
      </c>
      <c r="X827" s="14" t="str" cm="1">
        <f t="array" ref="X827">IF($A827="","",SUMPRODUCT((TRIM(tblDados[Visitante])=$A827)*tblDados[Primeira_Ocorrencia]*tblDados[GS_V]))</f>
        <v/>
      </c>
      <c r="Y827" s="14" t="str">
        <f t="shared" si="216"/>
        <v/>
      </c>
      <c r="Z827" s="14" t="str">
        <f t="shared" si="205"/>
        <v/>
      </c>
      <c r="AA827" s="14" t="str">
        <f t="shared" si="206"/>
        <v/>
      </c>
      <c r="AB827" s="14" t="str">
        <f t="shared" si="207"/>
        <v/>
      </c>
      <c r="AC827" s="14" t="str">
        <f t="shared" si="208"/>
        <v/>
      </c>
      <c r="AD827" s="14" t="str">
        <f t="shared" si="209"/>
        <v/>
      </c>
    </row>
    <row r="828" spans="2:30" x14ac:dyDescent="0.3">
      <c r="B828" s="13" t="str" cm="1">
        <f t="array" ref="B828">IF($A828="","",_xlfn.LET(_xlpm.p,IFERROR(INDEX(tblDados[País],MATCH($A828,TRIM(tblDados[Mandante]),0)),INDEX(tblDados[País],MATCH($A828,TRIM(tblDados[Visitante]),0))),_xlpm.l,IFERROR(INDEX(tblDados[Liga],MATCH($A828,TRIM(tblDados[Mandante]),0)),INDEX(tblDados[Liga],MATCH($A828,TRIM(tblDados[Visitante]),0))),_xlpm.p&amp;" - "&amp;_xlpm.l))</f>
        <v/>
      </c>
      <c r="C828" s="14" t="str">
        <f t="shared" si="210"/>
        <v/>
      </c>
      <c r="D828" s="14" t="str">
        <f t="shared" si="211"/>
        <v/>
      </c>
      <c r="E828" s="15" t="str" cm="1">
        <f t="array" ref="E828">IF($A828="","",SUMPRODUCT((TRIM(tblDados[Mandante])=$A828)*tblDados[Primeira_Ocorrencia]))</f>
        <v/>
      </c>
      <c r="F828" s="15" t="str" cm="1">
        <f t="array" ref="F828">IF($A828="","",SUMPRODUCT((TRIM(tblDados[Visitante])=$A828)*tblDados[Primeira_Ocorrencia]))</f>
        <v/>
      </c>
      <c r="G828" s="15" t="str" cm="1">
        <f t="array" ref="G828">IF($A828="","",SUMPRODUCT((TRIM(tblDados[Mandante])=$A828)*tblDados[Primeira_Ocorrencia])+SUMPRODUCT((TRIM(tblDados[Visitante])=$A828)*tblDados[Primeira_Ocorrencia]))</f>
        <v/>
      </c>
      <c r="H828" s="14" t="str">
        <f t="shared" si="212"/>
        <v/>
      </c>
      <c r="I828" s="14" t="str" cm="1">
        <f t="array" ref="I828">IF($A828="","",_xlfn.LET(_xlpm.p,IFERROR(INDEX(tblDados[País],MATCH($A828,TRIM(tblDados[Mandante]),0)),INDEX(tblDados[País],MATCH($A828,TRIM(tblDados[Visitante]),0))),_xlpm.l,IFERROR(INDEX(tblDados[Liga],MATCH($A828,TRIM(tblDados[Mandante]),0)),INDEX(tblDados[Liga],MATCH($A828,TRIM(tblDados[Visitante]),0))),IFERROR(SUMIFS(Ligas!$D$2:$D$39,Ligas!$H$2:$H$39,_xlpm.p,Ligas!$I$2:$I$39,_xlpm.l),0)))</f>
        <v/>
      </c>
      <c r="J828" s="16" t="str" cm="1">
        <f t="array" ref="J828">IF($A828="","",IFERROR((SUMPRODUCT((TRIM(tblDados[Mandante])=$A828)*tblDados[Primeira_Ocorrencia]*(tblDados[GM_M]=0))+SUMPRODUCT((TRIM(tblDados[Visitante])=$A828)*tblDados[Primeira_Ocorrencia]*(tblDados[GM_V]=0)))/G828,0))</f>
        <v/>
      </c>
      <c r="K828" s="16" t="str" cm="1">
        <f t="array" ref="K828">IF($A828="","",IFERROR((SUMPRODUCT((TRIM(tblDados[Mandante])=$A828)*tblDados[Primeira_Ocorrencia]*((tblDados[GM_M]+tblDados[GS_M])&gt;0.5))+SUMPRODUCT((TRIM(tblDados[Visitante])=$A828)*tblDados[Primeira_Ocorrencia]*((tblDados[GM_V]+tblDados[GS_V])&gt;0.5)))/G828,0))</f>
        <v/>
      </c>
      <c r="L828" s="16" t="str" cm="1">
        <f t="array" ref="L828">IF($A828="","",IFERROR((SUMPRODUCT((TRIM(tblDados[Mandante])=$A828)*tblDados[Primeira_Ocorrencia]*((tblDados[GM_M]+tblDados[GS_M])&gt;1.5))+SUMPRODUCT((TRIM(tblDados[Visitante])=$A828)*tblDados[Primeira_Ocorrencia]*((tblDados[GM_V]+tblDados[GS_V])&gt;1.5)))/G828,0))</f>
        <v/>
      </c>
      <c r="M828" s="16" t="str" cm="1">
        <f t="array" ref="M828">IF($A828="","",IFERROR((SUMPRODUCT((TRIM(tblDados[Mandante])=$A828)*tblDados[Primeira_Ocorrencia]*((tblDados[GM_M]+tblDados[GS_M])&gt;2.5))+SUMPRODUCT((TRIM(tblDados[Visitante])=$A828)*tblDados[Primeira_Ocorrencia]*((tblDados[GM_V]+tblDados[GS_V])&gt;2.5)))/G828,0))</f>
        <v/>
      </c>
      <c r="N828" s="16" t="str" cm="1">
        <f t="array" ref="N828">IF($A828="","",IFERROR((SUMPRODUCT((TRIM(tblDados[Mandante])=$A828)*tblDados[Primeira_Ocorrencia]*((tblDados[GM_M]+tblDados[GS_M])&gt;3.5))+SUMPRODUCT((TRIM(tblDados[Visitante])=$A828)*tblDados[Primeira_Ocorrencia]*((tblDados[GM_V]+tblDados[GS_V])&gt;3.5)))/G828,0))</f>
        <v/>
      </c>
      <c r="O828" s="16" t="str" cm="1">
        <f t="array" ref="O828">IF($A828="","",IFERROR((SUMPRODUCT((TRIM(tblDados[Mandante])=$A828)*tblDados[Primeira_Ocorrencia]*(tblDados[GM_M]&gt;0)*(tblDados[GS_M]&gt;0))+SUMPRODUCT((TRIM(tblDados[Visitante])=$A828)*tblDados[Primeira_Ocorrencia]*(tblDados[GM_V]&gt;0)*(tblDados[GS_V]&gt;0)))/G828,0))</f>
        <v/>
      </c>
      <c r="P828" s="14" t="str" cm="1">
        <f t="array" ref="P828">IF($A828="","",IFERROR((SUMPRODUCT((TRIM(tblDados[Mandante])=$A828)*tblDados[Primeira_Ocorrencia]*tblDados[GM_M]^2)+SUMPRODUCT((TRIM(tblDados[Visitante])=$A828)*tblDados[Primeira_Ocorrencia]*tblDados[GM_V]^2))/G828-H828^2,0))</f>
        <v/>
      </c>
      <c r="Q828" s="14" t="str">
        <f t="shared" si="213"/>
        <v/>
      </c>
      <c r="R828" s="1" t="str">
        <f t="shared" si="214"/>
        <v/>
      </c>
      <c r="S828" s="14" t="str" cm="1">
        <f t="array" ref="S828">IF($A828="","",SUMPRODUCT((TRIM(tblDados[Mandante])=$A828)*tblDados[Primeira_Ocorrencia]*tblDados[GM_M]))</f>
        <v/>
      </c>
      <c r="T828" s="14" t="str" cm="1">
        <f t="array" ref="T828">IF($A828="","",SUMPRODUCT((TRIM(tblDados[Visitante])=$A828)*tblDados[Primeira_Ocorrencia]*tblDados[GM_V]))</f>
        <v/>
      </c>
      <c r="U828" s="14" t="str">
        <f t="shared" si="215"/>
        <v/>
      </c>
      <c r="V828" s="14" t="str">
        <f t="shared" si="204"/>
        <v/>
      </c>
      <c r="W828" s="14" t="str" cm="1">
        <f t="array" ref="W828">IF($A828="","",SUMPRODUCT((TRIM(tblDados[Mandante])=$A828)*tblDados[Primeira_Ocorrencia]*tblDados[GS_M]))</f>
        <v/>
      </c>
      <c r="X828" s="14" t="str" cm="1">
        <f t="array" ref="X828">IF($A828="","",SUMPRODUCT((TRIM(tblDados[Visitante])=$A828)*tblDados[Primeira_Ocorrencia]*tblDados[GS_V]))</f>
        <v/>
      </c>
      <c r="Y828" s="14" t="str">
        <f t="shared" si="216"/>
        <v/>
      </c>
      <c r="Z828" s="14" t="str">
        <f t="shared" si="205"/>
        <v/>
      </c>
      <c r="AA828" s="14" t="str">
        <f t="shared" si="206"/>
        <v/>
      </c>
      <c r="AB828" s="14" t="str">
        <f t="shared" si="207"/>
        <v/>
      </c>
      <c r="AC828" s="14" t="str">
        <f t="shared" si="208"/>
        <v/>
      </c>
      <c r="AD828" s="14" t="str">
        <f t="shared" si="209"/>
        <v/>
      </c>
    </row>
    <row r="829" spans="2:30" x14ac:dyDescent="0.3">
      <c r="B829" s="13" t="str" cm="1">
        <f t="array" ref="B829">IF($A829="","",_xlfn.LET(_xlpm.p,IFERROR(INDEX(tblDados[País],MATCH($A829,TRIM(tblDados[Mandante]),0)),INDEX(tblDados[País],MATCH($A829,TRIM(tblDados[Visitante]),0))),_xlpm.l,IFERROR(INDEX(tblDados[Liga],MATCH($A829,TRIM(tblDados[Mandante]),0)),INDEX(tblDados[Liga],MATCH($A829,TRIM(tblDados[Visitante]),0))),_xlpm.p&amp;" - "&amp;_xlpm.l))</f>
        <v/>
      </c>
      <c r="C829" s="14" t="str">
        <f t="shared" si="210"/>
        <v/>
      </c>
      <c r="D829" s="14" t="str">
        <f t="shared" si="211"/>
        <v/>
      </c>
      <c r="E829" s="15" t="str" cm="1">
        <f t="array" ref="E829">IF($A829="","",SUMPRODUCT((TRIM(tblDados[Mandante])=$A829)*tblDados[Primeira_Ocorrencia]))</f>
        <v/>
      </c>
      <c r="F829" s="15" t="str" cm="1">
        <f t="array" ref="F829">IF($A829="","",SUMPRODUCT((TRIM(tblDados[Visitante])=$A829)*tblDados[Primeira_Ocorrencia]))</f>
        <v/>
      </c>
      <c r="G829" s="15" t="str" cm="1">
        <f t="array" ref="G829">IF($A829="","",SUMPRODUCT((TRIM(tblDados[Mandante])=$A829)*tblDados[Primeira_Ocorrencia])+SUMPRODUCT((TRIM(tblDados[Visitante])=$A829)*tblDados[Primeira_Ocorrencia]))</f>
        <v/>
      </c>
      <c r="H829" s="14" t="str">
        <f t="shared" si="212"/>
        <v/>
      </c>
      <c r="I829" s="14" t="str" cm="1">
        <f t="array" ref="I829">IF($A829="","",_xlfn.LET(_xlpm.p,IFERROR(INDEX(tblDados[País],MATCH($A829,TRIM(tblDados[Mandante]),0)),INDEX(tblDados[País],MATCH($A829,TRIM(tblDados[Visitante]),0))),_xlpm.l,IFERROR(INDEX(tblDados[Liga],MATCH($A829,TRIM(tblDados[Mandante]),0)),INDEX(tblDados[Liga],MATCH($A829,TRIM(tblDados[Visitante]),0))),IFERROR(SUMIFS(Ligas!$D$2:$D$39,Ligas!$H$2:$H$39,_xlpm.p,Ligas!$I$2:$I$39,_xlpm.l),0)))</f>
        <v/>
      </c>
      <c r="J829" s="16" t="str" cm="1">
        <f t="array" ref="J829">IF($A829="","",IFERROR((SUMPRODUCT((TRIM(tblDados[Mandante])=$A829)*tblDados[Primeira_Ocorrencia]*(tblDados[GM_M]=0))+SUMPRODUCT((TRIM(tblDados[Visitante])=$A829)*tblDados[Primeira_Ocorrencia]*(tblDados[GM_V]=0)))/G829,0))</f>
        <v/>
      </c>
      <c r="K829" s="16" t="str" cm="1">
        <f t="array" ref="K829">IF($A829="","",IFERROR((SUMPRODUCT((TRIM(tblDados[Mandante])=$A829)*tblDados[Primeira_Ocorrencia]*((tblDados[GM_M]+tblDados[GS_M])&gt;0.5))+SUMPRODUCT((TRIM(tblDados[Visitante])=$A829)*tblDados[Primeira_Ocorrencia]*((tblDados[GM_V]+tblDados[GS_V])&gt;0.5)))/G829,0))</f>
        <v/>
      </c>
      <c r="L829" s="16" t="str" cm="1">
        <f t="array" ref="L829">IF($A829="","",IFERROR((SUMPRODUCT((TRIM(tblDados[Mandante])=$A829)*tblDados[Primeira_Ocorrencia]*((tblDados[GM_M]+tblDados[GS_M])&gt;1.5))+SUMPRODUCT((TRIM(tblDados[Visitante])=$A829)*tblDados[Primeira_Ocorrencia]*((tblDados[GM_V]+tblDados[GS_V])&gt;1.5)))/G829,0))</f>
        <v/>
      </c>
      <c r="M829" s="16" t="str" cm="1">
        <f t="array" ref="M829">IF($A829="","",IFERROR((SUMPRODUCT((TRIM(tblDados[Mandante])=$A829)*tblDados[Primeira_Ocorrencia]*((tblDados[GM_M]+tblDados[GS_M])&gt;2.5))+SUMPRODUCT((TRIM(tblDados[Visitante])=$A829)*tblDados[Primeira_Ocorrencia]*((tblDados[GM_V]+tblDados[GS_V])&gt;2.5)))/G829,0))</f>
        <v/>
      </c>
      <c r="N829" s="16" t="str" cm="1">
        <f t="array" ref="N829">IF($A829="","",IFERROR((SUMPRODUCT((TRIM(tblDados[Mandante])=$A829)*tblDados[Primeira_Ocorrencia]*((tblDados[GM_M]+tblDados[GS_M])&gt;3.5))+SUMPRODUCT((TRIM(tblDados[Visitante])=$A829)*tblDados[Primeira_Ocorrencia]*((tblDados[GM_V]+tblDados[GS_V])&gt;3.5)))/G829,0))</f>
        <v/>
      </c>
      <c r="O829" s="16" t="str" cm="1">
        <f t="array" ref="O829">IF($A829="","",IFERROR((SUMPRODUCT((TRIM(tblDados[Mandante])=$A829)*tblDados[Primeira_Ocorrencia]*(tblDados[GM_M]&gt;0)*(tblDados[GS_M]&gt;0))+SUMPRODUCT((TRIM(tblDados[Visitante])=$A829)*tblDados[Primeira_Ocorrencia]*(tblDados[GM_V]&gt;0)*(tblDados[GS_V]&gt;0)))/G829,0))</f>
        <v/>
      </c>
      <c r="P829" s="14" t="str" cm="1">
        <f t="array" ref="P829">IF($A829="","",IFERROR((SUMPRODUCT((TRIM(tblDados[Mandante])=$A829)*tblDados[Primeira_Ocorrencia]*tblDados[GM_M]^2)+SUMPRODUCT((TRIM(tblDados[Visitante])=$A829)*tblDados[Primeira_Ocorrencia]*tblDados[GM_V]^2))/G829-H829^2,0))</f>
        <v/>
      </c>
      <c r="Q829" s="14" t="str">
        <f t="shared" si="213"/>
        <v/>
      </c>
      <c r="R829" s="1" t="str">
        <f t="shared" si="214"/>
        <v/>
      </c>
      <c r="S829" s="14" t="str" cm="1">
        <f t="array" ref="S829">IF($A829="","",SUMPRODUCT((TRIM(tblDados[Mandante])=$A829)*tblDados[Primeira_Ocorrencia]*tblDados[GM_M]))</f>
        <v/>
      </c>
      <c r="T829" s="14" t="str" cm="1">
        <f t="array" ref="T829">IF($A829="","",SUMPRODUCT((TRIM(tblDados[Visitante])=$A829)*tblDados[Primeira_Ocorrencia]*tblDados[GM_V]))</f>
        <v/>
      </c>
      <c r="U829" s="14" t="str">
        <f t="shared" si="215"/>
        <v/>
      </c>
      <c r="V829" s="14" t="str">
        <f t="shared" si="204"/>
        <v/>
      </c>
      <c r="W829" s="14" t="str" cm="1">
        <f t="array" ref="W829">IF($A829="","",SUMPRODUCT((TRIM(tblDados[Mandante])=$A829)*tblDados[Primeira_Ocorrencia]*tblDados[GS_M]))</f>
        <v/>
      </c>
      <c r="X829" s="14" t="str" cm="1">
        <f t="array" ref="X829">IF($A829="","",SUMPRODUCT((TRIM(tblDados[Visitante])=$A829)*tblDados[Primeira_Ocorrencia]*tblDados[GS_V]))</f>
        <v/>
      </c>
      <c r="Y829" s="14" t="str">
        <f t="shared" si="216"/>
        <v/>
      </c>
      <c r="Z829" s="14" t="str">
        <f t="shared" si="205"/>
        <v/>
      </c>
      <c r="AA829" s="14" t="str">
        <f t="shared" si="206"/>
        <v/>
      </c>
      <c r="AB829" s="14" t="str">
        <f t="shared" si="207"/>
        <v/>
      </c>
      <c r="AC829" s="14" t="str">
        <f t="shared" si="208"/>
        <v/>
      </c>
      <c r="AD829" s="14" t="str">
        <f t="shared" si="209"/>
        <v/>
      </c>
    </row>
    <row r="830" spans="2:30" x14ac:dyDescent="0.3">
      <c r="B830" s="13" t="str" cm="1">
        <f t="array" ref="B830">IF($A830="","",_xlfn.LET(_xlpm.p,IFERROR(INDEX(tblDados[País],MATCH($A830,TRIM(tblDados[Mandante]),0)),INDEX(tblDados[País],MATCH($A830,TRIM(tblDados[Visitante]),0))),_xlpm.l,IFERROR(INDEX(tblDados[Liga],MATCH($A830,TRIM(tblDados[Mandante]),0)),INDEX(tblDados[Liga],MATCH($A830,TRIM(tblDados[Visitante]),0))),_xlpm.p&amp;" - "&amp;_xlpm.l))</f>
        <v/>
      </c>
      <c r="C830" s="14" t="str">
        <f t="shared" si="210"/>
        <v/>
      </c>
      <c r="D830" s="14" t="str">
        <f t="shared" si="211"/>
        <v/>
      </c>
      <c r="E830" s="15" t="str" cm="1">
        <f t="array" ref="E830">IF($A830="","",SUMPRODUCT((TRIM(tblDados[Mandante])=$A830)*tblDados[Primeira_Ocorrencia]))</f>
        <v/>
      </c>
      <c r="F830" s="15" t="str" cm="1">
        <f t="array" ref="F830">IF($A830="","",SUMPRODUCT((TRIM(tblDados[Visitante])=$A830)*tblDados[Primeira_Ocorrencia]))</f>
        <v/>
      </c>
      <c r="G830" s="15" t="str" cm="1">
        <f t="array" ref="G830">IF($A830="","",SUMPRODUCT((TRIM(tblDados[Mandante])=$A830)*tblDados[Primeira_Ocorrencia])+SUMPRODUCT((TRIM(tblDados[Visitante])=$A830)*tblDados[Primeira_Ocorrencia]))</f>
        <v/>
      </c>
      <c r="H830" s="14" t="str">
        <f t="shared" si="212"/>
        <v/>
      </c>
      <c r="I830" s="14" t="str" cm="1">
        <f t="array" ref="I830">IF($A830="","",_xlfn.LET(_xlpm.p,IFERROR(INDEX(tblDados[País],MATCH($A830,TRIM(tblDados[Mandante]),0)),INDEX(tblDados[País],MATCH($A830,TRIM(tblDados[Visitante]),0))),_xlpm.l,IFERROR(INDEX(tblDados[Liga],MATCH($A830,TRIM(tblDados[Mandante]),0)),INDEX(tblDados[Liga],MATCH($A830,TRIM(tblDados[Visitante]),0))),IFERROR(SUMIFS(Ligas!$D$2:$D$39,Ligas!$H$2:$H$39,_xlpm.p,Ligas!$I$2:$I$39,_xlpm.l),0)))</f>
        <v/>
      </c>
      <c r="J830" s="16" t="str" cm="1">
        <f t="array" ref="J830">IF($A830="","",IFERROR((SUMPRODUCT((TRIM(tblDados[Mandante])=$A830)*tblDados[Primeira_Ocorrencia]*(tblDados[GM_M]=0))+SUMPRODUCT((TRIM(tblDados[Visitante])=$A830)*tblDados[Primeira_Ocorrencia]*(tblDados[GM_V]=0)))/G830,0))</f>
        <v/>
      </c>
      <c r="K830" s="16" t="str" cm="1">
        <f t="array" ref="K830">IF($A830="","",IFERROR((SUMPRODUCT((TRIM(tblDados[Mandante])=$A830)*tblDados[Primeira_Ocorrencia]*((tblDados[GM_M]+tblDados[GS_M])&gt;0.5))+SUMPRODUCT((TRIM(tblDados[Visitante])=$A830)*tblDados[Primeira_Ocorrencia]*((tblDados[GM_V]+tblDados[GS_V])&gt;0.5)))/G830,0))</f>
        <v/>
      </c>
      <c r="L830" s="16" t="str" cm="1">
        <f t="array" ref="L830">IF($A830="","",IFERROR((SUMPRODUCT((TRIM(tblDados[Mandante])=$A830)*tblDados[Primeira_Ocorrencia]*((tblDados[GM_M]+tblDados[GS_M])&gt;1.5))+SUMPRODUCT((TRIM(tblDados[Visitante])=$A830)*tblDados[Primeira_Ocorrencia]*((tblDados[GM_V]+tblDados[GS_V])&gt;1.5)))/G830,0))</f>
        <v/>
      </c>
      <c r="M830" s="16" t="str" cm="1">
        <f t="array" ref="M830">IF($A830="","",IFERROR((SUMPRODUCT((TRIM(tblDados[Mandante])=$A830)*tblDados[Primeira_Ocorrencia]*((tblDados[GM_M]+tblDados[GS_M])&gt;2.5))+SUMPRODUCT((TRIM(tblDados[Visitante])=$A830)*tblDados[Primeira_Ocorrencia]*((tblDados[GM_V]+tblDados[GS_V])&gt;2.5)))/G830,0))</f>
        <v/>
      </c>
      <c r="N830" s="16" t="str" cm="1">
        <f t="array" ref="N830">IF($A830="","",IFERROR((SUMPRODUCT((TRIM(tblDados[Mandante])=$A830)*tblDados[Primeira_Ocorrencia]*((tblDados[GM_M]+tblDados[GS_M])&gt;3.5))+SUMPRODUCT((TRIM(tblDados[Visitante])=$A830)*tblDados[Primeira_Ocorrencia]*((tblDados[GM_V]+tblDados[GS_V])&gt;3.5)))/G830,0))</f>
        <v/>
      </c>
      <c r="O830" s="16" t="str" cm="1">
        <f t="array" ref="O830">IF($A830="","",IFERROR((SUMPRODUCT((TRIM(tblDados[Mandante])=$A830)*tblDados[Primeira_Ocorrencia]*(tblDados[GM_M]&gt;0)*(tblDados[GS_M]&gt;0))+SUMPRODUCT((TRIM(tblDados[Visitante])=$A830)*tblDados[Primeira_Ocorrencia]*(tblDados[GM_V]&gt;0)*(tblDados[GS_V]&gt;0)))/G830,0))</f>
        <v/>
      </c>
      <c r="P830" s="14" t="str" cm="1">
        <f t="array" ref="P830">IF($A830="","",IFERROR((SUMPRODUCT((TRIM(tblDados[Mandante])=$A830)*tblDados[Primeira_Ocorrencia]*tblDados[GM_M]^2)+SUMPRODUCT((TRIM(tblDados[Visitante])=$A830)*tblDados[Primeira_Ocorrencia]*tblDados[GM_V]^2))/G830-H830^2,0))</f>
        <v/>
      </c>
      <c r="Q830" s="14" t="str">
        <f t="shared" si="213"/>
        <v/>
      </c>
      <c r="R830" s="1" t="str">
        <f t="shared" si="214"/>
        <v/>
      </c>
      <c r="S830" s="14" t="str" cm="1">
        <f t="array" ref="S830">IF($A830="","",SUMPRODUCT((TRIM(tblDados[Mandante])=$A830)*tblDados[Primeira_Ocorrencia]*tblDados[GM_M]))</f>
        <v/>
      </c>
      <c r="T830" s="14" t="str" cm="1">
        <f t="array" ref="T830">IF($A830="","",SUMPRODUCT((TRIM(tblDados[Visitante])=$A830)*tblDados[Primeira_Ocorrencia]*tblDados[GM_V]))</f>
        <v/>
      </c>
      <c r="U830" s="14" t="str">
        <f t="shared" si="215"/>
        <v/>
      </c>
      <c r="V830" s="14" t="str">
        <f t="shared" si="204"/>
        <v/>
      </c>
      <c r="W830" s="14" t="str" cm="1">
        <f t="array" ref="W830">IF($A830="","",SUMPRODUCT((TRIM(tblDados[Mandante])=$A830)*tblDados[Primeira_Ocorrencia]*tblDados[GS_M]))</f>
        <v/>
      </c>
      <c r="X830" s="14" t="str" cm="1">
        <f t="array" ref="X830">IF($A830="","",SUMPRODUCT((TRIM(tblDados[Visitante])=$A830)*tblDados[Primeira_Ocorrencia]*tblDados[GS_V]))</f>
        <v/>
      </c>
      <c r="Y830" s="14" t="str">
        <f t="shared" si="216"/>
        <v/>
      </c>
      <c r="Z830" s="14" t="str">
        <f t="shared" si="205"/>
        <v/>
      </c>
      <c r="AA830" s="14" t="str">
        <f t="shared" si="206"/>
        <v/>
      </c>
      <c r="AB830" s="14" t="str">
        <f t="shared" si="207"/>
        <v/>
      </c>
      <c r="AC830" s="14" t="str">
        <f t="shared" si="208"/>
        <v/>
      </c>
      <c r="AD830" s="14" t="str">
        <f t="shared" si="209"/>
        <v/>
      </c>
    </row>
    <row r="831" spans="2:30" x14ac:dyDescent="0.3">
      <c r="B831" s="13" t="str" cm="1">
        <f t="array" ref="B831">IF($A831="","",_xlfn.LET(_xlpm.p,IFERROR(INDEX(tblDados[País],MATCH($A831,TRIM(tblDados[Mandante]),0)),INDEX(tblDados[País],MATCH($A831,TRIM(tblDados[Visitante]),0))),_xlpm.l,IFERROR(INDEX(tblDados[Liga],MATCH($A831,TRIM(tblDados[Mandante]),0)),INDEX(tblDados[Liga],MATCH($A831,TRIM(tblDados[Visitante]),0))),_xlpm.p&amp;" - "&amp;_xlpm.l))</f>
        <v/>
      </c>
      <c r="C831" s="14" t="str">
        <f t="shared" si="210"/>
        <v/>
      </c>
      <c r="D831" s="14" t="str">
        <f t="shared" si="211"/>
        <v/>
      </c>
      <c r="E831" s="15" t="str" cm="1">
        <f t="array" ref="E831">IF($A831="","",SUMPRODUCT((TRIM(tblDados[Mandante])=$A831)*tblDados[Primeira_Ocorrencia]))</f>
        <v/>
      </c>
      <c r="F831" s="15" t="str" cm="1">
        <f t="array" ref="F831">IF($A831="","",SUMPRODUCT((TRIM(tblDados[Visitante])=$A831)*tblDados[Primeira_Ocorrencia]))</f>
        <v/>
      </c>
      <c r="G831" s="15" t="str" cm="1">
        <f t="array" ref="G831">IF($A831="","",SUMPRODUCT((TRIM(tblDados[Mandante])=$A831)*tblDados[Primeira_Ocorrencia])+SUMPRODUCT((TRIM(tblDados[Visitante])=$A831)*tblDados[Primeira_Ocorrencia]))</f>
        <v/>
      </c>
      <c r="H831" s="14" t="str">
        <f t="shared" si="212"/>
        <v/>
      </c>
      <c r="I831" s="14" t="str" cm="1">
        <f t="array" ref="I831">IF($A831="","",_xlfn.LET(_xlpm.p,IFERROR(INDEX(tblDados[País],MATCH($A831,TRIM(tblDados[Mandante]),0)),INDEX(tblDados[País],MATCH($A831,TRIM(tblDados[Visitante]),0))),_xlpm.l,IFERROR(INDEX(tblDados[Liga],MATCH($A831,TRIM(tblDados[Mandante]),0)),INDEX(tblDados[Liga],MATCH($A831,TRIM(tblDados[Visitante]),0))),IFERROR(SUMIFS(Ligas!$D$2:$D$39,Ligas!$H$2:$H$39,_xlpm.p,Ligas!$I$2:$I$39,_xlpm.l),0)))</f>
        <v/>
      </c>
      <c r="J831" s="16" t="str" cm="1">
        <f t="array" ref="J831">IF($A831="","",IFERROR((SUMPRODUCT((TRIM(tblDados[Mandante])=$A831)*tblDados[Primeira_Ocorrencia]*(tblDados[GM_M]=0))+SUMPRODUCT((TRIM(tblDados[Visitante])=$A831)*tblDados[Primeira_Ocorrencia]*(tblDados[GM_V]=0)))/G831,0))</f>
        <v/>
      </c>
      <c r="K831" s="16" t="str" cm="1">
        <f t="array" ref="K831">IF($A831="","",IFERROR((SUMPRODUCT((TRIM(tblDados[Mandante])=$A831)*tblDados[Primeira_Ocorrencia]*((tblDados[GM_M]+tblDados[GS_M])&gt;0.5))+SUMPRODUCT((TRIM(tblDados[Visitante])=$A831)*tblDados[Primeira_Ocorrencia]*((tblDados[GM_V]+tblDados[GS_V])&gt;0.5)))/G831,0))</f>
        <v/>
      </c>
      <c r="L831" s="16" t="str" cm="1">
        <f t="array" ref="L831">IF($A831="","",IFERROR((SUMPRODUCT((TRIM(tblDados[Mandante])=$A831)*tblDados[Primeira_Ocorrencia]*((tblDados[GM_M]+tblDados[GS_M])&gt;1.5))+SUMPRODUCT((TRIM(tblDados[Visitante])=$A831)*tblDados[Primeira_Ocorrencia]*((tblDados[GM_V]+tblDados[GS_V])&gt;1.5)))/G831,0))</f>
        <v/>
      </c>
      <c r="M831" s="16" t="str" cm="1">
        <f t="array" ref="M831">IF($A831="","",IFERROR((SUMPRODUCT((TRIM(tblDados[Mandante])=$A831)*tblDados[Primeira_Ocorrencia]*((tblDados[GM_M]+tblDados[GS_M])&gt;2.5))+SUMPRODUCT((TRIM(tblDados[Visitante])=$A831)*tblDados[Primeira_Ocorrencia]*((tblDados[GM_V]+tblDados[GS_V])&gt;2.5)))/G831,0))</f>
        <v/>
      </c>
      <c r="N831" s="16" t="str" cm="1">
        <f t="array" ref="N831">IF($A831="","",IFERROR((SUMPRODUCT((TRIM(tblDados[Mandante])=$A831)*tblDados[Primeira_Ocorrencia]*((tblDados[GM_M]+tblDados[GS_M])&gt;3.5))+SUMPRODUCT((TRIM(tblDados[Visitante])=$A831)*tblDados[Primeira_Ocorrencia]*((tblDados[GM_V]+tblDados[GS_V])&gt;3.5)))/G831,0))</f>
        <v/>
      </c>
      <c r="O831" s="16" t="str" cm="1">
        <f t="array" ref="O831">IF($A831="","",IFERROR((SUMPRODUCT((TRIM(tblDados[Mandante])=$A831)*tblDados[Primeira_Ocorrencia]*(tblDados[GM_M]&gt;0)*(tblDados[GS_M]&gt;0))+SUMPRODUCT((TRIM(tblDados[Visitante])=$A831)*tblDados[Primeira_Ocorrencia]*(tblDados[GM_V]&gt;0)*(tblDados[GS_V]&gt;0)))/G831,0))</f>
        <v/>
      </c>
      <c r="P831" s="14" t="str" cm="1">
        <f t="array" ref="P831">IF($A831="","",IFERROR((SUMPRODUCT((TRIM(tblDados[Mandante])=$A831)*tblDados[Primeira_Ocorrencia]*tblDados[GM_M]^2)+SUMPRODUCT((TRIM(tblDados[Visitante])=$A831)*tblDados[Primeira_Ocorrencia]*tblDados[GM_V]^2))/G831-H831^2,0))</f>
        <v/>
      </c>
      <c r="Q831" s="14" t="str">
        <f t="shared" si="213"/>
        <v/>
      </c>
      <c r="R831" s="1" t="str">
        <f t="shared" si="214"/>
        <v/>
      </c>
      <c r="S831" s="14" t="str" cm="1">
        <f t="array" ref="S831">IF($A831="","",SUMPRODUCT((TRIM(tblDados[Mandante])=$A831)*tblDados[Primeira_Ocorrencia]*tblDados[GM_M]))</f>
        <v/>
      </c>
      <c r="T831" s="14" t="str" cm="1">
        <f t="array" ref="T831">IF($A831="","",SUMPRODUCT((TRIM(tblDados[Visitante])=$A831)*tblDados[Primeira_Ocorrencia]*tblDados[GM_V]))</f>
        <v/>
      </c>
      <c r="U831" s="14" t="str">
        <f t="shared" si="215"/>
        <v/>
      </c>
      <c r="V831" s="14" t="str">
        <f t="shared" si="204"/>
        <v/>
      </c>
      <c r="W831" s="14" t="str" cm="1">
        <f t="array" ref="W831">IF($A831="","",SUMPRODUCT((TRIM(tblDados[Mandante])=$A831)*tblDados[Primeira_Ocorrencia]*tblDados[GS_M]))</f>
        <v/>
      </c>
      <c r="X831" s="14" t="str" cm="1">
        <f t="array" ref="X831">IF($A831="","",SUMPRODUCT((TRIM(tblDados[Visitante])=$A831)*tblDados[Primeira_Ocorrencia]*tblDados[GS_V]))</f>
        <v/>
      </c>
      <c r="Y831" s="14" t="str">
        <f t="shared" si="216"/>
        <v/>
      </c>
      <c r="Z831" s="14" t="str">
        <f t="shared" si="205"/>
        <v/>
      </c>
      <c r="AA831" s="14" t="str">
        <f t="shared" si="206"/>
        <v/>
      </c>
      <c r="AB831" s="14" t="str">
        <f t="shared" si="207"/>
        <v/>
      </c>
      <c r="AC831" s="14" t="str">
        <f t="shared" si="208"/>
        <v/>
      </c>
      <c r="AD831" s="14" t="str">
        <f t="shared" si="209"/>
        <v/>
      </c>
    </row>
    <row r="832" spans="2:30" x14ac:dyDescent="0.3">
      <c r="B832" s="13" t="str" cm="1">
        <f t="array" ref="B832">IF($A832="","",_xlfn.LET(_xlpm.p,IFERROR(INDEX(tblDados[País],MATCH($A832,TRIM(tblDados[Mandante]),0)),INDEX(tblDados[País],MATCH($A832,TRIM(tblDados[Visitante]),0))),_xlpm.l,IFERROR(INDEX(tblDados[Liga],MATCH($A832,TRIM(tblDados[Mandante]),0)),INDEX(tblDados[Liga],MATCH($A832,TRIM(tblDados[Visitante]),0))),_xlpm.p&amp;" - "&amp;_xlpm.l))</f>
        <v/>
      </c>
      <c r="C832" s="14" t="str">
        <f t="shared" si="210"/>
        <v/>
      </c>
      <c r="D832" s="14" t="str">
        <f t="shared" si="211"/>
        <v/>
      </c>
      <c r="E832" s="15" t="str" cm="1">
        <f t="array" ref="E832">IF($A832="","",SUMPRODUCT((TRIM(tblDados[Mandante])=$A832)*tblDados[Primeira_Ocorrencia]))</f>
        <v/>
      </c>
      <c r="F832" s="15" t="str" cm="1">
        <f t="array" ref="F832">IF($A832="","",SUMPRODUCT((TRIM(tblDados[Visitante])=$A832)*tblDados[Primeira_Ocorrencia]))</f>
        <v/>
      </c>
      <c r="G832" s="15" t="str" cm="1">
        <f t="array" ref="G832">IF($A832="","",SUMPRODUCT((TRIM(tblDados[Mandante])=$A832)*tblDados[Primeira_Ocorrencia])+SUMPRODUCT((TRIM(tblDados[Visitante])=$A832)*tblDados[Primeira_Ocorrencia]))</f>
        <v/>
      </c>
      <c r="H832" s="14" t="str">
        <f t="shared" si="212"/>
        <v/>
      </c>
      <c r="I832" s="14" t="str" cm="1">
        <f t="array" ref="I832">IF($A832="","",_xlfn.LET(_xlpm.p,IFERROR(INDEX(tblDados[País],MATCH($A832,TRIM(tblDados[Mandante]),0)),INDEX(tblDados[País],MATCH($A832,TRIM(tblDados[Visitante]),0))),_xlpm.l,IFERROR(INDEX(tblDados[Liga],MATCH($A832,TRIM(tblDados[Mandante]),0)),INDEX(tblDados[Liga],MATCH($A832,TRIM(tblDados[Visitante]),0))),IFERROR(SUMIFS(Ligas!$D$2:$D$39,Ligas!$H$2:$H$39,_xlpm.p,Ligas!$I$2:$I$39,_xlpm.l),0)))</f>
        <v/>
      </c>
      <c r="J832" s="16" t="str" cm="1">
        <f t="array" ref="J832">IF($A832="","",IFERROR((SUMPRODUCT((TRIM(tblDados[Mandante])=$A832)*tblDados[Primeira_Ocorrencia]*(tblDados[GM_M]=0))+SUMPRODUCT((TRIM(tblDados[Visitante])=$A832)*tblDados[Primeira_Ocorrencia]*(tblDados[GM_V]=0)))/G832,0))</f>
        <v/>
      </c>
      <c r="K832" s="16" t="str" cm="1">
        <f t="array" ref="K832">IF($A832="","",IFERROR((SUMPRODUCT((TRIM(tblDados[Mandante])=$A832)*tblDados[Primeira_Ocorrencia]*((tblDados[GM_M]+tblDados[GS_M])&gt;0.5))+SUMPRODUCT((TRIM(tblDados[Visitante])=$A832)*tblDados[Primeira_Ocorrencia]*((tblDados[GM_V]+tblDados[GS_V])&gt;0.5)))/G832,0))</f>
        <v/>
      </c>
      <c r="L832" s="16" t="str" cm="1">
        <f t="array" ref="L832">IF($A832="","",IFERROR((SUMPRODUCT((TRIM(tblDados[Mandante])=$A832)*tblDados[Primeira_Ocorrencia]*((tblDados[GM_M]+tblDados[GS_M])&gt;1.5))+SUMPRODUCT((TRIM(tblDados[Visitante])=$A832)*tblDados[Primeira_Ocorrencia]*((tblDados[GM_V]+tblDados[GS_V])&gt;1.5)))/G832,0))</f>
        <v/>
      </c>
      <c r="M832" s="16" t="str" cm="1">
        <f t="array" ref="M832">IF($A832="","",IFERROR((SUMPRODUCT((TRIM(tblDados[Mandante])=$A832)*tblDados[Primeira_Ocorrencia]*((tblDados[GM_M]+tblDados[GS_M])&gt;2.5))+SUMPRODUCT((TRIM(tblDados[Visitante])=$A832)*tblDados[Primeira_Ocorrencia]*((tblDados[GM_V]+tblDados[GS_V])&gt;2.5)))/G832,0))</f>
        <v/>
      </c>
      <c r="N832" s="16" t="str" cm="1">
        <f t="array" ref="N832">IF($A832="","",IFERROR((SUMPRODUCT((TRIM(tblDados[Mandante])=$A832)*tblDados[Primeira_Ocorrencia]*((tblDados[GM_M]+tblDados[GS_M])&gt;3.5))+SUMPRODUCT((TRIM(tblDados[Visitante])=$A832)*tblDados[Primeira_Ocorrencia]*((tblDados[GM_V]+tblDados[GS_V])&gt;3.5)))/G832,0))</f>
        <v/>
      </c>
      <c r="O832" s="16" t="str" cm="1">
        <f t="array" ref="O832">IF($A832="","",IFERROR((SUMPRODUCT((TRIM(tblDados[Mandante])=$A832)*tblDados[Primeira_Ocorrencia]*(tblDados[GM_M]&gt;0)*(tblDados[GS_M]&gt;0))+SUMPRODUCT((TRIM(tblDados[Visitante])=$A832)*tblDados[Primeira_Ocorrencia]*(tblDados[GM_V]&gt;0)*(tblDados[GS_V]&gt;0)))/G832,0))</f>
        <v/>
      </c>
      <c r="P832" s="14" t="str" cm="1">
        <f t="array" ref="P832">IF($A832="","",IFERROR((SUMPRODUCT((TRIM(tblDados[Mandante])=$A832)*tblDados[Primeira_Ocorrencia]*tblDados[GM_M]^2)+SUMPRODUCT((TRIM(tblDados[Visitante])=$A832)*tblDados[Primeira_Ocorrencia]*tblDados[GM_V]^2))/G832-H832^2,0))</f>
        <v/>
      </c>
      <c r="Q832" s="14" t="str">
        <f t="shared" si="213"/>
        <v/>
      </c>
      <c r="R832" s="1" t="str">
        <f t="shared" si="214"/>
        <v/>
      </c>
      <c r="S832" s="14" t="str" cm="1">
        <f t="array" ref="S832">IF($A832="","",SUMPRODUCT((TRIM(tblDados[Mandante])=$A832)*tblDados[Primeira_Ocorrencia]*tblDados[GM_M]))</f>
        <v/>
      </c>
      <c r="T832" s="14" t="str" cm="1">
        <f t="array" ref="T832">IF($A832="","",SUMPRODUCT((TRIM(tblDados[Visitante])=$A832)*tblDados[Primeira_Ocorrencia]*tblDados[GM_V]))</f>
        <v/>
      </c>
      <c r="U832" s="14" t="str">
        <f t="shared" si="215"/>
        <v/>
      </c>
      <c r="V832" s="14" t="str">
        <f t="shared" si="204"/>
        <v/>
      </c>
      <c r="W832" s="14" t="str" cm="1">
        <f t="array" ref="W832">IF($A832="","",SUMPRODUCT((TRIM(tblDados[Mandante])=$A832)*tblDados[Primeira_Ocorrencia]*tblDados[GS_M]))</f>
        <v/>
      </c>
      <c r="X832" s="14" t="str" cm="1">
        <f t="array" ref="X832">IF($A832="","",SUMPRODUCT((TRIM(tblDados[Visitante])=$A832)*tblDados[Primeira_Ocorrencia]*tblDados[GS_V]))</f>
        <v/>
      </c>
      <c r="Y832" s="14" t="str">
        <f t="shared" si="216"/>
        <v/>
      </c>
      <c r="Z832" s="14" t="str">
        <f t="shared" si="205"/>
        <v/>
      </c>
      <c r="AA832" s="14" t="str">
        <f t="shared" si="206"/>
        <v/>
      </c>
      <c r="AB832" s="14" t="str">
        <f t="shared" si="207"/>
        <v/>
      </c>
      <c r="AC832" s="14" t="str">
        <f t="shared" si="208"/>
        <v/>
      </c>
      <c r="AD832" s="14" t="str">
        <f t="shared" si="209"/>
        <v/>
      </c>
    </row>
    <row r="833" spans="2:30" x14ac:dyDescent="0.3">
      <c r="B833" s="13" t="str" cm="1">
        <f t="array" ref="B833">IF($A833="","",_xlfn.LET(_xlpm.p,IFERROR(INDEX(tblDados[País],MATCH($A833,TRIM(tblDados[Mandante]),0)),INDEX(tblDados[País],MATCH($A833,TRIM(tblDados[Visitante]),0))),_xlpm.l,IFERROR(INDEX(tblDados[Liga],MATCH($A833,TRIM(tblDados[Mandante]),0)),INDEX(tblDados[Liga],MATCH($A833,TRIM(tblDados[Visitante]),0))),_xlpm.p&amp;" - "&amp;_xlpm.l))</f>
        <v/>
      </c>
      <c r="C833" s="14" t="str">
        <f t="shared" si="210"/>
        <v/>
      </c>
      <c r="D833" s="14" t="str">
        <f t="shared" si="211"/>
        <v/>
      </c>
      <c r="E833" s="15" t="str" cm="1">
        <f t="array" ref="E833">IF($A833="","",SUMPRODUCT((TRIM(tblDados[Mandante])=$A833)*tblDados[Primeira_Ocorrencia]))</f>
        <v/>
      </c>
      <c r="F833" s="15" t="str" cm="1">
        <f t="array" ref="F833">IF($A833="","",SUMPRODUCT((TRIM(tblDados[Visitante])=$A833)*tblDados[Primeira_Ocorrencia]))</f>
        <v/>
      </c>
      <c r="G833" s="15" t="str" cm="1">
        <f t="array" ref="G833">IF($A833="","",SUMPRODUCT((TRIM(tblDados[Mandante])=$A833)*tblDados[Primeira_Ocorrencia])+SUMPRODUCT((TRIM(tblDados[Visitante])=$A833)*tblDados[Primeira_Ocorrencia]))</f>
        <v/>
      </c>
      <c r="H833" s="14" t="str">
        <f t="shared" si="212"/>
        <v/>
      </c>
      <c r="I833" s="14" t="str" cm="1">
        <f t="array" ref="I833">IF($A833="","",_xlfn.LET(_xlpm.p,IFERROR(INDEX(tblDados[País],MATCH($A833,TRIM(tblDados[Mandante]),0)),INDEX(tblDados[País],MATCH($A833,TRIM(tblDados[Visitante]),0))),_xlpm.l,IFERROR(INDEX(tblDados[Liga],MATCH($A833,TRIM(tblDados[Mandante]),0)),INDEX(tblDados[Liga],MATCH($A833,TRIM(tblDados[Visitante]),0))),IFERROR(SUMIFS(Ligas!$D$2:$D$39,Ligas!$H$2:$H$39,_xlpm.p,Ligas!$I$2:$I$39,_xlpm.l),0)))</f>
        <v/>
      </c>
      <c r="J833" s="16" t="str" cm="1">
        <f t="array" ref="J833">IF($A833="","",IFERROR((SUMPRODUCT((TRIM(tblDados[Mandante])=$A833)*tblDados[Primeira_Ocorrencia]*(tblDados[GM_M]=0))+SUMPRODUCT((TRIM(tblDados[Visitante])=$A833)*tblDados[Primeira_Ocorrencia]*(tblDados[GM_V]=0)))/G833,0))</f>
        <v/>
      </c>
      <c r="K833" s="16" t="str" cm="1">
        <f t="array" ref="K833">IF($A833="","",IFERROR((SUMPRODUCT((TRIM(tblDados[Mandante])=$A833)*tblDados[Primeira_Ocorrencia]*((tblDados[GM_M]+tblDados[GS_M])&gt;0.5))+SUMPRODUCT((TRIM(tblDados[Visitante])=$A833)*tblDados[Primeira_Ocorrencia]*((tblDados[GM_V]+tblDados[GS_V])&gt;0.5)))/G833,0))</f>
        <v/>
      </c>
      <c r="L833" s="16" t="str" cm="1">
        <f t="array" ref="L833">IF($A833="","",IFERROR((SUMPRODUCT((TRIM(tblDados[Mandante])=$A833)*tblDados[Primeira_Ocorrencia]*((tblDados[GM_M]+tblDados[GS_M])&gt;1.5))+SUMPRODUCT((TRIM(tblDados[Visitante])=$A833)*tblDados[Primeira_Ocorrencia]*((tblDados[GM_V]+tblDados[GS_V])&gt;1.5)))/G833,0))</f>
        <v/>
      </c>
      <c r="M833" s="16" t="str" cm="1">
        <f t="array" ref="M833">IF($A833="","",IFERROR((SUMPRODUCT((TRIM(tblDados[Mandante])=$A833)*tblDados[Primeira_Ocorrencia]*((tblDados[GM_M]+tblDados[GS_M])&gt;2.5))+SUMPRODUCT((TRIM(tblDados[Visitante])=$A833)*tblDados[Primeira_Ocorrencia]*((tblDados[GM_V]+tblDados[GS_V])&gt;2.5)))/G833,0))</f>
        <v/>
      </c>
      <c r="N833" s="16" t="str" cm="1">
        <f t="array" ref="N833">IF($A833="","",IFERROR((SUMPRODUCT((TRIM(tblDados[Mandante])=$A833)*tblDados[Primeira_Ocorrencia]*((tblDados[GM_M]+tblDados[GS_M])&gt;3.5))+SUMPRODUCT((TRIM(tblDados[Visitante])=$A833)*tblDados[Primeira_Ocorrencia]*((tblDados[GM_V]+tblDados[GS_V])&gt;3.5)))/G833,0))</f>
        <v/>
      </c>
      <c r="O833" s="16" t="str" cm="1">
        <f t="array" ref="O833">IF($A833="","",IFERROR((SUMPRODUCT((TRIM(tblDados[Mandante])=$A833)*tblDados[Primeira_Ocorrencia]*(tblDados[GM_M]&gt;0)*(tblDados[GS_M]&gt;0))+SUMPRODUCT((TRIM(tblDados[Visitante])=$A833)*tblDados[Primeira_Ocorrencia]*(tblDados[GM_V]&gt;0)*(tblDados[GS_V]&gt;0)))/G833,0))</f>
        <v/>
      </c>
      <c r="P833" s="14" t="str" cm="1">
        <f t="array" ref="P833">IF($A833="","",IFERROR((SUMPRODUCT((TRIM(tblDados[Mandante])=$A833)*tblDados[Primeira_Ocorrencia]*tblDados[GM_M]^2)+SUMPRODUCT((TRIM(tblDados[Visitante])=$A833)*tblDados[Primeira_Ocorrencia]*tblDados[GM_V]^2))/G833-H833^2,0))</f>
        <v/>
      </c>
      <c r="Q833" s="14" t="str">
        <f t="shared" si="213"/>
        <v/>
      </c>
      <c r="R833" s="1" t="str">
        <f t="shared" si="214"/>
        <v/>
      </c>
      <c r="S833" s="14" t="str" cm="1">
        <f t="array" ref="S833">IF($A833="","",SUMPRODUCT((TRIM(tblDados[Mandante])=$A833)*tblDados[Primeira_Ocorrencia]*tblDados[GM_M]))</f>
        <v/>
      </c>
      <c r="T833" s="14" t="str" cm="1">
        <f t="array" ref="T833">IF($A833="","",SUMPRODUCT((TRIM(tblDados[Visitante])=$A833)*tblDados[Primeira_Ocorrencia]*tblDados[GM_V]))</f>
        <v/>
      </c>
      <c r="U833" s="14" t="str">
        <f t="shared" si="215"/>
        <v/>
      </c>
      <c r="V833" s="14" t="str">
        <f t="shared" si="204"/>
        <v/>
      </c>
      <c r="W833" s="14" t="str" cm="1">
        <f t="array" ref="W833">IF($A833="","",SUMPRODUCT((TRIM(tblDados[Mandante])=$A833)*tblDados[Primeira_Ocorrencia]*tblDados[GS_M]))</f>
        <v/>
      </c>
      <c r="X833" s="14" t="str" cm="1">
        <f t="array" ref="X833">IF($A833="","",SUMPRODUCT((TRIM(tblDados[Visitante])=$A833)*tblDados[Primeira_Ocorrencia]*tblDados[GS_V]))</f>
        <v/>
      </c>
      <c r="Y833" s="14" t="str">
        <f t="shared" si="216"/>
        <v/>
      </c>
      <c r="Z833" s="14" t="str">
        <f t="shared" si="205"/>
        <v/>
      </c>
      <c r="AA833" s="14" t="str">
        <f t="shared" si="206"/>
        <v/>
      </c>
      <c r="AB833" s="14" t="str">
        <f t="shared" si="207"/>
        <v/>
      </c>
      <c r="AC833" s="14" t="str">
        <f t="shared" si="208"/>
        <v/>
      </c>
      <c r="AD833" s="14" t="str">
        <f t="shared" si="209"/>
        <v/>
      </c>
    </row>
    <row r="834" spans="2:30" x14ac:dyDescent="0.3">
      <c r="B834" s="13" t="str" cm="1">
        <f t="array" ref="B834">IF($A834="","",_xlfn.LET(_xlpm.p,IFERROR(INDEX(tblDados[País],MATCH($A834,TRIM(tblDados[Mandante]),0)),INDEX(tblDados[País],MATCH($A834,TRIM(tblDados[Visitante]),0))),_xlpm.l,IFERROR(INDEX(tblDados[Liga],MATCH($A834,TRIM(tblDados[Mandante]),0)),INDEX(tblDados[Liga],MATCH($A834,TRIM(tblDados[Visitante]),0))),_xlpm.p&amp;" - "&amp;_xlpm.l))</f>
        <v/>
      </c>
      <c r="C834" s="14" t="str">
        <f t="shared" si="210"/>
        <v/>
      </c>
      <c r="D834" s="14" t="str">
        <f t="shared" si="211"/>
        <v/>
      </c>
      <c r="E834" s="15" t="str" cm="1">
        <f t="array" ref="E834">IF($A834="","",SUMPRODUCT((TRIM(tblDados[Mandante])=$A834)*tblDados[Primeira_Ocorrencia]))</f>
        <v/>
      </c>
      <c r="F834" s="15" t="str" cm="1">
        <f t="array" ref="F834">IF($A834="","",SUMPRODUCT((TRIM(tblDados[Visitante])=$A834)*tblDados[Primeira_Ocorrencia]))</f>
        <v/>
      </c>
      <c r="G834" s="15" t="str" cm="1">
        <f t="array" ref="G834">IF($A834="","",SUMPRODUCT((TRIM(tblDados[Mandante])=$A834)*tblDados[Primeira_Ocorrencia])+SUMPRODUCT((TRIM(tblDados[Visitante])=$A834)*tblDados[Primeira_Ocorrencia]))</f>
        <v/>
      </c>
      <c r="H834" s="14" t="str">
        <f t="shared" si="212"/>
        <v/>
      </c>
      <c r="I834" s="14" t="str" cm="1">
        <f t="array" ref="I834">IF($A834="","",_xlfn.LET(_xlpm.p,IFERROR(INDEX(tblDados[País],MATCH($A834,TRIM(tblDados[Mandante]),0)),INDEX(tblDados[País],MATCH($A834,TRIM(tblDados[Visitante]),0))),_xlpm.l,IFERROR(INDEX(tblDados[Liga],MATCH($A834,TRIM(tblDados[Mandante]),0)),INDEX(tblDados[Liga],MATCH($A834,TRIM(tblDados[Visitante]),0))),IFERROR(SUMIFS(Ligas!$D$2:$D$39,Ligas!$H$2:$H$39,_xlpm.p,Ligas!$I$2:$I$39,_xlpm.l),0)))</f>
        <v/>
      </c>
      <c r="J834" s="16" t="str" cm="1">
        <f t="array" ref="J834">IF($A834="","",IFERROR((SUMPRODUCT((TRIM(tblDados[Mandante])=$A834)*tblDados[Primeira_Ocorrencia]*(tblDados[GM_M]=0))+SUMPRODUCT((TRIM(tblDados[Visitante])=$A834)*tblDados[Primeira_Ocorrencia]*(tblDados[GM_V]=0)))/G834,0))</f>
        <v/>
      </c>
      <c r="K834" s="16" t="str" cm="1">
        <f t="array" ref="K834">IF($A834="","",IFERROR((SUMPRODUCT((TRIM(tblDados[Mandante])=$A834)*tblDados[Primeira_Ocorrencia]*((tblDados[GM_M]+tblDados[GS_M])&gt;0.5))+SUMPRODUCT((TRIM(tblDados[Visitante])=$A834)*tblDados[Primeira_Ocorrencia]*((tblDados[GM_V]+tblDados[GS_V])&gt;0.5)))/G834,0))</f>
        <v/>
      </c>
      <c r="L834" s="16" t="str" cm="1">
        <f t="array" ref="L834">IF($A834="","",IFERROR((SUMPRODUCT((TRIM(tblDados[Mandante])=$A834)*tblDados[Primeira_Ocorrencia]*((tblDados[GM_M]+tblDados[GS_M])&gt;1.5))+SUMPRODUCT((TRIM(tblDados[Visitante])=$A834)*tblDados[Primeira_Ocorrencia]*((tblDados[GM_V]+tblDados[GS_V])&gt;1.5)))/G834,0))</f>
        <v/>
      </c>
      <c r="M834" s="16" t="str" cm="1">
        <f t="array" ref="M834">IF($A834="","",IFERROR((SUMPRODUCT((TRIM(tblDados[Mandante])=$A834)*tblDados[Primeira_Ocorrencia]*((tblDados[GM_M]+tblDados[GS_M])&gt;2.5))+SUMPRODUCT((TRIM(tblDados[Visitante])=$A834)*tblDados[Primeira_Ocorrencia]*((tblDados[GM_V]+tblDados[GS_V])&gt;2.5)))/G834,0))</f>
        <v/>
      </c>
      <c r="N834" s="16" t="str" cm="1">
        <f t="array" ref="N834">IF($A834="","",IFERROR((SUMPRODUCT((TRIM(tblDados[Mandante])=$A834)*tblDados[Primeira_Ocorrencia]*((tblDados[GM_M]+tblDados[GS_M])&gt;3.5))+SUMPRODUCT((TRIM(tblDados[Visitante])=$A834)*tblDados[Primeira_Ocorrencia]*((tblDados[GM_V]+tblDados[GS_V])&gt;3.5)))/G834,0))</f>
        <v/>
      </c>
      <c r="O834" s="16" t="str" cm="1">
        <f t="array" ref="O834">IF($A834="","",IFERROR((SUMPRODUCT((TRIM(tblDados[Mandante])=$A834)*tblDados[Primeira_Ocorrencia]*(tblDados[GM_M]&gt;0)*(tblDados[GS_M]&gt;0))+SUMPRODUCT((TRIM(tblDados[Visitante])=$A834)*tblDados[Primeira_Ocorrencia]*(tblDados[GM_V]&gt;0)*(tblDados[GS_V]&gt;0)))/G834,0))</f>
        <v/>
      </c>
      <c r="P834" s="14" t="str" cm="1">
        <f t="array" ref="P834">IF($A834="","",IFERROR((SUMPRODUCT((TRIM(tblDados[Mandante])=$A834)*tblDados[Primeira_Ocorrencia]*tblDados[GM_M]^2)+SUMPRODUCT((TRIM(tblDados[Visitante])=$A834)*tblDados[Primeira_Ocorrencia]*tblDados[GM_V]^2))/G834-H834^2,0))</f>
        <v/>
      </c>
      <c r="Q834" s="14" t="str">
        <f t="shared" si="213"/>
        <v/>
      </c>
      <c r="R834" s="1" t="str">
        <f t="shared" si="214"/>
        <v/>
      </c>
      <c r="S834" s="14" t="str" cm="1">
        <f t="array" ref="S834">IF($A834="","",SUMPRODUCT((TRIM(tblDados[Mandante])=$A834)*tblDados[Primeira_Ocorrencia]*tblDados[GM_M]))</f>
        <v/>
      </c>
      <c r="T834" s="14" t="str" cm="1">
        <f t="array" ref="T834">IF($A834="","",SUMPRODUCT((TRIM(tblDados[Visitante])=$A834)*tblDados[Primeira_Ocorrencia]*tblDados[GM_V]))</f>
        <v/>
      </c>
      <c r="U834" s="14" t="str">
        <f t="shared" si="215"/>
        <v/>
      </c>
      <c r="V834" s="14" t="str">
        <f t="shared" ref="V834:V897" si="217">IF($A834="","",IFERROR(U834/G834,0))</f>
        <v/>
      </c>
      <c r="W834" s="14" t="str" cm="1">
        <f t="array" ref="W834">IF($A834="","",SUMPRODUCT((TRIM(tblDados[Mandante])=$A834)*tblDados[Primeira_Ocorrencia]*tblDados[GS_M]))</f>
        <v/>
      </c>
      <c r="X834" s="14" t="str" cm="1">
        <f t="array" ref="X834">IF($A834="","",SUMPRODUCT((TRIM(tblDados[Visitante])=$A834)*tblDados[Primeira_Ocorrencia]*tblDados[GS_V]))</f>
        <v/>
      </c>
      <c r="Y834" s="14" t="str">
        <f t="shared" si="216"/>
        <v/>
      </c>
      <c r="Z834" s="14" t="str">
        <f t="shared" ref="Z834:Z897" si="218">IF($A834="","",IFERROR(Y834/G834,0))</f>
        <v/>
      </c>
      <c r="AA834" s="14" t="str">
        <f t="shared" ref="AA834:AA897" si="219">IF($A834="","",IF($E834=0,"",$S834/$E834))</f>
        <v/>
      </c>
      <c r="AB834" s="14" t="str">
        <f t="shared" ref="AB834:AB897" si="220">IF($A834="","",IF($E834=0,"",$W834/$E834))</f>
        <v/>
      </c>
      <c r="AC834" s="14" t="str">
        <f t="shared" ref="AC834:AC897" si="221">IF($A834="","",IF($F834=0,"",$T834/$F834))</f>
        <v/>
      </c>
      <c r="AD834" s="14" t="str">
        <f t="shared" ref="AD834:AD897" si="222">IF($A834="","",IF($F834=0,"",$X834/$F834))</f>
        <v/>
      </c>
    </row>
    <row r="835" spans="2:30" x14ac:dyDescent="0.3">
      <c r="B835" s="13" t="str" cm="1">
        <f t="array" ref="B835">IF($A835="","",_xlfn.LET(_xlpm.p,IFERROR(INDEX(tblDados[País],MATCH($A835,TRIM(tblDados[Mandante]),0)),INDEX(tblDados[País],MATCH($A835,TRIM(tblDados[Visitante]),0))),_xlpm.l,IFERROR(INDEX(tblDados[Liga],MATCH($A835,TRIM(tblDados[Mandante]),0)),INDEX(tblDados[Liga],MATCH($A835,TRIM(tblDados[Visitante]),0))),_xlpm.p&amp;" - "&amp;_xlpm.l))</f>
        <v/>
      </c>
      <c r="C835" s="14" t="str">
        <f t="shared" ref="C835:C898" si="223">IF($A835="","",IF($E835=0,"",$AA835+$AB835))</f>
        <v/>
      </c>
      <c r="D835" s="14" t="str">
        <f t="shared" ref="D835:D898" si="224">IF($A835="","",IF($F835=0,"",$AC835+$AD835))</f>
        <v/>
      </c>
      <c r="E835" s="15" t="str" cm="1">
        <f t="array" ref="E835">IF($A835="","",SUMPRODUCT((TRIM(tblDados[Mandante])=$A835)*tblDados[Primeira_Ocorrencia]))</f>
        <v/>
      </c>
      <c r="F835" s="15" t="str" cm="1">
        <f t="array" ref="F835">IF($A835="","",SUMPRODUCT((TRIM(tblDados[Visitante])=$A835)*tblDados[Primeira_Ocorrencia]))</f>
        <v/>
      </c>
      <c r="G835" s="15" t="str" cm="1">
        <f t="array" ref="G835">IF($A835="","",SUMPRODUCT((TRIM(tblDados[Mandante])=$A835)*tblDados[Primeira_Ocorrencia])+SUMPRODUCT((TRIM(tblDados[Visitante])=$A835)*tblDados[Primeira_Ocorrencia]))</f>
        <v/>
      </c>
      <c r="H835" s="14" t="str">
        <f t="shared" ref="H835:H898" si="225">IF($A835="","",IFERROR($U835/$G835,0))</f>
        <v/>
      </c>
      <c r="I835" s="14" t="str" cm="1">
        <f t="array" ref="I835">IF($A835="","",_xlfn.LET(_xlpm.p,IFERROR(INDEX(tblDados[País],MATCH($A835,TRIM(tblDados[Mandante]),0)),INDEX(tblDados[País],MATCH($A835,TRIM(tblDados[Visitante]),0))),_xlpm.l,IFERROR(INDEX(tblDados[Liga],MATCH($A835,TRIM(tblDados[Mandante]),0)),INDEX(tblDados[Liga],MATCH($A835,TRIM(tblDados[Visitante]),0))),IFERROR(SUMIFS(Ligas!$D$2:$D$39,Ligas!$H$2:$H$39,_xlpm.p,Ligas!$I$2:$I$39,_xlpm.l),0)))</f>
        <v/>
      </c>
      <c r="J835" s="16" t="str" cm="1">
        <f t="array" ref="J835">IF($A835="","",IFERROR((SUMPRODUCT((TRIM(tblDados[Mandante])=$A835)*tblDados[Primeira_Ocorrencia]*(tblDados[GM_M]=0))+SUMPRODUCT((TRIM(tblDados[Visitante])=$A835)*tblDados[Primeira_Ocorrencia]*(tblDados[GM_V]=0)))/G835,0))</f>
        <v/>
      </c>
      <c r="K835" s="16" t="str" cm="1">
        <f t="array" ref="K835">IF($A835="","",IFERROR((SUMPRODUCT((TRIM(tblDados[Mandante])=$A835)*tblDados[Primeira_Ocorrencia]*((tblDados[GM_M]+tblDados[GS_M])&gt;0.5))+SUMPRODUCT((TRIM(tblDados[Visitante])=$A835)*tblDados[Primeira_Ocorrencia]*((tblDados[GM_V]+tblDados[GS_V])&gt;0.5)))/G835,0))</f>
        <v/>
      </c>
      <c r="L835" s="16" t="str" cm="1">
        <f t="array" ref="L835">IF($A835="","",IFERROR((SUMPRODUCT((TRIM(tblDados[Mandante])=$A835)*tblDados[Primeira_Ocorrencia]*((tblDados[GM_M]+tblDados[GS_M])&gt;1.5))+SUMPRODUCT((TRIM(tblDados[Visitante])=$A835)*tblDados[Primeira_Ocorrencia]*((tblDados[GM_V]+tblDados[GS_V])&gt;1.5)))/G835,0))</f>
        <v/>
      </c>
      <c r="M835" s="16" t="str" cm="1">
        <f t="array" ref="M835">IF($A835="","",IFERROR((SUMPRODUCT((TRIM(tblDados[Mandante])=$A835)*tblDados[Primeira_Ocorrencia]*((tblDados[GM_M]+tblDados[GS_M])&gt;2.5))+SUMPRODUCT((TRIM(tblDados[Visitante])=$A835)*tblDados[Primeira_Ocorrencia]*((tblDados[GM_V]+tblDados[GS_V])&gt;2.5)))/G835,0))</f>
        <v/>
      </c>
      <c r="N835" s="16" t="str" cm="1">
        <f t="array" ref="N835">IF($A835="","",IFERROR((SUMPRODUCT((TRIM(tblDados[Mandante])=$A835)*tblDados[Primeira_Ocorrencia]*((tblDados[GM_M]+tblDados[GS_M])&gt;3.5))+SUMPRODUCT((TRIM(tblDados[Visitante])=$A835)*tblDados[Primeira_Ocorrencia]*((tblDados[GM_V]+tblDados[GS_V])&gt;3.5)))/G835,0))</f>
        <v/>
      </c>
      <c r="O835" s="16" t="str" cm="1">
        <f t="array" ref="O835">IF($A835="","",IFERROR((SUMPRODUCT((TRIM(tblDados[Mandante])=$A835)*tblDados[Primeira_Ocorrencia]*(tblDados[GM_M]&gt;0)*(tblDados[GS_M]&gt;0))+SUMPRODUCT((TRIM(tblDados[Visitante])=$A835)*tblDados[Primeira_Ocorrencia]*(tblDados[GM_V]&gt;0)*(tblDados[GS_V]&gt;0)))/G835,0))</f>
        <v/>
      </c>
      <c r="P835" s="14" t="str" cm="1">
        <f t="array" ref="P835">IF($A835="","",IFERROR((SUMPRODUCT((TRIM(tblDados[Mandante])=$A835)*tblDados[Primeira_Ocorrencia]*tblDados[GM_M]^2)+SUMPRODUCT((TRIM(tblDados[Visitante])=$A835)*tblDados[Primeira_Ocorrencia]*tblDados[GM_V]^2))/G835-H835^2,0))</f>
        <v/>
      </c>
      <c r="Q835" s="14" t="str">
        <f t="shared" ref="Q835:Q898" si="226">IF($A835="","",IFERROR(SQRT(MAX(P835,0)),0))</f>
        <v/>
      </c>
      <c r="R835" s="1" t="str">
        <f t="shared" ref="R835:R898" si="227">IF(A835="","",IF(OR(G835&lt;5,H835=0),"Amostra Insuficiente",IF(_xlfn.CHISQ.DIST.RT(G835*P835/H835,G835-1)&lt;0.05,"Binomial Negativa","Poisson")))</f>
        <v/>
      </c>
      <c r="S835" s="14" t="str" cm="1">
        <f t="array" ref="S835">IF($A835="","",SUMPRODUCT((TRIM(tblDados[Mandante])=$A835)*tblDados[Primeira_Ocorrencia]*tblDados[GM_M]))</f>
        <v/>
      </c>
      <c r="T835" s="14" t="str" cm="1">
        <f t="array" ref="T835">IF($A835="","",SUMPRODUCT((TRIM(tblDados[Visitante])=$A835)*tblDados[Primeira_Ocorrencia]*tblDados[GM_V]))</f>
        <v/>
      </c>
      <c r="U835" s="14" t="str">
        <f t="shared" ref="U835:U898" si="228">IF($A835="","",S835+T835)</f>
        <v/>
      </c>
      <c r="V835" s="14" t="str">
        <f t="shared" si="217"/>
        <v/>
      </c>
      <c r="W835" s="14" t="str" cm="1">
        <f t="array" ref="W835">IF($A835="","",SUMPRODUCT((TRIM(tblDados[Mandante])=$A835)*tblDados[Primeira_Ocorrencia]*tblDados[GS_M]))</f>
        <v/>
      </c>
      <c r="X835" s="14" t="str" cm="1">
        <f t="array" ref="X835">IF($A835="","",SUMPRODUCT((TRIM(tblDados[Visitante])=$A835)*tblDados[Primeira_Ocorrencia]*tblDados[GS_V]))</f>
        <v/>
      </c>
      <c r="Y835" s="14" t="str">
        <f t="shared" ref="Y835:Y898" si="229">IF($A835="","",W835+X835)</f>
        <v/>
      </c>
      <c r="Z835" s="14" t="str">
        <f t="shared" si="218"/>
        <v/>
      </c>
      <c r="AA835" s="14" t="str">
        <f t="shared" si="219"/>
        <v/>
      </c>
      <c r="AB835" s="14" t="str">
        <f t="shared" si="220"/>
        <v/>
      </c>
      <c r="AC835" s="14" t="str">
        <f t="shared" si="221"/>
        <v/>
      </c>
      <c r="AD835" s="14" t="str">
        <f t="shared" si="222"/>
        <v/>
      </c>
    </row>
    <row r="836" spans="2:30" x14ac:dyDescent="0.3">
      <c r="B836" s="13" t="str" cm="1">
        <f t="array" ref="B836">IF($A836="","",_xlfn.LET(_xlpm.p,IFERROR(INDEX(tblDados[País],MATCH($A836,TRIM(tblDados[Mandante]),0)),INDEX(tblDados[País],MATCH($A836,TRIM(tblDados[Visitante]),0))),_xlpm.l,IFERROR(INDEX(tblDados[Liga],MATCH($A836,TRIM(tblDados[Mandante]),0)),INDEX(tblDados[Liga],MATCH($A836,TRIM(tblDados[Visitante]),0))),_xlpm.p&amp;" - "&amp;_xlpm.l))</f>
        <v/>
      </c>
      <c r="C836" s="14" t="str">
        <f t="shared" si="223"/>
        <v/>
      </c>
      <c r="D836" s="14" t="str">
        <f t="shared" si="224"/>
        <v/>
      </c>
      <c r="E836" s="15" t="str" cm="1">
        <f t="array" ref="E836">IF($A836="","",SUMPRODUCT((TRIM(tblDados[Mandante])=$A836)*tblDados[Primeira_Ocorrencia]))</f>
        <v/>
      </c>
      <c r="F836" s="15" t="str" cm="1">
        <f t="array" ref="F836">IF($A836="","",SUMPRODUCT((TRIM(tblDados[Visitante])=$A836)*tblDados[Primeira_Ocorrencia]))</f>
        <v/>
      </c>
      <c r="G836" s="15" t="str" cm="1">
        <f t="array" ref="G836">IF($A836="","",SUMPRODUCT((TRIM(tblDados[Mandante])=$A836)*tblDados[Primeira_Ocorrencia])+SUMPRODUCT((TRIM(tblDados[Visitante])=$A836)*tblDados[Primeira_Ocorrencia]))</f>
        <v/>
      </c>
      <c r="H836" s="14" t="str">
        <f t="shared" si="225"/>
        <v/>
      </c>
      <c r="I836" s="14" t="str" cm="1">
        <f t="array" ref="I836">IF($A836="","",_xlfn.LET(_xlpm.p,IFERROR(INDEX(tblDados[País],MATCH($A836,TRIM(tblDados[Mandante]),0)),INDEX(tblDados[País],MATCH($A836,TRIM(tblDados[Visitante]),0))),_xlpm.l,IFERROR(INDEX(tblDados[Liga],MATCH($A836,TRIM(tblDados[Mandante]),0)),INDEX(tblDados[Liga],MATCH($A836,TRIM(tblDados[Visitante]),0))),IFERROR(SUMIFS(Ligas!$D$2:$D$39,Ligas!$H$2:$H$39,_xlpm.p,Ligas!$I$2:$I$39,_xlpm.l),0)))</f>
        <v/>
      </c>
      <c r="J836" s="16" t="str" cm="1">
        <f t="array" ref="J836">IF($A836="","",IFERROR((SUMPRODUCT((TRIM(tblDados[Mandante])=$A836)*tblDados[Primeira_Ocorrencia]*(tblDados[GM_M]=0))+SUMPRODUCT((TRIM(tblDados[Visitante])=$A836)*tblDados[Primeira_Ocorrencia]*(tblDados[GM_V]=0)))/G836,0))</f>
        <v/>
      </c>
      <c r="K836" s="16" t="str" cm="1">
        <f t="array" ref="K836">IF($A836="","",IFERROR((SUMPRODUCT((TRIM(tblDados[Mandante])=$A836)*tblDados[Primeira_Ocorrencia]*((tblDados[GM_M]+tblDados[GS_M])&gt;0.5))+SUMPRODUCT((TRIM(tblDados[Visitante])=$A836)*tblDados[Primeira_Ocorrencia]*((tblDados[GM_V]+tblDados[GS_V])&gt;0.5)))/G836,0))</f>
        <v/>
      </c>
      <c r="L836" s="16" t="str" cm="1">
        <f t="array" ref="L836">IF($A836="","",IFERROR((SUMPRODUCT((TRIM(tblDados[Mandante])=$A836)*tblDados[Primeira_Ocorrencia]*((tblDados[GM_M]+tblDados[GS_M])&gt;1.5))+SUMPRODUCT((TRIM(tblDados[Visitante])=$A836)*tblDados[Primeira_Ocorrencia]*((tblDados[GM_V]+tblDados[GS_V])&gt;1.5)))/G836,0))</f>
        <v/>
      </c>
      <c r="M836" s="16" t="str" cm="1">
        <f t="array" ref="M836">IF($A836="","",IFERROR((SUMPRODUCT((TRIM(tblDados[Mandante])=$A836)*tblDados[Primeira_Ocorrencia]*((tblDados[GM_M]+tblDados[GS_M])&gt;2.5))+SUMPRODUCT((TRIM(tblDados[Visitante])=$A836)*tblDados[Primeira_Ocorrencia]*((tblDados[GM_V]+tblDados[GS_V])&gt;2.5)))/G836,0))</f>
        <v/>
      </c>
      <c r="N836" s="16" t="str" cm="1">
        <f t="array" ref="N836">IF($A836="","",IFERROR((SUMPRODUCT((TRIM(tblDados[Mandante])=$A836)*tblDados[Primeira_Ocorrencia]*((tblDados[GM_M]+tblDados[GS_M])&gt;3.5))+SUMPRODUCT((TRIM(tblDados[Visitante])=$A836)*tblDados[Primeira_Ocorrencia]*((tblDados[GM_V]+tblDados[GS_V])&gt;3.5)))/G836,0))</f>
        <v/>
      </c>
      <c r="O836" s="16" t="str" cm="1">
        <f t="array" ref="O836">IF($A836="","",IFERROR((SUMPRODUCT((TRIM(tblDados[Mandante])=$A836)*tblDados[Primeira_Ocorrencia]*(tblDados[GM_M]&gt;0)*(tblDados[GS_M]&gt;0))+SUMPRODUCT((TRIM(tblDados[Visitante])=$A836)*tblDados[Primeira_Ocorrencia]*(tblDados[GM_V]&gt;0)*(tblDados[GS_V]&gt;0)))/G836,0))</f>
        <v/>
      </c>
      <c r="P836" s="14" t="str" cm="1">
        <f t="array" ref="P836">IF($A836="","",IFERROR((SUMPRODUCT((TRIM(tblDados[Mandante])=$A836)*tblDados[Primeira_Ocorrencia]*tblDados[GM_M]^2)+SUMPRODUCT((TRIM(tblDados[Visitante])=$A836)*tblDados[Primeira_Ocorrencia]*tblDados[GM_V]^2))/G836-H836^2,0))</f>
        <v/>
      </c>
      <c r="Q836" s="14" t="str">
        <f t="shared" si="226"/>
        <v/>
      </c>
      <c r="R836" s="1" t="str">
        <f t="shared" si="227"/>
        <v/>
      </c>
      <c r="S836" s="14" t="str" cm="1">
        <f t="array" ref="S836">IF($A836="","",SUMPRODUCT((TRIM(tblDados[Mandante])=$A836)*tblDados[Primeira_Ocorrencia]*tblDados[GM_M]))</f>
        <v/>
      </c>
      <c r="T836" s="14" t="str" cm="1">
        <f t="array" ref="T836">IF($A836="","",SUMPRODUCT((TRIM(tblDados[Visitante])=$A836)*tblDados[Primeira_Ocorrencia]*tblDados[GM_V]))</f>
        <v/>
      </c>
      <c r="U836" s="14" t="str">
        <f t="shared" si="228"/>
        <v/>
      </c>
      <c r="V836" s="14" t="str">
        <f t="shared" si="217"/>
        <v/>
      </c>
      <c r="W836" s="14" t="str" cm="1">
        <f t="array" ref="W836">IF($A836="","",SUMPRODUCT((TRIM(tblDados[Mandante])=$A836)*tblDados[Primeira_Ocorrencia]*tblDados[GS_M]))</f>
        <v/>
      </c>
      <c r="X836" s="14" t="str" cm="1">
        <f t="array" ref="X836">IF($A836="","",SUMPRODUCT((TRIM(tblDados[Visitante])=$A836)*tblDados[Primeira_Ocorrencia]*tblDados[GS_V]))</f>
        <v/>
      </c>
      <c r="Y836" s="14" t="str">
        <f t="shared" si="229"/>
        <v/>
      </c>
      <c r="Z836" s="14" t="str">
        <f t="shared" si="218"/>
        <v/>
      </c>
      <c r="AA836" s="14" t="str">
        <f t="shared" si="219"/>
        <v/>
      </c>
      <c r="AB836" s="14" t="str">
        <f t="shared" si="220"/>
        <v/>
      </c>
      <c r="AC836" s="14" t="str">
        <f t="shared" si="221"/>
        <v/>
      </c>
      <c r="AD836" s="14" t="str">
        <f t="shared" si="222"/>
        <v/>
      </c>
    </row>
    <row r="837" spans="2:30" x14ac:dyDescent="0.3">
      <c r="B837" s="13" t="str" cm="1">
        <f t="array" ref="B837">IF($A837="","",_xlfn.LET(_xlpm.p,IFERROR(INDEX(tblDados[País],MATCH($A837,TRIM(tblDados[Mandante]),0)),INDEX(tblDados[País],MATCH($A837,TRIM(tblDados[Visitante]),0))),_xlpm.l,IFERROR(INDEX(tblDados[Liga],MATCH($A837,TRIM(tblDados[Mandante]),0)),INDEX(tblDados[Liga],MATCH($A837,TRIM(tblDados[Visitante]),0))),_xlpm.p&amp;" - "&amp;_xlpm.l))</f>
        <v/>
      </c>
      <c r="C837" s="14" t="str">
        <f t="shared" si="223"/>
        <v/>
      </c>
      <c r="D837" s="14" t="str">
        <f t="shared" si="224"/>
        <v/>
      </c>
      <c r="E837" s="15" t="str" cm="1">
        <f t="array" ref="E837">IF($A837="","",SUMPRODUCT((TRIM(tblDados[Mandante])=$A837)*tblDados[Primeira_Ocorrencia]))</f>
        <v/>
      </c>
      <c r="F837" s="15" t="str" cm="1">
        <f t="array" ref="F837">IF($A837="","",SUMPRODUCT((TRIM(tblDados[Visitante])=$A837)*tblDados[Primeira_Ocorrencia]))</f>
        <v/>
      </c>
      <c r="G837" s="15" t="str" cm="1">
        <f t="array" ref="G837">IF($A837="","",SUMPRODUCT((TRIM(tblDados[Mandante])=$A837)*tblDados[Primeira_Ocorrencia])+SUMPRODUCT((TRIM(tblDados[Visitante])=$A837)*tblDados[Primeira_Ocorrencia]))</f>
        <v/>
      </c>
      <c r="H837" s="14" t="str">
        <f t="shared" si="225"/>
        <v/>
      </c>
      <c r="I837" s="14" t="str" cm="1">
        <f t="array" ref="I837">IF($A837="","",_xlfn.LET(_xlpm.p,IFERROR(INDEX(tblDados[País],MATCH($A837,TRIM(tblDados[Mandante]),0)),INDEX(tblDados[País],MATCH($A837,TRIM(tblDados[Visitante]),0))),_xlpm.l,IFERROR(INDEX(tblDados[Liga],MATCH($A837,TRIM(tblDados[Mandante]),0)),INDEX(tblDados[Liga],MATCH($A837,TRIM(tblDados[Visitante]),0))),IFERROR(SUMIFS(Ligas!$D$2:$D$39,Ligas!$H$2:$H$39,_xlpm.p,Ligas!$I$2:$I$39,_xlpm.l),0)))</f>
        <v/>
      </c>
      <c r="J837" s="16" t="str" cm="1">
        <f t="array" ref="J837">IF($A837="","",IFERROR((SUMPRODUCT((TRIM(tblDados[Mandante])=$A837)*tblDados[Primeira_Ocorrencia]*(tblDados[GM_M]=0))+SUMPRODUCT((TRIM(tblDados[Visitante])=$A837)*tblDados[Primeira_Ocorrencia]*(tblDados[GM_V]=0)))/G837,0))</f>
        <v/>
      </c>
      <c r="K837" s="16" t="str" cm="1">
        <f t="array" ref="K837">IF($A837="","",IFERROR((SUMPRODUCT((TRIM(tblDados[Mandante])=$A837)*tblDados[Primeira_Ocorrencia]*((tblDados[GM_M]+tblDados[GS_M])&gt;0.5))+SUMPRODUCT((TRIM(tblDados[Visitante])=$A837)*tblDados[Primeira_Ocorrencia]*((tblDados[GM_V]+tblDados[GS_V])&gt;0.5)))/G837,0))</f>
        <v/>
      </c>
      <c r="L837" s="16" t="str" cm="1">
        <f t="array" ref="L837">IF($A837="","",IFERROR((SUMPRODUCT((TRIM(tblDados[Mandante])=$A837)*tblDados[Primeira_Ocorrencia]*((tblDados[GM_M]+tblDados[GS_M])&gt;1.5))+SUMPRODUCT((TRIM(tblDados[Visitante])=$A837)*tblDados[Primeira_Ocorrencia]*((tblDados[GM_V]+tblDados[GS_V])&gt;1.5)))/G837,0))</f>
        <v/>
      </c>
      <c r="M837" s="16" t="str" cm="1">
        <f t="array" ref="M837">IF($A837="","",IFERROR((SUMPRODUCT((TRIM(tblDados[Mandante])=$A837)*tblDados[Primeira_Ocorrencia]*((tblDados[GM_M]+tblDados[GS_M])&gt;2.5))+SUMPRODUCT((TRIM(tblDados[Visitante])=$A837)*tblDados[Primeira_Ocorrencia]*((tblDados[GM_V]+tblDados[GS_V])&gt;2.5)))/G837,0))</f>
        <v/>
      </c>
      <c r="N837" s="16" t="str" cm="1">
        <f t="array" ref="N837">IF($A837="","",IFERROR((SUMPRODUCT((TRIM(tblDados[Mandante])=$A837)*tblDados[Primeira_Ocorrencia]*((tblDados[GM_M]+tblDados[GS_M])&gt;3.5))+SUMPRODUCT((TRIM(tblDados[Visitante])=$A837)*tblDados[Primeira_Ocorrencia]*((tblDados[GM_V]+tblDados[GS_V])&gt;3.5)))/G837,0))</f>
        <v/>
      </c>
      <c r="O837" s="16" t="str" cm="1">
        <f t="array" ref="O837">IF($A837="","",IFERROR((SUMPRODUCT((TRIM(tblDados[Mandante])=$A837)*tblDados[Primeira_Ocorrencia]*(tblDados[GM_M]&gt;0)*(tblDados[GS_M]&gt;0))+SUMPRODUCT((TRIM(tblDados[Visitante])=$A837)*tblDados[Primeira_Ocorrencia]*(tblDados[GM_V]&gt;0)*(tblDados[GS_V]&gt;0)))/G837,0))</f>
        <v/>
      </c>
      <c r="P837" s="14" t="str" cm="1">
        <f t="array" ref="P837">IF($A837="","",IFERROR((SUMPRODUCT((TRIM(tblDados[Mandante])=$A837)*tblDados[Primeira_Ocorrencia]*tblDados[GM_M]^2)+SUMPRODUCT((TRIM(tblDados[Visitante])=$A837)*tblDados[Primeira_Ocorrencia]*tblDados[GM_V]^2))/G837-H837^2,0))</f>
        <v/>
      </c>
      <c r="Q837" s="14" t="str">
        <f t="shared" si="226"/>
        <v/>
      </c>
      <c r="R837" s="1" t="str">
        <f t="shared" si="227"/>
        <v/>
      </c>
      <c r="S837" s="14" t="str" cm="1">
        <f t="array" ref="S837">IF($A837="","",SUMPRODUCT((TRIM(tblDados[Mandante])=$A837)*tblDados[Primeira_Ocorrencia]*tblDados[GM_M]))</f>
        <v/>
      </c>
      <c r="T837" s="14" t="str" cm="1">
        <f t="array" ref="T837">IF($A837="","",SUMPRODUCT((TRIM(tblDados[Visitante])=$A837)*tblDados[Primeira_Ocorrencia]*tblDados[GM_V]))</f>
        <v/>
      </c>
      <c r="U837" s="14" t="str">
        <f t="shared" si="228"/>
        <v/>
      </c>
      <c r="V837" s="14" t="str">
        <f t="shared" si="217"/>
        <v/>
      </c>
      <c r="W837" s="14" t="str" cm="1">
        <f t="array" ref="W837">IF($A837="","",SUMPRODUCT((TRIM(tblDados[Mandante])=$A837)*tblDados[Primeira_Ocorrencia]*tblDados[GS_M]))</f>
        <v/>
      </c>
      <c r="X837" s="14" t="str" cm="1">
        <f t="array" ref="X837">IF($A837="","",SUMPRODUCT((TRIM(tblDados[Visitante])=$A837)*tblDados[Primeira_Ocorrencia]*tblDados[GS_V]))</f>
        <v/>
      </c>
      <c r="Y837" s="14" t="str">
        <f t="shared" si="229"/>
        <v/>
      </c>
      <c r="Z837" s="14" t="str">
        <f t="shared" si="218"/>
        <v/>
      </c>
      <c r="AA837" s="14" t="str">
        <f t="shared" si="219"/>
        <v/>
      </c>
      <c r="AB837" s="14" t="str">
        <f t="shared" si="220"/>
        <v/>
      </c>
      <c r="AC837" s="14" t="str">
        <f t="shared" si="221"/>
        <v/>
      </c>
      <c r="AD837" s="14" t="str">
        <f t="shared" si="222"/>
        <v/>
      </c>
    </row>
    <row r="838" spans="2:30" x14ac:dyDescent="0.3">
      <c r="B838" s="13" t="str" cm="1">
        <f t="array" ref="B838">IF($A838="","",_xlfn.LET(_xlpm.p,IFERROR(INDEX(tblDados[País],MATCH($A838,TRIM(tblDados[Mandante]),0)),INDEX(tblDados[País],MATCH($A838,TRIM(tblDados[Visitante]),0))),_xlpm.l,IFERROR(INDEX(tblDados[Liga],MATCH($A838,TRIM(tblDados[Mandante]),0)),INDEX(tblDados[Liga],MATCH($A838,TRIM(tblDados[Visitante]),0))),_xlpm.p&amp;" - "&amp;_xlpm.l))</f>
        <v/>
      </c>
      <c r="C838" s="14" t="str">
        <f t="shared" si="223"/>
        <v/>
      </c>
      <c r="D838" s="14" t="str">
        <f t="shared" si="224"/>
        <v/>
      </c>
      <c r="E838" s="15" t="str" cm="1">
        <f t="array" ref="E838">IF($A838="","",SUMPRODUCT((TRIM(tblDados[Mandante])=$A838)*tblDados[Primeira_Ocorrencia]))</f>
        <v/>
      </c>
      <c r="F838" s="15" t="str" cm="1">
        <f t="array" ref="F838">IF($A838="","",SUMPRODUCT((TRIM(tblDados[Visitante])=$A838)*tblDados[Primeira_Ocorrencia]))</f>
        <v/>
      </c>
      <c r="G838" s="15" t="str" cm="1">
        <f t="array" ref="G838">IF($A838="","",SUMPRODUCT((TRIM(tblDados[Mandante])=$A838)*tblDados[Primeira_Ocorrencia])+SUMPRODUCT((TRIM(tblDados[Visitante])=$A838)*tblDados[Primeira_Ocorrencia]))</f>
        <v/>
      </c>
      <c r="H838" s="14" t="str">
        <f t="shared" si="225"/>
        <v/>
      </c>
      <c r="I838" s="14" t="str" cm="1">
        <f t="array" ref="I838">IF($A838="","",_xlfn.LET(_xlpm.p,IFERROR(INDEX(tblDados[País],MATCH($A838,TRIM(tblDados[Mandante]),0)),INDEX(tblDados[País],MATCH($A838,TRIM(tblDados[Visitante]),0))),_xlpm.l,IFERROR(INDEX(tblDados[Liga],MATCH($A838,TRIM(tblDados[Mandante]),0)),INDEX(tblDados[Liga],MATCH($A838,TRIM(tblDados[Visitante]),0))),IFERROR(SUMIFS(Ligas!$D$2:$D$39,Ligas!$H$2:$H$39,_xlpm.p,Ligas!$I$2:$I$39,_xlpm.l),0)))</f>
        <v/>
      </c>
      <c r="J838" s="16" t="str" cm="1">
        <f t="array" ref="J838">IF($A838="","",IFERROR((SUMPRODUCT((TRIM(tblDados[Mandante])=$A838)*tblDados[Primeira_Ocorrencia]*(tblDados[GM_M]=0))+SUMPRODUCT((TRIM(tblDados[Visitante])=$A838)*tblDados[Primeira_Ocorrencia]*(tblDados[GM_V]=0)))/G838,0))</f>
        <v/>
      </c>
      <c r="K838" s="16" t="str" cm="1">
        <f t="array" ref="K838">IF($A838="","",IFERROR((SUMPRODUCT((TRIM(tblDados[Mandante])=$A838)*tblDados[Primeira_Ocorrencia]*((tblDados[GM_M]+tblDados[GS_M])&gt;0.5))+SUMPRODUCT((TRIM(tblDados[Visitante])=$A838)*tblDados[Primeira_Ocorrencia]*((tblDados[GM_V]+tblDados[GS_V])&gt;0.5)))/G838,0))</f>
        <v/>
      </c>
      <c r="L838" s="16" t="str" cm="1">
        <f t="array" ref="L838">IF($A838="","",IFERROR((SUMPRODUCT((TRIM(tblDados[Mandante])=$A838)*tblDados[Primeira_Ocorrencia]*((tblDados[GM_M]+tblDados[GS_M])&gt;1.5))+SUMPRODUCT((TRIM(tblDados[Visitante])=$A838)*tblDados[Primeira_Ocorrencia]*((tblDados[GM_V]+tblDados[GS_V])&gt;1.5)))/G838,0))</f>
        <v/>
      </c>
      <c r="M838" s="16" t="str" cm="1">
        <f t="array" ref="M838">IF($A838="","",IFERROR((SUMPRODUCT((TRIM(tblDados[Mandante])=$A838)*tblDados[Primeira_Ocorrencia]*((tblDados[GM_M]+tblDados[GS_M])&gt;2.5))+SUMPRODUCT((TRIM(tblDados[Visitante])=$A838)*tblDados[Primeira_Ocorrencia]*((tblDados[GM_V]+tblDados[GS_V])&gt;2.5)))/G838,0))</f>
        <v/>
      </c>
      <c r="N838" s="16" t="str" cm="1">
        <f t="array" ref="N838">IF($A838="","",IFERROR((SUMPRODUCT((TRIM(tblDados[Mandante])=$A838)*tblDados[Primeira_Ocorrencia]*((tblDados[GM_M]+tblDados[GS_M])&gt;3.5))+SUMPRODUCT((TRIM(tblDados[Visitante])=$A838)*tblDados[Primeira_Ocorrencia]*((tblDados[GM_V]+tblDados[GS_V])&gt;3.5)))/G838,0))</f>
        <v/>
      </c>
      <c r="O838" s="16" t="str" cm="1">
        <f t="array" ref="O838">IF($A838="","",IFERROR((SUMPRODUCT((TRIM(tblDados[Mandante])=$A838)*tblDados[Primeira_Ocorrencia]*(tblDados[GM_M]&gt;0)*(tblDados[GS_M]&gt;0))+SUMPRODUCT((TRIM(tblDados[Visitante])=$A838)*tblDados[Primeira_Ocorrencia]*(tblDados[GM_V]&gt;0)*(tblDados[GS_V]&gt;0)))/G838,0))</f>
        <v/>
      </c>
      <c r="P838" s="14" t="str" cm="1">
        <f t="array" ref="P838">IF($A838="","",IFERROR((SUMPRODUCT((TRIM(tblDados[Mandante])=$A838)*tblDados[Primeira_Ocorrencia]*tblDados[GM_M]^2)+SUMPRODUCT((TRIM(tblDados[Visitante])=$A838)*tblDados[Primeira_Ocorrencia]*tblDados[GM_V]^2))/G838-H838^2,0))</f>
        <v/>
      </c>
      <c r="Q838" s="14" t="str">
        <f t="shared" si="226"/>
        <v/>
      </c>
      <c r="R838" s="1" t="str">
        <f t="shared" si="227"/>
        <v/>
      </c>
      <c r="S838" s="14" t="str" cm="1">
        <f t="array" ref="S838">IF($A838="","",SUMPRODUCT((TRIM(tblDados[Mandante])=$A838)*tblDados[Primeira_Ocorrencia]*tblDados[GM_M]))</f>
        <v/>
      </c>
      <c r="T838" s="14" t="str" cm="1">
        <f t="array" ref="T838">IF($A838="","",SUMPRODUCT((TRIM(tblDados[Visitante])=$A838)*tblDados[Primeira_Ocorrencia]*tblDados[GM_V]))</f>
        <v/>
      </c>
      <c r="U838" s="14" t="str">
        <f t="shared" si="228"/>
        <v/>
      </c>
      <c r="V838" s="14" t="str">
        <f t="shared" si="217"/>
        <v/>
      </c>
      <c r="W838" s="14" t="str" cm="1">
        <f t="array" ref="W838">IF($A838="","",SUMPRODUCT((TRIM(tblDados[Mandante])=$A838)*tblDados[Primeira_Ocorrencia]*tblDados[GS_M]))</f>
        <v/>
      </c>
      <c r="X838" s="14" t="str" cm="1">
        <f t="array" ref="X838">IF($A838="","",SUMPRODUCT((TRIM(tblDados[Visitante])=$A838)*tblDados[Primeira_Ocorrencia]*tblDados[GS_V]))</f>
        <v/>
      </c>
      <c r="Y838" s="14" t="str">
        <f t="shared" si="229"/>
        <v/>
      </c>
      <c r="Z838" s="14" t="str">
        <f t="shared" si="218"/>
        <v/>
      </c>
      <c r="AA838" s="14" t="str">
        <f t="shared" si="219"/>
        <v/>
      </c>
      <c r="AB838" s="14" t="str">
        <f t="shared" si="220"/>
        <v/>
      </c>
      <c r="AC838" s="14" t="str">
        <f t="shared" si="221"/>
        <v/>
      </c>
      <c r="AD838" s="14" t="str">
        <f t="shared" si="222"/>
        <v/>
      </c>
    </row>
    <row r="839" spans="2:30" x14ac:dyDescent="0.3">
      <c r="B839" s="13" t="str" cm="1">
        <f t="array" ref="B839">IF($A839="","",_xlfn.LET(_xlpm.p,IFERROR(INDEX(tblDados[País],MATCH($A839,TRIM(tblDados[Mandante]),0)),INDEX(tblDados[País],MATCH($A839,TRIM(tblDados[Visitante]),0))),_xlpm.l,IFERROR(INDEX(tblDados[Liga],MATCH($A839,TRIM(tblDados[Mandante]),0)),INDEX(tblDados[Liga],MATCH($A839,TRIM(tblDados[Visitante]),0))),_xlpm.p&amp;" - "&amp;_xlpm.l))</f>
        <v/>
      </c>
      <c r="C839" s="14" t="str">
        <f t="shared" si="223"/>
        <v/>
      </c>
      <c r="D839" s="14" t="str">
        <f t="shared" si="224"/>
        <v/>
      </c>
      <c r="E839" s="15" t="str" cm="1">
        <f t="array" ref="E839">IF($A839="","",SUMPRODUCT((TRIM(tblDados[Mandante])=$A839)*tblDados[Primeira_Ocorrencia]))</f>
        <v/>
      </c>
      <c r="F839" s="15" t="str" cm="1">
        <f t="array" ref="F839">IF($A839="","",SUMPRODUCT((TRIM(tblDados[Visitante])=$A839)*tblDados[Primeira_Ocorrencia]))</f>
        <v/>
      </c>
      <c r="G839" s="15" t="str" cm="1">
        <f t="array" ref="G839">IF($A839="","",SUMPRODUCT((TRIM(tblDados[Mandante])=$A839)*tblDados[Primeira_Ocorrencia])+SUMPRODUCT((TRIM(tblDados[Visitante])=$A839)*tblDados[Primeira_Ocorrencia]))</f>
        <v/>
      </c>
      <c r="H839" s="14" t="str">
        <f t="shared" si="225"/>
        <v/>
      </c>
      <c r="I839" s="14" t="str" cm="1">
        <f t="array" ref="I839">IF($A839="","",_xlfn.LET(_xlpm.p,IFERROR(INDEX(tblDados[País],MATCH($A839,TRIM(tblDados[Mandante]),0)),INDEX(tblDados[País],MATCH($A839,TRIM(tblDados[Visitante]),0))),_xlpm.l,IFERROR(INDEX(tblDados[Liga],MATCH($A839,TRIM(tblDados[Mandante]),0)),INDEX(tblDados[Liga],MATCH($A839,TRIM(tblDados[Visitante]),0))),IFERROR(SUMIFS(Ligas!$D$2:$D$39,Ligas!$H$2:$H$39,_xlpm.p,Ligas!$I$2:$I$39,_xlpm.l),0)))</f>
        <v/>
      </c>
      <c r="J839" s="16" t="str" cm="1">
        <f t="array" ref="J839">IF($A839="","",IFERROR((SUMPRODUCT((TRIM(tblDados[Mandante])=$A839)*tblDados[Primeira_Ocorrencia]*(tblDados[GM_M]=0))+SUMPRODUCT((TRIM(tblDados[Visitante])=$A839)*tblDados[Primeira_Ocorrencia]*(tblDados[GM_V]=0)))/G839,0))</f>
        <v/>
      </c>
      <c r="K839" s="16" t="str" cm="1">
        <f t="array" ref="K839">IF($A839="","",IFERROR((SUMPRODUCT((TRIM(tblDados[Mandante])=$A839)*tblDados[Primeira_Ocorrencia]*((tblDados[GM_M]+tblDados[GS_M])&gt;0.5))+SUMPRODUCT((TRIM(tblDados[Visitante])=$A839)*tblDados[Primeira_Ocorrencia]*((tblDados[GM_V]+tblDados[GS_V])&gt;0.5)))/G839,0))</f>
        <v/>
      </c>
      <c r="L839" s="16" t="str" cm="1">
        <f t="array" ref="L839">IF($A839="","",IFERROR((SUMPRODUCT((TRIM(tblDados[Mandante])=$A839)*tblDados[Primeira_Ocorrencia]*((tblDados[GM_M]+tblDados[GS_M])&gt;1.5))+SUMPRODUCT((TRIM(tblDados[Visitante])=$A839)*tblDados[Primeira_Ocorrencia]*((tblDados[GM_V]+tblDados[GS_V])&gt;1.5)))/G839,0))</f>
        <v/>
      </c>
      <c r="M839" s="16" t="str" cm="1">
        <f t="array" ref="M839">IF($A839="","",IFERROR((SUMPRODUCT((TRIM(tblDados[Mandante])=$A839)*tblDados[Primeira_Ocorrencia]*((tblDados[GM_M]+tblDados[GS_M])&gt;2.5))+SUMPRODUCT((TRIM(tblDados[Visitante])=$A839)*tblDados[Primeira_Ocorrencia]*((tblDados[GM_V]+tblDados[GS_V])&gt;2.5)))/G839,0))</f>
        <v/>
      </c>
      <c r="N839" s="16" t="str" cm="1">
        <f t="array" ref="N839">IF($A839="","",IFERROR((SUMPRODUCT((TRIM(tblDados[Mandante])=$A839)*tblDados[Primeira_Ocorrencia]*((tblDados[GM_M]+tblDados[GS_M])&gt;3.5))+SUMPRODUCT((TRIM(tblDados[Visitante])=$A839)*tblDados[Primeira_Ocorrencia]*((tblDados[GM_V]+tblDados[GS_V])&gt;3.5)))/G839,0))</f>
        <v/>
      </c>
      <c r="O839" s="16" t="str" cm="1">
        <f t="array" ref="O839">IF($A839="","",IFERROR((SUMPRODUCT((TRIM(tblDados[Mandante])=$A839)*tblDados[Primeira_Ocorrencia]*(tblDados[GM_M]&gt;0)*(tblDados[GS_M]&gt;0))+SUMPRODUCT((TRIM(tblDados[Visitante])=$A839)*tblDados[Primeira_Ocorrencia]*(tblDados[GM_V]&gt;0)*(tblDados[GS_V]&gt;0)))/G839,0))</f>
        <v/>
      </c>
      <c r="P839" s="14" t="str" cm="1">
        <f t="array" ref="P839">IF($A839="","",IFERROR((SUMPRODUCT((TRIM(tblDados[Mandante])=$A839)*tblDados[Primeira_Ocorrencia]*tblDados[GM_M]^2)+SUMPRODUCT((TRIM(tblDados[Visitante])=$A839)*tblDados[Primeira_Ocorrencia]*tblDados[GM_V]^2))/G839-H839^2,0))</f>
        <v/>
      </c>
      <c r="Q839" s="14" t="str">
        <f t="shared" si="226"/>
        <v/>
      </c>
      <c r="R839" s="1" t="str">
        <f t="shared" si="227"/>
        <v/>
      </c>
      <c r="S839" s="14" t="str" cm="1">
        <f t="array" ref="S839">IF($A839="","",SUMPRODUCT((TRIM(tblDados[Mandante])=$A839)*tblDados[Primeira_Ocorrencia]*tblDados[GM_M]))</f>
        <v/>
      </c>
      <c r="T839" s="14" t="str" cm="1">
        <f t="array" ref="T839">IF($A839="","",SUMPRODUCT((TRIM(tblDados[Visitante])=$A839)*tblDados[Primeira_Ocorrencia]*tblDados[GM_V]))</f>
        <v/>
      </c>
      <c r="U839" s="14" t="str">
        <f t="shared" si="228"/>
        <v/>
      </c>
      <c r="V839" s="14" t="str">
        <f t="shared" si="217"/>
        <v/>
      </c>
      <c r="W839" s="14" t="str" cm="1">
        <f t="array" ref="W839">IF($A839="","",SUMPRODUCT((TRIM(tblDados[Mandante])=$A839)*tblDados[Primeira_Ocorrencia]*tblDados[GS_M]))</f>
        <v/>
      </c>
      <c r="X839" s="14" t="str" cm="1">
        <f t="array" ref="X839">IF($A839="","",SUMPRODUCT((TRIM(tblDados[Visitante])=$A839)*tblDados[Primeira_Ocorrencia]*tblDados[GS_V]))</f>
        <v/>
      </c>
      <c r="Y839" s="14" t="str">
        <f t="shared" si="229"/>
        <v/>
      </c>
      <c r="Z839" s="14" t="str">
        <f t="shared" si="218"/>
        <v/>
      </c>
      <c r="AA839" s="14" t="str">
        <f t="shared" si="219"/>
        <v/>
      </c>
      <c r="AB839" s="14" t="str">
        <f t="shared" si="220"/>
        <v/>
      </c>
      <c r="AC839" s="14" t="str">
        <f t="shared" si="221"/>
        <v/>
      </c>
      <c r="AD839" s="14" t="str">
        <f t="shared" si="222"/>
        <v/>
      </c>
    </row>
    <row r="840" spans="2:30" x14ac:dyDescent="0.3">
      <c r="B840" s="13" t="str" cm="1">
        <f t="array" ref="B840">IF($A840="","",_xlfn.LET(_xlpm.p,IFERROR(INDEX(tblDados[País],MATCH($A840,TRIM(tblDados[Mandante]),0)),INDEX(tblDados[País],MATCH($A840,TRIM(tblDados[Visitante]),0))),_xlpm.l,IFERROR(INDEX(tblDados[Liga],MATCH($A840,TRIM(tblDados[Mandante]),0)),INDEX(tblDados[Liga],MATCH($A840,TRIM(tblDados[Visitante]),0))),_xlpm.p&amp;" - "&amp;_xlpm.l))</f>
        <v/>
      </c>
      <c r="C840" s="14" t="str">
        <f t="shared" si="223"/>
        <v/>
      </c>
      <c r="D840" s="14" t="str">
        <f t="shared" si="224"/>
        <v/>
      </c>
      <c r="E840" s="15" t="str" cm="1">
        <f t="array" ref="E840">IF($A840="","",SUMPRODUCT((TRIM(tblDados[Mandante])=$A840)*tblDados[Primeira_Ocorrencia]))</f>
        <v/>
      </c>
      <c r="F840" s="15" t="str" cm="1">
        <f t="array" ref="F840">IF($A840="","",SUMPRODUCT((TRIM(tblDados[Visitante])=$A840)*tblDados[Primeira_Ocorrencia]))</f>
        <v/>
      </c>
      <c r="G840" s="15" t="str" cm="1">
        <f t="array" ref="G840">IF($A840="","",SUMPRODUCT((TRIM(tblDados[Mandante])=$A840)*tblDados[Primeira_Ocorrencia])+SUMPRODUCT((TRIM(tblDados[Visitante])=$A840)*tblDados[Primeira_Ocorrencia]))</f>
        <v/>
      </c>
      <c r="H840" s="14" t="str">
        <f t="shared" si="225"/>
        <v/>
      </c>
      <c r="I840" s="14" t="str" cm="1">
        <f t="array" ref="I840">IF($A840="","",_xlfn.LET(_xlpm.p,IFERROR(INDEX(tblDados[País],MATCH($A840,TRIM(tblDados[Mandante]),0)),INDEX(tblDados[País],MATCH($A840,TRIM(tblDados[Visitante]),0))),_xlpm.l,IFERROR(INDEX(tblDados[Liga],MATCH($A840,TRIM(tblDados[Mandante]),0)),INDEX(tblDados[Liga],MATCH($A840,TRIM(tblDados[Visitante]),0))),IFERROR(SUMIFS(Ligas!$D$2:$D$39,Ligas!$H$2:$H$39,_xlpm.p,Ligas!$I$2:$I$39,_xlpm.l),0)))</f>
        <v/>
      </c>
      <c r="J840" s="16" t="str" cm="1">
        <f t="array" ref="J840">IF($A840="","",IFERROR((SUMPRODUCT((TRIM(tblDados[Mandante])=$A840)*tblDados[Primeira_Ocorrencia]*(tblDados[GM_M]=0))+SUMPRODUCT((TRIM(tblDados[Visitante])=$A840)*tblDados[Primeira_Ocorrencia]*(tblDados[GM_V]=0)))/G840,0))</f>
        <v/>
      </c>
      <c r="K840" s="16" t="str" cm="1">
        <f t="array" ref="K840">IF($A840="","",IFERROR((SUMPRODUCT((TRIM(tblDados[Mandante])=$A840)*tblDados[Primeira_Ocorrencia]*((tblDados[GM_M]+tblDados[GS_M])&gt;0.5))+SUMPRODUCT((TRIM(tblDados[Visitante])=$A840)*tblDados[Primeira_Ocorrencia]*((tblDados[GM_V]+tblDados[GS_V])&gt;0.5)))/G840,0))</f>
        <v/>
      </c>
      <c r="L840" s="16" t="str" cm="1">
        <f t="array" ref="L840">IF($A840="","",IFERROR((SUMPRODUCT((TRIM(tblDados[Mandante])=$A840)*tblDados[Primeira_Ocorrencia]*((tblDados[GM_M]+tblDados[GS_M])&gt;1.5))+SUMPRODUCT((TRIM(tblDados[Visitante])=$A840)*tblDados[Primeira_Ocorrencia]*((tblDados[GM_V]+tblDados[GS_V])&gt;1.5)))/G840,0))</f>
        <v/>
      </c>
      <c r="M840" s="16" t="str" cm="1">
        <f t="array" ref="M840">IF($A840="","",IFERROR((SUMPRODUCT((TRIM(tblDados[Mandante])=$A840)*tblDados[Primeira_Ocorrencia]*((tblDados[GM_M]+tblDados[GS_M])&gt;2.5))+SUMPRODUCT((TRIM(tblDados[Visitante])=$A840)*tblDados[Primeira_Ocorrencia]*((tblDados[GM_V]+tblDados[GS_V])&gt;2.5)))/G840,0))</f>
        <v/>
      </c>
      <c r="N840" s="16" t="str" cm="1">
        <f t="array" ref="N840">IF($A840="","",IFERROR((SUMPRODUCT((TRIM(tblDados[Mandante])=$A840)*tblDados[Primeira_Ocorrencia]*((tblDados[GM_M]+tblDados[GS_M])&gt;3.5))+SUMPRODUCT((TRIM(tblDados[Visitante])=$A840)*tblDados[Primeira_Ocorrencia]*((tblDados[GM_V]+tblDados[GS_V])&gt;3.5)))/G840,0))</f>
        <v/>
      </c>
      <c r="O840" s="16" t="str" cm="1">
        <f t="array" ref="O840">IF($A840="","",IFERROR((SUMPRODUCT((TRIM(tblDados[Mandante])=$A840)*tblDados[Primeira_Ocorrencia]*(tblDados[GM_M]&gt;0)*(tblDados[GS_M]&gt;0))+SUMPRODUCT((TRIM(tblDados[Visitante])=$A840)*tblDados[Primeira_Ocorrencia]*(tblDados[GM_V]&gt;0)*(tblDados[GS_V]&gt;0)))/G840,0))</f>
        <v/>
      </c>
      <c r="P840" s="14" t="str" cm="1">
        <f t="array" ref="P840">IF($A840="","",IFERROR((SUMPRODUCT((TRIM(tblDados[Mandante])=$A840)*tblDados[Primeira_Ocorrencia]*tblDados[GM_M]^2)+SUMPRODUCT((TRIM(tblDados[Visitante])=$A840)*tblDados[Primeira_Ocorrencia]*tblDados[GM_V]^2))/G840-H840^2,0))</f>
        <v/>
      </c>
      <c r="Q840" s="14" t="str">
        <f t="shared" si="226"/>
        <v/>
      </c>
      <c r="R840" s="1" t="str">
        <f t="shared" si="227"/>
        <v/>
      </c>
      <c r="S840" s="14" t="str" cm="1">
        <f t="array" ref="S840">IF($A840="","",SUMPRODUCT((TRIM(tblDados[Mandante])=$A840)*tblDados[Primeira_Ocorrencia]*tblDados[GM_M]))</f>
        <v/>
      </c>
      <c r="T840" s="14" t="str" cm="1">
        <f t="array" ref="T840">IF($A840="","",SUMPRODUCT((TRIM(tblDados[Visitante])=$A840)*tblDados[Primeira_Ocorrencia]*tblDados[GM_V]))</f>
        <v/>
      </c>
      <c r="U840" s="14" t="str">
        <f t="shared" si="228"/>
        <v/>
      </c>
      <c r="V840" s="14" t="str">
        <f t="shared" si="217"/>
        <v/>
      </c>
      <c r="W840" s="14" t="str" cm="1">
        <f t="array" ref="W840">IF($A840="","",SUMPRODUCT((TRIM(tblDados[Mandante])=$A840)*tblDados[Primeira_Ocorrencia]*tblDados[GS_M]))</f>
        <v/>
      </c>
      <c r="X840" s="14" t="str" cm="1">
        <f t="array" ref="X840">IF($A840="","",SUMPRODUCT((TRIM(tblDados[Visitante])=$A840)*tblDados[Primeira_Ocorrencia]*tblDados[GS_V]))</f>
        <v/>
      </c>
      <c r="Y840" s="14" t="str">
        <f t="shared" si="229"/>
        <v/>
      </c>
      <c r="Z840" s="14" t="str">
        <f t="shared" si="218"/>
        <v/>
      </c>
      <c r="AA840" s="14" t="str">
        <f t="shared" si="219"/>
        <v/>
      </c>
      <c r="AB840" s="14" t="str">
        <f t="shared" si="220"/>
        <v/>
      </c>
      <c r="AC840" s="14" t="str">
        <f t="shared" si="221"/>
        <v/>
      </c>
      <c r="AD840" s="14" t="str">
        <f t="shared" si="222"/>
        <v/>
      </c>
    </row>
    <row r="841" spans="2:30" x14ac:dyDescent="0.3">
      <c r="B841" s="13" t="str" cm="1">
        <f t="array" ref="B841">IF($A841="","",_xlfn.LET(_xlpm.p,IFERROR(INDEX(tblDados[País],MATCH($A841,TRIM(tblDados[Mandante]),0)),INDEX(tblDados[País],MATCH($A841,TRIM(tblDados[Visitante]),0))),_xlpm.l,IFERROR(INDEX(tblDados[Liga],MATCH($A841,TRIM(tblDados[Mandante]),0)),INDEX(tblDados[Liga],MATCH($A841,TRIM(tblDados[Visitante]),0))),_xlpm.p&amp;" - "&amp;_xlpm.l))</f>
        <v/>
      </c>
      <c r="C841" s="14" t="str">
        <f t="shared" si="223"/>
        <v/>
      </c>
      <c r="D841" s="14" t="str">
        <f t="shared" si="224"/>
        <v/>
      </c>
      <c r="E841" s="15" t="str" cm="1">
        <f t="array" ref="E841">IF($A841="","",SUMPRODUCT((TRIM(tblDados[Mandante])=$A841)*tblDados[Primeira_Ocorrencia]))</f>
        <v/>
      </c>
      <c r="F841" s="15" t="str" cm="1">
        <f t="array" ref="F841">IF($A841="","",SUMPRODUCT((TRIM(tblDados[Visitante])=$A841)*tblDados[Primeira_Ocorrencia]))</f>
        <v/>
      </c>
      <c r="G841" s="15" t="str" cm="1">
        <f t="array" ref="G841">IF($A841="","",SUMPRODUCT((TRIM(tblDados[Mandante])=$A841)*tblDados[Primeira_Ocorrencia])+SUMPRODUCT((TRIM(tblDados[Visitante])=$A841)*tblDados[Primeira_Ocorrencia]))</f>
        <v/>
      </c>
      <c r="H841" s="14" t="str">
        <f t="shared" si="225"/>
        <v/>
      </c>
      <c r="I841" s="14" t="str" cm="1">
        <f t="array" ref="I841">IF($A841="","",_xlfn.LET(_xlpm.p,IFERROR(INDEX(tblDados[País],MATCH($A841,TRIM(tblDados[Mandante]),0)),INDEX(tblDados[País],MATCH($A841,TRIM(tblDados[Visitante]),0))),_xlpm.l,IFERROR(INDEX(tblDados[Liga],MATCH($A841,TRIM(tblDados[Mandante]),0)),INDEX(tblDados[Liga],MATCH($A841,TRIM(tblDados[Visitante]),0))),IFERROR(SUMIFS(Ligas!$D$2:$D$39,Ligas!$H$2:$H$39,_xlpm.p,Ligas!$I$2:$I$39,_xlpm.l),0)))</f>
        <v/>
      </c>
      <c r="J841" s="16" t="str" cm="1">
        <f t="array" ref="J841">IF($A841="","",IFERROR((SUMPRODUCT((TRIM(tblDados[Mandante])=$A841)*tblDados[Primeira_Ocorrencia]*(tblDados[GM_M]=0))+SUMPRODUCT((TRIM(tblDados[Visitante])=$A841)*tblDados[Primeira_Ocorrencia]*(tblDados[GM_V]=0)))/G841,0))</f>
        <v/>
      </c>
      <c r="K841" s="16" t="str" cm="1">
        <f t="array" ref="K841">IF($A841="","",IFERROR((SUMPRODUCT((TRIM(tblDados[Mandante])=$A841)*tblDados[Primeira_Ocorrencia]*((tblDados[GM_M]+tblDados[GS_M])&gt;0.5))+SUMPRODUCT((TRIM(tblDados[Visitante])=$A841)*tblDados[Primeira_Ocorrencia]*((tblDados[GM_V]+tblDados[GS_V])&gt;0.5)))/G841,0))</f>
        <v/>
      </c>
      <c r="L841" s="16" t="str" cm="1">
        <f t="array" ref="L841">IF($A841="","",IFERROR((SUMPRODUCT((TRIM(tblDados[Mandante])=$A841)*tblDados[Primeira_Ocorrencia]*((tblDados[GM_M]+tblDados[GS_M])&gt;1.5))+SUMPRODUCT((TRIM(tblDados[Visitante])=$A841)*tblDados[Primeira_Ocorrencia]*((tblDados[GM_V]+tblDados[GS_V])&gt;1.5)))/G841,0))</f>
        <v/>
      </c>
      <c r="M841" s="16" t="str" cm="1">
        <f t="array" ref="M841">IF($A841="","",IFERROR((SUMPRODUCT((TRIM(tblDados[Mandante])=$A841)*tblDados[Primeira_Ocorrencia]*((tblDados[GM_M]+tblDados[GS_M])&gt;2.5))+SUMPRODUCT((TRIM(tblDados[Visitante])=$A841)*tblDados[Primeira_Ocorrencia]*((tblDados[GM_V]+tblDados[GS_V])&gt;2.5)))/G841,0))</f>
        <v/>
      </c>
      <c r="N841" s="16" t="str" cm="1">
        <f t="array" ref="N841">IF($A841="","",IFERROR((SUMPRODUCT((TRIM(tblDados[Mandante])=$A841)*tblDados[Primeira_Ocorrencia]*((tblDados[GM_M]+tblDados[GS_M])&gt;3.5))+SUMPRODUCT((TRIM(tblDados[Visitante])=$A841)*tblDados[Primeira_Ocorrencia]*((tblDados[GM_V]+tblDados[GS_V])&gt;3.5)))/G841,0))</f>
        <v/>
      </c>
      <c r="O841" s="16" t="str" cm="1">
        <f t="array" ref="O841">IF($A841="","",IFERROR((SUMPRODUCT((TRIM(tblDados[Mandante])=$A841)*tblDados[Primeira_Ocorrencia]*(tblDados[GM_M]&gt;0)*(tblDados[GS_M]&gt;0))+SUMPRODUCT((TRIM(tblDados[Visitante])=$A841)*tblDados[Primeira_Ocorrencia]*(tblDados[GM_V]&gt;0)*(tblDados[GS_V]&gt;0)))/G841,0))</f>
        <v/>
      </c>
      <c r="P841" s="14" t="str" cm="1">
        <f t="array" ref="P841">IF($A841="","",IFERROR((SUMPRODUCT((TRIM(tblDados[Mandante])=$A841)*tblDados[Primeira_Ocorrencia]*tblDados[GM_M]^2)+SUMPRODUCT((TRIM(tblDados[Visitante])=$A841)*tblDados[Primeira_Ocorrencia]*tblDados[GM_V]^2))/G841-H841^2,0))</f>
        <v/>
      </c>
      <c r="Q841" s="14" t="str">
        <f t="shared" si="226"/>
        <v/>
      </c>
      <c r="R841" s="1" t="str">
        <f t="shared" si="227"/>
        <v/>
      </c>
      <c r="S841" s="14" t="str" cm="1">
        <f t="array" ref="S841">IF($A841="","",SUMPRODUCT((TRIM(tblDados[Mandante])=$A841)*tblDados[Primeira_Ocorrencia]*tblDados[GM_M]))</f>
        <v/>
      </c>
      <c r="T841" s="14" t="str" cm="1">
        <f t="array" ref="T841">IF($A841="","",SUMPRODUCT((TRIM(tblDados[Visitante])=$A841)*tblDados[Primeira_Ocorrencia]*tblDados[GM_V]))</f>
        <v/>
      </c>
      <c r="U841" s="14" t="str">
        <f t="shared" si="228"/>
        <v/>
      </c>
      <c r="V841" s="14" t="str">
        <f t="shared" si="217"/>
        <v/>
      </c>
      <c r="W841" s="14" t="str" cm="1">
        <f t="array" ref="W841">IF($A841="","",SUMPRODUCT((TRIM(tblDados[Mandante])=$A841)*tblDados[Primeira_Ocorrencia]*tblDados[GS_M]))</f>
        <v/>
      </c>
      <c r="X841" s="14" t="str" cm="1">
        <f t="array" ref="X841">IF($A841="","",SUMPRODUCT((TRIM(tblDados[Visitante])=$A841)*tblDados[Primeira_Ocorrencia]*tblDados[GS_V]))</f>
        <v/>
      </c>
      <c r="Y841" s="14" t="str">
        <f t="shared" si="229"/>
        <v/>
      </c>
      <c r="Z841" s="14" t="str">
        <f t="shared" si="218"/>
        <v/>
      </c>
      <c r="AA841" s="14" t="str">
        <f t="shared" si="219"/>
        <v/>
      </c>
      <c r="AB841" s="14" t="str">
        <f t="shared" si="220"/>
        <v/>
      </c>
      <c r="AC841" s="14" t="str">
        <f t="shared" si="221"/>
        <v/>
      </c>
      <c r="AD841" s="14" t="str">
        <f t="shared" si="222"/>
        <v/>
      </c>
    </row>
    <row r="842" spans="2:30" x14ac:dyDescent="0.3">
      <c r="B842" s="13" t="str" cm="1">
        <f t="array" ref="B842">IF($A842="","",_xlfn.LET(_xlpm.p,IFERROR(INDEX(tblDados[País],MATCH($A842,TRIM(tblDados[Mandante]),0)),INDEX(tblDados[País],MATCH($A842,TRIM(tblDados[Visitante]),0))),_xlpm.l,IFERROR(INDEX(tblDados[Liga],MATCH($A842,TRIM(tblDados[Mandante]),0)),INDEX(tblDados[Liga],MATCH($A842,TRIM(tblDados[Visitante]),0))),_xlpm.p&amp;" - "&amp;_xlpm.l))</f>
        <v/>
      </c>
      <c r="C842" s="14" t="str">
        <f t="shared" si="223"/>
        <v/>
      </c>
      <c r="D842" s="14" t="str">
        <f t="shared" si="224"/>
        <v/>
      </c>
      <c r="E842" s="15" t="str" cm="1">
        <f t="array" ref="E842">IF($A842="","",SUMPRODUCT((TRIM(tblDados[Mandante])=$A842)*tblDados[Primeira_Ocorrencia]))</f>
        <v/>
      </c>
      <c r="F842" s="15" t="str" cm="1">
        <f t="array" ref="F842">IF($A842="","",SUMPRODUCT((TRIM(tblDados[Visitante])=$A842)*tblDados[Primeira_Ocorrencia]))</f>
        <v/>
      </c>
      <c r="G842" s="15" t="str" cm="1">
        <f t="array" ref="G842">IF($A842="","",SUMPRODUCT((TRIM(tblDados[Mandante])=$A842)*tblDados[Primeira_Ocorrencia])+SUMPRODUCT((TRIM(tblDados[Visitante])=$A842)*tblDados[Primeira_Ocorrencia]))</f>
        <v/>
      </c>
      <c r="H842" s="14" t="str">
        <f t="shared" si="225"/>
        <v/>
      </c>
      <c r="I842" s="14" t="str" cm="1">
        <f t="array" ref="I842">IF($A842="","",_xlfn.LET(_xlpm.p,IFERROR(INDEX(tblDados[País],MATCH($A842,TRIM(tblDados[Mandante]),0)),INDEX(tblDados[País],MATCH($A842,TRIM(tblDados[Visitante]),0))),_xlpm.l,IFERROR(INDEX(tblDados[Liga],MATCH($A842,TRIM(tblDados[Mandante]),0)),INDEX(tblDados[Liga],MATCH($A842,TRIM(tblDados[Visitante]),0))),IFERROR(SUMIFS(Ligas!$D$2:$D$39,Ligas!$H$2:$H$39,_xlpm.p,Ligas!$I$2:$I$39,_xlpm.l),0)))</f>
        <v/>
      </c>
      <c r="J842" s="16" t="str" cm="1">
        <f t="array" ref="J842">IF($A842="","",IFERROR((SUMPRODUCT((TRIM(tblDados[Mandante])=$A842)*tblDados[Primeira_Ocorrencia]*(tblDados[GM_M]=0))+SUMPRODUCT((TRIM(tblDados[Visitante])=$A842)*tblDados[Primeira_Ocorrencia]*(tblDados[GM_V]=0)))/G842,0))</f>
        <v/>
      </c>
      <c r="K842" s="16" t="str" cm="1">
        <f t="array" ref="K842">IF($A842="","",IFERROR((SUMPRODUCT((TRIM(tblDados[Mandante])=$A842)*tblDados[Primeira_Ocorrencia]*((tblDados[GM_M]+tblDados[GS_M])&gt;0.5))+SUMPRODUCT((TRIM(tblDados[Visitante])=$A842)*tblDados[Primeira_Ocorrencia]*((tblDados[GM_V]+tblDados[GS_V])&gt;0.5)))/G842,0))</f>
        <v/>
      </c>
      <c r="L842" s="16" t="str" cm="1">
        <f t="array" ref="L842">IF($A842="","",IFERROR((SUMPRODUCT((TRIM(tblDados[Mandante])=$A842)*tblDados[Primeira_Ocorrencia]*((tblDados[GM_M]+tblDados[GS_M])&gt;1.5))+SUMPRODUCT((TRIM(tblDados[Visitante])=$A842)*tblDados[Primeira_Ocorrencia]*((tblDados[GM_V]+tblDados[GS_V])&gt;1.5)))/G842,0))</f>
        <v/>
      </c>
      <c r="M842" s="16" t="str" cm="1">
        <f t="array" ref="M842">IF($A842="","",IFERROR((SUMPRODUCT((TRIM(tblDados[Mandante])=$A842)*tblDados[Primeira_Ocorrencia]*((tblDados[GM_M]+tblDados[GS_M])&gt;2.5))+SUMPRODUCT((TRIM(tblDados[Visitante])=$A842)*tblDados[Primeira_Ocorrencia]*((tblDados[GM_V]+tblDados[GS_V])&gt;2.5)))/G842,0))</f>
        <v/>
      </c>
      <c r="N842" s="16" t="str" cm="1">
        <f t="array" ref="N842">IF($A842="","",IFERROR((SUMPRODUCT((TRIM(tblDados[Mandante])=$A842)*tblDados[Primeira_Ocorrencia]*((tblDados[GM_M]+tblDados[GS_M])&gt;3.5))+SUMPRODUCT((TRIM(tblDados[Visitante])=$A842)*tblDados[Primeira_Ocorrencia]*((tblDados[GM_V]+tblDados[GS_V])&gt;3.5)))/G842,0))</f>
        <v/>
      </c>
      <c r="O842" s="16" t="str" cm="1">
        <f t="array" ref="O842">IF($A842="","",IFERROR((SUMPRODUCT((TRIM(tblDados[Mandante])=$A842)*tblDados[Primeira_Ocorrencia]*(tblDados[GM_M]&gt;0)*(tblDados[GS_M]&gt;0))+SUMPRODUCT((TRIM(tblDados[Visitante])=$A842)*tblDados[Primeira_Ocorrencia]*(tblDados[GM_V]&gt;0)*(tblDados[GS_V]&gt;0)))/G842,0))</f>
        <v/>
      </c>
      <c r="P842" s="14" t="str" cm="1">
        <f t="array" ref="P842">IF($A842="","",IFERROR((SUMPRODUCT((TRIM(tblDados[Mandante])=$A842)*tblDados[Primeira_Ocorrencia]*tblDados[GM_M]^2)+SUMPRODUCT((TRIM(tblDados[Visitante])=$A842)*tblDados[Primeira_Ocorrencia]*tblDados[GM_V]^2))/G842-H842^2,0))</f>
        <v/>
      </c>
      <c r="Q842" s="14" t="str">
        <f t="shared" si="226"/>
        <v/>
      </c>
      <c r="R842" s="1" t="str">
        <f t="shared" si="227"/>
        <v/>
      </c>
      <c r="S842" s="14" t="str" cm="1">
        <f t="array" ref="S842">IF($A842="","",SUMPRODUCT((TRIM(tblDados[Mandante])=$A842)*tblDados[Primeira_Ocorrencia]*tblDados[GM_M]))</f>
        <v/>
      </c>
      <c r="T842" s="14" t="str" cm="1">
        <f t="array" ref="T842">IF($A842="","",SUMPRODUCT((TRIM(tblDados[Visitante])=$A842)*tblDados[Primeira_Ocorrencia]*tblDados[GM_V]))</f>
        <v/>
      </c>
      <c r="U842" s="14" t="str">
        <f t="shared" si="228"/>
        <v/>
      </c>
      <c r="V842" s="14" t="str">
        <f t="shared" si="217"/>
        <v/>
      </c>
      <c r="W842" s="14" t="str" cm="1">
        <f t="array" ref="W842">IF($A842="","",SUMPRODUCT((TRIM(tblDados[Mandante])=$A842)*tblDados[Primeira_Ocorrencia]*tblDados[GS_M]))</f>
        <v/>
      </c>
      <c r="X842" s="14" t="str" cm="1">
        <f t="array" ref="X842">IF($A842="","",SUMPRODUCT((TRIM(tblDados[Visitante])=$A842)*tblDados[Primeira_Ocorrencia]*tblDados[GS_V]))</f>
        <v/>
      </c>
      <c r="Y842" s="14" t="str">
        <f t="shared" si="229"/>
        <v/>
      </c>
      <c r="Z842" s="14" t="str">
        <f t="shared" si="218"/>
        <v/>
      </c>
      <c r="AA842" s="14" t="str">
        <f t="shared" si="219"/>
        <v/>
      </c>
      <c r="AB842" s="14" t="str">
        <f t="shared" si="220"/>
        <v/>
      </c>
      <c r="AC842" s="14" t="str">
        <f t="shared" si="221"/>
        <v/>
      </c>
      <c r="AD842" s="14" t="str">
        <f t="shared" si="222"/>
        <v/>
      </c>
    </row>
    <row r="843" spans="2:30" x14ac:dyDescent="0.3">
      <c r="B843" s="13" t="str" cm="1">
        <f t="array" ref="B843">IF($A843="","",_xlfn.LET(_xlpm.p,IFERROR(INDEX(tblDados[País],MATCH($A843,TRIM(tblDados[Mandante]),0)),INDEX(tblDados[País],MATCH($A843,TRIM(tblDados[Visitante]),0))),_xlpm.l,IFERROR(INDEX(tblDados[Liga],MATCH($A843,TRIM(tblDados[Mandante]),0)),INDEX(tblDados[Liga],MATCH($A843,TRIM(tblDados[Visitante]),0))),_xlpm.p&amp;" - "&amp;_xlpm.l))</f>
        <v/>
      </c>
      <c r="C843" s="14" t="str">
        <f t="shared" si="223"/>
        <v/>
      </c>
      <c r="D843" s="14" t="str">
        <f t="shared" si="224"/>
        <v/>
      </c>
      <c r="E843" s="15" t="str" cm="1">
        <f t="array" ref="E843">IF($A843="","",SUMPRODUCT((TRIM(tblDados[Mandante])=$A843)*tblDados[Primeira_Ocorrencia]))</f>
        <v/>
      </c>
      <c r="F843" s="15" t="str" cm="1">
        <f t="array" ref="F843">IF($A843="","",SUMPRODUCT((TRIM(tblDados[Visitante])=$A843)*tblDados[Primeira_Ocorrencia]))</f>
        <v/>
      </c>
      <c r="G843" s="15" t="str" cm="1">
        <f t="array" ref="G843">IF($A843="","",SUMPRODUCT((TRIM(tblDados[Mandante])=$A843)*tblDados[Primeira_Ocorrencia])+SUMPRODUCT((TRIM(tblDados[Visitante])=$A843)*tblDados[Primeira_Ocorrencia]))</f>
        <v/>
      </c>
      <c r="H843" s="14" t="str">
        <f t="shared" si="225"/>
        <v/>
      </c>
      <c r="I843" s="14" t="str" cm="1">
        <f t="array" ref="I843">IF($A843="","",_xlfn.LET(_xlpm.p,IFERROR(INDEX(tblDados[País],MATCH($A843,TRIM(tblDados[Mandante]),0)),INDEX(tblDados[País],MATCH($A843,TRIM(tblDados[Visitante]),0))),_xlpm.l,IFERROR(INDEX(tblDados[Liga],MATCH($A843,TRIM(tblDados[Mandante]),0)),INDEX(tblDados[Liga],MATCH($A843,TRIM(tblDados[Visitante]),0))),IFERROR(SUMIFS(Ligas!$D$2:$D$39,Ligas!$H$2:$H$39,_xlpm.p,Ligas!$I$2:$I$39,_xlpm.l),0)))</f>
        <v/>
      </c>
      <c r="J843" s="16" t="str" cm="1">
        <f t="array" ref="J843">IF($A843="","",IFERROR((SUMPRODUCT((TRIM(tblDados[Mandante])=$A843)*tblDados[Primeira_Ocorrencia]*(tblDados[GM_M]=0))+SUMPRODUCT((TRIM(tblDados[Visitante])=$A843)*tblDados[Primeira_Ocorrencia]*(tblDados[GM_V]=0)))/G843,0))</f>
        <v/>
      </c>
      <c r="K843" s="16" t="str" cm="1">
        <f t="array" ref="K843">IF($A843="","",IFERROR((SUMPRODUCT((TRIM(tblDados[Mandante])=$A843)*tblDados[Primeira_Ocorrencia]*((tblDados[GM_M]+tblDados[GS_M])&gt;0.5))+SUMPRODUCT((TRIM(tblDados[Visitante])=$A843)*tblDados[Primeira_Ocorrencia]*((tblDados[GM_V]+tblDados[GS_V])&gt;0.5)))/G843,0))</f>
        <v/>
      </c>
      <c r="L843" s="16" t="str" cm="1">
        <f t="array" ref="L843">IF($A843="","",IFERROR((SUMPRODUCT((TRIM(tblDados[Mandante])=$A843)*tblDados[Primeira_Ocorrencia]*((tblDados[GM_M]+tblDados[GS_M])&gt;1.5))+SUMPRODUCT((TRIM(tblDados[Visitante])=$A843)*tblDados[Primeira_Ocorrencia]*((tblDados[GM_V]+tblDados[GS_V])&gt;1.5)))/G843,0))</f>
        <v/>
      </c>
      <c r="M843" s="16" t="str" cm="1">
        <f t="array" ref="M843">IF($A843="","",IFERROR((SUMPRODUCT((TRIM(tblDados[Mandante])=$A843)*tblDados[Primeira_Ocorrencia]*((tblDados[GM_M]+tblDados[GS_M])&gt;2.5))+SUMPRODUCT((TRIM(tblDados[Visitante])=$A843)*tblDados[Primeira_Ocorrencia]*((tblDados[GM_V]+tblDados[GS_V])&gt;2.5)))/G843,0))</f>
        <v/>
      </c>
      <c r="N843" s="16" t="str" cm="1">
        <f t="array" ref="N843">IF($A843="","",IFERROR((SUMPRODUCT((TRIM(tblDados[Mandante])=$A843)*tblDados[Primeira_Ocorrencia]*((tblDados[GM_M]+tblDados[GS_M])&gt;3.5))+SUMPRODUCT((TRIM(tblDados[Visitante])=$A843)*tblDados[Primeira_Ocorrencia]*((tblDados[GM_V]+tblDados[GS_V])&gt;3.5)))/G843,0))</f>
        <v/>
      </c>
      <c r="O843" s="16" t="str" cm="1">
        <f t="array" ref="O843">IF($A843="","",IFERROR((SUMPRODUCT((TRIM(tblDados[Mandante])=$A843)*tblDados[Primeira_Ocorrencia]*(tblDados[GM_M]&gt;0)*(tblDados[GS_M]&gt;0))+SUMPRODUCT((TRIM(tblDados[Visitante])=$A843)*tblDados[Primeira_Ocorrencia]*(tblDados[GM_V]&gt;0)*(tblDados[GS_V]&gt;0)))/G843,0))</f>
        <v/>
      </c>
      <c r="P843" s="14" t="str" cm="1">
        <f t="array" ref="P843">IF($A843="","",IFERROR((SUMPRODUCT((TRIM(tblDados[Mandante])=$A843)*tblDados[Primeira_Ocorrencia]*tblDados[GM_M]^2)+SUMPRODUCT((TRIM(tblDados[Visitante])=$A843)*tblDados[Primeira_Ocorrencia]*tblDados[GM_V]^2))/G843-H843^2,0))</f>
        <v/>
      </c>
      <c r="Q843" s="14" t="str">
        <f t="shared" si="226"/>
        <v/>
      </c>
      <c r="R843" s="1" t="str">
        <f t="shared" si="227"/>
        <v/>
      </c>
      <c r="S843" s="14" t="str" cm="1">
        <f t="array" ref="S843">IF($A843="","",SUMPRODUCT((TRIM(tblDados[Mandante])=$A843)*tblDados[Primeira_Ocorrencia]*tblDados[GM_M]))</f>
        <v/>
      </c>
      <c r="T843" s="14" t="str" cm="1">
        <f t="array" ref="T843">IF($A843="","",SUMPRODUCT((TRIM(tblDados[Visitante])=$A843)*tblDados[Primeira_Ocorrencia]*tblDados[GM_V]))</f>
        <v/>
      </c>
      <c r="U843" s="14" t="str">
        <f t="shared" si="228"/>
        <v/>
      </c>
      <c r="V843" s="14" t="str">
        <f t="shared" si="217"/>
        <v/>
      </c>
      <c r="W843" s="14" t="str" cm="1">
        <f t="array" ref="W843">IF($A843="","",SUMPRODUCT((TRIM(tblDados[Mandante])=$A843)*tblDados[Primeira_Ocorrencia]*tblDados[GS_M]))</f>
        <v/>
      </c>
      <c r="X843" s="14" t="str" cm="1">
        <f t="array" ref="X843">IF($A843="","",SUMPRODUCT((TRIM(tblDados[Visitante])=$A843)*tblDados[Primeira_Ocorrencia]*tblDados[GS_V]))</f>
        <v/>
      </c>
      <c r="Y843" s="14" t="str">
        <f t="shared" si="229"/>
        <v/>
      </c>
      <c r="Z843" s="14" t="str">
        <f t="shared" si="218"/>
        <v/>
      </c>
      <c r="AA843" s="14" t="str">
        <f t="shared" si="219"/>
        <v/>
      </c>
      <c r="AB843" s="14" t="str">
        <f t="shared" si="220"/>
        <v/>
      </c>
      <c r="AC843" s="14" t="str">
        <f t="shared" si="221"/>
        <v/>
      </c>
      <c r="AD843" s="14" t="str">
        <f t="shared" si="222"/>
        <v/>
      </c>
    </row>
    <row r="844" spans="2:30" x14ac:dyDescent="0.3">
      <c r="B844" s="13" t="str" cm="1">
        <f t="array" ref="B844">IF($A844="","",_xlfn.LET(_xlpm.p,IFERROR(INDEX(tblDados[País],MATCH($A844,TRIM(tblDados[Mandante]),0)),INDEX(tblDados[País],MATCH($A844,TRIM(tblDados[Visitante]),0))),_xlpm.l,IFERROR(INDEX(tblDados[Liga],MATCH($A844,TRIM(tblDados[Mandante]),0)),INDEX(tblDados[Liga],MATCH($A844,TRIM(tblDados[Visitante]),0))),_xlpm.p&amp;" - "&amp;_xlpm.l))</f>
        <v/>
      </c>
      <c r="C844" s="14" t="str">
        <f t="shared" si="223"/>
        <v/>
      </c>
      <c r="D844" s="14" t="str">
        <f t="shared" si="224"/>
        <v/>
      </c>
      <c r="E844" s="15" t="str" cm="1">
        <f t="array" ref="E844">IF($A844="","",SUMPRODUCT((TRIM(tblDados[Mandante])=$A844)*tblDados[Primeira_Ocorrencia]))</f>
        <v/>
      </c>
      <c r="F844" s="15" t="str" cm="1">
        <f t="array" ref="F844">IF($A844="","",SUMPRODUCT((TRIM(tblDados[Visitante])=$A844)*tblDados[Primeira_Ocorrencia]))</f>
        <v/>
      </c>
      <c r="G844" s="15" t="str" cm="1">
        <f t="array" ref="G844">IF($A844="","",SUMPRODUCT((TRIM(tblDados[Mandante])=$A844)*tblDados[Primeira_Ocorrencia])+SUMPRODUCT((TRIM(tblDados[Visitante])=$A844)*tblDados[Primeira_Ocorrencia]))</f>
        <v/>
      </c>
      <c r="H844" s="14" t="str">
        <f t="shared" si="225"/>
        <v/>
      </c>
      <c r="I844" s="14" t="str" cm="1">
        <f t="array" ref="I844">IF($A844="","",_xlfn.LET(_xlpm.p,IFERROR(INDEX(tblDados[País],MATCH($A844,TRIM(tblDados[Mandante]),0)),INDEX(tblDados[País],MATCH($A844,TRIM(tblDados[Visitante]),0))),_xlpm.l,IFERROR(INDEX(tblDados[Liga],MATCH($A844,TRIM(tblDados[Mandante]),0)),INDEX(tblDados[Liga],MATCH($A844,TRIM(tblDados[Visitante]),0))),IFERROR(SUMIFS(Ligas!$D$2:$D$39,Ligas!$H$2:$H$39,_xlpm.p,Ligas!$I$2:$I$39,_xlpm.l),0)))</f>
        <v/>
      </c>
      <c r="J844" s="16" t="str" cm="1">
        <f t="array" ref="J844">IF($A844="","",IFERROR((SUMPRODUCT((TRIM(tblDados[Mandante])=$A844)*tblDados[Primeira_Ocorrencia]*(tblDados[GM_M]=0))+SUMPRODUCT((TRIM(tblDados[Visitante])=$A844)*tblDados[Primeira_Ocorrencia]*(tblDados[GM_V]=0)))/G844,0))</f>
        <v/>
      </c>
      <c r="K844" s="16" t="str" cm="1">
        <f t="array" ref="K844">IF($A844="","",IFERROR((SUMPRODUCT((TRIM(tblDados[Mandante])=$A844)*tblDados[Primeira_Ocorrencia]*((tblDados[GM_M]+tblDados[GS_M])&gt;0.5))+SUMPRODUCT((TRIM(tblDados[Visitante])=$A844)*tblDados[Primeira_Ocorrencia]*((tblDados[GM_V]+tblDados[GS_V])&gt;0.5)))/G844,0))</f>
        <v/>
      </c>
      <c r="L844" s="16" t="str" cm="1">
        <f t="array" ref="L844">IF($A844="","",IFERROR((SUMPRODUCT((TRIM(tblDados[Mandante])=$A844)*tblDados[Primeira_Ocorrencia]*((tblDados[GM_M]+tblDados[GS_M])&gt;1.5))+SUMPRODUCT((TRIM(tblDados[Visitante])=$A844)*tblDados[Primeira_Ocorrencia]*((tblDados[GM_V]+tblDados[GS_V])&gt;1.5)))/G844,0))</f>
        <v/>
      </c>
      <c r="M844" s="16" t="str" cm="1">
        <f t="array" ref="M844">IF($A844="","",IFERROR((SUMPRODUCT((TRIM(tblDados[Mandante])=$A844)*tblDados[Primeira_Ocorrencia]*((tblDados[GM_M]+tblDados[GS_M])&gt;2.5))+SUMPRODUCT((TRIM(tblDados[Visitante])=$A844)*tblDados[Primeira_Ocorrencia]*((tblDados[GM_V]+tblDados[GS_V])&gt;2.5)))/G844,0))</f>
        <v/>
      </c>
      <c r="N844" s="16" t="str" cm="1">
        <f t="array" ref="N844">IF($A844="","",IFERROR((SUMPRODUCT((TRIM(tblDados[Mandante])=$A844)*tblDados[Primeira_Ocorrencia]*((tblDados[GM_M]+tblDados[GS_M])&gt;3.5))+SUMPRODUCT((TRIM(tblDados[Visitante])=$A844)*tblDados[Primeira_Ocorrencia]*((tblDados[GM_V]+tblDados[GS_V])&gt;3.5)))/G844,0))</f>
        <v/>
      </c>
      <c r="O844" s="16" t="str" cm="1">
        <f t="array" ref="O844">IF($A844="","",IFERROR((SUMPRODUCT((TRIM(tblDados[Mandante])=$A844)*tblDados[Primeira_Ocorrencia]*(tblDados[GM_M]&gt;0)*(tblDados[GS_M]&gt;0))+SUMPRODUCT((TRIM(tblDados[Visitante])=$A844)*tblDados[Primeira_Ocorrencia]*(tblDados[GM_V]&gt;0)*(tblDados[GS_V]&gt;0)))/G844,0))</f>
        <v/>
      </c>
      <c r="P844" s="14" t="str" cm="1">
        <f t="array" ref="P844">IF($A844="","",IFERROR((SUMPRODUCT((TRIM(tblDados[Mandante])=$A844)*tblDados[Primeira_Ocorrencia]*tblDados[GM_M]^2)+SUMPRODUCT((TRIM(tblDados[Visitante])=$A844)*tblDados[Primeira_Ocorrencia]*tblDados[GM_V]^2))/G844-H844^2,0))</f>
        <v/>
      </c>
      <c r="Q844" s="14" t="str">
        <f t="shared" si="226"/>
        <v/>
      </c>
      <c r="R844" s="1" t="str">
        <f t="shared" si="227"/>
        <v/>
      </c>
      <c r="S844" s="14" t="str" cm="1">
        <f t="array" ref="S844">IF($A844="","",SUMPRODUCT((TRIM(tblDados[Mandante])=$A844)*tblDados[Primeira_Ocorrencia]*tblDados[GM_M]))</f>
        <v/>
      </c>
      <c r="T844" s="14" t="str" cm="1">
        <f t="array" ref="T844">IF($A844="","",SUMPRODUCT((TRIM(tblDados[Visitante])=$A844)*tblDados[Primeira_Ocorrencia]*tblDados[GM_V]))</f>
        <v/>
      </c>
      <c r="U844" s="14" t="str">
        <f t="shared" si="228"/>
        <v/>
      </c>
      <c r="V844" s="14" t="str">
        <f t="shared" si="217"/>
        <v/>
      </c>
      <c r="W844" s="14" t="str" cm="1">
        <f t="array" ref="W844">IF($A844="","",SUMPRODUCT((TRIM(tblDados[Mandante])=$A844)*tblDados[Primeira_Ocorrencia]*tblDados[GS_M]))</f>
        <v/>
      </c>
      <c r="X844" s="14" t="str" cm="1">
        <f t="array" ref="X844">IF($A844="","",SUMPRODUCT((TRIM(tblDados[Visitante])=$A844)*tblDados[Primeira_Ocorrencia]*tblDados[GS_V]))</f>
        <v/>
      </c>
      <c r="Y844" s="14" t="str">
        <f t="shared" si="229"/>
        <v/>
      </c>
      <c r="Z844" s="14" t="str">
        <f t="shared" si="218"/>
        <v/>
      </c>
      <c r="AA844" s="14" t="str">
        <f t="shared" si="219"/>
        <v/>
      </c>
      <c r="AB844" s="14" t="str">
        <f t="shared" si="220"/>
        <v/>
      </c>
      <c r="AC844" s="14" t="str">
        <f t="shared" si="221"/>
        <v/>
      </c>
      <c r="AD844" s="14" t="str">
        <f t="shared" si="222"/>
        <v/>
      </c>
    </row>
    <row r="845" spans="2:30" x14ac:dyDescent="0.3">
      <c r="B845" s="13" t="str" cm="1">
        <f t="array" ref="B845">IF($A845="","",_xlfn.LET(_xlpm.p,IFERROR(INDEX(tblDados[País],MATCH($A845,TRIM(tblDados[Mandante]),0)),INDEX(tblDados[País],MATCH($A845,TRIM(tblDados[Visitante]),0))),_xlpm.l,IFERROR(INDEX(tblDados[Liga],MATCH($A845,TRIM(tblDados[Mandante]),0)),INDEX(tblDados[Liga],MATCH($A845,TRIM(tblDados[Visitante]),0))),_xlpm.p&amp;" - "&amp;_xlpm.l))</f>
        <v/>
      </c>
      <c r="C845" s="14" t="str">
        <f t="shared" si="223"/>
        <v/>
      </c>
      <c r="D845" s="14" t="str">
        <f t="shared" si="224"/>
        <v/>
      </c>
      <c r="E845" s="15" t="str" cm="1">
        <f t="array" ref="E845">IF($A845="","",SUMPRODUCT((TRIM(tblDados[Mandante])=$A845)*tblDados[Primeira_Ocorrencia]))</f>
        <v/>
      </c>
      <c r="F845" s="15" t="str" cm="1">
        <f t="array" ref="F845">IF($A845="","",SUMPRODUCT((TRIM(tblDados[Visitante])=$A845)*tblDados[Primeira_Ocorrencia]))</f>
        <v/>
      </c>
      <c r="G845" s="15" t="str" cm="1">
        <f t="array" ref="G845">IF($A845="","",SUMPRODUCT((TRIM(tblDados[Mandante])=$A845)*tblDados[Primeira_Ocorrencia])+SUMPRODUCT((TRIM(tblDados[Visitante])=$A845)*tblDados[Primeira_Ocorrencia]))</f>
        <v/>
      </c>
      <c r="H845" s="14" t="str">
        <f t="shared" si="225"/>
        <v/>
      </c>
      <c r="I845" s="14" t="str" cm="1">
        <f t="array" ref="I845">IF($A845="","",_xlfn.LET(_xlpm.p,IFERROR(INDEX(tblDados[País],MATCH($A845,TRIM(tblDados[Mandante]),0)),INDEX(tblDados[País],MATCH($A845,TRIM(tblDados[Visitante]),0))),_xlpm.l,IFERROR(INDEX(tblDados[Liga],MATCH($A845,TRIM(tblDados[Mandante]),0)),INDEX(tblDados[Liga],MATCH($A845,TRIM(tblDados[Visitante]),0))),IFERROR(SUMIFS(Ligas!$D$2:$D$39,Ligas!$H$2:$H$39,_xlpm.p,Ligas!$I$2:$I$39,_xlpm.l),0)))</f>
        <v/>
      </c>
      <c r="J845" s="16" t="str" cm="1">
        <f t="array" ref="J845">IF($A845="","",IFERROR((SUMPRODUCT((TRIM(tblDados[Mandante])=$A845)*tblDados[Primeira_Ocorrencia]*(tblDados[GM_M]=0))+SUMPRODUCT((TRIM(tblDados[Visitante])=$A845)*tblDados[Primeira_Ocorrencia]*(tblDados[GM_V]=0)))/G845,0))</f>
        <v/>
      </c>
      <c r="K845" s="16" t="str" cm="1">
        <f t="array" ref="K845">IF($A845="","",IFERROR((SUMPRODUCT((TRIM(tblDados[Mandante])=$A845)*tblDados[Primeira_Ocorrencia]*((tblDados[GM_M]+tblDados[GS_M])&gt;0.5))+SUMPRODUCT((TRIM(tblDados[Visitante])=$A845)*tblDados[Primeira_Ocorrencia]*((tblDados[GM_V]+tblDados[GS_V])&gt;0.5)))/G845,0))</f>
        <v/>
      </c>
      <c r="L845" s="16" t="str" cm="1">
        <f t="array" ref="L845">IF($A845="","",IFERROR((SUMPRODUCT((TRIM(tblDados[Mandante])=$A845)*tblDados[Primeira_Ocorrencia]*((tblDados[GM_M]+tblDados[GS_M])&gt;1.5))+SUMPRODUCT((TRIM(tblDados[Visitante])=$A845)*tblDados[Primeira_Ocorrencia]*((tblDados[GM_V]+tblDados[GS_V])&gt;1.5)))/G845,0))</f>
        <v/>
      </c>
      <c r="M845" s="16" t="str" cm="1">
        <f t="array" ref="M845">IF($A845="","",IFERROR((SUMPRODUCT((TRIM(tblDados[Mandante])=$A845)*tblDados[Primeira_Ocorrencia]*((tblDados[GM_M]+tblDados[GS_M])&gt;2.5))+SUMPRODUCT((TRIM(tblDados[Visitante])=$A845)*tblDados[Primeira_Ocorrencia]*((tblDados[GM_V]+tblDados[GS_V])&gt;2.5)))/G845,0))</f>
        <v/>
      </c>
      <c r="N845" s="16" t="str" cm="1">
        <f t="array" ref="N845">IF($A845="","",IFERROR((SUMPRODUCT((TRIM(tblDados[Mandante])=$A845)*tblDados[Primeira_Ocorrencia]*((tblDados[GM_M]+tblDados[GS_M])&gt;3.5))+SUMPRODUCT((TRIM(tblDados[Visitante])=$A845)*tblDados[Primeira_Ocorrencia]*((tblDados[GM_V]+tblDados[GS_V])&gt;3.5)))/G845,0))</f>
        <v/>
      </c>
      <c r="O845" s="16" t="str" cm="1">
        <f t="array" ref="O845">IF($A845="","",IFERROR((SUMPRODUCT((TRIM(tblDados[Mandante])=$A845)*tblDados[Primeira_Ocorrencia]*(tblDados[GM_M]&gt;0)*(tblDados[GS_M]&gt;0))+SUMPRODUCT((TRIM(tblDados[Visitante])=$A845)*tblDados[Primeira_Ocorrencia]*(tblDados[GM_V]&gt;0)*(tblDados[GS_V]&gt;0)))/G845,0))</f>
        <v/>
      </c>
      <c r="P845" s="14" t="str" cm="1">
        <f t="array" ref="P845">IF($A845="","",IFERROR((SUMPRODUCT((TRIM(tblDados[Mandante])=$A845)*tblDados[Primeira_Ocorrencia]*tblDados[GM_M]^2)+SUMPRODUCT((TRIM(tblDados[Visitante])=$A845)*tblDados[Primeira_Ocorrencia]*tblDados[GM_V]^2))/G845-H845^2,0))</f>
        <v/>
      </c>
      <c r="Q845" s="14" t="str">
        <f t="shared" si="226"/>
        <v/>
      </c>
      <c r="R845" s="1" t="str">
        <f t="shared" si="227"/>
        <v/>
      </c>
      <c r="S845" s="14" t="str" cm="1">
        <f t="array" ref="S845">IF($A845="","",SUMPRODUCT((TRIM(tblDados[Mandante])=$A845)*tblDados[Primeira_Ocorrencia]*tblDados[GM_M]))</f>
        <v/>
      </c>
      <c r="T845" s="14" t="str" cm="1">
        <f t="array" ref="T845">IF($A845="","",SUMPRODUCT((TRIM(tblDados[Visitante])=$A845)*tblDados[Primeira_Ocorrencia]*tblDados[GM_V]))</f>
        <v/>
      </c>
      <c r="U845" s="14" t="str">
        <f t="shared" si="228"/>
        <v/>
      </c>
      <c r="V845" s="14" t="str">
        <f t="shared" si="217"/>
        <v/>
      </c>
      <c r="W845" s="14" t="str" cm="1">
        <f t="array" ref="W845">IF($A845="","",SUMPRODUCT((TRIM(tblDados[Mandante])=$A845)*tblDados[Primeira_Ocorrencia]*tblDados[GS_M]))</f>
        <v/>
      </c>
      <c r="X845" s="14" t="str" cm="1">
        <f t="array" ref="X845">IF($A845="","",SUMPRODUCT((TRIM(tblDados[Visitante])=$A845)*tblDados[Primeira_Ocorrencia]*tblDados[GS_V]))</f>
        <v/>
      </c>
      <c r="Y845" s="14" t="str">
        <f t="shared" si="229"/>
        <v/>
      </c>
      <c r="Z845" s="14" t="str">
        <f t="shared" si="218"/>
        <v/>
      </c>
      <c r="AA845" s="14" t="str">
        <f t="shared" si="219"/>
        <v/>
      </c>
      <c r="AB845" s="14" t="str">
        <f t="shared" si="220"/>
        <v/>
      </c>
      <c r="AC845" s="14" t="str">
        <f t="shared" si="221"/>
        <v/>
      </c>
      <c r="AD845" s="14" t="str">
        <f t="shared" si="222"/>
        <v/>
      </c>
    </row>
    <row r="846" spans="2:30" x14ac:dyDescent="0.3">
      <c r="B846" s="13" t="str" cm="1">
        <f t="array" ref="B846">IF($A846="","",_xlfn.LET(_xlpm.p,IFERROR(INDEX(tblDados[País],MATCH($A846,TRIM(tblDados[Mandante]),0)),INDEX(tblDados[País],MATCH($A846,TRIM(tblDados[Visitante]),0))),_xlpm.l,IFERROR(INDEX(tblDados[Liga],MATCH($A846,TRIM(tblDados[Mandante]),0)),INDEX(tblDados[Liga],MATCH($A846,TRIM(tblDados[Visitante]),0))),_xlpm.p&amp;" - "&amp;_xlpm.l))</f>
        <v/>
      </c>
      <c r="C846" s="14" t="str">
        <f t="shared" si="223"/>
        <v/>
      </c>
      <c r="D846" s="14" t="str">
        <f t="shared" si="224"/>
        <v/>
      </c>
      <c r="E846" s="15" t="str" cm="1">
        <f t="array" ref="E846">IF($A846="","",SUMPRODUCT((TRIM(tblDados[Mandante])=$A846)*tblDados[Primeira_Ocorrencia]))</f>
        <v/>
      </c>
      <c r="F846" s="15" t="str" cm="1">
        <f t="array" ref="F846">IF($A846="","",SUMPRODUCT((TRIM(tblDados[Visitante])=$A846)*tblDados[Primeira_Ocorrencia]))</f>
        <v/>
      </c>
      <c r="G846" s="15" t="str" cm="1">
        <f t="array" ref="G846">IF($A846="","",SUMPRODUCT((TRIM(tblDados[Mandante])=$A846)*tblDados[Primeira_Ocorrencia])+SUMPRODUCT((TRIM(tblDados[Visitante])=$A846)*tblDados[Primeira_Ocorrencia]))</f>
        <v/>
      </c>
      <c r="H846" s="14" t="str">
        <f t="shared" si="225"/>
        <v/>
      </c>
      <c r="I846" s="14" t="str" cm="1">
        <f t="array" ref="I846">IF($A846="","",_xlfn.LET(_xlpm.p,IFERROR(INDEX(tblDados[País],MATCH($A846,TRIM(tblDados[Mandante]),0)),INDEX(tblDados[País],MATCH($A846,TRIM(tblDados[Visitante]),0))),_xlpm.l,IFERROR(INDEX(tblDados[Liga],MATCH($A846,TRIM(tblDados[Mandante]),0)),INDEX(tblDados[Liga],MATCH($A846,TRIM(tblDados[Visitante]),0))),IFERROR(SUMIFS(Ligas!$D$2:$D$39,Ligas!$H$2:$H$39,_xlpm.p,Ligas!$I$2:$I$39,_xlpm.l),0)))</f>
        <v/>
      </c>
      <c r="J846" s="16" t="str" cm="1">
        <f t="array" ref="J846">IF($A846="","",IFERROR((SUMPRODUCT((TRIM(tblDados[Mandante])=$A846)*tblDados[Primeira_Ocorrencia]*(tblDados[GM_M]=0))+SUMPRODUCT((TRIM(tblDados[Visitante])=$A846)*tblDados[Primeira_Ocorrencia]*(tblDados[GM_V]=0)))/G846,0))</f>
        <v/>
      </c>
      <c r="K846" s="16" t="str" cm="1">
        <f t="array" ref="K846">IF($A846="","",IFERROR((SUMPRODUCT((TRIM(tblDados[Mandante])=$A846)*tblDados[Primeira_Ocorrencia]*((tblDados[GM_M]+tblDados[GS_M])&gt;0.5))+SUMPRODUCT((TRIM(tblDados[Visitante])=$A846)*tblDados[Primeira_Ocorrencia]*((tblDados[GM_V]+tblDados[GS_V])&gt;0.5)))/G846,0))</f>
        <v/>
      </c>
      <c r="L846" s="16" t="str" cm="1">
        <f t="array" ref="L846">IF($A846="","",IFERROR((SUMPRODUCT((TRIM(tblDados[Mandante])=$A846)*tblDados[Primeira_Ocorrencia]*((tblDados[GM_M]+tblDados[GS_M])&gt;1.5))+SUMPRODUCT((TRIM(tblDados[Visitante])=$A846)*tblDados[Primeira_Ocorrencia]*((tblDados[GM_V]+tblDados[GS_V])&gt;1.5)))/G846,0))</f>
        <v/>
      </c>
      <c r="M846" s="16" t="str" cm="1">
        <f t="array" ref="M846">IF($A846="","",IFERROR((SUMPRODUCT((TRIM(tblDados[Mandante])=$A846)*tblDados[Primeira_Ocorrencia]*((tblDados[GM_M]+tblDados[GS_M])&gt;2.5))+SUMPRODUCT((TRIM(tblDados[Visitante])=$A846)*tblDados[Primeira_Ocorrencia]*((tblDados[GM_V]+tblDados[GS_V])&gt;2.5)))/G846,0))</f>
        <v/>
      </c>
      <c r="N846" s="16" t="str" cm="1">
        <f t="array" ref="N846">IF($A846="","",IFERROR((SUMPRODUCT((TRIM(tblDados[Mandante])=$A846)*tblDados[Primeira_Ocorrencia]*((tblDados[GM_M]+tblDados[GS_M])&gt;3.5))+SUMPRODUCT((TRIM(tblDados[Visitante])=$A846)*tblDados[Primeira_Ocorrencia]*((tblDados[GM_V]+tblDados[GS_V])&gt;3.5)))/G846,0))</f>
        <v/>
      </c>
      <c r="O846" s="16" t="str" cm="1">
        <f t="array" ref="O846">IF($A846="","",IFERROR((SUMPRODUCT((TRIM(tblDados[Mandante])=$A846)*tblDados[Primeira_Ocorrencia]*(tblDados[GM_M]&gt;0)*(tblDados[GS_M]&gt;0))+SUMPRODUCT((TRIM(tblDados[Visitante])=$A846)*tblDados[Primeira_Ocorrencia]*(tblDados[GM_V]&gt;0)*(tblDados[GS_V]&gt;0)))/G846,0))</f>
        <v/>
      </c>
      <c r="P846" s="14" t="str" cm="1">
        <f t="array" ref="P846">IF($A846="","",IFERROR((SUMPRODUCT((TRIM(tblDados[Mandante])=$A846)*tblDados[Primeira_Ocorrencia]*tblDados[GM_M]^2)+SUMPRODUCT((TRIM(tblDados[Visitante])=$A846)*tblDados[Primeira_Ocorrencia]*tblDados[GM_V]^2))/G846-H846^2,0))</f>
        <v/>
      </c>
      <c r="Q846" s="14" t="str">
        <f t="shared" si="226"/>
        <v/>
      </c>
      <c r="R846" s="1" t="str">
        <f t="shared" si="227"/>
        <v/>
      </c>
      <c r="S846" s="14" t="str" cm="1">
        <f t="array" ref="S846">IF($A846="","",SUMPRODUCT((TRIM(tblDados[Mandante])=$A846)*tblDados[Primeira_Ocorrencia]*tblDados[GM_M]))</f>
        <v/>
      </c>
      <c r="T846" s="14" t="str" cm="1">
        <f t="array" ref="T846">IF($A846="","",SUMPRODUCT((TRIM(tblDados[Visitante])=$A846)*tblDados[Primeira_Ocorrencia]*tblDados[GM_V]))</f>
        <v/>
      </c>
      <c r="U846" s="14" t="str">
        <f t="shared" si="228"/>
        <v/>
      </c>
      <c r="V846" s="14" t="str">
        <f t="shared" si="217"/>
        <v/>
      </c>
      <c r="W846" s="14" t="str" cm="1">
        <f t="array" ref="W846">IF($A846="","",SUMPRODUCT((TRIM(tblDados[Mandante])=$A846)*tblDados[Primeira_Ocorrencia]*tblDados[GS_M]))</f>
        <v/>
      </c>
      <c r="X846" s="14" t="str" cm="1">
        <f t="array" ref="X846">IF($A846="","",SUMPRODUCT((TRIM(tblDados[Visitante])=$A846)*tblDados[Primeira_Ocorrencia]*tblDados[GS_V]))</f>
        <v/>
      </c>
      <c r="Y846" s="14" t="str">
        <f t="shared" si="229"/>
        <v/>
      </c>
      <c r="Z846" s="14" t="str">
        <f t="shared" si="218"/>
        <v/>
      </c>
      <c r="AA846" s="14" t="str">
        <f t="shared" si="219"/>
        <v/>
      </c>
      <c r="AB846" s="14" t="str">
        <f t="shared" si="220"/>
        <v/>
      </c>
      <c r="AC846" s="14" t="str">
        <f t="shared" si="221"/>
        <v/>
      </c>
      <c r="AD846" s="14" t="str">
        <f t="shared" si="222"/>
        <v/>
      </c>
    </row>
    <row r="847" spans="2:30" x14ac:dyDescent="0.3">
      <c r="B847" s="13" t="str" cm="1">
        <f t="array" ref="B847">IF($A847="","",_xlfn.LET(_xlpm.p,IFERROR(INDEX(tblDados[País],MATCH($A847,TRIM(tblDados[Mandante]),0)),INDEX(tblDados[País],MATCH($A847,TRIM(tblDados[Visitante]),0))),_xlpm.l,IFERROR(INDEX(tblDados[Liga],MATCH($A847,TRIM(tblDados[Mandante]),0)),INDEX(tblDados[Liga],MATCH($A847,TRIM(tblDados[Visitante]),0))),_xlpm.p&amp;" - "&amp;_xlpm.l))</f>
        <v/>
      </c>
      <c r="C847" s="14" t="str">
        <f t="shared" si="223"/>
        <v/>
      </c>
      <c r="D847" s="14" t="str">
        <f t="shared" si="224"/>
        <v/>
      </c>
      <c r="E847" s="15" t="str" cm="1">
        <f t="array" ref="E847">IF($A847="","",SUMPRODUCT((TRIM(tblDados[Mandante])=$A847)*tblDados[Primeira_Ocorrencia]))</f>
        <v/>
      </c>
      <c r="F847" s="15" t="str" cm="1">
        <f t="array" ref="F847">IF($A847="","",SUMPRODUCT((TRIM(tblDados[Visitante])=$A847)*tblDados[Primeira_Ocorrencia]))</f>
        <v/>
      </c>
      <c r="G847" s="15" t="str" cm="1">
        <f t="array" ref="G847">IF($A847="","",SUMPRODUCT((TRIM(tblDados[Mandante])=$A847)*tblDados[Primeira_Ocorrencia])+SUMPRODUCT((TRIM(tblDados[Visitante])=$A847)*tblDados[Primeira_Ocorrencia]))</f>
        <v/>
      </c>
      <c r="H847" s="14" t="str">
        <f t="shared" si="225"/>
        <v/>
      </c>
      <c r="I847" s="14" t="str" cm="1">
        <f t="array" ref="I847">IF($A847="","",_xlfn.LET(_xlpm.p,IFERROR(INDEX(tblDados[País],MATCH($A847,TRIM(tblDados[Mandante]),0)),INDEX(tblDados[País],MATCH($A847,TRIM(tblDados[Visitante]),0))),_xlpm.l,IFERROR(INDEX(tblDados[Liga],MATCH($A847,TRIM(tblDados[Mandante]),0)),INDEX(tblDados[Liga],MATCH($A847,TRIM(tblDados[Visitante]),0))),IFERROR(SUMIFS(Ligas!$D$2:$D$39,Ligas!$H$2:$H$39,_xlpm.p,Ligas!$I$2:$I$39,_xlpm.l),0)))</f>
        <v/>
      </c>
      <c r="J847" s="16" t="str" cm="1">
        <f t="array" ref="J847">IF($A847="","",IFERROR((SUMPRODUCT((TRIM(tblDados[Mandante])=$A847)*tblDados[Primeira_Ocorrencia]*(tblDados[GM_M]=0))+SUMPRODUCT((TRIM(tblDados[Visitante])=$A847)*tblDados[Primeira_Ocorrencia]*(tblDados[GM_V]=0)))/G847,0))</f>
        <v/>
      </c>
      <c r="K847" s="16" t="str" cm="1">
        <f t="array" ref="K847">IF($A847="","",IFERROR((SUMPRODUCT((TRIM(tblDados[Mandante])=$A847)*tblDados[Primeira_Ocorrencia]*((tblDados[GM_M]+tblDados[GS_M])&gt;0.5))+SUMPRODUCT((TRIM(tblDados[Visitante])=$A847)*tblDados[Primeira_Ocorrencia]*((tblDados[GM_V]+tblDados[GS_V])&gt;0.5)))/G847,0))</f>
        <v/>
      </c>
      <c r="L847" s="16" t="str" cm="1">
        <f t="array" ref="L847">IF($A847="","",IFERROR((SUMPRODUCT((TRIM(tblDados[Mandante])=$A847)*tblDados[Primeira_Ocorrencia]*((tblDados[GM_M]+tblDados[GS_M])&gt;1.5))+SUMPRODUCT((TRIM(tblDados[Visitante])=$A847)*tblDados[Primeira_Ocorrencia]*((tblDados[GM_V]+tblDados[GS_V])&gt;1.5)))/G847,0))</f>
        <v/>
      </c>
      <c r="M847" s="16" t="str" cm="1">
        <f t="array" ref="M847">IF($A847="","",IFERROR((SUMPRODUCT((TRIM(tblDados[Mandante])=$A847)*tblDados[Primeira_Ocorrencia]*((tblDados[GM_M]+tblDados[GS_M])&gt;2.5))+SUMPRODUCT((TRIM(tblDados[Visitante])=$A847)*tblDados[Primeira_Ocorrencia]*((tblDados[GM_V]+tblDados[GS_V])&gt;2.5)))/G847,0))</f>
        <v/>
      </c>
      <c r="N847" s="16" t="str" cm="1">
        <f t="array" ref="N847">IF($A847="","",IFERROR((SUMPRODUCT((TRIM(tblDados[Mandante])=$A847)*tblDados[Primeira_Ocorrencia]*((tblDados[GM_M]+tblDados[GS_M])&gt;3.5))+SUMPRODUCT((TRIM(tblDados[Visitante])=$A847)*tblDados[Primeira_Ocorrencia]*((tblDados[GM_V]+tblDados[GS_V])&gt;3.5)))/G847,0))</f>
        <v/>
      </c>
      <c r="O847" s="16" t="str" cm="1">
        <f t="array" ref="O847">IF($A847="","",IFERROR((SUMPRODUCT((TRIM(tblDados[Mandante])=$A847)*tblDados[Primeira_Ocorrencia]*(tblDados[GM_M]&gt;0)*(tblDados[GS_M]&gt;0))+SUMPRODUCT((TRIM(tblDados[Visitante])=$A847)*tblDados[Primeira_Ocorrencia]*(tblDados[GM_V]&gt;0)*(tblDados[GS_V]&gt;0)))/G847,0))</f>
        <v/>
      </c>
      <c r="P847" s="14" t="str" cm="1">
        <f t="array" ref="P847">IF($A847="","",IFERROR((SUMPRODUCT((TRIM(tblDados[Mandante])=$A847)*tblDados[Primeira_Ocorrencia]*tblDados[GM_M]^2)+SUMPRODUCT((TRIM(tblDados[Visitante])=$A847)*tblDados[Primeira_Ocorrencia]*tblDados[GM_V]^2))/G847-H847^2,0))</f>
        <v/>
      </c>
      <c r="Q847" s="14" t="str">
        <f t="shared" si="226"/>
        <v/>
      </c>
      <c r="R847" s="1" t="str">
        <f t="shared" si="227"/>
        <v/>
      </c>
      <c r="S847" s="14" t="str" cm="1">
        <f t="array" ref="S847">IF($A847="","",SUMPRODUCT((TRIM(tblDados[Mandante])=$A847)*tblDados[Primeira_Ocorrencia]*tblDados[GM_M]))</f>
        <v/>
      </c>
      <c r="T847" s="14" t="str" cm="1">
        <f t="array" ref="T847">IF($A847="","",SUMPRODUCT((TRIM(tblDados[Visitante])=$A847)*tblDados[Primeira_Ocorrencia]*tblDados[GM_V]))</f>
        <v/>
      </c>
      <c r="U847" s="14" t="str">
        <f t="shared" si="228"/>
        <v/>
      </c>
      <c r="V847" s="14" t="str">
        <f t="shared" si="217"/>
        <v/>
      </c>
      <c r="W847" s="14" t="str" cm="1">
        <f t="array" ref="W847">IF($A847="","",SUMPRODUCT((TRIM(tblDados[Mandante])=$A847)*tblDados[Primeira_Ocorrencia]*tblDados[GS_M]))</f>
        <v/>
      </c>
      <c r="X847" s="14" t="str" cm="1">
        <f t="array" ref="X847">IF($A847="","",SUMPRODUCT((TRIM(tblDados[Visitante])=$A847)*tblDados[Primeira_Ocorrencia]*tblDados[GS_V]))</f>
        <v/>
      </c>
      <c r="Y847" s="14" t="str">
        <f t="shared" si="229"/>
        <v/>
      </c>
      <c r="Z847" s="14" t="str">
        <f t="shared" si="218"/>
        <v/>
      </c>
      <c r="AA847" s="14" t="str">
        <f t="shared" si="219"/>
        <v/>
      </c>
      <c r="AB847" s="14" t="str">
        <f t="shared" si="220"/>
        <v/>
      </c>
      <c r="AC847" s="14" t="str">
        <f t="shared" si="221"/>
        <v/>
      </c>
      <c r="AD847" s="14" t="str">
        <f t="shared" si="222"/>
        <v/>
      </c>
    </row>
    <row r="848" spans="2:30" x14ac:dyDescent="0.3">
      <c r="B848" s="13" t="str" cm="1">
        <f t="array" ref="B848">IF($A848="","",_xlfn.LET(_xlpm.p,IFERROR(INDEX(tblDados[País],MATCH($A848,TRIM(tblDados[Mandante]),0)),INDEX(tblDados[País],MATCH($A848,TRIM(tblDados[Visitante]),0))),_xlpm.l,IFERROR(INDEX(tblDados[Liga],MATCH($A848,TRIM(tblDados[Mandante]),0)),INDEX(tblDados[Liga],MATCH($A848,TRIM(tblDados[Visitante]),0))),_xlpm.p&amp;" - "&amp;_xlpm.l))</f>
        <v/>
      </c>
      <c r="C848" s="14" t="str">
        <f t="shared" si="223"/>
        <v/>
      </c>
      <c r="D848" s="14" t="str">
        <f t="shared" si="224"/>
        <v/>
      </c>
      <c r="E848" s="15" t="str" cm="1">
        <f t="array" ref="E848">IF($A848="","",SUMPRODUCT((TRIM(tblDados[Mandante])=$A848)*tblDados[Primeira_Ocorrencia]))</f>
        <v/>
      </c>
      <c r="F848" s="15" t="str" cm="1">
        <f t="array" ref="F848">IF($A848="","",SUMPRODUCT((TRIM(tblDados[Visitante])=$A848)*tblDados[Primeira_Ocorrencia]))</f>
        <v/>
      </c>
      <c r="G848" s="15" t="str" cm="1">
        <f t="array" ref="G848">IF($A848="","",SUMPRODUCT((TRIM(tblDados[Mandante])=$A848)*tblDados[Primeira_Ocorrencia])+SUMPRODUCT((TRIM(tblDados[Visitante])=$A848)*tblDados[Primeira_Ocorrencia]))</f>
        <v/>
      </c>
      <c r="H848" s="14" t="str">
        <f t="shared" si="225"/>
        <v/>
      </c>
      <c r="I848" s="14" t="str" cm="1">
        <f t="array" ref="I848">IF($A848="","",_xlfn.LET(_xlpm.p,IFERROR(INDEX(tblDados[País],MATCH($A848,TRIM(tblDados[Mandante]),0)),INDEX(tblDados[País],MATCH($A848,TRIM(tblDados[Visitante]),0))),_xlpm.l,IFERROR(INDEX(tblDados[Liga],MATCH($A848,TRIM(tblDados[Mandante]),0)),INDEX(tblDados[Liga],MATCH($A848,TRIM(tblDados[Visitante]),0))),IFERROR(SUMIFS(Ligas!$D$2:$D$39,Ligas!$H$2:$H$39,_xlpm.p,Ligas!$I$2:$I$39,_xlpm.l),0)))</f>
        <v/>
      </c>
      <c r="J848" s="16" t="str" cm="1">
        <f t="array" ref="J848">IF($A848="","",IFERROR((SUMPRODUCT((TRIM(tblDados[Mandante])=$A848)*tblDados[Primeira_Ocorrencia]*(tblDados[GM_M]=0))+SUMPRODUCT((TRIM(tblDados[Visitante])=$A848)*tblDados[Primeira_Ocorrencia]*(tblDados[GM_V]=0)))/G848,0))</f>
        <v/>
      </c>
      <c r="K848" s="16" t="str" cm="1">
        <f t="array" ref="K848">IF($A848="","",IFERROR((SUMPRODUCT((TRIM(tblDados[Mandante])=$A848)*tblDados[Primeira_Ocorrencia]*((tblDados[GM_M]+tblDados[GS_M])&gt;0.5))+SUMPRODUCT((TRIM(tblDados[Visitante])=$A848)*tblDados[Primeira_Ocorrencia]*((tblDados[GM_V]+tblDados[GS_V])&gt;0.5)))/G848,0))</f>
        <v/>
      </c>
      <c r="L848" s="16" t="str" cm="1">
        <f t="array" ref="L848">IF($A848="","",IFERROR((SUMPRODUCT((TRIM(tblDados[Mandante])=$A848)*tblDados[Primeira_Ocorrencia]*((tblDados[GM_M]+tblDados[GS_M])&gt;1.5))+SUMPRODUCT((TRIM(tblDados[Visitante])=$A848)*tblDados[Primeira_Ocorrencia]*((tblDados[GM_V]+tblDados[GS_V])&gt;1.5)))/G848,0))</f>
        <v/>
      </c>
      <c r="M848" s="16" t="str" cm="1">
        <f t="array" ref="M848">IF($A848="","",IFERROR((SUMPRODUCT((TRIM(tblDados[Mandante])=$A848)*tblDados[Primeira_Ocorrencia]*((tblDados[GM_M]+tblDados[GS_M])&gt;2.5))+SUMPRODUCT((TRIM(tblDados[Visitante])=$A848)*tblDados[Primeira_Ocorrencia]*((tblDados[GM_V]+tblDados[GS_V])&gt;2.5)))/G848,0))</f>
        <v/>
      </c>
      <c r="N848" s="16" t="str" cm="1">
        <f t="array" ref="N848">IF($A848="","",IFERROR((SUMPRODUCT((TRIM(tblDados[Mandante])=$A848)*tblDados[Primeira_Ocorrencia]*((tblDados[GM_M]+tblDados[GS_M])&gt;3.5))+SUMPRODUCT((TRIM(tblDados[Visitante])=$A848)*tblDados[Primeira_Ocorrencia]*((tblDados[GM_V]+tblDados[GS_V])&gt;3.5)))/G848,0))</f>
        <v/>
      </c>
      <c r="O848" s="16" t="str" cm="1">
        <f t="array" ref="O848">IF($A848="","",IFERROR((SUMPRODUCT((TRIM(tblDados[Mandante])=$A848)*tblDados[Primeira_Ocorrencia]*(tblDados[GM_M]&gt;0)*(tblDados[GS_M]&gt;0))+SUMPRODUCT((TRIM(tblDados[Visitante])=$A848)*tblDados[Primeira_Ocorrencia]*(tblDados[GM_V]&gt;0)*(tblDados[GS_V]&gt;0)))/G848,0))</f>
        <v/>
      </c>
      <c r="P848" s="14" t="str" cm="1">
        <f t="array" ref="P848">IF($A848="","",IFERROR((SUMPRODUCT((TRIM(tblDados[Mandante])=$A848)*tblDados[Primeira_Ocorrencia]*tblDados[GM_M]^2)+SUMPRODUCT((TRIM(tblDados[Visitante])=$A848)*tblDados[Primeira_Ocorrencia]*tblDados[GM_V]^2))/G848-H848^2,0))</f>
        <v/>
      </c>
      <c r="Q848" s="14" t="str">
        <f t="shared" si="226"/>
        <v/>
      </c>
      <c r="R848" s="1" t="str">
        <f t="shared" si="227"/>
        <v/>
      </c>
      <c r="S848" s="14" t="str" cm="1">
        <f t="array" ref="S848">IF($A848="","",SUMPRODUCT((TRIM(tblDados[Mandante])=$A848)*tblDados[Primeira_Ocorrencia]*tblDados[GM_M]))</f>
        <v/>
      </c>
      <c r="T848" s="14" t="str" cm="1">
        <f t="array" ref="T848">IF($A848="","",SUMPRODUCT((TRIM(tblDados[Visitante])=$A848)*tblDados[Primeira_Ocorrencia]*tblDados[GM_V]))</f>
        <v/>
      </c>
      <c r="U848" s="14" t="str">
        <f t="shared" si="228"/>
        <v/>
      </c>
      <c r="V848" s="14" t="str">
        <f t="shared" si="217"/>
        <v/>
      </c>
      <c r="W848" s="14" t="str" cm="1">
        <f t="array" ref="W848">IF($A848="","",SUMPRODUCT((TRIM(tblDados[Mandante])=$A848)*tblDados[Primeira_Ocorrencia]*tblDados[GS_M]))</f>
        <v/>
      </c>
      <c r="X848" s="14" t="str" cm="1">
        <f t="array" ref="X848">IF($A848="","",SUMPRODUCT((TRIM(tblDados[Visitante])=$A848)*tblDados[Primeira_Ocorrencia]*tblDados[GS_V]))</f>
        <v/>
      </c>
      <c r="Y848" s="14" t="str">
        <f t="shared" si="229"/>
        <v/>
      </c>
      <c r="Z848" s="14" t="str">
        <f t="shared" si="218"/>
        <v/>
      </c>
      <c r="AA848" s="14" t="str">
        <f t="shared" si="219"/>
        <v/>
      </c>
      <c r="AB848" s="14" t="str">
        <f t="shared" si="220"/>
        <v/>
      </c>
      <c r="AC848" s="14" t="str">
        <f t="shared" si="221"/>
        <v/>
      </c>
      <c r="AD848" s="14" t="str">
        <f t="shared" si="222"/>
        <v/>
      </c>
    </row>
    <row r="849" spans="2:30" x14ac:dyDescent="0.3">
      <c r="B849" s="13" t="str" cm="1">
        <f t="array" ref="B849">IF($A849="","",_xlfn.LET(_xlpm.p,IFERROR(INDEX(tblDados[País],MATCH($A849,TRIM(tblDados[Mandante]),0)),INDEX(tblDados[País],MATCH($A849,TRIM(tblDados[Visitante]),0))),_xlpm.l,IFERROR(INDEX(tblDados[Liga],MATCH($A849,TRIM(tblDados[Mandante]),0)),INDEX(tblDados[Liga],MATCH($A849,TRIM(tblDados[Visitante]),0))),_xlpm.p&amp;" - "&amp;_xlpm.l))</f>
        <v/>
      </c>
      <c r="C849" s="14" t="str">
        <f t="shared" si="223"/>
        <v/>
      </c>
      <c r="D849" s="14" t="str">
        <f t="shared" si="224"/>
        <v/>
      </c>
      <c r="E849" s="15" t="str" cm="1">
        <f t="array" ref="E849">IF($A849="","",SUMPRODUCT((TRIM(tblDados[Mandante])=$A849)*tblDados[Primeira_Ocorrencia]))</f>
        <v/>
      </c>
      <c r="F849" s="15" t="str" cm="1">
        <f t="array" ref="F849">IF($A849="","",SUMPRODUCT((TRIM(tblDados[Visitante])=$A849)*tblDados[Primeira_Ocorrencia]))</f>
        <v/>
      </c>
      <c r="G849" s="15" t="str" cm="1">
        <f t="array" ref="G849">IF($A849="","",SUMPRODUCT((TRIM(tblDados[Mandante])=$A849)*tblDados[Primeira_Ocorrencia])+SUMPRODUCT((TRIM(tblDados[Visitante])=$A849)*tblDados[Primeira_Ocorrencia]))</f>
        <v/>
      </c>
      <c r="H849" s="14" t="str">
        <f t="shared" si="225"/>
        <v/>
      </c>
      <c r="I849" s="14" t="str" cm="1">
        <f t="array" ref="I849">IF($A849="","",_xlfn.LET(_xlpm.p,IFERROR(INDEX(tblDados[País],MATCH($A849,TRIM(tblDados[Mandante]),0)),INDEX(tblDados[País],MATCH($A849,TRIM(tblDados[Visitante]),0))),_xlpm.l,IFERROR(INDEX(tblDados[Liga],MATCH($A849,TRIM(tblDados[Mandante]),0)),INDEX(tblDados[Liga],MATCH($A849,TRIM(tblDados[Visitante]),0))),IFERROR(SUMIFS(Ligas!$D$2:$D$39,Ligas!$H$2:$H$39,_xlpm.p,Ligas!$I$2:$I$39,_xlpm.l),0)))</f>
        <v/>
      </c>
      <c r="J849" s="16" t="str" cm="1">
        <f t="array" ref="J849">IF($A849="","",IFERROR((SUMPRODUCT((TRIM(tblDados[Mandante])=$A849)*tblDados[Primeira_Ocorrencia]*(tblDados[GM_M]=0))+SUMPRODUCT((TRIM(tblDados[Visitante])=$A849)*tblDados[Primeira_Ocorrencia]*(tblDados[GM_V]=0)))/G849,0))</f>
        <v/>
      </c>
      <c r="K849" s="16" t="str" cm="1">
        <f t="array" ref="K849">IF($A849="","",IFERROR((SUMPRODUCT((TRIM(tblDados[Mandante])=$A849)*tblDados[Primeira_Ocorrencia]*((tblDados[GM_M]+tblDados[GS_M])&gt;0.5))+SUMPRODUCT((TRIM(tblDados[Visitante])=$A849)*tblDados[Primeira_Ocorrencia]*((tblDados[GM_V]+tblDados[GS_V])&gt;0.5)))/G849,0))</f>
        <v/>
      </c>
      <c r="L849" s="16" t="str" cm="1">
        <f t="array" ref="L849">IF($A849="","",IFERROR((SUMPRODUCT((TRIM(tblDados[Mandante])=$A849)*tblDados[Primeira_Ocorrencia]*((tblDados[GM_M]+tblDados[GS_M])&gt;1.5))+SUMPRODUCT((TRIM(tblDados[Visitante])=$A849)*tblDados[Primeira_Ocorrencia]*((tblDados[GM_V]+tblDados[GS_V])&gt;1.5)))/G849,0))</f>
        <v/>
      </c>
      <c r="M849" s="16" t="str" cm="1">
        <f t="array" ref="M849">IF($A849="","",IFERROR((SUMPRODUCT((TRIM(tblDados[Mandante])=$A849)*tblDados[Primeira_Ocorrencia]*((tblDados[GM_M]+tblDados[GS_M])&gt;2.5))+SUMPRODUCT((TRIM(tblDados[Visitante])=$A849)*tblDados[Primeira_Ocorrencia]*((tblDados[GM_V]+tblDados[GS_V])&gt;2.5)))/G849,0))</f>
        <v/>
      </c>
      <c r="N849" s="16" t="str" cm="1">
        <f t="array" ref="N849">IF($A849="","",IFERROR((SUMPRODUCT((TRIM(tblDados[Mandante])=$A849)*tblDados[Primeira_Ocorrencia]*((tblDados[GM_M]+tblDados[GS_M])&gt;3.5))+SUMPRODUCT((TRIM(tblDados[Visitante])=$A849)*tblDados[Primeira_Ocorrencia]*((tblDados[GM_V]+tblDados[GS_V])&gt;3.5)))/G849,0))</f>
        <v/>
      </c>
      <c r="O849" s="16" t="str" cm="1">
        <f t="array" ref="O849">IF($A849="","",IFERROR((SUMPRODUCT((TRIM(tblDados[Mandante])=$A849)*tblDados[Primeira_Ocorrencia]*(tblDados[GM_M]&gt;0)*(tblDados[GS_M]&gt;0))+SUMPRODUCT((TRIM(tblDados[Visitante])=$A849)*tblDados[Primeira_Ocorrencia]*(tblDados[GM_V]&gt;0)*(tblDados[GS_V]&gt;0)))/G849,0))</f>
        <v/>
      </c>
      <c r="P849" s="14" t="str" cm="1">
        <f t="array" ref="P849">IF($A849="","",IFERROR((SUMPRODUCT((TRIM(tblDados[Mandante])=$A849)*tblDados[Primeira_Ocorrencia]*tblDados[GM_M]^2)+SUMPRODUCT((TRIM(tblDados[Visitante])=$A849)*tblDados[Primeira_Ocorrencia]*tblDados[GM_V]^2))/G849-H849^2,0))</f>
        <v/>
      </c>
      <c r="Q849" s="14" t="str">
        <f t="shared" si="226"/>
        <v/>
      </c>
      <c r="R849" s="1" t="str">
        <f t="shared" si="227"/>
        <v/>
      </c>
      <c r="S849" s="14" t="str" cm="1">
        <f t="array" ref="S849">IF($A849="","",SUMPRODUCT((TRIM(tblDados[Mandante])=$A849)*tblDados[Primeira_Ocorrencia]*tblDados[GM_M]))</f>
        <v/>
      </c>
      <c r="T849" s="14" t="str" cm="1">
        <f t="array" ref="T849">IF($A849="","",SUMPRODUCT((TRIM(tblDados[Visitante])=$A849)*tblDados[Primeira_Ocorrencia]*tblDados[GM_V]))</f>
        <v/>
      </c>
      <c r="U849" s="14" t="str">
        <f t="shared" si="228"/>
        <v/>
      </c>
      <c r="V849" s="14" t="str">
        <f t="shared" si="217"/>
        <v/>
      </c>
      <c r="W849" s="14" t="str" cm="1">
        <f t="array" ref="W849">IF($A849="","",SUMPRODUCT((TRIM(tblDados[Mandante])=$A849)*tblDados[Primeira_Ocorrencia]*tblDados[GS_M]))</f>
        <v/>
      </c>
      <c r="X849" s="14" t="str" cm="1">
        <f t="array" ref="X849">IF($A849="","",SUMPRODUCT((TRIM(tblDados[Visitante])=$A849)*tblDados[Primeira_Ocorrencia]*tblDados[GS_V]))</f>
        <v/>
      </c>
      <c r="Y849" s="14" t="str">
        <f t="shared" si="229"/>
        <v/>
      </c>
      <c r="Z849" s="14" t="str">
        <f t="shared" si="218"/>
        <v/>
      </c>
      <c r="AA849" s="14" t="str">
        <f t="shared" si="219"/>
        <v/>
      </c>
      <c r="AB849" s="14" t="str">
        <f t="shared" si="220"/>
        <v/>
      </c>
      <c r="AC849" s="14" t="str">
        <f t="shared" si="221"/>
        <v/>
      </c>
      <c r="AD849" s="14" t="str">
        <f t="shared" si="222"/>
        <v/>
      </c>
    </row>
    <row r="850" spans="2:30" x14ac:dyDescent="0.3">
      <c r="B850" s="13" t="str" cm="1">
        <f t="array" ref="B850">IF($A850="","",_xlfn.LET(_xlpm.p,IFERROR(INDEX(tblDados[País],MATCH($A850,TRIM(tblDados[Mandante]),0)),INDEX(tblDados[País],MATCH($A850,TRIM(tblDados[Visitante]),0))),_xlpm.l,IFERROR(INDEX(tblDados[Liga],MATCH($A850,TRIM(tblDados[Mandante]),0)),INDEX(tblDados[Liga],MATCH($A850,TRIM(tblDados[Visitante]),0))),_xlpm.p&amp;" - "&amp;_xlpm.l))</f>
        <v/>
      </c>
      <c r="C850" s="14" t="str">
        <f t="shared" si="223"/>
        <v/>
      </c>
      <c r="D850" s="14" t="str">
        <f t="shared" si="224"/>
        <v/>
      </c>
      <c r="E850" s="15" t="str" cm="1">
        <f t="array" ref="E850">IF($A850="","",SUMPRODUCT((TRIM(tblDados[Mandante])=$A850)*tblDados[Primeira_Ocorrencia]))</f>
        <v/>
      </c>
      <c r="F850" s="15" t="str" cm="1">
        <f t="array" ref="F850">IF($A850="","",SUMPRODUCT((TRIM(tblDados[Visitante])=$A850)*tblDados[Primeira_Ocorrencia]))</f>
        <v/>
      </c>
      <c r="G850" s="15" t="str" cm="1">
        <f t="array" ref="G850">IF($A850="","",SUMPRODUCT((TRIM(tblDados[Mandante])=$A850)*tblDados[Primeira_Ocorrencia])+SUMPRODUCT((TRIM(tblDados[Visitante])=$A850)*tblDados[Primeira_Ocorrencia]))</f>
        <v/>
      </c>
      <c r="H850" s="14" t="str">
        <f t="shared" si="225"/>
        <v/>
      </c>
      <c r="I850" s="14" t="str" cm="1">
        <f t="array" ref="I850">IF($A850="","",_xlfn.LET(_xlpm.p,IFERROR(INDEX(tblDados[País],MATCH($A850,TRIM(tblDados[Mandante]),0)),INDEX(tblDados[País],MATCH($A850,TRIM(tblDados[Visitante]),0))),_xlpm.l,IFERROR(INDEX(tblDados[Liga],MATCH($A850,TRIM(tblDados[Mandante]),0)),INDEX(tblDados[Liga],MATCH($A850,TRIM(tblDados[Visitante]),0))),IFERROR(SUMIFS(Ligas!$D$2:$D$39,Ligas!$H$2:$H$39,_xlpm.p,Ligas!$I$2:$I$39,_xlpm.l),0)))</f>
        <v/>
      </c>
      <c r="J850" s="16" t="str" cm="1">
        <f t="array" ref="J850">IF($A850="","",IFERROR((SUMPRODUCT((TRIM(tblDados[Mandante])=$A850)*tblDados[Primeira_Ocorrencia]*(tblDados[GM_M]=0))+SUMPRODUCT((TRIM(tblDados[Visitante])=$A850)*tblDados[Primeira_Ocorrencia]*(tblDados[GM_V]=0)))/G850,0))</f>
        <v/>
      </c>
      <c r="K850" s="16" t="str" cm="1">
        <f t="array" ref="K850">IF($A850="","",IFERROR((SUMPRODUCT((TRIM(tblDados[Mandante])=$A850)*tblDados[Primeira_Ocorrencia]*((tblDados[GM_M]+tblDados[GS_M])&gt;0.5))+SUMPRODUCT((TRIM(tblDados[Visitante])=$A850)*tblDados[Primeira_Ocorrencia]*((tblDados[GM_V]+tblDados[GS_V])&gt;0.5)))/G850,0))</f>
        <v/>
      </c>
      <c r="L850" s="16" t="str" cm="1">
        <f t="array" ref="L850">IF($A850="","",IFERROR((SUMPRODUCT((TRIM(tblDados[Mandante])=$A850)*tblDados[Primeira_Ocorrencia]*((tblDados[GM_M]+tblDados[GS_M])&gt;1.5))+SUMPRODUCT((TRIM(tblDados[Visitante])=$A850)*tblDados[Primeira_Ocorrencia]*((tblDados[GM_V]+tblDados[GS_V])&gt;1.5)))/G850,0))</f>
        <v/>
      </c>
      <c r="M850" s="16" t="str" cm="1">
        <f t="array" ref="M850">IF($A850="","",IFERROR((SUMPRODUCT((TRIM(tblDados[Mandante])=$A850)*tblDados[Primeira_Ocorrencia]*((tblDados[GM_M]+tblDados[GS_M])&gt;2.5))+SUMPRODUCT((TRIM(tblDados[Visitante])=$A850)*tblDados[Primeira_Ocorrencia]*((tblDados[GM_V]+tblDados[GS_V])&gt;2.5)))/G850,0))</f>
        <v/>
      </c>
      <c r="N850" s="16" t="str" cm="1">
        <f t="array" ref="N850">IF($A850="","",IFERROR((SUMPRODUCT((TRIM(tblDados[Mandante])=$A850)*tblDados[Primeira_Ocorrencia]*((tblDados[GM_M]+tblDados[GS_M])&gt;3.5))+SUMPRODUCT((TRIM(tblDados[Visitante])=$A850)*tblDados[Primeira_Ocorrencia]*((tblDados[GM_V]+tblDados[GS_V])&gt;3.5)))/G850,0))</f>
        <v/>
      </c>
      <c r="O850" s="16" t="str" cm="1">
        <f t="array" ref="O850">IF($A850="","",IFERROR((SUMPRODUCT((TRIM(tblDados[Mandante])=$A850)*tblDados[Primeira_Ocorrencia]*(tblDados[GM_M]&gt;0)*(tblDados[GS_M]&gt;0))+SUMPRODUCT((TRIM(tblDados[Visitante])=$A850)*tblDados[Primeira_Ocorrencia]*(tblDados[GM_V]&gt;0)*(tblDados[GS_V]&gt;0)))/G850,0))</f>
        <v/>
      </c>
      <c r="P850" s="14" t="str" cm="1">
        <f t="array" ref="P850">IF($A850="","",IFERROR((SUMPRODUCT((TRIM(tblDados[Mandante])=$A850)*tblDados[Primeira_Ocorrencia]*tblDados[GM_M]^2)+SUMPRODUCT((TRIM(tblDados[Visitante])=$A850)*tblDados[Primeira_Ocorrencia]*tblDados[GM_V]^2))/G850-H850^2,0))</f>
        <v/>
      </c>
      <c r="Q850" s="14" t="str">
        <f t="shared" si="226"/>
        <v/>
      </c>
      <c r="R850" s="1" t="str">
        <f t="shared" si="227"/>
        <v/>
      </c>
      <c r="S850" s="14" t="str" cm="1">
        <f t="array" ref="S850">IF($A850="","",SUMPRODUCT((TRIM(tblDados[Mandante])=$A850)*tblDados[Primeira_Ocorrencia]*tblDados[GM_M]))</f>
        <v/>
      </c>
      <c r="T850" s="14" t="str" cm="1">
        <f t="array" ref="T850">IF($A850="","",SUMPRODUCT((TRIM(tblDados[Visitante])=$A850)*tblDados[Primeira_Ocorrencia]*tblDados[GM_V]))</f>
        <v/>
      </c>
      <c r="U850" s="14" t="str">
        <f t="shared" si="228"/>
        <v/>
      </c>
      <c r="V850" s="14" t="str">
        <f t="shared" si="217"/>
        <v/>
      </c>
      <c r="W850" s="14" t="str" cm="1">
        <f t="array" ref="W850">IF($A850="","",SUMPRODUCT((TRIM(tblDados[Mandante])=$A850)*tblDados[Primeira_Ocorrencia]*tblDados[GS_M]))</f>
        <v/>
      </c>
      <c r="X850" s="14" t="str" cm="1">
        <f t="array" ref="X850">IF($A850="","",SUMPRODUCT((TRIM(tblDados[Visitante])=$A850)*tblDados[Primeira_Ocorrencia]*tblDados[GS_V]))</f>
        <v/>
      </c>
      <c r="Y850" s="14" t="str">
        <f t="shared" si="229"/>
        <v/>
      </c>
      <c r="Z850" s="14" t="str">
        <f t="shared" si="218"/>
        <v/>
      </c>
      <c r="AA850" s="14" t="str">
        <f t="shared" si="219"/>
        <v/>
      </c>
      <c r="AB850" s="14" t="str">
        <f t="shared" si="220"/>
        <v/>
      </c>
      <c r="AC850" s="14" t="str">
        <f t="shared" si="221"/>
        <v/>
      </c>
      <c r="AD850" s="14" t="str">
        <f t="shared" si="222"/>
        <v/>
      </c>
    </row>
    <row r="851" spans="2:30" x14ac:dyDescent="0.3">
      <c r="B851" s="13" t="str" cm="1">
        <f t="array" ref="B851">IF($A851="","",_xlfn.LET(_xlpm.p,IFERROR(INDEX(tblDados[País],MATCH($A851,TRIM(tblDados[Mandante]),0)),INDEX(tblDados[País],MATCH($A851,TRIM(tblDados[Visitante]),0))),_xlpm.l,IFERROR(INDEX(tblDados[Liga],MATCH($A851,TRIM(tblDados[Mandante]),0)),INDEX(tblDados[Liga],MATCH($A851,TRIM(tblDados[Visitante]),0))),_xlpm.p&amp;" - "&amp;_xlpm.l))</f>
        <v/>
      </c>
      <c r="C851" s="14" t="str">
        <f t="shared" si="223"/>
        <v/>
      </c>
      <c r="D851" s="14" t="str">
        <f t="shared" si="224"/>
        <v/>
      </c>
      <c r="E851" s="15" t="str" cm="1">
        <f t="array" ref="E851">IF($A851="","",SUMPRODUCT((TRIM(tblDados[Mandante])=$A851)*tblDados[Primeira_Ocorrencia]))</f>
        <v/>
      </c>
      <c r="F851" s="15" t="str" cm="1">
        <f t="array" ref="F851">IF($A851="","",SUMPRODUCT((TRIM(tblDados[Visitante])=$A851)*tblDados[Primeira_Ocorrencia]))</f>
        <v/>
      </c>
      <c r="G851" s="15" t="str" cm="1">
        <f t="array" ref="G851">IF($A851="","",SUMPRODUCT((TRIM(tblDados[Mandante])=$A851)*tblDados[Primeira_Ocorrencia])+SUMPRODUCT((TRIM(tblDados[Visitante])=$A851)*tblDados[Primeira_Ocorrencia]))</f>
        <v/>
      </c>
      <c r="H851" s="14" t="str">
        <f t="shared" si="225"/>
        <v/>
      </c>
      <c r="I851" s="14" t="str" cm="1">
        <f t="array" ref="I851">IF($A851="","",_xlfn.LET(_xlpm.p,IFERROR(INDEX(tblDados[País],MATCH($A851,TRIM(tblDados[Mandante]),0)),INDEX(tblDados[País],MATCH($A851,TRIM(tblDados[Visitante]),0))),_xlpm.l,IFERROR(INDEX(tblDados[Liga],MATCH($A851,TRIM(tblDados[Mandante]),0)),INDEX(tblDados[Liga],MATCH($A851,TRIM(tblDados[Visitante]),0))),IFERROR(SUMIFS(Ligas!$D$2:$D$39,Ligas!$H$2:$H$39,_xlpm.p,Ligas!$I$2:$I$39,_xlpm.l),0)))</f>
        <v/>
      </c>
      <c r="J851" s="16" t="str" cm="1">
        <f t="array" ref="J851">IF($A851="","",IFERROR((SUMPRODUCT((TRIM(tblDados[Mandante])=$A851)*tblDados[Primeira_Ocorrencia]*(tblDados[GM_M]=0))+SUMPRODUCT((TRIM(tblDados[Visitante])=$A851)*tblDados[Primeira_Ocorrencia]*(tblDados[GM_V]=0)))/G851,0))</f>
        <v/>
      </c>
      <c r="K851" s="16" t="str" cm="1">
        <f t="array" ref="K851">IF($A851="","",IFERROR((SUMPRODUCT((TRIM(tblDados[Mandante])=$A851)*tblDados[Primeira_Ocorrencia]*((tblDados[GM_M]+tblDados[GS_M])&gt;0.5))+SUMPRODUCT((TRIM(tblDados[Visitante])=$A851)*tblDados[Primeira_Ocorrencia]*((tblDados[GM_V]+tblDados[GS_V])&gt;0.5)))/G851,0))</f>
        <v/>
      </c>
      <c r="L851" s="16" t="str" cm="1">
        <f t="array" ref="L851">IF($A851="","",IFERROR((SUMPRODUCT((TRIM(tblDados[Mandante])=$A851)*tblDados[Primeira_Ocorrencia]*((tblDados[GM_M]+tblDados[GS_M])&gt;1.5))+SUMPRODUCT((TRIM(tblDados[Visitante])=$A851)*tblDados[Primeira_Ocorrencia]*((tblDados[GM_V]+tblDados[GS_V])&gt;1.5)))/G851,0))</f>
        <v/>
      </c>
      <c r="M851" s="16" t="str" cm="1">
        <f t="array" ref="M851">IF($A851="","",IFERROR((SUMPRODUCT((TRIM(tblDados[Mandante])=$A851)*tblDados[Primeira_Ocorrencia]*((tblDados[GM_M]+tblDados[GS_M])&gt;2.5))+SUMPRODUCT((TRIM(tblDados[Visitante])=$A851)*tblDados[Primeira_Ocorrencia]*((tblDados[GM_V]+tblDados[GS_V])&gt;2.5)))/G851,0))</f>
        <v/>
      </c>
      <c r="N851" s="16" t="str" cm="1">
        <f t="array" ref="N851">IF($A851="","",IFERROR((SUMPRODUCT((TRIM(tblDados[Mandante])=$A851)*tblDados[Primeira_Ocorrencia]*((tblDados[GM_M]+tblDados[GS_M])&gt;3.5))+SUMPRODUCT((TRIM(tblDados[Visitante])=$A851)*tblDados[Primeira_Ocorrencia]*((tblDados[GM_V]+tblDados[GS_V])&gt;3.5)))/G851,0))</f>
        <v/>
      </c>
      <c r="O851" s="16" t="str" cm="1">
        <f t="array" ref="O851">IF($A851="","",IFERROR((SUMPRODUCT((TRIM(tblDados[Mandante])=$A851)*tblDados[Primeira_Ocorrencia]*(tblDados[GM_M]&gt;0)*(tblDados[GS_M]&gt;0))+SUMPRODUCT((TRIM(tblDados[Visitante])=$A851)*tblDados[Primeira_Ocorrencia]*(tblDados[GM_V]&gt;0)*(tblDados[GS_V]&gt;0)))/G851,0))</f>
        <v/>
      </c>
      <c r="P851" s="14" t="str" cm="1">
        <f t="array" ref="P851">IF($A851="","",IFERROR((SUMPRODUCT((TRIM(tblDados[Mandante])=$A851)*tblDados[Primeira_Ocorrencia]*tblDados[GM_M]^2)+SUMPRODUCT((TRIM(tblDados[Visitante])=$A851)*tblDados[Primeira_Ocorrencia]*tblDados[GM_V]^2))/G851-H851^2,0))</f>
        <v/>
      </c>
      <c r="Q851" s="14" t="str">
        <f t="shared" si="226"/>
        <v/>
      </c>
      <c r="R851" s="1" t="str">
        <f t="shared" si="227"/>
        <v/>
      </c>
      <c r="S851" s="14" t="str" cm="1">
        <f t="array" ref="S851">IF($A851="","",SUMPRODUCT((TRIM(tblDados[Mandante])=$A851)*tblDados[Primeira_Ocorrencia]*tblDados[GM_M]))</f>
        <v/>
      </c>
      <c r="T851" s="14" t="str" cm="1">
        <f t="array" ref="T851">IF($A851="","",SUMPRODUCT((TRIM(tblDados[Visitante])=$A851)*tblDados[Primeira_Ocorrencia]*tblDados[GM_V]))</f>
        <v/>
      </c>
      <c r="U851" s="14" t="str">
        <f t="shared" si="228"/>
        <v/>
      </c>
      <c r="V851" s="14" t="str">
        <f t="shared" si="217"/>
        <v/>
      </c>
      <c r="W851" s="14" t="str" cm="1">
        <f t="array" ref="W851">IF($A851="","",SUMPRODUCT((TRIM(tblDados[Mandante])=$A851)*tblDados[Primeira_Ocorrencia]*tblDados[GS_M]))</f>
        <v/>
      </c>
      <c r="X851" s="14" t="str" cm="1">
        <f t="array" ref="X851">IF($A851="","",SUMPRODUCT((TRIM(tblDados[Visitante])=$A851)*tblDados[Primeira_Ocorrencia]*tblDados[GS_V]))</f>
        <v/>
      </c>
      <c r="Y851" s="14" t="str">
        <f t="shared" si="229"/>
        <v/>
      </c>
      <c r="Z851" s="14" t="str">
        <f t="shared" si="218"/>
        <v/>
      </c>
      <c r="AA851" s="14" t="str">
        <f t="shared" si="219"/>
        <v/>
      </c>
      <c r="AB851" s="14" t="str">
        <f t="shared" si="220"/>
        <v/>
      </c>
      <c r="AC851" s="14" t="str">
        <f t="shared" si="221"/>
        <v/>
      </c>
      <c r="AD851" s="14" t="str">
        <f t="shared" si="222"/>
        <v/>
      </c>
    </row>
    <row r="852" spans="2:30" x14ac:dyDescent="0.3">
      <c r="B852" s="13" t="str" cm="1">
        <f t="array" ref="B852">IF($A852="","",_xlfn.LET(_xlpm.p,IFERROR(INDEX(tblDados[País],MATCH($A852,TRIM(tblDados[Mandante]),0)),INDEX(tblDados[País],MATCH($A852,TRIM(tblDados[Visitante]),0))),_xlpm.l,IFERROR(INDEX(tblDados[Liga],MATCH($A852,TRIM(tblDados[Mandante]),0)),INDEX(tblDados[Liga],MATCH($A852,TRIM(tblDados[Visitante]),0))),_xlpm.p&amp;" - "&amp;_xlpm.l))</f>
        <v/>
      </c>
      <c r="C852" s="14" t="str">
        <f t="shared" si="223"/>
        <v/>
      </c>
      <c r="D852" s="14" t="str">
        <f t="shared" si="224"/>
        <v/>
      </c>
      <c r="E852" s="15" t="str" cm="1">
        <f t="array" ref="E852">IF($A852="","",SUMPRODUCT((TRIM(tblDados[Mandante])=$A852)*tblDados[Primeira_Ocorrencia]))</f>
        <v/>
      </c>
      <c r="F852" s="15" t="str" cm="1">
        <f t="array" ref="F852">IF($A852="","",SUMPRODUCT((TRIM(tblDados[Visitante])=$A852)*tblDados[Primeira_Ocorrencia]))</f>
        <v/>
      </c>
      <c r="G852" s="15" t="str" cm="1">
        <f t="array" ref="G852">IF($A852="","",SUMPRODUCT((TRIM(tblDados[Mandante])=$A852)*tblDados[Primeira_Ocorrencia])+SUMPRODUCT((TRIM(tblDados[Visitante])=$A852)*tblDados[Primeira_Ocorrencia]))</f>
        <v/>
      </c>
      <c r="H852" s="14" t="str">
        <f t="shared" si="225"/>
        <v/>
      </c>
      <c r="I852" s="14" t="str" cm="1">
        <f t="array" ref="I852">IF($A852="","",_xlfn.LET(_xlpm.p,IFERROR(INDEX(tblDados[País],MATCH($A852,TRIM(tblDados[Mandante]),0)),INDEX(tblDados[País],MATCH($A852,TRIM(tblDados[Visitante]),0))),_xlpm.l,IFERROR(INDEX(tblDados[Liga],MATCH($A852,TRIM(tblDados[Mandante]),0)),INDEX(tblDados[Liga],MATCH($A852,TRIM(tblDados[Visitante]),0))),IFERROR(SUMIFS(Ligas!$D$2:$D$39,Ligas!$H$2:$H$39,_xlpm.p,Ligas!$I$2:$I$39,_xlpm.l),0)))</f>
        <v/>
      </c>
      <c r="J852" s="16" t="str" cm="1">
        <f t="array" ref="J852">IF($A852="","",IFERROR((SUMPRODUCT((TRIM(tblDados[Mandante])=$A852)*tblDados[Primeira_Ocorrencia]*(tblDados[GM_M]=0))+SUMPRODUCT((TRIM(tblDados[Visitante])=$A852)*tblDados[Primeira_Ocorrencia]*(tblDados[GM_V]=0)))/G852,0))</f>
        <v/>
      </c>
      <c r="K852" s="16" t="str" cm="1">
        <f t="array" ref="K852">IF($A852="","",IFERROR((SUMPRODUCT((TRIM(tblDados[Mandante])=$A852)*tblDados[Primeira_Ocorrencia]*((tblDados[GM_M]+tblDados[GS_M])&gt;0.5))+SUMPRODUCT((TRIM(tblDados[Visitante])=$A852)*tblDados[Primeira_Ocorrencia]*((tblDados[GM_V]+tblDados[GS_V])&gt;0.5)))/G852,0))</f>
        <v/>
      </c>
      <c r="L852" s="16" t="str" cm="1">
        <f t="array" ref="L852">IF($A852="","",IFERROR((SUMPRODUCT((TRIM(tblDados[Mandante])=$A852)*tblDados[Primeira_Ocorrencia]*((tblDados[GM_M]+tblDados[GS_M])&gt;1.5))+SUMPRODUCT((TRIM(tblDados[Visitante])=$A852)*tblDados[Primeira_Ocorrencia]*((tblDados[GM_V]+tblDados[GS_V])&gt;1.5)))/G852,0))</f>
        <v/>
      </c>
      <c r="M852" s="16" t="str" cm="1">
        <f t="array" ref="M852">IF($A852="","",IFERROR((SUMPRODUCT((TRIM(tblDados[Mandante])=$A852)*tblDados[Primeira_Ocorrencia]*((tblDados[GM_M]+tblDados[GS_M])&gt;2.5))+SUMPRODUCT((TRIM(tblDados[Visitante])=$A852)*tblDados[Primeira_Ocorrencia]*((tblDados[GM_V]+tblDados[GS_V])&gt;2.5)))/G852,0))</f>
        <v/>
      </c>
      <c r="N852" s="16" t="str" cm="1">
        <f t="array" ref="N852">IF($A852="","",IFERROR((SUMPRODUCT((TRIM(tblDados[Mandante])=$A852)*tblDados[Primeira_Ocorrencia]*((tblDados[GM_M]+tblDados[GS_M])&gt;3.5))+SUMPRODUCT((TRIM(tblDados[Visitante])=$A852)*tblDados[Primeira_Ocorrencia]*((tblDados[GM_V]+tblDados[GS_V])&gt;3.5)))/G852,0))</f>
        <v/>
      </c>
      <c r="O852" s="16" t="str" cm="1">
        <f t="array" ref="O852">IF($A852="","",IFERROR((SUMPRODUCT((TRIM(tblDados[Mandante])=$A852)*tblDados[Primeira_Ocorrencia]*(tblDados[GM_M]&gt;0)*(tblDados[GS_M]&gt;0))+SUMPRODUCT((TRIM(tblDados[Visitante])=$A852)*tblDados[Primeira_Ocorrencia]*(tblDados[GM_V]&gt;0)*(tblDados[GS_V]&gt;0)))/G852,0))</f>
        <v/>
      </c>
      <c r="P852" s="14" t="str" cm="1">
        <f t="array" ref="P852">IF($A852="","",IFERROR((SUMPRODUCT((TRIM(tblDados[Mandante])=$A852)*tblDados[Primeira_Ocorrencia]*tblDados[GM_M]^2)+SUMPRODUCT((TRIM(tblDados[Visitante])=$A852)*tblDados[Primeira_Ocorrencia]*tblDados[GM_V]^2))/G852-H852^2,0))</f>
        <v/>
      </c>
      <c r="Q852" s="14" t="str">
        <f t="shared" si="226"/>
        <v/>
      </c>
      <c r="R852" s="1" t="str">
        <f t="shared" si="227"/>
        <v/>
      </c>
      <c r="S852" s="14" t="str" cm="1">
        <f t="array" ref="S852">IF($A852="","",SUMPRODUCT((TRIM(tblDados[Mandante])=$A852)*tblDados[Primeira_Ocorrencia]*tblDados[GM_M]))</f>
        <v/>
      </c>
      <c r="T852" s="14" t="str" cm="1">
        <f t="array" ref="T852">IF($A852="","",SUMPRODUCT((TRIM(tblDados[Visitante])=$A852)*tblDados[Primeira_Ocorrencia]*tblDados[GM_V]))</f>
        <v/>
      </c>
      <c r="U852" s="14" t="str">
        <f t="shared" si="228"/>
        <v/>
      </c>
      <c r="V852" s="14" t="str">
        <f t="shared" si="217"/>
        <v/>
      </c>
      <c r="W852" s="14" t="str" cm="1">
        <f t="array" ref="W852">IF($A852="","",SUMPRODUCT((TRIM(tblDados[Mandante])=$A852)*tblDados[Primeira_Ocorrencia]*tblDados[GS_M]))</f>
        <v/>
      </c>
      <c r="X852" s="14" t="str" cm="1">
        <f t="array" ref="X852">IF($A852="","",SUMPRODUCT((TRIM(tblDados[Visitante])=$A852)*tblDados[Primeira_Ocorrencia]*tblDados[GS_V]))</f>
        <v/>
      </c>
      <c r="Y852" s="14" t="str">
        <f t="shared" si="229"/>
        <v/>
      </c>
      <c r="Z852" s="14" t="str">
        <f t="shared" si="218"/>
        <v/>
      </c>
      <c r="AA852" s="14" t="str">
        <f t="shared" si="219"/>
        <v/>
      </c>
      <c r="AB852" s="14" t="str">
        <f t="shared" si="220"/>
        <v/>
      </c>
      <c r="AC852" s="14" t="str">
        <f t="shared" si="221"/>
        <v/>
      </c>
      <c r="AD852" s="14" t="str">
        <f t="shared" si="222"/>
        <v/>
      </c>
    </row>
    <row r="853" spans="2:30" x14ac:dyDescent="0.3">
      <c r="B853" s="13" t="str" cm="1">
        <f t="array" ref="B853">IF($A853="","",_xlfn.LET(_xlpm.p,IFERROR(INDEX(tblDados[País],MATCH($A853,TRIM(tblDados[Mandante]),0)),INDEX(tblDados[País],MATCH($A853,TRIM(tblDados[Visitante]),0))),_xlpm.l,IFERROR(INDEX(tblDados[Liga],MATCH($A853,TRIM(tblDados[Mandante]),0)),INDEX(tblDados[Liga],MATCH($A853,TRIM(tblDados[Visitante]),0))),_xlpm.p&amp;" - "&amp;_xlpm.l))</f>
        <v/>
      </c>
      <c r="C853" s="14" t="str">
        <f t="shared" si="223"/>
        <v/>
      </c>
      <c r="D853" s="14" t="str">
        <f t="shared" si="224"/>
        <v/>
      </c>
      <c r="E853" s="15" t="str" cm="1">
        <f t="array" ref="E853">IF($A853="","",SUMPRODUCT((TRIM(tblDados[Mandante])=$A853)*tblDados[Primeira_Ocorrencia]))</f>
        <v/>
      </c>
      <c r="F853" s="15" t="str" cm="1">
        <f t="array" ref="F853">IF($A853="","",SUMPRODUCT((TRIM(tblDados[Visitante])=$A853)*tblDados[Primeira_Ocorrencia]))</f>
        <v/>
      </c>
      <c r="G853" s="15" t="str" cm="1">
        <f t="array" ref="G853">IF($A853="","",SUMPRODUCT((TRIM(tblDados[Mandante])=$A853)*tblDados[Primeira_Ocorrencia])+SUMPRODUCT((TRIM(tblDados[Visitante])=$A853)*tblDados[Primeira_Ocorrencia]))</f>
        <v/>
      </c>
      <c r="H853" s="14" t="str">
        <f t="shared" si="225"/>
        <v/>
      </c>
      <c r="I853" s="14" t="str" cm="1">
        <f t="array" ref="I853">IF($A853="","",_xlfn.LET(_xlpm.p,IFERROR(INDEX(tblDados[País],MATCH($A853,TRIM(tblDados[Mandante]),0)),INDEX(tblDados[País],MATCH($A853,TRIM(tblDados[Visitante]),0))),_xlpm.l,IFERROR(INDEX(tblDados[Liga],MATCH($A853,TRIM(tblDados[Mandante]),0)),INDEX(tblDados[Liga],MATCH($A853,TRIM(tblDados[Visitante]),0))),IFERROR(SUMIFS(Ligas!$D$2:$D$39,Ligas!$H$2:$H$39,_xlpm.p,Ligas!$I$2:$I$39,_xlpm.l),0)))</f>
        <v/>
      </c>
      <c r="J853" s="16" t="str" cm="1">
        <f t="array" ref="J853">IF($A853="","",IFERROR((SUMPRODUCT((TRIM(tblDados[Mandante])=$A853)*tblDados[Primeira_Ocorrencia]*(tblDados[GM_M]=0))+SUMPRODUCT((TRIM(tblDados[Visitante])=$A853)*tblDados[Primeira_Ocorrencia]*(tblDados[GM_V]=0)))/G853,0))</f>
        <v/>
      </c>
      <c r="K853" s="16" t="str" cm="1">
        <f t="array" ref="K853">IF($A853="","",IFERROR((SUMPRODUCT((TRIM(tblDados[Mandante])=$A853)*tblDados[Primeira_Ocorrencia]*((tblDados[GM_M]+tblDados[GS_M])&gt;0.5))+SUMPRODUCT((TRIM(tblDados[Visitante])=$A853)*tblDados[Primeira_Ocorrencia]*((tblDados[GM_V]+tblDados[GS_V])&gt;0.5)))/G853,0))</f>
        <v/>
      </c>
      <c r="L853" s="16" t="str" cm="1">
        <f t="array" ref="L853">IF($A853="","",IFERROR((SUMPRODUCT((TRIM(tblDados[Mandante])=$A853)*tblDados[Primeira_Ocorrencia]*((tblDados[GM_M]+tblDados[GS_M])&gt;1.5))+SUMPRODUCT((TRIM(tblDados[Visitante])=$A853)*tblDados[Primeira_Ocorrencia]*((tblDados[GM_V]+tblDados[GS_V])&gt;1.5)))/G853,0))</f>
        <v/>
      </c>
      <c r="M853" s="16" t="str" cm="1">
        <f t="array" ref="M853">IF($A853="","",IFERROR((SUMPRODUCT((TRIM(tblDados[Mandante])=$A853)*tblDados[Primeira_Ocorrencia]*((tblDados[GM_M]+tblDados[GS_M])&gt;2.5))+SUMPRODUCT((TRIM(tblDados[Visitante])=$A853)*tblDados[Primeira_Ocorrencia]*((tblDados[GM_V]+tblDados[GS_V])&gt;2.5)))/G853,0))</f>
        <v/>
      </c>
      <c r="N853" s="16" t="str" cm="1">
        <f t="array" ref="N853">IF($A853="","",IFERROR((SUMPRODUCT((TRIM(tblDados[Mandante])=$A853)*tblDados[Primeira_Ocorrencia]*((tblDados[GM_M]+tblDados[GS_M])&gt;3.5))+SUMPRODUCT((TRIM(tblDados[Visitante])=$A853)*tblDados[Primeira_Ocorrencia]*((tblDados[GM_V]+tblDados[GS_V])&gt;3.5)))/G853,0))</f>
        <v/>
      </c>
      <c r="O853" s="16" t="str" cm="1">
        <f t="array" ref="O853">IF($A853="","",IFERROR((SUMPRODUCT((TRIM(tblDados[Mandante])=$A853)*tblDados[Primeira_Ocorrencia]*(tblDados[GM_M]&gt;0)*(tblDados[GS_M]&gt;0))+SUMPRODUCT((TRIM(tblDados[Visitante])=$A853)*tblDados[Primeira_Ocorrencia]*(tblDados[GM_V]&gt;0)*(tblDados[GS_V]&gt;0)))/G853,0))</f>
        <v/>
      </c>
      <c r="P853" s="14" t="str" cm="1">
        <f t="array" ref="P853">IF($A853="","",IFERROR((SUMPRODUCT((TRIM(tblDados[Mandante])=$A853)*tblDados[Primeira_Ocorrencia]*tblDados[GM_M]^2)+SUMPRODUCT((TRIM(tblDados[Visitante])=$A853)*tblDados[Primeira_Ocorrencia]*tblDados[GM_V]^2))/G853-H853^2,0))</f>
        <v/>
      </c>
      <c r="Q853" s="14" t="str">
        <f t="shared" si="226"/>
        <v/>
      </c>
      <c r="R853" s="1" t="str">
        <f t="shared" si="227"/>
        <v/>
      </c>
      <c r="S853" s="14" t="str" cm="1">
        <f t="array" ref="S853">IF($A853="","",SUMPRODUCT((TRIM(tblDados[Mandante])=$A853)*tblDados[Primeira_Ocorrencia]*tblDados[GM_M]))</f>
        <v/>
      </c>
      <c r="T853" s="14" t="str" cm="1">
        <f t="array" ref="T853">IF($A853="","",SUMPRODUCT((TRIM(tblDados[Visitante])=$A853)*tblDados[Primeira_Ocorrencia]*tblDados[GM_V]))</f>
        <v/>
      </c>
      <c r="U853" s="14" t="str">
        <f t="shared" si="228"/>
        <v/>
      </c>
      <c r="V853" s="14" t="str">
        <f t="shared" si="217"/>
        <v/>
      </c>
      <c r="W853" s="14" t="str" cm="1">
        <f t="array" ref="W853">IF($A853="","",SUMPRODUCT((TRIM(tblDados[Mandante])=$A853)*tblDados[Primeira_Ocorrencia]*tblDados[GS_M]))</f>
        <v/>
      </c>
      <c r="X853" s="14" t="str" cm="1">
        <f t="array" ref="X853">IF($A853="","",SUMPRODUCT((TRIM(tblDados[Visitante])=$A853)*tblDados[Primeira_Ocorrencia]*tblDados[GS_V]))</f>
        <v/>
      </c>
      <c r="Y853" s="14" t="str">
        <f t="shared" si="229"/>
        <v/>
      </c>
      <c r="Z853" s="14" t="str">
        <f t="shared" si="218"/>
        <v/>
      </c>
      <c r="AA853" s="14" t="str">
        <f t="shared" si="219"/>
        <v/>
      </c>
      <c r="AB853" s="14" t="str">
        <f t="shared" si="220"/>
        <v/>
      </c>
      <c r="AC853" s="14" t="str">
        <f t="shared" si="221"/>
        <v/>
      </c>
      <c r="AD853" s="14" t="str">
        <f t="shared" si="222"/>
        <v/>
      </c>
    </row>
    <row r="854" spans="2:30" x14ac:dyDescent="0.3">
      <c r="B854" s="13" t="str" cm="1">
        <f t="array" ref="B854">IF($A854="","",_xlfn.LET(_xlpm.p,IFERROR(INDEX(tblDados[País],MATCH($A854,TRIM(tblDados[Mandante]),0)),INDEX(tblDados[País],MATCH($A854,TRIM(tblDados[Visitante]),0))),_xlpm.l,IFERROR(INDEX(tblDados[Liga],MATCH($A854,TRIM(tblDados[Mandante]),0)),INDEX(tblDados[Liga],MATCH($A854,TRIM(tblDados[Visitante]),0))),_xlpm.p&amp;" - "&amp;_xlpm.l))</f>
        <v/>
      </c>
      <c r="C854" s="14" t="str">
        <f t="shared" si="223"/>
        <v/>
      </c>
      <c r="D854" s="14" t="str">
        <f t="shared" si="224"/>
        <v/>
      </c>
      <c r="E854" s="15" t="str" cm="1">
        <f t="array" ref="E854">IF($A854="","",SUMPRODUCT((TRIM(tblDados[Mandante])=$A854)*tblDados[Primeira_Ocorrencia]))</f>
        <v/>
      </c>
      <c r="F854" s="15" t="str" cm="1">
        <f t="array" ref="F854">IF($A854="","",SUMPRODUCT((TRIM(tblDados[Visitante])=$A854)*tblDados[Primeira_Ocorrencia]))</f>
        <v/>
      </c>
      <c r="G854" s="15" t="str" cm="1">
        <f t="array" ref="G854">IF($A854="","",SUMPRODUCT((TRIM(tblDados[Mandante])=$A854)*tblDados[Primeira_Ocorrencia])+SUMPRODUCT((TRIM(tblDados[Visitante])=$A854)*tblDados[Primeira_Ocorrencia]))</f>
        <v/>
      </c>
      <c r="H854" s="14" t="str">
        <f t="shared" si="225"/>
        <v/>
      </c>
      <c r="I854" s="14" t="str" cm="1">
        <f t="array" ref="I854">IF($A854="","",_xlfn.LET(_xlpm.p,IFERROR(INDEX(tblDados[País],MATCH($A854,TRIM(tblDados[Mandante]),0)),INDEX(tblDados[País],MATCH($A854,TRIM(tblDados[Visitante]),0))),_xlpm.l,IFERROR(INDEX(tblDados[Liga],MATCH($A854,TRIM(tblDados[Mandante]),0)),INDEX(tblDados[Liga],MATCH($A854,TRIM(tblDados[Visitante]),0))),IFERROR(SUMIFS(Ligas!$D$2:$D$39,Ligas!$H$2:$H$39,_xlpm.p,Ligas!$I$2:$I$39,_xlpm.l),0)))</f>
        <v/>
      </c>
      <c r="J854" s="16" t="str" cm="1">
        <f t="array" ref="J854">IF($A854="","",IFERROR((SUMPRODUCT((TRIM(tblDados[Mandante])=$A854)*tblDados[Primeira_Ocorrencia]*(tblDados[GM_M]=0))+SUMPRODUCT((TRIM(tblDados[Visitante])=$A854)*tblDados[Primeira_Ocorrencia]*(tblDados[GM_V]=0)))/G854,0))</f>
        <v/>
      </c>
      <c r="K854" s="16" t="str" cm="1">
        <f t="array" ref="K854">IF($A854="","",IFERROR((SUMPRODUCT((TRIM(tblDados[Mandante])=$A854)*tblDados[Primeira_Ocorrencia]*((tblDados[GM_M]+tblDados[GS_M])&gt;0.5))+SUMPRODUCT((TRIM(tblDados[Visitante])=$A854)*tblDados[Primeira_Ocorrencia]*((tblDados[GM_V]+tblDados[GS_V])&gt;0.5)))/G854,0))</f>
        <v/>
      </c>
      <c r="L854" s="16" t="str" cm="1">
        <f t="array" ref="L854">IF($A854="","",IFERROR((SUMPRODUCT((TRIM(tblDados[Mandante])=$A854)*tblDados[Primeira_Ocorrencia]*((tblDados[GM_M]+tblDados[GS_M])&gt;1.5))+SUMPRODUCT((TRIM(tblDados[Visitante])=$A854)*tblDados[Primeira_Ocorrencia]*((tblDados[GM_V]+tblDados[GS_V])&gt;1.5)))/G854,0))</f>
        <v/>
      </c>
      <c r="M854" s="16" t="str" cm="1">
        <f t="array" ref="M854">IF($A854="","",IFERROR((SUMPRODUCT((TRIM(tblDados[Mandante])=$A854)*tblDados[Primeira_Ocorrencia]*((tblDados[GM_M]+tblDados[GS_M])&gt;2.5))+SUMPRODUCT((TRIM(tblDados[Visitante])=$A854)*tblDados[Primeira_Ocorrencia]*((tblDados[GM_V]+tblDados[GS_V])&gt;2.5)))/G854,0))</f>
        <v/>
      </c>
      <c r="N854" s="16" t="str" cm="1">
        <f t="array" ref="N854">IF($A854="","",IFERROR((SUMPRODUCT((TRIM(tblDados[Mandante])=$A854)*tblDados[Primeira_Ocorrencia]*((tblDados[GM_M]+tblDados[GS_M])&gt;3.5))+SUMPRODUCT((TRIM(tblDados[Visitante])=$A854)*tblDados[Primeira_Ocorrencia]*((tblDados[GM_V]+tblDados[GS_V])&gt;3.5)))/G854,0))</f>
        <v/>
      </c>
      <c r="O854" s="16" t="str" cm="1">
        <f t="array" ref="O854">IF($A854="","",IFERROR((SUMPRODUCT((TRIM(tblDados[Mandante])=$A854)*tblDados[Primeira_Ocorrencia]*(tblDados[GM_M]&gt;0)*(tblDados[GS_M]&gt;0))+SUMPRODUCT((TRIM(tblDados[Visitante])=$A854)*tblDados[Primeira_Ocorrencia]*(tblDados[GM_V]&gt;0)*(tblDados[GS_V]&gt;0)))/G854,0))</f>
        <v/>
      </c>
      <c r="P854" s="14" t="str" cm="1">
        <f t="array" ref="P854">IF($A854="","",IFERROR((SUMPRODUCT((TRIM(tblDados[Mandante])=$A854)*tblDados[Primeira_Ocorrencia]*tblDados[GM_M]^2)+SUMPRODUCT((TRIM(tblDados[Visitante])=$A854)*tblDados[Primeira_Ocorrencia]*tblDados[GM_V]^2))/G854-H854^2,0))</f>
        <v/>
      </c>
      <c r="Q854" s="14" t="str">
        <f t="shared" si="226"/>
        <v/>
      </c>
      <c r="R854" s="1" t="str">
        <f t="shared" si="227"/>
        <v/>
      </c>
      <c r="S854" s="14" t="str" cm="1">
        <f t="array" ref="S854">IF($A854="","",SUMPRODUCT((TRIM(tblDados[Mandante])=$A854)*tblDados[Primeira_Ocorrencia]*tblDados[GM_M]))</f>
        <v/>
      </c>
      <c r="T854" s="14" t="str" cm="1">
        <f t="array" ref="T854">IF($A854="","",SUMPRODUCT((TRIM(tblDados[Visitante])=$A854)*tblDados[Primeira_Ocorrencia]*tblDados[GM_V]))</f>
        <v/>
      </c>
      <c r="U854" s="14" t="str">
        <f t="shared" si="228"/>
        <v/>
      </c>
      <c r="V854" s="14" t="str">
        <f t="shared" si="217"/>
        <v/>
      </c>
      <c r="W854" s="14" t="str" cm="1">
        <f t="array" ref="W854">IF($A854="","",SUMPRODUCT((TRIM(tblDados[Mandante])=$A854)*tblDados[Primeira_Ocorrencia]*tblDados[GS_M]))</f>
        <v/>
      </c>
      <c r="X854" s="14" t="str" cm="1">
        <f t="array" ref="X854">IF($A854="","",SUMPRODUCT((TRIM(tblDados[Visitante])=$A854)*tblDados[Primeira_Ocorrencia]*tblDados[GS_V]))</f>
        <v/>
      </c>
      <c r="Y854" s="14" t="str">
        <f t="shared" si="229"/>
        <v/>
      </c>
      <c r="Z854" s="14" t="str">
        <f t="shared" si="218"/>
        <v/>
      </c>
      <c r="AA854" s="14" t="str">
        <f t="shared" si="219"/>
        <v/>
      </c>
      <c r="AB854" s="14" t="str">
        <f t="shared" si="220"/>
        <v/>
      </c>
      <c r="AC854" s="14" t="str">
        <f t="shared" si="221"/>
        <v/>
      </c>
      <c r="AD854" s="14" t="str">
        <f t="shared" si="222"/>
        <v/>
      </c>
    </row>
    <row r="855" spans="2:30" x14ac:dyDescent="0.3">
      <c r="B855" s="13" t="str" cm="1">
        <f t="array" ref="B855">IF($A855="","",_xlfn.LET(_xlpm.p,IFERROR(INDEX(tblDados[País],MATCH($A855,TRIM(tblDados[Mandante]),0)),INDEX(tblDados[País],MATCH($A855,TRIM(tblDados[Visitante]),0))),_xlpm.l,IFERROR(INDEX(tblDados[Liga],MATCH($A855,TRIM(tblDados[Mandante]),0)),INDEX(tblDados[Liga],MATCH($A855,TRIM(tblDados[Visitante]),0))),_xlpm.p&amp;" - "&amp;_xlpm.l))</f>
        <v/>
      </c>
      <c r="C855" s="14" t="str">
        <f t="shared" si="223"/>
        <v/>
      </c>
      <c r="D855" s="14" t="str">
        <f t="shared" si="224"/>
        <v/>
      </c>
      <c r="E855" s="15" t="str" cm="1">
        <f t="array" ref="E855">IF($A855="","",SUMPRODUCT((TRIM(tblDados[Mandante])=$A855)*tblDados[Primeira_Ocorrencia]))</f>
        <v/>
      </c>
      <c r="F855" s="15" t="str" cm="1">
        <f t="array" ref="F855">IF($A855="","",SUMPRODUCT((TRIM(tblDados[Visitante])=$A855)*tblDados[Primeira_Ocorrencia]))</f>
        <v/>
      </c>
      <c r="G855" s="15" t="str" cm="1">
        <f t="array" ref="G855">IF($A855="","",SUMPRODUCT((TRIM(tblDados[Mandante])=$A855)*tblDados[Primeira_Ocorrencia])+SUMPRODUCT((TRIM(tblDados[Visitante])=$A855)*tblDados[Primeira_Ocorrencia]))</f>
        <v/>
      </c>
      <c r="H855" s="14" t="str">
        <f t="shared" si="225"/>
        <v/>
      </c>
      <c r="I855" s="14" t="str" cm="1">
        <f t="array" ref="I855">IF($A855="","",_xlfn.LET(_xlpm.p,IFERROR(INDEX(tblDados[País],MATCH($A855,TRIM(tblDados[Mandante]),0)),INDEX(tblDados[País],MATCH($A855,TRIM(tblDados[Visitante]),0))),_xlpm.l,IFERROR(INDEX(tblDados[Liga],MATCH($A855,TRIM(tblDados[Mandante]),0)),INDEX(tblDados[Liga],MATCH($A855,TRIM(tblDados[Visitante]),0))),IFERROR(SUMIFS(Ligas!$D$2:$D$39,Ligas!$H$2:$H$39,_xlpm.p,Ligas!$I$2:$I$39,_xlpm.l),0)))</f>
        <v/>
      </c>
      <c r="J855" s="16" t="str" cm="1">
        <f t="array" ref="J855">IF($A855="","",IFERROR((SUMPRODUCT((TRIM(tblDados[Mandante])=$A855)*tblDados[Primeira_Ocorrencia]*(tblDados[GM_M]=0))+SUMPRODUCT((TRIM(tblDados[Visitante])=$A855)*tblDados[Primeira_Ocorrencia]*(tblDados[GM_V]=0)))/G855,0))</f>
        <v/>
      </c>
      <c r="K855" s="16" t="str" cm="1">
        <f t="array" ref="K855">IF($A855="","",IFERROR((SUMPRODUCT((TRIM(tblDados[Mandante])=$A855)*tblDados[Primeira_Ocorrencia]*((tblDados[GM_M]+tblDados[GS_M])&gt;0.5))+SUMPRODUCT((TRIM(tblDados[Visitante])=$A855)*tblDados[Primeira_Ocorrencia]*((tblDados[GM_V]+tblDados[GS_V])&gt;0.5)))/G855,0))</f>
        <v/>
      </c>
      <c r="L855" s="16" t="str" cm="1">
        <f t="array" ref="L855">IF($A855="","",IFERROR((SUMPRODUCT((TRIM(tblDados[Mandante])=$A855)*tblDados[Primeira_Ocorrencia]*((tblDados[GM_M]+tblDados[GS_M])&gt;1.5))+SUMPRODUCT((TRIM(tblDados[Visitante])=$A855)*tblDados[Primeira_Ocorrencia]*((tblDados[GM_V]+tblDados[GS_V])&gt;1.5)))/G855,0))</f>
        <v/>
      </c>
      <c r="M855" s="16" t="str" cm="1">
        <f t="array" ref="M855">IF($A855="","",IFERROR((SUMPRODUCT((TRIM(tblDados[Mandante])=$A855)*tblDados[Primeira_Ocorrencia]*((tblDados[GM_M]+tblDados[GS_M])&gt;2.5))+SUMPRODUCT((TRIM(tblDados[Visitante])=$A855)*tblDados[Primeira_Ocorrencia]*((tblDados[GM_V]+tblDados[GS_V])&gt;2.5)))/G855,0))</f>
        <v/>
      </c>
      <c r="N855" s="16" t="str" cm="1">
        <f t="array" ref="N855">IF($A855="","",IFERROR((SUMPRODUCT((TRIM(tblDados[Mandante])=$A855)*tblDados[Primeira_Ocorrencia]*((tblDados[GM_M]+tblDados[GS_M])&gt;3.5))+SUMPRODUCT((TRIM(tblDados[Visitante])=$A855)*tblDados[Primeira_Ocorrencia]*((tblDados[GM_V]+tblDados[GS_V])&gt;3.5)))/G855,0))</f>
        <v/>
      </c>
      <c r="O855" s="16" t="str" cm="1">
        <f t="array" ref="O855">IF($A855="","",IFERROR((SUMPRODUCT((TRIM(tblDados[Mandante])=$A855)*tblDados[Primeira_Ocorrencia]*(tblDados[GM_M]&gt;0)*(tblDados[GS_M]&gt;0))+SUMPRODUCT((TRIM(tblDados[Visitante])=$A855)*tblDados[Primeira_Ocorrencia]*(tblDados[GM_V]&gt;0)*(tblDados[GS_V]&gt;0)))/G855,0))</f>
        <v/>
      </c>
      <c r="P855" s="14" t="str" cm="1">
        <f t="array" ref="P855">IF($A855="","",IFERROR((SUMPRODUCT((TRIM(tblDados[Mandante])=$A855)*tblDados[Primeira_Ocorrencia]*tblDados[GM_M]^2)+SUMPRODUCT((TRIM(tblDados[Visitante])=$A855)*tblDados[Primeira_Ocorrencia]*tblDados[GM_V]^2))/G855-H855^2,0))</f>
        <v/>
      </c>
      <c r="Q855" s="14" t="str">
        <f t="shared" si="226"/>
        <v/>
      </c>
      <c r="R855" s="1" t="str">
        <f t="shared" si="227"/>
        <v/>
      </c>
      <c r="S855" s="14" t="str" cm="1">
        <f t="array" ref="S855">IF($A855="","",SUMPRODUCT((TRIM(tblDados[Mandante])=$A855)*tblDados[Primeira_Ocorrencia]*tblDados[GM_M]))</f>
        <v/>
      </c>
      <c r="T855" s="14" t="str" cm="1">
        <f t="array" ref="T855">IF($A855="","",SUMPRODUCT((TRIM(tblDados[Visitante])=$A855)*tblDados[Primeira_Ocorrencia]*tblDados[GM_V]))</f>
        <v/>
      </c>
      <c r="U855" s="14" t="str">
        <f t="shared" si="228"/>
        <v/>
      </c>
      <c r="V855" s="14" t="str">
        <f t="shared" si="217"/>
        <v/>
      </c>
      <c r="W855" s="14" t="str" cm="1">
        <f t="array" ref="W855">IF($A855="","",SUMPRODUCT((TRIM(tblDados[Mandante])=$A855)*tblDados[Primeira_Ocorrencia]*tblDados[GS_M]))</f>
        <v/>
      </c>
      <c r="X855" s="14" t="str" cm="1">
        <f t="array" ref="X855">IF($A855="","",SUMPRODUCT((TRIM(tblDados[Visitante])=$A855)*tblDados[Primeira_Ocorrencia]*tblDados[GS_V]))</f>
        <v/>
      </c>
      <c r="Y855" s="14" t="str">
        <f t="shared" si="229"/>
        <v/>
      </c>
      <c r="Z855" s="14" t="str">
        <f t="shared" si="218"/>
        <v/>
      </c>
      <c r="AA855" s="14" t="str">
        <f t="shared" si="219"/>
        <v/>
      </c>
      <c r="AB855" s="14" t="str">
        <f t="shared" si="220"/>
        <v/>
      </c>
      <c r="AC855" s="14" t="str">
        <f t="shared" si="221"/>
        <v/>
      </c>
      <c r="AD855" s="14" t="str">
        <f t="shared" si="222"/>
        <v/>
      </c>
    </row>
    <row r="856" spans="2:30" x14ac:dyDescent="0.3">
      <c r="B856" s="13" t="str" cm="1">
        <f t="array" ref="B856">IF($A856="","",_xlfn.LET(_xlpm.p,IFERROR(INDEX(tblDados[País],MATCH($A856,TRIM(tblDados[Mandante]),0)),INDEX(tblDados[País],MATCH($A856,TRIM(tblDados[Visitante]),0))),_xlpm.l,IFERROR(INDEX(tblDados[Liga],MATCH($A856,TRIM(tblDados[Mandante]),0)),INDEX(tblDados[Liga],MATCH($A856,TRIM(tblDados[Visitante]),0))),_xlpm.p&amp;" - "&amp;_xlpm.l))</f>
        <v/>
      </c>
      <c r="C856" s="14" t="str">
        <f t="shared" si="223"/>
        <v/>
      </c>
      <c r="D856" s="14" t="str">
        <f t="shared" si="224"/>
        <v/>
      </c>
      <c r="E856" s="15" t="str" cm="1">
        <f t="array" ref="E856">IF($A856="","",SUMPRODUCT((TRIM(tblDados[Mandante])=$A856)*tblDados[Primeira_Ocorrencia]))</f>
        <v/>
      </c>
      <c r="F856" s="15" t="str" cm="1">
        <f t="array" ref="F856">IF($A856="","",SUMPRODUCT((TRIM(tblDados[Visitante])=$A856)*tblDados[Primeira_Ocorrencia]))</f>
        <v/>
      </c>
      <c r="G856" s="15" t="str" cm="1">
        <f t="array" ref="G856">IF($A856="","",SUMPRODUCT((TRIM(tblDados[Mandante])=$A856)*tblDados[Primeira_Ocorrencia])+SUMPRODUCT((TRIM(tblDados[Visitante])=$A856)*tblDados[Primeira_Ocorrencia]))</f>
        <v/>
      </c>
      <c r="H856" s="14" t="str">
        <f t="shared" si="225"/>
        <v/>
      </c>
      <c r="I856" s="14" t="str" cm="1">
        <f t="array" ref="I856">IF($A856="","",_xlfn.LET(_xlpm.p,IFERROR(INDEX(tblDados[País],MATCH($A856,TRIM(tblDados[Mandante]),0)),INDEX(tblDados[País],MATCH($A856,TRIM(tblDados[Visitante]),0))),_xlpm.l,IFERROR(INDEX(tblDados[Liga],MATCH($A856,TRIM(tblDados[Mandante]),0)),INDEX(tblDados[Liga],MATCH($A856,TRIM(tblDados[Visitante]),0))),IFERROR(SUMIFS(Ligas!$D$2:$D$39,Ligas!$H$2:$H$39,_xlpm.p,Ligas!$I$2:$I$39,_xlpm.l),0)))</f>
        <v/>
      </c>
      <c r="J856" s="16" t="str" cm="1">
        <f t="array" ref="J856">IF($A856="","",IFERROR((SUMPRODUCT((TRIM(tblDados[Mandante])=$A856)*tblDados[Primeira_Ocorrencia]*(tblDados[GM_M]=0))+SUMPRODUCT((TRIM(tblDados[Visitante])=$A856)*tblDados[Primeira_Ocorrencia]*(tblDados[GM_V]=0)))/G856,0))</f>
        <v/>
      </c>
      <c r="K856" s="16" t="str" cm="1">
        <f t="array" ref="K856">IF($A856="","",IFERROR((SUMPRODUCT((TRIM(tblDados[Mandante])=$A856)*tblDados[Primeira_Ocorrencia]*((tblDados[GM_M]+tblDados[GS_M])&gt;0.5))+SUMPRODUCT((TRIM(tblDados[Visitante])=$A856)*tblDados[Primeira_Ocorrencia]*((tblDados[GM_V]+tblDados[GS_V])&gt;0.5)))/G856,0))</f>
        <v/>
      </c>
      <c r="L856" s="16" t="str" cm="1">
        <f t="array" ref="L856">IF($A856="","",IFERROR((SUMPRODUCT((TRIM(tblDados[Mandante])=$A856)*tblDados[Primeira_Ocorrencia]*((tblDados[GM_M]+tblDados[GS_M])&gt;1.5))+SUMPRODUCT((TRIM(tblDados[Visitante])=$A856)*tblDados[Primeira_Ocorrencia]*((tblDados[GM_V]+tblDados[GS_V])&gt;1.5)))/G856,0))</f>
        <v/>
      </c>
      <c r="M856" s="16" t="str" cm="1">
        <f t="array" ref="M856">IF($A856="","",IFERROR((SUMPRODUCT((TRIM(tblDados[Mandante])=$A856)*tblDados[Primeira_Ocorrencia]*((tblDados[GM_M]+tblDados[GS_M])&gt;2.5))+SUMPRODUCT((TRIM(tblDados[Visitante])=$A856)*tblDados[Primeira_Ocorrencia]*((tblDados[GM_V]+tblDados[GS_V])&gt;2.5)))/G856,0))</f>
        <v/>
      </c>
      <c r="N856" s="16" t="str" cm="1">
        <f t="array" ref="N856">IF($A856="","",IFERROR((SUMPRODUCT((TRIM(tblDados[Mandante])=$A856)*tblDados[Primeira_Ocorrencia]*((tblDados[GM_M]+tblDados[GS_M])&gt;3.5))+SUMPRODUCT((TRIM(tblDados[Visitante])=$A856)*tblDados[Primeira_Ocorrencia]*((tblDados[GM_V]+tblDados[GS_V])&gt;3.5)))/G856,0))</f>
        <v/>
      </c>
      <c r="O856" s="16" t="str" cm="1">
        <f t="array" ref="O856">IF($A856="","",IFERROR((SUMPRODUCT((TRIM(tblDados[Mandante])=$A856)*tblDados[Primeira_Ocorrencia]*(tblDados[GM_M]&gt;0)*(tblDados[GS_M]&gt;0))+SUMPRODUCT((TRIM(tblDados[Visitante])=$A856)*tblDados[Primeira_Ocorrencia]*(tblDados[GM_V]&gt;0)*(tblDados[GS_V]&gt;0)))/G856,0))</f>
        <v/>
      </c>
      <c r="P856" s="14" t="str" cm="1">
        <f t="array" ref="P856">IF($A856="","",IFERROR((SUMPRODUCT((TRIM(tblDados[Mandante])=$A856)*tblDados[Primeira_Ocorrencia]*tblDados[GM_M]^2)+SUMPRODUCT((TRIM(tblDados[Visitante])=$A856)*tblDados[Primeira_Ocorrencia]*tblDados[GM_V]^2))/G856-H856^2,0))</f>
        <v/>
      </c>
      <c r="Q856" s="14" t="str">
        <f t="shared" si="226"/>
        <v/>
      </c>
      <c r="R856" s="1" t="str">
        <f t="shared" si="227"/>
        <v/>
      </c>
      <c r="S856" s="14" t="str" cm="1">
        <f t="array" ref="S856">IF($A856="","",SUMPRODUCT((TRIM(tblDados[Mandante])=$A856)*tblDados[Primeira_Ocorrencia]*tblDados[GM_M]))</f>
        <v/>
      </c>
      <c r="T856" s="14" t="str" cm="1">
        <f t="array" ref="T856">IF($A856="","",SUMPRODUCT((TRIM(tblDados[Visitante])=$A856)*tblDados[Primeira_Ocorrencia]*tblDados[GM_V]))</f>
        <v/>
      </c>
      <c r="U856" s="14" t="str">
        <f t="shared" si="228"/>
        <v/>
      </c>
      <c r="V856" s="14" t="str">
        <f t="shared" si="217"/>
        <v/>
      </c>
      <c r="W856" s="14" t="str" cm="1">
        <f t="array" ref="W856">IF($A856="","",SUMPRODUCT((TRIM(tblDados[Mandante])=$A856)*tblDados[Primeira_Ocorrencia]*tblDados[GS_M]))</f>
        <v/>
      </c>
      <c r="X856" s="14" t="str" cm="1">
        <f t="array" ref="X856">IF($A856="","",SUMPRODUCT((TRIM(tblDados[Visitante])=$A856)*tblDados[Primeira_Ocorrencia]*tblDados[GS_V]))</f>
        <v/>
      </c>
      <c r="Y856" s="14" t="str">
        <f t="shared" si="229"/>
        <v/>
      </c>
      <c r="Z856" s="14" t="str">
        <f t="shared" si="218"/>
        <v/>
      </c>
      <c r="AA856" s="14" t="str">
        <f t="shared" si="219"/>
        <v/>
      </c>
      <c r="AB856" s="14" t="str">
        <f t="shared" si="220"/>
        <v/>
      </c>
      <c r="AC856" s="14" t="str">
        <f t="shared" si="221"/>
        <v/>
      </c>
      <c r="AD856" s="14" t="str">
        <f t="shared" si="222"/>
        <v/>
      </c>
    </row>
    <row r="857" spans="2:30" x14ac:dyDescent="0.3">
      <c r="B857" s="13" t="str" cm="1">
        <f t="array" ref="B857">IF($A857="","",_xlfn.LET(_xlpm.p,IFERROR(INDEX(tblDados[País],MATCH($A857,TRIM(tblDados[Mandante]),0)),INDEX(tblDados[País],MATCH($A857,TRIM(tblDados[Visitante]),0))),_xlpm.l,IFERROR(INDEX(tblDados[Liga],MATCH($A857,TRIM(tblDados[Mandante]),0)),INDEX(tblDados[Liga],MATCH($A857,TRIM(tblDados[Visitante]),0))),_xlpm.p&amp;" - "&amp;_xlpm.l))</f>
        <v/>
      </c>
      <c r="C857" s="14" t="str">
        <f t="shared" si="223"/>
        <v/>
      </c>
      <c r="D857" s="14" t="str">
        <f t="shared" si="224"/>
        <v/>
      </c>
      <c r="E857" s="15" t="str" cm="1">
        <f t="array" ref="E857">IF($A857="","",SUMPRODUCT((TRIM(tblDados[Mandante])=$A857)*tblDados[Primeira_Ocorrencia]))</f>
        <v/>
      </c>
      <c r="F857" s="15" t="str" cm="1">
        <f t="array" ref="F857">IF($A857="","",SUMPRODUCT((TRIM(tblDados[Visitante])=$A857)*tblDados[Primeira_Ocorrencia]))</f>
        <v/>
      </c>
      <c r="G857" s="15" t="str" cm="1">
        <f t="array" ref="G857">IF($A857="","",SUMPRODUCT((TRIM(tblDados[Mandante])=$A857)*tblDados[Primeira_Ocorrencia])+SUMPRODUCT((TRIM(tblDados[Visitante])=$A857)*tblDados[Primeira_Ocorrencia]))</f>
        <v/>
      </c>
      <c r="H857" s="14" t="str">
        <f t="shared" si="225"/>
        <v/>
      </c>
      <c r="I857" s="14" t="str" cm="1">
        <f t="array" ref="I857">IF($A857="","",_xlfn.LET(_xlpm.p,IFERROR(INDEX(tblDados[País],MATCH($A857,TRIM(tblDados[Mandante]),0)),INDEX(tblDados[País],MATCH($A857,TRIM(tblDados[Visitante]),0))),_xlpm.l,IFERROR(INDEX(tblDados[Liga],MATCH($A857,TRIM(tblDados[Mandante]),0)),INDEX(tblDados[Liga],MATCH($A857,TRIM(tblDados[Visitante]),0))),IFERROR(SUMIFS(Ligas!$D$2:$D$39,Ligas!$H$2:$H$39,_xlpm.p,Ligas!$I$2:$I$39,_xlpm.l),0)))</f>
        <v/>
      </c>
      <c r="J857" s="16" t="str" cm="1">
        <f t="array" ref="J857">IF($A857="","",IFERROR((SUMPRODUCT((TRIM(tblDados[Mandante])=$A857)*tblDados[Primeira_Ocorrencia]*(tblDados[GM_M]=0))+SUMPRODUCT((TRIM(tblDados[Visitante])=$A857)*tblDados[Primeira_Ocorrencia]*(tblDados[GM_V]=0)))/G857,0))</f>
        <v/>
      </c>
      <c r="K857" s="16" t="str" cm="1">
        <f t="array" ref="K857">IF($A857="","",IFERROR((SUMPRODUCT((TRIM(tblDados[Mandante])=$A857)*tblDados[Primeira_Ocorrencia]*((tblDados[GM_M]+tblDados[GS_M])&gt;0.5))+SUMPRODUCT((TRIM(tblDados[Visitante])=$A857)*tblDados[Primeira_Ocorrencia]*((tblDados[GM_V]+tblDados[GS_V])&gt;0.5)))/G857,0))</f>
        <v/>
      </c>
      <c r="L857" s="16" t="str" cm="1">
        <f t="array" ref="L857">IF($A857="","",IFERROR((SUMPRODUCT((TRIM(tblDados[Mandante])=$A857)*tblDados[Primeira_Ocorrencia]*((tblDados[GM_M]+tblDados[GS_M])&gt;1.5))+SUMPRODUCT((TRIM(tblDados[Visitante])=$A857)*tblDados[Primeira_Ocorrencia]*((tblDados[GM_V]+tblDados[GS_V])&gt;1.5)))/G857,0))</f>
        <v/>
      </c>
      <c r="M857" s="16" t="str" cm="1">
        <f t="array" ref="M857">IF($A857="","",IFERROR((SUMPRODUCT((TRIM(tblDados[Mandante])=$A857)*tblDados[Primeira_Ocorrencia]*((tblDados[GM_M]+tblDados[GS_M])&gt;2.5))+SUMPRODUCT((TRIM(tblDados[Visitante])=$A857)*tblDados[Primeira_Ocorrencia]*((tblDados[GM_V]+tblDados[GS_V])&gt;2.5)))/G857,0))</f>
        <v/>
      </c>
      <c r="N857" s="16" t="str" cm="1">
        <f t="array" ref="N857">IF($A857="","",IFERROR((SUMPRODUCT((TRIM(tblDados[Mandante])=$A857)*tblDados[Primeira_Ocorrencia]*((tblDados[GM_M]+tblDados[GS_M])&gt;3.5))+SUMPRODUCT((TRIM(tblDados[Visitante])=$A857)*tblDados[Primeira_Ocorrencia]*((tblDados[GM_V]+tblDados[GS_V])&gt;3.5)))/G857,0))</f>
        <v/>
      </c>
      <c r="O857" s="16" t="str" cm="1">
        <f t="array" ref="O857">IF($A857="","",IFERROR((SUMPRODUCT((TRIM(tblDados[Mandante])=$A857)*tblDados[Primeira_Ocorrencia]*(tblDados[GM_M]&gt;0)*(tblDados[GS_M]&gt;0))+SUMPRODUCT((TRIM(tblDados[Visitante])=$A857)*tblDados[Primeira_Ocorrencia]*(tblDados[GM_V]&gt;0)*(tblDados[GS_V]&gt;0)))/G857,0))</f>
        <v/>
      </c>
      <c r="P857" s="14" t="str" cm="1">
        <f t="array" ref="P857">IF($A857="","",IFERROR((SUMPRODUCT((TRIM(tblDados[Mandante])=$A857)*tblDados[Primeira_Ocorrencia]*tblDados[GM_M]^2)+SUMPRODUCT((TRIM(tblDados[Visitante])=$A857)*tblDados[Primeira_Ocorrencia]*tblDados[GM_V]^2))/G857-H857^2,0))</f>
        <v/>
      </c>
      <c r="Q857" s="14" t="str">
        <f t="shared" si="226"/>
        <v/>
      </c>
      <c r="R857" s="1" t="str">
        <f t="shared" si="227"/>
        <v/>
      </c>
      <c r="S857" s="14" t="str" cm="1">
        <f t="array" ref="S857">IF($A857="","",SUMPRODUCT((TRIM(tblDados[Mandante])=$A857)*tblDados[Primeira_Ocorrencia]*tblDados[GM_M]))</f>
        <v/>
      </c>
      <c r="T857" s="14" t="str" cm="1">
        <f t="array" ref="T857">IF($A857="","",SUMPRODUCT((TRIM(tblDados[Visitante])=$A857)*tblDados[Primeira_Ocorrencia]*tblDados[GM_V]))</f>
        <v/>
      </c>
      <c r="U857" s="14" t="str">
        <f t="shared" si="228"/>
        <v/>
      </c>
      <c r="V857" s="14" t="str">
        <f t="shared" si="217"/>
        <v/>
      </c>
      <c r="W857" s="14" t="str" cm="1">
        <f t="array" ref="W857">IF($A857="","",SUMPRODUCT((TRIM(tblDados[Mandante])=$A857)*tblDados[Primeira_Ocorrencia]*tblDados[GS_M]))</f>
        <v/>
      </c>
      <c r="X857" s="14" t="str" cm="1">
        <f t="array" ref="X857">IF($A857="","",SUMPRODUCT((TRIM(tblDados[Visitante])=$A857)*tblDados[Primeira_Ocorrencia]*tblDados[GS_V]))</f>
        <v/>
      </c>
      <c r="Y857" s="14" t="str">
        <f t="shared" si="229"/>
        <v/>
      </c>
      <c r="Z857" s="14" t="str">
        <f t="shared" si="218"/>
        <v/>
      </c>
      <c r="AA857" s="14" t="str">
        <f t="shared" si="219"/>
        <v/>
      </c>
      <c r="AB857" s="14" t="str">
        <f t="shared" si="220"/>
        <v/>
      </c>
      <c r="AC857" s="14" t="str">
        <f t="shared" si="221"/>
        <v/>
      </c>
      <c r="AD857" s="14" t="str">
        <f t="shared" si="222"/>
        <v/>
      </c>
    </row>
    <row r="858" spans="2:30" x14ac:dyDescent="0.3">
      <c r="B858" s="13" t="str" cm="1">
        <f t="array" ref="B858">IF($A858="","",_xlfn.LET(_xlpm.p,IFERROR(INDEX(tblDados[País],MATCH($A858,TRIM(tblDados[Mandante]),0)),INDEX(tblDados[País],MATCH($A858,TRIM(tblDados[Visitante]),0))),_xlpm.l,IFERROR(INDEX(tblDados[Liga],MATCH($A858,TRIM(tblDados[Mandante]),0)),INDEX(tblDados[Liga],MATCH($A858,TRIM(tblDados[Visitante]),0))),_xlpm.p&amp;" - "&amp;_xlpm.l))</f>
        <v/>
      </c>
      <c r="C858" s="14" t="str">
        <f t="shared" si="223"/>
        <v/>
      </c>
      <c r="D858" s="14" t="str">
        <f t="shared" si="224"/>
        <v/>
      </c>
      <c r="E858" s="15" t="str" cm="1">
        <f t="array" ref="E858">IF($A858="","",SUMPRODUCT((TRIM(tblDados[Mandante])=$A858)*tblDados[Primeira_Ocorrencia]))</f>
        <v/>
      </c>
      <c r="F858" s="15" t="str" cm="1">
        <f t="array" ref="F858">IF($A858="","",SUMPRODUCT((TRIM(tblDados[Visitante])=$A858)*tblDados[Primeira_Ocorrencia]))</f>
        <v/>
      </c>
      <c r="G858" s="15" t="str" cm="1">
        <f t="array" ref="G858">IF($A858="","",SUMPRODUCT((TRIM(tblDados[Mandante])=$A858)*tblDados[Primeira_Ocorrencia])+SUMPRODUCT((TRIM(tblDados[Visitante])=$A858)*tblDados[Primeira_Ocorrencia]))</f>
        <v/>
      </c>
      <c r="H858" s="14" t="str">
        <f t="shared" si="225"/>
        <v/>
      </c>
      <c r="I858" s="14" t="str" cm="1">
        <f t="array" ref="I858">IF($A858="","",_xlfn.LET(_xlpm.p,IFERROR(INDEX(tblDados[País],MATCH($A858,TRIM(tblDados[Mandante]),0)),INDEX(tblDados[País],MATCH($A858,TRIM(tblDados[Visitante]),0))),_xlpm.l,IFERROR(INDEX(tblDados[Liga],MATCH($A858,TRIM(tblDados[Mandante]),0)),INDEX(tblDados[Liga],MATCH($A858,TRIM(tblDados[Visitante]),0))),IFERROR(SUMIFS(Ligas!$D$2:$D$39,Ligas!$H$2:$H$39,_xlpm.p,Ligas!$I$2:$I$39,_xlpm.l),0)))</f>
        <v/>
      </c>
      <c r="J858" s="16" t="str" cm="1">
        <f t="array" ref="J858">IF($A858="","",IFERROR((SUMPRODUCT((TRIM(tblDados[Mandante])=$A858)*tblDados[Primeira_Ocorrencia]*(tblDados[GM_M]=0))+SUMPRODUCT((TRIM(tblDados[Visitante])=$A858)*tblDados[Primeira_Ocorrencia]*(tblDados[GM_V]=0)))/G858,0))</f>
        <v/>
      </c>
      <c r="K858" s="16" t="str" cm="1">
        <f t="array" ref="K858">IF($A858="","",IFERROR((SUMPRODUCT((TRIM(tblDados[Mandante])=$A858)*tblDados[Primeira_Ocorrencia]*((tblDados[GM_M]+tblDados[GS_M])&gt;0.5))+SUMPRODUCT((TRIM(tblDados[Visitante])=$A858)*tblDados[Primeira_Ocorrencia]*((tblDados[GM_V]+tblDados[GS_V])&gt;0.5)))/G858,0))</f>
        <v/>
      </c>
      <c r="L858" s="16" t="str" cm="1">
        <f t="array" ref="L858">IF($A858="","",IFERROR((SUMPRODUCT((TRIM(tblDados[Mandante])=$A858)*tblDados[Primeira_Ocorrencia]*((tblDados[GM_M]+tblDados[GS_M])&gt;1.5))+SUMPRODUCT((TRIM(tblDados[Visitante])=$A858)*tblDados[Primeira_Ocorrencia]*((tblDados[GM_V]+tblDados[GS_V])&gt;1.5)))/G858,0))</f>
        <v/>
      </c>
      <c r="M858" s="16" t="str" cm="1">
        <f t="array" ref="M858">IF($A858="","",IFERROR((SUMPRODUCT((TRIM(tblDados[Mandante])=$A858)*tblDados[Primeira_Ocorrencia]*((tblDados[GM_M]+tblDados[GS_M])&gt;2.5))+SUMPRODUCT((TRIM(tblDados[Visitante])=$A858)*tblDados[Primeira_Ocorrencia]*((tblDados[GM_V]+tblDados[GS_V])&gt;2.5)))/G858,0))</f>
        <v/>
      </c>
      <c r="N858" s="16" t="str" cm="1">
        <f t="array" ref="N858">IF($A858="","",IFERROR((SUMPRODUCT((TRIM(tblDados[Mandante])=$A858)*tblDados[Primeira_Ocorrencia]*((tblDados[GM_M]+tblDados[GS_M])&gt;3.5))+SUMPRODUCT((TRIM(tblDados[Visitante])=$A858)*tblDados[Primeira_Ocorrencia]*((tblDados[GM_V]+tblDados[GS_V])&gt;3.5)))/G858,0))</f>
        <v/>
      </c>
      <c r="O858" s="16" t="str" cm="1">
        <f t="array" ref="O858">IF($A858="","",IFERROR((SUMPRODUCT((TRIM(tblDados[Mandante])=$A858)*tblDados[Primeira_Ocorrencia]*(tblDados[GM_M]&gt;0)*(tblDados[GS_M]&gt;0))+SUMPRODUCT((TRIM(tblDados[Visitante])=$A858)*tblDados[Primeira_Ocorrencia]*(tblDados[GM_V]&gt;0)*(tblDados[GS_V]&gt;0)))/G858,0))</f>
        <v/>
      </c>
      <c r="P858" s="14" t="str" cm="1">
        <f t="array" ref="P858">IF($A858="","",IFERROR((SUMPRODUCT((TRIM(tblDados[Mandante])=$A858)*tblDados[Primeira_Ocorrencia]*tblDados[GM_M]^2)+SUMPRODUCT((TRIM(tblDados[Visitante])=$A858)*tblDados[Primeira_Ocorrencia]*tblDados[GM_V]^2))/G858-H858^2,0))</f>
        <v/>
      </c>
      <c r="Q858" s="14" t="str">
        <f t="shared" si="226"/>
        <v/>
      </c>
      <c r="R858" s="1" t="str">
        <f t="shared" si="227"/>
        <v/>
      </c>
      <c r="S858" s="14" t="str" cm="1">
        <f t="array" ref="S858">IF($A858="","",SUMPRODUCT((TRIM(tblDados[Mandante])=$A858)*tblDados[Primeira_Ocorrencia]*tblDados[GM_M]))</f>
        <v/>
      </c>
      <c r="T858" s="14" t="str" cm="1">
        <f t="array" ref="T858">IF($A858="","",SUMPRODUCT((TRIM(tblDados[Visitante])=$A858)*tblDados[Primeira_Ocorrencia]*tblDados[GM_V]))</f>
        <v/>
      </c>
      <c r="U858" s="14" t="str">
        <f t="shared" si="228"/>
        <v/>
      </c>
      <c r="V858" s="14" t="str">
        <f t="shared" si="217"/>
        <v/>
      </c>
      <c r="W858" s="14" t="str" cm="1">
        <f t="array" ref="W858">IF($A858="","",SUMPRODUCT((TRIM(tblDados[Mandante])=$A858)*tblDados[Primeira_Ocorrencia]*tblDados[GS_M]))</f>
        <v/>
      </c>
      <c r="X858" s="14" t="str" cm="1">
        <f t="array" ref="X858">IF($A858="","",SUMPRODUCT((TRIM(tblDados[Visitante])=$A858)*tblDados[Primeira_Ocorrencia]*tblDados[GS_V]))</f>
        <v/>
      </c>
      <c r="Y858" s="14" t="str">
        <f t="shared" si="229"/>
        <v/>
      </c>
      <c r="Z858" s="14" t="str">
        <f t="shared" si="218"/>
        <v/>
      </c>
      <c r="AA858" s="14" t="str">
        <f t="shared" si="219"/>
        <v/>
      </c>
      <c r="AB858" s="14" t="str">
        <f t="shared" si="220"/>
        <v/>
      </c>
      <c r="AC858" s="14" t="str">
        <f t="shared" si="221"/>
        <v/>
      </c>
      <c r="AD858" s="14" t="str">
        <f t="shared" si="222"/>
        <v/>
      </c>
    </row>
    <row r="859" spans="2:30" x14ac:dyDescent="0.3">
      <c r="B859" s="13" t="str" cm="1">
        <f t="array" ref="B859">IF($A859="","",_xlfn.LET(_xlpm.p,IFERROR(INDEX(tblDados[País],MATCH($A859,TRIM(tblDados[Mandante]),0)),INDEX(tblDados[País],MATCH($A859,TRIM(tblDados[Visitante]),0))),_xlpm.l,IFERROR(INDEX(tblDados[Liga],MATCH($A859,TRIM(tblDados[Mandante]),0)),INDEX(tblDados[Liga],MATCH($A859,TRIM(tblDados[Visitante]),0))),_xlpm.p&amp;" - "&amp;_xlpm.l))</f>
        <v/>
      </c>
      <c r="C859" s="14" t="str">
        <f t="shared" si="223"/>
        <v/>
      </c>
      <c r="D859" s="14" t="str">
        <f t="shared" si="224"/>
        <v/>
      </c>
      <c r="E859" s="15" t="str" cm="1">
        <f t="array" ref="E859">IF($A859="","",SUMPRODUCT((TRIM(tblDados[Mandante])=$A859)*tblDados[Primeira_Ocorrencia]))</f>
        <v/>
      </c>
      <c r="F859" s="15" t="str" cm="1">
        <f t="array" ref="F859">IF($A859="","",SUMPRODUCT((TRIM(tblDados[Visitante])=$A859)*tblDados[Primeira_Ocorrencia]))</f>
        <v/>
      </c>
      <c r="G859" s="15" t="str" cm="1">
        <f t="array" ref="G859">IF($A859="","",SUMPRODUCT((TRIM(tblDados[Mandante])=$A859)*tblDados[Primeira_Ocorrencia])+SUMPRODUCT((TRIM(tblDados[Visitante])=$A859)*tblDados[Primeira_Ocorrencia]))</f>
        <v/>
      </c>
      <c r="H859" s="14" t="str">
        <f t="shared" si="225"/>
        <v/>
      </c>
      <c r="I859" s="14" t="str" cm="1">
        <f t="array" ref="I859">IF($A859="","",_xlfn.LET(_xlpm.p,IFERROR(INDEX(tblDados[País],MATCH($A859,TRIM(tblDados[Mandante]),0)),INDEX(tblDados[País],MATCH($A859,TRIM(tblDados[Visitante]),0))),_xlpm.l,IFERROR(INDEX(tblDados[Liga],MATCH($A859,TRIM(tblDados[Mandante]),0)),INDEX(tblDados[Liga],MATCH($A859,TRIM(tblDados[Visitante]),0))),IFERROR(SUMIFS(Ligas!$D$2:$D$39,Ligas!$H$2:$H$39,_xlpm.p,Ligas!$I$2:$I$39,_xlpm.l),0)))</f>
        <v/>
      </c>
      <c r="J859" s="16" t="str" cm="1">
        <f t="array" ref="J859">IF($A859="","",IFERROR((SUMPRODUCT((TRIM(tblDados[Mandante])=$A859)*tblDados[Primeira_Ocorrencia]*(tblDados[GM_M]=0))+SUMPRODUCT((TRIM(tblDados[Visitante])=$A859)*tblDados[Primeira_Ocorrencia]*(tblDados[GM_V]=0)))/G859,0))</f>
        <v/>
      </c>
      <c r="K859" s="16" t="str" cm="1">
        <f t="array" ref="K859">IF($A859="","",IFERROR((SUMPRODUCT((TRIM(tblDados[Mandante])=$A859)*tblDados[Primeira_Ocorrencia]*((tblDados[GM_M]+tblDados[GS_M])&gt;0.5))+SUMPRODUCT((TRIM(tblDados[Visitante])=$A859)*tblDados[Primeira_Ocorrencia]*((tblDados[GM_V]+tblDados[GS_V])&gt;0.5)))/G859,0))</f>
        <v/>
      </c>
      <c r="L859" s="16" t="str" cm="1">
        <f t="array" ref="L859">IF($A859="","",IFERROR((SUMPRODUCT((TRIM(tblDados[Mandante])=$A859)*tblDados[Primeira_Ocorrencia]*((tblDados[GM_M]+tblDados[GS_M])&gt;1.5))+SUMPRODUCT((TRIM(tblDados[Visitante])=$A859)*tblDados[Primeira_Ocorrencia]*((tblDados[GM_V]+tblDados[GS_V])&gt;1.5)))/G859,0))</f>
        <v/>
      </c>
      <c r="M859" s="16" t="str" cm="1">
        <f t="array" ref="M859">IF($A859="","",IFERROR((SUMPRODUCT((TRIM(tblDados[Mandante])=$A859)*tblDados[Primeira_Ocorrencia]*((tblDados[GM_M]+tblDados[GS_M])&gt;2.5))+SUMPRODUCT((TRIM(tblDados[Visitante])=$A859)*tblDados[Primeira_Ocorrencia]*((tblDados[GM_V]+tblDados[GS_V])&gt;2.5)))/G859,0))</f>
        <v/>
      </c>
      <c r="N859" s="16" t="str" cm="1">
        <f t="array" ref="N859">IF($A859="","",IFERROR((SUMPRODUCT((TRIM(tblDados[Mandante])=$A859)*tblDados[Primeira_Ocorrencia]*((tblDados[GM_M]+tblDados[GS_M])&gt;3.5))+SUMPRODUCT((TRIM(tblDados[Visitante])=$A859)*tblDados[Primeira_Ocorrencia]*((tblDados[GM_V]+tblDados[GS_V])&gt;3.5)))/G859,0))</f>
        <v/>
      </c>
      <c r="O859" s="16" t="str" cm="1">
        <f t="array" ref="O859">IF($A859="","",IFERROR((SUMPRODUCT((TRIM(tblDados[Mandante])=$A859)*tblDados[Primeira_Ocorrencia]*(tblDados[GM_M]&gt;0)*(tblDados[GS_M]&gt;0))+SUMPRODUCT((TRIM(tblDados[Visitante])=$A859)*tblDados[Primeira_Ocorrencia]*(tblDados[GM_V]&gt;0)*(tblDados[GS_V]&gt;0)))/G859,0))</f>
        <v/>
      </c>
      <c r="P859" s="14" t="str" cm="1">
        <f t="array" ref="P859">IF($A859="","",IFERROR((SUMPRODUCT((TRIM(tblDados[Mandante])=$A859)*tblDados[Primeira_Ocorrencia]*tblDados[GM_M]^2)+SUMPRODUCT((TRIM(tblDados[Visitante])=$A859)*tblDados[Primeira_Ocorrencia]*tblDados[GM_V]^2))/G859-H859^2,0))</f>
        <v/>
      </c>
      <c r="Q859" s="14" t="str">
        <f t="shared" si="226"/>
        <v/>
      </c>
      <c r="R859" s="1" t="str">
        <f t="shared" si="227"/>
        <v/>
      </c>
      <c r="S859" s="14" t="str" cm="1">
        <f t="array" ref="S859">IF($A859="","",SUMPRODUCT((TRIM(tblDados[Mandante])=$A859)*tblDados[Primeira_Ocorrencia]*tblDados[GM_M]))</f>
        <v/>
      </c>
      <c r="T859" s="14" t="str" cm="1">
        <f t="array" ref="T859">IF($A859="","",SUMPRODUCT((TRIM(tblDados[Visitante])=$A859)*tblDados[Primeira_Ocorrencia]*tblDados[GM_V]))</f>
        <v/>
      </c>
      <c r="U859" s="14" t="str">
        <f t="shared" si="228"/>
        <v/>
      </c>
      <c r="V859" s="14" t="str">
        <f t="shared" si="217"/>
        <v/>
      </c>
      <c r="W859" s="14" t="str" cm="1">
        <f t="array" ref="W859">IF($A859="","",SUMPRODUCT((TRIM(tblDados[Mandante])=$A859)*tblDados[Primeira_Ocorrencia]*tblDados[GS_M]))</f>
        <v/>
      </c>
      <c r="X859" s="14" t="str" cm="1">
        <f t="array" ref="X859">IF($A859="","",SUMPRODUCT((TRIM(tblDados[Visitante])=$A859)*tblDados[Primeira_Ocorrencia]*tblDados[GS_V]))</f>
        <v/>
      </c>
      <c r="Y859" s="14" t="str">
        <f t="shared" si="229"/>
        <v/>
      </c>
      <c r="Z859" s="14" t="str">
        <f t="shared" si="218"/>
        <v/>
      </c>
      <c r="AA859" s="14" t="str">
        <f t="shared" si="219"/>
        <v/>
      </c>
      <c r="AB859" s="14" t="str">
        <f t="shared" si="220"/>
        <v/>
      </c>
      <c r="AC859" s="14" t="str">
        <f t="shared" si="221"/>
        <v/>
      </c>
      <c r="AD859" s="14" t="str">
        <f t="shared" si="222"/>
        <v/>
      </c>
    </row>
    <row r="860" spans="2:30" x14ac:dyDescent="0.3">
      <c r="B860" s="13" t="str" cm="1">
        <f t="array" ref="B860">IF($A860="","",_xlfn.LET(_xlpm.p,IFERROR(INDEX(tblDados[País],MATCH($A860,TRIM(tblDados[Mandante]),0)),INDEX(tblDados[País],MATCH($A860,TRIM(tblDados[Visitante]),0))),_xlpm.l,IFERROR(INDEX(tblDados[Liga],MATCH($A860,TRIM(tblDados[Mandante]),0)),INDEX(tblDados[Liga],MATCH($A860,TRIM(tblDados[Visitante]),0))),_xlpm.p&amp;" - "&amp;_xlpm.l))</f>
        <v/>
      </c>
      <c r="C860" s="14" t="str">
        <f t="shared" si="223"/>
        <v/>
      </c>
      <c r="D860" s="14" t="str">
        <f t="shared" si="224"/>
        <v/>
      </c>
      <c r="E860" s="15" t="str" cm="1">
        <f t="array" ref="E860">IF($A860="","",SUMPRODUCT((TRIM(tblDados[Mandante])=$A860)*tblDados[Primeira_Ocorrencia]))</f>
        <v/>
      </c>
      <c r="F860" s="15" t="str" cm="1">
        <f t="array" ref="F860">IF($A860="","",SUMPRODUCT((TRIM(tblDados[Visitante])=$A860)*tblDados[Primeira_Ocorrencia]))</f>
        <v/>
      </c>
      <c r="G860" s="15" t="str" cm="1">
        <f t="array" ref="G860">IF($A860="","",SUMPRODUCT((TRIM(tblDados[Mandante])=$A860)*tblDados[Primeira_Ocorrencia])+SUMPRODUCT((TRIM(tblDados[Visitante])=$A860)*tblDados[Primeira_Ocorrencia]))</f>
        <v/>
      </c>
      <c r="H860" s="14" t="str">
        <f t="shared" si="225"/>
        <v/>
      </c>
      <c r="I860" s="14" t="str" cm="1">
        <f t="array" ref="I860">IF($A860="","",_xlfn.LET(_xlpm.p,IFERROR(INDEX(tblDados[País],MATCH($A860,TRIM(tblDados[Mandante]),0)),INDEX(tblDados[País],MATCH($A860,TRIM(tblDados[Visitante]),0))),_xlpm.l,IFERROR(INDEX(tblDados[Liga],MATCH($A860,TRIM(tblDados[Mandante]),0)),INDEX(tblDados[Liga],MATCH($A860,TRIM(tblDados[Visitante]),0))),IFERROR(SUMIFS(Ligas!$D$2:$D$39,Ligas!$H$2:$H$39,_xlpm.p,Ligas!$I$2:$I$39,_xlpm.l),0)))</f>
        <v/>
      </c>
      <c r="J860" s="16" t="str" cm="1">
        <f t="array" ref="J860">IF($A860="","",IFERROR((SUMPRODUCT((TRIM(tblDados[Mandante])=$A860)*tblDados[Primeira_Ocorrencia]*(tblDados[GM_M]=0))+SUMPRODUCT((TRIM(tblDados[Visitante])=$A860)*tblDados[Primeira_Ocorrencia]*(tblDados[GM_V]=0)))/G860,0))</f>
        <v/>
      </c>
      <c r="K860" s="16" t="str" cm="1">
        <f t="array" ref="K860">IF($A860="","",IFERROR((SUMPRODUCT((TRIM(tblDados[Mandante])=$A860)*tblDados[Primeira_Ocorrencia]*((tblDados[GM_M]+tblDados[GS_M])&gt;0.5))+SUMPRODUCT((TRIM(tblDados[Visitante])=$A860)*tblDados[Primeira_Ocorrencia]*((tblDados[GM_V]+tblDados[GS_V])&gt;0.5)))/G860,0))</f>
        <v/>
      </c>
      <c r="L860" s="16" t="str" cm="1">
        <f t="array" ref="L860">IF($A860="","",IFERROR((SUMPRODUCT((TRIM(tblDados[Mandante])=$A860)*tblDados[Primeira_Ocorrencia]*((tblDados[GM_M]+tblDados[GS_M])&gt;1.5))+SUMPRODUCT((TRIM(tblDados[Visitante])=$A860)*tblDados[Primeira_Ocorrencia]*((tblDados[GM_V]+tblDados[GS_V])&gt;1.5)))/G860,0))</f>
        <v/>
      </c>
      <c r="M860" s="16" t="str" cm="1">
        <f t="array" ref="M860">IF($A860="","",IFERROR((SUMPRODUCT((TRIM(tblDados[Mandante])=$A860)*tblDados[Primeira_Ocorrencia]*((tblDados[GM_M]+tblDados[GS_M])&gt;2.5))+SUMPRODUCT((TRIM(tblDados[Visitante])=$A860)*tblDados[Primeira_Ocorrencia]*((tblDados[GM_V]+tblDados[GS_V])&gt;2.5)))/G860,0))</f>
        <v/>
      </c>
      <c r="N860" s="16" t="str" cm="1">
        <f t="array" ref="N860">IF($A860="","",IFERROR((SUMPRODUCT((TRIM(tblDados[Mandante])=$A860)*tblDados[Primeira_Ocorrencia]*((tblDados[GM_M]+tblDados[GS_M])&gt;3.5))+SUMPRODUCT((TRIM(tblDados[Visitante])=$A860)*tblDados[Primeira_Ocorrencia]*((tblDados[GM_V]+tblDados[GS_V])&gt;3.5)))/G860,0))</f>
        <v/>
      </c>
      <c r="O860" s="16" t="str" cm="1">
        <f t="array" ref="O860">IF($A860="","",IFERROR((SUMPRODUCT((TRIM(tblDados[Mandante])=$A860)*tblDados[Primeira_Ocorrencia]*(tblDados[GM_M]&gt;0)*(tblDados[GS_M]&gt;0))+SUMPRODUCT((TRIM(tblDados[Visitante])=$A860)*tblDados[Primeira_Ocorrencia]*(tblDados[GM_V]&gt;0)*(tblDados[GS_V]&gt;0)))/G860,0))</f>
        <v/>
      </c>
      <c r="P860" s="14" t="str" cm="1">
        <f t="array" ref="P860">IF($A860="","",IFERROR((SUMPRODUCT((TRIM(tblDados[Mandante])=$A860)*tblDados[Primeira_Ocorrencia]*tblDados[GM_M]^2)+SUMPRODUCT((TRIM(tblDados[Visitante])=$A860)*tblDados[Primeira_Ocorrencia]*tblDados[GM_V]^2))/G860-H860^2,0))</f>
        <v/>
      </c>
      <c r="Q860" s="14" t="str">
        <f t="shared" si="226"/>
        <v/>
      </c>
      <c r="R860" s="1" t="str">
        <f t="shared" si="227"/>
        <v/>
      </c>
      <c r="S860" s="14" t="str" cm="1">
        <f t="array" ref="S860">IF($A860="","",SUMPRODUCT((TRIM(tblDados[Mandante])=$A860)*tblDados[Primeira_Ocorrencia]*tblDados[GM_M]))</f>
        <v/>
      </c>
      <c r="T860" s="14" t="str" cm="1">
        <f t="array" ref="T860">IF($A860="","",SUMPRODUCT((TRIM(tblDados[Visitante])=$A860)*tblDados[Primeira_Ocorrencia]*tblDados[GM_V]))</f>
        <v/>
      </c>
      <c r="U860" s="14" t="str">
        <f t="shared" si="228"/>
        <v/>
      </c>
      <c r="V860" s="14" t="str">
        <f t="shared" si="217"/>
        <v/>
      </c>
      <c r="W860" s="14" t="str" cm="1">
        <f t="array" ref="W860">IF($A860="","",SUMPRODUCT((TRIM(tblDados[Mandante])=$A860)*tblDados[Primeira_Ocorrencia]*tblDados[GS_M]))</f>
        <v/>
      </c>
      <c r="X860" s="14" t="str" cm="1">
        <f t="array" ref="X860">IF($A860="","",SUMPRODUCT((TRIM(tblDados[Visitante])=$A860)*tblDados[Primeira_Ocorrencia]*tblDados[GS_V]))</f>
        <v/>
      </c>
      <c r="Y860" s="14" t="str">
        <f t="shared" si="229"/>
        <v/>
      </c>
      <c r="Z860" s="14" t="str">
        <f t="shared" si="218"/>
        <v/>
      </c>
      <c r="AA860" s="14" t="str">
        <f t="shared" si="219"/>
        <v/>
      </c>
      <c r="AB860" s="14" t="str">
        <f t="shared" si="220"/>
        <v/>
      </c>
      <c r="AC860" s="14" t="str">
        <f t="shared" si="221"/>
        <v/>
      </c>
      <c r="AD860" s="14" t="str">
        <f t="shared" si="222"/>
        <v/>
      </c>
    </row>
    <row r="861" spans="2:30" x14ac:dyDescent="0.3">
      <c r="B861" s="13" t="str" cm="1">
        <f t="array" ref="B861">IF($A861="","",_xlfn.LET(_xlpm.p,IFERROR(INDEX(tblDados[País],MATCH($A861,TRIM(tblDados[Mandante]),0)),INDEX(tblDados[País],MATCH($A861,TRIM(tblDados[Visitante]),0))),_xlpm.l,IFERROR(INDEX(tblDados[Liga],MATCH($A861,TRIM(tblDados[Mandante]),0)),INDEX(tblDados[Liga],MATCH($A861,TRIM(tblDados[Visitante]),0))),_xlpm.p&amp;" - "&amp;_xlpm.l))</f>
        <v/>
      </c>
      <c r="C861" s="14" t="str">
        <f t="shared" si="223"/>
        <v/>
      </c>
      <c r="D861" s="14" t="str">
        <f t="shared" si="224"/>
        <v/>
      </c>
      <c r="E861" s="15" t="str" cm="1">
        <f t="array" ref="E861">IF($A861="","",SUMPRODUCT((TRIM(tblDados[Mandante])=$A861)*tblDados[Primeira_Ocorrencia]))</f>
        <v/>
      </c>
      <c r="F861" s="15" t="str" cm="1">
        <f t="array" ref="F861">IF($A861="","",SUMPRODUCT((TRIM(tblDados[Visitante])=$A861)*tblDados[Primeira_Ocorrencia]))</f>
        <v/>
      </c>
      <c r="G861" s="15" t="str" cm="1">
        <f t="array" ref="G861">IF($A861="","",SUMPRODUCT((TRIM(tblDados[Mandante])=$A861)*tblDados[Primeira_Ocorrencia])+SUMPRODUCT((TRIM(tblDados[Visitante])=$A861)*tblDados[Primeira_Ocorrencia]))</f>
        <v/>
      </c>
      <c r="H861" s="14" t="str">
        <f t="shared" si="225"/>
        <v/>
      </c>
      <c r="I861" s="14" t="str" cm="1">
        <f t="array" ref="I861">IF($A861="","",_xlfn.LET(_xlpm.p,IFERROR(INDEX(tblDados[País],MATCH($A861,TRIM(tblDados[Mandante]),0)),INDEX(tblDados[País],MATCH($A861,TRIM(tblDados[Visitante]),0))),_xlpm.l,IFERROR(INDEX(tblDados[Liga],MATCH($A861,TRIM(tblDados[Mandante]),0)),INDEX(tblDados[Liga],MATCH($A861,TRIM(tblDados[Visitante]),0))),IFERROR(SUMIFS(Ligas!$D$2:$D$39,Ligas!$H$2:$H$39,_xlpm.p,Ligas!$I$2:$I$39,_xlpm.l),0)))</f>
        <v/>
      </c>
      <c r="J861" s="16" t="str" cm="1">
        <f t="array" ref="J861">IF($A861="","",IFERROR((SUMPRODUCT((TRIM(tblDados[Mandante])=$A861)*tblDados[Primeira_Ocorrencia]*(tblDados[GM_M]=0))+SUMPRODUCT((TRIM(tblDados[Visitante])=$A861)*tblDados[Primeira_Ocorrencia]*(tblDados[GM_V]=0)))/G861,0))</f>
        <v/>
      </c>
      <c r="K861" s="16" t="str" cm="1">
        <f t="array" ref="K861">IF($A861="","",IFERROR((SUMPRODUCT((TRIM(tblDados[Mandante])=$A861)*tblDados[Primeira_Ocorrencia]*((tblDados[GM_M]+tblDados[GS_M])&gt;0.5))+SUMPRODUCT((TRIM(tblDados[Visitante])=$A861)*tblDados[Primeira_Ocorrencia]*((tblDados[GM_V]+tblDados[GS_V])&gt;0.5)))/G861,0))</f>
        <v/>
      </c>
      <c r="L861" s="16" t="str" cm="1">
        <f t="array" ref="L861">IF($A861="","",IFERROR((SUMPRODUCT((TRIM(tblDados[Mandante])=$A861)*tblDados[Primeira_Ocorrencia]*((tblDados[GM_M]+tblDados[GS_M])&gt;1.5))+SUMPRODUCT((TRIM(tblDados[Visitante])=$A861)*tblDados[Primeira_Ocorrencia]*((tblDados[GM_V]+tblDados[GS_V])&gt;1.5)))/G861,0))</f>
        <v/>
      </c>
      <c r="M861" s="16" t="str" cm="1">
        <f t="array" ref="M861">IF($A861="","",IFERROR((SUMPRODUCT((TRIM(tblDados[Mandante])=$A861)*tblDados[Primeira_Ocorrencia]*((tblDados[GM_M]+tblDados[GS_M])&gt;2.5))+SUMPRODUCT((TRIM(tblDados[Visitante])=$A861)*tblDados[Primeira_Ocorrencia]*((tblDados[GM_V]+tblDados[GS_V])&gt;2.5)))/G861,0))</f>
        <v/>
      </c>
      <c r="N861" s="16" t="str" cm="1">
        <f t="array" ref="N861">IF($A861="","",IFERROR((SUMPRODUCT((TRIM(tblDados[Mandante])=$A861)*tblDados[Primeira_Ocorrencia]*((tblDados[GM_M]+tblDados[GS_M])&gt;3.5))+SUMPRODUCT((TRIM(tblDados[Visitante])=$A861)*tblDados[Primeira_Ocorrencia]*((tblDados[GM_V]+tblDados[GS_V])&gt;3.5)))/G861,0))</f>
        <v/>
      </c>
      <c r="O861" s="16" t="str" cm="1">
        <f t="array" ref="O861">IF($A861="","",IFERROR((SUMPRODUCT((TRIM(tblDados[Mandante])=$A861)*tblDados[Primeira_Ocorrencia]*(tblDados[GM_M]&gt;0)*(tblDados[GS_M]&gt;0))+SUMPRODUCT((TRIM(tblDados[Visitante])=$A861)*tblDados[Primeira_Ocorrencia]*(tblDados[GM_V]&gt;0)*(tblDados[GS_V]&gt;0)))/G861,0))</f>
        <v/>
      </c>
      <c r="P861" s="14" t="str" cm="1">
        <f t="array" ref="P861">IF($A861="","",IFERROR((SUMPRODUCT((TRIM(tblDados[Mandante])=$A861)*tblDados[Primeira_Ocorrencia]*tblDados[GM_M]^2)+SUMPRODUCT((TRIM(tblDados[Visitante])=$A861)*tblDados[Primeira_Ocorrencia]*tblDados[GM_V]^2))/G861-H861^2,0))</f>
        <v/>
      </c>
      <c r="Q861" s="14" t="str">
        <f t="shared" si="226"/>
        <v/>
      </c>
      <c r="R861" s="1" t="str">
        <f t="shared" si="227"/>
        <v/>
      </c>
      <c r="S861" s="14" t="str" cm="1">
        <f t="array" ref="S861">IF($A861="","",SUMPRODUCT((TRIM(tblDados[Mandante])=$A861)*tblDados[Primeira_Ocorrencia]*tblDados[GM_M]))</f>
        <v/>
      </c>
      <c r="T861" s="14" t="str" cm="1">
        <f t="array" ref="T861">IF($A861="","",SUMPRODUCT((TRIM(tblDados[Visitante])=$A861)*tblDados[Primeira_Ocorrencia]*tblDados[GM_V]))</f>
        <v/>
      </c>
      <c r="U861" s="14" t="str">
        <f t="shared" si="228"/>
        <v/>
      </c>
      <c r="V861" s="14" t="str">
        <f t="shared" si="217"/>
        <v/>
      </c>
      <c r="W861" s="14" t="str" cm="1">
        <f t="array" ref="W861">IF($A861="","",SUMPRODUCT((TRIM(tblDados[Mandante])=$A861)*tblDados[Primeira_Ocorrencia]*tblDados[GS_M]))</f>
        <v/>
      </c>
      <c r="X861" s="14" t="str" cm="1">
        <f t="array" ref="X861">IF($A861="","",SUMPRODUCT((TRIM(tblDados[Visitante])=$A861)*tblDados[Primeira_Ocorrencia]*tblDados[GS_V]))</f>
        <v/>
      </c>
      <c r="Y861" s="14" t="str">
        <f t="shared" si="229"/>
        <v/>
      </c>
      <c r="Z861" s="14" t="str">
        <f t="shared" si="218"/>
        <v/>
      </c>
      <c r="AA861" s="14" t="str">
        <f t="shared" si="219"/>
        <v/>
      </c>
      <c r="AB861" s="14" t="str">
        <f t="shared" si="220"/>
        <v/>
      </c>
      <c r="AC861" s="14" t="str">
        <f t="shared" si="221"/>
        <v/>
      </c>
      <c r="AD861" s="14" t="str">
        <f t="shared" si="222"/>
        <v/>
      </c>
    </row>
    <row r="862" spans="2:30" x14ac:dyDescent="0.3">
      <c r="B862" s="13" t="str" cm="1">
        <f t="array" ref="B862">IF($A862="","",_xlfn.LET(_xlpm.p,IFERROR(INDEX(tblDados[País],MATCH($A862,TRIM(tblDados[Mandante]),0)),INDEX(tblDados[País],MATCH($A862,TRIM(tblDados[Visitante]),0))),_xlpm.l,IFERROR(INDEX(tblDados[Liga],MATCH($A862,TRIM(tblDados[Mandante]),0)),INDEX(tblDados[Liga],MATCH($A862,TRIM(tblDados[Visitante]),0))),_xlpm.p&amp;" - "&amp;_xlpm.l))</f>
        <v/>
      </c>
      <c r="C862" s="14" t="str">
        <f t="shared" si="223"/>
        <v/>
      </c>
      <c r="D862" s="14" t="str">
        <f t="shared" si="224"/>
        <v/>
      </c>
      <c r="E862" s="15" t="str" cm="1">
        <f t="array" ref="E862">IF($A862="","",SUMPRODUCT((TRIM(tblDados[Mandante])=$A862)*tblDados[Primeira_Ocorrencia]))</f>
        <v/>
      </c>
      <c r="F862" s="15" t="str" cm="1">
        <f t="array" ref="F862">IF($A862="","",SUMPRODUCT((TRIM(tblDados[Visitante])=$A862)*tblDados[Primeira_Ocorrencia]))</f>
        <v/>
      </c>
      <c r="G862" s="15" t="str" cm="1">
        <f t="array" ref="G862">IF($A862="","",SUMPRODUCT((TRIM(tblDados[Mandante])=$A862)*tblDados[Primeira_Ocorrencia])+SUMPRODUCT((TRIM(tblDados[Visitante])=$A862)*tblDados[Primeira_Ocorrencia]))</f>
        <v/>
      </c>
      <c r="H862" s="14" t="str">
        <f t="shared" si="225"/>
        <v/>
      </c>
      <c r="I862" s="14" t="str" cm="1">
        <f t="array" ref="I862">IF($A862="","",_xlfn.LET(_xlpm.p,IFERROR(INDEX(tblDados[País],MATCH($A862,TRIM(tblDados[Mandante]),0)),INDEX(tblDados[País],MATCH($A862,TRIM(tblDados[Visitante]),0))),_xlpm.l,IFERROR(INDEX(tblDados[Liga],MATCH($A862,TRIM(tblDados[Mandante]),0)),INDEX(tblDados[Liga],MATCH($A862,TRIM(tblDados[Visitante]),0))),IFERROR(SUMIFS(Ligas!$D$2:$D$39,Ligas!$H$2:$H$39,_xlpm.p,Ligas!$I$2:$I$39,_xlpm.l),0)))</f>
        <v/>
      </c>
      <c r="J862" s="16" t="str" cm="1">
        <f t="array" ref="J862">IF($A862="","",IFERROR((SUMPRODUCT((TRIM(tblDados[Mandante])=$A862)*tblDados[Primeira_Ocorrencia]*(tblDados[GM_M]=0))+SUMPRODUCT((TRIM(tblDados[Visitante])=$A862)*tblDados[Primeira_Ocorrencia]*(tblDados[GM_V]=0)))/G862,0))</f>
        <v/>
      </c>
      <c r="K862" s="16" t="str" cm="1">
        <f t="array" ref="K862">IF($A862="","",IFERROR((SUMPRODUCT((TRIM(tblDados[Mandante])=$A862)*tblDados[Primeira_Ocorrencia]*((tblDados[GM_M]+tblDados[GS_M])&gt;0.5))+SUMPRODUCT((TRIM(tblDados[Visitante])=$A862)*tblDados[Primeira_Ocorrencia]*((tblDados[GM_V]+tblDados[GS_V])&gt;0.5)))/G862,0))</f>
        <v/>
      </c>
      <c r="L862" s="16" t="str" cm="1">
        <f t="array" ref="L862">IF($A862="","",IFERROR((SUMPRODUCT((TRIM(tblDados[Mandante])=$A862)*tblDados[Primeira_Ocorrencia]*((tblDados[GM_M]+tblDados[GS_M])&gt;1.5))+SUMPRODUCT((TRIM(tblDados[Visitante])=$A862)*tblDados[Primeira_Ocorrencia]*((tblDados[GM_V]+tblDados[GS_V])&gt;1.5)))/G862,0))</f>
        <v/>
      </c>
      <c r="M862" s="16" t="str" cm="1">
        <f t="array" ref="M862">IF($A862="","",IFERROR((SUMPRODUCT((TRIM(tblDados[Mandante])=$A862)*tblDados[Primeira_Ocorrencia]*((tblDados[GM_M]+tblDados[GS_M])&gt;2.5))+SUMPRODUCT((TRIM(tblDados[Visitante])=$A862)*tblDados[Primeira_Ocorrencia]*((tblDados[GM_V]+tblDados[GS_V])&gt;2.5)))/G862,0))</f>
        <v/>
      </c>
      <c r="N862" s="16" t="str" cm="1">
        <f t="array" ref="N862">IF($A862="","",IFERROR((SUMPRODUCT((TRIM(tblDados[Mandante])=$A862)*tblDados[Primeira_Ocorrencia]*((tblDados[GM_M]+tblDados[GS_M])&gt;3.5))+SUMPRODUCT((TRIM(tblDados[Visitante])=$A862)*tblDados[Primeira_Ocorrencia]*((tblDados[GM_V]+tblDados[GS_V])&gt;3.5)))/G862,0))</f>
        <v/>
      </c>
      <c r="O862" s="16" t="str" cm="1">
        <f t="array" ref="O862">IF($A862="","",IFERROR((SUMPRODUCT((TRIM(tblDados[Mandante])=$A862)*tblDados[Primeira_Ocorrencia]*(tblDados[GM_M]&gt;0)*(tblDados[GS_M]&gt;0))+SUMPRODUCT((TRIM(tblDados[Visitante])=$A862)*tblDados[Primeira_Ocorrencia]*(tblDados[GM_V]&gt;0)*(tblDados[GS_V]&gt;0)))/G862,0))</f>
        <v/>
      </c>
      <c r="P862" s="14" t="str" cm="1">
        <f t="array" ref="P862">IF($A862="","",IFERROR((SUMPRODUCT((TRIM(tblDados[Mandante])=$A862)*tblDados[Primeira_Ocorrencia]*tblDados[GM_M]^2)+SUMPRODUCT((TRIM(tblDados[Visitante])=$A862)*tblDados[Primeira_Ocorrencia]*tblDados[GM_V]^2))/G862-H862^2,0))</f>
        <v/>
      </c>
      <c r="Q862" s="14" t="str">
        <f t="shared" si="226"/>
        <v/>
      </c>
      <c r="R862" s="1" t="str">
        <f t="shared" si="227"/>
        <v/>
      </c>
      <c r="S862" s="14" t="str" cm="1">
        <f t="array" ref="S862">IF($A862="","",SUMPRODUCT((TRIM(tblDados[Mandante])=$A862)*tblDados[Primeira_Ocorrencia]*tblDados[GM_M]))</f>
        <v/>
      </c>
      <c r="T862" s="14" t="str" cm="1">
        <f t="array" ref="T862">IF($A862="","",SUMPRODUCT((TRIM(tblDados[Visitante])=$A862)*tblDados[Primeira_Ocorrencia]*tblDados[GM_V]))</f>
        <v/>
      </c>
      <c r="U862" s="14" t="str">
        <f t="shared" si="228"/>
        <v/>
      </c>
      <c r="V862" s="14" t="str">
        <f t="shared" si="217"/>
        <v/>
      </c>
      <c r="W862" s="14" t="str" cm="1">
        <f t="array" ref="W862">IF($A862="","",SUMPRODUCT((TRIM(tblDados[Mandante])=$A862)*tblDados[Primeira_Ocorrencia]*tblDados[GS_M]))</f>
        <v/>
      </c>
      <c r="X862" s="14" t="str" cm="1">
        <f t="array" ref="X862">IF($A862="","",SUMPRODUCT((TRIM(tblDados[Visitante])=$A862)*tblDados[Primeira_Ocorrencia]*tblDados[GS_V]))</f>
        <v/>
      </c>
      <c r="Y862" s="14" t="str">
        <f t="shared" si="229"/>
        <v/>
      </c>
      <c r="Z862" s="14" t="str">
        <f t="shared" si="218"/>
        <v/>
      </c>
      <c r="AA862" s="14" t="str">
        <f t="shared" si="219"/>
        <v/>
      </c>
      <c r="AB862" s="14" t="str">
        <f t="shared" si="220"/>
        <v/>
      </c>
      <c r="AC862" s="14" t="str">
        <f t="shared" si="221"/>
        <v/>
      </c>
      <c r="AD862" s="14" t="str">
        <f t="shared" si="222"/>
        <v/>
      </c>
    </row>
    <row r="863" spans="2:30" x14ac:dyDescent="0.3">
      <c r="B863" s="13" t="str" cm="1">
        <f t="array" ref="B863">IF($A863="","",_xlfn.LET(_xlpm.p,IFERROR(INDEX(tblDados[País],MATCH($A863,TRIM(tblDados[Mandante]),0)),INDEX(tblDados[País],MATCH($A863,TRIM(tblDados[Visitante]),0))),_xlpm.l,IFERROR(INDEX(tblDados[Liga],MATCH($A863,TRIM(tblDados[Mandante]),0)),INDEX(tblDados[Liga],MATCH($A863,TRIM(tblDados[Visitante]),0))),_xlpm.p&amp;" - "&amp;_xlpm.l))</f>
        <v/>
      </c>
      <c r="C863" s="14" t="str">
        <f t="shared" si="223"/>
        <v/>
      </c>
      <c r="D863" s="14" t="str">
        <f t="shared" si="224"/>
        <v/>
      </c>
      <c r="E863" s="15" t="str" cm="1">
        <f t="array" ref="E863">IF($A863="","",SUMPRODUCT((TRIM(tblDados[Mandante])=$A863)*tblDados[Primeira_Ocorrencia]))</f>
        <v/>
      </c>
      <c r="F863" s="15" t="str" cm="1">
        <f t="array" ref="F863">IF($A863="","",SUMPRODUCT((TRIM(tblDados[Visitante])=$A863)*tblDados[Primeira_Ocorrencia]))</f>
        <v/>
      </c>
      <c r="G863" s="15" t="str" cm="1">
        <f t="array" ref="G863">IF($A863="","",SUMPRODUCT((TRIM(tblDados[Mandante])=$A863)*tblDados[Primeira_Ocorrencia])+SUMPRODUCT((TRIM(tblDados[Visitante])=$A863)*tblDados[Primeira_Ocorrencia]))</f>
        <v/>
      </c>
      <c r="H863" s="14" t="str">
        <f t="shared" si="225"/>
        <v/>
      </c>
      <c r="I863" s="14" t="str" cm="1">
        <f t="array" ref="I863">IF($A863="","",_xlfn.LET(_xlpm.p,IFERROR(INDEX(tblDados[País],MATCH($A863,TRIM(tblDados[Mandante]),0)),INDEX(tblDados[País],MATCH($A863,TRIM(tblDados[Visitante]),0))),_xlpm.l,IFERROR(INDEX(tblDados[Liga],MATCH($A863,TRIM(tblDados[Mandante]),0)),INDEX(tblDados[Liga],MATCH($A863,TRIM(tblDados[Visitante]),0))),IFERROR(SUMIFS(Ligas!$D$2:$D$39,Ligas!$H$2:$H$39,_xlpm.p,Ligas!$I$2:$I$39,_xlpm.l),0)))</f>
        <v/>
      </c>
      <c r="J863" s="16" t="str" cm="1">
        <f t="array" ref="J863">IF($A863="","",IFERROR((SUMPRODUCT((TRIM(tblDados[Mandante])=$A863)*tblDados[Primeira_Ocorrencia]*(tblDados[GM_M]=0))+SUMPRODUCT((TRIM(tblDados[Visitante])=$A863)*tblDados[Primeira_Ocorrencia]*(tblDados[GM_V]=0)))/G863,0))</f>
        <v/>
      </c>
      <c r="K863" s="16" t="str" cm="1">
        <f t="array" ref="K863">IF($A863="","",IFERROR((SUMPRODUCT((TRIM(tblDados[Mandante])=$A863)*tblDados[Primeira_Ocorrencia]*((tblDados[GM_M]+tblDados[GS_M])&gt;0.5))+SUMPRODUCT((TRIM(tblDados[Visitante])=$A863)*tblDados[Primeira_Ocorrencia]*((tblDados[GM_V]+tblDados[GS_V])&gt;0.5)))/G863,0))</f>
        <v/>
      </c>
      <c r="L863" s="16" t="str" cm="1">
        <f t="array" ref="L863">IF($A863="","",IFERROR((SUMPRODUCT((TRIM(tblDados[Mandante])=$A863)*tblDados[Primeira_Ocorrencia]*((tblDados[GM_M]+tblDados[GS_M])&gt;1.5))+SUMPRODUCT((TRIM(tblDados[Visitante])=$A863)*tblDados[Primeira_Ocorrencia]*((tblDados[GM_V]+tblDados[GS_V])&gt;1.5)))/G863,0))</f>
        <v/>
      </c>
      <c r="M863" s="16" t="str" cm="1">
        <f t="array" ref="M863">IF($A863="","",IFERROR((SUMPRODUCT((TRIM(tblDados[Mandante])=$A863)*tblDados[Primeira_Ocorrencia]*((tblDados[GM_M]+tblDados[GS_M])&gt;2.5))+SUMPRODUCT((TRIM(tblDados[Visitante])=$A863)*tblDados[Primeira_Ocorrencia]*((tblDados[GM_V]+tblDados[GS_V])&gt;2.5)))/G863,0))</f>
        <v/>
      </c>
      <c r="N863" s="16" t="str" cm="1">
        <f t="array" ref="N863">IF($A863="","",IFERROR((SUMPRODUCT((TRIM(tblDados[Mandante])=$A863)*tblDados[Primeira_Ocorrencia]*((tblDados[GM_M]+tblDados[GS_M])&gt;3.5))+SUMPRODUCT((TRIM(tblDados[Visitante])=$A863)*tblDados[Primeira_Ocorrencia]*((tblDados[GM_V]+tblDados[GS_V])&gt;3.5)))/G863,0))</f>
        <v/>
      </c>
      <c r="O863" s="16" t="str" cm="1">
        <f t="array" ref="O863">IF($A863="","",IFERROR((SUMPRODUCT((TRIM(tblDados[Mandante])=$A863)*tblDados[Primeira_Ocorrencia]*(tblDados[GM_M]&gt;0)*(tblDados[GS_M]&gt;0))+SUMPRODUCT((TRIM(tblDados[Visitante])=$A863)*tblDados[Primeira_Ocorrencia]*(tblDados[GM_V]&gt;0)*(tblDados[GS_V]&gt;0)))/G863,0))</f>
        <v/>
      </c>
      <c r="P863" s="14" t="str" cm="1">
        <f t="array" ref="P863">IF($A863="","",IFERROR((SUMPRODUCT((TRIM(tblDados[Mandante])=$A863)*tblDados[Primeira_Ocorrencia]*tblDados[GM_M]^2)+SUMPRODUCT((TRIM(tblDados[Visitante])=$A863)*tblDados[Primeira_Ocorrencia]*tblDados[GM_V]^2))/G863-H863^2,0))</f>
        <v/>
      </c>
      <c r="Q863" s="14" t="str">
        <f t="shared" si="226"/>
        <v/>
      </c>
      <c r="R863" s="1" t="str">
        <f t="shared" si="227"/>
        <v/>
      </c>
      <c r="S863" s="14" t="str" cm="1">
        <f t="array" ref="S863">IF($A863="","",SUMPRODUCT((TRIM(tblDados[Mandante])=$A863)*tblDados[Primeira_Ocorrencia]*tblDados[GM_M]))</f>
        <v/>
      </c>
      <c r="T863" s="14" t="str" cm="1">
        <f t="array" ref="T863">IF($A863="","",SUMPRODUCT((TRIM(tblDados[Visitante])=$A863)*tblDados[Primeira_Ocorrencia]*tblDados[GM_V]))</f>
        <v/>
      </c>
      <c r="U863" s="14" t="str">
        <f t="shared" si="228"/>
        <v/>
      </c>
      <c r="V863" s="14" t="str">
        <f t="shared" si="217"/>
        <v/>
      </c>
      <c r="W863" s="14" t="str" cm="1">
        <f t="array" ref="W863">IF($A863="","",SUMPRODUCT((TRIM(tblDados[Mandante])=$A863)*tblDados[Primeira_Ocorrencia]*tblDados[GS_M]))</f>
        <v/>
      </c>
      <c r="X863" s="14" t="str" cm="1">
        <f t="array" ref="X863">IF($A863="","",SUMPRODUCT((TRIM(tblDados[Visitante])=$A863)*tblDados[Primeira_Ocorrencia]*tblDados[GS_V]))</f>
        <v/>
      </c>
      <c r="Y863" s="14" t="str">
        <f t="shared" si="229"/>
        <v/>
      </c>
      <c r="Z863" s="14" t="str">
        <f t="shared" si="218"/>
        <v/>
      </c>
      <c r="AA863" s="14" t="str">
        <f t="shared" si="219"/>
        <v/>
      </c>
      <c r="AB863" s="14" t="str">
        <f t="shared" si="220"/>
        <v/>
      </c>
      <c r="AC863" s="14" t="str">
        <f t="shared" si="221"/>
        <v/>
      </c>
      <c r="AD863" s="14" t="str">
        <f t="shared" si="222"/>
        <v/>
      </c>
    </row>
    <row r="864" spans="2:30" x14ac:dyDescent="0.3">
      <c r="B864" s="13" t="str" cm="1">
        <f t="array" ref="B864">IF($A864="","",_xlfn.LET(_xlpm.p,IFERROR(INDEX(tblDados[País],MATCH($A864,TRIM(tblDados[Mandante]),0)),INDEX(tblDados[País],MATCH($A864,TRIM(tblDados[Visitante]),0))),_xlpm.l,IFERROR(INDEX(tblDados[Liga],MATCH($A864,TRIM(tblDados[Mandante]),0)),INDEX(tblDados[Liga],MATCH($A864,TRIM(tblDados[Visitante]),0))),_xlpm.p&amp;" - "&amp;_xlpm.l))</f>
        <v/>
      </c>
      <c r="C864" s="14" t="str">
        <f t="shared" si="223"/>
        <v/>
      </c>
      <c r="D864" s="14" t="str">
        <f t="shared" si="224"/>
        <v/>
      </c>
      <c r="E864" s="15" t="str" cm="1">
        <f t="array" ref="E864">IF($A864="","",SUMPRODUCT((TRIM(tblDados[Mandante])=$A864)*tblDados[Primeira_Ocorrencia]))</f>
        <v/>
      </c>
      <c r="F864" s="15" t="str" cm="1">
        <f t="array" ref="F864">IF($A864="","",SUMPRODUCT((TRIM(tblDados[Visitante])=$A864)*tblDados[Primeira_Ocorrencia]))</f>
        <v/>
      </c>
      <c r="G864" s="15" t="str" cm="1">
        <f t="array" ref="G864">IF($A864="","",SUMPRODUCT((TRIM(tblDados[Mandante])=$A864)*tblDados[Primeira_Ocorrencia])+SUMPRODUCT((TRIM(tblDados[Visitante])=$A864)*tblDados[Primeira_Ocorrencia]))</f>
        <v/>
      </c>
      <c r="H864" s="14" t="str">
        <f t="shared" si="225"/>
        <v/>
      </c>
      <c r="I864" s="14" t="str" cm="1">
        <f t="array" ref="I864">IF($A864="","",_xlfn.LET(_xlpm.p,IFERROR(INDEX(tblDados[País],MATCH($A864,TRIM(tblDados[Mandante]),0)),INDEX(tblDados[País],MATCH($A864,TRIM(tblDados[Visitante]),0))),_xlpm.l,IFERROR(INDEX(tblDados[Liga],MATCH($A864,TRIM(tblDados[Mandante]),0)),INDEX(tblDados[Liga],MATCH($A864,TRIM(tblDados[Visitante]),0))),IFERROR(SUMIFS(Ligas!$D$2:$D$39,Ligas!$H$2:$H$39,_xlpm.p,Ligas!$I$2:$I$39,_xlpm.l),0)))</f>
        <v/>
      </c>
      <c r="J864" s="16" t="str" cm="1">
        <f t="array" ref="J864">IF($A864="","",IFERROR((SUMPRODUCT((TRIM(tblDados[Mandante])=$A864)*tblDados[Primeira_Ocorrencia]*(tblDados[GM_M]=0))+SUMPRODUCT((TRIM(tblDados[Visitante])=$A864)*tblDados[Primeira_Ocorrencia]*(tblDados[GM_V]=0)))/G864,0))</f>
        <v/>
      </c>
      <c r="K864" s="16" t="str" cm="1">
        <f t="array" ref="K864">IF($A864="","",IFERROR((SUMPRODUCT((TRIM(tblDados[Mandante])=$A864)*tblDados[Primeira_Ocorrencia]*((tblDados[GM_M]+tblDados[GS_M])&gt;0.5))+SUMPRODUCT((TRIM(tblDados[Visitante])=$A864)*tblDados[Primeira_Ocorrencia]*((tblDados[GM_V]+tblDados[GS_V])&gt;0.5)))/G864,0))</f>
        <v/>
      </c>
      <c r="L864" s="16" t="str" cm="1">
        <f t="array" ref="L864">IF($A864="","",IFERROR((SUMPRODUCT((TRIM(tblDados[Mandante])=$A864)*tblDados[Primeira_Ocorrencia]*((tblDados[GM_M]+tblDados[GS_M])&gt;1.5))+SUMPRODUCT((TRIM(tblDados[Visitante])=$A864)*tblDados[Primeira_Ocorrencia]*((tblDados[GM_V]+tblDados[GS_V])&gt;1.5)))/G864,0))</f>
        <v/>
      </c>
      <c r="M864" s="16" t="str" cm="1">
        <f t="array" ref="M864">IF($A864="","",IFERROR((SUMPRODUCT((TRIM(tblDados[Mandante])=$A864)*tblDados[Primeira_Ocorrencia]*((tblDados[GM_M]+tblDados[GS_M])&gt;2.5))+SUMPRODUCT((TRIM(tblDados[Visitante])=$A864)*tblDados[Primeira_Ocorrencia]*((tblDados[GM_V]+tblDados[GS_V])&gt;2.5)))/G864,0))</f>
        <v/>
      </c>
      <c r="N864" s="16" t="str" cm="1">
        <f t="array" ref="N864">IF($A864="","",IFERROR((SUMPRODUCT((TRIM(tblDados[Mandante])=$A864)*tblDados[Primeira_Ocorrencia]*((tblDados[GM_M]+tblDados[GS_M])&gt;3.5))+SUMPRODUCT((TRIM(tblDados[Visitante])=$A864)*tblDados[Primeira_Ocorrencia]*((tblDados[GM_V]+tblDados[GS_V])&gt;3.5)))/G864,0))</f>
        <v/>
      </c>
      <c r="O864" s="16" t="str" cm="1">
        <f t="array" ref="O864">IF($A864="","",IFERROR((SUMPRODUCT((TRIM(tblDados[Mandante])=$A864)*tblDados[Primeira_Ocorrencia]*(tblDados[GM_M]&gt;0)*(tblDados[GS_M]&gt;0))+SUMPRODUCT((TRIM(tblDados[Visitante])=$A864)*tblDados[Primeira_Ocorrencia]*(tblDados[GM_V]&gt;0)*(tblDados[GS_V]&gt;0)))/G864,0))</f>
        <v/>
      </c>
      <c r="P864" s="14" t="str" cm="1">
        <f t="array" ref="P864">IF($A864="","",IFERROR((SUMPRODUCT((TRIM(tblDados[Mandante])=$A864)*tblDados[Primeira_Ocorrencia]*tblDados[GM_M]^2)+SUMPRODUCT((TRIM(tblDados[Visitante])=$A864)*tblDados[Primeira_Ocorrencia]*tblDados[GM_V]^2))/G864-H864^2,0))</f>
        <v/>
      </c>
      <c r="Q864" s="14" t="str">
        <f t="shared" si="226"/>
        <v/>
      </c>
      <c r="R864" s="1" t="str">
        <f t="shared" si="227"/>
        <v/>
      </c>
      <c r="S864" s="14" t="str" cm="1">
        <f t="array" ref="S864">IF($A864="","",SUMPRODUCT((TRIM(tblDados[Mandante])=$A864)*tblDados[Primeira_Ocorrencia]*tblDados[GM_M]))</f>
        <v/>
      </c>
      <c r="T864" s="14" t="str" cm="1">
        <f t="array" ref="T864">IF($A864="","",SUMPRODUCT((TRIM(tblDados[Visitante])=$A864)*tblDados[Primeira_Ocorrencia]*tblDados[GM_V]))</f>
        <v/>
      </c>
      <c r="U864" s="14" t="str">
        <f t="shared" si="228"/>
        <v/>
      </c>
      <c r="V864" s="14" t="str">
        <f t="shared" si="217"/>
        <v/>
      </c>
      <c r="W864" s="14" t="str" cm="1">
        <f t="array" ref="W864">IF($A864="","",SUMPRODUCT((TRIM(tblDados[Mandante])=$A864)*tblDados[Primeira_Ocorrencia]*tblDados[GS_M]))</f>
        <v/>
      </c>
      <c r="X864" s="14" t="str" cm="1">
        <f t="array" ref="X864">IF($A864="","",SUMPRODUCT((TRIM(tblDados[Visitante])=$A864)*tblDados[Primeira_Ocorrencia]*tblDados[GS_V]))</f>
        <v/>
      </c>
      <c r="Y864" s="14" t="str">
        <f t="shared" si="229"/>
        <v/>
      </c>
      <c r="Z864" s="14" t="str">
        <f t="shared" si="218"/>
        <v/>
      </c>
      <c r="AA864" s="14" t="str">
        <f t="shared" si="219"/>
        <v/>
      </c>
      <c r="AB864" s="14" t="str">
        <f t="shared" si="220"/>
        <v/>
      </c>
      <c r="AC864" s="14" t="str">
        <f t="shared" si="221"/>
        <v/>
      </c>
      <c r="AD864" s="14" t="str">
        <f t="shared" si="222"/>
        <v/>
      </c>
    </row>
    <row r="865" spans="2:30" x14ac:dyDescent="0.3">
      <c r="B865" s="13" t="str" cm="1">
        <f t="array" ref="B865">IF($A865="","",_xlfn.LET(_xlpm.p,IFERROR(INDEX(tblDados[País],MATCH($A865,TRIM(tblDados[Mandante]),0)),INDEX(tblDados[País],MATCH($A865,TRIM(tblDados[Visitante]),0))),_xlpm.l,IFERROR(INDEX(tblDados[Liga],MATCH($A865,TRIM(tblDados[Mandante]),0)),INDEX(tblDados[Liga],MATCH($A865,TRIM(tblDados[Visitante]),0))),_xlpm.p&amp;" - "&amp;_xlpm.l))</f>
        <v/>
      </c>
      <c r="C865" s="14" t="str">
        <f t="shared" si="223"/>
        <v/>
      </c>
      <c r="D865" s="14" t="str">
        <f t="shared" si="224"/>
        <v/>
      </c>
      <c r="E865" s="15" t="str" cm="1">
        <f t="array" ref="E865">IF($A865="","",SUMPRODUCT((TRIM(tblDados[Mandante])=$A865)*tblDados[Primeira_Ocorrencia]))</f>
        <v/>
      </c>
      <c r="F865" s="15" t="str" cm="1">
        <f t="array" ref="F865">IF($A865="","",SUMPRODUCT((TRIM(tblDados[Visitante])=$A865)*tblDados[Primeira_Ocorrencia]))</f>
        <v/>
      </c>
      <c r="G865" s="15" t="str" cm="1">
        <f t="array" ref="G865">IF($A865="","",SUMPRODUCT((TRIM(tblDados[Mandante])=$A865)*tblDados[Primeira_Ocorrencia])+SUMPRODUCT((TRIM(tblDados[Visitante])=$A865)*tblDados[Primeira_Ocorrencia]))</f>
        <v/>
      </c>
      <c r="H865" s="14" t="str">
        <f t="shared" si="225"/>
        <v/>
      </c>
      <c r="I865" s="14" t="str" cm="1">
        <f t="array" ref="I865">IF($A865="","",_xlfn.LET(_xlpm.p,IFERROR(INDEX(tblDados[País],MATCH($A865,TRIM(tblDados[Mandante]),0)),INDEX(tblDados[País],MATCH($A865,TRIM(tblDados[Visitante]),0))),_xlpm.l,IFERROR(INDEX(tblDados[Liga],MATCH($A865,TRIM(tblDados[Mandante]),0)),INDEX(tblDados[Liga],MATCH($A865,TRIM(tblDados[Visitante]),0))),IFERROR(SUMIFS(Ligas!$D$2:$D$39,Ligas!$H$2:$H$39,_xlpm.p,Ligas!$I$2:$I$39,_xlpm.l),0)))</f>
        <v/>
      </c>
      <c r="J865" s="16" t="str" cm="1">
        <f t="array" ref="J865">IF($A865="","",IFERROR((SUMPRODUCT((TRIM(tblDados[Mandante])=$A865)*tblDados[Primeira_Ocorrencia]*(tblDados[GM_M]=0))+SUMPRODUCT((TRIM(tblDados[Visitante])=$A865)*tblDados[Primeira_Ocorrencia]*(tblDados[GM_V]=0)))/G865,0))</f>
        <v/>
      </c>
      <c r="K865" s="16" t="str" cm="1">
        <f t="array" ref="K865">IF($A865="","",IFERROR((SUMPRODUCT((TRIM(tblDados[Mandante])=$A865)*tblDados[Primeira_Ocorrencia]*((tblDados[GM_M]+tblDados[GS_M])&gt;0.5))+SUMPRODUCT((TRIM(tblDados[Visitante])=$A865)*tblDados[Primeira_Ocorrencia]*((tblDados[GM_V]+tblDados[GS_V])&gt;0.5)))/G865,0))</f>
        <v/>
      </c>
      <c r="L865" s="16" t="str" cm="1">
        <f t="array" ref="L865">IF($A865="","",IFERROR((SUMPRODUCT((TRIM(tblDados[Mandante])=$A865)*tblDados[Primeira_Ocorrencia]*((tblDados[GM_M]+tblDados[GS_M])&gt;1.5))+SUMPRODUCT((TRIM(tblDados[Visitante])=$A865)*tblDados[Primeira_Ocorrencia]*((tblDados[GM_V]+tblDados[GS_V])&gt;1.5)))/G865,0))</f>
        <v/>
      </c>
      <c r="M865" s="16" t="str" cm="1">
        <f t="array" ref="M865">IF($A865="","",IFERROR((SUMPRODUCT((TRIM(tblDados[Mandante])=$A865)*tblDados[Primeira_Ocorrencia]*((tblDados[GM_M]+tblDados[GS_M])&gt;2.5))+SUMPRODUCT((TRIM(tblDados[Visitante])=$A865)*tblDados[Primeira_Ocorrencia]*((tblDados[GM_V]+tblDados[GS_V])&gt;2.5)))/G865,0))</f>
        <v/>
      </c>
      <c r="N865" s="16" t="str" cm="1">
        <f t="array" ref="N865">IF($A865="","",IFERROR((SUMPRODUCT((TRIM(tblDados[Mandante])=$A865)*tblDados[Primeira_Ocorrencia]*((tblDados[GM_M]+tblDados[GS_M])&gt;3.5))+SUMPRODUCT((TRIM(tblDados[Visitante])=$A865)*tblDados[Primeira_Ocorrencia]*((tblDados[GM_V]+tblDados[GS_V])&gt;3.5)))/G865,0))</f>
        <v/>
      </c>
      <c r="O865" s="16" t="str" cm="1">
        <f t="array" ref="O865">IF($A865="","",IFERROR((SUMPRODUCT((TRIM(tblDados[Mandante])=$A865)*tblDados[Primeira_Ocorrencia]*(tblDados[GM_M]&gt;0)*(tblDados[GS_M]&gt;0))+SUMPRODUCT((TRIM(tblDados[Visitante])=$A865)*tblDados[Primeira_Ocorrencia]*(tblDados[GM_V]&gt;0)*(tblDados[GS_V]&gt;0)))/G865,0))</f>
        <v/>
      </c>
      <c r="P865" s="14" t="str" cm="1">
        <f t="array" ref="P865">IF($A865="","",IFERROR((SUMPRODUCT((TRIM(tblDados[Mandante])=$A865)*tblDados[Primeira_Ocorrencia]*tblDados[GM_M]^2)+SUMPRODUCT((TRIM(tblDados[Visitante])=$A865)*tblDados[Primeira_Ocorrencia]*tblDados[GM_V]^2))/G865-H865^2,0))</f>
        <v/>
      </c>
      <c r="Q865" s="14" t="str">
        <f t="shared" si="226"/>
        <v/>
      </c>
      <c r="R865" s="1" t="str">
        <f t="shared" si="227"/>
        <v/>
      </c>
      <c r="S865" s="14" t="str" cm="1">
        <f t="array" ref="S865">IF($A865="","",SUMPRODUCT((TRIM(tblDados[Mandante])=$A865)*tblDados[Primeira_Ocorrencia]*tblDados[GM_M]))</f>
        <v/>
      </c>
      <c r="T865" s="14" t="str" cm="1">
        <f t="array" ref="T865">IF($A865="","",SUMPRODUCT((TRIM(tblDados[Visitante])=$A865)*tblDados[Primeira_Ocorrencia]*tblDados[GM_V]))</f>
        <v/>
      </c>
      <c r="U865" s="14" t="str">
        <f t="shared" si="228"/>
        <v/>
      </c>
      <c r="V865" s="14" t="str">
        <f t="shared" si="217"/>
        <v/>
      </c>
      <c r="W865" s="14" t="str" cm="1">
        <f t="array" ref="W865">IF($A865="","",SUMPRODUCT((TRIM(tblDados[Mandante])=$A865)*tblDados[Primeira_Ocorrencia]*tblDados[GS_M]))</f>
        <v/>
      </c>
      <c r="X865" s="14" t="str" cm="1">
        <f t="array" ref="X865">IF($A865="","",SUMPRODUCT((TRIM(tblDados[Visitante])=$A865)*tblDados[Primeira_Ocorrencia]*tblDados[GS_V]))</f>
        <v/>
      </c>
      <c r="Y865" s="14" t="str">
        <f t="shared" si="229"/>
        <v/>
      </c>
      <c r="Z865" s="14" t="str">
        <f t="shared" si="218"/>
        <v/>
      </c>
      <c r="AA865" s="14" t="str">
        <f t="shared" si="219"/>
        <v/>
      </c>
      <c r="AB865" s="14" t="str">
        <f t="shared" si="220"/>
        <v/>
      </c>
      <c r="AC865" s="14" t="str">
        <f t="shared" si="221"/>
        <v/>
      </c>
      <c r="AD865" s="14" t="str">
        <f t="shared" si="222"/>
        <v/>
      </c>
    </row>
    <row r="866" spans="2:30" x14ac:dyDescent="0.3">
      <c r="B866" s="13" t="str" cm="1">
        <f t="array" ref="B866">IF($A866="","",_xlfn.LET(_xlpm.p,IFERROR(INDEX(tblDados[País],MATCH($A866,TRIM(tblDados[Mandante]),0)),INDEX(tblDados[País],MATCH($A866,TRIM(tblDados[Visitante]),0))),_xlpm.l,IFERROR(INDEX(tblDados[Liga],MATCH($A866,TRIM(tblDados[Mandante]),0)),INDEX(tblDados[Liga],MATCH($A866,TRIM(tblDados[Visitante]),0))),_xlpm.p&amp;" - "&amp;_xlpm.l))</f>
        <v/>
      </c>
      <c r="C866" s="14" t="str">
        <f t="shared" si="223"/>
        <v/>
      </c>
      <c r="D866" s="14" t="str">
        <f t="shared" si="224"/>
        <v/>
      </c>
      <c r="E866" s="15" t="str" cm="1">
        <f t="array" ref="E866">IF($A866="","",SUMPRODUCT((TRIM(tblDados[Mandante])=$A866)*tblDados[Primeira_Ocorrencia]))</f>
        <v/>
      </c>
      <c r="F866" s="15" t="str" cm="1">
        <f t="array" ref="F866">IF($A866="","",SUMPRODUCT((TRIM(tblDados[Visitante])=$A866)*tblDados[Primeira_Ocorrencia]))</f>
        <v/>
      </c>
      <c r="G866" s="15" t="str" cm="1">
        <f t="array" ref="G866">IF($A866="","",SUMPRODUCT((TRIM(tblDados[Mandante])=$A866)*tblDados[Primeira_Ocorrencia])+SUMPRODUCT((TRIM(tblDados[Visitante])=$A866)*tblDados[Primeira_Ocorrencia]))</f>
        <v/>
      </c>
      <c r="H866" s="14" t="str">
        <f t="shared" si="225"/>
        <v/>
      </c>
      <c r="I866" s="14" t="str" cm="1">
        <f t="array" ref="I866">IF($A866="","",_xlfn.LET(_xlpm.p,IFERROR(INDEX(tblDados[País],MATCH($A866,TRIM(tblDados[Mandante]),0)),INDEX(tblDados[País],MATCH($A866,TRIM(tblDados[Visitante]),0))),_xlpm.l,IFERROR(INDEX(tblDados[Liga],MATCH($A866,TRIM(tblDados[Mandante]),0)),INDEX(tblDados[Liga],MATCH($A866,TRIM(tblDados[Visitante]),0))),IFERROR(SUMIFS(Ligas!$D$2:$D$39,Ligas!$H$2:$H$39,_xlpm.p,Ligas!$I$2:$I$39,_xlpm.l),0)))</f>
        <v/>
      </c>
      <c r="J866" s="16" t="str" cm="1">
        <f t="array" ref="J866">IF($A866="","",IFERROR((SUMPRODUCT((TRIM(tblDados[Mandante])=$A866)*tblDados[Primeira_Ocorrencia]*(tblDados[GM_M]=0))+SUMPRODUCT((TRIM(tblDados[Visitante])=$A866)*tblDados[Primeira_Ocorrencia]*(tblDados[GM_V]=0)))/G866,0))</f>
        <v/>
      </c>
      <c r="K866" s="16" t="str" cm="1">
        <f t="array" ref="K866">IF($A866="","",IFERROR((SUMPRODUCT((TRIM(tblDados[Mandante])=$A866)*tblDados[Primeira_Ocorrencia]*((tblDados[GM_M]+tblDados[GS_M])&gt;0.5))+SUMPRODUCT((TRIM(tblDados[Visitante])=$A866)*tblDados[Primeira_Ocorrencia]*((tblDados[GM_V]+tblDados[GS_V])&gt;0.5)))/G866,0))</f>
        <v/>
      </c>
      <c r="L866" s="16" t="str" cm="1">
        <f t="array" ref="L866">IF($A866="","",IFERROR((SUMPRODUCT((TRIM(tblDados[Mandante])=$A866)*tblDados[Primeira_Ocorrencia]*((tblDados[GM_M]+tblDados[GS_M])&gt;1.5))+SUMPRODUCT((TRIM(tblDados[Visitante])=$A866)*tblDados[Primeira_Ocorrencia]*((tblDados[GM_V]+tblDados[GS_V])&gt;1.5)))/G866,0))</f>
        <v/>
      </c>
      <c r="M866" s="16" t="str" cm="1">
        <f t="array" ref="M866">IF($A866="","",IFERROR((SUMPRODUCT((TRIM(tblDados[Mandante])=$A866)*tblDados[Primeira_Ocorrencia]*((tblDados[GM_M]+tblDados[GS_M])&gt;2.5))+SUMPRODUCT((TRIM(tblDados[Visitante])=$A866)*tblDados[Primeira_Ocorrencia]*((tblDados[GM_V]+tblDados[GS_V])&gt;2.5)))/G866,0))</f>
        <v/>
      </c>
      <c r="N866" s="16" t="str" cm="1">
        <f t="array" ref="N866">IF($A866="","",IFERROR((SUMPRODUCT((TRIM(tblDados[Mandante])=$A866)*tblDados[Primeira_Ocorrencia]*((tblDados[GM_M]+tblDados[GS_M])&gt;3.5))+SUMPRODUCT((TRIM(tblDados[Visitante])=$A866)*tblDados[Primeira_Ocorrencia]*((tblDados[GM_V]+tblDados[GS_V])&gt;3.5)))/G866,0))</f>
        <v/>
      </c>
      <c r="O866" s="16" t="str" cm="1">
        <f t="array" ref="O866">IF($A866="","",IFERROR((SUMPRODUCT((TRIM(tblDados[Mandante])=$A866)*tblDados[Primeira_Ocorrencia]*(tblDados[GM_M]&gt;0)*(tblDados[GS_M]&gt;0))+SUMPRODUCT((TRIM(tblDados[Visitante])=$A866)*tblDados[Primeira_Ocorrencia]*(tblDados[GM_V]&gt;0)*(tblDados[GS_V]&gt;0)))/G866,0))</f>
        <v/>
      </c>
      <c r="P866" s="14" t="str" cm="1">
        <f t="array" ref="P866">IF($A866="","",IFERROR((SUMPRODUCT((TRIM(tblDados[Mandante])=$A866)*tblDados[Primeira_Ocorrencia]*tblDados[GM_M]^2)+SUMPRODUCT((TRIM(tblDados[Visitante])=$A866)*tblDados[Primeira_Ocorrencia]*tblDados[GM_V]^2))/G866-H866^2,0))</f>
        <v/>
      </c>
      <c r="Q866" s="14" t="str">
        <f t="shared" si="226"/>
        <v/>
      </c>
      <c r="R866" s="1" t="str">
        <f t="shared" si="227"/>
        <v/>
      </c>
      <c r="S866" s="14" t="str" cm="1">
        <f t="array" ref="S866">IF($A866="","",SUMPRODUCT((TRIM(tblDados[Mandante])=$A866)*tblDados[Primeira_Ocorrencia]*tblDados[GM_M]))</f>
        <v/>
      </c>
      <c r="T866" s="14" t="str" cm="1">
        <f t="array" ref="T866">IF($A866="","",SUMPRODUCT((TRIM(tblDados[Visitante])=$A866)*tblDados[Primeira_Ocorrencia]*tblDados[GM_V]))</f>
        <v/>
      </c>
      <c r="U866" s="14" t="str">
        <f t="shared" si="228"/>
        <v/>
      </c>
      <c r="V866" s="14" t="str">
        <f t="shared" si="217"/>
        <v/>
      </c>
      <c r="W866" s="14" t="str" cm="1">
        <f t="array" ref="W866">IF($A866="","",SUMPRODUCT((TRIM(tblDados[Mandante])=$A866)*tblDados[Primeira_Ocorrencia]*tblDados[GS_M]))</f>
        <v/>
      </c>
      <c r="X866" s="14" t="str" cm="1">
        <f t="array" ref="X866">IF($A866="","",SUMPRODUCT((TRIM(tblDados[Visitante])=$A866)*tblDados[Primeira_Ocorrencia]*tblDados[GS_V]))</f>
        <v/>
      </c>
      <c r="Y866" s="14" t="str">
        <f t="shared" si="229"/>
        <v/>
      </c>
      <c r="Z866" s="14" t="str">
        <f t="shared" si="218"/>
        <v/>
      </c>
      <c r="AA866" s="14" t="str">
        <f t="shared" si="219"/>
        <v/>
      </c>
      <c r="AB866" s="14" t="str">
        <f t="shared" si="220"/>
        <v/>
      </c>
      <c r="AC866" s="14" t="str">
        <f t="shared" si="221"/>
        <v/>
      </c>
      <c r="AD866" s="14" t="str">
        <f t="shared" si="222"/>
        <v/>
      </c>
    </row>
    <row r="867" spans="2:30" x14ac:dyDescent="0.3">
      <c r="B867" s="13" t="str" cm="1">
        <f t="array" ref="B867">IF($A867="","",_xlfn.LET(_xlpm.p,IFERROR(INDEX(tblDados[País],MATCH($A867,TRIM(tblDados[Mandante]),0)),INDEX(tblDados[País],MATCH($A867,TRIM(tblDados[Visitante]),0))),_xlpm.l,IFERROR(INDEX(tblDados[Liga],MATCH($A867,TRIM(tblDados[Mandante]),0)),INDEX(tblDados[Liga],MATCH($A867,TRIM(tblDados[Visitante]),0))),_xlpm.p&amp;" - "&amp;_xlpm.l))</f>
        <v/>
      </c>
      <c r="C867" s="14" t="str">
        <f t="shared" si="223"/>
        <v/>
      </c>
      <c r="D867" s="14" t="str">
        <f t="shared" si="224"/>
        <v/>
      </c>
      <c r="E867" s="15" t="str" cm="1">
        <f t="array" ref="E867">IF($A867="","",SUMPRODUCT((TRIM(tblDados[Mandante])=$A867)*tblDados[Primeira_Ocorrencia]))</f>
        <v/>
      </c>
      <c r="F867" s="15" t="str" cm="1">
        <f t="array" ref="F867">IF($A867="","",SUMPRODUCT((TRIM(tblDados[Visitante])=$A867)*tblDados[Primeira_Ocorrencia]))</f>
        <v/>
      </c>
      <c r="G867" s="15" t="str" cm="1">
        <f t="array" ref="G867">IF($A867="","",SUMPRODUCT((TRIM(tblDados[Mandante])=$A867)*tblDados[Primeira_Ocorrencia])+SUMPRODUCT((TRIM(tblDados[Visitante])=$A867)*tblDados[Primeira_Ocorrencia]))</f>
        <v/>
      </c>
      <c r="H867" s="14" t="str">
        <f t="shared" si="225"/>
        <v/>
      </c>
      <c r="I867" s="14" t="str" cm="1">
        <f t="array" ref="I867">IF($A867="","",_xlfn.LET(_xlpm.p,IFERROR(INDEX(tblDados[País],MATCH($A867,TRIM(tblDados[Mandante]),0)),INDEX(tblDados[País],MATCH($A867,TRIM(tblDados[Visitante]),0))),_xlpm.l,IFERROR(INDEX(tblDados[Liga],MATCH($A867,TRIM(tblDados[Mandante]),0)),INDEX(tblDados[Liga],MATCH($A867,TRIM(tblDados[Visitante]),0))),IFERROR(SUMIFS(Ligas!$D$2:$D$39,Ligas!$H$2:$H$39,_xlpm.p,Ligas!$I$2:$I$39,_xlpm.l),0)))</f>
        <v/>
      </c>
      <c r="J867" s="16" t="str" cm="1">
        <f t="array" ref="J867">IF($A867="","",IFERROR((SUMPRODUCT((TRIM(tblDados[Mandante])=$A867)*tblDados[Primeira_Ocorrencia]*(tblDados[GM_M]=0))+SUMPRODUCT((TRIM(tblDados[Visitante])=$A867)*tblDados[Primeira_Ocorrencia]*(tblDados[GM_V]=0)))/G867,0))</f>
        <v/>
      </c>
      <c r="K867" s="16" t="str" cm="1">
        <f t="array" ref="K867">IF($A867="","",IFERROR((SUMPRODUCT((TRIM(tblDados[Mandante])=$A867)*tblDados[Primeira_Ocorrencia]*((tblDados[GM_M]+tblDados[GS_M])&gt;0.5))+SUMPRODUCT((TRIM(tblDados[Visitante])=$A867)*tblDados[Primeira_Ocorrencia]*((tblDados[GM_V]+tblDados[GS_V])&gt;0.5)))/G867,0))</f>
        <v/>
      </c>
      <c r="L867" s="16" t="str" cm="1">
        <f t="array" ref="L867">IF($A867="","",IFERROR((SUMPRODUCT((TRIM(tblDados[Mandante])=$A867)*tblDados[Primeira_Ocorrencia]*((tblDados[GM_M]+tblDados[GS_M])&gt;1.5))+SUMPRODUCT((TRIM(tblDados[Visitante])=$A867)*tblDados[Primeira_Ocorrencia]*((tblDados[GM_V]+tblDados[GS_V])&gt;1.5)))/G867,0))</f>
        <v/>
      </c>
      <c r="M867" s="16" t="str" cm="1">
        <f t="array" ref="M867">IF($A867="","",IFERROR((SUMPRODUCT((TRIM(tblDados[Mandante])=$A867)*tblDados[Primeira_Ocorrencia]*((tblDados[GM_M]+tblDados[GS_M])&gt;2.5))+SUMPRODUCT((TRIM(tblDados[Visitante])=$A867)*tblDados[Primeira_Ocorrencia]*((tblDados[GM_V]+tblDados[GS_V])&gt;2.5)))/G867,0))</f>
        <v/>
      </c>
      <c r="N867" s="16" t="str" cm="1">
        <f t="array" ref="N867">IF($A867="","",IFERROR((SUMPRODUCT((TRIM(tblDados[Mandante])=$A867)*tblDados[Primeira_Ocorrencia]*((tblDados[GM_M]+tblDados[GS_M])&gt;3.5))+SUMPRODUCT((TRIM(tblDados[Visitante])=$A867)*tblDados[Primeira_Ocorrencia]*((tblDados[GM_V]+tblDados[GS_V])&gt;3.5)))/G867,0))</f>
        <v/>
      </c>
      <c r="O867" s="16" t="str" cm="1">
        <f t="array" ref="O867">IF($A867="","",IFERROR((SUMPRODUCT((TRIM(tblDados[Mandante])=$A867)*tblDados[Primeira_Ocorrencia]*(tblDados[GM_M]&gt;0)*(tblDados[GS_M]&gt;0))+SUMPRODUCT((TRIM(tblDados[Visitante])=$A867)*tblDados[Primeira_Ocorrencia]*(tblDados[GM_V]&gt;0)*(tblDados[GS_V]&gt;0)))/G867,0))</f>
        <v/>
      </c>
      <c r="P867" s="14" t="str" cm="1">
        <f t="array" ref="P867">IF($A867="","",IFERROR((SUMPRODUCT((TRIM(tblDados[Mandante])=$A867)*tblDados[Primeira_Ocorrencia]*tblDados[GM_M]^2)+SUMPRODUCT((TRIM(tblDados[Visitante])=$A867)*tblDados[Primeira_Ocorrencia]*tblDados[GM_V]^2))/G867-H867^2,0))</f>
        <v/>
      </c>
      <c r="Q867" s="14" t="str">
        <f t="shared" si="226"/>
        <v/>
      </c>
      <c r="R867" s="1" t="str">
        <f t="shared" si="227"/>
        <v/>
      </c>
      <c r="S867" s="14" t="str" cm="1">
        <f t="array" ref="S867">IF($A867="","",SUMPRODUCT((TRIM(tblDados[Mandante])=$A867)*tblDados[Primeira_Ocorrencia]*tblDados[GM_M]))</f>
        <v/>
      </c>
      <c r="T867" s="14" t="str" cm="1">
        <f t="array" ref="T867">IF($A867="","",SUMPRODUCT((TRIM(tblDados[Visitante])=$A867)*tblDados[Primeira_Ocorrencia]*tblDados[GM_V]))</f>
        <v/>
      </c>
      <c r="U867" s="14" t="str">
        <f t="shared" si="228"/>
        <v/>
      </c>
      <c r="V867" s="14" t="str">
        <f t="shared" si="217"/>
        <v/>
      </c>
      <c r="W867" s="14" t="str" cm="1">
        <f t="array" ref="W867">IF($A867="","",SUMPRODUCT((TRIM(tblDados[Mandante])=$A867)*tblDados[Primeira_Ocorrencia]*tblDados[GS_M]))</f>
        <v/>
      </c>
      <c r="X867" s="14" t="str" cm="1">
        <f t="array" ref="X867">IF($A867="","",SUMPRODUCT((TRIM(tblDados[Visitante])=$A867)*tblDados[Primeira_Ocorrencia]*tblDados[GS_V]))</f>
        <v/>
      </c>
      <c r="Y867" s="14" t="str">
        <f t="shared" si="229"/>
        <v/>
      </c>
      <c r="Z867" s="14" t="str">
        <f t="shared" si="218"/>
        <v/>
      </c>
      <c r="AA867" s="14" t="str">
        <f t="shared" si="219"/>
        <v/>
      </c>
      <c r="AB867" s="14" t="str">
        <f t="shared" si="220"/>
        <v/>
      </c>
      <c r="AC867" s="14" t="str">
        <f t="shared" si="221"/>
        <v/>
      </c>
      <c r="AD867" s="14" t="str">
        <f t="shared" si="222"/>
        <v/>
      </c>
    </row>
    <row r="868" spans="2:30" x14ac:dyDescent="0.3">
      <c r="B868" s="13" t="str" cm="1">
        <f t="array" ref="B868">IF($A868="","",_xlfn.LET(_xlpm.p,IFERROR(INDEX(tblDados[País],MATCH($A868,TRIM(tblDados[Mandante]),0)),INDEX(tblDados[País],MATCH($A868,TRIM(tblDados[Visitante]),0))),_xlpm.l,IFERROR(INDEX(tblDados[Liga],MATCH($A868,TRIM(tblDados[Mandante]),0)),INDEX(tblDados[Liga],MATCH($A868,TRIM(tblDados[Visitante]),0))),_xlpm.p&amp;" - "&amp;_xlpm.l))</f>
        <v/>
      </c>
      <c r="C868" s="14" t="str">
        <f t="shared" si="223"/>
        <v/>
      </c>
      <c r="D868" s="14" t="str">
        <f t="shared" si="224"/>
        <v/>
      </c>
      <c r="E868" s="15" t="str" cm="1">
        <f t="array" ref="E868">IF($A868="","",SUMPRODUCT((TRIM(tblDados[Mandante])=$A868)*tblDados[Primeira_Ocorrencia]))</f>
        <v/>
      </c>
      <c r="F868" s="15" t="str" cm="1">
        <f t="array" ref="F868">IF($A868="","",SUMPRODUCT((TRIM(tblDados[Visitante])=$A868)*tblDados[Primeira_Ocorrencia]))</f>
        <v/>
      </c>
      <c r="G868" s="15" t="str" cm="1">
        <f t="array" ref="G868">IF($A868="","",SUMPRODUCT((TRIM(tblDados[Mandante])=$A868)*tblDados[Primeira_Ocorrencia])+SUMPRODUCT((TRIM(tblDados[Visitante])=$A868)*tblDados[Primeira_Ocorrencia]))</f>
        <v/>
      </c>
      <c r="H868" s="14" t="str">
        <f t="shared" si="225"/>
        <v/>
      </c>
      <c r="I868" s="14" t="str" cm="1">
        <f t="array" ref="I868">IF($A868="","",_xlfn.LET(_xlpm.p,IFERROR(INDEX(tblDados[País],MATCH($A868,TRIM(tblDados[Mandante]),0)),INDEX(tblDados[País],MATCH($A868,TRIM(tblDados[Visitante]),0))),_xlpm.l,IFERROR(INDEX(tblDados[Liga],MATCH($A868,TRIM(tblDados[Mandante]),0)),INDEX(tblDados[Liga],MATCH($A868,TRIM(tblDados[Visitante]),0))),IFERROR(SUMIFS(Ligas!$D$2:$D$39,Ligas!$H$2:$H$39,_xlpm.p,Ligas!$I$2:$I$39,_xlpm.l),0)))</f>
        <v/>
      </c>
      <c r="J868" s="16" t="str" cm="1">
        <f t="array" ref="J868">IF($A868="","",IFERROR((SUMPRODUCT((TRIM(tblDados[Mandante])=$A868)*tblDados[Primeira_Ocorrencia]*(tblDados[GM_M]=0))+SUMPRODUCT((TRIM(tblDados[Visitante])=$A868)*tblDados[Primeira_Ocorrencia]*(tblDados[GM_V]=0)))/G868,0))</f>
        <v/>
      </c>
      <c r="K868" s="16" t="str" cm="1">
        <f t="array" ref="K868">IF($A868="","",IFERROR((SUMPRODUCT((TRIM(tblDados[Mandante])=$A868)*tblDados[Primeira_Ocorrencia]*((tblDados[GM_M]+tblDados[GS_M])&gt;0.5))+SUMPRODUCT((TRIM(tblDados[Visitante])=$A868)*tblDados[Primeira_Ocorrencia]*((tblDados[GM_V]+tblDados[GS_V])&gt;0.5)))/G868,0))</f>
        <v/>
      </c>
      <c r="L868" s="16" t="str" cm="1">
        <f t="array" ref="L868">IF($A868="","",IFERROR((SUMPRODUCT((TRIM(tblDados[Mandante])=$A868)*tblDados[Primeira_Ocorrencia]*((tblDados[GM_M]+tblDados[GS_M])&gt;1.5))+SUMPRODUCT((TRIM(tblDados[Visitante])=$A868)*tblDados[Primeira_Ocorrencia]*((tblDados[GM_V]+tblDados[GS_V])&gt;1.5)))/G868,0))</f>
        <v/>
      </c>
      <c r="M868" s="16" t="str" cm="1">
        <f t="array" ref="M868">IF($A868="","",IFERROR((SUMPRODUCT((TRIM(tblDados[Mandante])=$A868)*tblDados[Primeira_Ocorrencia]*((tblDados[GM_M]+tblDados[GS_M])&gt;2.5))+SUMPRODUCT((TRIM(tblDados[Visitante])=$A868)*tblDados[Primeira_Ocorrencia]*((tblDados[GM_V]+tblDados[GS_V])&gt;2.5)))/G868,0))</f>
        <v/>
      </c>
      <c r="N868" s="16" t="str" cm="1">
        <f t="array" ref="N868">IF($A868="","",IFERROR((SUMPRODUCT((TRIM(tblDados[Mandante])=$A868)*tblDados[Primeira_Ocorrencia]*((tblDados[GM_M]+tblDados[GS_M])&gt;3.5))+SUMPRODUCT((TRIM(tblDados[Visitante])=$A868)*tblDados[Primeira_Ocorrencia]*((tblDados[GM_V]+tblDados[GS_V])&gt;3.5)))/G868,0))</f>
        <v/>
      </c>
      <c r="O868" s="16" t="str" cm="1">
        <f t="array" ref="O868">IF($A868="","",IFERROR((SUMPRODUCT((TRIM(tblDados[Mandante])=$A868)*tblDados[Primeira_Ocorrencia]*(tblDados[GM_M]&gt;0)*(tblDados[GS_M]&gt;0))+SUMPRODUCT((TRIM(tblDados[Visitante])=$A868)*tblDados[Primeira_Ocorrencia]*(tblDados[GM_V]&gt;0)*(tblDados[GS_V]&gt;0)))/G868,0))</f>
        <v/>
      </c>
      <c r="P868" s="14" t="str" cm="1">
        <f t="array" ref="P868">IF($A868="","",IFERROR((SUMPRODUCT((TRIM(tblDados[Mandante])=$A868)*tblDados[Primeira_Ocorrencia]*tblDados[GM_M]^2)+SUMPRODUCT((TRIM(tblDados[Visitante])=$A868)*tblDados[Primeira_Ocorrencia]*tblDados[GM_V]^2))/G868-H868^2,0))</f>
        <v/>
      </c>
      <c r="Q868" s="14" t="str">
        <f t="shared" si="226"/>
        <v/>
      </c>
      <c r="R868" s="1" t="str">
        <f t="shared" si="227"/>
        <v/>
      </c>
      <c r="S868" s="14" t="str" cm="1">
        <f t="array" ref="S868">IF($A868="","",SUMPRODUCT((TRIM(tblDados[Mandante])=$A868)*tblDados[Primeira_Ocorrencia]*tblDados[GM_M]))</f>
        <v/>
      </c>
      <c r="T868" s="14" t="str" cm="1">
        <f t="array" ref="T868">IF($A868="","",SUMPRODUCT((TRIM(tblDados[Visitante])=$A868)*tblDados[Primeira_Ocorrencia]*tblDados[GM_V]))</f>
        <v/>
      </c>
      <c r="U868" s="14" t="str">
        <f t="shared" si="228"/>
        <v/>
      </c>
      <c r="V868" s="14" t="str">
        <f t="shared" si="217"/>
        <v/>
      </c>
      <c r="W868" s="14" t="str" cm="1">
        <f t="array" ref="W868">IF($A868="","",SUMPRODUCT((TRIM(tblDados[Mandante])=$A868)*tblDados[Primeira_Ocorrencia]*tblDados[GS_M]))</f>
        <v/>
      </c>
      <c r="X868" s="14" t="str" cm="1">
        <f t="array" ref="X868">IF($A868="","",SUMPRODUCT((TRIM(tblDados[Visitante])=$A868)*tblDados[Primeira_Ocorrencia]*tblDados[GS_V]))</f>
        <v/>
      </c>
      <c r="Y868" s="14" t="str">
        <f t="shared" si="229"/>
        <v/>
      </c>
      <c r="Z868" s="14" t="str">
        <f t="shared" si="218"/>
        <v/>
      </c>
      <c r="AA868" s="14" t="str">
        <f t="shared" si="219"/>
        <v/>
      </c>
      <c r="AB868" s="14" t="str">
        <f t="shared" si="220"/>
        <v/>
      </c>
      <c r="AC868" s="14" t="str">
        <f t="shared" si="221"/>
        <v/>
      </c>
      <c r="AD868" s="14" t="str">
        <f t="shared" si="222"/>
        <v/>
      </c>
    </row>
    <row r="869" spans="2:30" x14ac:dyDescent="0.3">
      <c r="B869" s="13" t="str" cm="1">
        <f t="array" ref="B869">IF($A869="","",_xlfn.LET(_xlpm.p,IFERROR(INDEX(tblDados[País],MATCH($A869,TRIM(tblDados[Mandante]),0)),INDEX(tblDados[País],MATCH($A869,TRIM(tblDados[Visitante]),0))),_xlpm.l,IFERROR(INDEX(tblDados[Liga],MATCH($A869,TRIM(tblDados[Mandante]),0)),INDEX(tblDados[Liga],MATCH($A869,TRIM(tblDados[Visitante]),0))),_xlpm.p&amp;" - "&amp;_xlpm.l))</f>
        <v/>
      </c>
      <c r="C869" s="14" t="str">
        <f t="shared" si="223"/>
        <v/>
      </c>
      <c r="D869" s="14" t="str">
        <f t="shared" si="224"/>
        <v/>
      </c>
      <c r="E869" s="15" t="str" cm="1">
        <f t="array" ref="E869">IF($A869="","",SUMPRODUCT((TRIM(tblDados[Mandante])=$A869)*tblDados[Primeira_Ocorrencia]))</f>
        <v/>
      </c>
      <c r="F869" s="15" t="str" cm="1">
        <f t="array" ref="F869">IF($A869="","",SUMPRODUCT((TRIM(tblDados[Visitante])=$A869)*tblDados[Primeira_Ocorrencia]))</f>
        <v/>
      </c>
      <c r="G869" s="15" t="str" cm="1">
        <f t="array" ref="G869">IF($A869="","",SUMPRODUCT((TRIM(tblDados[Mandante])=$A869)*tblDados[Primeira_Ocorrencia])+SUMPRODUCT((TRIM(tblDados[Visitante])=$A869)*tblDados[Primeira_Ocorrencia]))</f>
        <v/>
      </c>
      <c r="H869" s="14" t="str">
        <f t="shared" si="225"/>
        <v/>
      </c>
      <c r="I869" s="14" t="str" cm="1">
        <f t="array" ref="I869">IF($A869="","",_xlfn.LET(_xlpm.p,IFERROR(INDEX(tblDados[País],MATCH($A869,TRIM(tblDados[Mandante]),0)),INDEX(tblDados[País],MATCH($A869,TRIM(tblDados[Visitante]),0))),_xlpm.l,IFERROR(INDEX(tblDados[Liga],MATCH($A869,TRIM(tblDados[Mandante]),0)),INDEX(tblDados[Liga],MATCH($A869,TRIM(tblDados[Visitante]),0))),IFERROR(SUMIFS(Ligas!$D$2:$D$39,Ligas!$H$2:$H$39,_xlpm.p,Ligas!$I$2:$I$39,_xlpm.l),0)))</f>
        <v/>
      </c>
      <c r="J869" s="16" t="str" cm="1">
        <f t="array" ref="J869">IF($A869="","",IFERROR((SUMPRODUCT((TRIM(tblDados[Mandante])=$A869)*tblDados[Primeira_Ocorrencia]*(tblDados[GM_M]=0))+SUMPRODUCT((TRIM(tblDados[Visitante])=$A869)*tblDados[Primeira_Ocorrencia]*(tblDados[GM_V]=0)))/G869,0))</f>
        <v/>
      </c>
      <c r="K869" s="16" t="str" cm="1">
        <f t="array" ref="K869">IF($A869="","",IFERROR((SUMPRODUCT((TRIM(tblDados[Mandante])=$A869)*tblDados[Primeira_Ocorrencia]*((tblDados[GM_M]+tblDados[GS_M])&gt;0.5))+SUMPRODUCT((TRIM(tblDados[Visitante])=$A869)*tblDados[Primeira_Ocorrencia]*((tblDados[GM_V]+tblDados[GS_V])&gt;0.5)))/G869,0))</f>
        <v/>
      </c>
      <c r="L869" s="16" t="str" cm="1">
        <f t="array" ref="L869">IF($A869="","",IFERROR((SUMPRODUCT((TRIM(tblDados[Mandante])=$A869)*tblDados[Primeira_Ocorrencia]*((tblDados[GM_M]+tblDados[GS_M])&gt;1.5))+SUMPRODUCT((TRIM(tblDados[Visitante])=$A869)*tblDados[Primeira_Ocorrencia]*((tblDados[GM_V]+tblDados[GS_V])&gt;1.5)))/G869,0))</f>
        <v/>
      </c>
      <c r="M869" s="16" t="str" cm="1">
        <f t="array" ref="M869">IF($A869="","",IFERROR((SUMPRODUCT((TRIM(tblDados[Mandante])=$A869)*tblDados[Primeira_Ocorrencia]*((tblDados[GM_M]+tblDados[GS_M])&gt;2.5))+SUMPRODUCT((TRIM(tblDados[Visitante])=$A869)*tblDados[Primeira_Ocorrencia]*((tblDados[GM_V]+tblDados[GS_V])&gt;2.5)))/G869,0))</f>
        <v/>
      </c>
      <c r="N869" s="16" t="str" cm="1">
        <f t="array" ref="N869">IF($A869="","",IFERROR((SUMPRODUCT((TRIM(tblDados[Mandante])=$A869)*tblDados[Primeira_Ocorrencia]*((tblDados[GM_M]+tblDados[GS_M])&gt;3.5))+SUMPRODUCT((TRIM(tblDados[Visitante])=$A869)*tblDados[Primeira_Ocorrencia]*((tblDados[GM_V]+tblDados[GS_V])&gt;3.5)))/G869,0))</f>
        <v/>
      </c>
      <c r="O869" s="16" t="str" cm="1">
        <f t="array" ref="O869">IF($A869="","",IFERROR((SUMPRODUCT((TRIM(tblDados[Mandante])=$A869)*tblDados[Primeira_Ocorrencia]*(tblDados[GM_M]&gt;0)*(tblDados[GS_M]&gt;0))+SUMPRODUCT((TRIM(tblDados[Visitante])=$A869)*tblDados[Primeira_Ocorrencia]*(tblDados[GM_V]&gt;0)*(tblDados[GS_V]&gt;0)))/G869,0))</f>
        <v/>
      </c>
      <c r="P869" s="14" t="str" cm="1">
        <f t="array" ref="P869">IF($A869="","",IFERROR((SUMPRODUCT((TRIM(tblDados[Mandante])=$A869)*tblDados[Primeira_Ocorrencia]*tblDados[GM_M]^2)+SUMPRODUCT((TRIM(tblDados[Visitante])=$A869)*tblDados[Primeira_Ocorrencia]*tblDados[GM_V]^2))/G869-H869^2,0))</f>
        <v/>
      </c>
      <c r="Q869" s="14" t="str">
        <f t="shared" si="226"/>
        <v/>
      </c>
      <c r="R869" s="1" t="str">
        <f t="shared" si="227"/>
        <v/>
      </c>
      <c r="S869" s="14" t="str" cm="1">
        <f t="array" ref="S869">IF($A869="","",SUMPRODUCT((TRIM(tblDados[Mandante])=$A869)*tblDados[Primeira_Ocorrencia]*tblDados[GM_M]))</f>
        <v/>
      </c>
      <c r="T869" s="14" t="str" cm="1">
        <f t="array" ref="T869">IF($A869="","",SUMPRODUCT((TRIM(tblDados[Visitante])=$A869)*tblDados[Primeira_Ocorrencia]*tblDados[GM_V]))</f>
        <v/>
      </c>
      <c r="U869" s="14" t="str">
        <f t="shared" si="228"/>
        <v/>
      </c>
      <c r="V869" s="14" t="str">
        <f t="shared" si="217"/>
        <v/>
      </c>
      <c r="W869" s="14" t="str" cm="1">
        <f t="array" ref="W869">IF($A869="","",SUMPRODUCT((TRIM(tblDados[Mandante])=$A869)*tblDados[Primeira_Ocorrencia]*tblDados[GS_M]))</f>
        <v/>
      </c>
      <c r="X869" s="14" t="str" cm="1">
        <f t="array" ref="X869">IF($A869="","",SUMPRODUCT((TRIM(tblDados[Visitante])=$A869)*tblDados[Primeira_Ocorrencia]*tblDados[GS_V]))</f>
        <v/>
      </c>
      <c r="Y869" s="14" t="str">
        <f t="shared" si="229"/>
        <v/>
      </c>
      <c r="Z869" s="14" t="str">
        <f t="shared" si="218"/>
        <v/>
      </c>
      <c r="AA869" s="14" t="str">
        <f t="shared" si="219"/>
        <v/>
      </c>
      <c r="AB869" s="14" t="str">
        <f t="shared" si="220"/>
        <v/>
      </c>
      <c r="AC869" s="14" t="str">
        <f t="shared" si="221"/>
        <v/>
      </c>
      <c r="AD869" s="14" t="str">
        <f t="shared" si="222"/>
        <v/>
      </c>
    </row>
    <row r="870" spans="2:30" x14ac:dyDescent="0.3">
      <c r="B870" s="13" t="str" cm="1">
        <f t="array" ref="B870">IF($A870="","",_xlfn.LET(_xlpm.p,IFERROR(INDEX(tblDados[País],MATCH($A870,TRIM(tblDados[Mandante]),0)),INDEX(tblDados[País],MATCH($A870,TRIM(tblDados[Visitante]),0))),_xlpm.l,IFERROR(INDEX(tblDados[Liga],MATCH($A870,TRIM(tblDados[Mandante]),0)),INDEX(tblDados[Liga],MATCH($A870,TRIM(tblDados[Visitante]),0))),_xlpm.p&amp;" - "&amp;_xlpm.l))</f>
        <v/>
      </c>
      <c r="C870" s="14" t="str">
        <f t="shared" si="223"/>
        <v/>
      </c>
      <c r="D870" s="14" t="str">
        <f t="shared" si="224"/>
        <v/>
      </c>
      <c r="E870" s="15" t="str" cm="1">
        <f t="array" ref="E870">IF($A870="","",SUMPRODUCT((TRIM(tblDados[Mandante])=$A870)*tblDados[Primeira_Ocorrencia]))</f>
        <v/>
      </c>
      <c r="F870" s="15" t="str" cm="1">
        <f t="array" ref="F870">IF($A870="","",SUMPRODUCT((TRIM(tblDados[Visitante])=$A870)*tblDados[Primeira_Ocorrencia]))</f>
        <v/>
      </c>
      <c r="G870" s="15" t="str" cm="1">
        <f t="array" ref="G870">IF($A870="","",SUMPRODUCT((TRIM(tblDados[Mandante])=$A870)*tblDados[Primeira_Ocorrencia])+SUMPRODUCT((TRIM(tblDados[Visitante])=$A870)*tblDados[Primeira_Ocorrencia]))</f>
        <v/>
      </c>
      <c r="H870" s="14" t="str">
        <f t="shared" si="225"/>
        <v/>
      </c>
      <c r="I870" s="14" t="str" cm="1">
        <f t="array" ref="I870">IF($A870="","",_xlfn.LET(_xlpm.p,IFERROR(INDEX(tblDados[País],MATCH($A870,TRIM(tblDados[Mandante]),0)),INDEX(tblDados[País],MATCH($A870,TRIM(tblDados[Visitante]),0))),_xlpm.l,IFERROR(INDEX(tblDados[Liga],MATCH($A870,TRIM(tblDados[Mandante]),0)),INDEX(tblDados[Liga],MATCH($A870,TRIM(tblDados[Visitante]),0))),IFERROR(SUMIFS(Ligas!$D$2:$D$39,Ligas!$H$2:$H$39,_xlpm.p,Ligas!$I$2:$I$39,_xlpm.l),0)))</f>
        <v/>
      </c>
      <c r="J870" s="16" t="str" cm="1">
        <f t="array" ref="J870">IF($A870="","",IFERROR((SUMPRODUCT((TRIM(tblDados[Mandante])=$A870)*tblDados[Primeira_Ocorrencia]*(tblDados[GM_M]=0))+SUMPRODUCT((TRIM(tblDados[Visitante])=$A870)*tblDados[Primeira_Ocorrencia]*(tblDados[GM_V]=0)))/G870,0))</f>
        <v/>
      </c>
      <c r="K870" s="16" t="str" cm="1">
        <f t="array" ref="K870">IF($A870="","",IFERROR((SUMPRODUCT((TRIM(tblDados[Mandante])=$A870)*tblDados[Primeira_Ocorrencia]*((tblDados[GM_M]+tblDados[GS_M])&gt;0.5))+SUMPRODUCT((TRIM(tblDados[Visitante])=$A870)*tblDados[Primeira_Ocorrencia]*((tblDados[GM_V]+tblDados[GS_V])&gt;0.5)))/G870,0))</f>
        <v/>
      </c>
      <c r="L870" s="16" t="str" cm="1">
        <f t="array" ref="L870">IF($A870="","",IFERROR((SUMPRODUCT((TRIM(tblDados[Mandante])=$A870)*tblDados[Primeira_Ocorrencia]*((tblDados[GM_M]+tblDados[GS_M])&gt;1.5))+SUMPRODUCT((TRIM(tblDados[Visitante])=$A870)*tblDados[Primeira_Ocorrencia]*((tblDados[GM_V]+tblDados[GS_V])&gt;1.5)))/G870,0))</f>
        <v/>
      </c>
      <c r="M870" s="16" t="str" cm="1">
        <f t="array" ref="M870">IF($A870="","",IFERROR((SUMPRODUCT((TRIM(tblDados[Mandante])=$A870)*tblDados[Primeira_Ocorrencia]*((tblDados[GM_M]+tblDados[GS_M])&gt;2.5))+SUMPRODUCT((TRIM(tblDados[Visitante])=$A870)*tblDados[Primeira_Ocorrencia]*((tblDados[GM_V]+tblDados[GS_V])&gt;2.5)))/G870,0))</f>
        <v/>
      </c>
      <c r="N870" s="16" t="str" cm="1">
        <f t="array" ref="N870">IF($A870="","",IFERROR((SUMPRODUCT((TRIM(tblDados[Mandante])=$A870)*tblDados[Primeira_Ocorrencia]*((tblDados[GM_M]+tblDados[GS_M])&gt;3.5))+SUMPRODUCT((TRIM(tblDados[Visitante])=$A870)*tblDados[Primeira_Ocorrencia]*((tblDados[GM_V]+tblDados[GS_V])&gt;3.5)))/G870,0))</f>
        <v/>
      </c>
      <c r="O870" s="16" t="str" cm="1">
        <f t="array" ref="O870">IF($A870="","",IFERROR((SUMPRODUCT((TRIM(tblDados[Mandante])=$A870)*tblDados[Primeira_Ocorrencia]*(tblDados[GM_M]&gt;0)*(tblDados[GS_M]&gt;0))+SUMPRODUCT((TRIM(tblDados[Visitante])=$A870)*tblDados[Primeira_Ocorrencia]*(tblDados[GM_V]&gt;0)*(tblDados[GS_V]&gt;0)))/G870,0))</f>
        <v/>
      </c>
      <c r="P870" s="14" t="str" cm="1">
        <f t="array" ref="P870">IF($A870="","",IFERROR((SUMPRODUCT((TRIM(tblDados[Mandante])=$A870)*tblDados[Primeira_Ocorrencia]*tblDados[GM_M]^2)+SUMPRODUCT((TRIM(tblDados[Visitante])=$A870)*tblDados[Primeira_Ocorrencia]*tblDados[GM_V]^2))/G870-H870^2,0))</f>
        <v/>
      </c>
      <c r="Q870" s="14" t="str">
        <f t="shared" si="226"/>
        <v/>
      </c>
      <c r="R870" s="1" t="str">
        <f t="shared" si="227"/>
        <v/>
      </c>
      <c r="S870" s="14" t="str" cm="1">
        <f t="array" ref="S870">IF($A870="","",SUMPRODUCT((TRIM(tblDados[Mandante])=$A870)*tblDados[Primeira_Ocorrencia]*tblDados[GM_M]))</f>
        <v/>
      </c>
      <c r="T870" s="14" t="str" cm="1">
        <f t="array" ref="T870">IF($A870="","",SUMPRODUCT((TRIM(tblDados[Visitante])=$A870)*tblDados[Primeira_Ocorrencia]*tblDados[GM_V]))</f>
        <v/>
      </c>
      <c r="U870" s="14" t="str">
        <f t="shared" si="228"/>
        <v/>
      </c>
      <c r="V870" s="14" t="str">
        <f t="shared" si="217"/>
        <v/>
      </c>
      <c r="W870" s="14" t="str" cm="1">
        <f t="array" ref="W870">IF($A870="","",SUMPRODUCT((TRIM(tblDados[Mandante])=$A870)*tblDados[Primeira_Ocorrencia]*tblDados[GS_M]))</f>
        <v/>
      </c>
      <c r="X870" s="14" t="str" cm="1">
        <f t="array" ref="X870">IF($A870="","",SUMPRODUCT((TRIM(tblDados[Visitante])=$A870)*tblDados[Primeira_Ocorrencia]*tblDados[GS_V]))</f>
        <v/>
      </c>
      <c r="Y870" s="14" t="str">
        <f t="shared" si="229"/>
        <v/>
      </c>
      <c r="Z870" s="14" t="str">
        <f t="shared" si="218"/>
        <v/>
      </c>
      <c r="AA870" s="14" t="str">
        <f t="shared" si="219"/>
        <v/>
      </c>
      <c r="AB870" s="14" t="str">
        <f t="shared" si="220"/>
        <v/>
      </c>
      <c r="AC870" s="14" t="str">
        <f t="shared" si="221"/>
        <v/>
      </c>
      <c r="AD870" s="14" t="str">
        <f t="shared" si="222"/>
        <v/>
      </c>
    </row>
    <row r="871" spans="2:30" x14ac:dyDescent="0.3">
      <c r="B871" s="13" t="str" cm="1">
        <f t="array" ref="B871">IF($A871="","",_xlfn.LET(_xlpm.p,IFERROR(INDEX(tblDados[País],MATCH($A871,TRIM(tblDados[Mandante]),0)),INDEX(tblDados[País],MATCH($A871,TRIM(tblDados[Visitante]),0))),_xlpm.l,IFERROR(INDEX(tblDados[Liga],MATCH($A871,TRIM(tblDados[Mandante]),0)),INDEX(tblDados[Liga],MATCH($A871,TRIM(tblDados[Visitante]),0))),_xlpm.p&amp;" - "&amp;_xlpm.l))</f>
        <v/>
      </c>
      <c r="C871" s="14" t="str">
        <f t="shared" si="223"/>
        <v/>
      </c>
      <c r="D871" s="14" t="str">
        <f t="shared" si="224"/>
        <v/>
      </c>
      <c r="E871" s="15" t="str" cm="1">
        <f t="array" ref="E871">IF($A871="","",SUMPRODUCT((TRIM(tblDados[Mandante])=$A871)*tblDados[Primeira_Ocorrencia]))</f>
        <v/>
      </c>
      <c r="F871" s="15" t="str" cm="1">
        <f t="array" ref="F871">IF($A871="","",SUMPRODUCT((TRIM(tblDados[Visitante])=$A871)*tblDados[Primeira_Ocorrencia]))</f>
        <v/>
      </c>
      <c r="G871" s="15" t="str" cm="1">
        <f t="array" ref="G871">IF($A871="","",SUMPRODUCT((TRIM(tblDados[Mandante])=$A871)*tblDados[Primeira_Ocorrencia])+SUMPRODUCT((TRIM(tblDados[Visitante])=$A871)*tblDados[Primeira_Ocorrencia]))</f>
        <v/>
      </c>
      <c r="H871" s="14" t="str">
        <f t="shared" si="225"/>
        <v/>
      </c>
      <c r="I871" s="14" t="str" cm="1">
        <f t="array" ref="I871">IF($A871="","",_xlfn.LET(_xlpm.p,IFERROR(INDEX(tblDados[País],MATCH($A871,TRIM(tblDados[Mandante]),0)),INDEX(tblDados[País],MATCH($A871,TRIM(tblDados[Visitante]),0))),_xlpm.l,IFERROR(INDEX(tblDados[Liga],MATCH($A871,TRIM(tblDados[Mandante]),0)),INDEX(tblDados[Liga],MATCH($A871,TRIM(tblDados[Visitante]),0))),IFERROR(SUMIFS(Ligas!$D$2:$D$39,Ligas!$H$2:$H$39,_xlpm.p,Ligas!$I$2:$I$39,_xlpm.l),0)))</f>
        <v/>
      </c>
      <c r="J871" s="16" t="str" cm="1">
        <f t="array" ref="J871">IF($A871="","",IFERROR((SUMPRODUCT((TRIM(tblDados[Mandante])=$A871)*tblDados[Primeira_Ocorrencia]*(tblDados[GM_M]=0))+SUMPRODUCT((TRIM(tblDados[Visitante])=$A871)*tblDados[Primeira_Ocorrencia]*(tblDados[GM_V]=0)))/G871,0))</f>
        <v/>
      </c>
      <c r="K871" s="16" t="str" cm="1">
        <f t="array" ref="K871">IF($A871="","",IFERROR((SUMPRODUCT((TRIM(tblDados[Mandante])=$A871)*tblDados[Primeira_Ocorrencia]*((tblDados[GM_M]+tblDados[GS_M])&gt;0.5))+SUMPRODUCT((TRIM(tblDados[Visitante])=$A871)*tblDados[Primeira_Ocorrencia]*((tblDados[GM_V]+tblDados[GS_V])&gt;0.5)))/G871,0))</f>
        <v/>
      </c>
      <c r="L871" s="16" t="str" cm="1">
        <f t="array" ref="L871">IF($A871="","",IFERROR((SUMPRODUCT((TRIM(tblDados[Mandante])=$A871)*tblDados[Primeira_Ocorrencia]*((tblDados[GM_M]+tblDados[GS_M])&gt;1.5))+SUMPRODUCT((TRIM(tblDados[Visitante])=$A871)*tblDados[Primeira_Ocorrencia]*((tblDados[GM_V]+tblDados[GS_V])&gt;1.5)))/G871,0))</f>
        <v/>
      </c>
      <c r="M871" s="16" t="str" cm="1">
        <f t="array" ref="M871">IF($A871="","",IFERROR((SUMPRODUCT((TRIM(tblDados[Mandante])=$A871)*tblDados[Primeira_Ocorrencia]*((tblDados[GM_M]+tblDados[GS_M])&gt;2.5))+SUMPRODUCT((TRIM(tblDados[Visitante])=$A871)*tblDados[Primeira_Ocorrencia]*((tblDados[GM_V]+tblDados[GS_V])&gt;2.5)))/G871,0))</f>
        <v/>
      </c>
      <c r="N871" s="16" t="str" cm="1">
        <f t="array" ref="N871">IF($A871="","",IFERROR((SUMPRODUCT((TRIM(tblDados[Mandante])=$A871)*tblDados[Primeira_Ocorrencia]*((tblDados[GM_M]+tblDados[GS_M])&gt;3.5))+SUMPRODUCT((TRIM(tblDados[Visitante])=$A871)*tblDados[Primeira_Ocorrencia]*((tblDados[GM_V]+tblDados[GS_V])&gt;3.5)))/G871,0))</f>
        <v/>
      </c>
      <c r="O871" s="16" t="str" cm="1">
        <f t="array" ref="O871">IF($A871="","",IFERROR((SUMPRODUCT((TRIM(tblDados[Mandante])=$A871)*tblDados[Primeira_Ocorrencia]*(tblDados[GM_M]&gt;0)*(tblDados[GS_M]&gt;0))+SUMPRODUCT((TRIM(tblDados[Visitante])=$A871)*tblDados[Primeira_Ocorrencia]*(tblDados[GM_V]&gt;0)*(tblDados[GS_V]&gt;0)))/G871,0))</f>
        <v/>
      </c>
      <c r="P871" s="14" t="str" cm="1">
        <f t="array" ref="P871">IF($A871="","",IFERROR((SUMPRODUCT((TRIM(tblDados[Mandante])=$A871)*tblDados[Primeira_Ocorrencia]*tblDados[GM_M]^2)+SUMPRODUCT((TRIM(tblDados[Visitante])=$A871)*tblDados[Primeira_Ocorrencia]*tblDados[GM_V]^2))/G871-H871^2,0))</f>
        <v/>
      </c>
      <c r="Q871" s="14" t="str">
        <f t="shared" si="226"/>
        <v/>
      </c>
      <c r="R871" s="1" t="str">
        <f t="shared" si="227"/>
        <v/>
      </c>
      <c r="S871" s="14" t="str" cm="1">
        <f t="array" ref="S871">IF($A871="","",SUMPRODUCT((TRIM(tblDados[Mandante])=$A871)*tblDados[Primeira_Ocorrencia]*tblDados[GM_M]))</f>
        <v/>
      </c>
      <c r="T871" s="14" t="str" cm="1">
        <f t="array" ref="T871">IF($A871="","",SUMPRODUCT((TRIM(tblDados[Visitante])=$A871)*tblDados[Primeira_Ocorrencia]*tblDados[GM_V]))</f>
        <v/>
      </c>
      <c r="U871" s="14" t="str">
        <f t="shared" si="228"/>
        <v/>
      </c>
      <c r="V871" s="14" t="str">
        <f t="shared" si="217"/>
        <v/>
      </c>
      <c r="W871" s="14" t="str" cm="1">
        <f t="array" ref="W871">IF($A871="","",SUMPRODUCT((TRIM(tblDados[Mandante])=$A871)*tblDados[Primeira_Ocorrencia]*tblDados[GS_M]))</f>
        <v/>
      </c>
      <c r="X871" s="14" t="str" cm="1">
        <f t="array" ref="X871">IF($A871="","",SUMPRODUCT((TRIM(tblDados[Visitante])=$A871)*tblDados[Primeira_Ocorrencia]*tblDados[GS_V]))</f>
        <v/>
      </c>
      <c r="Y871" s="14" t="str">
        <f t="shared" si="229"/>
        <v/>
      </c>
      <c r="Z871" s="14" t="str">
        <f t="shared" si="218"/>
        <v/>
      </c>
      <c r="AA871" s="14" t="str">
        <f t="shared" si="219"/>
        <v/>
      </c>
      <c r="AB871" s="14" t="str">
        <f t="shared" si="220"/>
        <v/>
      </c>
      <c r="AC871" s="14" t="str">
        <f t="shared" si="221"/>
        <v/>
      </c>
      <c r="AD871" s="14" t="str">
        <f t="shared" si="222"/>
        <v/>
      </c>
    </row>
    <row r="872" spans="2:30" x14ac:dyDescent="0.3">
      <c r="B872" s="13" t="str" cm="1">
        <f t="array" ref="B872">IF($A872="","",_xlfn.LET(_xlpm.p,IFERROR(INDEX(tblDados[País],MATCH($A872,TRIM(tblDados[Mandante]),0)),INDEX(tblDados[País],MATCH($A872,TRIM(tblDados[Visitante]),0))),_xlpm.l,IFERROR(INDEX(tblDados[Liga],MATCH($A872,TRIM(tblDados[Mandante]),0)),INDEX(tblDados[Liga],MATCH($A872,TRIM(tblDados[Visitante]),0))),_xlpm.p&amp;" - "&amp;_xlpm.l))</f>
        <v/>
      </c>
      <c r="C872" s="14" t="str">
        <f t="shared" si="223"/>
        <v/>
      </c>
      <c r="D872" s="14" t="str">
        <f t="shared" si="224"/>
        <v/>
      </c>
      <c r="E872" s="15" t="str" cm="1">
        <f t="array" ref="E872">IF($A872="","",SUMPRODUCT((TRIM(tblDados[Mandante])=$A872)*tblDados[Primeira_Ocorrencia]))</f>
        <v/>
      </c>
      <c r="F872" s="15" t="str" cm="1">
        <f t="array" ref="F872">IF($A872="","",SUMPRODUCT((TRIM(tblDados[Visitante])=$A872)*tblDados[Primeira_Ocorrencia]))</f>
        <v/>
      </c>
      <c r="G872" s="15" t="str" cm="1">
        <f t="array" ref="G872">IF($A872="","",SUMPRODUCT((TRIM(tblDados[Mandante])=$A872)*tblDados[Primeira_Ocorrencia])+SUMPRODUCT((TRIM(tblDados[Visitante])=$A872)*tblDados[Primeira_Ocorrencia]))</f>
        <v/>
      </c>
      <c r="H872" s="14" t="str">
        <f t="shared" si="225"/>
        <v/>
      </c>
      <c r="I872" s="14" t="str" cm="1">
        <f t="array" ref="I872">IF($A872="","",_xlfn.LET(_xlpm.p,IFERROR(INDEX(tblDados[País],MATCH($A872,TRIM(tblDados[Mandante]),0)),INDEX(tblDados[País],MATCH($A872,TRIM(tblDados[Visitante]),0))),_xlpm.l,IFERROR(INDEX(tblDados[Liga],MATCH($A872,TRIM(tblDados[Mandante]),0)),INDEX(tblDados[Liga],MATCH($A872,TRIM(tblDados[Visitante]),0))),IFERROR(SUMIFS(Ligas!$D$2:$D$39,Ligas!$H$2:$H$39,_xlpm.p,Ligas!$I$2:$I$39,_xlpm.l),0)))</f>
        <v/>
      </c>
      <c r="J872" s="16" t="str" cm="1">
        <f t="array" ref="J872">IF($A872="","",IFERROR((SUMPRODUCT((TRIM(tblDados[Mandante])=$A872)*tblDados[Primeira_Ocorrencia]*(tblDados[GM_M]=0))+SUMPRODUCT((TRIM(tblDados[Visitante])=$A872)*tblDados[Primeira_Ocorrencia]*(tblDados[GM_V]=0)))/G872,0))</f>
        <v/>
      </c>
      <c r="K872" s="16" t="str" cm="1">
        <f t="array" ref="K872">IF($A872="","",IFERROR((SUMPRODUCT((TRIM(tblDados[Mandante])=$A872)*tblDados[Primeira_Ocorrencia]*((tblDados[GM_M]+tblDados[GS_M])&gt;0.5))+SUMPRODUCT((TRIM(tblDados[Visitante])=$A872)*tblDados[Primeira_Ocorrencia]*((tblDados[GM_V]+tblDados[GS_V])&gt;0.5)))/G872,0))</f>
        <v/>
      </c>
      <c r="L872" s="16" t="str" cm="1">
        <f t="array" ref="L872">IF($A872="","",IFERROR((SUMPRODUCT((TRIM(tblDados[Mandante])=$A872)*tblDados[Primeira_Ocorrencia]*((tblDados[GM_M]+tblDados[GS_M])&gt;1.5))+SUMPRODUCT((TRIM(tblDados[Visitante])=$A872)*tblDados[Primeira_Ocorrencia]*((tblDados[GM_V]+tblDados[GS_V])&gt;1.5)))/G872,0))</f>
        <v/>
      </c>
      <c r="M872" s="16" t="str" cm="1">
        <f t="array" ref="M872">IF($A872="","",IFERROR((SUMPRODUCT((TRIM(tblDados[Mandante])=$A872)*tblDados[Primeira_Ocorrencia]*((tblDados[GM_M]+tblDados[GS_M])&gt;2.5))+SUMPRODUCT((TRIM(tblDados[Visitante])=$A872)*tblDados[Primeira_Ocorrencia]*((tblDados[GM_V]+tblDados[GS_V])&gt;2.5)))/G872,0))</f>
        <v/>
      </c>
      <c r="N872" s="16" t="str" cm="1">
        <f t="array" ref="N872">IF($A872="","",IFERROR((SUMPRODUCT((TRIM(tblDados[Mandante])=$A872)*tblDados[Primeira_Ocorrencia]*((tblDados[GM_M]+tblDados[GS_M])&gt;3.5))+SUMPRODUCT((TRIM(tblDados[Visitante])=$A872)*tblDados[Primeira_Ocorrencia]*((tblDados[GM_V]+tblDados[GS_V])&gt;3.5)))/G872,0))</f>
        <v/>
      </c>
      <c r="O872" s="16" t="str" cm="1">
        <f t="array" ref="O872">IF($A872="","",IFERROR((SUMPRODUCT((TRIM(tblDados[Mandante])=$A872)*tblDados[Primeira_Ocorrencia]*(tblDados[GM_M]&gt;0)*(tblDados[GS_M]&gt;0))+SUMPRODUCT((TRIM(tblDados[Visitante])=$A872)*tblDados[Primeira_Ocorrencia]*(tblDados[GM_V]&gt;0)*(tblDados[GS_V]&gt;0)))/G872,0))</f>
        <v/>
      </c>
      <c r="P872" s="14" t="str" cm="1">
        <f t="array" ref="P872">IF($A872="","",IFERROR((SUMPRODUCT((TRIM(tblDados[Mandante])=$A872)*tblDados[Primeira_Ocorrencia]*tblDados[GM_M]^2)+SUMPRODUCT((TRIM(tblDados[Visitante])=$A872)*tblDados[Primeira_Ocorrencia]*tblDados[GM_V]^2))/G872-H872^2,0))</f>
        <v/>
      </c>
      <c r="Q872" s="14" t="str">
        <f t="shared" si="226"/>
        <v/>
      </c>
      <c r="R872" s="1" t="str">
        <f t="shared" si="227"/>
        <v/>
      </c>
      <c r="S872" s="14" t="str" cm="1">
        <f t="array" ref="S872">IF($A872="","",SUMPRODUCT((TRIM(tblDados[Mandante])=$A872)*tblDados[Primeira_Ocorrencia]*tblDados[GM_M]))</f>
        <v/>
      </c>
      <c r="T872" s="14" t="str" cm="1">
        <f t="array" ref="T872">IF($A872="","",SUMPRODUCT((TRIM(tblDados[Visitante])=$A872)*tblDados[Primeira_Ocorrencia]*tblDados[GM_V]))</f>
        <v/>
      </c>
      <c r="U872" s="14" t="str">
        <f t="shared" si="228"/>
        <v/>
      </c>
      <c r="V872" s="14" t="str">
        <f t="shared" si="217"/>
        <v/>
      </c>
      <c r="W872" s="14" t="str" cm="1">
        <f t="array" ref="W872">IF($A872="","",SUMPRODUCT((TRIM(tblDados[Mandante])=$A872)*tblDados[Primeira_Ocorrencia]*tblDados[GS_M]))</f>
        <v/>
      </c>
      <c r="X872" s="14" t="str" cm="1">
        <f t="array" ref="X872">IF($A872="","",SUMPRODUCT((TRIM(tblDados[Visitante])=$A872)*tblDados[Primeira_Ocorrencia]*tblDados[GS_V]))</f>
        <v/>
      </c>
      <c r="Y872" s="14" t="str">
        <f t="shared" si="229"/>
        <v/>
      </c>
      <c r="Z872" s="14" t="str">
        <f t="shared" si="218"/>
        <v/>
      </c>
      <c r="AA872" s="14" t="str">
        <f t="shared" si="219"/>
        <v/>
      </c>
      <c r="AB872" s="14" t="str">
        <f t="shared" si="220"/>
        <v/>
      </c>
      <c r="AC872" s="14" t="str">
        <f t="shared" si="221"/>
        <v/>
      </c>
      <c r="AD872" s="14" t="str">
        <f t="shared" si="222"/>
        <v/>
      </c>
    </row>
    <row r="873" spans="2:30" x14ac:dyDescent="0.3">
      <c r="B873" s="13" t="str" cm="1">
        <f t="array" ref="B873">IF($A873="","",_xlfn.LET(_xlpm.p,IFERROR(INDEX(tblDados[País],MATCH($A873,TRIM(tblDados[Mandante]),0)),INDEX(tblDados[País],MATCH($A873,TRIM(tblDados[Visitante]),0))),_xlpm.l,IFERROR(INDEX(tblDados[Liga],MATCH($A873,TRIM(tblDados[Mandante]),0)),INDEX(tblDados[Liga],MATCH($A873,TRIM(tblDados[Visitante]),0))),_xlpm.p&amp;" - "&amp;_xlpm.l))</f>
        <v/>
      </c>
      <c r="C873" s="14" t="str">
        <f t="shared" si="223"/>
        <v/>
      </c>
      <c r="D873" s="14" t="str">
        <f t="shared" si="224"/>
        <v/>
      </c>
      <c r="E873" s="15" t="str" cm="1">
        <f t="array" ref="E873">IF($A873="","",SUMPRODUCT((TRIM(tblDados[Mandante])=$A873)*tblDados[Primeira_Ocorrencia]))</f>
        <v/>
      </c>
      <c r="F873" s="15" t="str" cm="1">
        <f t="array" ref="F873">IF($A873="","",SUMPRODUCT((TRIM(tblDados[Visitante])=$A873)*tblDados[Primeira_Ocorrencia]))</f>
        <v/>
      </c>
      <c r="G873" s="15" t="str" cm="1">
        <f t="array" ref="G873">IF($A873="","",SUMPRODUCT((TRIM(tblDados[Mandante])=$A873)*tblDados[Primeira_Ocorrencia])+SUMPRODUCT((TRIM(tblDados[Visitante])=$A873)*tblDados[Primeira_Ocorrencia]))</f>
        <v/>
      </c>
      <c r="H873" s="14" t="str">
        <f t="shared" si="225"/>
        <v/>
      </c>
      <c r="I873" s="14" t="str" cm="1">
        <f t="array" ref="I873">IF($A873="","",_xlfn.LET(_xlpm.p,IFERROR(INDEX(tblDados[País],MATCH($A873,TRIM(tblDados[Mandante]),0)),INDEX(tblDados[País],MATCH($A873,TRIM(tblDados[Visitante]),0))),_xlpm.l,IFERROR(INDEX(tblDados[Liga],MATCH($A873,TRIM(tblDados[Mandante]),0)),INDEX(tblDados[Liga],MATCH($A873,TRIM(tblDados[Visitante]),0))),IFERROR(SUMIFS(Ligas!$D$2:$D$39,Ligas!$H$2:$H$39,_xlpm.p,Ligas!$I$2:$I$39,_xlpm.l),0)))</f>
        <v/>
      </c>
      <c r="J873" s="16" t="str" cm="1">
        <f t="array" ref="J873">IF($A873="","",IFERROR((SUMPRODUCT((TRIM(tblDados[Mandante])=$A873)*tblDados[Primeira_Ocorrencia]*(tblDados[GM_M]=0))+SUMPRODUCT((TRIM(tblDados[Visitante])=$A873)*tblDados[Primeira_Ocorrencia]*(tblDados[GM_V]=0)))/G873,0))</f>
        <v/>
      </c>
      <c r="K873" s="16" t="str" cm="1">
        <f t="array" ref="K873">IF($A873="","",IFERROR((SUMPRODUCT((TRIM(tblDados[Mandante])=$A873)*tblDados[Primeira_Ocorrencia]*((tblDados[GM_M]+tblDados[GS_M])&gt;0.5))+SUMPRODUCT((TRIM(tblDados[Visitante])=$A873)*tblDados[Primeira_Ocorrencia]*((tblDados[GM_V]+tblDados[GS_V])&gt;0.5)))/G873,0))</f>
        <v/>
      </c>
      <c r="L873" s="16" t="str" cm="1">
        <f t="array" ref="L873">IF($A873="","",IFERROR((SUMPRODUCT((TRIM(tblDados[Mandante])=$A873)*tblDados[Primeira_Ocorrencia]*((tblDados[GM_M]+tblDados[GS_M])&gt;1.5))+SUMPRODUCT((TRIM(tblDados[Visitante])=$A873)*tblDados[Primeira_Ocorrencia]*((tblDados[GM_V]+tblDados[GS_V])&gt;1.5)))/G873,0))</f>
        <v/>
      </c>
      <c r="M873" s="16" t="str" cm="1">
        <f t="array" ref="M873">IF($A873="","",IFERROR((SUMPRODUCT((TRIM(tblDados[Mandante])=$A873)*tblDados[Primeira_Ocorrencia]*((tblDados[GM_M]+tblDados[GS_M])&gt;2.5))+SUMPRODUCT((TRIM(tblDados[Visitante])=$A873)*tblDados[Primeira_Ocorrencia]*((tblDados[GM_V]+tblDados[GS_V])&gt;2.5)))/G873,0))</f>
        <v/>
      </c>
      <c r="N873" s="16" t="str" cm="1">
        <f t="array" ref="N873">IF($A873="","",IFERROR((SUMPRODUCT((TRIM(tblDados[Mandante])=$A873)*tblDados[Primeira_Ocorrencia]*((tblDados[GM_M]+tblDados[GS_M])&gt;3.5))+SUMPRODUCT((TRIM(tblDados[Visitante])=$A873)*tblDados[Primeira_Ocorrencia]*((tblDados[GM_V]+tblDados[GS_V])&gt;3.5)))/G873,0))</f>
        <v/>
      </c>
      <c r="O873" s="16" t="str" cm="1">
        <f t="array" ref="O873">IF($A873="","",IFERROR((SUMPRODUCT((TRIM(tblDados[Mandante])=$A873)*tblDados[Primeira_Ocorrencia]*(tblDados[GM_M]&gt;0)*(tblDados[GS_M]&gt;0))+SUMPRODUCT((TRIM(tblDados[Visitante])=$A873)*tblDados[Primeira_Ocorrencia]*(tblDados[GM_V]&gt;0)*(tblDados[GS_V]&gt;0)))/G873,0))</f>
        <v/>
      </c>
      <c r="P873" s="14" t="str" cm="1">
        <f t="array" ref="P873">IF($A873="","",IFERROR((SUMPRODUCT((TRIM(tblDados[Mandante])=$A873)*tblDados[Primeira_Ocorrencia]*tblDados[GM_M]^2)+SUMPRODUCT((TRIM(tblDados[Visitante])=$A873)*tblDados[Primeira_Ocorrencia]*tblDados[GM_V]^2))/G873-H873^2,0))</f>
        <v/>
      </c>
      <c r="Q873" s="14" t="str">
        <f t="shared" si="226"/>
        <v/>
      </c>
      <c r="R873" s="1" t="str">
        <f t="shared" si="227"/>
        <v/>
      </c>
      <c r="S873" s="14" t="str" cm="1">
        <f t="array" ref="S873">IF($A873="","",SUMPRODUCT((TRIM(tblDados[Mandante])=$A873)*tblDados[Primeira_Ocorrencia]*tblDados[GM_M]))</f>
        <v/>
      </c>
      <c r="T873" s="14" t="str" cm="1">
        <f t="array" ref="T873">IF($A873="","",SUMPRODUCT((TRIM(tblDados[Visitante])=$A873)*tblDados[Primeira_Ocorrencia]*tblDados[GM_V]))</f>
        <v/>
      </c>
      <c r="U873" s="14" t="str">
        <f t="shared" si="228"/>
        <v/>
      </c>
      <c r="V873" s="14" t="str">
        <f t="shared" si="217"/>
        <v/>
      </c>
      <c r="W873" s="14" t="str" cm="1">
        <f t="array" ref="W873">IF($A873="","",SUMPRODUCT((TRIM(tblDados[Mandante])=$A873)*tblDados[Primeira_Ocorrencia]*tblDados[GS_M]))</f>
        <v/>
      </c>
      <c r="X873" s="14" t="str" cm="1">
        <f t="array" ref="X873">IF($A873="","",SUMPRODUCT((TRIM(tblDados[Visitante])=$A873)*tblDados[Primeira_Ocorrencia]*tblDados[GS_V]))</f>
        <v/>
      </c>
      <c r="Y873" s="14" t="str">
        <f t="shared" si="229"/>
        <v/>
      </c>
      <c r="Z873" s="14" t="str">
        <f t="shared" si="218"/>
        <v/>
      </c>
      <c r="AA873" s="14" t="str">
        <f t="shared" si="219"/>
        <v/>
      </c>
      <c r="AB873" s="14" t="str">
        <f t="shared" si="220"/>
        <v/>
      </c>
      <c r="AC873" s="14" t="str">
        <f t="shared" si="221"/>
        <v/>
      </c>
      <c r="AD873" s="14" t="str">
        <f t="shared" si="222"/>
        <v/>
      </c>
    </row>
    <row r="874" spans="2:30" x14ac:dyDescent="0.3">
      <c r="B874" s="13" t="str" cm="1">
        <f t="array" ref="B874">IF($A874="","",_xlfn.LET(_xlpm.p,IFERROR(INDEX(tblDados[País],MATCH($A874,TRIM(tblDados[Mandante]),0)),INDEX(tblDados[País],MATCH($A874,TRIM(tblDados[Visitante]),0))),_xlpm.l,IFERROR(INDEX(tblDados[Liga],MATCH($A874,TRIM(tblDados[Mandante]),0)),INDEX(tblDados[Liga],MATCH($A874,TRIM(tblDados[Visitante]),0))),_xlpm.p&amp;" - "&amp;_xlpm.l))</f>
        <v/>
      </c>
      <c r="C874" s="14" t="str">
        <f t="shared" si="223"/>
        <v/>
      </c>
      <c r="D874" s="14" t="str">
        <f t="shared" si="224"/>
        <v/>
      </c>
      <c r="E874" s="15" t="str" cm="1">
        <f t="array" ref="E874">IF($A874="","",SUMPRODUCT((TRIM(tblDados[Mandante])=$A874)*tblDados[Primeira_Ocorrencia]))</f>
        <v/>
      </c>
      <c r="F874" s="15" t="str" cm="1">
        <f t="array" ref="F874">IF($A874="","",SUMPRODUCT((TRIM(tblDados[Visitante])=$A874)*tblDados[Primeira_Ocorrencia]))</f>
        <v/>
      </c>
      <c r="G874" s="15" t="str" cm="1">
        <f t="array" ref="G874">IF($A874="","",SUMPRODUCT((TRIM(tblDados[Mandante])=$A874)*tblDados[Primeira_Ocorrencia])+SUMPRODUCT((TRIM(tblDados[Visitante])=$A874)*tblDados[Primeira_Ocorrencia]))</f>
        <v/>
      </c>
      <c r="H874" s="14" t="str">
        <f t="shared" si="225"/>
        <v/>
      </c>
      <c r="I874" s="14" t="str" cm="1">
        <f t="array" ref="I874">IF($A874="","",_xlfn.LET(_xlpm.p,IFERROR(INDEX(tblDados[País],MATCH($A874,TRIM(tblDados[Mandante]),0)),INDEX(tblDados[País],MATCH($A874,TRIM(tblDados[Visitante]),0))),_xlpm.l,IFERROR(INDEX(tblDados[Liga],MATCH($A874,TRIM(tblDados[Mandante]),0)),INDEX(tblDados[Liga],MATCH($A874,TRIM(tblDados[Visitante]),0))),IFERROR(SUMIFS(Ligas!$D$2:$D$39,Ligas!$H$2:$H$39,_xlpm.p,Ligas!$I$2:$I$39,_xlpm.l),0)))</f>
        <v/>
      </c>
      <c r="J874" s="16" t="str" cm="1">
        <f t="array" ref="J874">IF($A874="","",IFERROR((SUMPRODUCT((TRIM(tblDados[Mandante])=$A874)*tblDados[Primeira_Ocorrencia]*(tblDados[GM_M]=0))+SUMPRODUCT((TRIM(tblDados[Visitante])=$A874)*tblDados[Primeira_Ocorrencia]*(tblDados[GM_V]=0)))/G874,0))</f>
        <v/>
      </c>
      <c r="K874" s="16" t="str" cm="1">
        <f t="array" ref="K874">IF($A874="","",IFERROR((SUMPRODUCT((TRIM(tblDados[Mandante])=$A874)*tblDados[Primeira_Ocorrencia]*((tblDados[GM_M]+tblDados[GS_M])&gt;0.5))+SUMPRODUCT((TRIM(tblDados[Visitante])=$A874)*tblDados[Primeira_Ocorrencia]*((tblDados[GM_V]+tblDados[GS_V])&gt;0.5)))/G874,0))</f>
        <v/>
      </c>
      <c r="L874" s="16" t="str" cm="1">
        <f t="array" ref="L874">IF($A874="","",IFERROR((SUMPRODUCT((TRIM(tblDados[Mandante])=$A874)*tblDados[Primeira_Ocorrencia]*((tblDados[GM_M]+tblDados[GS_M])&gt;1.5))+SUMPRODUCT((TRIM(tblDados[Visitante])=$A874)*tblDados[Primeira_Ocorrencia]*((tblDados[GM_V]+tblDados[GS_V])&gt;1.5)))/G874,0))</f>
        <v/>
      </c>
      <c r="M874" s="16" t="str" cm="1">
        <f t="array" ref="M874">IF($A874="","",IFERROR((SUMPRODUCT((TRIM(tblDados[Mandante])=$A874)*tblDados[Primeira_Ocorrencia]*((tblDados[GM_M]+tblDados[GS_M])&gt;2.5))+SUMPRODUCT((TRIM(tblDados[Visitante])=$A874)*tblDados[Primeira_Ocorrencia]*((tblDados[GM_V]+tblDados[GS_V])&gt;2.5)))/G874,0))</f>
        <v/>
      </c>
      <c r="N874" s="16" t="str" cm="1">
        <f t="array" ref="N874">IF($A874="","",IFERROR((SUMPRODUCT((TRIM(tblDados[Mandante])=$A874)*tblDados[Primeira_Ocorrencia]*((tblDados[GM_M]+tblDados[GS_M])&gt;3.5))+SUMPRODUCT((TRIM(tblDados[Visitante])=$A874)*tblDados[Primeira_Ocorrencia]*((tblDados[GM_V]+tblDados[GS_V])&gt;3.5)))/G874,0))</f>
        <v/>
      </c>
      <c r="O874" s="16" t="str" cm="1">
        <f t="array" ref="O874">IF($A874="","",IFERROR((SUMPRODUCT((TRIM(tblDados[Mandante])=$A874)*tblDados[Primeira_Ocorrencia]*(tblDados[GM_M]&gt;0)*(tblDados[GS_M]&gt;0))+SUMPRODUCT((TRIM(tblDados[Visitante])=$A874)*tblDados[Primeira_Ocorrencia]*(tblDados[GM_V]&gt;0)*(tblDados[GS_V]&gt;0)))/G874,0))</f>
        <v/>
      </c>
      <c r="P874" s="14" t="str" cm="1">
        <f t="array" ref="P874">IF($A874="","",IFERROR((SUMPRODUCT((TRIM(tblDados[Mandante])=$A874)*tblDados[Primeira_Ocorrencia]*tblDados[GM_M]^2)+SUMPRODUCT((TRIM(tblDados[Visitante])=$A874)*tblDados[Primeira_Ocorrencia]*tblDados[GM_V]^2))/G874-H874^2,0))</f>
        <v/>
      </c>
      <c r="Q874" s="14" t="str">
        <f t="shared" si="226"/>
        <v/>
      </c>
      <c r="R874" s="1" t="str">
        <f t="shared" si="227"/>
        <v/>
      </c>
      <c r="S874" s="14" t="str" cm="1">
        <f t="array" ref="S874">IF($A874="","",SUMPRODUCT((TRIM(tblDados[Mandante])=$A874)*tblDados[Primeira_Ocorrencia]*tblDados[GM_M]))</f>
        <v/>
      </c>
      <c r="T874" s="14" t="str" cm="1">
        <f t="array" ref="T874">IF($A874="","",SUMPRODUCT((TRIM(tblDados[Visitante])=$A874)*tblDados[Primeira_Ocorrencia]*tblDados[GM_V]))</f>
        <v/>
      </c>
      <c r="U874" s="14" t="str">
        <f t="shared" si="228"/>
        <v/>
      </c>
      <c r="V874" s="14" t="str">
        <f t="shared" si="217"/>
        <v/>
      </c>
      <c r="W874" s="14" t="str" cm="1">
        <f t="array" ref="W874">IF($A874="","",SUMPRODUCT((TRIM(tblDados[Mandante])=$A874)*tblDados[Primeira_Ocorrencia]*tblDados[GS_M]))</f>
        <v/>
      </c>
      <c r="X874" s="14" t="str" cm="1">
        <f t="array" ref="X874">IF($A874="","",SUMPRODUCT((TRIM(tblDados[Visitante])=$A874)*tblDados[Primeira_Ocorrencia]*tblDados[GS_V]))</f>
        <v/>
      </c>
      <c r="Y874" s="14" t="str">
        <f t="shared" si="229"/>
        <v/>
      </c>
      <c r="Z874" s="14" t="str">
        <f t="shared" si="218"/>
        <v/>
      </c>
      <c r="AA874" s="14" t="str">
        <f t="shared" si="219"/>
        <v/>
      </c>
      <c r="AB874" s="14" t="str">
        <f t="shared" si="220"/>
        <v/>
      </c>
      <c r="AC874" s="14" t="str">
        <f t="shared" si="221"/>
        <v/>
      </c>
      <c r="AD874" s="14" t="str">
        <f t="shared" si="222"/>
        <v/>
      </c>
    </row>
    <row r="875" spans="2:30" x14ac:dyDescent="0.3">
      <c r="B875" s="13" t="str" cm="1">
        <f t="array" ref="B875">IF($A875="","",_xlfn.LET(_xlpm.p,IFERROR(INDEX(tblDados[País],MATCH($A875,TRIM(tblDados[Mandante]),0)),INDEX(tblDados[País],MATCH($A875,TRIM(tblDados[Visitante]),0))),_xlpm.l,IFERROR(INDEX(tblDados[Liga],MATCH($A875,TRIM(tblDados[Mandante]),0)),INDEX(tblDados[Liga],MATCH($A875,TRIM(tblDados[Visitante]),0))),_xlpm.p&amp;" - "&amp;_xlpm.l))</f>
        <v/>
      </c>
      <c r="C875" s="14" t="str">
        <f t="shared" si="223"/>
        <v/>
      </c>
      <c r="D875" s="14" t="str">
        <f t="shared" si="224"/>
        <v/>
      </c>
      <c r="E875" s="15" t="str" cm="1">
        <f t="array" ref="E875">IF($A875="","",SUMPRODUCT((TRIM(tblDados[Mandante])=$A875)*tblDados[Primeira_Ocorrencia]))</f>
        <v/>
      </c>
      <c r="F875" s="15" t="str" cm="1">
        <f t="array" ref="F875">IF($A875="","",SUMPRODUCT((TRIM(tblDados[Visitante])=$A875)*tblDados[Primeira_Ocorrencia]))</f>
        <v/>
      </c>
      <c r="G875" s="15" t="str" cm="1">
        <f t="array" ref="G875">IF($A875="","",SUMPRODUCT((TRIM(tblDados[Mandante])=$A875)*tblDados[Primeira_Ocorrencia])+SUMPRODUCT((TRIM(tblDados[Visitante])=$A875)*tblDados[Primeira_Ocorrencia]))</f>
        <v/>
      </c>
      <c r="H875" s="14" t="str">
        <f t="shared" si="225"/>
        <v/>
      </c>
      <c r="I875" s="14" t="str" cm="1">
        <f t="array" ref="I875">IF($A875="","",_xlfn.LET(_xlpm.p,IFERROR(INDEX(tblDados[País],MATCH($A875,TRIM(tblDados[Mandante]),0)),INDEX(tblDados[País],MATCH($A875,TRIM(tblDados[Visitante]),0))),_xlpm.l,IFERROR(INDEX(tblDados[Liga],MATCH($A875,TRIM(tblDados[Mandante]),0)),INDEX(tblDados[Liga],MATCH($A875,TRIM(tblDados[Visitante]),0))),IFERROR(SUMIFS(Ligas!$D$2:$D$39,Ligas!$H$2:$H$39,_xlpm.p,Ligas!$I$2:$I$39,_xlpm.l),0)))</f>
        <v/>
      </c>
      <c r="J875" s="16" t="str" cm="1">
        <f t="array" ref="J875">IF($A875="","",IFERROR((SUMPRODUCT((TRIM(tblDados[Mandante])=$A875)*tblDados[Primeira_Ocorrencia]*(tblDados[GM_M]=0))+SUMPRODUCT((TRIM(tblDados[Visitante])=$A875)*tblDados[Primeira_Ocorrencia]*(tblDados[GM_V]=0)))/G875,0))</f>
        <v/>
      </c>
      <c r="K875" s="16" t="str" cm="1">
        <f t="array" ref="K875">IF($A875="","",IFERROR((SUMPRODUCT((TRIM(tblDados[Mandante])=$A875)*tblDados[Primeira_Ocorrencia]*((tblDados[GM_M]+tblDados[GS_M])&gt;0.5))+SUMPRODUCT((TRIM(tblDados[Visitante])=$A875)*tblDados[Primeira_Ocorrencia]*((tblDados[GM_V]+tblDados[GS_V])&gt;0.5)))/G875,0))</f>
        <v/>
      </c>
      <c r="L875" s="16" t="str" cm="1">
        <f t="array" ref="L875">IF($A875="","",IFERROR((SUMPRODUCT((TRIM(tblDados[Mandante])=$A875)*tblDados[Primeira_Ocorrencia]*((tblDados[GM_M]+tblDados[GS_M])&gt;1.5))+SUMPRODUCT((TRIM(tblDados[Visitante])=$A875)*tblDados[Primeira_Ocorrencia]*((tblDados[GM_V]+tblDados[GS_V])&gt;1.5)))/G875,0))</f>
        <v/>
      </c>
      <c r="M875" s="16" t="str" cm="1">
        <f t="array" ref="M875">IF($A875="","",IFERROR((SUMPRODUCT((TRIM(tblDados[Mandante])=$A875)*tblDados[Primeira_Ocorrencia]*((tblDados[GM_M]+tblDados[GS_M])&gt;2.5))+SUMPRODUCT((TRIM(tblDados[Visitante])=$A875)*tblDados[Primeira_Ocorrencia]*((tblDados[GM_V]+tblDados[GS_V])&gt;2.5)))/G875,0))</f>
        <v/>
      </c>
      <c r="N875" s="16" t="str" cm="1">
        <f t="array" ref="N875">IF($A875="","",IFERROR((SUMPRODUCT((TRIM(tblDados[Mandante])=$A875)*tblDados[Primeira_Ocorrencia]*((tblDados[GM_M]+tblDados[GS_M])&gt;3.5))+SUMPRODUCT((TRIM(tblDados[Visitante])=$A875)*tblDados[Primeira_Ocorrencia]*((tblDados[GM_V]+tblDados[GS_V])&gt;3.5)))/G875,0))</f>
        <v/>
      </c>
      <c r="O875" s="16" t="str" cm="1">
        <f t="array" ref="O875">IF($A875="","",IFERROR((SUMPRODUCT((TRIM(tblDados[Mandante])=$A875)*tblDados[Primeira_Ocorrencia]*(tblDados[GM_M]&gt;0)*(tblDados[GS_M]&gt;0))+SUMPRODUCT((TRIM(tblDados[Visitante])=$A875)*tblDados[Primeira_Ocorrencia]*(tblDados[GM_V]&gt;0)*(tblDados[GS_V]&gt;0)))/G875,0))</f>
        <v/>
      </c>
      <c r="P875" s="14" t="str" cm="1">
        <f t="array" ref="P875">IF($A875="","",IFERROR((SUMPRODUCT((TRIM(tblDados[Mandante])=$A875)*tblDados[Primeira_Ocorrencia]*tblDados[GM_M]^2)+SUMPRODUCT((TRIM(tblDados[Visitante])=$A875)*tblDados[Primeira_Ocorrencia]*tblDados[GM_V]^2))/G875-H875^2,0))</f>
        <v/>
      </c>
      <c r="Q875" s="14" t="str">
        <f t="shared" si="226"/>
        <v/>
      </c>
      <c r="R875" s="1" t="str">
        <f t="shared" si="227"/>
        <v/>
      </c>
      <c r="S875" s="14" t="str" cm="1">
        <f t="array" ref="S875">IF($A875="","",SUMPRODUCT((TRIM(tblDados[Mandante])=$A875)*tblDados[Primeira_Ocorrencia]*tblDados[GM_M]))</f>
        <v/>
      </c>
      <c r="T875" s="14" t="str" cm="1">
        <f t="array" ref="T875">IF($A875="","",SUMPRODUCT((TRIM(tblDados[Visitante])=$A875)*tblDados[Primeira_Ocorrencia]*tblDados[GM_V]))</f>
        <v/>
      </c>
      <c r="U875" s="14" t="str">
        <f t="shared" si="228"/>
        <v/>
      </c>
      <c r="V875" s="14" t="str">
        <f t="shared" si="217"/>
        <v/>
      </c>
      <c r="W875" s="14" t="str" cm="1">
        <f t="array" ref="W875">IF($A875="","",SUMPRODUCT((TRIM(tblDados[Mandante])=$A875)*tblDados[Primeira_Ocorrencia]*tblDados[GS_M]))</f>
        <v/>
      </c>
      <c r="X875" s="14" t="str" cm="1">
        <f t="array" ref="X875">IF($A875="","",SUMPRODUCT((TRIM(tblDados[Visitante])=$A875)*tblDados[Primeira_Ocorrencia]*tblDados[GS_V]))</f>
        <v/>
      </c>
      <c r="Y875" s="14" t="str">
        <f t="shared" si="229"/>
        <v/>
      </c>
      <c r="Z875" s="14" t="str">
        <f t="shared" si="218"/>
        <v/>
      </c>
      <c r="AA875" s="14" t="str">
        <f t="shared" si="219"/>
        <v/>
      </c>
      <c r="AB875" s="14" t="str">
        <f t="shared" si="220"/>
        <v/>
      </c>
      <c r="AC875" s="14" t="str">
        <f t="shared" si="221"/>
        <v/>
      </c>
      <c r="AD875" s="14" t="str">
        <f t="shared" si="222"/>
        <v/>
      </c>
    </row>
    <row r="876" spans="2:30" x14ac:dyDescent="0.3">
      <c r="B876" s="13" t="str" cm="1">
        <f t="array" ref="B876">IF($A876="","",_xlfn.LET(_xlpm.p,IFERROR(INDEX(tblDados[País],MATCH($A876,TRIM(tblDados[Mandante]),0)),INDEX(tblDados[País],MATCH($A876,TRIM(tblDados[Visitante]),0))),_xlpm.l,IFERROR(INDEX(tblDados[Liga],MATCH($A876,TRIM(tblDados[Mandante]),0)),INDEX(tblDados[Liga],MATCH($A876,TRIM(tblDados[Visitante]),0))),_xlpm.p&amp;" - "&amp;_xlpm.l))</f>
        <v/>
      </c>
      <c r="C876" s="14" t="str">
        <f t="shared" si="223"/>
        <v/>
      </c>
      <c r="D876" s="14" t="str">
        <f t="shared" si="224"/>
        <v/>
      </c>
      <c r="E876" s="15" t="str" cm="1">
        <f t="array" ref="E876">IF($A876="","",SUMPRODUCT((TRIM(tblDados[Mandante])=$A876)*tblDados[Primeira_Ocorrencia]))</f>
        <v/>
      </c>
      <c r="F876" s="15" t="str" cm="1">
        <f t="array" ref="F876">IF($A876="","",SUMPRODUCT((TRIM(tblDados[Visitante])=$A876)*tblDados[Primeira_Ocorrencia]))</f>
        <v/>
      </c>
      <c r="G876" s="15" t="str" cm="1">
        <f t="array" ref="G876">IF($A876="","",SUMPRODUCT((TRIM(tblDados[Mandante])=$A876)*tblDados[Primeira_Ocorrencia])+SUMPRODUCT((TRIM(tblDados[Visitante])=$A876)*tblDados[Primeira_Ocorrencia]))</f>
        <v/>
      </c>
      <c r="H876" s="14" t="str">
        <f t="shared" si="225"/>
        <v/>
      </c>
      <c r="I876" s="14" t="str" cm="1">
        <f t="array" ref="I876">IF($A876="","",_xlfn.LET(_xlpm.p,IFERROR(INDEX(tblDados[País],MATCH($A876,TRIM(tblDados[Mandante]),0)),INDEX(tblDados[País],MATCH($A876,TRIM(tblDados[Visitante]),0))),_xlpm.l,IFERROR(INDEX(tblDados[Liga],MATCH($A876,TRIM(tblDados[Mandante]),0)),INDEX(tblDados[Liga],MATCH($A876,TRIM(tblDados[Visitante]),0))),IFERROR(SUMIFS(Ligas!$D$2:$D$39,Ligas!$H$2:$H$39,_xlpm.p,Ligas!$I$2:$I$39,_xlpm.l),0)))</f>
        <v/>
      </c>
      <c r="J876" s="16" t="str" cm="1">
        <f t="array" ref="J876">IF($A876="","",IFERROR((SUMPRODUCT((TRIM(tblDados[Mandante])=$A876)*tblDados[Primeira_Ocorrencia]*(tblDados[GM_M]=0))+SUMPRODUCT((TRIM(tblDados[Visitante])=$A876)*tblDados[Primeira_Ocorrencia]*(tblDados[GM_V]=0)))/G876,0))</f>
        <v/>
      </c>
      <c r="K876" s="16" t="str" cm="1">
        <f t="array" ref="K876">IF($A876="","",IFERROR((SUMPRODUCT((TRIM(tblDados[Mandante])=$A876)*tblDados[Primeira_Ocorrencia]*((tblDados[GM_M]+tblDados[GS_M])&gt;0.5))+SUMPRODUCT((TRIM(tblDados[Visitante])=$A876)*tblDados[Primeira_Ocorrencia]*((tblDados[GM_V]+tblDados[GS_V])&gt;0.5)))/G876,0))</f>
        <v/>
      </c>
      <c r="L876" s="16" t="str" cm="1">
        <f t="array" ref="L876">IF($A876="","",IFERROR((SUMPRODUCT((TRIM(tblDados[Mandante])=$A876)*tblDados[Primeira_Ocorrencia]*((tblDados[GM_M]+tblDados[GS_M])&gt;1.5))+SUMPRODUCT((TRIM(tblDados[Visitante])=$A876)*tblDados[Primeira_Ocorrencia]*((tblDados[GM_V]+tblDados[GS_V])&gt;1.5)))/G876,0))</f>
        <v/>
      </c>
      <c r="M876" s="16" t="str" cm="1">
        <f t="array" ref="M876">IF($A876="","",IFERROR((SUMPRODUCT((TRIM(tblDados[Mandante])=$A876)*tblDados[Primeira_Ocorrencia]*((tblDados[GM_M]+tblDados[GS_M])&gt;2.5))+SUMPRODUCT((TRIM(tblDados[Visitante])=$A876)*tblDados[Primeira_Ocorrencia]*((tblDados[GM_V]+tblDados[GS_V])&gt;2.5)))/G876,0))</f>
        <v/>
      </c>
      <c r="N876" s="16" t="str" cm="1">
        <f t="array" ref="N876">IF($A876="","",IFERROR((SUMPRODUCT((TRIM(tblDados[Mandante])=$A876)*tblDados[Primeira_Ocorrencia]*((tblDados[GM_M]+tblDados[GS_M])&gt;3.5))+SUMPRODUCT((TRIM(tblDados[Visitante])=$A876)*tblDados[Primeira_Ocorrencia]*((tblDados[GM_V]+tblDados[GS_V])&gt;3.5)))/G876,0))</f>
        <v/>
      </c>
      <c r="O876" s="16" t="str" cm="1">
        <f t="array" ref="O876">IF($A876="","",IFERROR((SUMPRODUCT((TRIM(tblDados[Mandante])=$A876)*tblDados[Primeira_Ocorrencia]*(tblDados[GM_M]&gt;0)*(tblDados[GS_M]&gt;0))+SUMPRODUCT((TRIM(tblDados[Visitante])=$A876)*tblDados[Primeira_Ocorrencia]*(tblDados[GM_V]&gt;0)*(tblDados[GS_V]&gt;0)))/G876,0))</f>
        <v/>
      </c>
      <c r="P876" s="14" t="str" cm="1">
        <f t="array" ref="P876">IF($A876="","",IFERROR((SUMPRODUCT((TRIM(tblDados[Mandante])=$A876)*tblDados[Primeira_Ocorrencia]*tblDados[GM_M]^2)+SUMPRODUCT((TRIM(tblDados[Visitante])=$A876)*tblDados[Primeira_Ocorrencia]*tblDados[GM_V]^2))/G876-H876^2,0))</f>
        <v/>
      </c>
      <c r="Q876" s="14" t="str">
        <f t="shared" si="226"/>
        <v/>
      </c>
      <c r="R876" s="1" t="str">
        <f t="shared" si="227"/>
        <v/>
      </c>
      <c r="S876" s="14" t="str" cm="1">
        <f t="array" ref="S876">IF($A876="","",SUMPRODUCT((TRIM(tblDados[Mandante])=$A876)*tblDados[Primeira_Ocorrencia]*tblDados[GM_M]))</f>
        <v/>
      </c>
      <c r="T876" s="14" t="str" cm="1">
        <f t="array" ref="T876">IF($A876="","",SUMPRODUCT((TRIM(tblDados[Visitante])=$A876)*tblDados[Primeira_Ocorrencia]*tblDados[GM_V]))</f>
        <v/>
      </c>
      <c r="U876" s="14" t="str">
        <f t="shared" si="228"/>
        <v/>
      </c>
      <c r="V876" s="14" t="str">
        <f t="shared" si="217"/>
        <v/>
      </c>
      <c r="W876" s="14" t="str" cm="1">
        <f t="array" ref="W876">IF($A876="","",SUMPRODUCT((TRIM(tblDados[Mandante])=$A876)*tblDados[Primeira_Ocorrencia]*tblDados[GS_M]))</f>
        <v/>
      </c>
      <c r="X876" s="14" t="str" cm="1">
        <f t="array" ref="X876">IF($A876="","",SUMPRODUCT((TRIM(tblDados[Visitante])=$A876)*tblDados[Primeira_Ocorrencia]*tblDados[GS_V]))</f>
        <v/>
      </c>
      <c r="Y876" s="14" t="str">
        <f t="shared" si="229"/>
        <v/>
      </c>
      <c r="Z876" s="14" t="str">
        <f t="shared" si="218"/>
        <v/>
      </c>
      <c r="AA876" s="14" t="str">
        <f t="shared" si="219"/>
        <v/>
      </c>
      <c r="AB876" s="14" t="str">
        <f t="shared" si="220"/>
        <v/>
      </c>
      <c r="AC876" s="14" t="str">
        <f t="shared" si="221"/>
        <v/>
      </c>
      <c r="AD876" s="14" t="str">
        <f t="shared" si="222"/>
        <v/>
      </c>
    </row>
    <row r="877" spans="2:30" x14ac:dyDescent="0.3">
      <c r="B877" s="13" t="str" cm="1">
        <f t="array" ref="B877">IF($A877="","",_xlfn.LET(_xlpm.p,IFERROR(INDEX(tblDados[País],MATCH($A877,TRIM(tblDados[Mandante]),0)),INDEX(tblDados[País],MATCH($A877,TRIM(tblDados[Visitante]),0))),_xlpm.l,IFERROR(INDEX(tblDados[Liga],MATCH($A877,TRIM(tblDados[Mandante]),0)),INDEX(tblDados[Liga],MATCH($A877,TRIM(tblDados[Visitante]),0))),_xlpm.p&amp;" - "&amp;_xlpm.l))</f>
        <v/>
      </c>
      <c r="C877" s="14" t="str">
        <f t="shared" si="223"/>
        <v/>
      </c>
      <c r="D877" s="14" t="str">
        <f t="shared" si="224"/>
        <v/>
      </c>
      <c r="E877" s="15" t="str" cm="1">
        <f t="array" ref="E877">IF($A877="","",SUMPRODUCT((TRIM(tblDados[Mandante])=$A877)*tblDados[Primeira_Ocorrencia]))</f>
        <v/>
      </c>
      <c r="F877" s="15" t="str" cm="1">
        <f t="array" ref="F877">IF($A877="","",SUMPRODUCT((TRIM(tblDados[Visitante])=$A877)*tblDados[Primeira_Ocorrencia]))</f>
        <v/>
      </c>
      <c r="G877" s="15" t="str" cm="1">
        <f t="array" ref="G877">IF($A877="","",SUMPRODUCT((TRIM(tblDados[Mandante])=$A877)*tblDados[Primeira_Ocorrencia])+SUMPRODUCT((TRIM(tblDados[Visitante])=$A877)*tblDados[Primeira_Ocorrencia]))</f>
        <v/>
      </c>
      <c r="H877" s="14" t="str">
        <f t="shared" si="225"/>
        <v/>
      </c>
      <c r="I877" s="14" t="str" cm="1">
        <f t="array" ref="I877">IF($A877="","",_xlfn.LET(_xlpm.p,IFERROR(INDEX(tblDados[País],MATCH($A877,TRIM(tblDados[Mandante]),0)),INDEX(tblDados[País],MATCH($A877,TRIM(tblDados[Visitante]),0))),_xlpm.l,IFERROR(INDEX(tblDados[Liga],MATCH($A877,TRIM(tblDados[Mandante]),0)),INDEX(tblDados[Liga],MATCH($A877,TRIM(tblDados[Visitante]),0))),IFERROR(SUMIFS(Ligas!$D$2:$D$39,Ligas!$H$2:$H$39,_xlpm.p,Ligas!$I$2:$I$39,_xlpm.l),0)))</f>
        <v/>
      </c>
      <c r="J877" s="16" t="str" cm="1">
        <f t="array" ref="J877">IF($A877="","",IFERROR((SUMPRODUCT((TRIM(tblDados[Mandante])=$A877)*tblDados[Primeira_Ocorrencia]*(tblDados[GM_M]=0))+SUMPRODUCT((TRIM(tblDados[Visitante])=$A877)*tblDados[Primeira_Ocorrencia]*(tblDados[GM_V]=0)))/G877,0))</f>
        <v/>
      </c>
      <c r="K877" s="16" t="str" cm="1">
        <f t="array" ref="K877">IF($A877="","",IFERROR((SUMPRODUCT((TRIM(tblDados[Mandante])=$A877)*tblDados[Primeira_Ocorrencia]*((tblDados[GM_M]+tblDados[GS_M])&gt;0.5))+SUMPRODUCT((TRIM(tblDados[Visitante])=$A877)*tblDados[Primeira_Ocorrencia]*((tblDados[GM_V]+tblDados[GS_V])&gt;0.5)))/G877,0))</f>
        <v/>
      </c>
      <c r="L877" s="16" t="str" cm="1">
        <f t="array" ref="L877">IF($A877="","",IFERROR((SUMPRODUCT((TRIM(tblDados[Mandante])=$A877)*tblDados[Primeira_Ocorrencia]*((tblDados[GM_M]+tblDados[GS_M])&gt;1.5))+SUMPRODUCT((TRIM(tblDados[Visitante])=$A877)*tblDados[Primeira_Ocorrencia]*((tblDados[GM_V]+tblDados[GS_V])&gt;1.5)))/G877,0))</f>
        <v/>
      </c>
      <c r="M877" s="16" t="str" cm="1">
        <f t="array" ref="M877">IF($A877="","",IFERROR((SUMPRODUCT((TRIM(tblDados[Mandante])=$A877)*tblDados[Primeira_Ocorrencia]*((tblDados[GM_M]+tblDados[GS_M])&gt;2.5))+SUMPRODUCT((TRIM(tblDados[Visitante])=$A877)*tblDados[Primeira_Ocorrencia]*((tblDados[GM_V]+tblDados[GS_V])&gt;2.5)))/G877,0))</f>
        <v/>
      </c>
      <c r="N877" s="16" t="str" cm="1">
        <f t="array" ref="N877">IF($A877="","",IFERROR((SUMPRODUCT((TRIM(tblDados[Mandante])=$A877)*tblDados[Primeira_Ocorrencia]*((tblDados[GM_M]+tblDados[GS_M])&gt;3.5))+SUMPRODUCT((TRIM(tblDados[Visitante])=$A877)*tblDados[Primeira_Ocorrencia]*((tblDados[GM_V]+tblDados[GS_V])&gt;3.5)))/G877,0))</f>
        <v/>
      </c>
      <c r="O877" s="16" t="str" cm="1">
        <f t="array" ref="O877">IF($A877="","",IFERROR((SUMPRODUCT((TRIM(tblDados[Mandante])=$A877)*tblDados[Primeira_Ocorrencia]*(tblDados[GM_M]&gt;0)*(tblDados[GS_M]&gt;0))+SUMPRODUCT((TRIM(tblDados[Visitante])=$A877)*tblDados[Primeira_Ocorrencia]*(tblDados[GM_V]&gt;0)*(tblDados[GS_V]&gt;0)))/G877,0))</f>
        <v/>
      </c>
      <c r="P877" s="14" t="str" cm="1">
        <f t="array" ref="P877">IF($A877="","",IFERROR((SUMPRODUCT((TRIM(tblDados[Mandante])=$A877)*tblDados[Primeira_Ocorrencia]*tblDados[GM_M]^2)+SUMPRODUCT((TRIM(tblDados[Visitante])=$A877)*tblDados[Primeira_Ocorrencia]*tblDados[GM_V]^2))/G877-H877^2,0))</f>
        <v/>
      </c>
      <c r="Q877" s="14" t="str">
        <f t="shared" si="226"/>
        <v/>
      </c>
      <c r="R877" s="1" t="str">
        <f t="shared" si="227"/>
        <v/>
      </c>
      <c r="S877" s="14" t="str" cm="1">
        <f t="array" ref="S877">IF($A877="","",SUMPRODUCT((TRIM(tblDados[Mandante])=$A877)*tblDados[Primeira_Ocorrencia]*tblDados[GM_M]))</f>
        <v/>
      </c>
      <c r="T877" s="14" t="str" cm="1">
        <f t="array" ref="T877">IF($A877="","",SUMPRODUCT((TRIM(tblDados[Visitante])=$A877)*tblDados[Primeira_Ocorrencia]*tblDados[GM_V]))</f>
        <v/>
      </c>
      <c r="U877" s="14" t="str">
        <f t="shared" si="228"/>
        <v/>
      </c>
      <c r="V877" s="14" t="str">
        <f t="shared" si="217"/>
        <v/>
      </c>
      <c r="W877" s="14" t="str" cm="1">
        <f t="array" ref="W877">IF($A877="","",SUMPRODUCT((TRIM(tblDados[Mandante])=$A877)*tblDados[Primeira_Ocorrencia]*tblDados[GS_M]))</f>
        <v/>
      </c>
      <c r="X877" s="14" t="str" cm="1">
        <f t="array" ref="X877">IF($A877="","",SUMPRODUCT((TRIM(tblDados[Visitante])=$A877)*tblDados[Primeira_Ocorrencia]*tblDados[GS_V]))</f>
        <v/>
      </c>
      <c r="Y877" s="14" t="str">
        <f t="shared" si="229"/>
        <v/>
      </c>
      <c r="Z877" s="14" t="str">
        <f t="shared" si="218"/>
        <v/>
      </c>
      <c r="AA877" s="14" t="str">
        <f t="shared" si="219"/>
        <v/>
      </c>
      <c r="AB877" s="14" t="str">
        <f t="shared" si="220"/>
        <v/>
      </c>
      <c r="AC877" s="14" t="str">
        <f t="shared" si="221"/>
        <v/>
      </c>
      <c r="AD877" s="14" t="str">
        <f t="shared" si="222"/>
        <v/>
      </c>
    </row>
    <row r="878" spans="2:30" x14ac:dyDescent="0.3">
      <c r="B878" s="13" t="str" cm="1">
        <f t="array" ref="B878">IF($A878="","",_xlfn.LET(_xlpm.p,IFERROR(INDEX(tblDados[País],MATCH($A878,TRIM(tblDados[Mandante]),0)),INDEX(tblDados[País],MATCH($A878,TRIM(tblDados[Visitante]),0))),_xlpm.l,IFERROR(INDEX(tblDados[Liga],MATCH($A878,TRIM(tblDados[Mandante]),0)),INDEX(tblDados[Liga],MATCH($A878,TRIM(tblDados[Visitante]),0))),_xlpm.p&amp;" - "&amp;_xlpm.l))</f>
        <v/>
      </c>
      <c r="C878" s="14" t="str">
        <f t="shared" si="223"/>
        <v/>
      </c>
      <c r="D878" s="14" t="str">
        <f t="shared" si="224"/>
        <v/>
      </c>
      <c r="E878" s="15" t="str" cm="1">
        <f t="array" ref="E878">IF($A878="","",SUMPRODUCT((TRIM(tblDados[Mandante])=$A878)*tblDados[Primeira_Ocorrencia]))</f>
        <v/>
      </c>
      <c r="F878" s="15" t="str" cm="1">
        <f t="array" ref="F878">IF($A878="","",SUMPRODUCT((TRIM(tblDados[Visitante])=$A878)*tblDados[Primeira_Ocorrencia]))</f>
        <v/>
      </c>
      <c r="G878" s="15" t="str" cm="1">
        <f t="array" ref="G878">IF($A878="","",SUMPRODUCT((TRIM(tblDados[Mandante])=$A878)*tblDados[Primeira_Ocorrencia])+SUMPRODUCT((TRIM(tblDados[Visitante])=$A878)*tblDados[Primeira_Ocorrencia]))</f>
        <v/>
      </c>
      <c r="H878" s="14" t="str">
        <f t="shared" si="225"/>
        <v/>
      </c>
      <c r="I878" s="14" t="str" cm="1">
        <f t="array" ref="I878">IF($A878="","",_xlfn.LET(_xlpm.p,IFERROR(INDEX(tblDados[País],MATCH($A878,TRIM(tblDados[Mandante]),0)),INDEX(tblDados[País],MATCH($A878,TRIM(tblDados[Visitante]),0))),_xlpm.l,IFERROR(INDEX(tblDados[Liga],MATCH($A878,TRIM(tblDados[Mandante]),0)),INDEX(tblDados[Liga],MATCH($A878,TRIM(tblDados[Visitante]),0))),IFERROR(SUMIFS(Ligas!$D$2:$D$39,Ligas!$H$2:$H$39,_xlpm.p,Ligas!$I$2:$I$39,_xlpm.l),0)))</f>
        <v/>
      </c>
      <c r="J878" s="16" t="str" cm="1">
        <f t="array" ref="J878">IF($A878="","",IFERROR((SUMPRODUCT((TRIM(tblDados[Mandante])=$A878)*tblDados[Primeira_Ocorrencia]*(tblDados[GM_M]=0))+SUMPRODUCT((TRIM(tblDados[Visitante])=$A878)*tblDados[Primeira_Ocorrencia]*(tblDados[GM_V]=0)))/G878,0))</f>
        <v/>
      </c>
      <c r="K878" s="16" t="str" cm="1">
        <f t="array" ref="K878">IF($A878="","",IFERROR((SUMPRODUCT((TRIM(tblDados[Mandante])=$A878)*tblDados[Primeira_Ocorrencia]*((tblDados[GM_M]+tblDados[GS_M])&gt;0.5))+SUMPRODUCT((TRIM(tblDados[Visitante])=$A878)*tblDados[Primeira_Ocorrencia]*((tblDados[GM_V]+tblDados[GS_V])&gt;0.5)))/G878,0))</f>
        <v/>
      </c>
      <c r="L878" s="16" t="str" cm="1">
        <f t="array" ref="L878">IF($A878="","",IFERROR((SUMPRODUCT((TRIM(tblDados[Mandante])=$A878)*tblDados[Primeira_Ocorrencia]*((tblDados[GM_M]+tblDados[GS_M])&gt;1.5))+SUMPRODUCT((TRIM(tblDados[Visitante])=$A878)*tblDados[Primeira_Ocorrencia]*((tblDados[GM_V]+tblDados[GS_V])&gt;1.5)))/G878,0))</f>
        <v/>
      </c>
      <c r="M878" s="16" t="str" cm="1">
        <f t="array" ref="M878">IF($A878="","",IFERROR((SUMPRODUCT((TRIM(tblDados[Mandante])=$A878)*tblDados[Primeira_Ocorrencia]*((tblDados[GM_M]+tblDados[GS_M])&gt;2.5))+SUMPRODUCT((TRIM(tblDados[Visitante])=$A878)*tblDados[Primeira_Ocorrencia]*((tblDados[GM_V]+tblDados[GS_V])&gt;2.5)))/G878,0))</f>
        <v/>
      </c>
      <c r="N878" s="16" t="str" cm="1">
        <f t="array" ref="N878">IF($A878="","",IFERROR((SUMPRODUCT((TRIM(tblDados[Mandante])=$A878)*tblDados[Primeira_Ocorrencia]*((tblDados[GM_M]+tblDados[GS_M])&gt;3.5))+SUMPRODUCT((TRIM(tblDados[Visitante])=$A878)*tblDados[Primeira_Ocorrencia]*((tblDados[GM_V]+tblDados[GS_V])&gt;3.5)))/G878,0))</f>
        <v/>
      </c>
      <c r="O878" s="16" t="str" cm="1">
        <f t="array" ref="O878">IF($A878="","",IFERROR((SUMPRODUCT((TRIM(tblDados[Mandante])=$A878)*tblDados[Primeira_Ocorrencia]*(tblDados[GM_M]&gt;0)*(tblDados[GS_M]&gt;0))+SUMPRODUCT((TRIM(tblDados[Visitante])=$A878)*tblDados[Primeira_Ocorrencia]*(tblDados[GM_V]&gt;0)*(tblDados[GS_V]&gt;0)))/G878,0))</f>
        <v/>
      </c>
      <c r="P878" s="14" t="str" cm="1">
        <f t="array" ref="P878">IF($A878="","",IFERROR((SUMPRODUCT((TRIM(tblDados[Mandante])=$A878)*tblDados[Primeira_Ocorrencia]*tblDados[GM_M]^2)+SUMPRODUCT((TRIM(tblDados[Visitante])=$A878)*tblDados[Primeira_Ocorrencia]*tblDados[GM_V]^2))/G878-H878^2,0))</f>
        <v/>
      </c>
      <c r="Q878" s="14" t="str">
        <f t="shared" si="226"/>
        <v/>
      </c>
      <c r="R878" s="1" t="str">
        <f t="shared" si="227"/>
        <v/>
      </c>
      <c r="S878" s="14" t="str" cm="1">
        <f t="array" ref="S878">IF($A878="","",SUMPRODUCT((TRIM(tblDados[Mandante])=$A878)*tblDados[Primeira_Ocorrencia]*tblDados[GM_M]))</f>
        <v/>
      </c>
      <c r="T878" s="14" t="str" cm="1">
        <f t="array" ref="T878">IF($A878="","",SUMPRODUCT((TRIM(tblDados[Visitante])=$A878)*tblDados[Primeira_Ocorrencia]*tblDados[GM_V]))</f>
        <v/>
      </c>
      <c r="U878" s="14" t="str">
        <f t="shared" si="228"/>
        <v/>
      </c>
      <c r="V878" s="14" t="str">
        <f t="shared" si="217"/>
        <v/>
      </c>
      <c r="W878" s="14" t="str" cm="1">
        <f t="array" ref="W878">IF($A878="","",SUMPRODUCT((TRIM(tblDados[Mandante])=$A878)*tblDados[Primeira_Ocorrencia]*tblDados[GS_M]))</f>
        <v/>
      </c>
      <c r="X878" s="14" t="str" cm="1">
        <f t="array" ref="X878">IF($A878="","",SUMPRODUCT((TRIM(tblDados[Visitante])=$A878)*tblDados[Primeira_Ocorrencia]*tblDados[GS_V]))</f>
        <v/>
      </c>
      <c r="Y878" s="14" t="str">
        <f t="shared" si="229"/>
        <v/>
      </c>
      <c r="Z878" s="14" t="str">
        <f t="shared" si="218"/>
        <v/>
      </c>
      <c r="AA878" s="14" t="str">
        <f t="shared" si="219"/>
        <v/>
      </c>
      <c r="AB878" s="14" t="str">
        <f t="shared" si="220"/>
        <v/>
      </c>
      <c r="AC878" s="14" t="str">
        <f t="shared" si="221"/>
        <v/>
      </c>
      <c r="AD878" s="14" t="str">
        <f t="shared" si="222"/>
        <v/>
      </c>
    </row>
    <row r="879" spans="2:30" x14ac:dyDescent="0.3">
      <c r="B879" s="13" t="str" cm="1">
        <f t="array" ref="B879">IF($A879="","",_xlfn.LET(_xlpm.p,IFERROR(INDEX(tblDados[País],MATCH($A879,TRIM(tblDados[Mandante]),0)),INDEX(tblDados[País],MATCH($A879,TRIM(tblDados[Visitante]),0))),_xlpm.l,IFERROR(INDEX(tblDados[Liga],MATCH($A879,TRIM(tblDados[Mandante]),0)),INDEX(tblDados[Liga],MATCH($A879,TRIM(tblDados[Visitante]),0))),_xlpm.p&amp;" - "&amp;_xlpm.l))</f>
        <v/>
      </c>
      <c r="C879" s="14" t="str">
        <f t="shared" si="223"/>
        <v/>
      </c>
      <c r="D879" s="14" t="str">
        <f t="shared" si="224"/>
        <v/>
      </c>
      <c r="E879" s="15" t="str" cm="1">
        <f t="array" ref="E879">IF($A879="","",SUMPRODUCT((TRIM(tblDados[Mandante])=$A879)*tblDados[Primeira_Ocorrencia]))</f>
        <v/>
      </c>
      <c r="F879" s="15" t="str" cm="1">
        <f t="array" ref="F879">IF($A879="","",SUMPRODUCT((TRIM(tblDados[Visitante])=$A879)*tblDados[Primeira_Ocorrencia]))</f>
        <v/>
      </c>
      <c r="G879" s="15" t="str" cm="1">
        <f t="array" ref="G879">IF($A879="","",SUMPRODUCT((TRIM(tblDados[Mandante])=$A879)*tblDados[Primeira_Ocorrencia])+SUMPRODUCT((TRIM(tblDados[Visitante])=$A879)*tblDados[Primeira_Ocorrencia]))</f>
        <v/>
      </c>
      <c r="H879" s="14" t="str">
        <f t="shared" si="225"/>
        <v/>
      </c>
      <c r="I879" s="14" t="str" cm="1">
        <f t="array" ref="I879">IF($A879="","",_xlfn.LET(_xlpm.p,IFERROR(INDEX(tblDados[País],MATCH($A879,TRIM(tblDados[Mandante]),0)),INDEX(tblDados[País],MATCH($A879,TRIM(tblDados[Visitante]),0))),_xlpm.l,IFERROR(INDEX(tblDados[Liga],MATCH($A879,TRIM(tblDados[Mandante]),0)),INDEX(tblDados[Liga],MATCH($A879,TRIM(tblDados[Visitante]),0))),IFERROR(SUMIFS(Ligas!$D$2:$D$39,Ligas!$H$2:$H$39,_xlpm.p,Ligas!$I$2:$I$39,_xlpm.l),0)))</f>
        <v/>
      </c>
      <c r="J879" s="16" t="str" cm="1">
        <f t="array" ref="J879">IF($A879="","",IFERROR((SUMPRODUCT((TRIM(tblDados[Mandante])=$A879)*tblDados[Primeira_Ocorrencia]*(tblDados[GM_M]=0))+SUMPRODUCT((TRIM(tblDados[Visitante])=$A879)*tblDados[Primeira_Ocorrencia]*(tblDados[GM_V]=0)))/G879,0))</f>
        <v/>
      </c>
      <c r="K879" s="16" t="str" cm="1">
        <f t="array" ref="K879">IF($A879="","",IFERROR((SUMPRODUCT((TRIM(tblDados[Mandante])=$A879)*tblDados[Primeira_Ocorrencia]*((tblDados[GM_M]+tblDados[GS_M])&gt;0.5))+SUMPRODUCT((TRIM(tblDados[Visitante])=$A879)*tblDados[Primeira_Ocorrencia]*((tblDados[GM_V]+tblDados[GS_V])&gt;0.5)))/G879,0))</f>
        <v/>
      </c>
      <c r="L879" s="16" t="str" cm="1">
        <f t="array" ref="L879">IF($A879="","",IFERROR((SUMPRODUCT((TRIM(tblDados[Mandante])=$A879)*tblDados[Primeira_Ocorrencia]*((tblDados[GM_M]+tblDados[GS_M])&gt;1.5))+SUMPRODUCT((TRIM(tblDados[Visitante])=$A879)*tblDados[Primeira_Ocorrencia]*((tblDados[GM_V]+tblDados[GS_V])&gt;1.5)))/G879,0))</f>
        <v/>
      </c>
      <c r="M879" s="16" t="str" cm="1">
        <f t="array" ref="M879">IF($A879="","",IFERROR((SUMPRODUCT((TRIM(tblDados[Mandante])=$A879)*tblDados[Primeira_Ocorrencia]*((tblDados[GM_M]+tblDados[GS_M])&gt;2.5))+SUMPRODUCT((TRIM(tblDados[Visitante])=$A879)*tblDados[Primeira_Ocorrencia]*((tblDados[GM_V]+tblDados[GS_V])&gt;2.5)))/G879,0))</f>
        <v/>
      </c>
      <c r="N879" s="16" t="str" cm="1">
        <f t="array" ref="N879">IF($A879="","",IFERROR((SUMPRODUCT((TRIM(tblDados[Mandante])=$A879)*tblDados[Primeira_Ocorrencia]*((tblDados[GM_M]+tblDados[GS_M])&gt;3.5))+SUMPRODUCT((TRIM(tblDados[Visitante])=$A879)*tblDados[Primeira_Ocorrencia]*((tblDados[GM_V]+tblDados[GS_V])&gt;3.5)))/G879,0))</f>
        <v/>
      </c>
      <c r="O879" s="16" t="str" cm="1">
        <f t="array" ref="O879">IF($A879="","",IFERROR((SUMPRODUCT((TRIM(tblDados[Mandante])=$A879)*tblDados[Primeira_Ocorrencia]*(tblDados[GM_M]&gt;0)*(tblDados[GS_M]&gt;0))+SUMPRODUCT((TRIM(tblDados[Visitante])=$A879)*tblDados[Primeira_Ocorrencia]*(tblDados[GM_V]&gt;0)*(tblDados[GS_V]&gt;0)))/G879,0))</f>
        <v/>
      </c>
      <c r="P879" s="14" t="str" cm="1">
        <f t="array" ref="P879">IF($A879="","",IFERROR((SUMPRODUCT((TRIM(tblDados[Mandante])=$A879)*tblDados[Primeira_Ocorrencia]*tblDados[GM_M]^2)+SUMPRODUCT((TRIM(tblDados[Visitante])=$A879)*tblDados[Primeira_Ocorrencia]*tblDados[GM_V]^2))/G879-H879^2,0))</f>
        <v/>
      </c>
      <c r="Q879" s="14" t="str">
        <f t="shared" si="226"/>
        <v/>
      </c>
      <c r="R879" s="1" t="str">
        <f t="shared" si="227"/>
        <v/>
      </c>
      <c r="S879" s="14" t="str" cm="1">
        <f t="array" ref="S879">IF($A879="","",SUMPRODUCT((TRIM(tblDados[Mandante])=$A879)*tblDados[Primeira_Ocorrencia]*tblDados[GM_M]))</f>
        <v/>
      </c>
      <c r="T879" s="14" t="str" cm="1">
        <f t="array" ref="T879">IF($A879="","",SUMPRODUCT((TRIM(tblDados[Visitante])=$A879)*tblDados[Primeira_Ocorrencia]*tblDados[GM_V]))</f>
        <v/>
      </c>
      <c r="U879" s="14" t="str">
        <f t="shared" si="228"/>
        <v/>
      </c>
      <c r="V879" s="14" t="str">
        <f t="shared" si="217"/>
        <v/>
      </c>
      <c r="W879" s="14" t="str" cm="1">
        <f t="array" ref="W879">IF($A879="","",SUMPRODUCT((TRIM(tblDados[Mandante])=$A879)*tblDados[Primeira_Ocorrencia]*tblDados[GS_M]))</f>
        <v/>
      </c>
      <c r="X879" s="14" t="str" cm="1">
        <f t="array" ref="X879">IF($A879="","",SUMPRODUCT((TRIM(tblDados[Visitante])=$A879)*tblDados[Primeira_Ocorrencia]*tblDados[GS_V]))</f>
        <v/>
      </c>
      <c r="Y879" s="14" t="str">
        <f t="shared" si="229"/>
        <v/>
      </c>
      <c r="Z879" s="14" t="str">
        <f t="shared" si="218"/>
        <v/>
      </c>
      <c r="AA879" s="14" t="str">
        <f t="shared" si="219"/>
        <v/>
      </c>
      <c r="AB879" s="14" t="str">
        <f t="shared" si="220"/>
        <v/>
      </c>
      <c r="AC879" s="14" t="str">
        <f t="shared" si="221"/>
        <v/>
      </c>
      <c r="AD879" s="14" t="str">
        <f t="shared" si="222"/>
        <v/>
      </c>
    </row>
    <row r="880" spans="2:30" x14ac:dyDescent="0.3">
      <c r="B880" s="13" t="str" cm="1">
        <f t="array" ref="B880">IF($A880="","",_xlfn.LET(_xlpm.p,IFERROR(INDEX(tblDados[País],MATCH($A880,TRIM(tblDados[Mandante]),0)),INDEX(tblDados[País],MATCH($A880,TRIM(tblDados[Visitante]),0))),_xlpm.l,IFERROR(INDEX(tblDados[Liga],MATCH($A880,TRIM(tblDados[Mandante]),0)),INDEX(tblDados[Liga],MATCH($A880,TRIM(tblDados[Visitante]),0))),_xlpm.p&amp;" - "&amp;_xlpm.l))</f>
        <v/>
      </c>
      <c r="C880" s="14" t="str">
        <f t="shared" si="223"/>
        <v/>
      </c>
      <c r="D880" s="14" t="str">
        <f t="shared" si="224"/>
        <v/>
      </c>
      <c r="E880" s="15" t="str" cm="1">
        <f t="array" ref="E880">IF($A880="","",SUMPRODUCT((TRIM(tblDados[Mandante])=$A880)*tblDados[Primeira_Ocorrencia]))</f>
        <v/>
      </c>
      <c r="F880" s="15" t="str" cm="1">
        <f t="array" ref="F880">IF($A880="","",SUMPRODUCT((TRIM(tblDados[Visitante])=$A880)*tblDados[Primeira_Ocorrencia]))</f>
        <v/>
      </c>
      <c r="G880" s="15" t="str" cm="1">
        <f t="array" ref="G880">IF($A880="","",SUMPRODUCT((TRIM(tblDados[Mandante])=$A880)*tblDados[Primeira_Ocorrencia])+SUMPRODUCT((TRIM(tblDados[Visitante])=$A880)*tblDados[Primeira_Ocorrencia]))</f>
        <v/>
      </c>
      <c r="H880" s="14" t="str">
        <f t="shared" si="225"/>
        <v/>
      </c>
      <c r="I880" s="14" t="str" cm="1">
        <f t="array" ref="I880">IF($A880="","",_xlfn.LET(_xlpm.p,IFERROR(INDEX(tblDados[País],MATCH($A880,TRIM(tblDados[Mandante]),0)),INDEX(tblDados[País],MATCH($A880,TRIM(tblDados[Visitante]),0))),_xlpm.l,IFERROR(INDEX(tblDados[Liga],MATCH($A880,TRIM(tblDados[Mandante]),0)),INDEX(tblDados[Liga],MATCH($A880,TRIM(tblDados[Visitante]),0))),IFERROR(SUMIFS(Ligas!$D$2:$D$39,Ligas!$H$2:$H$39,_xlpm.p,Ligas!$I$2:$I$39,_xlpm.l),0)))</f>
        <v/>
      </c>
      <c r="J880" s="16" t="str" cm="1">
        <f t="array" ref="J880">IF($A880="","",IFERROR((SUMPRODUCT((TRIM(tblDados[Mandante])=$A880)*tblDados[Primeira_Ocorrencia]*(tblDados[GM_M]=0))+SUMPRODUCT((TRIM(tblDados[Visitante])=$A880)*tblDados[Primeira_Ocorrencia]*(tblDados[GM_V]=0)))/G880,0))</f>
        <v/>
      </c>
      <c r="K880" s="16" t="str" cm="1">
        <f t="array" ref="K880">IF($A880="","",IFERROR((SUMPRODUCT((TRIM(tblDados[Mandante])=$A880)*tblDados[Primeira_Ocorrencia]*((tblDados[GM_M]+tblDados[GS_M])&gt;0.5))+SUMPRODUCT((TRIM(tblDados[Visitante])=$A880)*tblDados[Primeira_Ocorrencia]*((tblDados[GM_V]+tblDados[GS_V])&gt;0.5)))/G880,0))</f>
        <v/>
      </c>
      <c r="L880" s="16" t="str" cm="1">
        <f t="array" ref="L880">IF($A880="","",IFERROR((SUMPRODUCT((TRIM(tblDados[Mandante])=$A880)*tblDados[Primeira_Ocorrencia]*((tblDados[GM_M]+tblDados[GS_M])&gt;1.5))+SUMPRODUCT((TRIM(tblDados[Visitante])=$A880)*tblDados[Primeira_Ocorrencia]*((tblDados[GM_V]+tblDados[GS_V])&gt;1.5)))/G880,0))</f>
        <v/>
      </c>
      <c r="M880" s="16" t="str" cm="1">
        <f t="array" ref="M880">IF($A880="","",IFERROR((SUMPRODUCT((TRIM(tblDados[Mandante])=$A880)*tblDados[Primeira_Ocorrencia]*((tblDados[GM_M]+tblDados[GS_M])&gt;2.5))+SUMPRODUCT((TRIM(tblDados[Visitante])=$A880)*tblDados[Primeira_Ocorrencia]*((tblDados[GM_V]+tblDados[GS_V])&gt;2.5)))/G880,0))</f>
        <v/>
      </c>
      <c r="N880" s="16" t="str" cm="1">
        <f t="array" ref="N880">IF($A880="","",IFERROR((SUMPRODUCT((TRIM(tblDados[Mandante])=$A880)*tblDados[Primeira_Ocorrencia]*((tblDados[GM_M]+tblDados[GS_M])&gt;3.5))+SUMPRODUCT((TRIM(tblDados[Visitante])=$A880)*tblDados[Primeira_Ocorrencia]*((tblDados[GM_V]+tblDados[GS_V])&gt;3.5)))/G880,0))</f>
        <v/>
      </c>
      <c r="O880" s="16" t="str" cm="1">
        <f t="array" ref="O880">IF($A880="","",IFERROR((SUMPRODUCT((TRIM(tblDados[Mandante])=$A880)*tblDados[Primeira_Ocorrencia]*(tblDados[GM_M]&gt;0)*(tblDados[GS_M]&gt;0))+SUMPRODUCT((TRIM(tblDados[Visitante])=$A880)*tblDados[Primeira_Ocorrencia]*(tblDados[GM_V]&gt;0)*(tblDados[GS_V]&gt;0)))/G880,0))</f>
        <v/>
      </c>
      <c r="P880" s="14" t="str" cm="1">
        <f t="array" ref="P880">IF($A880="","",IFERROR((SUMPRODUCT((TRIM(tblDados[Mandante])=$A880)*tblDados[Primeira_Ocorrencia]*tblDados[GM_M]^2)+SUMPRODUCT((TRIM(tblDados[Visitante])=$A880)*tblDados[Primeira_Ocorrencia]*tblDados[GM_V]^2))/G880-H880^2,0))</f>
        <v/>
      </c>
      <c r="Q880" s="14" t="str">
        <f t="shared" si="226"/>
        <v/>
      </c>
      <c r="R880" s="1" t="str">
        <f t="shared" si="227"/>
        <v/>
      </c>
      <c r="S880" s="14" t="str" cm="1">
        <f t="array" ref="S880">IF($A880="","",SUMPRODUCT((TRIM(tblDados[Mandante])=$A880)*tblDados[Primeira_Ocorrencia]*tblDados[GM_M]))</f>
        <v/>
      </c>
      <c r="T880" s="14" t="str" cm="1">
        <f t="array" ref="T880">IF($A880="","",SUMPRODUCT((TRIM(tblDados[Visitante])=$A880)*tblDados[Primeira_Ocorrencia]*tblDados[GM_V]))</f>
        <v/>
      </c>
      <c r="U880" s="14" t="str">
        <f t="shared" si="228"/>
        <v/>
      </c>
      <c r="V880" s="14" t="str">
        <f t="shared" si="217"/>
        <v/>
      </c>
      <c r="W880" s="14" t="str" cm="1">
        <f t="array" ref="W880">IF($A880="","",SUMPRODUCT((TRIM(tblDados[Mandante])=$A880)*tblDados[Primeira_Ocorrencia]*tblDados[GS_M]))</f>
        <v/>
      </c>
      <c r="X880" s="14" t="str" cm="1">
        <f t="array" ref="X880">IF($A880="","",SUMPRODUCT((TRIM(tblDados[Visitante])=$A880)*tblDados[Primeira_Ocorrencia]*tblDados[GS_V]))</f>
        <v/>
      </c>
      <c r="Y880" s="14" t="str">
        <f t="shared" si="229"/>
        <v/>
      </c>
      <c r="Z880" s="14" t="str">
        <f t="shared" si="218"/>
        <v/>
      </c>
      <c r="AA880" s="14" t="str">
        <f t="shared" si="219"/>
        <v/>
      </c>
      <c r="AB880" s="14" t="str">
        <f t="shared" si="220"/>
        <v/>
      </c>
      <c r="AC880" s="14" t="str">
        <f t="shared" si="221"/>
        <v/>
      </c>
      <c r="AD880" s="14" t="str">
        <f t="shared" si="222"/>
        <v/>
      </c>
    </row>
    <row r="881" spans="2:30" x14ac:dyDescent="0.3">
      <c r="B881" s="13" t="str" cm="1">
        <f t="array" ref="B881">IF($A881="","",_xlfn.LET(_xlpm.p,IFERROR(INDEX(tblDados[País],MATCH($A881,TRIM(tblDados[Mandante]),0)),INDEX(tblDados[País],MATCH($A881,TRIM(tblDados[Visitante]),0))),_xlpm.l,IFERROR(INDEX(tblDados[Liga],MATCH($A881,TRIM(tblDados[Mandante]),0)),INDEX(tblDados[Liga],MATCH($A881,TRIM(tblDados[Visitante]),0))),_xlpm.p&amp;" - "&amp;_xlpm.l))</f>
        <v/>
      </c>
      <c r="C881" s="14" t="str">
        <f t="shared" si="223"/>
        <v/>
      </c>
      <c r="D881" s="14" t="str">
        <f t="shared" si="224"/>
        <v/>
      </c>
      <c r="E881" s="15" t="str" cm="1">
        <f t="array" ref="E881">IF($A881="","",SUMPRODUCT((TRIM(tblDados[Mandante])=$A881)*tblDados[Primeira_Ocorrencia]))</f>
        <v/>
      </c>
      <c r="F881" s="15" t="str" cm="1">
        <f t="array" ref="F881">IF($A881="","",SUMPRODUCT((TRIM(tblDados[Visitante])=$A881)*tblDados[Primeira_Ocorrencia]))</f>
        <v/>
      </c>
      <c r="G881" s="15" t="str" cm="1">
        <f t="array" ref="G881">IF($A881="","",SUMPRODUCT((TRIM(tblDados[Mandante])=$A881)*tblDados[Primeira_Ocorrencia])+SUMPRODUCT((TRIM(tblDados[Visitante])=$A881)*tblDados[Primeira_Ocorrencia]))</f>
        <v/>
      </c>
      <c r="H881" s="14" t="str">
        <f t="shared" si="225"/>
        <v/>
      </c>
      <c r="I881" s="14" t="str" cm="1">
        <f t="array" ref="I881">IF($A881="","",_xlfn.LET(_xlpm.p,IFERROR(INDEX(tblDados[País],MATCH($A881,TRIM(tblDados[Mandante]),0)),INDEX(tblDados[País],MATCH($A881,TRIM(tblDados[Visitante]),0))),_xlpm.l,IFERROR(INDEX(tblDados[Liga],MATCH($A881,TRIM(tblDados[Mandante]),0)),INDEX(tblDados[Liga],MATCH($A881,TRIM(tblDados[Visitante]),0))),IFERROR(SUMIFS(Ligas!$D$2:$D$39,Ligas!$H$2:$H$39,_xlpm.p,Ligas!$I$2:$I$39,_xlpm.l),0)))</f>
        <v/>
      </c>
      <c r="J881" s="16" t="str" cm="1">
        <f t="array" ref="J881">IF($A881="","",IFERROR((SUMPRODUCT((TRIM(tblDados[Mandante])=$A881)*tblDados[Primeira_Ocorrencia]*(tblDados[GM_M]=0))+SUMPRODUCT((TRIM(tblDados[Visitante])=$A881)*tblDados[Primeira_Ocorrencia]*(tblDados[GM_V]=0)))/G881,0))</f>
        <v/>
      </c>
      <c r="K881" s="16" t="str" cm="1">
        <f t="array" ref="K881">IF($A881="","",IFERROR((SUMPRODUCT((TRIM(tblDados[Mandante])=$A881)*tblDados[Primeira_Ocorrencia]*((tblDados[GM_M]+tblDados[GS_M])&gt;0.5))+SUMPRODUCT((TRIM(tblDados[Visitante])=$A881)*tblDados[Primeira_Ocorrencia]*((tblDados[GM_V]+tblDados[GS_V])&gt;0.5)))/G881,0))</f>
        <v/>
      </c>
      <c r="L881" s="16" t="str" cm="1">
        <f t="array" ref="L881">IF($A881="","",IFERROR((SUMPRODUCT((TRIM(tblDados[Mandante])=$A881)*tblDados[Primeira_Ocorrencia]*((tblDados[GM_M]+tblDados[GS_M])&gt;1.5))+SUMPRODUCT((TRIM(tblDados[Visitante])=$A881)*tblDados[Primeira_Ocorrencia]*((tblDados[GM_V]+tblDados[GS_V])&gt;1.5)))/G881,0))</f>
        <v/>
      </c>
      <c r="M881" s="16" t="str" cm="1">
        <f t="array" ref="M881">IF($A881="","",IFERROR((SUMPRODUCT((TRIM(tblDados[Mandante])=$A881)*tblDados[Primeira_Ocorrencia]*((tblDados[GM_M]+tblDados[GS_M])&gt;2.5))+SUMPRODUCT((TRIM(tblDados[Visitante])=$A881)*tblDados[Primeira_Ocorrencia]*((tblDados[GM_V]+tblDados[GS_V])&gt;2.5)))/G881,0))</f>
        <v/>
      </c>
      <c r="N881" s="16" t="str" cm="1">
        <f t="array" ref="N881">IF($A881="","",IFERROR((SUMPRODUCT((TRIM(tblDados[Mandante])=$A881)*tblDados[Primeira_Ocorrencia]*((tblDados[GM_M]+tblDados[GS_M])&gt;3.5))+SUMPRODUCT((TRIM(tblDados[Visitante])=$A881)*tblDados[Primeira_Ocorrencia]*((tblDados[GM_V]+tblDados[GS_V])&gt;3.5)))/G881,0))</f>
        <v/>
      </c>
      <c r="O881" s="16" t="str" cm="1">
        <f t="array" ref="O881">IF($A881="","",IFERROR((SUMPRODUCT((TRIM(tblDados[Mandante])=$A881)*tblDados[Primeira_Ocorrencia]*(tblDados[GM_M]&gt;0)*(tblDados[GS_M]&gt;0))+SUMPRODUCT((TRIM(tblDados[Visitante])=$A881)*tblDados[Primeira_Ocorrencia]*(tblDados[GM_V]&gt;0)*(tblDados[GS_V]&gt;0)))/G881,0))</f>
        <v/>
      </c>
      <c r="P881" s="14" t="str" cm="1">
        <f t="array" ref="P881">IF($A881="","",IFERROR((SUMPRODUCT((TRIM(tblDados[Mandante])=$A881)*tblDados[Primeira_Ocorrencia]*tblDados[GM_M]^2)+SUMPRODUCT((TRIM(tblDados[Visitante])=$A881)*tblDados[Primeira_Ocorrencia]*tblDados[GM_V]^2))/G881-H881^2,0))</f>
        <v/>
      </c>
      <c r="Q881" s="14" t="str">
        <f t="shared" si="226"/>
        <v/>
      </c>
      <c r="R881" s="1" t="str">
        <f t="shared" si="227"/>
        <v/>
      </c>
      <c r="S881" s="14" t="str" cm="1">
        <f t="array" ref="S881">IF($A881="","",SUMPRODUCT((TRIM(tblDados[Mandante])=$A881)*tblDados[Primeira_Ocorrencia]*tblDados[GM_M]))</f>
        <v/>
      </c>
      <c r="T881" s="14" t="str" cm="1">
        <f t="array" ref="T881">IF($A881="","",SUMPRODUCT((TRIM(tblDados[Visitante])=$A881)*tblDados[Primeira_Ocorrencia]*tblDados[GM_V]))</f>
        <v/>
      </c>
      <c r="U881" s="14" t="str">
        <f t="shared" si="228"/>
        <v/>
      </c>
      <c r="V881" s="14" t="str">
        <f t="shared" si="217"/>
        <v/>
      </c>
      <c r="W881" s="14" t="str" cm="1">
        <f t="array" ref="W881">IF($A881="","",SUMPRODUCT((TRIM(tblDados[Mandante])=$A881)*tblDados[Primeira_Ocorrencia]*tblDados[GS_M]))</f>
        <v/>
      </c>
      <c r="X881" s="14" t="str" cm="1">
        <f t="array" ref="X881">IF($A881="","",SUMPRODUCT((TRIM(tblDados[Visitante])=$A881)*tblDados[Primeira_Ocorrencia]*tblDados[GS_V]))</f>
        <v/>
      </c>
      <c r="Y881" s="14" t="str">
        <f t="shared" si="229"/>
        <v/>
      </c>
      <c r="Z881" s="14" t="str">
        <f t="shared" si="218"/>
        <v/>
      </c>
      <c r="AA881" s="14" t="str">
        <f t="shared" si="219"/>
        <v/>
      </c>
      <c r="AB881" s="14" t="str">
        <f t="shared" si="220"/>
        <v/>
      </c>
      <c r="AC881" s="14" t="str">
        <f t="shared" si="221"/>
        <v/>
      </c>
      <c r="AD881" s="14" t="str">
        <f t="shared" si="222"/>
        <v/>
      </c>
    </row>
    <row r="882" spans="2:30" x14ac:dyDescent="0.3">
      <c r="B882" s="13" t="str" cm="1">
        <f t="array" ref="B882">IF($A882="","",_xlfn.LET(_xlpm.p,IFERROR(INDEX(tblDados[País],MATCH($A882,TRIM(tblDados[Mandante]),0)),INDEX(tblDados[País],MATCH($A882,TRIM(tblDados[Visitante]),0))),_xlpm.l,IFERROR(INDEX(tblDados[Liga],MATCH($A882,TRIM(tblDados[Mandante]),0)),INDEX(tblDados[Liga],MATCH($A882,TRIM(tblDados[Visitante]),0))),_xlpm.p&amp;" - "&amp;_xlpm.l))</f>
        <v/>
      </c>
      <c r="C882" s="14" t="str">
        <f t="shared" si="223"/>
        <v/>
      </c>
      <c r="D882" s="14" t="str">
        <f t="shared" si="224"/>
        <v/>
      </c>
      <c r="E882" s="15" t="str" cm="1">
        <f t="array" ref="E882">IF($A882="","",SUMPRODUCT((TRIM(tblDados[Mandante])=$A882)*tblDados[Primeira_Ocorrencia]))</f>
        <v/>
      </c>
      <c r="F882" s="15" t="str" cm="1">
        <f t="array" ref="F882">IF($A882="","",SUMPRODUCT((TRIM(tblDados[Visitante])=$A882)*tblDados[Primeira_Ocorrencia]))</f>
        <v/>
      </c>
      <c r="G882" s="15" t="str" cm="1">
        <f t="array" ref="G882">IF($A882="","",SUMPRODUCT((TRIM(tblDados[Mandante])=$A882)*tblDados[Primeira_Ocorrencia])+SUMPRODUCT((TRIM(tblDados[Visitante])=$A882)*tblDados[Primeira_Ocorrencia]))</f>
        <v/>
      </c>
      <c r="H882" s="14" t="str">
        <f t="shared" si="225"/>
        <v/>
      </c>
      <c r="I882" s="14" t="str" cm="1">
        <f t="array" ref="I882">IF($A882="","",_xlfn.LET(_xlpm.p,IFERROR(INDEX(tblDados[País],MATCH($A882,TRIM(tblDados[Mandante]),0)),INDEX(tblDados[País],MATCH($A882,TRIM(tblDados[Visitante]),0))),_xlpm.l,IFERROR(INDEX(tblDados[Liga],MATCH($A882,TRIM(tblDados[Mandante]),0)),INDEX(tblDados[Liga],MATCH($A882,TRIM(tblDados[Visitante]),0))),IFERROR(SUMIFS(Ligas!$D$2:$D$39,Ligas!$H$2:$H$39,_xlpm.p,Ligas!$I$2:$I$39,_xlpm.l),0)))</f>
        <v/>
      </c>
      <c r="J882" s="16" t="str" cm="1">
        <f t="array" ref="J882">IF($A882="","",IFERROR((SUMPRODUCT((TRIM(tblDados[Mandante])=$A882)*tblDados[Primeira_Ocorrencia]*(tblDados[GM_M]=0))+SUMPRODUCT((TRIM(tblDados[Visitante])=$A882)*tblDados[Primeira_Ocorrencia]*(tblDados[GM_V]=0)))/G882,0))</f>
        <v/>
      </c>
      <c r="K882" s="16" t="str" cm="1">
        <f t="array" ref="K882">IF($A882="","",IFERROR((SUMPRODUCT((TRIM(tblDados[Mandante])=$A882)*tblDados[Primeira_Ocorrencia]*((tblDados[GM_M]+tblDados[GS_M])&gt;0.5))+SUMPRODUCT((TRIM(tblDados[Visitante])=$A882)*tblDados[Primeira_Ocorrencia]*((tblDados[GM_V]+tblDados[GS_V])&gt;0.5)))/G882,0))</f>
        <v/>
      </c>
      <c r="L882" s="16" t="str" cm="1">
        <f t="array" ref="L882">IF($A882="","",IFERROR((SUMPRODUCT((TRIM(tblDados[Mandante])=$A882)*tblDados[Primeira_Ocorrencia]*((tblDados[GM_M]+tblDados[GS_M])&gt;1.5))+SUMPRODUCT((TRIM(tblDados[Visitante])=$A882)*tblDados[Primeira_Ocorrencia]*((tblDados[GM_V]+tblDados[GS_V])&gt;1.5)))/G882,0))</f>
        <v/>
      </c>
      <c r="M882" s="16" t="str" cm="1">
        <f t="array" ref="M882">IF($A882="","",IFERROR((SUMPRODUCT((TRIM(tblDados[Mandante])=$A882)*tblDados[Primeira_Ocorrencia]*((tblDados[GM_M]+tblDados[GS_M])&gt;2.5))+SUMPRODUCT((TRIM(tblDados[Visitante])=$A882)*tblDados[Primeira_Ocorrencia]*((tblDados[GM_V]+tblDados[GS_V])&gt;2.5)))/G882,0))</f>
        <v/>
      </c>
      <c r="N882" s="16" t="str" cm="1">
        <f t="array" ref="N882">IF($A882="","",IFERROR((SUMPRODUCT((TRIM(tblDados[Mandante])=$A882)*tblDados[Primeira_Ocorrencia]*((tblDados[GM_M]+tblDados[GS_M])&gt;3.5))+SUMPRODUCT((TRIM(tblDados[Visitante])=$A882)*tblDados[Primeira_Ocorrencia]*((tblDados[GM_V]+tblDados[GS_V])&gt;3.5)))/G882,0))</f>
        <v/>
      </c>
      <c r="O882" s="16" t="str" cm="1">
        <f t="array" ref="O882">IF($A882="","",IFERROR((SUMPRODUCT((TRIM(tblDados[Mandante])=$A882)*tblDados[Primeira_Ocorrencia]*(tblDados[GM_M]&gt;0)*(tblDados[GS_M]&gt;0))+SUMPRODUCT((TRIM(tblDados[Visitante])=$A882)*tblDados[Primeira_Ocorrencia]*(tblDados[GM_V]&gt;0)*(tblDados[GS_V]&gt;0)))/G882,0))</f>
        <v/>
      </c>
      <c r="P882" s="14" t="str" cm="1">
        <f t="array" ref="P882">IF($A882="","",IFERROR((SUMPRODUCT((TRIM(tblDados[Mandante])=$A882)*tblDados[Primeira_Ocorrencia]*tblDados[GM_M]^2)+SUMPRODUCT((TRIM(tblDados[Visitante])=$A882)*tblDados[Primeira_Ocorrencia]*tblDados[GM_V]^2))/G882-H882^2,0))</f>
        <v/>
      </c>
      <c r="Q882" s="14" t="str">
        <f t="shared" si="226"/>
        <v/>
      </c>
      <c r="R882" s="1" t="str">
        <f t="shared" si="227"/>
        <v/>
      </c>
      <c r="S882" s="14" t="str" cm="1">
        <f t="array" ref="S882">IF($A882="","",SUMPRODUCT((TRIM(tblDados[Mandante])=$A882)*tblDados[Primeira_Ocorrencia]*tblDados[GM_M]))</f>
        <v/>
      </c>
      <c r="T882" s="14" t="str" cm="1">
        <f t="array" ref="T882">IF($A882="","",SUMPRODUCT((TRIM(tblDados[Visitante])=$A882)*tblDados[Primeira_Ocorrencia]*tblDados[GM_V]))</f>
        <v/>
      </c>
      <c r="U882" s="14" t="str">
        <f t="shared" si="228"/>
        <v/>
      </c>
      <c r="V882" s="14" t="str">
        <f t="shared" si="217"/>
        <v/>
      </c>
      <c r="W882" s="14" t="str" cm="1">
        <f t="array" ref="W882">IF($A882="","",SUMPRODUCT((TRIM(tblDados[Mandante])=$A882)*tblDados[Primeira_Ocorrencia]*tblDados[GS_M]))</f>
        <v/>
      </c>
      <c r="X882" s="14" t="str" cm="1">
        <f t="array" ref="X882">IF($A882="","",SUMPRODUCT((TRIM(tblDados[Visitante])=$A882)*tblDados[Primeira_Ocorrencia]*tblDados[GS_V]))</f>
        <v/>
      </c>
      <c r="Y882" s="14" t="str">
        <f t="shared" si="229"/>
        <v/>
      </c>
      <c r="Z882" s="14" t="str">
        <f t="shared" si="218"/>
        <v/>
      </c>
      <c r="AA882" s="14" t="str">
        <f t="shared" si="219"/>
        <v/>
      </c>
      <c r="AB882" s="14" t="str">
        <f t="shared" si="220"/>
        <v/>
      </c>
      <c r="AC882" s="14" t="str">
        <f t="shared" si="221"/>
        <v/>
      </c>
      <c r="AD882" s="14" t="str">
        <f t="shared" si="222"/>
        <v/>
      </c>
    </row>
    <row r="883" spans="2:30" x14ac:dyDescent="0.3">
      <c r="B883" s="13" t="str" cm="1">
        <f t="array" ref="B883">IF($A883="","",_xlfn.LET(_xlpm.p,IFERROR(INDEX(tblDados[País],MATCH($A883,TRIM(tblDados[Mandante]),0)),INDEX(tblDados[País],MATCH($A883,TRIM(tblDados[Visitante]),0))),_xlpm.l,IFERROR(INDEX(tblDados[Liga],MATCH($A883,TRIM(tblDados[Mandante]),0)),INDEX(tblDados[Liga],MATCH($A883,TRIM(tblDados[Visitante]),0))),_xlpm.p&amp;" - "&amp;_xlpm.l))</f>
        <v/>
      </c>
      <c r="C883" s="14" t="str">
        <f t="shared" si="223"/>
        <v/>
      </c>
      <c r="D883" s="14" t="str">
        <f t="shared" si="224"/>
        <v/>
      </c>
      <c r="E883" s="15" t="str" cm="1">
        <f t="array" ref="E883">IF($A883="","",SUMPRODUCT((TRIM(tblDados[Mandante])=$A883)*tblDados[Primeira_Ocorrencia]))</f>
        <v/>
      </c>
      <c r="F883" s="15" t="str" cm="1">
        <f t="array" ref="F883">IF($A883="","",SUMPRODUCT((TRIM(tblDados[Visitante])=$A883)*tblDados[Primeira_Ocorrencia]))</f>
        <v/>
      </c>
      <c r="G883" s="15" t="str" cm="1">
        <f t="array" ref="G883">IF($A883="","",SUMPRODUCT((TRIM(tblDados[Mandante])=$A883)*tblDados[Primeira_Ocorrencia])+SUMPRODUCT((TRIM(tblDados[Visitante])=$A883)*tblDados[Primeira_Ocorrencia]))</f>
        <v/>
      </c>
      <c r="H883" s="14" t="str">
        <f t="shared" si="225"/>
        <v/>
      </c>
      <c r="I883" s="14" t="str" cm="1">
        <f t="array" ref="I883">IF($A883="","",_xlfn.LET(_xlpm.p,IFERROR(INDEX(tblDados[País],MATCH($A883,TRIM(tblDados[Mandante]),0)),INDEX(tblDados[País],MATCH($A883,TRIM(tblDados[Visitante]),0))),_xlpm.l,IFERROR(INDEX(tblDados[Liga],MATCH($A883,TRIM(tblDados[Mandante]),0)),INDEX(tblDados[Liga],MATCH($A883,TRIM(tblDados[Visitante]),0))),IFERROR(SUMIFS(Ligas!$D$2:$D$39,Ligas!$H$2:$H$39,_xlpm.p,Ligas!$I$2:$I$39,_xlpm.l),0)))</f>
        <v/>
      </c>
      <c r="J883" s="16" t="str" cm="1">
        <f t="array" ref="J883">IF($A883="","",IFERROR((SUMPRODUCT((TRIM(tblDados[Mandante])=$A883)*tblDados[Primeira_Ocorrencia]*(tblDados[GM_M]=0))+SUMPRODUCT((TRIM(tblDados[Visitante])=$A883)*tblDados[Primeira_Ocorrencia]*(tblDados[GM_V]=0)))/G883,0))</f>
        <v/>
      </c>
      <c r="K883" s="16" t="str" cm="1">
        <f t="array" ref="K883">IF($A883="","",IFERROR((SUMPRODUCT((TRIM(tblDados[Mandante])=$A883)*tblDados[Primeira_Ocorrencia]*((tblDados[GM_M]+tblDados[GS_M])&gt;0.5))+SUMPRODUCT((TRIM(tblDados[Visitante])=$A883)*tblDados[Primeira_Ocorrencia]*((tblDados[GM_V]+tblDados[GS_V])&gt;0.5)))/G883,0))</f>
        <v/>
      </c>
      <c r="L883" s="16" t="str" cm="1">
        <f t="array" ref="L883">IF($A883="","",IFERROR((SUMPRODUCT((TRIM(tblDados[Mandante])=$A883)*tblDados[Primeira_Ocorrencia]*((tblDados[GM_M]+tblDados[GS_M])&gt;1.5))+SUMPRODUCT((TRIM(tblDados[Visitante])=$A883)*tblDados[Primeira_Ocorrencia]*((tblDados[GM_V]+tblDados[GS_V])&gt;1.5)))/G883,0))</f>
        <v/>
      </c>
      <c r="M883" s="16" t="str" cm="1">
        <f t="array" ref="M883">IF($A883="","",IFERROR((SUMPRODUCT((TRIM(tblDados[Mandante])=$A883)*tblDados[Primeira_Ocorrencia]*((tblDados[GM_M]+tblDados[GS_M])&gt;2.5))+SUMPRODUCT((TRIM(tblDados[Visitante])=$A883)*tblDados[Primeira_Ocorrencia]*((tblDados[GM_V]+tblDados[GS_V])&gt;2.5)))/G883,0))</f>
        <v/>
      </c>
      <c r="N883" s="16" t="str" cm="1">
        <f t="array" ref="N883">IF($A883="","",IFERROR((SUMPRODUCT((TRIM(tblDados[Mandante])=$A883)*tblDados[Primeira_Ocorrencia]*((tblDados[GM_M]+tblDados[GS_M])&gt;3.5))+SUMPRODUCT((TRIM(tblDados[Visitante])=$A883)*tblDados[Primeira_Ocorrencia]*((tblDados[GM_V]+tblDados[GS_V])&gt;3.5)))/G883,0))</f>
        <v/>
      </c>
      <c r="O883" s="16" t="str" cm="1">
        <f t="array" ref="O883">IF($A883="","",IFERROR((SUMPRODUCT((TRIM(tblDados[Mandante])=$A883)*tblDados[Primeira_Ocorrencia]*(tblDados[GM_M]&gt;0)*(tblDados[GS_M]&gt;0))+SUMPRODUCT((TRIM(tblDados[Visitante])=$A883)*tblDados[Primeira_Ocorrencia]*(tblDados[GM_V]&gt;0)*(tblDados[GS_V]&gt;0)))/G883,0))</f>
        <v/>
      </c>
      <c r="P883" s="14" t="str" cm="1">
        <f t="array" ref="P883">IF($A883="","",IFERROR((SUMPRODUCT((TRIM(tblDados[Mandante])=$A883)*tblDados[Primeira_Ocorrencia]*tblDados[GM_M]^2)+SUMPRODUCT((TRIM(tblDados[Visitante])=$A883)*tblDados[Primeira_Ocorrencia]*tblDados[GM_V]^2))/G883-H883^2,0))</f>
        <v/>
      </c>
      <c r="Q883" s="14" t="str">
        <f t="shared" si="226"/>
        <v/>
      </c>
      <c r="R883" s="1" t="str">
        <f t="shared" si="227"/>
        <v/>
      </c>
      <c r="S883" s="14" t="str" cm="1">
        <f t="array" ref="S883">IF($A883="","",SUMPRODUCT((TRIM(tblDados[Mandante])=$A883)*tblDados[Primeira_Ocorrencia]*tblDados[GM_M]))</f>
        <v/>
      </c>
      <c r="T883" s="14" t="str" cm="1">
        <f t="array" ref="T883">IF($A883="","",SUMPRODUCT((TRIM(tblDados[Visitante])=$A883)*tblDados[Primeira_Ocorrencia]*tblDados[GM_V]))</f>
        <v/>
      </c>
      <c r="U883" s="14" t="str">
        <f t="shared" si="228"/>
        <v/>
      </c>
      <c r="V883" s="14" t="str">
        <f t="shared" si="217"/>
        <v/>
      </c>
      <c r="W883" s="14" t="str" cm="1">
        <f t="array" ref="W883">IF($A883="","",SUMPRODUCT((TRIM(tblDados[Mandante])=$A883)*tblDados[Primeira_Ocorrencia]*tblDados[GS_M]))</f>
        <v/>
      </c>
      <c r="X883" s="14" t="str" cm="1">
        <f t="array" ref="X883">IF($A883="","",SUMPRODUCT((TRIM(tblDados[Visitante])=$A883)*tblDados[Primeira_Ocorrencia]*tblDados[GS_V]))</f>
        <v/>
      </c>
      <c r="Y883" s="14" t="str">
        <f t="shared" si="229"/>
        <v/>
      </c>
      <c r="Z883" s="14" t="str">
        <f t="shared" si="218"/>
        <v/>
      </c>
      <c r="AA883" s="14" t="str">
        <f t="shared" si="219"/>
        <v/>
      </c>
      <c r="AB883" s="14" t="str">
        <f t="shared" si="220"/>
        <v/>
      </c>
      <c r="AC883" s="14" t="str">
        <f t="shared" si="221"/>
        <v/>
      </c>
      <c r="AD883" s="14" t="str">
        <f t="shared" si="222"/>
        <v/>
      </c>
    </row>
    <row r="884" spans="2:30" x14ac:dyDescent="0.3">
      <c r="B884" s="13" t="str" cm="1">
        <f t="array" ref="B884">IF($A884="","",_xlfn.LET(_xlpm.p,IFERROR(INDEX(tblDados[País],MATCH($A884,TRIM(tblDados[Mandante]),0)),INDEX(tblDados[País],MATCH($A884,TRIM(tblDados[Visitante]),0))),_xlpm.l,IFERROR(INDEX(tblDados[Liga],MATCH($A884,TRIM(tblDados[Mandante]),0)),INDEX(tblDados[Liga],MATCH($A884,TRIM(tblDados[Visitante]),0))),_xlpm.p&amp;" - "&amp;_xlpm.l))</f>
        <v/>
      </c>
      <c r="C884" s="14" t="str">
        <f t="shared" si="223"/>
        <v/>
      </c>
      <c r="D884" s="14" t="str">
        <f t="shared" si="224"/>
        <v/>
      </c>
      <c r="E884" s="15" t="str" cm="1">
        <f t="array" ref="E884">IF($A884="","",SUMPRODUCT((TRIM(tblDados[Mandante])=$A884)*tblDados[Primeira_Ocorrencia]))</f>
        <v/>
      </c>
      <c r="F884" s="15" t="str" cm="1">
        <f t="array" ref="F884">IF($A884="","",SUMPRODUCT((TRIM(tblDados[Visitante])=$A884)*tblDados[Primeira_Ocorrencia]))</f>
        <v/>
      </c>
      <c r="G884" s="15" t="str" cm="1">
        <f t="array" ref="G884">IF($A884="","",SUMPRODUCT((TRIM(tblDados[Mandante])=$A884)*tblDados[Primeira_Ocorrencia])+SUMPRODUCT((TRIM(tblDados[Visitante])=$A884)*tblDados[Primeira_Ocorrencia]))</f>
        <v/>
      </c>
      <c r="H884" s="14" t="str">
        <f t="shared" si="225"/>
        <v/>
      </c>
      <c r="I884" s="14" t="str" cm="1">
        <f t="array" ref="I884">IF($A884="","",_xlfn.LET(_xlpm.p,IFERROR(INDEX(tblDados[País],MATCH($A884,TRIM(tblDados[Mandante]),0)),INDEX(tblDados[País],MATCH($A884,TRIM(tblDados[Visitante]),0))),_xlpm.l,IFERROR(INDEX(tblDados[Liga],MATCH($A884,TRIM(tblDados[Mandante]),0)),INDEX(tblDados[Liga],MATCH($A884,TRIM(tblDados[Visitante]),0))),IFERROR(SUMIFS(Ligas!$D$2:$D$39,Ligas!$H$2:$H$39,_xlpm.p,Ligas!$I$2:$I$39,_xlpm.l),0)))</f>
        <v/>
      </c>
      <c r="J884" s="16" t="str" cm="1">
        <f t="array" ref="J884">IF($A884="","",IFERROR((SUMPRODUCT((TRIM(tblDados[Mandante])=$A884)*tblDados[Primeira_Ocorrencia]*(tblDados[GM_M]=0))+SUMPRODUCT((TRIM(tblDados[Visitante])=$A884)*tblDados[Primeira_Ocorrencia]*(tblDados[GM_V]=0)))/G884,0))</f>
        <v/>
      </c>
      <c r="K884" s="16" t="str" cm="1">
        <f t="array" ref="K884">IF($A884="","",IFERROR((SUMPRODUCT((TRIM(tblDados[Mandante])=$A884)*tblDados[Primeira_Ocorrencia]*((tblDados[GM_M]+tblDados[GS_M])&gt;0.5))+SUMPRODUCT((TRIM(tblDados[Visitante])=$A884)*tblDados[Primeira_Ocorrencia]*((tblDados[GM_V]+tblDados[GS_V])&gt;0.5)))/G884,0))</f>
        <v/>
      </c>
      <c r="L884" s="16" t="str" cm="1">
        <f t="array" ref="L884">IF($A884="","",IFERROR((SUMPRODUCT((TRIM(tblDados[Mandante])=$A884)*tblDados[Primeira_Ocorrencia]*((tblDados[GM_M]+tblDados[GS_M])&gt;1.5))+SUMPRODUCT((TRIM(tblDados[Visitante])=$A884)*tblDados[Primeira_Ocorrencia]*((tblDados[GM_V]+tblDados[GS_V])&gt;1.5)))/G884,0))</f>
        <v/>
      </c>
      <c r="M884" s="16" t="str" cm="1">
        <f t="array" ref="M884">IF($A884="","",IFERROR((SUMPRODUCT((TRIM(tblDados[Mandante])=$A884)*tblDados[Primeira_Ocorrencia]*((tblDados[GM_M]+tblDados[GS_M])&gt;2.5))+SUMPRODUCT((TRIM(tblDados[Visitante])=$A884)*tblDados[Primeira_Ocorrencia]*((tblDados[GM_V]+tblDados[GS_V])&gt;2.5)))/G884,0))</f>
        <v/>
      </c>
      <c r="N884" s="16" t="str" cm="1">
        <f t="array" ref="N884">IF($A884="","",IFERROR((SUMPRODUCT((TRIM(tblDados[Mandante])=$A884)*tblDados[Primeira_Ocorrencia]*((tblDados[GM_M]+tblDados[GS_M])&gt;3.5))+SUMPRODUCT((TRIM(tblDados[Visitante])=$A884)*tblDados[Primeira_Ocorrencia]*((tblDados[GM_V]+tblDados[GS_V])&gt;3.5)))/G884,0))</f>
        <v/>
      </c>
      <c r="O884" s="16" t="str" cm="1">
        <f t="array" ref="O884">IF($A884="","",IFERROR((SUMPRODUCT((TRIM(tblDados[Mandante])=$A884)*tblDados[Primeira_Ocorrencia]*(tblDados[GM_M]&gt;0)*(tblDados[GS_M]&gt;0))+SUMPRODUCT((TRIM(tblDados[Visitante])=$A884)*tblDados[Primeira_Ocorrencia]*(tblDados[GM_V]&gt;0)*(tblDados[GS_V]&gt;0)))/G884,0))</f>
        <v/>
      </c>
      <c r="P884" s="14" t="str" cm="1">
        <f t="array" ref="P884">IF($A884="","",IFERROR((SUMPRODUCT((TRIM(tblDados[Mandante])=$A884)*tblDados[Primeira_Ocorrencia]*tblDados[GM_M]^2)+SUMPRODUCT((TRIM(tblDados[Visitante])=$A884)*tblDados[Primeira_Ocorrencia]*tblDados[GM_V]^2))/G884-H884^2,0))</f>
        <v/>
      </c>
      <c r="Q884" s="14" t="str">
        <f t="shared" si="226"/>
        <v/>
      </c>
      <c r="R884" s="1" t="str">
        <f t="shared" si="227"/>
        <v/>
      </c>
      <c r="S884" s="14" t="str" cm="1">
        <f t="array" ref="S884">IF($A884="","",SUMPRODUCT((TRIM(tblDados[Mandante])=$A884)*tblDados[Primeira_Ocorrencia]*tblDados[GM_M]))</f>
        <v/>
      </c>
      <c r="T884" s="14" t="str" cm="1">
        <f t="array" ref="T884">IF($A884="","",SUMPRODUCT((TRIM(tblDados[Visitante])=$A884)*tblDados[Primeira_Ocorrencia]*tblDados[GM_V]))</f>
        <v/>
      </c>
      <c r="U884" s="14" t="str">
        <f t="shared" si="228"/>
        <v/>
      </c>
      <c r="V884" s="14" t="str">
        <f t="shared" si="217"/>
        <v/>
      </c>
      <c r="W884" s="14" t="str" cm="1">
        <f t="array" ref="W884">IF($A884="","",SUMPRODUCT((TRIM(tblDados[Mandante])=$A884)*tblDados[Primeira_Ocorrencia]*tblDados[GS_M]))</f>
        <v/>
      </c>
      <c r="X884" s="14" t="str" cm="1">
        <f t="array" ref="X884">IF($A884="","",SUMPRODUCT((TRIM(tblDados[Visitante])=$A884)*tblDados[Primeira_Ocorrencia]*tblDados[GS_V]))</f>
        <v/>
      </c>
      <c r="Y884" s="14" t="str">
        <f t="shared" si="229"/>
        <v/>
      </c>
      <c r="Z884" s="14" t="str">
        <f t="shared" si="218"/>
        <v/>
      </c>
      <c r="AA884" s="14" t="str">
        <f t="shared" si="219"/>
        <v/>
      </c>
      <c r="AB884" s="14" t="str">
        <f t="shared" si="220"/>
        <v/>
      </c>
      <c r="AC884" s="14" t="str">
        <f t="shared" si="221"/>
        <v/>
      </c>
      <c r="AD884" s="14" t="str">
        <f t="shared" si="222"/>
        <v/>
      </c>
    </row>
    <row r="885" spans="2:30" x14ac:dyDescent="0.3">
      <c r="B885" s="13" t="str" cm="1">
        <f t="array" ref="B885">IF($A885="","",_xlfn.LET(_xlpm.p,IFERROR(INDEX(tblDados[País],MATCH($A885,TRIM(tblDados[Mandante]),0)),INDEX(tblDados[País],MATCH($A885,TRIM(tblDados[Visitante]),0))),_xlpm.l,IFERROR(INDEX(tblDados[Liga],MATCH($A885,TRIM(tblDados[Mandante]),0)),INDEX(tblDados[Liga],MATCH($A885,TRIM(tblDados[Visitante]),0))),_xlpm.p&amp;" - "&amp;_xlpm.l))</f>
        <v/>
      </c>
      <c r="C885" s="14" t="str">
        <f t="shared" si="223"/>
        <v/>
      </c>
      <c r="D885" s="14" t="str">
        <f t="shared" si="224"/>
        <v/>
      </c>
      <c r="E885" s="15" t="str" cm="1">
        <f t="array" ref="E885">IF($A885="","",SUMPRODUCT((TRIM(tblDados[Mandante])=$A885)*tblDados[Primeira_Ocorrencia]))</f>
        <v/>
      </c>
      <c r="F885" s="15" t="str" cm="1">
        <f t="array" ref="F885">IF($A885="","",SUMPRODUCT((TRIM(tblDados[Visitante])=$A885)*tblDados[Primeira_Ocorrencia]))</f>
        <v/>
      </c>
      <c r="G885" s="15" t="str" cm="1">
        <f t="array" ref="G885">IF($A885="","",SUMPRODUCT((TRIM(tblDados[Mandante])=$A885)*tblDados[Primeira_Ocorrencia])+SUMPRODUCT((TRIM(tblDados[Visitante])=$A885)*tblDados[Primeira_Ocorrencia]))</f>
        <v/>
      </c>
      <c r="H885" s="14" t="str">
        <f t="shared" si="225"/>
        <v/>
      </c>
      <c r="I885" s="14" t="str" cm="1">
        <f t="array" ref="I885">IF($A885="","",_xlfn.LET(_xlpm.p,IFERROR(INDEX(tblDados[País],MATCH($A885,TRIM(tblDados[Mandante]),0)),INDEX(tblDados[País],MATCH($A885,TRIM(tblDados[Visitante]),0))),_xlpm.l,IFERROR(INDEX(tblDados[Liga],MATCH($A885,TRIM(tblDados[Mandante]),0)),INDEX(tblDados[Liga],MATCH($A885,TRIM(tblDados[Visitante]),0))),IFERROR(SUMIFS(Ligas!$D$2:$D$39,Ligas!$H$2:$H$39,_xlpm.p,Ligas!$I$2:$I$39,_xlpm.l),0)))</f>
        <v/>
      </c>
      <c r="J885" s="16" t="str" cm="1">
        <f t="array" ref="J885">IF($A885="","",IFERROR((SUMPRODUCT((TRIM(tblDados[Mandante])=$A885)*tblDados[Primeira_Ocorrencia]*(tblDados[GM_M]=0))+SUMPRODUCT((TRIM(tblDados[Visitante])=$A885)*tblDados[Primeira_Ocorrencia]*(tblDados[GM_V]=0)))/G885,0))</f>
        <v/>
      </c>
      <c r="K885" s="16" t="str" cm="1">
        <f t="array" ref="K885">IF($A885="","",IFERROR((SUMPRODUCT((TRIM(tblDados[Mandante])=$A885)*tblDados[Primeira_Ocorrencia]*((tblDados[GM_M]+tblDados[GS_M])&gt;0.5))+SUMPRODUCT((TRIM(tblDados[Visitante])=$A885)*tblDados[Primeira_Ocorrencia]*((tblDados[GM_V]+tblDados[GS_V])&gt;0.5)))/G885,0))</f>
        <v/>
      </c>
      <c r="L885" s="16" t="str" cm="1">
        <f t="array" ref="L885">IF($A885="","",IFERROR((SUMPRODUCT((TRIM(tblDados[Mandante])=$A885)*tblDados[Primeira_Ocorrencia]*((tblDados[GM_M]+tblDados[GS_M])&gt;1.5))+SUMPRODUCT((TRIM(tblDados[Visitante])=$A885)*tblDados[Primeira_Ocorrencia]*((tblDados[GM_V]+tblDados[GS_V])&gt;1.5)))/G885,0))</f>
        <v/>
      </c>
      <c r="M885" s="16" t="str" cm="1">
        <f t="array" ref="M885">IF($A885="","",IFERROR((SUMPRODUCT((TRIM(tblDados[Mandante])=$A885)*tblDados[Primeira_Ocorrencia]*((tblDados[GM_M]+tblDados[GS_M])&gt;2.5))+SUMPRODUCT((TRIM(tblDados[Visitante])=$A885)*tblDados[Primeira_Ocorrencia]*((tblDados[GM_V]+tblDados[GS_V])&gt;2.5)))/G885,0))</f>
        <v/>
      </c>
      <c r="N885" s="16" t="str" cm="1">
        <f t="array" ref="N885">IF($A885="","",IFERROR((SUMPRODUCT((TRIM(tblDados[Mandante])=$A885)*tblDados[Primeira_Ocorrencia]*((tblDados[GM_M]+tblDados[GS_M])&gt;3.5))+SUMPRODUCT((TRIM(tblDados[Visitante])=$A885)*tblDados[Primeira_Ocorrencia]*((tblDados[GM_V]+tblDados[GS_V])&gt;3.5)))/G885,0))</f>
        <v/>
      </c>
      <c r="O885" s="16" t="str" cm="1">
        <f t="array" ref="O885">IF($A885="","",IFERROR((SUMPRODUCT((TRIM(tblDados[Mandante])=$A885)*tblDados[Primeira_Ocorrencia]*(tblDados[GM_M]&gt;0)*(tblDados[GS_M]&gt;0))+SUMPRODUCT((TRIM(tblDados[Visitante])=$A885)*tblDados[Primeira_Ocorrencia]*(tblDados[GM_V]&gt;0)*(tblDados[GS_V]&gt;0)))/G885,0))</f>
        <v/>
      </c>
      <c r="P885" s="14" t="str" cm="1">
        <f t="array" ref="P885">IF($A885="","",IFERROR((SUMPRODUCT((TRIM(tblDados[Mandante])=$A885)*tblDados[Primeira_Ocorrencia]*tblDados[GM_M]^2)+SUMPRODUCT((TRIM(tblDados[Visitante])=$A885)*tblDados[Primeira_Ocorrencia]*tblDados[GM_V]^2))/G885-H885^2,0))</f>
        <v/>
      </c>
      <c r="Q885" s="14" t="str">
        <f t="shared" si="226"/>
        <v/>
      </c>
      <c r="R885" s="1" t="str">
        <f t="shared" si="227"/>
        <v/>
      </c>
      <c r="S885" s="14" t="str" cm="1">
        <f t="array" ref="S885">IF($A885="","",SUMPRODUCT((TRIM(tblDados[Mandante])=$A885)*tblDados[Primeira_Ocorrencia]*tblDados[GM_M]))</f>
        <v/>
      </c>
      <c r="T885" s="14" t="str" cm="1">
        <f t="array" ref="T885">IF($A885="","",SUMPRODUCT((TRIM(tblDados[Visitante])=$A885)*tblDados[Primeira_Ocorrencia]*tblDados[GM_V]))</f>
        <v/>
      </c>
      <c r="U885" s="14" t="str">
        <f t="shared" si="228"/>
        <v/>
      </c>
      <c r="V885" s="14" t="str">
        <f t="shared" si="217"/>
        <v/>
      </c>
      <c r="W885" s="14" t="str" cm="1">
        <f t="array" ref="W885">IF($A885="","",SUMPRODUCT((TRIM(tblDados[Mandante])=$A885)*tblDados[Primeira_Ocorrencia]*tblDados[GS_M]))</f>
        <v/>
      </c>
      <c r="X885" s="14" t="str" cm="1">
        <f t="array" ref="X885">IF($A885="","",SUMPRODUCT((TRIM(tblDados[Visitante])=$A885)*tblDados[Primeira_Ocorrencia]*tblDados[GS_V]))</f>
        <v/>
      </c>
      <c r="Y885" s="14" t="str">
        <f t="shared" si="229"/>
        <v/>
      </c>
      <c r="Z885" s="14" t="str">
        <f t="shared" si="218"/>
        <v/>
      </c>
      <c r="AA885" s="14" t="str">
        <f t="shared" si="219"/>
        <v/>
      </c>
      <c r="AB885" s="14" t="str">
        <f t="shared" si="220"/>
        <v/>
      </c>
      <c r="AC885" s="14" t="str">
        <f t="shared" si="221"/>
        <v/>
      </c>
      <c r="AD885" s="14" t="str">
        <f t="shared" si="222"/>
        <v/>
      </c>
    </row>
    <row r="886" spans="2:30" x14ac:dyDescent="0.3">
      <c r="B886" s="13" t="str" cm="1">
        <f t="array" ref="B886">IF($A886="","",_xlfn.LET(_xlpm.p,IFERROR(INDEX(tblDados[País],MATCH($A886,TRIM(tblDados[Mandante]),0)),INDEX(tblDados[País],MATCH($A886,TRIM(tblDados[Visitante]),0))),_xlpm.l,IFERROR(INDEX(tblDados[Liga],MATCH($A886,TRIM(tblDados[Mandante]),0)),INDEX(tblDados[Liga],MATCH($A886,TRIM(tblDados[Visitante]),0))),_xlpm.p&amp;" - "&amp;_xlpm.l))</f>
        <v/>
      </c>
      <c r="C886" s="14" t="str">
        <f t="shared" si="223"/>
        <v/>
      </c>
      <c r="D886" s="14" t="str">
        <f t="shared" si="224"/>
        <v/>
      </c>
      <c r="E886" s="15" t="str" cm="1">
        <f t="array" ref="E886">IF($A886="","",SUMPRODUCT((TRIM(tblDados[Mandante])=$A886)*tblDados[Primeira_Ocorrencia]))</f>
        <v/>
      </c>
      <c r="F886" s="15" t="str" cm="1">
        <f t="array" ref="F886">IF($A886="","",SUMPRODUCT((TRIM(tblDados[Visitante])=$A886)*tblDados[Primeira_Ocorrencia]))</f>
        <v/>
      </c>
      <c r="G886" s="15" t="str" cm="1">
        <f t="array" ref="G886">IF($A886="","",SUMPRODUCT((TRIM(tblDados[Mandante])=$A886)*tblDados[Primeira_Ocorrencia])+SUMPRODUCT((TRIM(tblDados[Visitante])=$A886)*tblDados[Primeira_Ocorrencia]))</f>
        <v/>
      </c>
      <c r="H886" s="14" t="str">
        <f t="shared" si="225"/>
        <v/>
      </c>
      <c r="I886" s="14" t="str" cm="1">
        <f t="array" ref="I886">IF($A886="","",_xlfn.LET(_xlpm.p,IFERROR(INDEX(tblDados[País],MATCH($A886,TRIM(tblDados[Mandante]),0)),INDEX(tblDados[País],MATCH($A886,TRIM(tblDados[Visitante]),0))),_xlpm.l,IFERROR(INDEX(tblDados[Liga],MATCH($A886,TRIM(tblDados[Mandante]),0)),INDEX(tblDados[Liga],MATCH($A886,TRIM(tblDados[Visitante]),0))),IFERROR(SUMIFS(Ligas!$D$2:$D$39,Ligas!$H$2:$H$39,_xlpm.p,Ligas!$I$2:$I$39,_xlpm.l),0)))</f>
        <v/>
      </c>
      <c r="J886" s="16" t="str" cm="1">
        <f t="array" ref="J886">IF($A886="","",IFERROR((SUMPRODUCT((TRIM(tblDados[Mandante])=$A886)*tblDados[Primeira_Ocorrencia]*(tblDados[GM_M]=0))+SUMPRODUCT((TRIM(tblDados[Visitante])=$A886)*tblDados[Primeira_Ocorrencia]*(tblDados[GM_V]=0)))/G886,0))</f>
        <v/>
      </c>
      <c r="K886" s="16" t="str" cm="1">
        <f t="array" ref="K886">IF($A886="","",IFERROR((SUMPRODUCT((TRIM(tblDados[Mandante])=$A886)*tblDados[Primeira_Ocorrencia]*((tblDados[GM_M]+tblDados[GS_M])&gt;0.5))+SUMPRODUCT((TRIM(tblDados[Visitante])=$A886)*tblDados[Primeira_Ocorrencia]*((tblDados[GM_V]+tblDados[GS_V])&gt;0.5)))/G886,0))</f>
        <v/>
      </c>
      <c r="L886" s="16" t="str" cm="1">
        <f t="array" ref="L886">IF($A886="","",IFERROR((SUMPRODUCT((TRIM(tblDados[Mandante])=$A886)*tblDados[Primeira_Ocorrencia]*((tblDados[GM_M]+tblDados[GS_M])&gt;1.5))+SUMPRODUCT((TRIM(tblDados[Visitante])=$A886)*tblDados[Primeira_Ocorrencia]*((tblDados[GM_V]+tblDados[GS_V])&gt;1.5)))/G886,0))</f>
        <v/>
      </c>
      <c r="M886" s="16" t="str" cm="1">
        <f t="array" ref="M886">IF($A886="","",IFERROR((SUMPRODUCT((TRIM(tblDados[Mandante])=$A886)*tblDados[Primeira_Ocorrencia]*((tblDados[GM_M]+tblDados[GS_M])&gt;2.5))+SUMPRODUCT((TRIM(tblDados[Visitante])=$A886)*tblDados[Primeira_Ocorrencia]*((tblDados[GM_V]+tblDados[GS_V])&gt;2.5)))/G886,0))</f>
        <v/>
      </c>
      <c r="N886" s="16" t="str" cm="1">
        <f t="array" ref="N886">IF($A886="","",IFERROR((SUMPRODUCT((TRIM(tblDados[Mandante])=$A886)*tblDados[Primeira_Ocorrencia]*((tblDados[GM_M]+tblDados[GS_M])&gt;3.5))+SUMPRODUCT((TRIM(tblDados[Visitante])=$A886)*tblDados[Primeira_Ocorrencia]*((tblDados[GM_V]+tblDados[GS_V])&gt;3.5)))/G886,0))</f>
        <v/>
      </c>
      <c r="O886" s="16" t="str" cm="1">
        <f t="array" ref="O886">IF($A886="","",IFERROR((SUMPRODUCT((TRIM(tblDados[Mandante])=$A886)*tblDados[Primeira_Ocorrencia]*(tblDados[GM_M]&gt;0)*(tblDados[GS_M]&gt;0))+SUMPRODUCT((TRIM(tblDados[Visitante])=$A886)*tblDados[Primeira_Ocorrencia]*(tblDados[GM_V]&gt;0)*(tblDados[GS_V]&gt;0)))/G886,0))</f>
        <v/>
      </c>
      <c r="P886" s="14" t="str" cm="1">
        <f t="array" ref="P886">IF($A886="","",IFERROR((SUMPRODUCT((TRIM(tblDados[Mandante])=$A886)*tblDados[Primeira_Ocorrencia]*tblDados[GM_M]^2)+SUMPRODUCT((TRIM(tblDados[Visitante])=$A886)*tblDados[Primeira_Ocorrencia]*tblDados[GM_V]^2))/G886-H886^2,0))</f>
        <v/>
      </c>
      <c r="Q886" s="14" t="str">
        <f t="shared" si="226"/>
        <v/>
      </c>
      <c r="R886" s="1" t="str">
        <f t="shared" si="227"/>
        <v/>
      </c>
      <c r="S886" s="14" t="str" cm="1">
        <f t="array" ref="S886">IF($A886="","",SUMPRODUCT((TRIM(tblDados[Mandante])=$A886)*tblDados[Primeira_Ocorrencia]*tblDados[GM_M]))</f>
        <v/>
      </c>
      <c r="T886" s="14" t="str" cm="1">
        <f t="array" ref="T886">IF($A886="","",SUMPRODUCT((TRIM(tblDados[Visitante])=$A886)*tblDados[Primeira_Ocorrencia]*tblDados[GM_V]))</f>
        <v/>
      </c>
      <c r="U886" s="14" t="str">
        <f t="shared" si="228"/>
        <v/>
      </c>
      <c r="V886" s="14" t="str">
        <f t="shared" si="217"/>
        <v/>
      </c>
      <c r="W886" s="14" t="str" cm="1">
        <f t="array" ref="W886">IF($A886="","",SUMPRODUCT((TRIM(tblDados[Mandante])=$A886)*tblDados[Primeira_Ocorrencia]*tblDados[GS_M]))</f>
        <v/>
      </c>
      <c r="X886" s="14" t="str" cm="1">
        <f t="array" ref="X886">IF($A886="","",SUMPRODUCT((TRIM(tblDados[Visitante])=$A886)*tblDados[Primeira_Ocorrencia]*tblDados[GS_V]))</f>
        <v/>
      </c>
      <c r="Y886" s="14" t="str">
        <f t="shared" si="229"/>
        <v/>
      </c>
      <c r="Z886" s="14" t="str">
        <f t="shared" si="218"/>
        <v/>
      </c>
      <c r="AA886" s="14" t="str">
        <f t="shared" si="219"/>
        <v/>
      </c>
      <c r="AB886" s="14" t="str">
        <f t="shared" si="220"/>
        <v/>
      </c>
      <c r="AC886" s="14" t="str">
        <f t="shared" si="221"/>
        <v/>
      </c>
      <c r="AD886" s="14" t="str">
        <f t="shared" si="222"/>
        <v/>
      </c>
    </row>
    <row r="887" spans="2:30" x14ac:dyDescent="0.3">
      <c r="B887" s="13" t="str" cm="1">
        <f t="array" ref="B887">IF($A887="","",_xlfn.LET(_xlpm.p,IFERROR(INDEX(tblDados[País],MATCH($A887,TRIM(tblDados[Mandante]),0)),INDEX(tblDados[País],MATCH($A887,TRIM(tblDados[Visitante]),0))),_xlpm.l,IFERROR(INDEX(tblDados[Liga],MATCH($A887,TRIM(tblDados[Mandante]),0)),INDEX(tblDados[Liga],MATCH($A887,TRIM(tblDados[Visitante]),0))),_xlpm.p&amp;" - "&amp;_xlpm.l))</f>
        <v/>
      </c>
      <c r="C887" s="14" t="str">
        <f t="shared" si="223"/>
        <v/>
      </c>
      <c r="D887" s="14" t="str">
        <f t="shared" si="224"/>
        <v/>
      </c>
      <c r="E887" s="15" t="str" cm="1">
        <f t="array" ref="E887">IF($A887="","",SUMPRODUCT((TRIM(tblDados[Mandante])=$A887)*tblDados[Primeira_Ocorrencia]))</f>
        <v/>
      </c>
      <c r="F887" s="15" t="str" cm="1">
        <f t="array" ref="F887">IF($A887="","",SUMPRODUCT((TRIM(tblDados[Visitante])=$A887)*tblDados[Primeira_Ocorrencia]))</f>
        <v/>
      </c>
      <c r="G887" s="15" t="str" cm="1">
        <f t="array" ref="G887">IF($A887="","",SUMPRODUCT((TRIM(tblDados[Mandante])=$A887)*tblDados[Primeira_Ocorrencia])+SUMPRODUCT((TRIM(tblDados[Visitante])=$A887)*tblDados[Primeira_Ocorrencia]))</f>
        <v/>
      </c>
      <c r="H887" s="14" t="str">
        <f t="shared" si="225"/>
        <v/>
      </c>
      <c r="I887" s="14" t="str" cm="1">
        <f t="array" ref="I887">IF($A887="","",_xlfn.LET(_xlpm.p,IFERROR(INDEX(tblDados[País],MATCH($A887,TRIM(tblDados[Mandante]),0)),INDEX(tblDados[País],MATCH($A887,TRIM(tblDados[Visitante]),0))),_xlpm.l,IFERROR(INDEX(tblDados[Liga],MATCH($A887,TRIM(tblDados[Mandante]),0)),INDEX(tblDados[Liga],MATCH($A887,TRIM(tblDados[Visitante]),0))),IFERROR(SUMIFS(Ligas!$D$2:$D$39,Ligas!$H$2:$H$39,_xlpm.p,Ligas!$I$2:$I$39,_xlpm.l),0)))</f>
        <v/>
      </c>
      <c r="J887" s="16" t="str" cm="1">
        <f t="array" ref="J887">IF($A887="","",IFERROR((SUMPRODUCT((TRIM(tblDados[Mandante])=$A887)*tblDados[Primeira_Ocorrencia]*(tblDados[GM_M]=0))+SUMPRODUCT((TRIM(tblDados[Visitante])=$A887)*tblDados[Primeira_Ocorrencia]*(tblDados[GM_V]=0)))/G887,0))</f>
        <v/>
      </c>
      <c r="K887" s="16" t="str" cm="1">
        <f t="array" ref="K887">IF($A887="","",IFERROR((SUMPRODUCT((TRIM(tblDados[Mandante])=$A887)*tblDados[Primeira_Ocorrencia]*((tblDados[GM_M]+tblDados[GS_M])&gt;0.5))+SUMPRODUCT((TRIM(tblDados[Visitante])=$A887)*tblDados[Primeira_Ocorrencia]*((tblDados[GM_V]+tblDados[GS_V])&gt;0.5)))/G887,0))</f>
        <v/>
      </c>
      <c r="L887" s="16" t="str" cm="1">
        <f t="array" ref="L887">IF($A887="","",IFERROR((SUMPRODUCT((TRIM(tblDados[Mandante])=$A887)*tblDados[Primeira_Ocorrencia]*((tblDados[GM_M]+tblDados[GS_M])&gt;1.5))+SUMPRODUCT((TRIM(tblDados[Visitante])=$A887)*tblDados[Primeira_Ocorrencia]*((tblDados[GM_V]+tblDados[GS_V])&gt;1.5)))/G887,0))</f>
        <v/>
      </c>
      <c r="M887" s="16" t="str" cm="1">
        <f t="array" ref="M887">IF($A887="","",IFERROR((SUMPRODUCT((TRIM(tblDados[Mandante])=$A887)*tblDados[Primeira_Ocorrencia]*((tblDados[GM_M]+tblDados[GS_M])&gt;2.5))+SUMPRODUCT((TRIM(tblDados[Visitante])=$A887)*tblDados[Primeira_Ocorrencia]*((tblDados[GM_V]+tblDados[GS_V])&gt;2.5)))/G887,0))</f>
        <v/>
      </c>
      <c r="N887" s="16" t="str" cm="1">
        <f t="array" ref="N887">IF($A887="","",IFERROR((SUMPRODUCT((TRIM(tblDados[Mandante])=$A887)*tblDados[Primeira_Ocorrencia]*((tblDados[GM_M]+tblDados[GS_M])&gt;3.5))+SUMPRODUCT((TRIM(tblDados[Visitante])=$A887)*tblDados[Primeira_Ocorrencia]*((tblDados[GM_V]+tblDados[GS_V])&gt;3.5)))/G887,0))</f>
        <v/>
      </c>
      <c r="O887" s="16" t="str" cm="1">
        <f t="array" ref="O887">IF($A887="","",IFERROR((SUMPRODUCT((TRIM(tblDados[Mandante])=$A887)*tblDados[Primeira_Ocorrencia]*(tblDados[GM_M]&gt;0)*(tblDados[GS_M]&gt;0))+SUMPRODUCT((TRIM(tblDados[Visitante])=$A887)*tblDados[Primeira_Ocorrencia]*(tblDados[GM_V]&gt;0)*(tblDados[GS_V]&gt;0)))/G887,0))</f>
        <v/>
      </c>
      <c r="P887" s="14" t="str" cm="1">
        <f t="array" ref="P887">IF($A887="","",IFERROR((SUMPRODUCT((TRIM(tblDados[Mandante])=$A887)*tblDados[Primeira_Ocorrencia]*tblDados[GM_M]^2)+SUMPRODUCT((TRIM(tblDados[Visitante])=$A887)*tblDados[Primeira_Ocorrencia]*tblDados[GM_V]^2))/G887-H887^2,0))</f>
        <v/>
      </c>
      <c r="Q887" s="14" t="str">
        <f t="shared" si="226"/>
        <v/>
      </c>
      <c r="R887" s="1" t="str">
        <f t="shared" si="227"/>
        <v/>
      </c>
      <c r="S887" s="14" t="str" cm="1">
        <f t="array" ref="S887">IF($A887="","",SUMPRODUCT((TRIM(tblDados[Mandante])=$A887)*tblDados[Primeira_Ocorrencia]*tblDados[GM_M]))</f>
        <v/>
      </c>
      <c r="T887" s="14" t="str" cm="1">
        <f t="array" ref="T887">IF($A887="","",SUMPRODUCT((TRIM(tblDados[Visitante])=$A887)*tblDados[Primeira_Ocorrencia]*tblDados[GM_V]))</f>
        <v/>
      </c>
      <c r="U887" s="14" t="str">
        <f t="shared" si="228"/>
        <v/>
      </c>
      <c r="V887" s="14" t="str">
        <f t="shared" si="217"/>
        <v/>
      </c>
      <c r="W887" s="14" t="str" cm="1">
        <f t="array" ref="W887">IF($A887="","",SUMPRODUCT((TRIM(tblDados[Mandante])=$A887)*tblDados[Primeira_Ocorrencia]*tblDados[GS_M]))</f>
        <v/>
      </c>
      <c r="X887" s="14" t="str" cm="1">
        <f t="array" ref="X887">IF($A887="","",SUMPRODUCT((TRIM(tblDados[Visitante])=$A887)*tblDados[Primeira_Ocorrencia]*tblDados[GS_V]))</f>
        <v/>
      </c>
      <c r="Y887" s="14" t="str">
        <f t="shared" si="229"/>
        <v/>
      </c>
      <c r="Z887" s="14" t="str">
        <f t="shared" si="218"/>
        <v/>
      </c>
      <c r="AA887" s="14" t="str">
        <f t="shared" si="219"/>
        <v/>
      </c>
      <c r="AB887" s="14" t="str">
        <f t="shared" si="220"/>
        <v/>
      </c>
      <c r="AC887" s="14" t="str">
        <f t="shared" si="221"/>
        <v/>
      </c>
      <c r="AD887" s="14" t="str">
        <f t="shared" si="222"/>
        <v/>
      </c>
    </row>
    <row r="888" spans="2:30" x14ac:dyDescent="0.3">
      <c r="B888" s="13" t="str" cm="1">
        <f t="array" ref="B888">IF($A888="","",_xlfn.LET(_xlpm.p,IFERROR(INDEX(tblDados[País],MATCH($A888,TRIM(tblDados[Mandante]),0)),INDEX(tblDados[País],MATCH($A888,TRIM(tblDados[Visitante]),0))),_xlpm.l,IFERROR(INDEX(tblDados[Liga],MATCH($A888,TRIM(tblDados[Mandante]),0)),INDEX(tblDados[Liga],MATCH($A888,TRIM(tblDados[Visitante]),0))),_xlpm.p&amp;" - "&amp;_xlpm.l))</f>
        <v/>
      </c>
      <c r="C888" s="14" t="str">
        <f t="shared" si="223"/>
        <v/>
      </c>
      <c r="D888" s="14" t="str">
        <f t="shared" si="224"/>
        <v/>
      </c>
      <c r="E888" s="15" t="str" cm="1">
        <f t="array" ref="E888">IF($A888="","",SUMPRODUCT((TRIM(tblDados[Mandante])=$A888)*tblDados[Primeira_Ocorrencia]))</f>
        <v/>
      </c>
      <c r="F888" s="15" t="str" cm="1">
        <f t="array" ref="F888">IF($A888="","",SUMPRODUCT((TRIM(tblDados[Visitante])=$A888)*tblDados[Primeira_Ocorrencia]))</f>
        <v/>
      </c>
      <c r="G888" s="15" t="str" cm="1">
        <f t="array" ref="G888">IF($A888="","",SUMPRODUCT((TRIM(tblDados[Mandante])=$A888)*tblDados[Primeira_Ocorrencia])+SUMPRODUCT((TRIM(tblDados[Visitante])=$A888)*tblDados[Primeira_Ocorrencia]))</f>
        <v/>
      </c>
      <c r="H888" s="14" t="str">
        <f t="shared" si="225"/>
        <v/>
      </c>
      <c r="I888" s="14" t="str" cm="1">
        <f t="array" ref="I888">IF($A888="","",_xlfn.LET(_xlpm.p,IFERROR(INDEX(tblDados[País],MATCH($A888,TRIM(tblDados[Mandante]),0)),INDEX(tblDados[País],MATCH($A888,TRIM(tblDados[Visitante]),0))),_xlpm.l,IFERROR(INDEX(tblDados[Liga],MATCH($A888,TRIM(tblDados[Mandante]),0)),INDEX(tblDados[Liga],MATCH($A888,TRIM(tblDados[Visitante]),0))),IFERROR(SUMIFS(Ligas!$D$2:$D$39,Ligas!$H$2:$H$39,_xlpm.p,Ligas!$I$2:$I$39,_xlpm.l),0)))</f>
        <v/>
      </c>
      <c r="J888" s="16" t="str" cm="1">
        <f t="array" ref="J888">IF($A888="","",IFERROR((SUMPRODUCT((TRIM(tblDados[Mandante])=$A888)*tblDados[Primeira_Ocorrencia]*(tblDados[GM_M]=0))+SUMPRODUCT((TRIM(tblDados[Visitante])=$A888)*tblDados[Primeira_Ocorrencia]*(tblDados[GM_V]=0)))/G888,0))</f>
        <v/>
      </c>
      <c r="K888" s="16" t="str" cm="1">
        <f t="array" ref="K888">IF($A888="","",IFERROR((SUMPRODUCT((TRIM(tblDados[Mandante])=$A888)*tblDados[Primeira_Ocorrencia]*((tblDados[GM_M]+tblDados[GS_M])&gt;0.5))+SUMPRODUCT((TRIM(tblDados[Visitante])=$A888)*tblDados[Primeira_Ocorrencia]*((tblDados[GM_V]+tblDados[GS_V])&gt;0.5)))/G888,0))</f>
        <v/>
      </c>
      <c r="L888" s="16" t="str" cm="1">
        <f t="array" ref="L888">IF($A888="","",IFERROR((SUMPRODUCT((TRIM(tblDados[Mandante])=$A888)*tblDados[Primeira_Ocorrencia]*((tblDados[GM_M]+tblDados[GS_M])&gt;1.5))+SUMPRODUCT((TRIM(tblDados[Visitante])=$A888)*tblDados[Primeira_Ocorrencia]*((tblDados[GM_V]+tblDados[GS_V])&gt;1.5)))/G888,0))</f>
        <v/>
      </c>
      <c r="M888" s="16" t="str" cm="1">
        <f t="array" ref="M888">IF($A888="","",IFERROR((SUMPRODUCT((TRIM(tblDados[Mandante])=$A888)*tblDados[Primeira_Ocorrencia]*((tblDados[GM_M]+tblDados[GS_M])&gt;2.5))+SUMPRODUCT((TRIM(tblDados[Visitante])=$A888)*tblDados[Primeira_Ocorrencia]*((tblDados[GM_V]+tblDados[GS_V])&gt;2.5)))/G888,0))</f>
        <v/>
      </c>
      <c r="N888" s="16" t="str" cm="1">
        <f t="array" ref="N888">IF($A888="","",IFERROR((SUMPRODUCT((TRIM(tblDados[Mandante])=$A888)*tblDados[Primeira_Ocorrencia]*((tblDados[GM_M]+tblDados[GS_M])&gt;3.5))+SUMPRODUCT((TRIM(tblDados[Visitante])=$A888)*tblDados[Primeira_Ocorrencia]*((tblDados[GM_V]+tblDados[GS_V])&gt;3.5)))/G888,0))</f>
        <v/>
      </c>
      <c r="O888" s="16" t="str" cm="1">
        <f t="array" ref="O888">IF($A888="","",IFERROR((SUMPRODUCT((TRIM(tblDados[Mandante])=$A888)*tblDados[Primeira_Ocorrencia]*(tblDados[GM_M]&gt;0)*(tblDados[GS_M]&gt;0))+SUMPRODUCT((TRIM(tblDados[Visitante])=$A888)*tblDados[Primeira_Ocorrencia]*(tblDados[GM_V]&gt;0)*(tblDados[GS_V]&gt;0)))/G888,0))</f>
        <v/>
      </c>
      <c r="P888" s="14" t="str" cm="1">
        <f t="array" ref="P888">IF($A888="","",IFERROR((SUMPRODUCT((TRIM(tblDados[Mandante])=$A888)*tblDados[Primeira_Ocorrencia]*tblDados[GM_M]^2)+SUMPRODUCT((TRIM(tblDados[Visitante])=$A888)*tblDados[Primeira_Ocorrencia]*tblDados[GM_V]^2))/G888-H888^2,0))</f>
        <v/>
      </c>
      <c r="Q888" s="14" t="str">
        <f t="shared" si="226"/>
        <v/>
      </c>
      <c r="R888" s="1" t="str">
        <f t="shared" si="227"/>
        <v/>
      </c>
      <c r="S888" s="14" t="str" cm="1">
        <f t="array" ref="S888">IF($A888="","",SUMPRODUCT((TRIM(tblDados[Mandante])=$A888)*tblDados[Primeira_Ocorrencia]*tblDados[GM_M]))</f>
        <v/>
      </c>
      <c r="T888" s="14" t="str" cm="1">
        <f t="array" ref="T888">IF($A888="","",SUMPRODUCT((TRIM(tblDados[Visitante])=$A888)*tblDados[Primeira_Ocorrencia]*tblDados[GM_V]))</f>
        <v/>
      </c>
      <c r="U888" s="14" t="str">
        <f t="shared" si="228"/>
        <v/>
      </c>
      <c r="V888" s="14" t="str">
        <f t="shared" si="217"/>
        <v/>
      </c>
      <c r="W888" s="14" t="str" cm="1">
        <f t="array" ref="W888">IF($A888="","",SUMPRODUCT((TRIM(tblDados[Mandante])=$A888)*tblDados[Primeira_Ocorrencia]*tblDados[GS_M]))</f>
        <v/>
      </c>
      <c r="X888" s="14" t="str" cm="1">
        <f t="array" ref="X888">IF($A888="","",SUMPRODUCT((TRIM(tblDados[Visitante])=$A888)*tblDados[Primeira_Ocorrencia]*tblDados[GS_V]))</f>
        <v/>
      </c>
      <c r="Y888" s="14" t="str">
        <f t="shared" si="229"/>
        <v/>
      </c>
      <c r="Z888" s="14" t="str">
        <f t="shared" si="218"/>
        <v/>
      </c>
      <c r="AA888" s="14" t="str">
        <f t="shared" si="219"/>
        <v/>
      </c>
      <c r="AB888" s="14" t="str">
        <f t="shared" si="220"/>
        <v/>
      </c>
      <c r="AC888" s="14" t="str">
        <f t="shared" si="221"/>
        <v/>
      </c>
      <c r="AD888" s="14" t="str">
        <f t="shared" si="222"/>
        <v/>
      </c>
    </row>
    <row r="889" spans="2:30" x14ac:dyDescent="0.3">
      <c r="B889" s="13" t="str" cm="1">
        <f t="array" ref="B889">IF($A889="","",_xlfn.LET(_xlpm.p,IFERROR(INDEX(tblDados[País],MATCH($A889,TRIM(tblDados[Mandante]),0)),INDEX(tblDados[País],MATCH($A889,TRIM(tblDados[Visitante]),0))),_xlpm.l,IFERROR(INDEX(tblDados[Liga],MATCH($A889,TRIM(tblDados[Mandante]),0)),INDEX(tblDados[Liga],MATCH($A889,TRIM(tblDados[Visitante]),0))),_xlpm.p&amp;" - "&amp;_xlpm.l))</f>
        <v/>
      </c>
      <c r="C889" s="14" t="str">
        <f t="shared" si="223"/>
        <v/>
      </c>
      <c r="D889" s="14" t="str">
        <f t="shared" si="224"/>
        <v/>
      </c>
      <c r="E889" s="15" t="str" cm="1">
        <f t="array" ref="E889">IF($A889="","",SUMPRODUCT((TRIM(tblDados[Mandante])=$A889)*tblDados[Primeira_Ocorrencia]))</f>
        <v/>
      </c>
      <c r="F889" s="15" t="str" cm="1">
        <f t="array" ref="F889">IF($A889="","",SUMPRODUCT((TRIM(tblDados[Visitante])=$A889)*tblDados[Primeira_Ocorrencia]))</f>
        <v/>
      </c>
      <c r="G889" s="15" t="str" cm="1">
        <f t="array" ref="G889">IF($A889="","",SUMPRODUCT((TRIM(tblDados[Mandante])=$A889)*tblDados[Primeira_Ocorrencia])+SUMPRODUCT((TRIM(tblDados[Visitante])=$A889)*tblDados[Primeira_Ocorrencia]))</f>
        <v/>
      </c>
      <c r="H889" s="14" t="str">
        <f t="shared" si="225"/>
        <v/>
      </c>
      <c r="I889" s="14" t="str" cm="1">
        <f t="array" ref="I889">IF($A889="","",_xlfn.LET(_xlpm.p,IFERROR(INDEX(tblDados[País],MATCH($A889,TRIM(tblDados[Mandante]),0)),INDEX(tblDados[País],MATCH($A889,TRIM(tblDados[Visitante]),0))),_xlpm.l,IFERROR(INDEX(tblDados[Liga],MATCH($A889,TRIM(tblDados[Mandante]),0)),INDEX(tblDados[Liga],MATCH($A889,TRIM(tblDados[Visitante]),0))),IFERROR(SUMIFS(Ligas!$D$2:$D$39,Ligas!$H$2:$H$39,_xlpm.p,Ligas!$I$2:$I$39,_xlpm.l),0)))</f>
        <v/>
      </c>
      <c r="J889" s="16" t="str" cm="1">
        <f t="array" ref="J889">IF($A889="","",IFERROR((SUMPRODUCT((TRIM(tblDados[Mandante])=$A889)*tblDados[Primeira_Ocorrencia]*(tblDados[GM_M]=0))+SUMPRODUCT((TRIM(tblDados[Visitante])=$A889)*tblDados[Primeira_Ocorrencia]*(tblDados[GM_V]=0)))/G889,0))</f>
        <v/>
      </c>
      <c r="K889" s="16" t="str" cm="1">
        <f t="array" ref="K889">IF($A889="","",IFERROR((SUMPRODUCT((TRIM(tblDados[Mandante])=$A889)*tblDados[Primeira_Ocorrencia]*((tblDados[GM_M]+tblDados[GS_M])&gt;0.5))+SUMPRODUCT((TRIM(tblDados[Visitante])=$A889)*tblDados[Primeira_Ocorrencia]*((tblDados[GM_V]+tblDados[GS_V])&gt;0.5)))/G889,0))</f>
        <v/>
      </c>
      <c r="L889" s="16" t="str" cm="1">
        <f t="array" ref="L889">IF($A889="","",IFERROR((SUMPRODUCT((TRIM(tblDados[Mandante])=$A889)*tblDados[Primeira_Ocorrencia]*((tblDados[GM_M]+tblDados[GS_M])&gt;1.5))+SUMPRODUCT((TRIM(tblDados[Visitante])=$A889)*tblDados[Primeira_Ocorrencia]*((tblDados[GM_V]+tblDados[GS_V])&gt;1.5)))/G889,0))</f>
        <v/>
      </c>
      <c r="M889" s="16" t="str" cm="1">
        <f t="array" ref="M889">IF($A889="","",IFERROR((SUMPRODUCT((TRIM(tblDados[Mandante])=$A889)*tblDados[Primeira_Ocorrencia]*((tblDados[GM_M]+tblDados[GS_M])&gt;2.5))+SUMPRODUCT((TRIM(tblDados[Visitante])=$A889)*tblDados[Primeira_Ocorrencia]*((tblDados[GM_V]+tblDados[GS_V])&gt;2.5)))/G889,0))</f>
        <v/>
      </c>
      <c r="N889" s="16" t="str" cm="1">
        <f t="array" ref="N889">IF($A889="","",IFERROR((SUMPRODUCT((TRIM(tblDados[Mandante])=$A889)*tblDados[Primeira_Ocorrencia]*((tblDados[GM_M]+tblDados[GS_M])&gt;3.5))+SUMPRODUCT((TRIM(tblDados[Visitante])=$A889)*tblDados[Primeira_Ocorrencia]*((tblDados[GM_V]+tblDados[GS_V])&gt;3.5)))/G889,0))</f>
        <v/>
      </c>
      <c r="O889" s="16" t="str" cm="1">
        <f t="array" ref="O889">IF($A889="","",IFERROR((SUMPRODUCT((TRIM(tblDados[Mandante])=$A889)*tblDados[Primeira_Ocorrencia]*(tblDados[GM_M]&gt;0)*(tblDados[GS_M]&gt;0))+SUMPRODUCT((TRIM(tblDados[Visitante])=$A889)*tblDados[Primeira_Ocorrencia]*(tblDados[GM_V]&gt;0)*(tblDados[GS_V]&gt;0)))/G889,0))</f>
        <v/>
      </c>
      <c r="P889" s="14" t="str" cm="1">
        <f t="array" ref="P889">IF($A889="","",IFERROR((SUMPRODUCT((TRIM(tblDados[Mandante])=$A889)*tblDados[Primeira_Ocorrencia]*tblDados[GM_M]^2)+SUMPRODUCT((TRIM(tblDados[Visitante])=$A889)*tblDados[Primeira_Ocorrencia]*tblDados[GM_V]^2))/G889-H889^2,0))</f>
        <v/>
      </c>
      <c r="Q889" s="14" t="str">
        <f t="shared" si="226"/>
        <v/>
      </c>
      <c r="R889" s="1" t="str">
        <f t="shared" si="227"/>
        <v/>
      </c>
      <c r="S889" s="14" t="str" cm="1">
        <f t="array" ref="S889">IF($A889="","",SUMPRODUCT((TRIM(tblDados[Mandante])=$A889)*tblDados[Primeira_Ocorrencia]*tblDados[GM_M]))</f>
        <v/>
      </c>
      <c r="T889" s="14" t="str" cm="1">
        <f t="array" ref="T889">IF($A889="","",SUMPRODUCT((TRIM(tblDados[Visitante])=$A889)*tblDados[Primeira_Ocorrencia]*tblDados[GM_V]))</f>
        <v/>
      </c>
      <c r="U889" s="14" t="str">
        <f t="shared" si="228"/>
        <v/>
      </c>
      <c r="V889" s="14" t="str">
        <f t="shared" si="217"/>
        <v/>
      </c>
      <c r="W889" s="14" t="str" cm="1">
        <f t="array" ref="W889">IF($A889="","",SUMPRODUCT((TRIM(tblDados[Mandante])=$A889)*tblDados[Primeira_Ocorrencia]*tblDados[GS_M]))</f>
        <v/>
      </c>
      <c r="X889" s="14" t="str" cm="1">
        <f t="array" ref="X889">IF($A889="","",SUMPRODUCT((TRIM(tblDados[Visitante])=$A889)*tblDados[Primeira_Ocorrencia]*tblDados[GS_V]))</f>
        <v/>
      </c>
      <c r="Y889" s="14" t="str">
        <f t="shared" si="229"/>
        <v/>
      </c>
      <c r="Z889" s="14" t="str">
        <f t="shared" si="218"/>
        <v/>
      </c>
      <c r="AA889" s="14" t="str">
        <f t="shared" si="219"/>
        <v/>
      </c>
      <c r="AB889" s="14" t="str">
        <f t="shared" si="220"/>
        <v/>
      </c>
      <c r="AC889" s="14" t="str">
        <f t="shared" si="221"/>
        <v/>
      </c>
      <c r="AD889" s="14" t="str">
        <f t="shared" si="222"/>
        <v/>
      </c>
    </row>
    <row r="890" spans="2:30" x14ac:dyDescent="0.3">
      <c r="B890" s="13" t="str" cm="1">
        <f t="array" ref="B890">IF($A890="","",_xlfn.LET(_xlpm.p,IFERROR(INDEX(tblDados[País],MATCH($A890,TRIM(tblDados[Mandante]),0)),INDEX(tblDados[País],MATCH($A890,TRIM(tblDados[Visitante]),0))),_xlpm.l,IFERROR(INDEX(tblDados[Liga],MATCH($A890,TRIM(tblDados[Mandante]),0)),INDEX(tblDados[Liga],MATCH($A890,TRIM(tblDados[Visitante]),0))),_xlpm.p&amp;" - "&amp;_xlpm.l))</f>
        <v/>
      </c>
      <c r="C890" s="14" t="str">
        <f t="shared" si="223"/>
        <v/>
      </c>
      <c r="D890" s="14" t="str">
        <f t="shared" si="224"/>
        <v/>
      </c>
      <c r="E890" s="15" t="str" cm="1">
        <f t="array" ref="E890">IF($A890="","",SUMPRODUCT((TRIM(tblDados[Mandante])=$A890)*tblDados[Primeira_Ocorrencia]))</f>
        <v/>
      </c>
      <c r="F890" s="15" t="str" cm="1">
        <f t="array" ref="F890">IF($A890="","",SUMPRODUCT((TRIM(tblDados[Visitante])=$A890)*tblDados[Primeira_Ocorrencia]))</f>
        <v/>
      </c>
      <c r="G890" s="15" t="str" cm="1">
        <f t="array" ref="G890">IF($A890="","",SUMPRODUCT((TRIM(tblDados[Mandante])=$A890)*tblDados[Primeira_Ocorrencia])+SUMPRODUCT((TRIM(tblDados[Visitante])=$A890)*tblDados[Primeira_Ocorrencia]))</f>
        <v/>
      </c>
      <c r="H890" s="14" t="str">
        <f t="shared" si="225"/>
        <v/>
      </c>
      <c r="I890" s="14" t="str" cm="1">
        <f t="array" ref="I890">IF($A890="","",_xlfn.LET(_xlpm.p,IFERROR(INDEX(tblDados[País],MATCH($A890,TRIM(tblDados[Mandante]),0)),INDEX(tblDados[País],MATCH($A890,TRIM(tblDados[Visitante]),0))),_xlpm.l,IFERROR(INDEX(tblDados[Liga],MATCH($A890,TRIM(tblDados[Mandante]),0)),INDEX(tblDados[Liga],MATCH($A890,TRIM(tblDados[Visitante]),0))),IFERROR(SUMIFS(Ligas!$D$2:$D$39,Ligas!$H$2:$H$39,_xlpm.p,Ligas!$I$2:$I$39,_xlpm.l),0)))</f>
        <v/>
      </c>
      <c r="J890" s="16" t="str" cm="1">
        <f t="array" ref="J890">IF($A890="","",IFERROR((SUMPRODUCT((TRIM(tblDados[Mandante])=$A890)*tblDados[Primeira_Ocorrencia]*(tblDados[GM_M]=0))+SUMPRODUCT((TRIM(tblDados[Visitante])=$A890)*tblDados[Primeira_Ocorrencia]*(tblDados[GM_V]=0)))/G890,0))</f>
        <v/>
      </c>
      <c r="K890" s="16" t="str" cm="1">
        <f t="array" ref="K890">IF($A890="","",IFERROR((SUMPRODUCT((TRIM(tblDados[Mandante])=$A890)*tblDados[Primeira_Ocorrencia]*((tblDados[GM_M]+tblDados[GS_M])&gt;0.5))+SUMPRODUCT((TRIM(tblDados[Visitante])=$A890)*tblDados[Primeira_Ocorrencia]*((tblDados[GM_V]+tblDados[GS_V])&gt;0.5)))/G890,0))</f>
        <v/>
      </c>
      <c r="L890" s="16" t="str" cm="1">
        <f t="array" ref="L890">IF($A890="","",IFERROR((SUMPRODUCT((TRIM(tblDados[Mandante])=$A890)*tblDados[Primeira_Ocorrencia]*((tblDados[GM_M]+tblDados[GS_M])&gt;1.5))+SUMPRODUCT((TRIM(tblDados[Visitante])=$A890)*tblDados[Primeira_Ocorrencia]*((tblDados[GM_V]+tblDados[GS_V])&gt;1.5)))/G890,0))</f>
        <v/>
      </c>
      <c r="M890" s="16" t="str" cm="1">
        <f t="array" ref="M890">IF($A890="","",IFERROR((SUMPRODUCT((TRIM(tblDados[Mandante])=$A890)*tblDados[Primeira_Ocorrencia]*((tblDados[GM_M]+tblDados[GS_M])&gt;2.5))+SUMPRODUCT((TRIM(tblDados[Visitante])=$A890)*tblDados[Primeira_Ocorrencia]*((tblDados[GM_V]+tblDados[GS_V])&gt;2.5)))/G890,0))</f>
        <v/>
      </c>
      <c r="N890" s="16" t="str" cm="1">
        <f t="array" ref="N890">IF($A890="","",IFERROR((SUMPRODUCT((TRIM(tblDados[Mandante])=$A890)*tblDados[Primeira_Ocorrencia]*((tblDados[GM_M]+tblDados[GS_M])&gt;3.5))+SUMPRODUCT((TRIM(tblDados[Visitante])=$A890)*tblDados[Primeira_Ocorrencia]*((tblDados[GM_V]+tblDados[GS_V])&gt;3.5)))/G890,0))</f>
        <v/>
      </c>
      <c r="O890" s="16" t="str" cm="1">
        <f t="array" ref="O890">IF($A890="","",IFERROR((SUMPRODUCT((TRIM(tblDados[Mandante])=$A890)*tblDados[Primeira_Ocorrencia]*(tblDados[GM_M]&gt;0)*(tblDados[GS_M]&gt;0))+SUMPRODUCT((TRIM(tblDados[Visitante])=$A890)*tblDados[Primeira_Ocorrencia]*(tblDados[GM_V]&gt;0)*(tblDados[GS_V]&gt;0)))/G890,0))</f>
        <v/>
      </c>
      <c r="P890" s="14" t="str" cm="1">
        <f t="array" ref="P890">IF($A890="","",IFERROR((SUMPRODUCT((TRIM(tblDados[Mandante])=$A890)*tblDados[Primeira_Ocorrencia]*tblDados[GM_M]^2)+SUMPRODUCT((TRIM(tblDados[Visitante])=$A890)*tblDados[Primeira_Ocorrencia]*tblDados[GM_V]^2))/G890-H890^2,0))</f>
        <v/>
      </c>
      <c r="Q890" s="14" t="str">
        <f t="shared" si="226"/>
        <v/>
      </c>
      <c r="R890" s="1" t="str">
        <f t="shared" si="227"/>
        <v/>
      </c>
      <c r="S890" s="14" t="str" cm="1">
        <f t="array" ref="S890">IF($A890="","",SUMPRODUCT((TRIM(tblDados[Mandante])=$A890)*tblDados[Primeira_Ocorrencia]*tblDados[GM_M]))</f>
        <v/>
      </c>
      <c r="T890" s="14" t="str" cm="1">
        <f t="array" ref="T890">IF($A890="","",SUMPRODUCT((TRIM(tblDados[Visitante])=$A890)*tblDados[Primeira_Ocorrencia]*tblDados[GM_V]))</f>
        <v/>
      </c>
      <c r="U890" s="14" t="str">
        <f t="shared" si="228"/>
        <v/>
      </c>
      <c r="V890" s="14" t="str">
        <f t="shared" si="217"/>
        <v/>
      </c>
      <c r="W890" s="14" t="str" cm="1">
        <f t="array" ref="W890">IF($A890="","",SUMPRODUCT((TRIM(tblDados[Mandante])=$A890)*tblDados[Primeira_Ocorrencia]*tblDados[GS_M]))</f>
        <v/>
      </c>
      <c r="X890" s="14" t="str" cm="1">
        <f t="array" ref="X890">IF($A890="","",SUMPRODUCT((TRIM(tblDados[Visitante])=$A890)*tblDados[Primeira_Ocorrencia]*tblDados[GS_V]))</f>
        <v/>
      </c>
      <c r="Y890" s="14" t="str">
        <f t="shared" si="229"/>
        <v/>
      </c>
      <c r="Z890" s="14" t="str">
        <f t="shared" si="218"/>
        <v/>
      </c>
      <c r="AA890" s="14" t="str">
        <f t="shared" si="219"/>
        <v/>
      </c>
      <c r="AB890" s="14" t="str">
        <f t="shared" si="220"/>
        <v/>
      </c>
      <c r="AC890" s="14" t="str">
        <f t="shared" si="221"/>
        <v/>
      </c>
      <c r="AD890" s="14" t="str">
        <f t="shared" si="222"/>
        <v/>
      </c>
    </row>
    <row r="891" spans="2:30" x14ac:dyDescent="0.3">
      <c r="B891" s="13" t="str" cm="1">
        <f t="array" ref="B891">IF($A891="","",_xlfn.LET(_xlpm.p,IFERROR(INDEX(tblDados[País],MATCH($A891,TRIM(tblDados[Mandante]),0)),INDEX(tblDados[País],MATCH($A891,TRIM(tblDados[Visitante]),0))),_xlpm.l,IFERROR(INDEX(tblDados[Liga],MATCH($A891,TRIM(tblDados[Mandante]),0)),INDEX(tblDados[Liga],MATCH($A891,TRIM(tblDados[Visitante]),0))),_xlpm.p&amp;" - "&amp;_xlpm.l))</f>
        <v/>
      </c>
      <c r="C891" s="14" t="str">
        <f t="shared" si="223"/>
        <v/>
      </c>
      <c r="D891" s="14" t="str">
        <f t="shared" si="224"/>
        <v/>
      </c>
      <c r="E891" s="15" t="str" cm="1">
        <f t="array" ref="E891">IF($A891="","",SUMPRODUCT((TRIM(tblDados[Mandante])=$A891)*tblDados[Primeira_Ocorrencia]))</f>
        <v/>
      </c>
      <c r="F891" s="15" t="str" cm="1">
        <f t="array" ref="F891">IF($A891="","",SUMPRODUCT((TRIM(tblDados[Visitante])=$A891)*tblDados[Primeira_Ocorrencia]))</f>
        <v/>
      </c>
      <c r="G891" s="15" t="str" cm="1">
        <f t="array" ref="G891">IF($A891="","",SUMPRODUCT((TRIM(tblDados[Mandante])=$A891)*tblDados[Primeira_Ocorrencia])+SUMPRODUCT((TRIM(tblDados[Visitante])=$A891)*tblDados[Primeira_Ocorrencia]))</f>
        <v/>
      </c>
      <c r="H891" s="14" t="str">
        <f t="shared" si="225"/>
        <v/>
      </c>
      <c r="I891" s="14" t="str" cm="1">
        <f t="array" ref="I891">IF($A891="","",_xlfn.LET(_xlpm.p,IFERROR(INDEX(tblDados[País],MATCH($A891,TRIM(tblDados[Mandante]),0)),INDEX(tblDados[País],MATCH($A891,TRIM(tblDados[Visitante]),0))),_xlpm.l,IFERROR(INDEX(tblDados[Liga],MATCH($A891,TRIM(tblDados[Mandante]),0)),INDEX(tblDados[Liga],MATCH($A891,TRIM(tblDados[Visitante]),0))),IFERROR(SUMIFS(Ligas!$D$2:$D$39,Ligas!$H$2:$H$39,_xlpm.p,Ligas!$I$2:$I$39,_xlpm.l),0)))</f>
        <v/>
      </c>
      <c r="J891" s="16" t="str" cm="1">
        <f t="array" ref="J891">IF($A891="","",IFERROR((SUMPRODUCT((TRIM(tblDados[Mandante])=$A891)*tblDados[Primeira_Ocorrencia]*(tblDados[GM_M]=0))+SUMPRODUCT((TRIM(tblDados[Visitante])=$A891)*tblDados[Primeira_Ocorrencia]*(tblDados[GM_V]=0)))/G891,0))</f>
        <v/>
      </c>
      <c r="K891" s="16" t="str" cm="1">
        <f t="array" ref="K891">IF($A891="","",IFERROR((SUMPRODUCT((TRIM(tblDados[Mandante])=$A891)*tblDados[Primeira_Ocorrencia]*((tblDados[GM_M]+tblDados[GS_M])&gt;0.5))+SUMPRODUCT((TRIM(tblDados[Visitante])=$A891)*tblDados[Primeira_Ocorrencia]*((tblDados[GM_V]+tblDados[GS_V])&gt;0.5)))/G891,0))</f>
        <v/>
      </c>
      <c r="L891" s="16" t="str" cm="1">
        <f t="array" ref="L891">IF($A891="","",IFERROR((SUMPRODUCT((TRIM(tblDados[Mandante])=$A891)*tblDados[Primeira_Ocorrencia]*((tblDados[GM_M]+tblDados[GS_M])&gt;1.5))+SUMPRODUCT((TRIM(tblDados[Visitante])=$A891)*tblDados[Primeira_Ocorrencia]*((tblDados[GM_V]+tblDados[GS_V])&gt;1.5)))/G891,0))</f>
        <v/>
      </c>
      <c r="M891" s="16" t="str" cm="1">
        <f t="array" ref="M891">IF($A891="","",IFERROR((SUMPRODUCT((TRIM(tblDados[Mandante])=$A891)*tblDados[Primeira_Ocorrencia]*((tblDados[GM_M]+tblDados[GS_M])&gt;2.5))+SUMPRODUCT((TRIM(tblDados[Visitante])=$A891)*tblDados[Primeira_Ocorrencia]*((tblDados[GM_V]+tblDados[GS_V])&gt;2.5)))/G891,0))</f>
        <v/>
      </c>
      <c r="N891" s="16" t="str" cm="1">
        <f t="array" ref="N891">IF($A891="","",IFERROR((SUMPRODUCT((TRIM(tblDados[Mandante])=$A891)*tblDados[Primeira_Ocorrencia]*((tblDados[GM_M]+tblDados[GS_M])&gt;3.5))+SUMPRODUCT((TRIM(tblDados[Visitante])=$A891)*tblDados[Primeira_Ocorrencia]*((tblDados[GM_V]+tblDados[GS_V])&gt;3.5)))/G891,0))</f>
        <v/>
      </c>
      <c r="O891" s="16" t="str" cm="1">
        <f t="array" ref="O891">IF($A891="","",IFERROR((SUMPRODUCT((TRIM(tblDados[Mandante])=$A891)*tblDados[Primeira_Ocorrencia]*(tblDados[GM_M]&gt;0)*(tblDados[GS_M]&gt;0))+SUMPRODUCT((TRIM(tblDados[Visitante])=$A891)*tblDados[Primeira_Ocorrencia]*(tblDados[GM_V]&gt;0)*(tblDados[GS_V]&gt;0)))/G891,0))</f>
        <v/>
      </c>
      <c r="P891" s="14" t="str" cm="1">
        <f t="array" ref="P891">IF($A891="","",IFERROR((SUMPRODUCT((TRIM(tblDados[Mandante])=$A891)*tblDados[Primeira_Ocorrencia]*tblDados[GM_M]^2)+SUMPRODUCT((TRIM(tblDados[Visitante])=$A891)*tblDados[Primeira_Ocorrencia]*tblDados[GM_V]^2))/G891-H891^2,0))</f>
        <v/>
      </c>
      <c r="Q891" s="14" t="str">
        <f t="shared" si="226"/>
        <v/>
      </c>
      <c r="R891" s="1" t="str">
        <f t="shared" si="227"/>
        <v/>
      </c>
      <c r="S891" s="14" t="str" cm="1">
        <f t="array" ref="S891">IF($A891="","",SUMPRODUCT((TRIM(tblDados[Mandante])=$A891)*tblDados[Primeira_Ocorrencia]*tblDados[GM_M]))</f>
        <v/>
      </c>
      <c r="T891" s="14" t="str" cm="1">
        <f t="array" ref="T891">IF($A891="","",SUMPRODUCT((TRIM(tblDados[Visitante])=$A891)*tblDados[Primeira_Ocorrencia]*tblDados[GM_V]))</f>
        <v/>
      </c>
      <c r="U891" s="14" t="str">
        <f t="shared" si="228"/>
        <v/>
      </c>
      <c r="V891" s="14" t="str">
        <f t="shared" si="217"/>
        <v/>
      </c>
      <c r="W891" s="14" t="str" cm="1">
        <f t="array" ref="W891">IF($A891="","",SUMPRODUCT((TRIM(tblDados[Mandante])=$A891)*tblDados[Primeira_Ocorrencia]*tblDados[GS_M]))</f>
        <v/>
      </c>
      <c r="X891" s="14" t="str" cm="1">
        <f t="array" ref="X891">IF($A891="","",SUMPRODUCT((TRIM(tblDados[Visitante])=$A891)*tblDados[Primeira_Ocorrencia]*tblDados[GS_V]))</f>
        <v/>
      </c>
      <c r="Y891" s="14" t="str">
        <f t="shared" si="229"/>
        <v/>
      </c>
      <c r="Z891" s="14" t="str">
        <f t="shared" si="218"/>
        <v/>
      </c>
      <c r="AA891" s="14" t="str">
        <f t="shared" si="219"/>
        <v/>
      </c>
      <c r="AB891" s="14" t="str">
        <f t="shared" si="220"/>
        <v/>
      </c>
      <c r="AC891" s="14" t="str">
        <f t="shared" si="221"/>
        <v/>
      </c>
      <c r="AD891" s="14" t="str">
        <f t="shared" si="222"/>
        <v/>
      </c>
    </row>
    <row r="892" spans="2:30" x14ac:dyDescent="0.3">
      <c r="B892" s="13" t="str" cm="1">
        <f t="array" ref="B892">IF($A892="","",_xlfn.LET(_xlpm.p,IFERROR(INDEX(tblDados[País],MATCH($A892,TRIM(tblDados[Mandante]),0)),INDEX(tblDados[País],MATCH($A892,TRIM(tblDados[Visitante]),0))),_xlpm.l,IFERROR(INDEX(tblDados[Liga],MATCH($A892,TRIM(tblDados[Mandante]),0)),INDEX(tblDados[Liga],MATCH($A892,TRIM(tblDados[Visitante]),0))),_xlpm.p&amp;" - "&amp;_xlpm.l))</f>
        <v/>
      </c>
      <c r="C892" s="14" t="str">
        <f t="shared" si="223"/>
        <v/>
      </c>
      <c r="D892" s="14" t="str">
        <f t="shared" si="224"/>
        <v/>
      </c>
      <c r="E892" s="15" t="str" cm="1">
        <f t="array" ref="E892">IF($A892="","",SUMPRODUCT((TRIM(tblDados[Mandante])=$A892)*tblDados[Primeira_Ocorrencia]))</f>
        <v/>
      </c>
      <c r="F892" s="15" t="str" cm="1">
        <f t="array" ref="F892">IF($A892="","",SUMPRODUCT((TRIM(tblDados[Visitante])=$A892)*tblDados[Primeira_Ocorrencia]))</f>
        <v/>
      </c>
      <c r="G892" s="15" t="str" cm="1">
        <f t="array" ref="G892">IF($A892="","",SUMPRODUCT((TRIM(tblDados[Mandante])=$A892)*tblDados[Primeira_Ocorrencia])+SUMPRODUCT((TRIM(tblDados[Visitante])=$A892)*tblDados[Primeira_Ocorrencia]))</f>
        <v/>
      </c>
      <c r="H892" s="14" t="str">
        <f t="shared" si="225"/>
        <v/>
      </c>
      <c r="I892" s="14" t="str" cm="1">
        <f t="array" ref="I892">IF($A892="","",_xlfn.LET(_xlpm.p,IFERROR(INDEX(tblDados[País],MATCH($A892,TRIM(tblDados[Mandante]),0)),INDEX(tblDados[País],MATCH($A892,TRIM(tblDados[Visitante]),0))),_xlpm.l,IFERROR(INDEX(tblDados[Liga],MATCH($A892,TRIM(tblDados[Mandante]),0)),INDEX(tblDados[Liga],MATCH($A892,TRIM(tblDados[Visitante]),0))),IFERROR(SUMIFS(Ligas!$D$2:$D$39,Ligas!$H$2:$H$39,_xlpm.p,Ligas!$I$2:$I$39,_xlpm.l),0)))</f>
        <v/>
      </c>
      <c r="J892" s="16" t="str" cm="1">
        <f t="array" ref="J892">IF($A892="","",IFERROR((SUMPRODUCT((TRIM(tblDados[Mandante])=$A892)*tblDados[Primeira_Ocorrencia]*(tblDados[GM_M]=0))+SUMPRODUCT((TRIM(tblDados[Visitante])=$A892)*tblDados[Primeira_Ocorrencia]*(tblDados[GM_V]=0)))/G892,0))</f>
        <v/>
      </c>
      <c r="K892" s="16" t="str" cm="1">
        <f t="array" ref="K892">IF($A892="","",IFERROR((SUMPRODUCT((TRIM(tblDados[Mandante])=$A892)*tblDados[Primeira_Ocorrencia]*((tblDados[GM_M]+tblDados[GS_M])&gt;0.5))+SUMPRODUCT((TRIM(tblDados[Visitante])=$A892)*tblDados[Primeira_Ocorrencia]*((tblDados[GM_V]+tblDados[GS_V])&gt;0.5)))/G892,0))</f>
        <v/>
      </c>
      <c r="L892" s="16" t="str" cm="1">
        <f t="array" ref="L892">IF($A892="","",IFERROR((SUMPRODUCT((TRIM(tblDados[Mandante])=$A892)*tblDados[Primeira_Ocorrencia]*((tblDados[GM_M]+tblDados[GS_M])&gt;1.5))+SUMPRODUCT((TRIM(tblDados[Visitante])=$A892)*tblDados[Primeira_Ocorrencia]*((tblDados[GM_V]+tblDados[GS_V])&gt;1.5)))/G892,0))</f>
        <v/>
      </c>
      <c r="M892" s="16" t="str" cm="1">
        <f t="array" ref="M892">IF($A892="","",IFERROR((SUMPRODUCT((TRIM(tblDados[Mandante])=$A892)*tblDados[Primeira_Ocorrencia]*((tblDados[GM_M]+tblDados[GS_M])&gt;2.5))+SUMPRODUCT((TRIM(tblDados[Visitante])=$A892)*tblDados[Primeira_Ocorrencia]*((tblDados[GM_V]+tblDados[GS_V])&gt;2.5)))/G892,0))</f>
        <v/>
      </c>
      <c r="N892" s="16" t="str" cm="1">
        <f t="array" ref="N892">IF($A892="","",IFERROR((SUMPRODUCT((TRIM(tblDados[Mandante])=$A892)*tblDados[Primeira_Ocorrencia]*((tblDados[GM_M]+tblDados[GS_M])&gt;3.5))+SUMPRODUCT((TRIM(tblDados[Visitante])=$A892)*tblDados[Primeira_Ocorrencia]*((tblDados[GM_V]+tblDados[GS_V])&gt;3.5)))/G892,0))</f>
        <v/>
      </c>
      <c r="O892" s="16" t="str" cm="1">
        <f t="array" ref="O892">IF($A892="","",IFERROR((SUMPRODUCT((TRIM(tblDados[Mandante])=$A892)*tblDados[Primeira_Ocorrencia]*(tblDados[GM_M]&gt;0)*(tblDados[GS_M]&gt;0))+SUMPRODUCT((TRIM(tblDados[Visitante])=$A892)*tblDados[Primeira_Ocorrencia]*(tblDados[GM_V]&gt;0)*(tblDados[GS_V]&gt;0)))/G892,0))</f>
        <v/>
      </c>
      <c r="P892" s="14" t="str" cm="1">
        <f t="array" ref="P892">IF($A892="","",IFERROR((SUMPRODUCT((TRIM(tblDados[Mandante])=$A892)*tblDados[Primeira_Ocorrencia]*tblDados[GM_M]^2)+SUMPRODUCT((TRIM(tblDados[Visitante])=$A892)*tblDados[Primeira_Ocorrencia]*tblDados[GM_V]^2))/G892-H892^2,0))</f>
        <v/>
      </c>
      <c r="Q892" s="14" t="str">
        <f t="shared" si="226"/>
        <v/>
      </c>
      <c r="R892" s="1" t="str">
        <f t="shared" si="227"/>
        <v/>
      </c>
      <c r="S892" s="14" t="str" cm="1">
        <f t="array" ref="S892">IF($A892="","",SUMPRODUCT((TRIM(tblDados[Mandante])=$A892)*tblDados[Primeira_Ocorrencia]*tblDados[GM_M]))</f>
        <v/>
      </c>
      <c r="T892" s="14" t="str" cm="1">
        <f t="array" ref="T892">IF($A892="","",SUMPRODUCT((TRIM(tblDados[Visitante])=$A892)*tblDados[Primeira_Ocorrencia]*tblDados[GM_V]))</f>
        <v/>
      </c>
      <c r="U892" s="14" t="str">
        <f t="shared" si="228"/>
        <v/>
      </c>
      <c r="V892" s="14" t="str">
        <f t="shared" si="217"/>
        <v/>
      </c>
      <c r="W892" s="14" t="str" cm="1">
        <f t="array" ref="W892">IF($A892="","",SUMPRODUCT((TRIM(tblDados[Mandante])=$A892)*tblDados[Primeira_Ocorrencia]*tblDados[GS_M]))</f>
        <v/>
      </c>
      <c r="X892" s="14" t="str" cm="1">
        <f t="array" ref="X892">IF($A892="","",SUMPRODUCT((TRIM(tblDados[Visitante])=$A892)*tblDados[Primeira_Ocorrencia]*tblDados[GS_V]))</f>
        <v/>
      </c>
      <c r="Y892" s="14" t="str">
        <f t="shared" si="229"/>
        <v/>
      </c>
      <c r="Z892" s="14" t="str">
        <f t="shared" si="218"/>
        <v/>
      </c>
      <c r="AA892" s="14" t="str">
        <f t="shared" si="219"/>
        <v/>
      </c>
      <c r="AB892" s="14" t="str">
        <f t="shared" si="220"/>
        <v/>
      </c>
      <c r="AC892" s="14" t="str">
        <f t="shared" si="221"/>
        <v/>
      </c>
      <c r="AD892" s="14" t="str">
        <f t="shared" si="222"/>
        <v/>
      </c>
    </row>
    <row r="893" spans="2:30" x14ac:dyDescent="0.3">
      <c r="B893" s="13" t="str" cm="1">
        <f t="array" ref="B893">IF($A893="","",_xlfn.LET(_xlpm.p,IFERROR(INDEX(tblDados[País],MATCH($A893,TRIM(tblDados[Mandante]),0)),INDEX(tblDados[País],MATCH($A893,TRIM(tblDados[Visitante]),0))),_xlpm.l,IFERROR(INDEX(tblDados[Liga],MATCH($A893,TRIM(tblDados[Mandante]),0)),INDEX(tblDados[Liga],MATCH($A893,TRIM(tblDados[Visitante]),0))),_xlpm.p&amp;" - "&amp;_xlpm.l))</f>
        <v/>
      </c>
      <c r="C893" s="14" t="str">
        <f t="shared" si="223"/>
        <v/>
      </c>
      <c r="D893" s="14" t="str">
        <f t="shared" si="224"/>
        <v/>
      </c>
      <c r="E893" s="15" t="str" cm="1">
        <f t="array" ref="E893">IF($A893="","",SUMPRODUCT((TRIM(tblDados[Mandante])=$A893)*tblDados[Primeira_Ocorrencia]))</f>
        <v/>
      </c>
      <c r="F893" s="15" t="str" cm="1">
        <f t="array" ref="F893">IF($A893="","",SUMPRODUCT((TRIM(tblDados[Visitante])=$A893)*tblDados[Primeira_Ocorrencia]))</f>
        <v/>
      </c>
      <c r="G893" s="15" t="str" cm="1">
        <f t="array" ref="G893">IF($A893="","",SUMPRODUCT((TRIM(tblDados[Mandante])=$A893)*tblDados[Primeira_Ocorrencia])+SUMPRODUCT((TRIM(tblDados[Visitante])=$A893)*tblDados[Primeira_Ocorrencia]))</f>
        <v/>
      </c>
      <c r="H893" s="14" t="str">
        <f t="shared" si="225"/>
        <v/>
      </c>
      <c r="I893" s="14" t="str" cm="1">
        <f t="array" ref="I893">IF($A893="","",_xlfn.LET(_xlpm.p,IFERROR(INDEX(tblDados[País],MATCH($A893,TRIM(tblDados[Mandante]),0)),INDEX(tblDados[País],MATCH($A893,TRIM(tblDados[Visitante]),0))),_xlpm.l,IFERROR(INDEX(tblDados[Liga],MATCH($A893,TRIM(tblDados[Mandante]),0)),INDEX(tblDados[Liga],MATCH($A893,TRIM(tblDados[Visitante]),0))),IFERROR(SUMIFS(Ligas!$D$2:$D$39,Ligas!$H$2:$H$39,_xlpm.p,Ligas!$I$2:$I$39,_xlpm.l),0)))</f>
        <v/>
      </c>
      <c r="J893" s="16" t="str" cm="1">
        <f t="array" ref="J893">IF($A893="","",IFERROR((SUMPRODUCT((TRIM(tblDados[Mandante])=$A893)*tblDados[Primeira_Ocorrencia]*(tblDados[GM_M]=0))+SUMPRODUCT((TRIM(tblDados[Visitante])=$A893)*tblDados[Primeira_Ocorrencia]*(tblDados[GM_V]=0)))/G893,0))</f>
        <v/>
      </c>
      <c r="K893" s="16" t="str" cm="1">
        <f t="array" ref="K893">IF($A893="","",IFERROR((SUMPRODUCT((TRIM(tblDados[Mandante])=$A893)*tblDados[Primeira_Ocorrencia]*((tblDados[GM_M]+tblDados[GS_M])&gt;0.5))+SUMPRODUCT((TRIM(tblDados[Visitante])=$A893)*tblDados[Primeira_Ocorrencia]*((tblDados[GM_V]+tblDados[GS_V])&gt;0.5)))/G893,0))</f>
        <v/>
      </c>
      <c r="L893" s="16" t="str" cm="1">
        <f t="array" ref="L893">IF($A893="","",IFERROR((SUMPRODUCT((TRIM(tblDados[Mandante])=$A893)*tblDados[Primeira_Ocorrencia]*((tblDados[GM_M]+tblDados[GS_M])&gt;1.5))+SUMPRODUCT((TRIM(tblDados[Visitante])=$A893)*tblDados[Primeira_Ocorrencia]*((tblDados[GM_V]+tblDados[GS_V])&gt;1.5)))/G893,0))</f>
        <v/>
      </c>
      <c r="M893" s="16" t="str" cm="1">
        <f t="array" ref="M893">IF($A893="","",IFERROR((SUMPRODUCT((TRIM(tblDados[Mandante])=$A893)*tblDados[Primeira_Ocorrencia]*((tblDados[GM_M]+tblDados[GS_M])&gt;2.5))+SUMPRODUCT((TRIM(tblDados[Visitante])=$A893)*tblDados[Primeira_Ocorrencia]*((tblDados[GM_V]+tblDados[GS_V])&gt;2.5)))/G893,0))</f>
        <v/>
      </c>
      <c r="N893" s="16" t="str" cm="1">
        <f t="array" ref="N893">IF($A893="","",IFERROR((SUMPRODUCT((TRIM(tblDados[Mandante])=$A893)*tblDados[Primeira_Ocorrencia]*((tblDados[GM_M]+tblDados[GS_M])&gt;3.5))+SUMPRODUCT((TRIM(tblDados[Visitante])=$A893)*tblDados[Primeira_Ocorrencia]*((tblDados[GM_V]+tblDados[GS_V])&gt;3.5)))/G893,0))</f>
        <v/>
      </c>
      <c r="O893" s="16" t="str" cm="1">
        <f t="array" ref="O893">IF($A893="","",IFERROR((SUMPRODUCT((TRIM(tblDados[Mandante])=$A893)*tblDados[Primeira_Ocorrencia]*(tblDados[GM_M]&gt;0)*(tblDados[GS_M]&gt;0))+SUMPRODUCT((TRIM(tblDados[Visitante])=$A893)*tblDados[Primeira_Ocorrencia]*(tblDados[GM_V]&gt;0)*(tblDados[GS_V]&gt;0)))/G893,0))</f>
        <v/>
      </c>
      <c r="P893" s="14" t="str" cm="1">
        <f t="array" ref="P893">IF($A893="","",IFERROR((SUMPRODUCT((TRIM(tblDados[Mandante])=$A893)*tblDados[Primeira_Ocorrencia]*tblDados[GM_M]^2)+SUMPRODUCT((TRIM(tblDados[Visitante])=$A893)*tblDados[Primeira_Ocorrencia]*tblDados[GM_V]^2))/G893-H893^2,0))</f>
        <v/>
      </c>
      <c r="Q893" s="14" t="str">
        <f t="shared" si="226"/>
        <v/>
      </c>
      <c r="R893" s="1" t="str">
        <f t="shared" si="227"/>
        <v/>
      </c>
      <c r="S893" s="14" t="str" cm="1">
        <f t="array" ref="S893">IF($A893="","",SUMPRODUCT((TRIM(tblDados[Mandante])=$A893)*tblDados[Primeira_Ocorrencia]*tblDados[GM_M]))</f>
        <v/>
      </c>
      <c r="T893" s="14" t="str" cm="1">
        <f t="array" ref="T893">IF($A893="","",SUMPRODUCT((TRIM(tblDados[Visitante])=$A893)*tblDados[Primeira_Ocorrencia]*tblDados[GM_V]))</f>
        <v/>
      </c>
      <c r="U893" s="14" t="str">
        <f t="shared" si="228"/>
        <v/>
      </c>
      <c r="V893" s="14" t="str">
        <f t="shared" si="217"/>
        <v/>
      </c>
      <c r="W893" s="14" t="str" cm="1">
        <f t="array" ref="W893">IF($A893="","",SUMPRODUCT((TRIM(tblDados[Mandante])=$A893)*tblDados[Primeira_Ocorrencia]*tblDados[GS_M]))</f>
        <v/>
      </c>
      <c r="X893" s="14" t="str" cm="1">
        <f t="array" ref="X893">IF($A893="","",SUMPRODUCT((TRIM(tblDados[Visitante])=$A893)*tblDados[Primeira_Ocorrencia]*tblDados[GS_V]))</f>
        <v/>
      </c>
      <c r="Y893" s="14" t="str">
        <f t="shared" si="229"/>
        <v/>
      </c>
      <c r="Z893" s="14" t="str">
        <f t="shared" si="218"/>
        <v/>
      </c>
      <c r="AA893" s="14" t="str">
        <f t="shared" si="219"/>
        <v/>
      </c>
      <c r="AB893" s="14" t="str">
        <f t="shared" si="220"/>
        <v/>
      </c>
      <c r="AC893" s="14" t="str">
        <f t="shared" si="221"/>
        <v/>
      </c>
      <c r="AD893" s="14" t="str">
        <f t="shared" si="222"/>
        <v/>
      </c>
    </row>
    <row r="894" spans="2:30" x14ac:dyDescent="0.3">
      <c r="B894" s="13" t="str" cm="1">
        <f t="array" ref="B894">IF($A894="","",_xlfn.LET(_xlpm.p,IFERROR(INDEX(tblDados[País],MATCH($A894,TRIM(tblDados[Mandante]),0)),INDEX(tblDados[País],MATCH($A894,TRIM(tblDados[Visitante]),0))),_xlpm.l,IFERROR(INDEX(tblDados[Liga],MATCH($A894,TRIM(tblDados[Mandante]),0)),INDEX(tblDados[Liga],MATCH($A894,TRIM(tblDados[Visitante]),0))),_xlpm.p&amp;" - "&amp;_xlpm.l))</f>
        <v/>
      </c>
      <c r="C894" s="14" t="str">
        <f t="shared" si="223"/>
        <v/>
      </c>
      <c r="D894" s="14" t="str">
        <f t="shared" si="224"/>
        <v/>
      </c>
      <c r="E894" s="15" t="str" cm="1">
        <f t="array" ref="E894">IF($A894="","",SUMPRODUCT((TRIM(tblDados[Mandante])=$A894)*tblDados[Primeira_Ocorrencia]))</f>
        <v/>
      </c>
      <c r="F894" s="15" t="str" cm="1">
        <f t="array" ref="F894">IF($A894="","",SUMPRODUCT((TRIM(tblDados[Visitante])=$A894)*tblDados[Primeira_Ocorrencia]))</f>
        <v/>
      </c>
      <c r="G894" s="15" t="str" cm="1">
        <f t="array" ref="G894">IF($A894="","",SUMPRODUCT((TRIM(tblDados[Mandante])=$A894)*tblDados[Primeira_Ocorrencia])+SUMPRODUCT((TRIM(tblDados[Visitante])=$A894)*tblDados[Primeira_Ocorrencia]))</f>
        <v/>
      </c>
      <c r="H894" s="14" t="str">
        <f t="shared" si="225"/>
        <v/>
      </c>
      <c r="I894" s="14" t="str" cm="1">
        <f t="array" ref="I894">IF($A894="","",_xlfn.LET(_xlpm.p,IFERROR(INDEX(tblDados[País],MATCH($A894,TRIM(tblDados[Mandante]),0)),INDEX(tblDados[País],MATCH($A894,TRIM(tblDados[Visitante]),0))),_xlpm.l,IFERROR(INDEX(tblDados[Liga],MATCH($A894,TRIM(tblDados[Mandante]),0)),INDEX(tblDados[Liga],MATCH($A894,TRIM(tblDados[Visitante]),0))),IFERROR(SUMIFS(Ligas!$D$2:$D$39,Ligas!$H$2:$H$39,_xlpm.p,Ligas!$I$2:$I$39,_xlpm.l),0)))</f>
        <v/>
      </c>
      <c r="J894" s="16" t="str" cm="1">
        <f t="array" ref="J894">IF($A894="","",IFERROR((SUMPRODUCT((TRIM(tblDados[Mandante])=$A894)*tblDados[Primeira_Ocorrencia]*(tblDados[GM_M]=0))+SUMPRODUCT((TRIM(tblDados[Visitante])=$A894)*tblDados[Primeira_Ocorrencia]*(tblDados[GM_V]=0)))/G894,0))</f>
        <v/>
      </c>
      <c r="K894" s="16" t="str" cm="1">
        <f t="array" ref="K894">IF($A894="","",IFERROR((SUMPRODUCT((TRIM(tblDados[Mandante])=$A894)*tblDados[Primeira_Ocorrencia]*((tblDados[GM_M]+tblDados[GS_M])&gt;0.5))+SUMPRODUCT((TRIM(tblDados[Visitante])=$A894)*tblDados[Primeira_Ocorrencia]*((tblDados[GM_V]+tblDados[GS_V])&gt;0.5)))/G894,0))</f>
        <v/>
      </c>
      <c r="L894" s="16" t="str" cm="1">
        <f t="array" ref="L894">IF($A894="","",IFERROR((SUMPRODUCT((TRIM(tblDados[Mandante])=$A894)*tblDados[Primeira_Ocorrencia]*((tblDados[GM_M]+tblDados[GS_M])&gt;1.5))+SUMPRODUCT((TRIM(tblDados[Visitante])=$A894)*tblDados[Primeira_Ocorrencia]*((tblDados[GM_V]+tblDados[GS_V])&gt;1.5)))/G894,0))</f>
        <v/>
      </c>
      <c r="M894" s="16" t="str" cm="1">
        <f t="array" ref="M894">IF($A894="","",IFERROR((SUMPRODUCT((TRIM(tblDados[Mandante])=$A894)*tblDados[Primeira_Ocorrencia]*((tblDados[GM_M]+tblDados[GS_M])&gt;2.5))+SUMPRODUCT((TRIM(tblDados[Visitante])=$A894)*tblDados[Primeira_Ocorrencia]*((tblDados[GM_V]+tblDados[GS_V])&gt;2.5)))/G894,0))</f>
        <v/>
      </c>
      <c r="N894" s="16" t="str" cm="1">
        <f t="array" ref="N894">IF($A894="","",IFERROR((SUMPRODUCT((TRIM(tblDados[Mandante])=$A894)*tblDados[Primeira_Ocorrencia]*((tblDados[GM_M]+tblDados[GS_M])&gt;3.5))+SUMPRODUCT((TRIM(tblDados[Visitante])=$A894)*tblDados[Primeira_Ocorrencia]*((tblDados[GM_V]+tblDados[GS_V])&gt;3.5)))/G894,0))</f>
        <v/>
      </c>
      <c r="O894" s="16" t="str" cm="1">
        <f t="array" ref="O894">IF($A894="","",IFERROR((SUMPRODUCT((TRIM(tblDados[Mandante])=$A894)*tblDados[Primeira_Ocorrencia]*(tblDados[GM_M]&gt;0)*(tblDados[GS_M]&gt;0))+SUMPRODUCT((TRIM(tblDados[Visitante])=$A894)*tblDados[Primeira_Ocorrencia]*(tblDados[GM_V]&gt;0)*(tblDados[GS_V]&gt;0)))/G894,0))</f>
        <v/>
      </c>
      <c r="P894" s="14" t="str" cm="1">
        <f t="array" ref="P894">IF($A894="","",IFERROR((SUMPRODUCT((TRIM(tblDados[Mandante])=$A894)*tblDados[Primeira_Ocorrencia]*tblDados[GM_M]^2)+SUMPRODUCT((TRIM(tblDados[Visitante])=$A894)*tblDados[Primeira_Ocorrencia]*tblDados[GM_V]^2))/G894-H894^2,0))</f>
        <v/>
      </c>
      <c r="Q894" s="14" t="str">
        <f t="shared" si="226"/>
        <v/>
      </c>
      <c r="R894" s="1" t="str">
        <f t="shared" si="227"/>
        <v/>
      </c>
      <c r="S894" s="14" t="str" cm="1">
        <f t="array" ref="S894">IF($A894="","",SUMPRODUCT((TRIM(tblDados[Mandante])=$A894)*tblDados[Primeira_Ocorrencia]*tblDados[GM_M]))</f>
        <v/>
      </c>
      <c r="T894" s="14" t="str" cm="1">
        <f t="array" ref="T894">IF($A894="","",SUMPRODUCT((TRIM(tblDados[Visitante])=$A894)*tblDados[Primeira_Ocorrencia]*tblDados[GM_V]))</f>
        <v/>
      </c>
      <c r="U894" s="14" t="str">
        <f t="shared" si="228"/>
        <v/>
      </c>
      <c r="V894" s="14" t="str">
        <f t="shared" si="217"/>
        <v/>
      </c>
      <c r="W894" s="14" t="str" cm="1">
        <f t="array" ref="W894">IF($A894="","",SUMPRODUCT((TRIM(tblDados[Mandante])=$A894)*tblDados[Primeira_Ocorrencia]*tblDados[GS_M]))</f>
        <v/>
      </c>
      <c r="X894" s="14" t="str" cm="1">
        <f t="array" ref="X894">IF($A894="","",SUMPRODUCT((TRIM(tblDados[Visitante])=$A894)*tblDados[Primeira_Ocorrencia]*tblDados[GS_V]))</f>
        <v/>
      </c>
      <c r="Y894" s="14" t="str">
        <f t="shared" si="229"/>
        <v/>
      </c>
      <c r="Z894" s="14" t="str">
        <f t="shared" si="218"/>
        <v/>
      </c>
      <c r="AA894" s="14" t="str">
        <f t="shared" si="219"/>
        <v/>
      </c>
      <c r="AB894" s="14" t="str">
        <f t="shared" si="220"/>
        <v/>
      </c>
      <c r="AC894" s="14" t="str">
        <f t="shared" si="221"/>
        <v/>
      </c>
      <c r="AD894" s="14" t="str">
        <f t="shared" si="222"/>
        <v/>
      </c>
    </row>
    <row r="895" spans="2:30" x14ac:dyDescent="0.3">
      <c r="B895" s="13" t="str" cm="1">
        <f t="array" ref="B895">IF($A895="","",_xlfn.LET(_xlpm.p,IFERROR(INDEX(tblDados[País],MATCH($A895,TRIM(tblDados[Mandante]),0)),INDEX(tblDados[País],MATCH($A895,TRIM(tblDados[Visitante]),0))),_xlpm.l,IFERROR(INDEX(tblDados[Liga],MATCH($A895,TRIM(tblDados[Mandante]),0)),INDEX(tblDados[Liga],MATCH($A895,TRIM(tblDados[Visitante]),0))),_xlpm.p&amp;" - "&amp;_xlpm.l))</f>
        <v/>
      </c>
      <c r="C895" s="14" t="str">
        <f t="shared" si="223"/>
        <v/>
      </c>
      <c r="D895" s="14" t="str">
        <f t="shared" si="224"/>
        <v/>
      </c>
      <c r="E895" s="15" t="str" cm="1">
        <f t="array" ref="E895">IF($A895="","",SUMPRODUCT((TRIM(tblDados[Mandante])=$A895)*tblDados[Primeira_Ocorrencia]))</f>
        <v/>
      </c>
      <c r="F895" s="15" t="str" cm="1">
        <f t="array" ref="F895">IF($A895="","",SUMPRODUCT((TRIM(tblDados[Visitante])=$A895)*tblDados[Primeira_Ocorrencia]))</f>
        <v/>
      </c>
      <c r="G895" s="15" t="str" cm="1">
        <f t="array" ref="G895">IF($A895="","",SUMPRODUCT((TRIM(tblDados[Mandante])=$A895)*tblDados[Primeira_Ocorrencia])+SUMPRODUCT((TRIM(tblDados[Visitante])=$A895)*tblDados[Primeira_Ocorrencia]))</f>
        <v/>
      </c>
      <c r="H895" s="14" t="str">
        <f t="shared" si="225"/>
        <v/>
      </c>
      <c r="I895" s="14" t="str" cm="1">
        <f t="array" ref="I895">IF($A895="","",_xlfn.LET(_xlpm.p,IFERROR(INDEX(tblDados[País],MATCH($A895,TRIM(tblDados[Mandante]),0)),INDEX(tblDados[País],MATCH($A895,TRIM(tblDados[Visitante]),0))),_xlpm.l,IFERROR(INDEX(tblDados[Liga],MATCH($A895,TRIM(tblDados[Mandante]),0)),INDEX(tblDados[Liga],MATCH($A895,TRIM(tblDados[Visitante]),0))),IFERROR(SUMIFS(Ligas!$D$2:$D$39,Ligas!$H$2:$H$39,_xlpm.p,Ligas!$I$2:$I$39,_xlpm.l),0)))</f>
        <v/>
      </c>
      <c r="J895" s="16" t="str" cm="1">
        <f t="array" ref="J895">IF($A895="","",IFERROR((SUMPRODUCT((TRIM(tblDados[Mandante])=$A895)*tblDados[Primeira_Ocorrencia]*(tblDados[GM_M]=0))+SUMPRODUCT((TRIM(tblDados[Visitante])=$A895)*tblDados[Primeira_Ocorrencia]*(tblDados[GM_V]=0)))/G895,0))</f>
        <v/>
      </c>
      <c r="K895" s="16" t="str" cm="1">
        <f t="array" ref="K895">IF($A895="","",IFERROR((SUMPRODUCT((TRIM(tblDados[Mandante])=$A895)*tblDados[Primeira_Ocorrencia]*((tblDados[GM_M]+tblDados[GS_M])&gt;0.5))+SUMPRODUCT((TRIM(tblDados[Visitante])=$A895)*tblDados[Primeira_Ocorrencia]*((tblDados[GM_V]+tblDados[GS_V])&gt;0.5)))/G895,0))</f>
        <v/>
      </c>
      <c r="L895" s="16" t="str" cm="1">
        <f t="array" ref="L895">IF($A895="","",IFERROR((SUMPRODUCT((TRIM(tblDados[Mandante])=$A895)*tblDados[Primeira_Ocorrencia]*((tblDados[GM_M]+tblDados[GS_M])&gt;1.5))+SUMPRODUCT((TRIM(tblDados[Visitante])=$A895)*tblDados[Primeira_Ocorrencia]*((tblDados[GM_V]+tblDados[GS_V])&gt;1.5)))/G895,0))</f>
        <v/>
      </c>
      <c r="M895" s="16" t="str" cm="1">
        <f t="array" ref="M895">IF($A895="","",IFERROR((SUMPRODUCT((TRIM(tblDados[Mandante])=$A895)*tblDados[Primeira_Ocorrencia]*((tblDados[GM_M]+tblDados[GS_M])&gt;2.5))+SUMPRODUCT((TRIM(tblDados[Visitante])=$A895)*tblDados[Primeira_Ocorrencia]*((tblDados[GM_V]+tblDados[GS_V])&gt;2.5)))/G895,0))</f>
        <v/>
      </c>
      <c r="N895" s="16" t="str" cm="1">
        <f t="array" ref="N895">IF($A895="","",IFERROR((SUMPRODUCT((TRIM(tblDados[Mandante])=$A895)*tblDados[Primeira_Ocorrencia]*((tblDados[GM_M]+tblDados[GS_M])&gt;3.5))+SUMPRODUCT((TRIM(tblDados[Visitante])=$A895)*tblDados[Primeira_Ocorrencia]*((tblDados[GM_V]+tblDados[GS_V])&gt;3.5)))/G895,0))</f>
        <v/>
      </c>
      <c r="O895" s="16" t="str" cm="1">
        <f t="array" ref="O895">IF($A895="","",IFERROR((SUMPRODUCT((TRIM(tblDados[Mandante])=$A895)*tblDados[Primeira_Ocorrencia]*(tblDados[GM_M]&gt;0)*(tblDados[GS_M]&gt;0))+SUMPRODUCT((TRIM(tblDados[Visitante])=$A895)*tblDados[Primeira_Ocorrencia]*(tblDados[GM_V]&gt;0)*(tblDados[GS_V]&gt;0)))/G895,0))</f>
        <v/>
      </c>
      <c r="P895" s="14" t="str" cm="1">
        <f t="array" ref="P895">IF($A895="","",IFERROR((SUMPRODUCT((TRIM(tblDados[Mandante])=$A895)*tblDados[Primeira_Ocorrencia]*tblDados[GM_M]^2)+SUMPRODUCT((TRIM(tblDados[Visitante])=$A895)*tblDados[Primeira_Ocorrencia]*tblDados[GM_V]^2))/G895-H895^2,0))</f>
        <v/>
      </c>
      <c r="Q895" s="14" t="str">
        <f t="shared" si="226"/>
        <v/>
      </c>
      <c r="R895" s="1" t="str">
        <f t="shared" si="227"/>
        <v/>
      </c>
      <c r="S895" s="14" t="str" cm="1">
        <f t="array" ref="S895">IF($A895="","",SUMPRODUCT((TRIM(tblDados[Mandante])=$A895)*tblDados[Primeira_Ocorrencia]*tblDados[GM_M]))</f>
        <v/>
      </c>
      <c r="T895" s="14" t="str" cm="1">
        <f t="array" ref="T895">IF($A895="","",SUMPRODUCT((TRIM(tblDados[Visitante])=$A895)*tblDados[Primeira_Ocorrencia]*tblDados[GM_V]))</f>
        <v/>
      </c>
      <c r="U895" s="14" t="str">
        <f t="shared" si="228"/>
        <v/>
      </c>
      <c r="V895" s="14" t="str">
        <f t="shared" si="217"/>
        <v/>
      </c>
      <c r="W895" s="14" t="str" cm="1">
        <f t="array" ref="W895">IF($A895="","",SUMPRODUCT((TRIM(tblDados[Mandante])=$A895)*tblDados[Primeira_Ocorrencia]*tblDados[GS_M]))</f>
        <v/>
      </c>
      <c r="X895" s="14" t="str" cm="1">
        <f t="array" ref="X895">IF($A895="","",SUMPRODUCT((TRIM(tblDados[Visitante])=$A895)*tblDados[Primeira_Ocorrencia]*tblDados[GS_V]))</f>
        <v/>
      </c>
      <c r="Y895" s="14" t="str">
        <f t="shared" si="229"/>
        <v/>
      </c>
      <c r="Z895" s="14" t="str">
        <f t="shared" si="218"/>
        <v/>
      </c>
      <c r="AA895" s="14" t="str">
        <f t="shared" si="219"/>
        <v/>
      </c>
      <c r="AB895" s="14" t="str">
        <f t="shared" si="220"/>
        <v/>
      </c>
      <c r="AC895" s="14" t="str">
        <f t="shared" si="221"/>
        <v/>
      </c>
      <c r="AD895" s="14" t="str">
        <f t="shared" si="222"/>
        <v/>
      </c>
    </row>
    <row r="896" spans="2:30" x14ac:dyDescent="0.3">
      <c r="B896" s="13" t="str" cm="1">
        <f t="array" ref="B896">IF($A896="","",_xlfn.LET(_xlpm.p,IFERROR(INDEX(tblDados[País],MATCH($A896,TRIM(tblDados[Mandante]),0)),INDEX(tblDados[País],MATCH($A896,TRIM(tblDados[Visitante]),0))),_xlpm.l,IFERROR(INDEX(tblDados[Liga],MATCH($A896,TRIM(tblDados[Mandante]),0)),INDEX(tblDados[Liga],MATCH($A896,TRIM(tblDados[Visitante]),0))),_xlpm.p&amp;" - "&amp;_xlpm.l))</f>
        <v/>
      </c>
      <c r="C896" s="14" t="str">
        <f t="shared" si="223"/>
        <v/>
      </c>
      <c r="D896" s="14" t="str">
        <f t="shared" si="224"/>
        <v/>
      </c>
      <c r="E896" s="15" t="str" cm="1">
        <f t="array" ref="E896">IF($A896="","",SUMPRODUCT((TRIM(tblDados[Mandante])=$A896)*tblDados[Primeira_Ocorrencia]))</f>
        <v/>
      </c>
      <c r="F896" s="15" t="str" cm="1">
        <f t="array" ref="F896">IF($A896="","",SUMPRODUCT((TRIM(tblDados[Visitante])=$A896)*tblDados[Primeira_Ocorrencia]))</f>
        <v/>
      </c>
      <c r="G896" s="15" t="str" cm="1">
        <f t="array" ref="G896">IF($A896="","",SUMPRODUCT((TRIM(tblDados[Mandante])=$A896)*tblDados[Primeira_Ocorrencia])+SUMPRODUCT((TRIM(tblDados[Visitante])=$A896)*tblDados[Primeira_Ocorrencia]))</f>
        <v/>
      </c>
      <c r="H896" s="14" t="str">
        <f t="shared" si="225"/>
        <v/>
      </c>
      <c r="I896" s="14" t="str" cm="1">
        <f t="array" ref="I896">IF($A896="","",_xlfn.LET(_xlpm.p,IFERROR(INDEX(tblDados[País],MATCH($A896,TRIM(tblDados[Mandante]),0)),INDEX(tblDados[País],MATCH($A896,TRIM(tblDados[Visitante]),0))),_xlpm.l,IFERROR(INDEX(tblDados[Liga],MATCH($A896,TRIM(tblDados[Mandante]),0)),INDEX(tblDados[Liga],MATCH($A896,TRIM(tblDados[Visitante]),0))),IFERROR(SUMIFS(Ligas!$D$2:$D$39,Ligas!$H$2:$H$39,_xlpm.p,Ligas!$I$2:$I$39,_xlpm.l),0)))</f>
        <v/>
      </c>
      <c r="J896" s="16" t="str" cm="1">
        <f t="array" ref="J896">IF($A896="","",IFERROR((SUMPRODUCT((TRIM(tblDados[Mandante])=$A896)*tblDados[Primeira_Ocorrencia]*(tblDados[GM_M]=0))+SUMPRODUCT((TRIM(tblDados[Visitante])=$A896)*tblDados[Primeira_Ocorrencia]*(tblDados[GM_V]=0)))/G896,0))</f>
        <v/>
      </c>
      <c r="K896" s="16" t="str" cm="1">
        <f t="array" ref="K896">IF($A896="","",IFERROR((SUMPRODUCT((TRIM(tblDados[Mandante])=$A896)*tblDados[Primeira_Ocorrencia]*((tblDados[GM_M]+tblDados[GS_M])&gt;0.5))+SUMPRODUCT((TRIM(tblDados[Visitante])=$A896)*tblDados[Primeira_Ocorrencia]*((tblDados[GM_V]+tblDados[GS_V])&gt;0.5)))/G896,0))</f>
        <v/>
      </c>
      <c r="L896" s="16" t="str" cm="1">
        <f t="array" ref="L896">IF($A896="","",IFERROR((SUMPRODUCT((TRIM(tblDados[Mandante])=$A896)*tblDados[Primeira_Ocorrencia]*((tblDados[GM_M]+tblDados[GS_M])&gt;1.5))+SUMPRODUCT((TRIM(tblDados[Visitante])=$A896)*tblDados[Primeira_Ocorrencia]*((tblDados[GM_V]+tblDados[GS_V])&gt;1.5)))/G896,0))</f>
        <v/>
      </c>
      <c r="M896" s="16" t="str" cm="1">
        <f t="array" ref="M896">IF($A896="","",IFERROR((SUMPRODUCT((TRIM(tblDados[Mandante])=$A896)*tblDados[Primeira_Ocorrencia]*((tblDados[GM_M]+tblDados[GS_M])&gt;2.5))+SUMPRODUCT((TRIM(tblDados[Visitante])=$A896)*tblDados[Primeira_Ocorrencia]*((tblDados[GM_V]+tblDados[GS_V])&gt;2.5)))/G896,0))</f>
        <v/>
      </c>
      <c r="N896" s="16" t="str" cm="1">
        <f t="array" ref="N896">IF($A896="","",IFERROR((SUMPRODUCT((TRIM(tblDados[Mandante])=$A896)*tblDados[Primeira_Ocorrencia]*((tblDados[GM_M]+tblDados[GS_M])&gt;3.5))+SUMPRODUCT((TRIM(tblDados[Visitante])=$A896)*tblDados[Primeira_Ocorrencia]*((tblDados[GM_V]+tblDados[GS_V])&gt;3.5)))/G896,0))</f>
        <v/>
      </c>
      <c r="O896" s="16" t="str" cm="1">
        <f t="array" ref="O896">IF($A896="","",IFERROR((SUMPRODUCT((TRIM(tblDados[Mandante])=$A896)*tblDados[Primeira_Ocorrencia]*(tblDados[GM_M]&gt;0)*(tblDados[GS_M]&gt;0))+SUMPRODUCT((TRIM(tblDados[Visitante])=$A896)*tblDados[Primeira_Ocorrencia]*(tblDados[GM_V]&gt;0)*(tblDados[GS_V]&gt;0)))/G896,0))</f>
        <v/>
      </c>
      <c r="P896" s="14" t="str" cm="1">
        <f t="array" ref="P896">IF($A896="","",IFERROR((SUMPRODUCT((TRIM(tblDados[Mandante])=$A896)*tblDados[Primeira_Ocorrencia]*tblDados[GM_M]^2)+SUMPRODUCT((TRIM(tblDados[Visitante])=$A896)*tblDados[Primeira_Ocorrencia]*tblDados[GM_V]^2))/G896-H896^2,0))</f>
        <v/>
      </c>
      <c r="Q896" s="14" t="str">
        <f t="shared" si="226"/>
        <v/>
      </c>
      <c r="R896" s="1" t="str">
        <f t="shared" si="227"/>
        <v/>
      </c>
      <c r="S896" s="14" t="str" cm="1">
        <f t="array" ref="S896">IF($A896="","",SUMPRODUCT((TRIM(tblDados[Mandante])=$A896)*tblDados[Primeira_Ocorrencia]*tblDados[GM_M]))</f>
        <v/>
      </c>
      <c r="T896" s="14" t="str" cm="1">
        <f t="array" ref="T896">IF($A896="","",SUMPRODUCT((TRIM(tblDados[Visitante])=$A896)*tblDados[Primeira_Ocorrencia]*tblDados[GM_V]))</f>
        <v/>
      </c>
      <c r="U896" s="14" t="str">
        <f t="shared" si="228"/>
        <v/>
      </c>
      <c r="V896" s="14" t="str">
        <f t="shared" si="217"/>
        <v/>
      </c>
      <c r="W896" s="14" t="str" cm="1">
        <f t="array" ref="W896">IF($A896="","",SUMPRODUCT((TRIM(tblDados[Mandante])=$A896)*tblDados[Primeira_Ocorrencia]*tblDados[GS_M]))</f>
        <v/>
      </c>
      <c r="X896" s="14" t="str" cm="1">
        <f t="array" ref="X896">IF($A896="","",SUMPRODUCT((TRIM(tblDados[Visitante])=$A896)*tblDados[Primeira_Ocorrencia]*tblDados[GS_V]))</f>
        <v/>
      </c>
      <c r="Y896" s="14" t="str">
        <f t="shared" si="229"/>
        <v/>
      </c>
      <c r="Z896" s="14" t="str">
        <f t="shared" si="218"/>
        <v/>
      </c>
      <c r="AA896" s="14" t="str">
        <f t="shared" si="219"/>
        <v/>
      </c>
      <c r="AB896" s="14" t="str">
        <f t="shared" si="220"/>
        <v/>
      </c>
      <c r="AC896" s="14" t="str">
        <f t="shared" si="221"/>
        <v/>
      </c>
      <c r="AD896" s="14" t="str">
        <f t="shared" si="222"/>
        <v/>
      </c>
    </row>
    <row r="897" spans="2:30" x14ac:dyDescent="0.3">
      <c r="B897" s="13" t="str" cm="1">
        <f t="array" ref="B897">IF($A897="","",_xlfn.LET(_xlpm.p,IFERROR(INDEX(tblDados[País],MATCH($A897,TRIM(tblDados[Mandante]),0)),INDEX(tblDados[País],MATCH($A897,TRIM(tblDados[Visitante]),0))),_xlpm.l,IFERROR(INDEX(tblDados[Liga],MATCH($A897,TRIM(tblDados[Mandante]),0)),INDEX(tblDados[Liga],MATCH($A897,TRIM(tblDados[Visitante]),0))),_xlpm.p&amp;" - "&amp;_xlpm.l))</f>
        <v/>
      </c>
      <c r="C897" s="14" t="str">
        <f t="shared" si="223"/>
        <v/>
      </c>
      <c r="D897" s="14" t="str">
        <f t="shared" si="224"/>
        <v/>
      </c>
      <c r="E897" s="15" t="str" cm="1">
        <f t="array" ref="E897">IF($A897="","",SUMPRODUCT((TRIM(tblDados[Mandante])=$A897)*tblDados[Primeira_Ocorrencia]))</f>
        <v/>
      </c>
      <c r="F897" s="15" t="str" cm="1">
        <f t="array" ref="F897">IF($A897="","",SUMPRODUCT((TRIM(tblDados[Visitante])=$A897)*tblDados[Primeira_Ocorrencia]))</f>
        <v/>
      </c>
      <c r="G897" s="15" t="str" cm="1">
        <f t="array" ref="G897">IF($A897="","",SUMPRODUCT((TRIM(tblDados[Mandante])=$A897)*tblDados[Primeira_Ocorrencia])+SUMPRODUCT((TRIM(tblDados[Visitante])=$A897)*tblDados[Primeira_Ocorrencia]))</f>
        <v/>
      </c>
      <c r="H897" s="14" t="str">
        <f t="shared" si="225"/>
        <v/>
      </c>
      <c r="I897" s="14" t="str" cm="1">
        <f t="array" ref="I897">IF($A897="","",_xlfn.LET(_xlpm.p,IFERROR(INDEX(tblDados[País],MATCH($A897,TRIM(tblDados[Mandante]),0)),INDEX(tblDados[País],MATCH($A897,TRIM(tblDados[Visitante]),0))),_xlpm.l,IFERROR(INDEX(tblDados[Liga],MATCH($A897,TRIM(tblDados[Mandante]),0)),INDEX(tblDados[Liga],MATCH($A897,TRIM(tblDados[Visitante]),0))),IFERROR(SUMIFS(Ligas!$D$2:$D$39,Ligas!$H$2:$H$39,_xlpm.p,Ligas!$I$2:$I$39,_xlpm.l),0)))</f>
        <v/>
      </c>
      <c r="J897" s="16" t="str" cm="1">
        <f t="array" ref="J897">IF($A897="","",IFERROR((SUMPRODUCT((TRIM(tblDados[Mandante])=$A897)*tblDados[Primeira_Ocorrencia]*(tblDados[GM_M]=0))+SUMPRODUCT((TRIM(tblDados[Visitante])=$A897)*tblDados[Primeira_Ocorrencia]*(tblDados[GM_V]=0)))/G897,0))</f>
        <v/>
      </c>
      <c r="K897" s="16" t="str" cm="1">
        <f t="array" ref="K897">IF($A897="","",IFERROR((SUMPRODUCT((TRIM(tblDados[Mandante])=$A897)*tblDados[Primeira_Ocorrencia]*((tblDados[GM_M]+tblDados[GS_M])&gt;0.5))+SUMPRODUCT((TRIM(tblDados[Visitante])=$A897)*tblDados[Primeira_Ocorrencia]*((tblDados[GM_V]+tblDados[GS_V])&gt;0.5)))/G897,0))</f>
        <v/>
      </c>
      <c r="L897" s="16" t="str" cm="1">
        <f t="array" ref="L897">IF($A897="","",IFERROR((SUMPRODUCT((TRIM(tblDados[Mandante])=$A897)*tblDados[Primeira_Ocorrencia]*((tblDados[GM_M]+tblDados[GS_M])&gt;1.5))+SUMPRODUCT((TRIM(tblDados[Visitante])=$A897)*tblDados[Primeira_Ocorrencia]*((tblDados[GM_V]+tblDados[GS_V])&gt;1.5)))/G897,0))</f>
        <v/>
      </c>
      <c r="M897" s="16" t="str" cm="1">
        <f t="array" ref="M897">IF($A897="","",IFERROR((SUMPRODUCT((TRIM(tblDados[Mandante])=$A897)*tblDados[Primeira_Ocorrencia]*((tblDados[GM_M]+tblDados[GS_M])&gt;2.5))+SUMPRODUCT((TRIM(tblDados[Visitante])=$A897)*tblDados[Primeira_Ocorrencia]*((tblDados[GM_V]+tblDados[GS_V])&gt;2.5)))/G897,0))</f>
        <v/>
      </c>
      <c r="N897" s="16" t="str" cm="1">
        <f t="array" ref="N897">IF($A897="","",IFERROR((SUMPRODUCT((TRIM(tblDados[Mandante])=$A897)*tblDados[Primeira_Ocorrencia]*((tblDados[GM_M]+tblDados[GS_M])&gt;3.5))+SUMPRODUCT((TRIM(tblDados[Visitante])=$A897)*tblDados[Primeira_Ocorrencia]*((tblDados[GM_V]+tblDados[GS_V])&gt;3.5)))/G897,0))</f>
        <v/>
      </c>
      <c r="O897" s="16" t="str" cm="1">
        <f t="array" ref="O897">IF($A897="","",IFERROR((SUMPRODUCT((TRIM(tblDados[Mandante])=$A897)*tblDados[Primeira_Ocorrencia]*(tblDados[GM_M]&gt;0)*(tblDados[GS_M]&gt;0))+SUMPRODUCT((TRIM(tblDados[Visitante])=$A897)*tblDados[Primeira_Ocorrencia]*(tblDados[GM_V]&gt;0)*(tblDados[GS_V]&gt;0)))/G897,0))</f>
        <v/>
      </c>
      <c r="P897" s="14" t="str" cm="1">
        <f t="array" ref="P897">IF($A897="","",IFERROR((SUMPRODUCT((TRIM(tblDados[Mandante])=$A897)*tblDados[Primeira_Ocorrencia]*tblDados[GM_M]^2)+SUMPRODUCT((TRIM(tblDados[Visitante])=$A897)*tblDados[Primeira_Ocorrencia]*tblDados[GM_V]^2))/G897-H897^2,0))</f>
        <v/>
      </c>
      <c r="Q897" s="14" t="str">
        <f t="shared" si="226"/>
        <v/>
      </c>
      <c r="R897" s="1" t="str">
        <f t="shared" si="227"/>
        <v/>
      </c>
      <c r="S897" s="14" t="str" cm="1">
        <f t="array" ref="S897">IF($A897="","",SUMPRODUCT((TRIM(tblDados[Mandante])=$A897)*tblDados[Primeira_Ocorrencia]*tblDados[GM_M]))</f>
        <v/>
      </c>
      <c r="T897" s="14" t="str" cm="1">
        <f t="array" ref="T897">IF($A897="","",SUMPRODUCT((TRIM(tblDados[Visitante])=$A897)*tblDados[Primeira_Ocorrencia]*tblDados[GM_V]))</f>
        <v/>
      </c>
      <c r="U897" s="14" t="str">
        <f t="shared" si="228"/>
        <v/>
      </c>
      <c r="V897" s="14" t="str">
        <f t="shared" si="217"/>
        <v/>
      </c>
      <c r="W897" s="14" t="str" cm="1">
        <f t="array" ref="W897">IF($A897="","",SUMPRODUCT((TRIM(tblDados[Mandante])=$A897)*tblDados[Primeira_Ocorrencia]*tblDados[GS_M]))</f>
        <v/>
      </c>
      <c r="X897" s="14" t="str" cm="1">
        <f t="array" ref="X897">IF($A897="","",SUMPRODUCT((TRIM(tblDados[Visitante])=$A897)*tblDados[Primeira_Ocorrencia]*tblDados[GS_V]))</f>
        <v/>
      </c>
      <c r="Y897" s="14" t="str">
        <f t="shared" si="229"/>
        <v/>
      </c>
      <c r="Z897" s="14" t="str">
        <f t="shared" si="218"/>
        <v/>
      </c>
      <c r="AA897" s="14" t="str">
        <f t="shared" si="219"/>
        <v/>
      </c>
      <c r="AB897" s="14" t="str">
        <f t="shared" si="220"/>
        <v/>
      </c>
      <c r="AC897" s="14" t="str">
        <f t="shared" si="221"/>
        <v/>
      </c>
      <c r="AD897" s="14" t="str">
        <f t="shared" si="222"/>
        <v/>
      </c>
    </row>
    <row r="898" spans="2:30" x14ac:dyDescent="0.3">
      <c r="B898" s="13" t="str" cm="1">
        <f t="array" ref="B898">IF($A898="","",_xlfn.LET(_xlpm.p,IFERROR(INDEX(tblDados[País],MATCH($A898,TRIM(tblDados[Mandante]),0)),INDEX(tblDados[País],MATCH($A898,TRIM(tblDados[Visitante]),0))),_xlpm.l,IFERROR(INDEX(tblDados[Liga],MATCH($A898,TRIM(tblDados[Mandante]),0)),INDEX(tblDados[Liga],MATCH($A898,TRIM(tblDados[Visitante]),0))),_xlpm.p&amp;" - "&amp;_xlpm.l))</f>
        <v/>
      </c>
      <c r="C898" s="14" t="str">
        <f t="shared" si="223"/>
        <v/>
      </c>
      <c r="D898" s="14" t="str">
        <f t="shared" si="224"/>
        <v/>
      </c>
      <c r="E898" s="15" t="str" cm="1">
        <f t="array" ref="E898">IF($A898="","",SUMPRODUCT((TRIM(tblDados[Mandante])=$A898)*tblDados[Primeira_Ocorrencia]))</f>
        <v/>
      </c>
      <c r="F898" s="15" t="str" cm="1">
        <f t="array" ref="F898">IF($A898="","",SUMPRODUCT((TRIM(tblDados[Visitante])=$A898)*tblDados[Primeira_Ocorrencia]))</f>
        <v/>
      </c>
      <c r="G898" s="15" t="str" cm="1">
        <f t="array" ref="G898">IF($A898="","",SUMPRODUCT((TRIM(tblDados[Mandante])=$A898)*tblDados[Primeira_Ocorrencia])+SUMPRODUCT((TRIM(tblDados[Visitante])=$A898)*tblDados[Primeira_Ocorrencia]))</f>
        <v/>
      </c>
      <c r="H898" s="14" t="str">
        <f t="shared" si="225"/>
        <v/>
      </c>
      <c r="I898" s="14" t="str" cm="1">
        <f t="array" ref="I898">IF($A898="","",_xlfn.LET(_xlpm.p,IFERROR(INDEX(tblDados[País],MATCH($A898,TRIM(tblDados[Mandante]),0)),INDEX(tblDados[País],MATCH($A898,TRIM(tblDados[Visitante]),0))),_xlpm.l,IFERROR(INDEX(tblDados[Liga],MATCH($A898,TRIM(tblDados[Mandante]),0)),INDEX(tblDados[Liga],MATCH($A898,TRIM(tblDados[Visitante]),0))),IFERROR(SUMIFS(Ligas!$D$2:$D$39,Ligas!$H$2:$H$39,_xlpm.p,Ligas!$I$2:$I$39,_xlpm.l),0)))</f>
        <v/>
      </c>
      <c r="J898" s="16" t="str" cm="1">
        <f t="array" ref="J898">IF($A898="","",IFERROR((SUMPRODUCT((TRIM(tblDados[Mandante])=$A898)*tblDados[Primeira_Ocorrencia]*(tblDados[GM_M]=0))+SUMPRODUCT((TRIM(tblDados[Visitante])=$A898)*tblDados[Primeira_Ocorrencia]*(tblDados[GM_V]=0)))/G898,0))</f>
        <v/>
      </c>
      <c r="K898" s="16" t="str" cm="1">
        <f t="array" ref="K898">IF($A898="","",IFERROR((SUMPRODUCT((TRIM(tblDados[Mandante])=$A898)*tblDados[Primeira_Ocorrencia]*((tblDados[GM_M]+tblDados[GS_M])&gt;0.5))+SUMPRODUCT((TRIM(tblDados[Visitante])=$A898)*tblDados[Primeira_Ocorrencia]*((tblDados[GM_V]+tblDados[GS_V])&gt;0.5)))/G898,0))</f>
        <v/>
      </c>
      <c r="L898" s="16" t="str" cm="1">
        <f t="array" ref="L898">IF($A898="","",IFERROR((SUMPRODUCT((TRIM(tblDados[Mandante])=$A898)*tblDados[Primeira_Ocorrencia]*((tblDados[GM_M]+tblDados[GS_M])&gt;1.5))+SUMPRODUCT((TRIM(tblDados[Visitante])=$A898)*tblDados[Primeira_Ocorrencia]*((tblDados[GM_V]+tblDados[GS_V])&gt;1.5)))/G898,0))</f>
        <v/>
      </c>
      <c r="M898" s="16" t="str" cm="1">
        <f t="array" ref="M898">IF($A898="","",IFERROR((SUMPRODUCT((TRIM(tblDados[Mandante])=$A898)*tblDados[Primeira_Ocorrencia]*((tblDados[GM_M]+tblDados[GS_M])&gt;2.5))+SUMPRODUCT((TRIM(tblDados[Visitante])=$A898)*tblDados[Primeira_Ocorrencia]*((tblDados[GM_V]+tblDados[GS_V])&gt;2.5)))/G898,0))</f>
        <v/>
      </c>
      <c r="N898" s="16" t="str" cm="1">
        <f t="array" ref="N898">IF($A898="","",IFERROR((SUMPRODUCT((TRIM(tblDados[Mandante])=$A898)*tblDados[Primeira_Ocorrencia]*((tblDados[GM_M]+tblDados[GS_M])&gt;3.5))+SUMPRODUCT((TRIM(tblDados[Visitante])=$A898)*tblDados[Primeira_Ocorrencia]*((tblDados[GM_V]+tblDados[GS_V])&gt;3.5)))/G898,0))</f>
        <v/>
      </c>
      <c r="O898" s="16" t="str" cm="1">
        <f t="array" ref="O898">IF($A898="","",IFERROR((SUMPRODUCT((TRIM(tblDados[Mandante])=$A898)*tblDados[Primeira_Ocorrencia]*(tblDados[GM_M]&gt;0)*(tblDados[GS_M]&gt;0))+SUMPRODUCT((TRIM(tblDados[Visitante])=$A898)*tblDados[Primeira_Ocorrencia]*(tblDados[GM_V]&gt;0)*(tblDados[GS_V]&gt;0)))/G898,0))</f>
        <v/>
      </c>
      <c r="P898" s="14" t="str" cm="1">
        <f t="array" ref="P898">IF($A898="","",IFERROR((SUMPRODUCT((TRIM(tblDados[Mandante])=$A898)*tblDados[Primeira_Ocorrencia]*tblDados[GM_M]^2)+SUMPRODUCT((TRIM(tblDados[Visitante])=$A898)*tblDados[Primeira_Ocorrencia]*tblDados[GM_V]^2))/G898-H898^2,0))</f>
        <v/>
      </c>
      <c r="Q898" s="14" t="str">
        <f t="shared" si="226"/>
        <v/>
      </c>
      <c r="R898" s="1" t="str">
        <f t="shared" si="227"/>
        <v/>
      </c>
      <c r="S898" s="14" t="str" cm="1">
        <f t="array" ref="S898">IF($A898="","",SUMPRODUCT((TRIM(tblDados[Mandante])=$A898)*tblDados[Primeira_Ocorrencia]*tblDados[GM_M]))</f>
        <v/>
      </c>
      <c r="T898" s="14" t="str" cm="1">
        <f t="array" ref="T898">IF($A898="","",SUMPRODUCT((TRIM(tblDados[Visitante])=$A898)*tblDados[Primeira_Ocorrencia]*tblDados[GM_V]))</f>
        <v/>
      </c>
      <c r="U898" s="14" t="str">
        <f t="shared" si="228"/>
        <v/>
      </c>
      <c r="V898" s="14" t="str">
        <f t="shared" ref="V898:V961" si="230">IF($A898="","",IFERROR(U898/G898,0))</f>
        <v/>
      </c>
      <c r="W898" s="14" t="str" cm="1">
        <f t="array" ref="W898">IF($A898="","",SUMPRODUCT((TRIM(tblDados[Mandante])=$A898)*tblDados[Primeira_Ocorrencia]*tblDados[GS_M]))</f>
        <v/>
      </c>
      <c r="X898" s="14" t="str" cm="1">
        <f t="array" ref="X898">IF($A898="","",SUMPRODUCT((TRIM(tblDados[Visitante])=$A898)*tblDados[Primeira_Ocorrencia]*tblDados[GS_V]))</f>
        <v/>
      </c>
      <c r="Y898" s="14" t="str">
        <f t="shared" si="229"/>
        <v/>
      </c>
      <c r="Z898" s="14" t="str">
        <f t="shared" ref="Z898:Z961" si="231">IF($A898="","",IFERROR(Y898/G898,0))</f>
        <v/>
      </c>
      <c r="AA898" s="14" t="str">
        <f t="shared" ref="AA898:AA961" si="232">IF($A898="","",IF($E898=0,"",$S898/$E898))</f>
        <v/>
      </c>
      <c r="AB898" s="14" t="str">
        <f t="shared" ref="AB898:AB961" si="233">IF($A898="","",IF($E898=0,"",$W898/$E898))</f>
        <v/>
      </c>
      <c r="AC898" s="14" t="str">
        <f t="shared" ref="AC898:AC961" si="234">IF($A898="","",IF($F898=0,"",$T898/$F898))</f>
        <v/>
      </c>
      <c r="AD898" s="14" t="str">
        <f t="shared" ref="AD898:AD961" si="235">IF($A898="","",IF($F898=0,"",$X898/$F898))</f>
        <v/>
      </c>
    </row>
    <row r="899" spans="2:30" x14ac:dyDescent="0.3">
      <c r="B899" s="13" t="str" cm="1">
        <f t="array" ref="B899">IF($A899="","",_xlfn.LET(_xlpm.p,IFERROR(INDEX(tblDados[País],MATCH($A899,TRIM(tblDados[Mandante]),0)),INDEX(tblDados[País],MATCH($A899,TRIM(tblDados[Visitante]),0))),_xlpm.l,IFERROR(INDEX(tblDados[Liga],MATCH($A899,TRIM(tblDados[Mandante]),0)),INDEX(tblDados[Liga],MATCH($A899,TRIM(tblDados[Visitante]),0))),_xlpm.p&amp;" - "&amp;_xlpm.l))</f>
        <v/>
      </c>
      <c r="C899" s="14" t="str">
        <f t="shared" ref="C899:C962" si="236">IF($A899="","",IF($E899=0,"",$AA899+$AB899))</f>
        <v/>
      </c>
      <c r="D899" s="14" t="str">
        <f t="shared" ref="D899:D962" si="237">IF($A899="","",IF($F899=0,"",$AC899+$AD899))</f>
        <v/>
      </c>
      <c r="E899" s="15" t="str" cm="1">
        <f t="array" ref="E899">IF($A899="","",SUMPRODUCT((TRIM(tblDados[Mandante])=$A899)*tblDados[Primeira_Ocorrencia]))</f>
        <v/>
      </c>
      <c r="F899" s="15" t="str" cm="1">
        <f t="array" ref="F899">IF($A899="","",SUMPRODUCT((TRIM(tblDados[Visitante])=$A899)*tblDados[Primeira_Ocorrencia]))</f>
        <v/>
      </c>
      <c r="G899" s="15" t="str" cm="1">
        <f t="array" ref="G899">IF($A899="","",SUMPRODUCT((TRIM(tblDados[Mandante])=$A899)*tblDados[Primeira_Ocorrencia])+SUMPRODUCT((TRIM(tblDados[Visitante])=$A899)*tblDados[Primeira_Ocorrencia]))</f>
        <v/>
      </c>
      <c r="H899" s="14" t="str">
        <f t="shared" ref="H899:H962" si="238">IF($A899="","",IFERROR($U899/$G899,0))</f>
        <v/>
      </c>
      <c r="I899" s="14" t="str" cm="1">
        <f t="array" ref="I899">IF($A899="","",_xlfn.LET(_xlpm.p,IFERROR(INDEX(tblDados[País],MATCH($A899,TRIM(tblDados[Mandante]),0)),INDEX(tblDados[País],MATCH($A899,TRIM(tblDados[Visitante]),0))),_xlpm.l,IFERROR(INDEX(tblDados[Liga],MATCH($A899,TRIM(tblDados[Mandante]),0)),INDEX(tblDados[Liga],MATCH($A899,TRIM(tblDados[Visitante]),0))),IFERROR(SUMIFS(Ligas!$D$2:$D$39,Ligas!$H$2:$H$39,_xlpm.p,Ligas!$I$2:$I$39,_xlpm.l),0)))</f>
        <v/>
      </c>
      <c r="J899" s="16" t="str" cm="1">
        <f t="array" ref="J899">IF($A899="","",IFERROR((SUMPRODUCT((TRIM(tblDados[Mandante])=$A899)*tblDados[Primeira_Ocorrencia]*(tblDados[GM_M]=0))+SUMPRODUCT((TRIM(tblDados[Visitante])=$A899)*tblDados[Primeira_Ocorrencia]*(tblDados[GM_V]=0)))/G899,0))</f>
        <v/>
      </c>
      <c r="K899" s="16" t="str" cm="1">
        <f t="array" ref="K899">IF($A899="","",IFERROR((SUMPRODUCT((TRIM(tblDados[Mandante])=$A899)*tblDados[Primeira_Ocorrencia]*((tblDados[GM_M]+tblDados[GS_M])&gt;0.5))+SUMPRODUCT((TRIM(tblDados[Visitante])=$A899)*tblDados[Primeira_Ocorrencia]*((tblDados[GM_V]+tblDados[GS_V])&gt;0.5)))/G899,0))</f>
        <v/>
      </c>
      <c r="L899" s="16" t="str" cm="1">
        <f t="array" ref="L899">IF($A899="","",IFERROR((SUMPRODUCT((TRIM(tblDados[Mandante])=$A899)*tblDados[Primeira_Ocorrencia]*((tblDados[GM_M]+tblDados[GS_M])&gt;1.5))+SUMPRODUCT((TRIM(tblDados[Visitante])=$A899)*tblDados[Primeira_Ocorrencia]*((tblDados[GM_V]+tblDados[GS_V])&gt;1.5)))/G899,0))</f>
        <v/>
      </c>
      <c r="M899" s="16" t="str" cm="1">
        <f t="array" ref="M899">IF($A899="","",IFERROR((SUMPRODUCT((TRIM(tblDados[Mandante])=$A899)*tblDados[Primeira_Ocorrencia]*((tblDados[GM_M]+tblDados[GS_M])&gt;2.5))+SUMPRODUCT((TRIM(tblDados[Visitante])=$A899)*tblDados[Primeira_Ocorrencia]*((tblDados[GM_V]+tblDados[GS_V])&gt;2.5)))/G899,0))</f>
        <v/>
      </c>
      <c r="N899" s="16" t="str" cm="1">
        <f t="array" ref="N899">IF($A899="","",IFERROR((SUMPRODUCT((TRIM(tblDados[Mandante])=$A899)*tblDados[Primeira_Ocorrencia]*((tblDados[GM_M]+tblDados[GS_M])&gt;3.5))+SUMPRODUCT((TRIM(tblDados[Visitante])=$A899)*tblDados[Primeira_Ocorrencia]*((tblDados[GM_V]+tblDados[GS_V])&gt;3.5)))/G899,0))</f>
        <v/>
      </c>
      <c r="O899" s="16" t="str" cm="1">
        <f t="array" ref="O899">IF($A899="","",IFERROR((SUMPRODUCT((TRIM(tblDados[Mandante])=$A899)*tblDados[Primeira_Ocorrencia]*(tblDados[GM_M]&gt;0)*(tblDados[GS_M]&gt;0))+SUMPRODUCT((TRIM(tblDados[Visitante])=$A899)*tblDados[Primeira_Ocorrencia]*(tblDados[GM_V]&gt;0)*(tblDados[GS_V]&gt;0)))/G899,0))</f>
        <v/>
      </c>
      <c r="P899" s="14" t="str" cm="1">
        <f t="array" ref="P899">IF($A899="","",IFERROR((SUMPRODUCT((TRIM(tblDados[Mandante])=$A899)*tblDados[Primeira_Ocorrencia]*tblDados[GM_M]^2)+SUMPRODUCT((TRIM(tblDados[Visitante])=$A899)*tblDados[Primeira_Ocorrencia]*tblDados[GM_V]^2))/G899-H899^2,0))</f>
        <v/>
      </c>
      <c r="Q899" s="14" t="str">
        <f t="shared" ref="Q899:Q962" si="239">IF($A899="","",IFERROR(SQRT(MAX(P899,0)),0))</f>
        <v/>
      </c>
      <c r="R899" s="1" t="str">
        <f t="shared" ref="R899:R962" si="240">IF(A899="","",IF(OR(G899&lt;5,H899=0),"Amostra Insuficiente",IF(_xlfn.CHISQ.DIST.RT(G899*P899/H899,G899-1)&lt;0.05,"Binomial Negativa","Poisson")))</f>
        <v/>
      </c>
      <c r="S899" s="14" t="str" cm="1">
        <f t="array" ref="S899">IF($A899="","",SUMPRODUCT((TRIM(tblDados[Mandante])=$A899)*tblDados[Primeira_Ocorrencia]*tblDados[GM_M]))</f>
        <v/>
      </c>
      <c r="T899" s="14" t="str" cm="1">
        <f t="array" ref="T899">IF($A899="","",SUMPRODUCT((TRIM(tblDados[Visitante])=$A899)*tblDados[Primeira_Ocorrencia]*tblDados[GM_V]))</f>
        <v/>
      </c>
      <c r="U899" s="14" t="str">
        <f t="shared" ref="U899:U962" si="241">IF($A899="","",S899+T899)</f>
        <v/>
      </c>
      <c r="V899" s="14" t="str">
        <f t="shared" si="230"/>
        <v/>
      </c>
      <c r="W899" s="14" t="str" cm="1">
        <f t="array" ref="W899">IF($A899="","",SUMPRODUCT((TRIM(tblDados[Mandante])=$A899)*tblDados[Primeira_Ocorrencia]*tblDados[GS_M]))</f>
        <v/>
      </c>
      <c r="X899" s="14" t="str" cm="1">
        <f t="array" ref="X899">IF($A899="","",SUMPRODUCT((TRIM(tblDados[Visitante])=$A899)*tblDados[Primeira_Ocorrencia]*tblDados[GS_V]))</f>
        <v/>
      </c>
      <c r="Y899" s="14" t="str">
        <f t="shared" ref="Y899:Y962" si="242">IF($A899="","",W899+X899)</f>
        <v/>
      </c>
      <c r="Z899" s="14" t="str">
        <f t="shared" si="231"/>
        <v/>
      </c>
      <c r="AA899" s="14" t="str">
        <f t="shared" si="232"/>
        <v/>
      </c>
      <c r="AB899" s="14" t="str">
        <f t="shared" si="233"/>
        <v/>
      </c>
      <c r="AC899" s="14" t="str">
        <f t="shared" si="234"/>
        <v/>
      </c>
      <c r="AD899" s="14" t="str">
        <f t="shared" si="235"/>
        <v/>
      </c>
    </row>
    <row r="900" spans="2:30" x14ac:dyDescent="0.3">
      <c r="B900" s="13" t="str" cm="1">
        <f t="array" ref="B900">IF($A900="","",_xlfn.LET(_xlpm.p,IFERROR(INDEX(tblDados[País],MATCH($A900,TRIM(tblDados[Mandante]),0)),INDEX(tblDados[País],MATCH($A900,TRIM(tblDados[Visitante]),0))),_xlpm.l,IFERROR(INDEX(tblDados[Liga],MATCH($A900,TRIM(tblDados[Mandante]),0)),INDEX(tblDados[Liga],MATCH($A900,TRIM(tblDados[Visitante]),0))),_xlpm.p&amp;" - "&amp;_xlpm.l))</f>
        <v/>
      </c>
      <c r="C900" s="14" t="str">
        <f t="shared" si="236"/>
        <v/>
      </c>
      <c r="D900" s="14" t="str">
        <f t="shared" si="237"/>
        <v/>
      </c>
      <c r="E900" s="15" t="str" cm="1">
        <f t="array" ref="E900">IF($A900="","",SUMPRODUCT((TRIM(tblDados[Mandante])=$A900)*tblDados[Primeira_Ocorrencia]))</f>
        <v/>
      </c>
      <c r="F900" s="15" t="str" cm="1">
        <f t="array" ref="F900">IF($A900="","",SUMPRODUCT((TRIM(tblDados[Visitante])=$A900)*tblDados[Primeira_Ocorrencia]))</f>
        <v/>
      </c>
      <c r="G900" s="15" t="str" cm="1">
        <f t="array" ref="G900">IF($A900="","",SUMPRODUCT((TRIM(tblDados[Mandante])=$A900)*tblDados[Primeira_Ocorrencia])+SUMPRODUCT((TRIM(tblDados[Visitante])=$A900)*tblDados[Primeira_Ocorrencia]))</f>
        <v/>
      </c>
      <c r="H900" s="14" t="str">
        <f t="shared" si="238"/>
        <v/>
      </c>
      <c r="I900" s="14" t="str" cm="1">
        <f t="array" ref="I900">IF($A900="","",_xlfn.LET(_xlpm.p,IFERROR(INDEX(tblDados[País],MATCH($A900,TRIM(tblDados[Mandante]),0)),INDEX(tblDados[País],MATCH($A900,TRIM(tblDados[Visitante]),0))),_xlpm.l,IFERROR(INDEX(tblDados[Liga],MATCH($A900,TRIM(tblDados[Mandante]),0)),INDEX(tblDados[Liga],MATCH($A900,TRIM(tblDados[Visitante]),0))),IFERROR(SUMIFS(Ligas!$D$2:$D$39,Ligas!$H$2:$H$39,_xlpm.p,Ligas!$I$2:$I$39,_xlpm.l),0)))</f>
        <v/>
      </c>
      <c r="J900" s="16" t="str" cm="1">
        <f t="array" ref="J900">IF($A900="","",IFERROR((SUMPRODUCT((TRIM(tblDados[Mandante])=$A900)*tblDados[Primeira_Ocorrencia]*(tblDados[GM_M]=0))+SUMPRODUCT((TRIM(tblDados[Visitante])=$A900)*tblDados[Primeira_Ocorrencia]*(tblDados[GM_V]=0)))/G900,0))</f>
        <v/>
      </c>
      <c r="K900" s="16" t="str" cm="1">
        <f t="array" ref="K900">IF($A900="","",IFERROR((SUMPRODUCT((TRIM(tblDados[Mandante])=$A900)*tblDados[Primeira_Ocorrencia]*((tblDados[GM_M]+tblDados[GS_M])&gt;0.5))+SUMPRODUCT((TRIM(tblDados[Visitante])=$A900)*tblDados[Primeira_Ocorrencia]*((tblDados[GM_V]+tblDados[GS_V])&gt;0.5)))/G900,0))</f>
        <v/>
      </c>
      <c r="L900" s="16" t="str" cm="1">
        <f t="array" ref="L900">IF($A900="","",IFERROR((SUMPRODUCT((TRIM(tblDados[Mandante])=$A900)*tblDados[Primeira_Ocorrencia]*((tblDados[GM_M]+tblDados[GS_M])&gt;1.5))+SUMPRODUCT((TRIM(tblDados[Visitante])=$A900)*tblDados[Primeira_Ocorrencia]*((tblDados[GM_V]+tblDados[GS_V])&gt;1.5)))/G900,0))</f>
        <v/>
      </c>
      <c r="M900" s="16" t="str" cm="1">
        <f t="array" ref="M900">IF($A900="","",IFERROR((SUMPRODUCT((TRIM(tblDados[Mandante])=$A900)*tblDados[Primeira_Ocorrencia]*((tblDados[GM_M]+tblDados[GS_M])&gt;2.5))+SUMPRODUCT((TRIM(tblDados[Visitante])=$A900)*tblDados[Primeira_Ocorrencia]*((tblDados[GM_V]+tblDados[GS_V])&gt;2.5)))/G900,0))</f>
        <v/>
      </c>
      <c r="N900" s="16" t="str" cm="1">
        <f t="array" ref="N900">IF($A900="","",IFERROR((SUMPRODUCT((TRIM(tblDados[Mandante])=$A900)*tblDados[Primeira_Ocorrencia]*((tblDados[GM_M]+tblDados[GS_M])&gt;3.5))+SUMPRODUCT((TRIM(tblDados[Visitante])=$A900)*tblDados[Primeira_Ocorrencia]*((tblDados[GM_V]+tblDados[GS_V])&gt;3.5)))/G900,0))</f>
        <v/>
      </c>
      <c r="O900" s="16" t="str" cm="1">
        <f t="array" ref="O900">IF($A900="","",IFERROR((SUMPRODUCT((TRIM(tblDados[Mandante])=$A900)*tblDados[Primeira_Ocorrencia]*(tblDados[GM_M]&gt;0)*(tblDados[GS_M]&gt;0))+SUMPRODUCT((TRIM(tblDados[Visitante])=$A900)*tblDados[Primeira_Ocorrencia]*(tblDados[GM_V]&gt;0)*(tblDados[GS_V]&gt;0)))/G900,0))</f>
        <v/>
      </c>
      <c r="P900" s="14" t="str" cm="1">
        <f t="array" ref="P900">IF($A900="","",IFERROR((SUMPRODUCT((TRIM(tblDados[Mandante])=$A900)*tblDados[Primeira_Ocorrencia]*tblDados[GM_M]^2)+SUMPRODUCT((TRIM(tblDados[Visitante])=$A900)*tblDados[Primeira_Ocorrencia]*tblDados[GM_V]^2))/G900-H900^2,0))</f>
        <v/>
      </c>
      <c r="Q900" s="14" t="str">
        <f t="shared" si="239"/>
        <v/>
      </c>
      <c r="R900" s="1" t="str">
        <f t="shared" si="240"/>
        <v/>
      </c>
      <c r="S900" s="14" t="str" cm="1">
        <f t="array" ref="S900">IF($A900="","",SUMPRODUCT((TRIM(tblDados[Mandante])=$A900)*tblDados[Primeira_Ocorrencia]*tblDados[GM_M]))</f>
        <v/>
      </c>
      <c r="T900" s="14" t="str" cm="1">
        <f t="array" ref="T900">IF($A900="","",SUMPRODUCT((TRIM(tblDados[Visitante])=$A900)*tblDados[Primeira_Ocorrencia]*tblDados[GM_V]))</f>
        <v/>
      </c>
      <c r="U900" s="14" t="str">
        <f t="shared" si="241"/>
        <v/>
      </c>
      <c r="V900" s="14" t="str">
        <f t="shared" si="230"/>
        <v/>
      </c>
      <c r="W900" s="14" t="str" cm="1">
        <f t="array" ref="W900">IF($A900="","",SUMPRODUCT((TRIM(tblDados[Mandante])=$A900)*tblDados[Primeira_Ocorrencia]*tblDados[GS_M]))</f>
        <v/>
      </c>
      <c r="X900" s="14" t="str" cm="1">
        <f t="array" ref="X900">IF($A900="","",SUMPRODUCT((TRIM(tblDados[Visitante])=$A900)*tblDados[Primeira_Ocorrencia]*tblDados[GS_V]))</f>
        <v/>
      </c>
      <c r="Y900" s="14" t="str">
        <f t="shared" si="242"/>
        <v/>
      </c>
      <c r="Z900" s="14" t="str">
        <f t="shared" si="231"/>
        <v/>
      </c>
      <c r="AA900" s="14" t="str">
        <f t="shared" si="232"/>
        <v/>
      </c>
      <c r="AB900" s="14" t="str">
        <f t="shared" si="233"/>
        <v/>
      </c>
      <c r="AC900" s="14" t="str">
        <f t="shared" si="234"/>
        <v/>
      </c>
      <c r="AD900" s="14" t="str">
        <f t="shared" si="235"/>
        <v/>
      </c>
    </row>
    <row r="901" spans="2:30" x14ac:dyDescent="0.3">
      <c r="B901" s="13" t="str" cm="1">
        <f t="array" ref="B901">IF($A901="","",_xlfn.LET(_xlpm.p,IFERROR(INDEX(tblDados[País],MATCH($A901,TRIM(tblDados[Mandante]),0)),INDEX(tblDados[País],MATCH($A901,TRIM(tblDados[Visitante]),0))),_xlpm.l,IFERROR(INDEX(tblDados[Liga],MATCH($A901,TRIM(tblDados[Mandante]),0)),INDEX(tblDados[Liga],MATCH($A901,TRIM(tblDados[Visitante]),0))),_xlpm.p&amp;" - "&amp;_xlpm.l))</f>
        <v/>
      </c>
      <c r="C901" s="14" t="str">
        <f t="shared" si="236"/>
        <v/>
      </c>
      <c r="D901" s="14" t="str">
        <f t="shared" si="237"/>
        <v/>
      </c>
      <c r="E901" s="15" t="str" cm="1">
        <f t="array" ref="E901">IF($A901="","",SUMPRODUCT((TRIM(tblDados[Mandante])=$A901)*tblDados[Primeira_Ocorrencia]))</f>
        <v/>
      </c>
      <c r="F901" s="15" t="str" cm="1">
        <f t="array" ref="F901">IF($A901="","",SUMPRODUCT((TRIM(tblDados[Visitante])=$A901)*tblDados[Primeira_Ocorrencia]))</f>
        <v/>
      </c>
      <c r="G901" s="15" t="str" cm="1">
        <f t="array" ref="G901">IF($A901="","",SUMPRODUCT((TRIM(tblDados[Mandante])=$A901)*tblDados[Primeira_Ocorrencia])+SUMPRODUCT((TRIM(tblDados[Visitante])=$A901)*tblDados[Primeira_Ocorrencia]))</f>
        <v/>
      </c>
      <c r="H901" s="14" t="str">
        <f t="shared" si="238"/>
        <v/>
      </c>
      <c r="I901" s="14" t="str" cm="1">
        <f t="array" ref="I901">IF($A901="","",_xlfn.LET(_xlpm.p,IFERROR(INDEX(tblDados[País],MATCH($A901,TRIM(tblDados[Mandante]),0)),INDEX(tblDados[País],MATCH($A901,TRIM(tblDados[Visitante]),0))),_xlpm.l,IFERROR(INDEX(tblDados[Liga],MATCH($A901,TRIM(tblDados[Mandante]),0)),INDEX(tblDados[Liga],MATCH($A901,TRIM(tblDados[Visitante]),0))),IFERROR(SUMIFS(Ligas!$D$2:$D$39,Ligas!$H$2:$H$39,_xlpm.p,Ligas!$I$2:$I$39,_xlpm.l),0)))</f>
        <v/>
      </c>
      <c r="J901" s="16" t="str" cm="1">
        <f t="array" ref="J901">IF($A901="","",IFERROR((SUMPRODUCT((TRIM(tblDados[Mandante])=$A901)*tblDados[Primeira_Ocorrencia]*(tblDados[GM_M]=0))+SUMPRODUCT((TRIM(tblDados[Visitante])=$A901)*tblDados[Primeira_Ocorrencia]*(tblDados[GM_V]=0)))/G901,0))</f>
        <v/>
      </c>
      <c r="K901" s="16" t="str" cm="1">
        <f t="array" ref="K901">IF($A901="","",IFERROR((SUMPRODUCT((TRIM(tblDados[Mandante])=$A901)*tblDados[Primeira_Ocorrencia]*((tblDados[GM_M]+tblDados[GS_M])&gt;0.5))+SUMPRODUCT((TRIM(tblDados[Visitante])=$A901)*tblDados[Primeira_Ocorrencia]*((tblDados[GM_V]+tblDados[GS_V])&gt;0.5)))/G901,0))</f>
        <v/>
      </c>
      <c r="L901" s="16" t="str" cm="1">
        <f t="array" ref="L901">IF($A901="","",IFERROR((SUMPRODUCT((TRIM(tblDados[Mandante])=$A901)*tblDados[Primeira_Ocorrencia]*((tblDados[GM_M]+tblDados[GS_M])&gt;1.5))+SUMPRODUCT((TRIM(tblDados[Visitante])=$A901)*tblDados[Primeira_Ocorrencia]*((tblDados[GM_V]+tblDados[GS_V])&gt;1.5)))/G901,0))</f>
        <v/>
      </c>
      <c r="M901" s="16" t="str" cm="1">
        <f t="array" ref="M901">IF($A901="","",IFERROR((SUMPRODUCT((TRIM(tblDados[Mandante])=$A901)*tblDados[Primeira_Ocorrencia]*((tblDados[GM_M]+tblDados[GS_M])&gt;2.5))+SUMPRODUCT((TRIM(tblDados[Visitante])=$A901)*tblDados[Primeira_Ocorrencia]*((tblDados[GM_V]+tblDados[GS_V])&gt;2.5)))/G901,0))</f>
        <v/>
      </c>
      <c r="N901" s="16" t="str" cm="1">
        <f t="array" ref="N901">IF($A901="","",IFERROR((SUMPRODUCT((TRIM(tblDados[Mandante])=$A901)*tblDados[Primeira_Ocorrencia]*((tblDados[GM_M]+tblDados[GS_M])&gt;3.5))+SUMPRODUCT((TRIM(tblDados[Visitante])=$A901)*tblDados[Primeira_Ocorrencia]*((tblDados[GM_V]+tblDados[GS_V])&gt;3.5)))/G901,0))</f>
        <v/>
      </c>
      <c r="O901" s="16" t="str" cm="1">
        <f t="array" ref="O901">IF($A901="","",IFERROR((SUMPRODUCT((TRIM(tblDados[Mandante])=$A901)*tblDados[Primeira_Ocorrencia]*(tblDados[GM_M]&gt;0)*(tblDados[GS_M]&gt;0))+SUMPRODUCT((TRIM(tblDados[Visitante])=$A901)*tblDados[Primeira_Ocorrencia]*(tblDados[GM_V]&gt;0)*(tblDados[GS_V]&gt;0)))/G901,0))</f>
        <v/>
      </c>
      <c r="P901" s="14" t="str" cm="1">
        <f t="array" ref="P901">IF($A901="","",IFERROR((SUMPRODUCT((TRIM(tblDados[Mandante])=$A901)*tblDados[Primeira_Ocorrencia]*tblDados[GM_M]^2)+SUMPRODUCT((TRIM(tblDados[Visitante])=$A901)*tblDados[Primeira_Ocorrencia]*tblDados[GM_V]^2))/G901-H901^2,0))</f>
        <v/>
      </c>
      <c r="Q901" s="14" t="str">
        <f t="shared" si="239"/>
        <v/>
      </c>
      <c r="R901" s="1" t="str">
        <f t="shared" si="240"/>
        <v/>
      </c>
      <c r="S901" s="14" t="str" cm="1">
        <f t="array" ref="S901">IF($A901="","",SUMPRODUCT((TRIM(tblDados[Mandante])=$A901)*tblDados[Primeira_Ocorrencia]*tblDados[GM_M]))</f>
        <v/>
      </c>
      <c r="T901" s="14" t="str" cm="1">
        <f t="array" ref="T901">IF($A901="","",SUMPRODUCT((TRIM(tblDados[Visitante])=$A901)*tblDados[Primeira_Ocorrencia]*tblDados[GM_V]))</f>
        <v/>
      </c>
      <c r="U901" s="14" t="str">
        <f t="shared" si="241"/>
        <v/>
      </c>
      <c r="V901" s="14" t="str">
        <f t="shared" si="230"/>
        <v/>
      </c>
      <c r="W901" s="14" t="str" cm="1">
        <f t="array" ref="W901">IF($A901="","",SUMPRODUCT((TRIM(tblDados[Mandante])=$A901)*tblDados[Primeira_Ocorrencia]*tblDados[GS_M]))</f>
        <v/>
      </c>
      <c r="X901" s="14" t="str" cm="1">
        <f t="array" ref="X901">IF($A901="","",SUMPRODUCT((TRIM(tblDados[Visitante])=$A901)*tblDados[Primeira_Ocorrencia]*tblDados[GS_V]))</f>
        <v/>
      </c>
      <c r="Y901" s="14" t="str">
        <f t="shared" si="242"/>
        <v/>
      </c>
      <c r="Z901" s="14" t="str">
        <f t="shared" si="231"/>
        <v/>
      </c>
      <c r="AA901" s="14" t="str">
        <f t="shared" si="232"/>
        <v/>
      </c>
      <c r="AB901" s="14" t="str">
        <f t="shared" si="233"/>
        <v/>
      </c>
      <c r="AC901" s="14" t="str">
        <f t="shared" si="234"/>
        <v/>
      </c>
      <c r="AD901" s="14" t="str">
        <f t="shared" si="235"/>
        <v/>
      </c>
    </row>
    <row r="902" spans="2:30" x14ac:dyDescent="0.3">
      <c r="B902" s="13" t="str" cm="1">
        <f t="array" ref="B902">IF($A902="","",_xlfn.LET(_xlpm.p,IFERROR(INDEX(tblDados[País],MATCH($A902,TRIM(tblDados[Mandante]),0)),INDEX(tblDados[País],MATCH($A902,TRIM(tblDados[Visitante]),0))),_xlpm.l,IFERROR(INDEX(tblDados[Liga],MATCH($A902,TRIM(tblDados[Mandante]),0)),INDEX(tblDados[Liga],MATCH($A902,TRIM(tblDados[Visitante]),0))),_xlpm.p&amp;" - "&amp;_xlpm.l))</f>
        <v/>
      </c>
      <c r="C902" s="14" t="str">
        <f t="shared" si="236"/>
        <v/>
      </c>
      <c r="D902" s="14" t="str">
        <f t="shared" si="237"/>
        <v/>
      </c>
      <c r="E902" s="15" t="str" cm="1">
        <f t="array" ref="E902">IF($A902="","",SUMPRODUCT((TRIM(tblDados[Mandante])=$A902)*tblDados[Primeira_Ocorrencia]))</f>
        <v/>
      </c>
      <c r="F902" s="15" t="str" cm="1">
        <f t="array" ref="F902">IF($A902="","",SUMPRODUCT((TRIM(tblDados[Visitante])=$A902)*tblDados[Primeira_Ocorrencia]))</f>
        <v/>
      </c>
      <c r="G902" s="15" t="str" cm="1">
        <f t="array" ref="G902">IF($A902="","",SUMPRODUCT((TRIM(tblDados[Mandante])=$A902)*tblDados[Primeira_Ocorrencia])+SUMPRODUCT((TRIM(tblDados[Visitante])=$A902)*tblDados[Primeira_Ocorrencia]))</f>
        <v/>
      </c>
      <c r="H902" s="14" t="str">
        <f t="shared" si="238"/>
        <v/>
      </c>
      <c r="I902" s="14" t="str" cm="1">
        <f t="array" ref="I902">IF($A902="","",_xlfn.LET(_xlpm.p,IFERROR(INDEX(tblDados[País],MATCH($A902,TRIM(tblDados[Mandante]),0)),INDEX(tblDados[País],MATCH($A902,TRIM(tblDados[Visitante]),0))),_xlpm.l,IFERROR(INDEX(tblDados[Liga],MATCH($A902,TRIM(tblDados[Mandante]),0)),INDEX(tblDados[Liga],MATCH($A902,TRIM(tblDados[Visitante]),0))),IFERROR(SUMIFS(Ligas!$D$2:$D$39,Ligas!$H$2:$H$39,_xlpm.p,Ligas!$I$2:$I$39,_xlpm.l),0)))</f>
        <v/>
      </c>
      <c r="J902" s="16" t="str" cm="1">
        <f t="array" ref="J902">IF($A902="","",IFERROR((SUMPRODUCT((TRIM(tblDados[Mandante])=$A902)*tblDados[Primeira_Ocorrencia]*(tblDados[GM_M]=0))+SUMPRODUCT((TRIM(tblDados[Visitante])=$A902)*tblDados[Primeira_Ocorrencia]*(tblDados[GM_V]=0)))/G902,0))</f>
        <v/>
      </c>
      <c r="K902" s="16" t="str" cm="1">
        <f t="array" ref="K902">IF($A902="","",IFERROR((SUMPRODUCT((TRIM(tblDados[Mandante])=$A902)*tblDados[Primeira_Ocorrencia]*((tblDados[GM_M]+tblDados[GS_M])&gt;0.5))+SUMPRODUCT((TRIM(tblDados[Visitante])=$A902)*tblDados[Primeira_Ocorrencia]*((tblDados[GM_V]+tblDados[GS_V])&gt;0.5)))/G902,0))</f>
        <v/>
      </c>
      <c r="L902" s="16" t="str" cm="1">
        <f t="array" ref="L902">IF($A902="","",IFERROR((SUMPRODUCT((TRIM(tblDados[Mandante])=$A902)*tblDados[Primeira_Ocorrencia]*((tblDados[GM_M]+tblDados[GS_M])&gt;1.5))+SUMPRODUCT((TRIM(tblDados[Visitante])=$A902)*tblDados[Primeira_Ocorrencia]*((tblDados[GM_V]+tblDados[GS_V])&gt;1.5)))/G902,0))</f>
        <v/>
      </c>
      <c r="M902" s="16" t="str" cm="1">
        <f t="array" ref="M902">IF($A902="","",IFERROR((SUMPRODUCT((TRIM(tblDados[Mandante])=$A902)*tblDados[Primeira_Ocorrencia]*((tblDados[GM_M]+tblDados[GS_M])&gt;2.5))+SUMPRODUCT((TRIM(tblDados[Visitante])=$A902)*tblDados[Primeira_Ocorrencia]*((tblDados[GM_V]+tblDados[GS_V])&gt;2.5)))/G902,0))</f>
        <v/>
      </c>
      <c r="N902" s="16" t="str" cm="1">
        <f t="array" ref="N902">IF($A902="","",IFERROR((SUMPRODUCT((TRIM(tblDados[Mandante])=$A902)*tblDados[Primeira_Ocorrencia]*((tblDados[GM_M]+tblDados[GS_M])&gt;3.5))+SUMPRODUCT((TRIM(tblDados[Visitante])=$A902)*tblDados[Primeira_Ocorrencia]*((tblDados[GM_V]+tblDados[GS_V])&gt;3.5)))/G902,0))</f>
        <v/>
      </c>
      <c r="O902" s="16" t="str" cm="1">
        <f t="array" ref="O902">IF($A902="","",IFERROR((SUMPRODUCT((TRIM(tblDados[Mandante])=$A902)*tblDados[Primeira_Ocorrencia]*(tblDados[GM_M]&gt;0)*(tblDados[GS_M]&gt;0))+SUMPRODUCT((TRIM(tblDados[Visitante])=$A902)*tblDados[Primeira_Ocorrencia]*(tblDados[GM_V]&gt;0)*(tblDados[GS_V]&gt;0)))/G902,0))</f>
        <v/>
      </c>
      <c r="P902" s="14" t="str" cm="1">
        <f t="array" ref="P902">IF($A902="","",IFERROR((SUMPRODUCT((TRIM(tblDados[Mandante])=$A902)*tblDados[Primeira_Ocorrencia]*tblDados[GM_M]^2)+SUMPRODUCT((TRIM(tblDados[Visitante])=$A902)*tblDados[Primeira_Ocorrencia]*tblDados[GM_V]^2))/G902-H902^2,0))</f>
        <v/>
      </c>
      <c r="Q902" s="14" t="str">
        <f t="shared" si="239"/>
        <v/>
      </c>
      <c r="R902" s="1" t="str">
        <f t="shared" si="240"/>
        <v/>
      </c>
      <c r="S902" s="14" t="str" cm="1">
        <f t="array" ref="S902">IF($A902="","",SUMPRODUCT((TRIM(tblDados[Mandante])=$A902)*tblDados[Primeira_Ocorrencia]*tblDados[GM_M]))</f>
        <v/>
      </c>
      <c r="T902" s="14" t="str" cm="1">
        <f t="array" ref="T902">IF($A902="","",SUMPRODUCT((TRIM(tblDados[Visitante])=$A902)*tblDados[Primeira_Ocorrencia]*tblDados[GM_V]))</f>
        <v/>
      </c>
      <c r="U902" s="14" t="str">
        <f t="shared" si="241"/>
        <v/>
      </c>
      <c r="V902" s="14" t="str">
        <f t="shared" si="230"/>
        <v/>
      </c>
      <c r="W902" s="14" t="str" cm="1">
        <f t="array" ref="W902">IF($A902="","",SUMPRODUCT((TRIM(tblDados[Mandante])=$A902)*tblDados[Primeira_Ocorrencia]*tblDados[GS_M]))</f>
        <v/>
      </c>
      <c r="X902" s="14" t="str" cm="1">
        <f t="array" ref="X902">IF($A902="","",SUMPRODUCT((TRIM(tblDados[Visitante])=$A902)*tblDados[Primeira_Ocorrencia]*tblDados[GS_V]))</f>
        <v/>
      </c>
      <c r="Y902" s="14" t="str">
        <f t="shared" si="242"/>
        <v/>
      </c>
      <c r="Z902" s="14" t="str">
        <f t="shared" si="231"/>
        <v/>
      </c>
      <c r="AA902" s="14" t="str">
        <f t="shared" si="232"/>
        <v/>
      </c>
      <c r="AB902" s="14" t="str">
        <f t="shared" si="233"/>
        <v/>
      </c>
      <c r="AC902" s="14" t="str">
        <f t="shared" si="234"/>
        <v/>
      </c>
      <c r="AD902" s="14" t="str">
        <f t="shared" si="235"/>
        <v/>
      </c>
    </row>
    <row r="903" spans="2:30" x14ac:dyDescent="0.3">
      <c r="B903" s="13" t="str" cm="1">
        <f t="array" ref="B903">IF($A903="","",_xlfn.LET(_xlpm.p,IFERROR(INDEX(tblDados[País],MATCH($A903,TRIM(tblDados[Mandante]),0)),INDEX(tblDados[País],MATCH($A903,TRIM(tblDados[Visitante]),0))),_xlpm.l,IFERROR(INDEX(tblDados[Liga],MATCH($A903,TRIM(tblDados[Mandante]),0)),INDEX(tblDados[Liga],MATCH($A903,TRIM(tblDados[Visitante]),0))),_xlpm.p&amp;" - "&amp;_xlpm.l))</f>
        <v/>
      </c>
      <c r="C903" s="14" t="str">
        <f t="shared" si="236"/>
        <v/>
      </c>
      <c r="D903" s="14" t="str">
        <f t="shared" si="237"/>
        <v/>
      </c>
      <c r="E903" s="15" t="str" cm="1">
        <f t="array" ref="E903">IF($A903="","",SUMPRODUCT((TRIM(tblDados[Mandante])=$A903)*tblDados[Primeira_Ocorrencia]))</f>
        <v/>
      </c>
      <c r="F903" s="15" t="str" cm="1">
        <f t="array" ref="F903">IF($A903="","",SUMPRODUCT((TRIM(tblDados[Visitante])=$A903)*tblDados[Primeira_Ocorrencia]))</f>
        <v/>
      </c>
      <c r="G903" s="15" t="str" cm="1">
        <f t="array" ref="G903">IF($A903="","",SUMPRODUCT((TRIM(tblDados[Mandante])=$A903)*tblDados[Primeira_Ocorrencia])+SUMPRODUCT((TRIM(tblDados[Visitante])=$A903)*tblDados[Primeira_Ocorrencia]))</f>
        <v/>
      </c>
      <c r="H903" s="14" t="str">
        <f t="shared" si="238"/>
        <v/>
      </c>
      <c r="I903" s="14" t="str" cm="1">
        <f t="array" ref="I903">IF($A903="","",_xlfn.LET(_xlpm.p,IFERROR(INDEX(tblDados[País],MATCH($A903,TRIM(tblDados[Mandante]),0)),INDEX(tblDados[País],MATCH($A903,TRIM(tblDados[Visitante]),0))),_xlpm.l,IFERROR(INDEX(tblDados[Liga],MATCH($A903,TRIM(tblDados[Mandante]),0)),INDEX(tblDados[Liga],MATCH($A903,TRIM(tblDados[Visitante]),0))),IFERROR(SUMIFS(Ligas!$D$2:$D$39,Ligas!$H$2:$H$39,_xlpm.p,Ligas!$I$2:$I$39,_xlpm.l),0)))</f>
        <v/>
      </c>
      <c r="J903" s="16" t="str" cm="1">
        <f t="array" ref="J903">IF($A903="","",IFERROR((SUMPRODUCT((TRIM(tblDados[Mandante])=$A903)*tblDados[Primeira_Ocorrencia]*(tblDados[GM_M]=0))+SUMPRODUCT((TRIM(tblDados[Visitante])=$A903)*tblDados[Primeira_Ocorrencia]*(tblDados[GM_V]=0)))/G903,0))</f>
        <v/>
      </c>
      <c r="K903" s="16" t="str" cm="1">
        <f t="array" ref="K903">IF($A903="","",IFERROR((SUMPRODUCT((TRIM(tblDados[Mandante])=$A903)*tblDados[Primeira_Ocorrencia]*((tblDados[GM_M]+tblDados[GS_M])&gt;0.5))+SUMPRODUCT((TRIM(tblDados[Visitante])=$A903)*tblDados[Primeira_Ocorrencia]*((tblDados[GM_V]+tblDados[GS_V])&gt;0.5)))/G903,0))</f>
        <v/>
      </c>
      <c r="L903" s="16" t="str" cm="1">
        <f t="array" ref="L903">IF($A903="","",IFERROR((SUMPRODUCT((TRIM(tblDados[Mandante])=$A903)*tblDados[Primeira_Ocorrencia]*((tblDados[GM_M]+tblDados[GS_M])&gt;1.5))+SUMPRODUCT((TRIM(tblDados[Visitante])=$A903)*tblDados[Primeira_Ocorrencia]*((tblDados[GM_V]+tblDados[GS_V])&gt;1.5)))/G903,0))</f>
        <v/>
      </c>
      <c r="M903" s="16" t="str" cm="1">
        <f t="array" ref="M903">IF($A903="","",IFERROR((SUMPRODUCT((TRIM(tblDados[Mandante])=$A903)*tblDados[Primeira_Ocorrencia]*((tblDados[GM_M]+tblDados[GS_M])&gt;2.5))+SUMPRODUCT((TRIM(tblDados[Visitante])=$A903)*tblDados[Primeira_Ocorrencia]*((tblDados[GM_V]+tblDados[GS_V])&gt;2.5)))/G903,0))</f>
        <v/>
      </c>
      <c r="N903" s="16" t="str" cm="1">
        <f t="array" ref="N903">IF($A903="","",IFERROR((SUMPRODUCT((TRIM(tblDados[Mandante])=$A903)*tblDados[Primeira_Ocorrencia]*((tblDados[GM_M]+tblDados[GS_M])&gt;3.5))+SUMPRODUCT((TRIM(tblDados[Visitante])=$A903)*tblDados[Primeira_Ocorrencia]*((tblDados[GM_V]+tblDados[GS_V])&gt;3.5)))/G903,0))</f>
        <v/>
      </c>
      <c r="O903" s="16" t="str" cm="1">
        <f t="array" ref="O903">IF($A903="","",IFERROR((SUMPRODUCT((TRIM(tblDados[Mandante])=$A903)*tblDados[Primeira_Ocorrencia]*(tblDados[GM_M]&gt;0)*(tblDados[GS_M]&gt;0))+SUMPRODUCT((TRIM(tblDados[Visitante])=$A903)*tblDados[Primeira_Ocorrencia]*(tblDados[GM_V]&gt;0)*(tblDados[GS_V]&gt;0)))/G903,0))</f>
        <v/>
      </c>
      <c r="P903" s="14" t="str" cm="1">
        <f t="array" ref="P903">IF($A903="","",IFERROR((SUMPRODUCT((TRIM(tblDados[Mandante])=$A903)*tblDados[Primeira_Ocorrencia]*tblDados[GM_M]^2)+SUMPRODUCT((TRIM(tblDados[Visitante])=$A903)*tblDados[Primeira_Ocorrencia]*tblDados[GM_V]^2))/G903-H903^2,0))</f>
        <v/>
      </c>
      <c r="Q903" s="14" t="str">
        <f t="shared" si="239"/>
        <v/>
      </c>
      <c r="R903" s="1" t="str">
        <f t="shared" si="240"/>
        <v/>
      </c>
      <c r="S903" s="14" t="str" cm="1">
        <f t="array" ref="S903">IF($A903="","",SUMPRODUCT((TRIM(tblDados[Mandante])=$A903)*tblDados[Primeira_Ocorrencia]*tblDados[GM_M]))</f>
        <v/>
      </c>
      <c r="T903" s="14" t="str" cm="1">
        <f t="array" ref="T903">IF($A903="","",SUMPRODUCT((TRIM(tblDados[Visitante])=$A903)*tblDados[Primeira_Ocorrencia]*tblDados[GM_V]))</f>
        <v/>
      </c>
      <c r="U903" s="14" t="str">
        <f t="shared" si="241"/>
        <v/>
      </c>
      <c r="V903" s="14" t="str">
        <f t="shared" si="230"/>
        <v/>
      </c>
      <c r="W903" s="14" t="str" cm="1">
        <f t="array" ref="W903">IF($A903="","",SUMPRODUCT((TRIM(tblDados[Mandante])=$A903)*tblDados[Primeira_Ocorrencia]*tblDados[GS_M]))</f>
        <v/>
      </c>
      <c r="X903" s="14" t="str" cm="1">
        <f t="array" ref="X903">IF($A903="","",SUMPRODUCT((TRIM(tblDados[Visitante])=$A903)*tblDados[Primeira_Ocorrencia]*tblDados[GS_V]))</f>
        <v/>
      </c>
      <c r="Y903" s="14" t="str">
        <f t="shared" si="242"/>
        <v/>
      </c>
      <c r="Z903" s="14" t="str">
        <f t="shared" si="231"/>
        <v/>
      </c>
      <c r="AA903" s="14" t="str">
        <f t="shared" si="232"/>
        <v/>
      </c>
      <c r="AB903" s="14" t="str">
        <f t="shared" si="233"/>
        <v/>
      </c>
      <c r="AC903" s="14" t="str">
        <f t="shared" si="234"/>
        <v/>
      </c>
      <c r="AD903" s="14" t="str">
        <f t="shared" si="235"/>
        <v/>
      </c>
    </row>
    <row r="904" spans="2:30" x14ac:dyDescent="0.3">
      <c r="B904" s="13" t="str" cm="1">
        <f t="array" ref="B904">IF($A904="","",_xlfn.LET(_xlpm.p,IFERROR(INDEX(tblDados[País],MATCH($A904,TRIM(tblDados[Mandante]),0)),INDEX(tblDados[País],MATCH($A904,TRIM(tblDados[Visitante]),0))),_xlpm.l,IFERROR(INDEX(tblDados[Liga],MATCH($A904,TRIM(tblDados[Mandante]),0)),INDEX(tblDados[Liga],MATCH($A904,TRIM(tblDados[Visitante]),0))),_xlpm.p&amp;" - "&amp;_xlpm.l))</f>
        <v/>
      </c>
      <c r="C904" s="14" t="str">
        <f t="shared" si="236"/>
        <v/>
      </c>
      <c r="D904" s="14" t="str">
        <f t="shared" si="237"/>
        <v/>
      </c>
      <c r="E904" s="15" t="str" cm="1">
        <f t="array" ref="E904">IF($A904="","",SUMPRODUCT((TRIM(tblDados[Mandante])=$A904)*tblDados[Primeira_Ocorrencia]))</f>
        <v/>
      </c>
      <c r="F904" s="15" t="str" cm="1">
        <f t="array" ref="F904">IF($A904="","",SUMPRODUCT((TRIM(tblDados[Visitante])=$A904)*tblDados[Primeira_Ocorrencia]))</f>
        <v/>
      </c>
      <c r="G904" s="15" t="str" cm="1">
        <f t="array" ref="G904">IF($A904="","",SUMPRODUCT((TRIM(tblDados[Mandante])=$A904)*tblDados[Primeira_Ocorrencia])+SUMPRODUCT((TRIM(tblDados[Visitante])=$A904)*tblDados[Primeira_Ocorrencia]))</f>
        <v/>
      </c>
      <c r="H904" s="14" t="str">
        <f t="shared" si="238"/>
        <v/>
      </c>
      <c r="I904" s="14" t="str" cm="1">
        <f t="array" ref="I904">IF($A904="","",_xlfn.LET(_xlpm.p,IFERROR(INDEX(tblDados[País],MATCH($A904,TRIM(tblDados[Mandante]),0)),INDEX(tblDados[País],MATCH($A904,TRIM(tblDados[Visitante]),0))),_xlpm.l,IFERROR(INDEX(tblDados[Liga],MATCH($A904,TRIM(tblDados[Mandante]),0)),INDEX(tblDados[Liga],MATCH($A904,TRIM(tblDados[Visitante]),0))),IFERROR(SUMIFS(Ligas!$D$2:$D$39,Ligas!$H$2:$H$39,_xlpm.p,Ligas!$I$2:$I$39,_xlpm.l),0)))</f>
        <v/>
      </c>
      <c r="J904" s="16" t="str" cm="1">
        <f t="array" ref="J904">IF($A904="","",IFERROR((SUMPRODUCT((TRIM(tblDados[Mandante])=$A904)*tblDados[Primeira_Ocorrencia]*(tblDados[GM_M]=0))+SUMPRODUCT((TRIM(tblDados[Visitante])=$A904)*tblDados[Primeira_Ocorrencia]*(tblDados[GM_V]=0)))/G904,0))</f>
        <v/>
      </c>
      <c r="K904" s="16" t="str" cm="1">
        <f t="array" ref="K904">IF($A904="","",IFERROR((SUMPRODUCT((TRIM(tblDados[Mandante])=$A904)*tblDados[Primeira_Ocorrencia]*((tblDados[GM_M]+tblDados[GS_M])&gt;0.5))+SUMPRODUCT((TRIM(tblDados[Visitante])=$A904)*tblDados[Primeira_Ocorrencia]*((tblDados[GM_V]+tblDados[GS_V])&gt;0.5)))/G904,0))</f>
        <v/>
      </c>
      <c r="L904" s="16" t="str" cm="1">
        <f t="array" ref="L904">IF($A904="","",IFERROR((SUMPRODUCT((TRIM(tblDados[Mandante])=$A904)*tblDados[Primeira_Ocorrencia]*((tblDados[GM_M]+tblDados[GS_M])&gt;1.5))+SUMPRODUCT((TRIM(tblDados[Visitante])=$A904)*tblDados[Primeira_Ocorrencia]*((tblDados[GM_V]+tblDados[GS_V])&gt;1.5)))/G904,0))</f>
        <v/>
      </c>
      <c r="M904" s="16" t="str" cm="1">
        <f t="array" ref="M904">IF($A904="","",IFERROR((SUMPRODUCT((TRIM(tblDados[Mandante])=$A904)*tblDados[Primeira_Ocorrencia]*((tblDados[GM_M]+tblDados[GS_M])&gt;2.5))+SUMPRODUCT((TRIM(tblDados[Visitante])=$A904)*tblDados[Primeira_Ocorrencia]*((tblDados[GM_V]+tblDados[GS_V])&gt;2.5)))/G904,0))</f>
        <v/>
      </c>
      <c r="N904" s="16" t="str" cm="1">
        <f t="array" ref="N904">IF($A904="","",IFERROR((SUMPRODUCT((TRIM(tblDados[Mandante])=$A904)*tblDados[Primeira_Ocorrencia]*((tblDados[GM_M]+tblDados[GS_M])&gt;3.5))+SUMPRODUCT((TRIM(tblDados[Visitante])=$A904)*tblDados[Primeira_Ocorrencia]*((tblDados[GM_V]+tblDados[GS_V])&gt;3.5)))/G904,0))</f>
        <v/>
      </c>
      <c r="O904" s="16" t="str" cm="1">
        <f t="array" ref="O904">IF($A904="","",IFERROR((SUMPRODUCT((TRIM(tblDados[Mandante])=$A904)*tblDados[Primeira_Ocorrencia]*(tblDados[GM_M]&gt;0)*(tblDados[GS_M]&gt;0))+SUMPRODUCT((TRIM(tblDados[Visitante])=$A904)*tblDados[Primeira_Ocorrencia]*(tblDados[GM_V]&gt;0)*(tblDados[GS_V]&gt;0)))/G904,0))</f>
        <v/>
      </c>
      <c r="P904" s="14" t="str" cm="1">
        <f t="array" ref="P904">IF($A904="","",IFERROR((SUMPRODUCT((TRIM(tblDados[Mandante])=$A904)*tblDados[Primeira_Ocorrencia]*tblDados[GM_M]^2)+SUMPRODUCT((TRIM(tblDados[Visitante])=$A904)*tblDados[Primeira_Ocorrencia]*tblDados[GM_V]^2))/G904-H904^2,0))</f>
        <v/>
      </c>
      <c r="Q904" s="14" t="str">
        <f t="shared" si="239"/>
        <v/>
      </c>
      <c r="R904" s="1" t="str">
        <f t="shared" si="240"/>
        <v/>
      </c>
      <c r="S904" s="14" t="str" cm="1">
        <f t="array" ref="S904">IF($A904="","",SUMPRODUCT((TRIM(tblDados[Mandante])=$A904)*tblDados[Primeira_Ocorrencia]*tblDados[GM_M]))</f>
        <v/>
      </c>
      <c r="T904" s="14" t="str" cm="1">
        <f t="array" ref="T904">IF($A904="","",SUMPRODUCT((TRIM(tblDados[Visitante])=$A904)*tblDados[Primeira_Ocorrencia]*tblDados[GM_V]))</f>
        <v/>
      </c>
      <c r="U904" s="14" t="str">
        <f t="shared" si="241"/>
        <v/>
      </c>
      <c r="V904" s="14" t="str">
        <f t="shared" si="230"/>
        <v/>
      </c>
      <c r="W904" s="14" t="str" cm="1">
        <f t="array" ref="W904">IF($A904="","",SUMPRODUCT((TRIM(tblDados[Mandante])=$A904)*tblDados[Primeira_Ocorrencia]*tblDados[GS_M]))</f>
        <v/>
      </c>
      <c r="X904" s="14" t="str" cm="1">
        <f t="array" ref="X904">IF($A904="","",SUMPRODUCT((TRIM(tblDados[Visitante])=$A904)*tblDados[Primeira_Ocorrencia]*tblDados[GS_V]))</f>
        <v/>
      </c>
      <c r="Y904" s="14" t="str">
        <f t="shared" si="242"/>
        <v/>
      </c>
      <c r="Z904" s="14" t="str">
        <f t="shared" si="231"/>
        <v/>
      </c>
      <c r="AA904" s="14" t="str">
        <f t="shared" si="232"/>
        <v/>
      </c>
      <c r="AB904" s="14" t="str">
        <f t="shared" si="233"/>
        <v/>
      </c>
      <c r="AC904" s="14" t="str">
        <f t="shared" si="234"/>
        <v/>
      </c>
      <c r="AD904" s="14" t="str">
        <f t="shared" si="235"/>
        <v/>
      </c>
    </row>
    <row r="905" spans="2:30" x14ac:dyDescent="0.3">
      <c r="B905" s="13" t="str" cm="1">
        <f t="array" ref="B905">IF($A905="","",_xlfn.LET(_xlpm.p,IFERROR(INDEX(tblDados[País],MATCH($A905,TRIM(tblDados[Mandante]),0)),INDEX(tblDados[País],MATCH($A905,TRIM(tblDados[Visitante]),0))),_xlpm.l,IFERROR(INDEX(tblDados[Liga],MATCH($A905,TRIM(tblDados[Mandante]),0)),INDEX(tblDados[Liga],MATCH($A905,TRIM(tblDados[Visitante]),0))),_xlpm.p&amp;" - "&amp;_xlpm.l))</f>
        <v/>
      </c>
      <c r="C905" s="14" t="str">
        <f t="shared" si="236"/>
        <v/>
      </c>
      <c r="D905" s="14" t="str">
        <f t="shared" si="237"/>
        <v/>
      </c>
      <c r="E905" s="15" t="str" cm="1">
        <f t="array" ref="E905">IF($A905="","",SUMPRODUCT((TRIM(tblDados[Mandante])=$A905)*tblDados[Primeira_Ocorrencia]))</f>
        <v/>
      </c>
      <c r="F905" s="15" t="str" cm="1">
        <f t="array" ref="F905">IF($A905="","",SUMPRODUCT((TRIM(tblDados[Visitante])=$A905)*tblDados[Primeira_Ocorrencia]))</f>
        <v/>
      </c>
      <c r="G905" s="15" t="str" cm="1">
        <f t="array" ref="G905">IF($A905="","",SUMPRODUCT((TRIM(tblDados[Mandante])=$A905)*tblDados[Primeira_Ocorrencia])+SUMPRODUCT((TRIM(tblDados[Visitante])=$A905)*tblDados[Primeira_Ocorrencia]))</f>
        <v/>
      </c>
      <c r="H905" s="14" t="str">
        <f t="shared" si="238"/>
        <v/>
      </c>
      <c r="I905" s="14" t="str" cm="1">
        <f t="array" ref="I905">IF($A905="","",_xlfn.LET(_xlpm.p,IFERROR(INDEX(tblDados[País],MATCH($A905,TRIM(tblDados[Mandante]),0)),INDEX(tblDados[País],MATCH($A905,TRIM(tblDados[Visitante]),0))),_xlpm.l,IFERROR(INDEX(tblDados[Liga],MATCH($A905,TRIM(tblDados[Mandante]),0)),INDEX(tblDados[Liga],MATCH($A905,TRIM(tblDados[Visitante]),0))),IFERROR(SUMIFS(Ligas!$D$2:$D$39,Ligas!$H$2:$H$39,_xlpm.p,Ligas!$I$2:$I$39,_xlpm.l),0)))</f>
        <v/>
      </c>
      <c r="J905" s="16" t="str" cm="1">
        <f t="array" ref="J905">IF($A905="","",IFERROR((SUMPRODUCT((TRIM(tblDados[Mandante])=$A905)*tblDados[Primeira_Ocorrencia]*(tblDados[GM_M]=0))+SUMPRODUCT((TRIM(tblDados[Visitante])=$A905)*tblDados[Primeira_Ocorrencia]*(tblDados[GM_V]=0)))/G905,0))</f>
        <v/>
      </c>
      <c r="K905" s="16" t="str" cm="1">
        <f t="array" ref="K905">IF($A905="","",IFERROR((SUMPRODUCT((TRIM(tblDados[Mandante])=$A905)*tblDados[Primeira_Ocorrencia]*((tblDados[GM_M]+tblDados[GS_M])&gt;0.5))+SUMPRODUCT((TRIM(tblDados[Visitante])=$A905)*tblDados[Primeira_Ocorrencia]*((tblDados[GM_V]+tblDados[GS_V])&gt;0.5)))/G905,0))</f>
        <v/>
      </c>
      <c r="L905" s="16" t="str" cm="1">
        <f t="array" ref="L905">IF($A905="","",IFERROR((SUMPRODUCT((TRIM(tblDados[Mandante])=$A905)*tblDados[Primeira_Ocorrencia]*((tblDados[GM_M]+tblDados[GS_M])&gt;1.5))+SUMPRODUCT((TRIM(tblDados[Visitante])=$A905)*tblDados[Primeira_Ocorrencia]*((tblDados[GM_V]+tblDados[GS_V])&gt;1.5)))/G905,0))</f>
        <v/>
      </c>
      <c r="M905" s="16" t="str" cm="1">
        <f t="array" ref="M905">IF($A905="","",IFERROR((SUMPRODUCT((TRIM(tblDados[Mandante])=$A905)*tblDados[Primeira_Ocorrencia]*((tblDados[GM_M]+tblDados[GS_M])&gt;2.5))+SUMPRODUCT((TRIM(tblDados[Visitante])=$A905)*tblDados[Primeira_Ocorrencia]*((tblDados[GM_V]+tblDados[GS_V])&gt;2.5)))/G905,0))</f>
        <v/>
      </c>
      <c r="N905" s="16" t="str" cm="1">
        <f t="array" ref="N905">IF($A905="","",IFERROR((SUMPRODUCT((TRIM(tblDados[Mandante])=$A905)*tblDados[Primeira_Ocorrencia]*((tblDados[GM_M]+tblDados[GS_M])&gt;3.5))+SUMPRODUCT((TRIM(tblDados[Visitante])=$A905)*tblDados[Primeira_Ocorrencia]*((tblDados[GM_V]+tblDados[GS_V])&gt;3.5)))/G905,0))</f>
        <v/>
      </c>
      <c r="O905" s="16" t="str" cm="1">
        <f t="array" ref="O905">IF($A905="","",IFERROR((SUMPRODUCT((TRIM(tblDados[Mandante])=$A905)*tblDados[Primeira_Ocorrencia]*(tblDados[GM_M]&gt;0)*(tblDados[GS_M]&gt;0))+SUMPRODUCT((TRIM(tblDados[Visitante])=$A905)*tblDados[Primeira_Ocorrencia]*(tblDados[GM_V]&gt;0)*(tblDados[GS_V]&gt;0)))/G905,0))</f>
        <v/>
      </c>
      <c r="P905" s="14" t="str" cm="1">
        <f t="array" ref="P905">IF($A905="","",IFERROR((SUMPRODUCT((TRIM(tblDados[Mandante])=$A905)*tblDados[Primeira_Ocorrencia]*tblDados[GM_M]^2)+SUMPRODUCT((TRIM(tblDados[Visitante])=$A905)*tblDados[Primeira_Ocorrencia]*tblDados[GM_V]^2))/G905-H905^2,0))</f>
        <v/>
      </c>
      <c r="Q905" s="14" t="str">
        <f t="shared" si="239"/>
        <v/>
      </c>
      <c r="R905" s="1" t="str">
        <f t="shared" si="240"/>
        <v/>
      </c>
      <c r="S905" s="14" t="str" cm="1">
        <f t="array" ref="S905">IF($A905="","",SUMPRODUCT((TRIM(tblDados[Mandante])=$A905)*tblDados[Primeira_Ocorrencia]*tblDados[GM_M]))</f>
        <v/>
      </c>
      <c r="T905" s="14" t="str" cm="1">
        <f t="array" ref="T905">IF($A905="","",SUMPRODUCT((TRIM(tblDados[Visitante])=$A905)*tblDados[Primeira_Ocorrencia]*tblDados[GM_V]))</f>
        <v/>
      </c>
      <c r="U905" s="14" t="str">
        <f t="shared" si="241"/>
        <v/>
      </c>
      <c r="V905" s="14" t="str">
        <f t="shared" si="230"/>
        <v/>
      </c>
      <c r="W905" s="14" t="str" cm="1">
        <f t="array" ref="W905">IF($A905="","",SUMPRODUCT((TRIM(tblDados[Mandante])=$A905)*tblDados[Primeira_Ocorrencia]*tblDados[GS_M]))</f>
        <v/>
      </c>
      <c r="X905" s="14" t="str" cm="1">
        <f t="array" ref="X905">IF($A905="","",SUMPRODUCT((TRIM(tblDados[Visitante])=$A905)*tblDados[Primeira_Ocorrencia]*tblDados[GS_V]))</f>
        <v/>
      </c>
      <c r="Y905" s="14" t="str">
        <f t="shared" si="242"/>
        <v/>
      </c>
      <c r="Z905" s="14" t="str">
        <f t="shared" si="231"/>
        <v/>
      </c>
      <c r="AA905" s="14" t="str">
        <f t="shared" si="232"/>
        <v/>
      </c>
      <c r="AB905" s="14" t="str">
        <f t="shared" si="233"/>
        <v/>
      </c>
      <c r="AC905" s="14" t="str">
        <f t="shared" si="234"/>
        <v/>
      </c>
      <c r="AD905" s="14" t="str">
        <f t="shared" si="235"/>
        <v/>
      </c>
    </row>
    <row r="906" spans="2:30" x14ac:dyDescent="0.3">
      <c r="B906" s="13" t="str" cm="1">
        <f t="array" ref="B906">IF($A906="","",_xlfn.LET(_xlpm.p,IFERROR(INDEX(tblDados[País],MATCH($A906,TRIM(tblDados[Mandante]),0)),INDEX(tblDados[País],MATCH($A906,TRIM(tblDados[Visitante]),0))),_xlpm.l,IFERROR(INDEX(tblDados[Liga],MATCH($A906,TRIM(tblDados[Mandante]),0)),INDEX(tblDados[Liga],MATCH($A906,TRIM(tblDados[Visitante]),0))),_xlpm.p&amp;" - "&amp;_xlpm.l))</f>
        <v/>
      </c>
      <c r="C906" s="14" t="str">
        <f t="shared" si="236"/>
        <v/>
      </c>
      <c r="D906" s="14" t="str">
        <f t="shared" si="237"/>
        <v/>
      </c>
      <c r="E906" s="15" t="str" cm="1">
        <f t="array" ref="E906">IF($A906="","",SUMPRODUCT((TRIM(tblDados[Mandante])=$A906)*tblDados[Primeira_Ocorrencia]))</f>
        <v/>
      </c>
      <c r="F906" s="15" t="str" cm="1">
        <f t="array" ref="F906">IF($A906="","",SUMPRODUCT((TRIM(tblDados[Visitante])=$A906)*tblDados[Primeira_Ocorrencia]))</f>
        <v/>
      </c>
      <c r="G906" s="15" t="str" cm="1">
        <f t="array" ref="G906">IF($A906="","",SUMPRODUCT((TRIM(tblDados[Mandante])=$A906)*tblDados[Primeira_Ocorrencia])+SUMPRODUCT((TRIM(tblDados[Visitante])=$A906)*tblDados[Primeira_Ocorrencia]))</f>
        <v/>
      </c>
      <c r="H906" s="14" t="str">
        <f t="shared" si="238"/>
        <v/>
      </c>
      <c r="I906" s="14" t="str" cm="1">
        <f t="array" ref="I906">IF($A906="","",_xlfn.LET(_xlpm.p,IFERROR(INDEX(tblDados[País],MATCH($A906,TRIM(tblDados[Mandante]),0)),INDEX(tblDados[País],MATCH($A906,TRIM(tblDados[Visitante]),0))),_xlpm.l,IFERROR(INDEX(tblDados[Liga],MATCH($A906,TRIM(tblDados[Mandante]),0)),INDEX(tblDados[Liga],MATCH($A906,TRIM(tblDados[Visitante]),0))),IFERROR(SUMIFS(Ligas!$D$2:$D$39,Ligas!$H$2:$H$39,_xlpm.p,Ligas!$I$2:$I$39,_xlpm.l),0)))</f>
        <v/>
      </c>
      <c r="J906" s="16" t="str" cm="1">
        <f t="array" ref="J906">IF($A906="","",IFERROR((SUMPRODUCT((TRIM(tblDados[Mandante])=$A906)*tblDados[Primeira_Ocorrencia]*(tblDados[GM_M]=0))+SUMPRODUCT((TRIM(tblDados[Visitante])=$A906)*tblDados[Primeira_Ocorrencia]*(tblDados[GM_V]=0)))/G906,0))</f>
        <v/>
      </c>
      <c r="K906" s="16" t="str" cm="1">
        <f t="array" ref="K906">IF($A906="","",IFERROR((SUMPRODUCT((TRIM(tblDados[Mandante])=$A906)*tblDados[Primeira_Ocorrencia]*((tblDados[GM_M]+tblDados[GS_M])&gt;0.5))+SUMPRODUCT((TRIM(tblDados[Visitante])=$A906)*tblDados[Primeira_Ocorrencia]*((tblDados[GM_V]+tblDados[GS_V])&gt;0.5)))/G906,0))</f>
        <v/>
      </c>
      <c r="L906" s="16" t="str" cm="1">
        <f t="array" ref="L906">IF($A906="","",IFERROR((SUMPRODUCT((TRIM(tblDados[Mandante])=$A906)*tblDados[Primeira_Ocorrencia]*((tblDados[GM_M]+tblDados[GS_M])&gt;1.5))+SUMPRODUCT((TRIM(tblDados[Visitante])=$A906)*tblDados[Primeira_Ocorrencia]*((tblDados[GM_V]+tblDados[GS_V])&gt;1.5)))/G906,0))</f>
        <v/>
      </c>
      <c r="M906" s="16" t="str" cm="1">
        <f t="array" ref="M906">IF($A906="","",IFERROR((SUMPRODUCT((TRIM(tblDados[Mandante])=$A906)*tblDados[Primeira_Ocorrencia]*((tblDados[GM_M]+tblDados[GS_M])&gt;2.5))+SUMPRODUCT((TRIM(tblDados[Visitante])=$A906)*tblDados[Primeira_Ocorrencia]*((tblDados[GM_V]+tblDados[GS_V])&gt;2.5)))/G906,0))</f>
        <v/>
      </c>
      <c r="N906" s="16" t="str" cm="1">
        <f t="array" ref="N906">IF($A906="","",IFERROR((SUMPRODUCT((TRIM(tblDados[Mandante])=$A906)*tblDados[Primeira_Ocorrencia]*((tblDados[GM_M]+tblDados[GS_M])&gt;3.5))+SUMPRODUCT((TRIM(tblDados[Visitante])=$A906)*tblDados[Primeira_Ocorrencia]*((tblDados[GM_V]+tblDados[GS_V])&gt;3.5)))/G906,0))</f>
        <v/>
      </c>
      <c r="O906" s="16" t="str" cm="1">
        <f t="array" ref="O906">IF($A906="","",IFERROR((SUMPRODUCT((TRIM(tblDados[Mandante])=$A906)*tblDados[Primeira_Ocorrencia]*(tblDados[GM_M]&gt;0)*(tblDados[GS_M]&gt;0))+SUMPRODUCT((TRIM(tblDados[Visitante])=$A906)*tblDados[Primeira_Ocorrencia]*(tblDados[GM_V]&gt;0)*(tblDados[GS_V]&gt;0)))/G906,0))</f>
        <v/>
      </c>
      <c r="P906" s="14" t="str" cm="1">
        <f t="array" ref="P906">IF($A906="","",IFERROR((SUMPRODUCT((TRIM(tblDados[Mandante])=$A906)*tblDados[Primeira_Ocorrencia]*tblDados[GM_M]^2)+SUMPRODUCT((TRIM(tblDados[Visitante])=$A906)*tblDados[Primeira_Ocorrencia]*tblDados[GM_V]^2))/G906-H906^2,0))</f>
        <v/>
      </c>
      <c r="Q906" s="14" t="str">
        <f t="shared" si="239"/>
        <v/>
      </c>
      <c r="R906" s="1" t="str">
        <f t="shared" si="240"/>
        <v/>
      </c>
      <c r="S906" s="14" t="str" cm="1">
        <f t="array" ref="S906">IF($A906="","",SUMPRODUCT((TRIM(tblDados[Mandante])=$A906)*tblDados[Primeira_Ocorrencia]*tblDados[GM_M]))</f>
        <v/>
      </c>
      <c r="T906" s="14" t="str" cm="1">
        <f t="array" ref="T906">IF($A906="","",SUMPRODUCT((TRIM(tblDados[Visitante])=$A906)*tblDados[Primeira_Ocorrencia]*tblDados[GM_V]))</f>
        <v/>
      </c>
      <c r="U906" s="14" t="str">
        <f t="shared" si="241"/>
        <v/>
      </c>
      <c r="V906" s="14" t="str">
        <f t="shared" si="230"/>
        <v/>
      </c>
      <c r="W906" s="14" t="str" cm="1">
        <f t="array" ref="W906">IF($A906="","",SUMPRODUCT((TRIM(tblDados[Mandante])=$A906)*tblDados[Primeira_Ocorrencia]*tblDados[GS_M]))</f>
        <v/>
      </c>
      <c r="X906" s="14" t="str" cm="1">
        <f t="array" ref="X906">IF($A906="","",SUMPRODUCT((TRIM(tblDados[Visitante])=$A906)*tblDados[Primeira_Ocorrencia]*tblDados[GS_V]))</f>
        <v/>
      </c>
      <c r="Y906" s="14" t="str">
        <f t="shared" si="242"/>
        <v/>
      </c>
      <c r="Z906" s="14" t="str">
        <f t="shared" si="231"/>
        <v/>
      </c>
      <c r="AA906" s="14" t="str">
        <f t="shared" si="232"/>
        <v/>
      </c>
      <c r="AB906" s="14" t="str">
        <f t="shared" si="233"/>
        <v/>
      </c>
      <c r="AC906" s="14" t="str">
        <f t="shared" si="234"/>
        <v/>
      </c>
      <c r="AD906" s="14" t="str">
        <f t="shared" si="235"/>
        <v/>
      </c>
    </row>
    <row r="907" spans="2:30" x14ac:dyDescent="0.3">
      <c r="B907" s="13" t="str" cm="1">
        <f t="array" ref="B907">IF($A907="","",_xlfn.LET(_xlpm.p,IFERROR(INDEX(tblDados[País],MATCH($A907,TRIM(tblDados[Mandante]),0)),INDEX(tblDados[País],MATCH($A907,TRIM(tblDados[Visitante]),0))),_xlpm.l,IFERROR(INDEX(tblDados[Liga],MATCH($A907,TRIM(tblDados[Mandante]),0)),INDEX(tblDados[Liga],MATCH($A907,TRIM(tblDados[Visitante]),0))),_xlpm.p&amp;" - "&amp;_xlpm.l))</f>
        <v/>
      </c>
      <c r="C907" s="14" t="str">
        <f t="shared" si="236"/>
        <v/>
      </c>
      <c r="D907" s="14" t="str">
        <f t="shared" si="237"/>
        <v/>
      </c>
      <c r="E907" s="15" t="str" cm="1">
        <f t="array" ref="E907">IF($A907="","",SUMPRODUCT((TRIM(tblDados[Mandante])=$A907)*tblDados[Primeira_Ocorrencia]))</f>
        <v/>
      </c>
      <c r="F907" s="15" t="str" cm="1">
        <f t="array" ref="F907">IF($A907="","",SUMPRODUCT((TRIM(tblDados[Visitante])=$A907)*tblDados[Primeira_Ocorrencia]))</f>
        <v/>
      </c>
      <c r="G907" s="15" t="str" cm="1">
        <f t="array" ref="G907">IF($A907="","",SUMPRODUCT((TRIM(tblDados[Mandante])=$A907)*tblDados[Primeira_Ocorrencia])+SUMPRODUCT((TRIM(tblDados[Visitante])=$A907)*tblDados[Primeira_Ocorrencia]))</f>
        <v/>
      </c>
      <c r="H907" s="14" t="str">
        <f t="shared" si="238"/>
        <v/>
      </c>
      <c r="I907" s="14" t="str" cm="1">
        <f t="array" ref="I907">IF($A907="","",_xlfn.LET(_xlpm.p,IFERROR(INDEX(tblDados[País],MATCH($A907,TRIM(tblDados[Mandante]),0)),INDEX(tblDados[País],MATCH($A907,TRIM(tblDados[Visitante]),0))),_xlpm.l,IFERROR(INDEX(tblDados[Liga],MATCH($A907,TRIM(tblDados[Mandante]),0)),INDEX(tblDados[Liga],MATCH($A907,TRIM(tblDados[Visitante]),0))),IFERROR(SUMIFS(Ligas!$D$2:$D$39,Ligas!$H$2:$H$39,_xlpm.p,Ligas!$I$2:$I$39,_xlpm.l),0)))</f>
        <v/>
      </c>
      <c r="J907" s="16" t="str" cm="1">
        <f t="array" ref="J907">IF($A907="","",IFERROR((SUMPRODUCT((TRIM(tblDados[Mandante])=$A907)*tblDados[Primeira_Ocorrencia]*(tblDados[GM_M]=0))+SUMPRODUCT((TRIM(tblDados[Visitante])=$A907)*tblDados[Primeira_Ocorrencia]*(tblDados[GM_V]=0)))/G907,0))</f>
        <v/>
      </c>
      <c r="K907" s="16" t="str" cm="1">
        <f t="array" ref="K907">IF($A907="","",IFERROR((SUMPRODUCT((TRIM(tblDados[Mandante])=$A907)*tblDados[Primeira_Ocorrencia]*((tblDados[GM_M]+tblDados[GS_M])&gt;0.5))+SUMPRODUCT((TRIM(tblDados[Visitante])=$A907)*tblDados[Primeira_Ocorrencia]*((tblDados[GM_V]+tblDados[GS_V])&gt;0.5)))/G907,0))</f>
        <v/>
      </c>
      <c r="L907" s="16" t="str" cm="1">
        <f t="array" ref="L907">IF($A907="","",IFERROR((SUMPRODUCT((TRIM(tblDados[Mandante])=$A907)*tblDados[Primeira_Ocorrencia]*((tblDados[GM_M]+tblDados[GS_M])&gt;1.5))+SUMPRODUCT((TRIM(tblDados[Visitante])=$A907)*tblDados[Primeira_Ocorrencia]*((tblDados[GM_V]+tblDados[GS_V])&gt;1.5)))/G907,0))</f>
        <v/>
      </c>
      <c r="M907" s="16" t="str" cm="1">
        <f t="array" ref="M907">IF($A907="","",IFERROR((SUMPRODUCT((TRIM(tblDados[Mandante])=$A907)*tblDados[Primeira_Ocorrencia]*((tblDados[GM_M]+tblDados[GS_M])&gt;2.5))+SUMPRODUCT((TRIM(tblDados[Visitante])=$A907)*tblDados[Primeira_Ocorrencia]*((tblDados[GM_V]+tblDados[GS_V])&gt;2.5)))/G907,0))</f>
        <v/>
      </c>
      <c r="N907" s="16" t="str" cm="1">
        <f t="array" ref="N907">IF($A907="","",IFERROR((SUMPRODUCT((TRIM(tblDados[Mandante])=$A907)*tblDados[Primeira_Ocorrencia]*((tblDados[GM_M]+tblDados[GS_M])&gt;3.5))+SUMPRODUCT((TRIM(tblDados[Visitante])=$A907)*tblDados[Primeira_Ocorrencia]*((tblDados[GM_V]+tblDados[GS_V])&gt;3.5)))/G907,0))</f>
        <v/>
      </c>
      <c r="O907" s="16" t="str" cm="1">
        <f t="array" ref="O907">IF($A907="","",IFERROR((SUMPRODUCT((TRIM(tblDados[Mandante])=$A907)*tblDados[Primeira_Ocorrencia]*(tblDados[GM_M]&gt;0)*(tblDados[GS_M]&gt;0))+SUMPRODUCT((TRIM(tblDados[Visitante])=$A907)*tblDados[Primeira_Ocorrencia]*(tblDados[GM_V]&gt;0)*(tblDados[GS_V]&gt;0)))/G907,0))</f>
        <v/>
      </c>
      <c r="P907" s="14" t="str" cm="1">
        <f t="array" ref="P907">IF($A907="","",IFERROR((SUMPRODUCT((TRIM(tblDados[Mandante])=$A907)*tblDados[Primeira_Ocorrencia]*tblDados[GM_M]^2)+SUMPRODUCT((TRIM(tblDados[Visitante])=$A907)*tblDados[Primeira_Ocorrencia]*tblDados[GM_V]^2))/G907-H907^2,0))</f>
        <v/>
      </c>
      <c r="Q907" s="14" t="str">
        <f t="shared" si="239"/>
        <v/>
      </c>
      <c r="R907" s="1" t="str">
        <f t="shared" si="240"/>
        <v/>
      </c>
      <c r="S907" s="14" t="str" cm="1">
        <f t="array" ref="S907">IF($A907="","",SUMPRODUCT((TRIM(tblDados[Mandante])=$A907)*tblDados[Primeira_Ocorrencia]*tblDados[GM_M]))</f>
        <v/>
      </c>
      <c r="T907" s="14" t="str" cm="1">
        <f t="array" ref="T907">IF($A907="","",SUMPRODUCT((TRIM(tblDados[Visitante])=$A907)*tblDados[Primeira_Ocorrencia]*tblDados[GM_V]))</f>
        <v/>
      </c>
      <c r="U907" s="14" t="str">
        <f t="shared" si="241"/>
        <v/>
      </c>
      <c r="V907" s="14" t="str">
        <f t="shared" si="230"/>
        <v/>
      </c>
      <c r="W907" s="14" t="str" cm="1">
        <f t="array" ref="W907">IF($A907="","",SUMPRODUCT((TRIM(tblDados[Mandante])=$A907)*tblDados[Primeira_Ocorrencia]*tblDados[GS_M]))</f>
        <v/>
      </c>
      <c r="X907" s="14" t="str" cm="1">
        <f t="array" ref="X907">IF($A907="","",SUMPRODUCT((TRIM(tblDados[Visitante])=$A907)*tblDados[Primeira_Ocorrencia]*tblDados[GS_V]))</f>
        <v/>
      </c>
      <c r="Y907" s="14" t="str">
        <f t="shared" si="242"/>
        <v/>
      </c>
      <c r="Z907" s="14" t="str">
        <f t="shared" si="231"/>
        <v/>
      </c>
      <c r="AA907" s="14" t="str">
        <f t="shared" si="232"/>
        <v/>
      </c>
      <c r="AB907" s="14" t="str">
        <f t="shared" si="233"/>
        <v/>
      </c>
      <c r="AC907" s="14" t="str">
        <f t="shared" si="234"/>
        <v/>
      </c>
      <c r="AD907" s="14" t="str">
        <f t="shared" si="235"/>
        <v/>
      </c>
    </row>
    <row r="908" spans="2:30" x14ac:dyDescent="0.3">
      <c r="B908" s="13" t="str" cm="1">
        <f t="array" ref="B908">IF($A908="","",_xlfn.LET(_xlpm.p,IFERROR(INDEX(tblDados[País],MATCH($A908,TRIM(tblDados[Mandante]),0)),INDEX(tblDados[País],MATCH($A908,TRIM(tblDados[Visitante]),0))),_xlpm.l,IFERROR(INDEX(tblDados[Liga],MATCH($A908,TRIM(tblDados[Mandante]),0)),INDEX(tblDados[Liga],MATCH($A908,TRIM(tblDados[Visitante]),0))),_xlpm.p&amp;" - "&amp;_xlpm.l))</f>
        <v/>
      </c>
      <c r="C908" s="14" t="str">
        <f t="shared" si="236"/>
        <v/>
      </c>
      <c r="D908" s="14" t="str">
        <f t="shared" si="237"/>
        <v/>
      </c>
      <c r="E908" s="15" t="str" cm="1">
        <f t="array" ref="E908">IF($A908="","",SUMPRODUCT((TRIM(tblDados[Mandante])=$A908)*tblDados[Primeira_Ocorrencia]))</f>
        <v/>
      </c>
      <c r="F908" s="15" t="str" cm="1">
        <f t="array" ref="F908">IF($A908="","",SUMPRODUCT((TRIM(tblDados[Visitante])=$A908)*tblDados[Primeira_Ocorrencia]))</f>
        <v/>
      </c>
      <c r="G908" s="15" t="str" cm="1">
        <f t="array" ref="G908">IF($A908="","",SUMPRODUCT((TRIM(tblDados[Mandante])=$A908)*tblDados[Primeira_Ocorrencia])+SUMPRODUCT((TRIM(tblDados[Visitante])=$A908)*tblDados[Primeira_Ocorrencia]))</f>
        <v/>
      </c>
      <c r="H908" s="14" t="str">
        <f t="shared" si="238"/>
        <v/>
      </c>
      <c r="I908" s="14" t="str" cm="1">
        <f t="array" ref="I908">IF($A908="","",_xlfn.LET(_xlpm.p,IFERROR(INDEX(tblDados[País],MATCH($A908,TRIM(tblDados[Mandante]),0)),INDEX(tblDados[País],MATCH($A908,TRIM(tblDados[Visitante]),0))),_xlpm.l,IFERROR(INDEX(tblDados[Liga],MATCH($A908,TRIM(tblDados[Mandante]),0)),INDEX(tblDados[Liga],MATCH($A908,TRIM(tblDados[Visitante]),0))),IFERROR(SUMIFS(Ligas!$D$2:$D$39,Ligas!$H$2:$H$39,_xlpm.p,Ligas!$I$2:$I$39,_xlpm.l),0)))</f>
        <v/>
      </c>
      <c r="J908" s="16" t="str" cm="1">
        <f t="array" ref="J908">IF($A908="","",IFERROR((SUMPRODUCT((TRIM(tblDados[Mandante])=$A908)*tblDados[Primeira_Ocorrencia]*(tblDados[GM_M]=0))+SUMPRODUCT((TRIM(tblDados[Visitante])=$A908)*tblDados[Primeira_Ocorrencia]*(tblDados[GM_V]=0)))/G908,0))</f>
        <v/>
      </c>
      <c r="K908" s="16" t="str" cm="1">
        <f t="array" ref="K908">IF($A908="","",IFERROR((SUMPRODUCT((TRIM(tblDados[Mandante])=$A908)*tblDados[Primeira_Ocorrencia]*((tblDados[GM_M]+tblDados[GS_M])&gt;0.5))+SUMPRODUCT((TRIM(tblDados[Visitante])=$A908)*tblDados[Primeira_Ocorrencia]*((tblDados[GM_V]+tblDados[GS_V])&gt;0.5)))/G908,0))</f>
        <v/>
      </c>
      <c r="L908" s="16" t="str" cm="1">
        <f t="array" ref="L908">IF($A908="","",IFERROR((SUMPRODUCT((TRIM(tblDados[Mandante])=$A908)*tblDados[Primeira_Ocorrencia]*((tblDados[GM_M]+tblDados[GS_M])&gt;1.5))+SUMPRODUCT((TRIM(tblDados[Visitante])=$A908)*tblDados[Primeira_Ocorrencia]*((tblDados[GM_V]+tblDados[GS_V])&gt;1.5)))/G908,0))</f>
        <v/>
      </c>
      <c r="M908" s="16" t="str" cm="1">
        <f t="array" ref="M908">IF($A908="","",IFERROR((SUMPRODUCT((TRIM(tblDados[Mandante])=$A908)*tblDados[Primeira_Ocorrencia]*((tblDados[GM_M]+tblDados[GS_M])&gt;2.5))+SUMPRODUCT((TRIM(tblDados[Visitante])=$A908)*tblDados[Primeira_Ocorrencia]*((tblDados[GM_V]+tblDados[GS_V])&gt;2.5)))/G908,0))</f>
        <v/>
      </c>
      <c r="N908" s="16" t="str" cm="1">
        <f t="array" ref="N908">IF($A908="","",IFERROR((SUMPRODUCT((TRIM(tblDados[Mandante])=$A908)*tblDados[Primeira_Ocorrencia]*((tblDados[GM_M]+tblDados[GS_M])&gt;3.5))+SUMPRODUCT((TRIM(tblDados[Visitante])=$A908)*tblDados[Primeira_Ocorrencia]*((tblDados[GM_V]+tblDados[GS_V])&gt;3.5)))/G908,0))</f>
        <v/>
      </c>
      <c r="O908" s="16" t="str" cm="1">
        <f t="array" ref="O908">IF($A908="","",IFERROR((SUMPRODUCT((TRIM(tblDados[Mandante])=$A908)*tblDados[Primeira_Ocorrencia]*(tblDados[GM_M]&gt;0)*(tblDados[GS_M]&gt;0))+SUMPRODUCT((TRIM(tblDados[Visitante])=$A908)*tblDados[Primeira_Ocorrencia]*(tblDados[GM_V]&gt;0)*(tblDados[GS_V]&gt;0)))/G908,0))</f>
        <v/>
      </c>
      <c r="P908" s="14" t="str" cm="1">
        <f t="array" ref="P908">IF($A908="","",IFERROR((SUMPRODUCT((TRIM(tblDados[Mandante])=$A908)*tblDados[Primeira_Ocorrencia]*tblDados[GM_M]^2)+SUMPRODUCT((TRIM(tblDados[Visitante])=$A908)*tblDados[Primeira_Ocorrencia]*tblDados[GM_V]^2))/G908-H908^2,0))</f>
        <v/>
      </c>
      <c r="Q908" s="14" t="str">
        <f t="shared" si="239"/>
        <v/>
      </c>
      <c r="R908" s="1" t="str">
        <f t="shared" si="240"/>
        <v/>
      </c>
      <c r="S908" s="14" t="str" cm="1">
        <f t="array" ref="S908">IF($A908="","",SUMPRODUCT((TRIM(tblDados[Mandante])=$A908)*tblDados[Primeira_Ocorrencia]*tblDados[GM_M]))</f>
        <v/>
      </c>
      <c r="T908" s="14" t="str" cm="1">
        <f t="array" ref="T908">IF($A908="","",SUMPRODUCT((TRIM(tblDados[Visitante])=$A908)*tblDados[Primeira_Ocorrencia]*tblDados[GM_V]))</f>
        <v/>
      </c>
      <c r="U908" s="14" t="str">
        <f t="shared" si="241"/>
        <v/>
      </c>
      <c r="V908" s="14" t="str">
        <f t="shared" si="230"/>
        <v/>
      </c>
      <c r="W908" s="14" t="str" cm="1">
        <f t="array" ref="W908">IF($A908="","",SUMPRODUCT((TRIM(tblDados[Mandante])=$A908)*tblDados[Primeira_Ocorrencia]*tblDados[GS_M]))</f>
        <v/>
      </c>
      <c r="X908" s="14" t="str" cm="1">
        <f t="array" ref="X908">IF($A908="","",SUMPRODUCT((TRIM(tblDados[Visitante])=$A908)*tblDados[Primeira_Ocorrencia]*tblDados[GS_V]))</f>
        <v/>
      </c>
      <c r="Y908" s="14" t="str">
        <f t="shared" si="242"/>
        <v/>
      </c>
      <c r="Z908" s="14" t="str">
        <f t="shared" si="231"/>
        <v/>
      </c>
      <c r="AA908" s="14" t="str">
        <f t="shared" si="232"/>
        <v/>
      </c>
      <c r="AB908" s="14" t="str">
        <f t="shared" si="233"/>
        <v/>
      </c>
      <c r="AC908" s="14" t="str">
        <f t="shared" si="234"/>
        <v/>
      </c>
      <c r="AD908" s="14" t="str">
        <f t="shared" si="235"/>
        <v/>
      </c>
    </row>
    <row r="909" spans="2:30" x14ac:dyDescent="0.3">
      <c r="B909" s="13" t="str" cm="1">
        <f t="array" ref="B909">IF($A909="","",_xlfn.LET(_xlpm.p,IFERROR(INDEX(tblDados[País],MATCH($A909,TRIM(tblDados[Mandante]),0)),INDEX(tblDados[País],MATCH($A909,TRIM(tblDados[Visitante]),0))),_xlpm.l,IFERROR(INDEX(tblDados[Liga],MATCH($A909,TRIM(tblDados[Mandante]),0)),INDEX(tblDados[Liga],MATCH($A909,TRIM(tblDados[Visitante]),0))),_xlpm.p&amp;" - "&amp;_xlpm.l))</f>
        <v/>
      </c>
      <c r="C909" s="14" t="str">
        <f t="shared" si="236"/>
        <v/>
      </c>
      <c r="D909" s="14" t="str">
        <f t="shared" si="237"/>
        <v/>
      </c>
      <c r="E909" s="15" t="str" cm="1">
        <f t="array" ref="E909">IF($A909="","",SUMPRODUCT((TRIM(tblDados[Mandante])=$A909)*tblDados[Primeira_Ocorrencia]))</f>
        <v/>
      </c>
      <c r="F909" s="15" t="str" cm="1">
        <f t="array" ref="F909">IF($A909="","",SUMPRODUCT((TRIM(tblDados[Visitante])=$A909)*tblDados[Primeira_Ocorrencia]))</f>
        <v/>
      </c>
      <c r="G909" s="15" t="str" cm="1">
        <f t="array" ref="G909">IF($A909="","",SUMPRODUCT((TRIM(tblDados[Mandante])=$A909)*tblDados[Primeira_Ocorrencia])+SUMPRODUCT((TRIM(tblDados[Visitante])=$A909)*tblDados[Primeira_Ocorrencia]))</f>
        <v/>
      </c>
      <c r="H909" s="14" t="str">
        <f t="shared" si="238"/>
        <v/>
      </c>
      <c r="I909" s="14" t="str" cm="1">
        <f t="array" ref="I909">IF($A909="","",_xlfn.LET(_xlpm.p,IFERROR(INDEX(tblDados[País],MATCH($A909,TRIM(tblDados[Mandante]),0)),INDEX(tblDados[País],MATCH($A909,TRIM(tblDados[Visitante]),0))),_xlpm.l,IFERROR(INDEX(tblDados[Liga],MATCH($A909,TRIM(tblDados[Mandante]),0)),INDEX(tblDados[Liga],MATCH($A909,TRIM(tblDados[Visitante]),0))),IFERROR(SUMIFS(Ligas!$D$2:$D$39,Ligas!$H$2:$H$39,_xlpm.p,Ligas!$I$2:$I$39,_xlpm.l),0)))</f>
        <v/>
      </c>
      <c r="J909" s="16" t="str" cm="1">
        <f t="array" ref="J909">IF($A909="","",IFERROR((SUMPRODUCT((TRIM(tblDados[Mandante])=$A909)*tblDados[Primeira_Ocorrencia]*(tblDados[GM_M]=0))+SUMPRODUCT((TRIM(tblDados[Visitante])=$A909)*tblDados[Primeira_Ocorrencia]*(tblDados[GM_V]=0)))/G909,0))</f>
        <v/>
      </c>
      <c r="K909" s="16" t="str" cm="1">
        <f t="array" ref="K909">IF($A909="","",IFERROR((SUMPRODUCT((TRIM(tblDados[Mandante])=$A909)*tblDados[Primeira_Ocorrencia]*((tblDados[GM_M]+tblDados[GS_M])&gt;0.5))+SUMPRODUCT((TRIM(tblDados[Visitante])=$A909)*tblDados[Primeira_Ocorrencia]*((tblDados[GM_V]+tblDados[GS_V])&gt;0.5)))/G909,0))</f>
        <v/>
      </c>
      <c r="L909" s="16" t="str" cm="1">
        <f t="array" ref="L909">IF($A909="","",IFERROR((SUMPRODUCT((TRIM(tblDados[Mandante])=$A909)*tblDados[Primeira_Ocorrencia]*((tblDados[GM_M]+tblDados[GS_M])&gt;1.5))+SUMPRODUCT((TRIM(tblDados[Visitante])=$A909)*tblDados[Primeira_Ocorrencia]*((tblDados[GM_V]+tblDados[GS_V])&gt;1.5)))/G909,0))</f>
        <v/>
      </c>
      <c r="M909" s="16" t="str" cm="1">
        <f t="array" ref="M909">IF($A909="","",IFERROR((SUMPRODUCT((TRIM(tblDados[Mandante])=$A909)*tblDados[Primeira_Ocorrencia]*((tblDados[GM_M]+tblDados[GS_M])&gt;2.5))+SUMPRODUCT((TRIM(tblDados[Visitante])=$A909)*tblDados[Primeira_Ocorrencia]*((tblDados[GM_V]+tblDados[GS_V])&gt;2.5)))/G909,0))</f>
        <v/>
      </c>
      <c r="N909" s="16" t="str" cm="1">
        <f t="array" ref="N909">IF($A909="","",IFERROR((SUMPRODUCT((TRIM(tblDados[Mandante])=$A909)*tblDados[Primeira_Ocorrencia]*((tblDados[GM_M]+tblDados[GS_M])&gt;3.5))+SUMPRODUCT((TRIM(tblDados[Visitante])=$A909)*tblDados[Primeira_Ocorrencia]*((tblDados[GM_V]+tblDados[GS_V])&gt;3.5)))/G909,0))</f>
        <v/>
      </c>
      <c r="O909" s="16" t="str" cm="1">
        <f t="array" ref="O909">IF($A909="","",IFERROR((SUMPRODUCT((TRIM(tblDados[Mandante])=$A909)*tblDados[Primeira_Ocorrencia]*(tblDados[GM_M]&gt;0)*(tblDados[GS_M]&gt;0))+SUMPRODUCT((TRIM(tblDados[Visitante])=$A909)*tblDados[Primeira_Ocorrencia]*(tblDados[GM_V]&gt;0)*(tblDados[GS_V]&gt;0)))/G909,0))</f>
        <v/>
      </c>
      <c r="P909" s="14" t="str" cm="1">
        <f t="array" ref="P909">IF($A909="","",IFERROR((SUMPRODUCT((TRIM(tblDados[Mandante])=$A909)*tblDados[Primeira_Ocorrencia]*tblDados[GM_M]^2)+SUMPRODUCT((TRIM(tblDados[Visitante])=$A909)*tblDados[Primeira_Ocorrencia]*tblDados[GM_V]^2))/G909-H909^2,0))</f>
        <v/>
      </c>
      <c r="Q909" s="14" t="str">
        <f t="shared" si="239"/>
        <v/>
      </c>
      <c r="R909" s="1" t="str">
        <f t="shared" si="240"/>
        <v/>
      </c>
      <c r="S909" s="14" t="str" cm="1">
        <f t="array" ref="S909">IF($A909="","",SUMPRODUCT((TRIM(tblDados[Mandante])=$A909)*tblDados[Primeira_Ocorrencia]*tblDados[GM_M]))</f>
        <v/>
      </c>
      <c r="T909" s="14" t="str" cm="1">
        <f t="array" ref="T909">IF($A909="","",SUMPRODUCT((TRIM(tblDados[Visitante])=$A909)*tblDados[Primeira_Ocorrencia]*tblDados[GM_V]))</f>
        <v/>
      </c>
      <c r="U909" s="14" t="str">
        <f t="shared" si="241"/>
        <v/>
      </c>
      <c r="V909" s="14" t="str">
        <f t="shared" si="230"/>
        <v/>
      </c>
      <c r="W909" s="14" t="str" cm="1">
        <f t="array" ref="W909">IF($A909="","",SUMPRODUCT((TRIM(tblDados[Mandante])=$A909)*tblDados[Primeira_Ocorrencia]*tblDados[GS_M]))</f>
        <v/>
      </c>
      <c r="X909" s="14" t="str" cm="1">
        <f t="array" ref="X909">IF($A909="","",SUMPRODUCT((TRIM(tblDados[Visitante])=$A909)*tblDados[Primeira_Ocorrencia]*tblDados[GS_V]))</f>
        <v/>
      </c>
      <c r="Y909" s="14" t="str">
        <f t="shared" si="242"/>
        <v/>
      </c>
      <c r="Z909" s="14" t="str">
        <f t="shared" si="231"/>
        <v/>
      </c>
      <c r="AA909" s="14" t="str">
        <f t="shared" si="232"/>
        <v/>
      </c>
      <c r="AB909" s="14" t="str">
        <f t="shared" si="233"/>
        <v/>
      </c>
      <c r="AC909" s="14" t="str">
        <f t="shared" si="234"/>
        <v/>
      </c>
      <c r="AD909" s="14" t="str">
        <f t="shared" si="235"/>
        <v/>
      </c>
    </row>
    <row r="910" spans="2:30" x14ac:dyDescent="0.3">
      <c r="B910" s="13" t="str" cm="1">
        <f t="array" ref="B910">IF($A910="","",_xlfn.LET(_xlpm.p,IFERROR(INDEX(tblDados[País],MATCH($A910,TRIM(tblDados[Mandante]),0)),INDEX(tblDados[País],MATCH($A910,TRIM(tblDados[Visitante]),0))),_xlpm.l,IFERROR(INDEX(tblDados[Liga],MATCH($A910,TRIM(tblDados[Mandante]),0)),INDEX(tblDados[Liga],MATCH($A910,TRIM(tblDados[Visitante]),0))),_xlpm.p&amp;" - "&amp;_xlpm.l))</f>
        <v/>
      </c>
      <c r="C910" s="14" t="str">
        <f t="shared" si="236"/>
        <v/>
      </c>
      <c r="D910" s="14" t="str">
        <f t="shared" si="237"/>
        <v/>
      </c>
      <c r="E910" s="15" t="str" cm="1">
        <f t="array" ref="E910">IF($A910="","",SUMPRODUCT((TRIM(tblDados[Mandante])=$A910)*tblDados[Primeira_Ocorrencia]))</f>
        <v/>
      </c>
      <c r="F910" s="15" t="str" cm="1">
        <f t="array" ref="F910">IF($A910="","",SUMPRODUCT((TRIM(tblDados[Visitante])=$A910)*tblDados[Primeira_Ocorrencia]))</f>
        <v/>
      </c>
      <c r="G910" s="15" t="str" cm="1">
        <f t="array" ref="G910">IF($A910="","",SUMPRODUCT((TRIM(tblDados[Mandante])=$A910)*tblDados[Primeira_Ocorrencia])+SUMPRODUCT((TRIM(tblDados[Visitante])=$A910)*tblDados[Primeira_Ocorrencia]))</f>
        <v/>
      </c>
      <c r="H910" s="14" t="str">
        <f t="shared" si="238"/>
        <v/>
      </c>
      <c r="I910" s="14" t="str" cm="1">
        <f t="array" ref="I910">IF($A910="","",_xlfn.LET(_xlpm.p,IFERROR(INDEX(tblDados[País],MATCH($A910,TRIM(tblDados[Mandante]),0)),INDEX(tblDados[País],MATCH($A910,TRIM(tblDados[Visitante]),0))),_xlpm.l,IFERROR(INDEX(tblDados[Liga],MATCH($A910,TRIM(tblDados[Mandante]),0)),INDEX(tblDados[Liga],MATCH($A910,TRIM(tblDados[Visitante]),0))),IFERROR(SUMIFS(Ligas!$D$2:$D$39,Ligas!$H$2:$H$39,_xlpm.p,Ligas!$I$2:$I$39,_xlpm.l),0)))</f>
        <v/>
      </c>
      <c r="J910" s="16" t="str" cm="1">
        <f t="array" ref="J910">IF($A910="","",IFERROR((SUMPRODUCT((TRIM(tblDados[Mandante])=$A910)*tblDados[Primeira_Ocorrencia]*(tblDados[GM_M]=0))+SUMPRODUCT((TRIM(tblDados[Visitante])=$A910)*tblDados[Primeira_Ocorrencia]*(tblDados[GM_V]=0)))/G910,0))</f>
        <v/>
      </c>
      <c r="K910" s="16" t="str" cm="1">
        <f t="array" ref="K910">IF($A910="","",IFERROR((SUMPRODUCT((TRIM(tblDados[Mandante])=$A910)*tblDados[Primeira_Ocorrencia]*((tblDados[GM_M]+tblDados[GS_M])&gt;0.5))+SUMPRODUCT((TRIM(tblDados[Visitante])=$A910)*tblDados[Primeira_Ocorrencia]*((tblDados[GM_V]+tblDados[GS_V])&gt;0.5)))/G910,0))</f>
        <v/>
      </c>
      <c r="L910" s="16" t="str" cm="1">
        <f t="array" ref="L910">IF($A910="","",IFERROR((SUMPRODUCT((TRIM(tblDados[Mandante])=$A910)*tblDados[Primeira_Ocorrencia]*((tblDados[GM_M]+tblDados[GS_M])&gt;1.5))+SUMPRODUCT((TRIM(tblDados[Visitante])=$A910)*tblDados[Primeira_Ocorrencia]*((tblDados[GM_V]+tblDados[GS_V])&gt;1.5)))/G910,0))</f>
        <v/>
      </c>
      <c r="M910" s="16" t="str" cm="1">
        <f t="array" ref="M910">IF($A910="","",IFERROR((SUMPRODUCT((TRIM(tblDados[Mandante])=$A910)*tblDados[Primeira_Ocorrencia]*((tblDados[GM_M]+tblDados[GS_M])&gt;2.5))+SUMPRODUCT((TRIM(tblDados[Visitante])=$A910)*tblDados[Primeira_Ocorrencia]*((tblDados[GM_V]+tblDados[GS_V])&gt;2.5)))/G910,0))</f>
        <v/>
      </c>
      <c r="N910" s="16" t="str" cm="1">
        <f t="array" ref="N910">IF($A910="","",IFERROR((SUMPRODUCT((TRIM(tblDados[Mandante])=$A910)*tblDados[Primeira_Ocorrencia]*((tblDados[GM_M]+tblDados[GS_M])&gt;3.5))+SUMPRODUCT((TRIM(tblDados[Visitante])=$A910)*tblDados[Primeira_Ocorrencia]*((tblDados[GM_V]+tblDados[GS_V])&gt;3.5)))/G910,0))</f>
        <v/>
      </c>
      <c r="O910" s="16" t="str" cm="1">
        <f t="array" ref="O910">IF($A910="","",IFERROR((SUMPRODUCT((TRIM(tblDados[Mandante])=$A910)*tblDados[Primeira_Ocorrencia]*(tblDados[GM_M]&gt;0)*(tblDados[GS_M]&gt;0))+SUMPRODUCT((TRIM(tblDados[Visitante])=$A910)*tblDados[Primeira_Ocorrencia]*(tblDados[GM_V]&gt;0)*(tblDados[GS_V]&gt;0)))/G910,0))</f>
        <v/>
      </c>
      <c r="P910" s="14" t="str" cm="1">
        <f t="array" ref="P910">IF($A910="","",IFERROR((SUMPRODUCT((TRIM(tblDados[Mandante])=$A910)*tblDados[Primeira_Ocorrencia]*tblDados[GM_M]^2)+SUMPRODUCT((TRIM(tblDados[Visitante])=$A910)*tblDados[Primeira_Ocorrencia]*tblDados[GM_V]^2))/G910-H910^2,0))</f>
        <v/>
      </c>
      <c r="Q910" s="14" t="str">
        <f t="shared" si="239"/>
        <v/>
      </c>
      <c r="R910" s="1" t="str">
        <f t="shared" si="240"/>
        <v/>
      </c>
      <c r="S910" s="14" t="str" cm="1">
        <f t="array" ref="S910">IF($A910="","",SUMPRODUCT((TRIM(tblDados[Mandante])=$A910)*tblDados[Primeira_Ocorrencia]*tblDados[GM_M]))</f>
        <v/>
      </c>
      <c r="T910" s="14" t="str" cm="1">
        <f t="array" ref="T910">IF($A910="","",SUMPRODUCT((TRIM(tblDados[Visitante])=$A910)*tblDados[Primeira_Ocorrencia]*tblDados[GM_V]))</f>
        <v/>
      </c>
      <c r="U910" s="14" t="str">
        <f t="shared" si="241"/>
        <v/>
      </c>
      <c r="V910" s="14" t="str">
        <f t="shared" si="230"/>
        <v/>
      </c>
      <c r="W910" s="14" t="str" cm="1">
        <f t="array" ref="W910">IF($A910="","",SUMPRODUCT((TRIM(tblDados[Mandante])=$A910)*tblDados[Primeira_Ocorrencia]*tblDados[GS_M]))</f>
        <v/>
      </c>
      <c r="X910" s="14" t="str" cm="1">
        <f t="array" ref="X910">IF($A910="","",SUMPRODUCT((TRIM(tblDados[Visitante])=$A910)*tblDados[Primeira_Ocorrencia]*tblDados[GS_V]))</f>
        <v/>
      </c>
      <c r="Y910" s="14" t="str">
        <f t="shared" si="242"/>
        <v/>
      </c>
      <c r="Z910" s="14" t="str">
        <f t="shared" si="231"/>
        <v/>
      </c>
      <c r="AA910" s="14" t="str">
        <f t="shared" si="232"/>
        <v/>
      </c>
      <c r="AB910" s="14" t="str">
        <f t="shared" si="233"/>
        <v/>
      </c>
      <c r="AC910" s="14" t="str">
        <f t="shared" si="234"/>
        <v/>
      </c>
      <c r="AD910" s="14" t="str">
        <f t="shared" si="235"/>
        <v/>
      </c>
    </row>
    <row r="911" spans="2:30" x14ac:dyDescent="0.3">
      <c r="B911" s="13" t="str" cm="1">
        <f t="array" ref="B911">IF($A911="","",_xlfn.LET(_xlpm.p,IFERROR(INDEX(tblDados[País],MATCH($A911,TRIM(tblDados[Mandante]),0)),INDEX(tblDados[País],MATCH($A911,TRIM(tblDados[Visitante]),0))),_xlpm.l,IFERROR(INDEX(tblDados[Liga],MATCH($A911,TRIM(tblDados[Mandante]),0)),INDEX(tblDados[Liga],MATCH($A911,TRIM(tblDados[Visitante]),0))),_xlpm.p&amp;" - "&amp;_xlpm.l))</f>
        <v/>
      </c>
      <c r="C911" s="14" t="str">
        <f t="shared" si="236"/>
        <v/>
      </c>
      <c r="D911" s="14" t="str">
        <f t="shared" si="237"/>
        <v/>
      </c>
      <c r="E911" s="15" t="str" cm="1">
        <f t="array" ref="E911">IF($A911="","",SUMPRODUCT((TRIM(tblDados[Mandante])=$A911)*tblDados[Primeira_Ocorrencia]))</f>
        <v/>
      </c>
      <c r="F911" s="15" t="str" cm="1">
        <f t="array" ref="F911">IF($A911="","",SUMPRODUCT((TRIM(tblDados[Visitante])=$A911)*tblDados[Primeira_Ocorrencia]))</f>
        <v/>
      </c>
      <c r="G911" s="15" t="str" cm="1">
        <f t="array" ref="G911">IF($A911="","",SUMPRODUCT((TRIM(tblDados[Mandante])=$A911)*tblDados[Primeira_Ocorrencia])+SUMPRODUCT((TRIM(tblDados[Visitante])=$A911)*tblDados[Primeira_Ocorrencia]))</f>
        <v/>
      </c>
      <c r="H911" s="14" t="str">
        <f t="shared" si="238"/>
        <v/>
      </c>
      <c r="I911" s="14" t="str" cm="1">
        <f t="array" ref="I911">IF($A911="","",_xlfn.LET(_xlpm.p,IFERROR(INDEX(tblDados[País],MATCH($A911,TRIM(tblDados[Mandante]),0)),INDEX(tblDados[País],MATCH($A911,TRIM(tblDados[Visitante]),0))),_xlpm.l,IFERROR(INDEX(tblDados[Liga],MATCH($A911,TRIM(tblDados[Mandante]),0)),INDEX(tblDados[Liga],MATCH($A911,TRIM(tblDados[Visitante]),0))),IFERROR(SUMIFS(Ligas!$D$2:$D$39,Ligas!$H$2:$H$39,_xlpm.p,Ligas!$I$2:$I$39,_xlpm.l),0)))</f>
        <v/>
      </c>
      <c r="J911" s="16" t="str" cm="1">
        <f t="array" ref="J911">IF($A911="","",IFERROR((SUMPRODUCT((TRIM(tblDados[Mandante])=$A911)*tblDados[Primeira_Ocorrencia]*(tblDados[GM_M]=0))+SUMPRODUCT((TRIM(tblDados[Visitante])=$A911)*tblDados[Primeira_Ocorrencia]*(tblDados[GM_V]=0)))/G911,0))</f>
        <v/>
      </c>
      <c r="K911" s="16" t="str" cm="1">
        <f t="array" ref="K911">IF($A911="","",IFERROR((SUMPRODUCT((TRIM(tblDados[Mandante])=$A911)*tblDados[Primeira_Ocorrencia]*((tblDados[GM_M]+tblDados[GS_M])&gt;0.5))+SUMPRODUCT((TRIM(tblDados[Visitante])=$A911)*tblDados[Primeira_Ocorrencia]*((tblDados[GM_V]+tblDados[GS_V])&gt;0.5)))/G911,0))</f>
        <v/>
      </c>
      <c r="L911" s="16" t="str" cm="1">
        <f t="array" ref="L911">IF($A911="","",IFERROR((SUMPRODUCT((TRIM(tblDados[Mandante])=$A911)*tblDados[Primeira_Ocorrencia]*((tblDados[GM_M]+tblDados[GS_M])&gt;1.5))+SUMPRODUCT((TRIM(tblDados[Visitante])=$A911)*tblDados[Primeira_Ocorrencia]*((tblDados[GM_V]+tblDados[GS_V])&gt;1.5)))/G911,0))</f>
        <v/>
      </c>
      <c r="M911" s="16" t="str" cm="1">
        <f t="array" ref="M911">IF($A911="","",IFERROR((SUMPRODUCT((TRIM(tblDados[Mandante])=$A911)*tblDados[Primeira_Ocorrencia]*((tblDados[GM_M]+tblDados[GS_M])&gt;2.5))+SUMPRODUCT((TRIM(tblDados[Visitante])=$A911)*tblDados[Primeira_Ocorrencia]*((tblDados[GM_V]+tblDados[GS_V])&gt;2.5)))/G911,0))</f>
        <v/>
      </c>
      <c r="N911" s="16" t="str" cm="1">
        <f t="array" ref="N911">IF($A911="","",IFERROR((SUMPRODUCT((TRIM(tblDados[Mandante])=$A911)*tblDados[Primeira_Ocorrencia]*((tblDados[GM_M]+tblDados[GS_M])&gt;3.5))+SUMPRODUCT((TRIM(tblDados[Visitante])=$A911)*tblDados[Primeira_Ocorrencia]*((tblDados[GM_V]+tblDados[GS_V])&gt;3.5)))/G911,0))</f>
        <v/>
      </c>
      <c r="O911" s="16" t="str" cm="1">
        <f t="array" ref="O911">IF($A911="","",IFERROR((SUMPRODUCT((TRIM(tblDados[Mandante])=$A911)*tblDados[Primeira_Ocorrencia]*(tblDados[GM_M]&gt;0)*(tblDados[GS_M]&gt;0))+SUMPRODUCT((TRIM(tblDados[Visitante])=$A911)*tblDados[Primeira_Ocorrencia]*(tblDados[GM_V]&gt;0)*(tblDados[GS_V]&gt;0)))/G911,0))</f>
        <v/>
      </c>
      <c r="P911" s="14" t="str" cm="1">
        <f t="array" ref="P911">IF($A911="","",IFERROR((SUMPRODUCT((TRIM(tblDados[Mandante])=$A911)*tblDados[Primeira_Ocorrencia]*tblDados[GM_M]^2)+SUMPRODUCT((TRIM(tblDados[Visitante])=$A911)*tblDados[Primeira_Ocorrencia]*tblDados[GM_V]^2))/G911-H911^2,0))</f>
        <v/>
      </c>
      <c r="Q911" s="14" t="str">
        <f t="shared" si="239"/>
        <v/>
      </c>
      <c r="R911" s="1" t="str">
        <f t="shared" si="240"/>
        <v/>
      </c>
      <c r="S911" s="14" t="str" cm="1">
        <f t="array" ref="S911">IF($A911="","",SUMPRODUCT((TRIM(tblDados[Mandante])=$A911)*tblDados[Primeira_Ocorrencia]*tblDados[GM_M]))</f>
        <v/>
      </c>
      <c r="T911" s="14" t="str" cm="1">
        <f t="array" ref="T911">IF($A911="","",SUMPRODUCT((TRIM(tblDados[Visitante])=$A911)*tblDados[Primeira_Ocorrencia]*tblDados[GM_V]))</f>
        <v/>
      </c>
      <c r="U911" s="14" t="str">
        <f t="shared" si="241"/>
        <v/>
      </c>
      <c r="V911" s="14" t="str">
        <f t="shared" si="230"/>
        <v/>
      </c>
      <c r="W911" s="14" t="str" cm="1">
        <f t="array" ref="W911">IF($A911="","",SUMPRODUCT((TRIM(tblDados[Mandante])=$A911)*tblDados[Primeira_Ocorrencia]*tblDados[GS_M]))</f>
        <v/>
      </c>
      <c r="X911" s="14" t="str" cm="1">
        <f t="array" ref="X911">IF($A911="","",SUMPRODUCT((TRIM(tblDados[Visitante])=$A911)*tblDados[Primeira_Ocorrencia]*tblDados[GS_V]))</f>
        <v/>
      </c>
      <c r="Y911" s="14" t="str">
        <f t="shared" si="242"/>
        <v/>
      </c>
      <c r="Z911" s="14" t="str">
        <f t="shared" si="231"/>
        <v/>
      </c>
      <c r="AA911" s="14" t="str">
        <f t="shared" si="232"/>
        <v/>
      </c>
      <c r="AB911" s="14" t="str">
        <f t="shared" si="233"/>
        <v/>
      </c>
      <c r="AC911" s="14" t="str">
        <f t="shared" si="234"/>
        <v/>
      </c>
      <c r="AD911" s="14" t="str">
        <f t="shared" si="235"/>
        <v/>
      </c>
    </row>
    <row r="912" spans="2:30" x14ac:dyDescent="0.3">
      <c r="B912" s="13" t="str" cm="1">
        <f t="array" ref="B912">IF($A912="","",_xlfn.LET(_xlpm.p,IFERROR(INDEX(tblDados[País],MATCH($A912,TRIM(tblDados[Mandante]),0)),INDEX(tblDados[País],MATCH($A912,TRIM(tblDados[Visitante]),0))),_xlpm.l,IFERROR(INDEX(tblDados[Liga],MATCH($A912,TRIM(tblDados[Mandante]),0)),INDEX(tblDados[Liga],MATCH($A912,TRIM(tblDados[Visitante]),0))),_xlpm.p&amp;" - "&amp;_xlpm.l))</f>
        <v/>
      </c>
      <c r="C912" s="14" t="str">
        <f t="shared" si="236"/>
        <v/>
      </c>
      <c r="D912" s="14" t="str">
        <f t="shared" si="237"/>
        <v/>
      </c>
      <c r="E912" s="15" t="str" cm="1">
        <f t="array" ref="E912">IF($A912="","",SUMPRODUCT((TRIM(tblDados[Mandante])=$A912)*tblDados[Primeira_Ocorrencia]))</f>
        <v/>
      </c>
      <c r="F912" s="15" t="str" cm="1">
        <f t="array" ref="F912">IF($A912="","",SUMPRODUCT((TRIM(tblDados[Visitante])=$A912)*tblDados[Primeira_Ocorrencia]))</f>
        <v/>
      </c>
      <c r="G912" s="15" t="str" cm="1">
        <f t="array" ref="G912">IF($A912="","",SUMPRODUCT((TRIM(tblDados[Mandante])=$A912)*tblDados[Primeira_Ocorrencia])+SUMPRODUCT((TRIM(tblDados[Visitante])=$A912)*tblDados[Primeira_Ocorrencia]))</f>
        <v/>
      </c>
      <c r="H912" s="14" t="str">
        <f t="shared" si="238"/>
        <v/>
      </c>
      <c r="I912" s="14" t="str" cm="1">
        <f t="array" ref="I912">IF($A912="","",_xlfn.LET(_xlpm.p,IFERROR(INDEX(tblDados[País],MATCH($A912,TRIM(tblDados[Mandante]),0)),INDEX(tblDados[País],MATCH($A912,TRIM(tblDados[Visitante]),0))),_xlpm.l,IFERROR(INDEX(tblDados[Liga],MATCH($A912,TRIM(tblDados[Mandante]),0)),INDEX(tblDados[Liga],MATCH($A912,TRIM(tblDados[Visitante]),0))),IFERROR(SUMIFS(Ligas!$D$2:$D$39,Ligas!$H$2:$H$39,_xlpm.p,Ligas!$I$2:$I$39,_xlpm.l),0)))</f>
        <v/>
      </c>
      <c r="J912" s="16" t="str" cm="1">
        <f t="array" ref="J912">IF($A912="","",IFERROR((SUMPRODUCT((TRIM(tblDados[Mandante])=$A912)*tblDados[Primeira_Ocorrencia]*(tblDados[GM_M]=0))+SUMPRODUCT((TRIM(tblDados[Visitante])=$A912)*tblDados[Primeira_Ocorrencia]*(tblDados[GM_V]=0)))/G912,0))</f>
        <v/>
      </c>
      <c r="K912" s="16" t="str" cm="1">
        <f t="array" ref="K912">IF($A912="","",IFERROR((SUMPRODUCT((TRIM(tblDados[Mandante])=$A912)*tblDados[Primeira_Ocorrencia]*((tblDados[GM_M]+tblDados[GS_M])&gt;0.5))+SUMPRODUCT((TRIM(tblDados[Visitante])=$A912)*tblDados[Primeira_Ocorrencia]*((tblDados[GM_V]+tblDados[GS_V])&gt;0.5)))/G912,0))</f>
        <v/>
      </c>
      <c r="L912" s="16" t="str" cm="1">
        <f t="array" ref="L912">IF($A912="","",IFERROR((SUMPRODUCT((TRIM(tblDados[Mandante])=$A912)*tblDados[Primeira_Ocorrencia]*((tblDados[GM_M]+tblDados[GS_M])&gt;1.5))+SUMPRODUCT((TRIM(tblDados[Visitante])=$A912)*tblDados[Primeira_Ocorrencia]*((tblDados[GM_V]+tblDados[GS_V])&gt;1.5)))/G912,0))</f>
        <v/>
      </c>
      <c r="M912" s="16" t="str" cm="1">
        <f t="array" ref="M912">IF($A912="","",IFERROR((SUMPRODUCT((TRIM(tblDados[Mandante])=$A912)*tblDados[Primeira_Ocorrencia]*((tblDados[GM_M]+tblDados[GS_M])&gt;2.5))+SUMPRODUCT((TRIM(tblDados[Visitante])=$A912)*tblDados[Primeira_Ocorrencia]*((tblDados[GM_V]+tblDados[GS_V])&gt;2.5)))/G912,0))</f>
        <v/>
      </c>
      <c r="N912" s="16" t="str" cm="1">
        <f t="array" ref="N912">IF($A912="","",IFERROR((SUMPRODUCT((TRIM(tblDados[Mandante])=$A912)*tblDados[Primeira_Ocorrencia]*((tblDados[GM_M]+tblDados[GS_M])&gt;3.5))+SUMPRODUCT((TRIM(tblDados[Visitante])=$A912)*tblDados[Primeira_Ocorrencia]*((tblDados[GM_V]+tblDados[GS_V])&gt;3.5)))/G912,0))</f>
        <v/>
      </c>
      <c r="O912" s="16" t="str" cm="1">
        <f t="array" ref="O912">IF($A912="","",IFERROR((SUMPRODUCT((TRIM(tblDados[Mandante])=$A912)*tblDados[Primeira_Ocorrencia]*(tblDados[GM_M]&gt;0)*(tblDados[GS_M]&gt;0))+SUMPRODUCT((TRIM(tblDados[Visitante])=$A912)*tblDados[Primeira_Ocorrencia]*(tblDados[GM_V]&gt;0)*(tblDados[GS_V]&gt;0)))/G912,0))</f>
        <v/>
      </c>
      <c r="P912" s="14" t="str" cm="1">
        <f t="array" ref="P912">IF($A912="","",IFERROR((SUMPRODUCT((TRIM(tblDados[Mandante])=$A912)*tblDados[Primeira_Ocorrencia]*tblDados[GM_M]^2)+SUMPRODUCT((TRIM(tblDados[Visitante])=$A912)*tblDados[Primeira_Ocorrencia]*tblDados[GM_V]^2))/G912-H912^2,0))</f>
        <v/>
      </c>
      <c r="Q912" s="14" t="str">
        <f t="shared" si="239"/>
        <v/>
      </c>
      <c r="R912" s="1" t="str">
        <f t="shared" si="240"/>
        <v/>
      </c>
      <c r="S912" s="14" t="str" cm="1">
        <f t="array" ref="S912">IF($A912="","",SUMPRODUCT((TRIM(tblDados[Mandante])=$A912)*tblDados[Primeira_Ocorrencia]*tblDados[GM_M]))</f>
        <v/>
      </c>
      <c r="T912" s="14" t="str" cm="1">
        <f t="array" ref="T912">IF($A912="","",SUMPRODUCT((TRIM(tblDados[Visitante])=$A912)*tblDados[Primeira_Ocorrencia]*tblDados[GM_V]))</f>
        <v/>
      </c>
      <c r="U912" s="14" t="str">
        <f t="shared" si="241"/>
        <v/>
      </c>
      <c r="V912" s="14" t="str">
        <f t="shared" si="230"/>
        <v/>
      </c>
      <c r="W912" s="14" t="str" cm="1">
        <f t="array" ref="W912">IF($A912="","",SUMPRODUCT((TRIM(tblDados[Mandante])=$A912)*tblDados[Primeira_Ocorrencia]*tblDados[GS_M]))</f>
        <v/>
      </c>
      <c r="X912" s="14" t="str" cm="1">
        <f t="array" ref="X912">IF($A912="","",SUMPRODUCT((TRIM(tblDados[Visitante])=$A912)*tblDados[Primeira_Ocorrencia]*tblDados[GS_V]))</f>
        <v/>
      </c>
      <c r="Y912" s="14" t="str">
        <f t="shared" si="242"/>
        <v/>
      </c>
      <c r="Z912" s="14" t="str">
        <f t="shared" si="231"/>
        <v/>
      </c>
      <c r="AA912" s="14" t="str">
        <f t="shared" si="232"/>
        <v/>
      </c>
      <c r="AB912" s="14" t="str">
        <f t="shared" si="233"/>
        <v/>
      </c>
      <c r="AC912" s="14" t="str">
        <f t="shared" si="234"/>
        <v/>
      </c>
      <c r="AD912" s="14" t="str">
        <f t="shared" si="235"/>
        <v/>
      </c>
    </row>
    <row r="913" spans="2:30" x14ac:dyDescent="0.3">
      <c r="B913" s="13" t="str" cm="1">
        <f t="array" ref="B913">IF($A913="","",_xlfn.LET(_xlpm.p,IFERROR(INDEX(tblDados[País],MATCH($A913,TRIM(tblDados[Mandante]),0)),INDEX(tblDados[País],MATCH($A913,TRIM(tblDados[Visitante]),0))),_xlpm.l,IFERROR(INDEX(tblDados[Liga],MATCH($A913,TRIM(tblDados[Mandante]),0)),INDEX(tblDados[Liga],MATCH($A913,TRIM(tblDados[Visitante]),0))),_xlpm.p&amp;" - "&amp;_xlpm.l))</f>
        <v/>
      </c>
      <c r="C913" s="14" t="str">
        <f t="shared" si="236"/>
        <v/>
      </c>
      <c r="D913" s="14" t="str">
        <f t="shared" si="237"/>
        <v/>
      </c>
      <c r="E913" s="15" t="str" cm="1">
        <f t="array" ref="E913">IF($A913="","",SUMPRODUCT((TRIM(tblDados[Mandante])=$A913)*tblDados[Primeira_Ocorrencia]))</f>
        <v/>
      </c>
      <c r="F913" s="15" t="str" cm="1">
        <f t="array" ref="F913">IF($A913="","",SUMPRODUCT((TRIM(tblDados[Visitante])=$A913)*tblDados[Primeira_Ocorrencia]))</f>
        <v/>
      </c>
      <c r="G913" s="15" t="str" cm="1">
        <f t="array" ref="G913">IF($A913="","",SUMPRODUCT((TRIM(tblDados[Mandante])=$A913)*tblDados[Primeira_Ocorrencia])+SUMPRODUCT((TRIM(tblDados[Visitante])=$A913)*tblDados[Primeira_Ocorrencia]))</f>
        <v/>
      </c>
      <c r="H913" s="14" t="str">
        <f t="shared" si="238"/>
        <v/>
      </c>
      <c r="I913" s="14" t="str" cm="1">
        <f t="array" ref="I913">IF($A913="","",_xlfn.LET(_xlpm.p,IFERROR(INDEX(tblDados[País],MATCH($A913,TRIM(tblDados[Mandante]),0)),INDEX(tblDados[País],MATCH($A913,TRIM(tblDados[Visitante]),0))),_xlpm.l,IFERROR(INDEX(tblDados[Liga],MATCH($A913,TRIM(tblDados[Mandante]),0)),INDEX(tblDados[Liga],MATCH($A913,TRIM(tblDados[Visitante]),0))),IFERROR(SUMIFS(Ligas!$D$2:$D$39,Ligas!$H$2:$H$39,_xlpm.p,Ligas!$I$2:$I$39,_xlpm.l),0)))</f>
        <v/>
      </c>
      <c r="J913" s="16" t="str" cm="1">
        <f t="array" ref="J913">IF($A913="","",IFERROR((SUMPRODUCT((TRIM(tblDados[Mandante])=$A913)*tblDados[Primeira_Ocorrencia]*(tblDados[GM_M]=0))+SUMPRODUCT((TRIM(tblDados[Visitante])=$A913)*tblDados[Primeira_Ocorrencia]*(tblDados[GM_V]=0)))/G913,0))</f>
        <v/>
      </c>
      <c r="K913" s="16" t="str" cm="1">
        <f t="array" ref="K913">IF($A913="","",IFERROR((SUMPRODUCT((TRIM(tblDados[Mandante])=$A913)*tblDados[Primeira_Ocorrencia]*((tblDados[GM_M]+tblDados[GS_M])&gt;0.5))+SUMPRODUCT((TRIM(tblDados[Visitante])=$A913)*tblDados[Primeira_Ocorrencia]*((tblDados[GM_V]+tblDados[GS_V])&gt;0.5)))/G913,0))</f>
        <v/>
      </c>
      <c r="L913" s="16" t="str" cm="1">
        <f t="array" ref="L913">IF($A913="","",IFERROR((SUMPRODUCT((TRIM(tblDados[Mandante])=$A913)*tblDados[Primeira_Ocorrencia]*((tblDados[GM_M]+tblDados[GS_M])&gt;1.5))+SUMPRODUCT((TRIM(tblDados[Visitante])=$A913)*tblDados[Primeira_Ocorrencia]*((tblDados[GM_V]+tblDados[GS_V])&gt;1.5)))/G913,0))</f>
        <v/>
      </c>
      <c r="M913" s="16" t="str" cm="1">
        <f t="array" ref="M913">IF($A913="","",IFERROR((SUMPRODUCT((TRIM(tblDados[Mandante])=$A913)*tblDados[Primeira_Ocorrencia]*((tblDados[GM_M]+tblDados[GS_M])&gt;2.5))+SUMPRODUCT((TRIM(tblDados[Visitante])=$A913)*tblDados[Primeira_Ocorrencia]*((tblDados[GM_V]+tblDados[GS_V])&gt;2.5)))/G913,0))</f>
        <v/>
      </c>
      <c r="N913" s="16" t="str" cm="1">
        <f t="array" ref="N913">IF($A913="","",IFERROR((SUMPRODUCT((TRIM(tblDados[Mandante])=$A913)*tblDados[Primeira_Ocorrencia]*((tblDados[GM_M]+tblDados[GS_M])&gt;3.5))+SUMPRODUCT((TRIM(tblDados[Visitante])=$A913)*tblDados[Primeira_Ocorrencia]*((tblDados[GM_V]+tblDados[GS_V])&gt;3.5)))/G913,0))</f>
        <v/>
      </c>
      <c r="O913" s="16" t="str" cm="1">
        <f t="array" ref="O913">IF($A913="","",IFERROR((SUMPRODUCT((TRIM(tblDados[Mandante])=$A913)*tblDados[Primeira_Ocorrencia]*(tblDados[GM_M]&gt;0)*(tblDados[GS_M]&gt;0))+SUMPRODUCT((TRIM(tblDados[Visitante])=$A913)*tblDados[Primeira_Ocorrencia]*(tblDados[GM_V]&gt;0)*(tblDados[GS_V]&gt;0)))/G913,0))</f>
        <v/>
      </c>
      <c r="P913" s="14" t="str" cm="1">
        <f t="array" ref="P913">IF($A913="","",IFERROR((SUMPRODUCT((TRIM(tblDados[Mandante])=$A913)*tblDados[Primeira_Ocorrencia]*tblDados[GM_M]^2)+SUMPRODUCT((TRIM(tblDados[Visitante])=$A913)*tblDados[Primeira_Ocorrencia]*tblDados[GM_V]^2))/G913-H913^2,0))</f>
        <v/>
      </c>
      <c r="Q913" s="14" t="str">
        <f t="shared" si="239"/>
        <v/>
      </c>
      <c r="R913" s="1" t="str">
        <f t="shared" si="240"/>
        <v/>
      </c>
      <c r="S913" s="14" t="str" cm="1">
        <f t="array" ref="S913">IF($A913="","",SUMPRODUCT((TRIM(tblDados[Mandante])=$A913)*tblDados[Primeira_Ocorrencia]*tblDados[GM_M]))</f>
        <v/>
      </c>
      <c r="T913" s="14" t="str" cm="1">
        <f t="array" ref="T913">IF($A913="","",SUMPRODUCT((TRIM(tblDados[Visitante])=$A913)*tblDados[Primeira_Ocorrencia]*tblDados[GM_V]))</f>
        <v/>
      </c>
      <c r="U913" s="14" t="str">
        <f t="shared" si="241"/>
        <v/>
      </c>
      <c r="V913" s="14" t="str">
        <f t="shared" si="230"/>
        <v/>
      </c>
      <c r="W913" s="14" t="str" cm="1">
        <f t="array" ref="W913">IF($A913="","",SUMPRODUCT((TRIM(tblDados[Mandante])=$A913)*tblDados[Primeira_Ocorrencia]*tblDados[GS_M]))</f>
        <v/>
      </c>
      <c r="X913" s="14" t="str" cm="1">
        <f t="array" ref="X913">IF($A913="","",SUMPRODUCT((TRIM(tblDados[Visitante])=$A913)*tblDados[Primeira_Ocorrencia]*tblDados[GS_V]))</f>
        <v/>
      </c>
      <c r="Y913" s="14" t="str">
        <f t="shared" si="242"/>
        <v/>
      </c>
      <c r="Z913" s="14" t="str">
        <f t="shared" si="231"/>
        <v/>
      </c>
      <c r="AA913" s="14" t="str">
        <f t="shared" si="232"/>
        <v/>
      </c>
      <c r="AB913" s="14" t="str">
        <f t="shared" si="233"/>
        <v/>
      </c>
      <c r="AC913" s="14" t="str">
        <f t="shared" si="234"/>
        <v/>
      </c>
      <c r="AD913" s="14" t="str">
        <f t="shared" si="235"/>
        <v/>
      </c>
    </row>
    <row r="914" spans="2:30" x14ac:dyDescent="0.3">
      <c r="B914" s="13" t="str" cm="1">
        <f t="array" ref="B914">IF($A914="","",_xlfn.LET(_xlpm.p,IFERROR(INDEX(tblDados[País],MATCH($A914,TRIM(tblDados[Mandante]),0)),INDEX(tblDados[País],MATCH($A914,TRIM(tblDados[Visitante]),0))),_xlpm.l,IFERROR(INDEX(tblDados[Liga],MATCH($A914,TRIM(tblDados[Mandante]),0)),INDEX(tblDados[Liga],MATCH($A914,TRIM(tblDados[Visitante]),0))),_xlpm.p&amp;" - "&amp;_xlpm.l))</f>
        <v/>
      </c>
      <c r="C914" s="14" t="str">
        <f t="shared" si="236"/>
        <v/>
      </c>
      <c r="D914" s="14" t="str">
        <f t="shared" si="237"/>
        <v/>
      </c>
      <c r="E914" s="15" t="str" cm="1">
        <f t="array" ref="E914">IF($A914="","",SUMPRODUCT((TRIM(tblDados[Mandante])=$A914)*tblDados[Primeira_Ocorrencia]))</f>
        <v/>
      </c>
      <c r="F914" s="15" t="str" cm="1">
        <f t="array" ref="F914">IF($A914="","",SUMPRODUCT((TRIM(tblDados[Visitante])=$A914)*tblDados[Primeira_Ocorrencia]))</f>
        <v/>
      </c>
      <c r="G914" s="15" t="str" cm="1">
        <f t="array" ref="G914">IF($A914="","",SUMPRODUCT((TRIM(tblDados[Mandante])=$A914)*tblDados[Primeira_Ocorrencia])+SUMPRODUCT((TRIM(tblDados[Visitante])=$A914)*tblDados[Primeira_Ocorrencia]))</f>
        <v/>
      </c>
      <c r="H914" s="14" t="str">
        <f t="shared" si="238"/>
        <v/>
      </c>
      <c r="I914" s="14" t="str" cm="1">
        <f t="array" ref="I914">IF($A914="","",_xlfn.LET(_xlpm.p,IFERROR(INDEX(tblDados[País],MATCH($A914,TRIM(tblDados[Mandante]),0)),INDEX(tblDados[País],MATCH($A914,TRIM(tblDados[Visitante]),0))),_xlpm.l,IFERROR(INDEX(tblDados[Liga],MATCH($A914,TRIM(tblDados[Mandante]),0)),INDEX(tblDados[Liga],MATCH($A914,TRIM(tblDados[Visitante]),0))),IFERROR(SUMIFS(Ligas!$D$2:$D$39,Ligas!$H$2:$H$39,_xlpm.p,Ligas!$I$2:$I$39,_xlpm.l),0)))</f>
        <v/>
      </c>
      <c r="J914" s="16" t="str" cm="1">
        <f t="array" ref="J914">IF($A914="","",IFERROR((SUMPRODUCT((TRIM(tblDados[Mandante])=$A914)*tblDados[Primeira_Ocorrencia]*(tblDados[GM_M]=0))+SUMPRODUCT((TRIM(tblDados[Visitante])=$A914)*tblDados[Primeira_Ocorrencia]*(tblDados[GM_V]=0)))/G914,0))</f>
        <v/>
      </c>
      <c r="K914" s="16" t="str" cm="1">
        <f t="array" ref="K914">IF($A914="","",IFERROR((SUMPRODUCT((TRIM(tblDados[Mandante])=$A914)*tblDados[Primeira_Ocorrencia]*((tblDados[GM_M]+tblDados[GS_M])&gt;0.5))+SUMPRODUCT((TRIM(tblDados[Visitante])=$A914)*tblDados[Primeira_Ocorrencia]*((tblDados[GM_V]+tblDados[GS_V])&gt;0.5)))/G914,0))</f>
        <v/>
      </c>
      <c r="L914" s="16" t="str" cm="1">
        <f t="array" ref="L914">IF($A914="","",IFERROR((SUMPRODUCT((TRIM(tblDados[Mandante])=$A914)*tblDados[Primeira_Ocorrencia]*((tblDados[GM_M]+tblDados[GS_M])&gt;1.5))+SUMPRODUCT((TRIM(tblDados[Visitante])=$A914)*tblDados[Primeira_Ocorrencia]*((tblDados[GM_V]+tblDados[GS_V])&gt;1.5)))/G914,0))</f>
        <v/>
      </c>
      <c r="M914" s="16" t="str" cm="1">
        <f t="array" ref="M914">IF($A914="","",IFERROR((SUMPRODUCT((TRIM(tblDados[Mandante])=$A914)*tblDados[Primeira_Ocorrencia]*((tblDados[GM_M]+tblDados[GS_M])&gt;2.5))+SUMPRODUCT((TRIM(tblDados[Visitante])=$A914)*tblDados[Primeira_Ocorrencia]*((tblDados[GM_V]+tblDados[GS_V])&gt;2.5)))/G914,0))</f>
        <v/>
      </c>
      <c r="N914" s="16" t="str" cm="1">
        <f t="array" ref="N914">IF($A914="","",IFERROR((SUMPRODUCT((TRIM(tblDados[Mandante])=$A914)*tblDados[Primeira_Ocorrencia]*((tblDados[GM_M]+tblDados[GS_M])&gt;3.5))+SUMPRODUCT((TRIM(tblDados[Visitante])=$A914)*tblDados[Primeira_Ocorrencia]*((tblDados[GM_V]+tblDados[GS_V])&gt;3.5)))/G914,0))</f>
        <v/>
      </c>
      <c r="O914" s="16" t="str" cm="1">
        <f t="array" ref="O914">IF($A914="","",IFERROR((SUMPRODUCT((TRIM(tblDados[Mandante])=$A914)*tblDados[Primeira_Ocorrencia]*(tblDados[GM_M]&gt;0)*(tblDados[GS_M]&gt;0))+SUMPRODUCT((TRIM(tblDados[Visitante])=$A914)*tblDados[Primeira_Ocorrencia]*(tblDados[GM_V]&gt;0)*(tblDados[GS_V]&gt;0)))/G914,0))</f>
        <v/>
      </c>
      <c r="P914" s="14" t="str" cm="1">
        <f t="array" ref="P914">IF($A914="","",IFERROR((SUMPRODUCT((TRIM(tblDados[Mandante])=$A914)*tblDados[Primeira_Ocorrencia]*tblDados[GM_M]^2)+SUMPRODUCT((TRIM(tblDados[Visitante])=$A914)*tblDados[Primeira_Ocorrencia]*tblDados[GM_V]^2))/G914-H914^2,0))</f>
        <v/>
      </c>
      <c r="Q914" s="14" t="str">
        <f t="shared" si="239"/>
        <v/>
      </c>
      <c r="R914" s="1" t="str">
        <f t="shared" si="240"/>
        <v/>
      </c>
      <c r="S914" s="14" t="str" cm="1">
        <f t="array" ref="S914">IF($A914="","",SUMPRODUCT((TRIM(tblDados[Mandante])=$A914)*tblDados[Primeira_Ocorrencia]*tblDados[GM_M]))</f>
        <v/>
      </c>
      <c r="T914" s="14" t="str" cm="1">
        <f t="array" ref="T914">IF($A914="","",SUMPRODUCT((TRIM(tblDados[Visitante])=$A914)*tblDados[Primeira_Ocorrencia]*tblDados[GM_V]))</f>
        <v/>
      </c>
      <c r="U914" s="14" t="str">
        <f t="shared" si="241"/>
        <v/>
      </c>
      <c r="V914" s="14" t="str">
        <f t="shared" si="230"/>
        <v/>
      </c>
      <c r="W914" s="14" t="str" cm="1">
        <f t="array" ref="W914">IF($A914="","",SUMPRODUCT((TRIM(tblDados[Mandante])=$A914)*tblDados[Primeira_Ocorrencia]*tblDados[GS_M]))</f>
        <v/>
      </c>
      <c r="X914" s="14" t="str" cm="1">
        <f t="array" ref="X914">IF($A914="","",SUMPRODUCT((TRIM(tblDados[Visitante])=$A914)*tblDados[Primeira_Ocorrencia]*tblDados[GS_V]))</f>
        <v/>
      </c>
      <c r="Y914" s="14" t="str">
        <f t="shared" si="242"/>
        <v/>
      </c>
      <c r="Z914" s="14" t="str">
        <f t="shared" si="231"/>
        <v/>
      </c>
      <c r="AA914" s="14" t="str">
        <f t="shared" si="232"/>
        <v/>
      </c>
      <c r="AB914" s="14" t="str">
        <f t="shared" si="233"/>
        <v/>
      </c>
      <c r="AC914" s="14" t="str">
        <f t="shared" si="234"/>
        <v/>
      </c>
      <c r="AD914" s="14" t="str">
        <f t="shared" si="235"/>
        <v/>
      </c>
    </row>
    <row r="915" spans="2:30" x14ac:dyDescent="0.3">
      <c r="B915" s="13" t="str" cm="1">
        <f t="array" ref="B915">IF($A915="","",_xlfn.LET(_xlpm.p,IFERROR(INDEX(tblDados[País],MATCH($A915,TRIM(tblDados[Mandante]),0)),INDEX(tblDados[País],MATCH($A915,TRIM(tblDados[Visitante]),0))),_xlpm.l,IFERROR(INDEX(tblDados[Liga],MATCH($A915,TRIM(tblDados[Mandante]),0)),INDEX(tblDados[Liga],MATCH($A915,TRIM(tblDados[Visitante]),0))),_xlpm.p&amp;" - "&amp;_xlpm.l))</f>
        <v/>
      </c>
      <c r="C915" s="14" t="str">
        <f t="shared" si="236"/>
        <v/>
      </c>
      <c r="D915" s="14" t="str">
        <f t="shared" si="237"/>
        <v/>
      </c>
      <c r="E915" s="15" t="str" cm="1">
        <f t="array" ref="E915">IF($A915="","",SUMPRODUCT((TRIM(tblDados[Mandante])=$A915)*tblDados[Primeira_Ocorrencia]))</f>
        <v/>
      </c>
      <c r="F915" s="15" t="str" cm="1">
        <f t="array" ref="F915">IF($A915="","",SUMPRODUCT((TRIM(tblDados[Visitante])=$A915)*tblDados[Primeira_Ocorrencia]))</f>
        <v/>
      </c>
      <c r="G915" s="15" t="str" cm="1">
        <f t="array" ref="G915">IF($A915="","",SUMPRODUCT((TRIM(tblDados[Mandante])=$A915)*tblDados[Primeira_Ocorrencia])+SUMPRODUCT((TRIM(tblDados[Visitante])=$A915)*tblDados[Primeira_Ocorrencia]))</f>
        <v/>
      </c>
      <c r="H915" s="14" t="str">
        <f t="shared" si="238"/>
        <v/>
      </c>
      <c r="I915" s="14" t="str" cm="1">
        <f t="array" ref="I915">IF($A915="","",_xlfn.LET(_xlpm.p,IFERROR(INDEX(tblDados[País],MATCH($A915,TRIM(tblDados[Mandante]),0)),INDEX(tblDados[País],MATCH($A915,TRIM(tblDados[Visitante]),0))),_xlpm.l,IFERROR(INDEX(tblDados[Liga],MATCH($A915,TRIM(tblDados[Mandante]),0)),INDEX(tblDados[Liga],MATCH($A915,TRIM(tblDados[Visitante]),0))),IFERROR(SUMIFS(Ligas!$D$2:$D$39,Ligas!$H$2:$H$39,_xlpm.p,Ligas!$I$2:$I$39,_xlpm.l),0)))</f>
        <v/>
      </c>
      <c r="J915" s="16" t="str" cm="1">
        <f t="array" ref="J915">IF($A915="","",IFERROR((SUMPRODUCT((TRIM(tblDados[Mandante])=$A915)*tblDados[Primeira_Ocorrencia]*(tblDados[GM_M]=0))+SUMPRODUCT((TRIM(tblDados[Visitante])=$A915)*tblDados[Primeira_Ocorrencia]*(tblDados[GM_V]=0)))/G915,0))</f>
        <v/>
      </c>
      <c r="K915" s="16" t="str" cm="1">
        <f t="array" ref="K915">IF($A915="","",IFERROR((SUMPRODUCT((TRIM(tblDados[Mandante])=$A915)*tblDados[Primeira_Ocorrencia]*((tblDados[GM_M]+tblDados[GS_M])&gt;0.5))+SUMPRODUCT((TRIM(tblDados[Visitante])=$A915)*tblDados[Primeira_Ocorrencia]*((tblDados[GM_V]+tblDados[GS_V])&gt;0.5)))/G915,0))</f>
        <v/>
      </c>
      <c r="L915" s="16" t="str" cm="1">
        <f t="array" ref="L915">IF($A915="","",IFERROR((SUMPRODUCT((TRIM(tblDados[Mandante])=$A915)*tblDados[Primeira_Ocorrencia]*((tblDados[GM_M]+tblDados[GS_M])&gt;1.5))+SUMPRODUCT((TRIM(tblDados[Visitante])=$A915)*tblDados[Primeira_Ocorrencia]*((tblDados[GM_V]+tblDados[GS_V])&gt;1.5)))/G915,0))</f>
        <v/>
      </c>
      <c r="M915" s="16" t="str" cm="1">
        <f t="array" ref="M915">IF($A915="","",IFERROR((SUMPRODUCT((TRIM(tblDados[Mandante])=$A915)*tblDados[Primeira_Ocorrencia]*((tblDados[GM_M]+tblDados[GS_M])&gt;2.5))+SUMPRODUCT((TRIM(tblDados[Visitante])=$A915)*tblDados[Primeira_Ocorrencia]*((tblDados[GM_V]+tblDados[GS_V])&gt;2.5)))/G915,0))</f>
        <v/>
      </c>
      <c r="N915" s="16" t="str" cm="1">
        <f t="array" ref="N915">IF($A915="","",IFERROR((SUMPRODUCT((TRIM(tblDados[Mandante])=$A915)*tblDados[Primeira_Ocorrencia]*((tblDados[GM_M]+tblDados[GS_M])&gt;3.5))+SUMPRODUCT((TRIM(tblDados[Visitante])=$A915)*tblDados[Primeira_Ocorrencia]*((tblDados[GM_V]+tblDados[GS_V])&gt;3.5)))/G915,0))</f>
        <v/>
      </c>
      <c r="O915" s="16" t="str" cm="1">
        <f t="array" ref="O915">IF($A915="","",IFERROR((SUMPRODUCT((TRIM(tblDados[Mandante])=$A915)*tblDados[Primeira_Ocorrencia]*(tblDados[GM_M]&gt;0)*(tblDados[GS_M]&gt;0))+SUMPRODUCT((TRIM(tblDados[Visitante])=$A915)*tblDados[Primeira_Ocorrencia]*(tblDados[GM_V]&gt;0)*(tblDados[GS_V]&gt;0)))/G915,0))</f>
        <v/>
      </c>
      <c r="P915" s="14" t="str" cm="1">
        <f t="array" ref="P915">IF($A915="","",IFERROR((SUMPRODUCT((TRIM(tblDados[Mandante])=$A915)*tblDados[Primeira_Ocorrencia]*tblDados[GM_M]^2)+SUMPRODUCT((TRIM(tblDados[Visitante])=$A915)*tblDados[Primeira_Ocorrencia]*tblDados[GM_V]^2))/G915-H915^2,0))</f>
        <v/>
      </c>
      <c r="Q915" s="14" t="str">
        <f t="shared" si="239"/>
        <v/>
      </c>
      <c r="R915" s="1" t="str">
        <f t="shared" si="240"/>
        <v/>
      </c>
      <c r="S915" s="14" t="str" cm="1">
        <f t="array" ref="S915">IF($A915="","",SUMPRODUCT((TRIM(tblDados[Mandante])=$A915)*tblDados[Primeira_Ocorrencia]*tblDados[GM_M]))</f>
        <v/>
      </c>
      <c r="T915" s="14" t="str" cm="1">
        <f t="array" ref="T915">IF($A915="","",SUMPRODUCT((TRIM(tblDados[Visitante])=$A915)*tblDados[Primeira_Ocorrencia]*tblDados[GM_V]))</f>
        <v/>
      </c>
      <c r="U915" s="14" t="str">
        <f t="shared" si="241"/>
        <v/>
      </c>
      <c r="V915" s="14" t="str">
        <f t="shared" si="230"/>
        <v/>
      </c>
      <c r="W915" s="14" t="str" cm="1">
        <f t="array" ref="W915">IF($A915="","",SUMPRODUCT((TRIM(tblDados[Mandante])=$A915)*tblDados[Primeira_Ocorrencia]*tblDados[GS_M]))</f>
        <v/>
      </c>
      <c r="X915" s="14" t="str" cm="1">
        <f t="array" ref="X915">IF($A915="","",SUMPRODUCT((TRIM(tblDados[Visitante])=$A915)*tblDados[Primeira_Ocorrencia]*tblDados[GS_V]))</f>
        <v/>
      </c>
      <c r="Y915" s="14" t="str">
        <f t="shared" si="242"/>
        <v/>
      </c>
      <c r="Z915" s="14" t="str">
        <f t="shared" si="231"/>
        <v/>
      </c>
      <c r="AA915" s="14" t="str">
        <f t="shared" si="232"/>
        <v/>
      </c>
      <c r="AB915" s="14" t="str">
        <f t="shared" si="233"/>
        <v/>
      </c>
      <c r="AC915" s="14" t="str">
        <f t="shared" si="234"/>
        <v/>
      </c>
      <c r="AD915" s="14" t="str">
        <f t="shared" si="235"/>
        <v/>
      </c>
    </row>
    <row r="916" spans="2:30" x14ac:dyDescent="0.3">
      <c r="B916" s="13" t="str" cm="1">
        <f t="array" ref="B916">IF($A916="","",_xlfn.LET(_xlpm.p,IFERROR(INDEX(tblDados[País],MATCH($A916,TRIM(tblDados[Mandante]),0)),INDEX(tblDados[País],MATCH($A916,TRIM(tblDados[Visitante]),0))),_xlpm.l,IFERROR(INDEX(tblDados[Liga],MATCH($A916,TRIM(tblDados[Mandante]),0)),INDEX(tblDados[Liga],MATCH($A916,TRIM(tblDados[Visitante]),0))),_xlpm.p&amp;" - "&amp;_xlpm.l))</f>
        <v/>
      </c>
      <c r="C916" s="14" t="str">
        <f t="shared" si="236"/>
        <v/>
      </c>
      <c r="D916" s="14" t="str">
        <f t="shared" si="237"/>
        <v/>
      </c>
      <c r="E916" s="15" t="str" cm="1">
        <f t="array" ref="E916">IF($A916="","",SUMPRODUCT((TRIM(tblDados[Mandante])=$A916)*tblDados[Primeira_Ocorrencia]))</f>
        <v/>
      </c>
      <c r="F916" s="15" t="str" cm="1">
        <f t="array" ref="F916">IF($A916="","",SUMPRODUCT((TRIM(tblDados[Visitante])=$A916)*tblDados[Primeira_Ocorrencia]))</f>
        <v/>
      </c>
      <c r="G916" s="15" t="str" cm="1">
        <f t="array" ref="G916">IF($A916="","",SUMPRODUCT((TRIM(tblDados[Mandante])=$A916)*tblDados[Primeira_Ocorrencia])+SUMPRODUCT((TRIM(tblDados[Visitante])=$A916)*tblDados[Primeira_Ocorrencia]))</f>
        <v/>
      </c>
      <c r="H916" s="14" t="str">
        <f t="shared" si="238"/>
        <v/>
      </c>
      <c r="I916" s="14" t="str" cm="1">
        <f t="array" ref="I916">IF($A916="","",_xlfn.LET(_xlpm.p,IFERROR(INDEX(tblDados[País],MATCH($A916,TRIM(tblDados[Mandante]),0)),INDEX(tblDados[País],MATCH($A916,TRIM(tblDados[Visitante]),0))),_xlpm.l,IFERROR(INDEX(tblDados[Liga],MATCH($A916,TRIM(tblDados[Mandante]),0)),INDEX(tblDados[Liga],MATCH($A916,TRIM(tblDados[Visitante]),0))),IFERROR(SUMIFS(Ligas!$D$2:$D$39,Ligas!$H$2:$H$39,_xlpm.p,Ligas!$I$2:$I$39,_xlpm.l),0)))</f>
        <v/>
      </c>
      <c r="J916" s="16" t="str" cm="1">
        <f t="array" ref="J916">IF($A916="","",IFERROR((SUMPRODUCT((TRIM(tblDados[Mandante])=$A916)*tblDados[Primeira_Ocorrencia]*(tblDados[GM_M]=0))+SUMPRODUCT((TRIM(tblDados[Visitante])=$A916)*tblDados[Primeira_Ocorrencia]*(tblDados[GM_V]=0)))/G916,0))</f>
        <v/>
      </c>
      <c r="K916" s="16" t="str" cm="1">
        <f t="array" ref="K916">IF($A916="","",IFERROR((SUMPRODUCT((TRIM(tblDados[Mandante])=$A916)*tblDados[Primeira_Ocorrencia]*((tblDados[GM_M]+tblDados[GS_M])&gt;0.5))+SUMPRODUCT((TRIM(tblDados[Visitante])=$A916)*tblDados[Primeira_Ocorrencia]*((tblDados[GM_V]+tblDados[GS_V])&gt;0.5)))/G916,0))</f>
        <v/>
      </c>
      <c r="L916" s="16" t="str" cm="1">
        <f t="array" ref="L916">IF($A916="","",IFERROR((SUMPRODUCT((TRIM(tblDados[Mandante])=$A916)*tblDados[Primeira_Ocorrencia]*((tblDados[GM_M]+tblDados[GS_M])&gt;1.5))+SUMPRODUCT((TRIM(tblDados[Visitante])=$A916)*tblDados[Primeira_Ocorrencia]*((tblDados[GM_V]+tblDados[GS_V])&gt;1.5)))/G916,0))</f>
        <v/>
      </c>
      <c r="M916" s="16" t="str" cm="1">
        <f t="array" ref="M916">IF($A916="","",IFERROR((SUMPRODUCT((TRIM(tblDados[Mandante])=$A916)*tblDados[Primeira_Ocorrencia]*((tblDados[GM_M]+tblDados[GS_M])&gt;2.5))+SUMPRODUCT((TRIM(tblDados[Visitante])=$A916)*tblDados[Primeira_Ocorrencia]*((tblDados[GM_V]+tblDados[GS_V])&gt;2.5)))/G916,0))</f>
        <v/>
      </c>
      <c r="N916" s="16" t="str" cm="1">
        <f t="array" ref="N916">IF($A916="","",IFERROR((SUMPRODUCT((TRIM(tblDados[Mandante])=$A916)*tblDados[Primeira_Ocorrencia]*((tblDados[GM_M]+tblDados[GS_M])&gt;3.5))+SUMPRODUCT((TRIM(tblDados[Visitante])=$A916)*tblDados[Primeira_Ocorrencia]*((tblDados[GM_V]+tblDados[GS_V])&gt;3.5)))/G916,0))</f>
        <v/>
      </c>
      <c r="O916" s="16" t="str" cm="1">
        <f t="array" ref="O916">IF($A916="","",IFERROR((SUMPRODUCT((TRIM(tblDados[Mandante])=$A916)*tblDados[Primeira_Ocorrencia]*(tblDados[GM_M]&gt;0)*(tblDados[GS_M]&gt;0))+SUMPRODUCT((TRIM(tblDados[Visitante])=$A916)*tblDados[Primeira_Ocorrencia]*(tblDados[GM_V]&gt;0)*(tblDados[GS_V]&gt;0)))/G916,0))</f>
        <v/>
      </c>
      <c r="P916" s="14" t="str" cm="1">
        <f t="array" ref="P916">IF($A916="","",IFERROR((SUMPRODUCT((TRIM(tblDados[Mandante])=$A916)*tblDados[Primeira_Ocorrencia]*tblDados[GM_M]^2)+SUMPRODUCT((TRIM(tblDados[Visitante])=$A916)*tblDados[Primeira_Ocorrencia]*tblDados[GM_V]^2))/G916-H916^2,0))</f>
        <v/>
      </c>
      <c r="Q916" s="14" t="str">
        <f t="shared" si="239"/>
        <v/>
      </c>
      <c r="R916" s="1" t="str">
        <f t="shared" si="240"/>
        <v/>
      </c>
      <c r="S916" s="14" t="str" cm="1">
        <f t="array" ref="S916">IF($A916="","",SUMPRODUCT((TRIM(tblDados[Mandante])=$A916)*tblDados[Primeira_Ocorrencia]*tblDados[GM_M]))</f>
        <v/>
      </c>
      <c r="T916" s="14" t="str" cm="1">
        <f t="array" ref="T916">IF($A916="","",SUMPRODUCT((TRIM(tblDados[Visitante])=$A916)*tblDados[Primeira_Ocorrencia]*tblDados[GM_V]))</f>
        <v/>
      </c>
      <c r="U916" s="14" t="str">
        <f t="shared" si="241"/>
        <v/>
      </c>
      <c r="V916" s="14" t="str">
        <f t="shared" si="230"/>
        <v/>
      </c>
      <c r="W916" s="14" t="str" cm="1">
        <f t="array" ref="W916">IF($A916="","",SUMPRODUCT((TRIM(tblDados[Mandante])=$A916)*tblDados[Primeira_Ocorrencia]*tblDados[GS_M]))</f>
        <v/>
      </c>
      <c r="X916" s="14" t="str" cm="1">
        <f t="array" ref="X916">IF($A916="","",SUMPRODUCT((TRIM(tblDados[Visitante])=$A916)*tblDados[Primeira_Ocorrencia]*tblDados[GS_V]))</f>
        <v/>
      </c>
      <c r="Y916" s="14" t="str">
        <f t="shared" si="242"/>
        <v/>
      </c>
      <c r="Z916" s="14" t="str">
        <f t="shared" si="231"/>
        <v/>
      </c>
      <c r="AA916" s="14" t="str">
        <f t="shared" si="232"/>
        <v/>
      </c>
      <c r="AB916" s="14" t="str">
        <f t="shared" si="233"/>
        <v/>
      </c>
      <c r="AC916" s="14" t="str">
        <f t="shared" si="234"/>
        <v/>
      </c>
      <c r="AD916" s="14" t="str">
        <f t="shared" si="235"/>
        <v/>
      </c>
    </row>
    <row r="917" spans="2:30" x14ac:dyDescent="0.3">
      <c r="B917" s="13" t="str" cm="1">
        <f t="array" ref="B917">IF($A917="","",_xlfn.LET(_xlpm.p,IFERROR(INDEX(tblDados[País],MATCH($A917,TRIM(tblDados[Mandante]),0)),INDEX(tblDados[País],MATCH($A917,TRIM(tblDados[Visitante]),0))),_xlpm.l,IFERROR(INDEX(tblDados[Liga],MATCH($A917,TRIM(tblDados[Mandante]),0)),INDEX(tblDados[Liga],MATCH($A917,TRIM(tblDados[Visitante]),0))),_xlpm.p&amp;" - "&amp;_xlpm.l))</f>
        <v/>
      </c>
      <c r="C917" s="14" t="str">
        <f t="shared" si="236"/>
        <v/>
      </c>
      <c r="D917" s="14" t="str">
        <f t="shared" si="237"/>
        <v/>
      </c>
      <c r="E917" s="15" t="str" cm="1">
        <f t="array" ref="E917">IF($A917="","",SUMPRODUCT((TRIM(tblDados[Mandante])=$A917)*tblDados[Primeira_Ocorrencia]))</f>
        <v/>
      </c>
      <c r="F917" s="15" t="str" cm="1">
        <f t="array" ref="F917">IF($A917="","",SUMPRODUCT((TRIM(tblDados[Visitante])=$A917)*tblDados[Primeira_Ocorrencia]))</f>
        <v/>
      </c>
      <c r="G917" s="15" t="str" cm="1">
        <f t="array" ref="G917">IF($A917="","",SUMPRODUCT((TRIM(tblDados[Mandante])=$A917)*tblDados[Primeira_Ocorrencia])+SUMPRODUCT((TRIM(tblDados[Visitante])=$A917)*tblDados[Primeira_Ocorrencia]))</f>
        <v/>
      </c>
      <c r="H917" s="14" t="str">
        <f t="shared" si="238"/>
        <v/>
      </c>
      <c r="I917" s="14" t="str" cm="1">
        <f t="array" ref="I917">IF($A917="","",_xlfn.LET(_xlpm.p,IFERROR(INDEX(tblDados[País],MATCH($A917,TRIM(tblDados[Mandante]),0)),INDEX(tblDados[País],MATCH($A917,TRIM(tblDados[Visitante]),0))),_xlpm.l,IFERROR(INDEX(tblDados[Liga],MATCH($A917,TRIM(tblDados[Mandante]),0)),INDEX(tblDados[Liga],MATCH($A917,TRIM(tblDados[Visitante]),0))),IFERROR(SUMIFS(Ligas!$D$2:$D$39,Ligas!$H$2:$H$39,_xlpm.p,Ligas!$I$2:$I$39,_xlpm.l),0)))</f>
        <v/>
      </c>
      <c r="J917" s="16" t="str" cm="1">
        <f t="array" ref="J917">IF($A917="","",IFERROR((SUMPRODUCT((TRIM(tblDados[Mandante])=$A917)*tblDados[Primeira_Ocorrencia]*(tblDados[GM_M]=0))+SUMPRODUCT((TRIM(tblDados[Visitante])=$A917)*tblDados[Primeira_Ocorrencia]*(tblDados[GM_V]=0)))/G917,0))</f>
        <v/>
      </c>
      <c r="K917" s="16" t="str" cm="1">
        <f t="array" ref="K917">IF($A917="","",IFERROR((SUMPRODUCT((TRIM(tblDados[Mandante])=$A917)*tblDados[Primeira_Ocorrencia]*((tblDados[GM_M]+tblDados[GS_M])&gt;0.5))+SUMPRODUCT((TRIM(tblDados[Visitante])=$A917)*tblDados[Primeira_Ocorrencia]*((tblDados[GM_V]+tblDados[GS_V])&gt;0.5)))/G917,0))</f>
        <v/>
      </c>
      <c r="L917" s="16" t="str" cm="1">
        <f t="array" ref="L917">IF($A917="","",IFERROR((SUMPRODUCT((TRIM(tblDados[Mandante])=$A917)*tblDados[Primeira_Ocorrencia]*((tblDados[GM_M]+tblDados[GS_M])&gt;1.5))+SUMPRODUCT((TRIM(tblDados[Visitante])=$A917)*tblDados[Primeira_Ocorrencia]*((tblDados[GM_V]+tblDados[GS_V])&gt;1.5)))/G917,0))</f>
        <v/>
      </c>
      <c r="M917" s="16" t="str" cm="1">
        <f t="array" ref="M917">IF($A917="","",IFERROR((SUMPRODUCT((TRIM(tblDados[Mandante])=$A917)*tblDados[Primeira_Ocorrencia]*((tblDados[GM_M]+tblDados[GS_M])&gt;2.5))+SUMPRODUCT((TRIM(tblDados[Visitante])=$A917)*tblDados[Primeira_Ocorrencia]*((tblDados[GM_V]+tblDados[GS_V])&gt;2.5)))/G917,0))</f>
        <v/>
      </c>
      <c r="N917" s="16" t="str" cm="1">
        <f t="array" ref="N917">IF($A917="","",IFERROR((SUMPRODUCT((TRIM(tblDados[Mandante])=$A917)*tblDados[Primeira_Ocorrencia]*((tblDados[GM_M]+tblDados[GS_M])&gt;3.5))+SUMPRODUCT((TRIM(tblDados[Visitante])=$A917)*tblDados[Primeira_Ocorrencia]*((tblDados[GM_V]+tblDados[GS_V])&gt;3.5)))/G917,0))</f>
        <v/>
      </c>
      <c r="O917" s="16" t="str" cm="1">
        <f t="array" ref="O917">IF($A917="","",IFERROR((SUMPRODUCT((TRIM(tblDados[Mandante])=$A917)*tblDados[Primeira_Ocorrencia]*(tblDados[GM_M]&gt;0)*(tblDados[GS_M]&gt;0))+SUMPRODUCT((TRIM(tblDados[Visitante])=$A917)*tblDados[Primeira_Ocorrencia]*(tblDados[GM_V]&gt;0)*(tblDados[GS_V]&gt;0)))/G917,0))</f>
        <v/>
      </c>
      <c r="P917" s="14" t="str" cm="1">
        <f t="array" ref="P917">IF($A917="","",IFERROR((SUMPRODUCT((TRIM(tblDados[Mandante])=$A917)*tblDados[Primeira_Ocorrencia]*tblDados[GM_M]^2)+SUMPRODUCT((TRIM(tblDados[Visitante])=$A917)*tblDados[Primeira_Ocorrencia]*tblDados[GM_V]^2))/G917-H917^2,0))</f>
        <v/>
      </c>
      <c r="Q917" s="14" t="str">
        <f t="shared" si="239"/>
        <v/>
      </c>
      <c r="R917" s="1" t="str">
        <f t="shared" si="240"/>
        <v/>
      </c>
      <c r="S917" s="14" t="str" cm="1">
        <f t="array" ref="S917">IF($A917="","",SUMPRODUCT((TRIM(tblDados[Mandante])=$A917)*tblDados[Primeira_Ocorrencia]*tblDados[GM_M]))</f>
        <v/>
      </c>
      <c r="T917" s="14" t="str" cm="1">
        <f t="array" ref="T917">IF($A917="","",SUMPRODUCT((TRIM(tblDados[Visitante])=$A917)*tblDados[Primeira_Ocorrencia]*tblDados[GM_V]))</f>
        <v/>
      </c>
      <c r="U917" s="14" t="str">
        <f t="shared" si="241"/>
        <v/>
      </c>
      <c r="V917" s="14" t="str">
        <f t="shared" si="230"/>
        <v/>
      </c>
      <c r="W917" s="14" t="str" cm="1">
        <f t="array" ref="W917">IF($A917="","",SUMPRODUCT((TRIM(tblDados[Mandante])=$A917)*tblDados[Primeira_Ocorrencia]*tblDados[GS_M]))</f>
        <v/>
      </c>
      <c r="X917" s="14" t="str" cm="1">
        <f t="array" ref="X917">IF($A917="","",SUMPRODUCT((TRIM(tblDados[Visitante])=$A917)*tblDados[Primeira_Ocorrencia]*tblDados[GS_V]))</f>
        <v/>
      </c>
      <c r="Y917" s="14" t="str">
        <f t="shared" si="242"/>
        <v/>
      </c>
      <c r="Z917" s="14" t="str">
        <f t="shared" si="231"/>
        <v/>
      </c>
      <c r="AA917" s="14" t="str">
        <f t="shared" si="232"/>
        <v/>
      </c>
      <c r="AB917" s="14" t="str">
        <f t="shared" si="233"/>
        <v/>
      </c>
      <c r="AC917" s="14" t="str">
        <f t="shared" si="234"/>
        <v/>
      </c>
      <c r="AD917" s="14" t="str">
        <f t="shared" si="235"/>
        <v/>
      </c>
    </row>
    <row r="918" spans="2:30" x14ac:dyDescent="0.3">
      <c r="B918" s="13" t="str" cm="1">
        <f t="array" ref="B918">IF($A918="","",_xlfn.LET(_xlpm.p,IFERROR(INDEX(tblDados[País],MATCH($A918,TRIM(tblDados[Mandante]),0)),INDEX(tblDados[País],MATCH($A918,TRIM(tblDados[Visitante]),0))),_xlpm.l,IFERROR(INDEX(tblDados[Liga],MATCH($A918,TRIM(tblDados[Mandante]),0)),INDEX(tblDados[Liga],MATCH($A918,TRIM(tblDados[Visitante]),0))),_xlpm.p&amp;" - "&amp;_xlpm.l))</f>
        <v/>
      </c>
      <c r="C918" s="14" t="str">
        <f t="shared" si="236"/>
        <v/>
      </c>
      <c r="D918" s="14" t="str">
        <f t="shared" si="237"/>
        <v/>
      </c>
      <c r="E918" s="15" t="str" cm="1">
        <f t="array" ref="E918">IF($A918="","",SUMPRODUCT((TRIM(tblDados[Mandante])=$A918)*tblDados[Primeira_Ocorrencia]))</f>
        <v/>
      </c>
      <c r="F918" s="15" t="str" cm="1">
        <f t="array" ref="F918">IF($A918="","",SUMPRODUCT((TRIM(tblDados[Visitante])=$A918)*tblDados[Primeira_Ocorrencia]))</f>
        <v/>
      </c>
      <c r="G918" s="15" t="str" cm="1">
        <f t="array" ref="G918">IF($A918="","",SUMPRODUCT((TRIM(tblDados[Mandante])=$A918)*tblDados[Primeira_Ocorrencia])+SUMPRODUCT((TRIM(tblDados[Visitante])=$A918)*tblDados[Primeira_Ocorrencia]))</f>
        <v/>
      </c>
      <c r="H918" s="14" t="str">
        <f t="shared" si="238"/>
        <v/>
      </c>
      <c r="I918" s="14" t="str" cm="1">
        <f t="array" ref="I918">IF($A918="","",_xlfn.LET(_xlpm.p,IFERROR(INDEX(tblDados[País],MATCH($A918,TRIM(tblDados[Mandante]),0)),INDEX(tblDados[País],MATCH($A918,TRIM(tblDados[Visitante]),0))),_xlpm.l,IFERROR(INDEX(tblDados[Liga],MATCH($A918,TRIM(tblDados[Mandante]),0)),INDEX(tblDados[Liga],MATCH($A918,TRIM(tblDados[Visitante]),0))),IFERROR(SUMIFS(Ligas!$D$2:$D$39,Ligas!$H$2:$H$39,_xlpm.p,Ligas!$I$2:$I$39,_xlpm.l),0)))</f>
        <v/>
      </c>
      <c r="J918" s="16" t="str" cm="1">
        <f t="array" ref="J918">IF($A918="","",IFERROR((SUMPRODUCT((TRIM(tblDados[Mandante])=$A918)*tblDados[Primeira_Ocorrencia]*(tblDados[GM_M]=0))+SUMPRODUCT((TRIM(tblDados[Visitante])=$A918)*tblDados[Primeira_Ocorrencia]*(tblDados[GM_V]=0)))/G918,0))</f>
        <v/>
      </c>
      <c r="K918" s="16" t="str" cm="1">
        <f t="array" ref="K918">IF($A918="","",IFERROR((SUMPRODUCT((TRIM(tblDados[Mandante])=$A918)*tblDados[Primeira_Ocorrencia]*((tblDados[GM_M]+tblDados[GS_M])&gt;0.5))+SUMPRODUCT((TRIM(tblDados[Visitante])=$A918)*tblDados[Primeira_Ocorrencia]*((tblDados[GM_V]+tblDados[GS_V])&gt;0.5)))/G918,0))</f>
        <v/>
      </c>
      <c r="L918" s="16" t="str" cm="1">
        <f t="array" ref="L918">IF($A918="","",IFERROR((SUMPRODUCT((TRIM(tblDados[Mandante])=$A918)*tblDados[Primeira_Ocorrencia]*((tblDados[GM_M]+tblDados[GS_M])&gt;1.5))+SUMPRODUCT((TRIM(tblDados[Visitante])=$A918)*tblDados[Primeira_Ocorrencia]*((tblDados[GM_V]+tblDados[GS_V])&gt;1.5)))/G918,0))</f>
        <v/>
      </c>
      <c r="M918" s="16" t="str" cm="1">
        <f t="array" ref="M918">IF($A918="","",IFERROR((SUMPRODUCT((TRIM(tblDados[Mandante])=$A918)*tblDados[Primeira_Ocorrencia]*((tblDados[GM_M]+tblDados[GS_M])&gt;2.5))+SUMPRODUCT((TRIM(tblDados[Visitante])=$A918)*tblDados[Primeira_Ocorrencia]*((tblDados[GM_V]+tblDados[GS_V])&gt;2.5)))/G918,0))</f>
        <v/>
      </c>
      <c r="N918" s="16" t="str" cm="1">
        <f t="array" ref="N918">IF($A918="","",IFERROR((SUMPRODUCT((TRIM(tblDados[Mandante])=$A918)*tblDados[Primeira_Ocorrencia]*((tblDados[GM_M]+tblDados[GS_M])&gt;3.5))+SUMPRODUCT((TRIM(tblDados[Visitante])=$A918)*tblDados[Primeira_Ocorrencia]*((tblDados[GM_V]+tblDados[GS_V])&gt;3.5)))/G918,0))</f>
        <v/>
      </c>
      <c r="O918" s="16" t="str" cm="1">
        <f t="array" ref="O918">IF($A918="","",IFERROR((SUMPRODUCT((TRIM(tblDados[Mandante])=$A918)*tblDados[Primeira_Ocorrencia]*(tblDados[GM_M]&gt;0)*(tblDados[GS_M]&gt;0))+SUMPRODUCT((TRIM(tblDados[Visitante])=$A918)*tblDados[Primeira_Ocorrencia]*(tblDados[GM_V]&gt;0)*(tblDados[GS_V]&gt;0)))/G918,0))</f>
        <v/>
      </c>
      <c r="P918" s="14" t="str" cm="1">
        <f t="array" ref="P918">IF($A918="","",IFERROR((SUMPRODUCT((TRIM(tblDados[Mandante])=$A918)*tblDados[Primeira_Ocorrencia]*tblDados[GM_M]^2)+SUMPRODUCT((TRIM(tblDados[Visitante])=$A918)*tblDados[Primeira_Ocorrencia]*tblDados[GM_V]^2))/G918-H918^2,0))</f>
        <v/>
      </c>
      <c r="Q918" s="14" t="str">
        <f t="shared" si="239"/>
        <v/>
      </c>
      <c r="R918" s="1" t="str">
        <f t="shared" si="240"/>
        <v/>
      </c>
      <c r="S918" s="14" t="str" cm="1">
        <f t="array" ref="S918">IF($A918="","",SUMPRODUCT((TRIM(tblDados[Mandante])=$A918)*tblDados[Primeira_Ocorrencia]*tblDados[GM_M]))</f>
        <v/>
      </c>
      <c r="T918" s="14" t="str" cm="1">
        <f t="array" ref="T918">IF($A918="","",SUMPRODUCT((TRIM(tblDados[Visitante])=$A918)*tblDados[Primeira_Ocorrencia]*tblDados[GM_V]))</f>
        <v/>
      </c>
      <c r="U918" s="14" t="str">
        <f t="shared" si="241"/>
        <v/>
      </c>
      <c r="V918" s="14" t="str">
        <f t="shared" si="230"/>
        <v/>
      </c>
      <c r="W918" s="14" t="str" cm="1">
        <f t="array" ref="W918">IF($A918="","",SUMPRODUCT((TRIM(tblDados[Mandante])=$A918)*tblDados[Primeira_Ocorrencia]*tblDados[GS_M]))</f>
        <v/>
      </c>
      <c r="X918" s="14" t="str" cm="1">
        <f t="array" ref="X918">IF($A918="","",SUMPRODUCT((TRIM(tblDados[Visitante])=$A918)*tblDados[Primeira_Ocorrencia]*tblDados[GS_V]))</f>
        <v/>
      </c>
      <c r="Y918" s="14" t="str">
        <f t="shared" si="242"/>
        <v/>
      </c>
      <c r="Z918" s="14" t="str">
        <f t="shared" si="231"/>
        <v/>
      </c>
      <c r="AA918" s="14" t="str">
        <f t="shared" si="232"/>
        <v/>
      </c>
      <c r="AB918" s="14" t="str">
        <f t="shared" si="233"/>
        <v/>
      </c>
      <c r="AC918" s="14" t="str">
        <f t="shared" si="234"/>
        <v/>
      </c>
      <c r="AD918" s="14" t="str">
        <f t="shared" si="235"/>
        <v/>
      </c>
    </row>
    <row r="919" spans="2:30" x14ac:dyDescent="0.3">
      <c r="B919" s="13" t="str" cm="1">
        <f t="array" ref="B919">IF($A919="","",_xlfn.LET(_xlpm.p,IFERROR(INDEX(tblDados[País],MATCH($A919,TRIM(tblDados[Mandante]),0)),INDEX(tblDados[País],MATCH($A919,TRIM(tblDados[Visitante]),0))),_xlpm.l,IFERROR(INDEX(tblDados[Liga],MATCH($A919,TRIM(tblDados[Mandante]),0)),INDEX(tblDados[Liga],MATCH($A919,TRIM(tblDados[Visitante]),0))),_xlpm.p&amp;" - "&amp;_xlpm.l))</f>
        <v/>
      </c>
      <c r="C919" s="14" t="str">
        <f t="shared" si="236"/>
        <v/>
      </c>
      <c r="D919" s="14" t="str">
        <f t="shared" si="237"/>
        <v/>
      </c>
      <c r="E919" s="15" t="str" cm="1">
        <f t="array" ref="E919">IF($A919="","",SUMPRODUCT((TRIM(tblDados[Mandante])=$A919)*tblDados[Primeira_Ocorrencia]))</f>
        <v/>
      </c>
      <c r="F919" s="15" t="str" cm="1">
        <f t="array" ref="F919">IF($A919="","",SUMPRODUCT((TRIM(tblDados[Visitante])=$A919)*tblDados[Primeira_Ocorrencia]))</f>
        <v/>
      </c>
      <c r="G919" s="15" t="str" cm="1">
        <f t="array" ref="G919">IF($A919="","",SUMPRODUCT((TRIM(tblDados[Mandante])=$A919)*tblDados[Primeira_Ocorrencia])+SUMPRODUCT((TRIM(tblDados[Visitante])=$A919)*tblDados[Primeira_Ocorrencia]))</f>
        <v/>
      </c>
      <c r="H919" s="14" t="str">
        <f t="shared" si="238"/>
        <v/>
      </c>
      <c r="I919" s="14" t="str" cm="1">
        <f t="array" ref="I919">IF($A919="","",_xlfn.LET(_xlpm.p,IFERROR(INDEX(tblDados[País],MATCH($A919,TRIM(tblDados[Mandante]),0)),INDEX(tblDados[País],MATCH($A919,TRIM(tblDados[Visitante]),0))),_xlpm.l,IFERROR(INDEX(tblDados[Liga],MATCH($A919,TRIM(tblDados[Mandante]),0)),INDEX(tblDados[Liga],MATCH($A919,TRIM(tblDados[Visitante]),0))),IFERROR(SUMIFS(Ligas!$D$2:$D$39,Ligas!$H$2:$H$39,_xlpm.p,Ligas!$I$2:$I$39,_xlpm.l),0)))</f>
        <v/>
      </c>
      <c r="J919" s="16" t="str" cm="1">
        <f t="array" ref="J919">IF($A919="","",IFERROR((SUMPRODUCT((TRIM(tblDados[Mandante])=$A919)*tblDados[Primeira_Ocorrencia]*(tblDados[GM_M]=0))+SUMPRODUCT((TRIM(tblDados[Visitante])=$A919)*tblDados[Primeira_Ocorrencia]*(tblDados[GM_V]=0)))/G919,0))</f>
        <v/>
      </c>
      <c r="K919" s="16" t="str" cm="1">
        <f t="array" ref="K919">IF($A919="","",IFERROR((SUMPRODUCT((TRIM(tblDados[Mandante])=$A919)*tblDados[Primeira_Ocorrencia]*((tblDados[GM_M]+tblDados[GS_M])&gt;0.5))+SUMPRODUCT((TRIM(tblDados[Visitante])=$A919)*tblDados[Primeira_Ocorrencia]*((tblDados[GM_V]+tblDados[GS_V])&gt;0.5)))/G919,0))</f>
        <v/>
      </c>
      <c r="L919" s="16" t="str" cm="1">
        <f t="array" ref="L919">IF($A919="","",IFERROR((SUMPRODUCT((TRIM(tblDados[Mandante])=$A919)*tblDados[Primeira_Ocorrencia]*((tblDados[GM_M]+tblDados[GS_M])&gt;1.5))+SUMPRODUCT((TRIM(tblDados[Visitante])=$A919)*tblDados[Primeira_Ocorrencia]*((tblDados[GM_V]+tblDados[GS_V])&gt;1.5)))/G919,0))</f>
        <v/>
      </c>
      <c r="M919" s="16" t="str" cm="1">
        <f t="array" ref="M919">IF($A919="","",IFERROR((SUMPRODUCT((TRIM(tblDados[Mandante])=$A919)*tblDados[Primeira_Ocorrencia]*((tblDados[GM_M]+tblDados[GS_M])&gt;2.5))+SUMPRODUCT((TRIM(tblDados[Visitante])=$A919)*tblDados[Primeira_Ocorrencia]*((tblDados[GM_V]+tblDados[GS_V])&gt;2.5)))/G919,0))</f>
        <v/>
      </c>
      <c r="N919" s="16" t="str" cm="1">
        <f t="array" ref="N919">IF($A919="","",IFERROR((SUMPRODUCT((TRIM(tblDados[Mandante])=$A919)*tblDados[Primeira_Ocorrencia]*((tblDados[GM_M]+tblDados[GS_M])&gt;3.5))+SUMPRODUCT((TRIM(tblDados[Visitante])=$A919)*tblDados[Primeira_Ocorrencia]*((tblDados[GM_V]+tblDados[GS_V])&gt;3.5)))/G919,0))</f>
        <v/>
      </c>
      <c r="O919" s="16" t="str" cm="1">
        <f t="array" ref="O919">IF($A919="","",IFERROR((SUMPRODUCT((TRIM(tblDados[Mandante])=$A919)*tblDados[Primeira_Ocorrencia]*(tblDados[GM_M]&gt;0)*(tblDados[GS_M]&gt;0))+SUMPRODUCT((TRIM(tblDados[Visitante])=$A919)*tblDados[Primeira_Ocorrencia]*(tblDados[GM_V]&gt;0)*(tblDados[GS_V]&gt;0)))/G919,0))</f>
        <v/>
      </c>
      <c r="P919" s="14" t="str" cm="1">
        <f t="array" ref="P919">IF($A919="","",IFERROR((SUMPRODUCT((TRIM(tblDados[Mandante])=$A919)*tblDados[Primeira_Ocorrencia]*tblDados[GM_M]^2)+SUMPRODUCT((TRIM(tblDados[Visitante])=$A919)*tblDados[Primeira_Ocorrencia]*tblDados[GM_V]^2))/G919-H919^2,0))</f>
        <v/>
      </c>
      <c r="Q919" s="14" t="str">
        <f t="shared" si="239"/>
        <v/>
      </c>
      <c r="R919" s="1" t="str">
        <f t="shared" si="240"/>
        <v/>
      </c>
      <c r="S919" s="14" t="str" cm="1">
        <f t="array" ref="S919">IF($A919="","",SUMPRODUCT((TRIM(tblDados[Mandante])=$A919)*tblDados[Primeira_Ocorrencia]*tblDados[GM_M]))</f>
        <v/>
      </c>
      <c r="T919" s="14" t="str" cm="1">
        <f t="array" ref="T919">IF($A919="","",SUMPRODUCT((TRIM(tblDados[Visitante])=$A919)*tblDados[Primeira_Ocorrencia]*tblDados[GM_V]))</f>
        <v/>
      </c>
      <c r="U919" s="14" t="str">
        <f t="shared" si="241"/>
        <v/>
      </c>
      <c r="V919" s="14" t="str">
        <f t="shared" si="230"/>
        <v/>
      </c>
      <c r="W919" s="14" t="str" cm="1">
        <f t="array" ref="W919">IF($A919="","",SUMPRODUCT((TRIM(tblDados[Mandante])=$A919)*tblDados[Primeira_Ocorrencia]*tblDados[GS_M]))</f>
        <v/>
      </c>
      <c r="X919" s="14" t="str" cm="1">
        <f t="array" ref="X919">IF($A919="","",SUMPRODUCT((TRIM(tblDados[Visitante])=$A919)*tblDados[Primeira_Ocorrencia]*tblDados[GS_V]))</f>
        <v/>
      </c>
      <c r="Y919" s="14" t="str">
        <f t="shared" si="242"/>
        <v/>
      </c>
      <c r="Z919" s="14" t="str">
        <f t="shared" si="231"/>
        <v/>
      </c>
      <c r="AA919" s="14" t="str">
        <f t="shared" si="232"/>
        <v/>
      </c>
      <c r="AB919" s="14" t="str">
        <f t="shared" si="233"/>
        <v/>
      </c>
      <c r="AC919" s="14" t="str">
        <f t="shared" si="234"/>
        <v/>
      </c>
      <c r="AD919" s="14" t="str">
        <f t="shared" si="235"/>
        <v/>
      </c>
    </row>
    <row r="920" spans="2:30" x14ac:dyDescent="0.3">
      <c r="B920" s="13" t="str" cm="1">
        <f t="array" ref="B920">IF($A920="","",_xlfn.LET(_xlpm.p,IFERROR(INDEX(tblDados[País],MATCH($A920,TRIM(tblDados[Mandante]),0)),INDEX(tblDados[País],MATCH($A920,TRIM(tblDados[Visitante]),0))),_xlpm.l,IFERROR(INDEX(tblDados[Liga],MATCH($A920,TRIM(tblDados[Mandante]),0)),INDEX(tblDados[Liga],MATCH($A920,TRIM(tblDados[Visitante]),0))),_xlpm.p&amp;" - "&amp;_xlpm.l))</f>
        <v/>
      </c>
      <c r="C920" s="14" t="str">
        <f t="shared" si="236"/>
        <v/>
      </c>
      <c r="D920" s="14" t="str">
        <f t="shared" si="237"/>
        <v/>
      </c>
      <c r="E920" s="15" t="str" cm="1">
        <f t="array" ref="E920">IF($A920="","",SUMPRODUCT((TRIM(tblDados[Mandante])=$A920)*tblDados[Primeira_Ocorrencia]))</f>
        <v/>
      </c>
      <c r="F920" s="15" t="str" cm="1">
        <f t="array" ref="F920">IF($A920="","",SUMPRODUCT((TRIM(tblDados[Visitante])=$A920)*tblDados[Primeira_Ocorrencia]))</f>
        <v/>
      </c>
      <c r="G920" s="15" t="str" cm="1">
        <f t="array" ref="G920">IF($A920="","",SUMPRODUCT((TRIM(tblDados[Mandante])=$A920)*tblDados[Primeira_Ocorrencia])+SUMPRODUCT((TRIM(tblDados[Visitante])=$A920)*tblDados[Primeira_Ocorrencia]))</f>
        <v/>
      </c>
      <c r="H920" s="14" t="str">
        <f t="shared" si="238"/>
        <v/>
      </c>
      <c r="I920" s="14" t="str" cm="1">
        <f t="array" ref="I920">IF($A920="","",_xlfn.LET(_xlpm.p,IFERROR(INDEX(tblDados[País],MATCH($A920,TRIM(tblDados[Mandante]),0)),INDEX(tblDados[País],MATCH($A920,TRIM(tblDados[Visitante]),0))),_xlpm.l,IFERROR(INDEX(tblDados[Liga],MATCH($A920,TRIM(tblDados[Mandante]),0)),INDEX(tblDados[Liga],MATCH($A920,TRIM(tblDados[Visitante]),0))),IFERROR(SUMIFS(Ligas!$D$2:$D$39,Ligas!$H$2:$H$39,_xlpm.p,Ligas!$I$2:$I$39,_xlpm.l),0)))</f>
        <v/>
      </c>
      <c r="J920" s="16" t="str" cm="1">
        <f t="array" ref="J920">IF($A920="","",IFERROR((SUMPRODUCT((TRIM(tblDados[Mandante])=$A920)*tblDados[Primeira_Ocorrencia]*(tblDados[GM_M]=0))+SUMPRODUCT((TRIM(tblDados[Visitante])=$A920)*tblDados[Primeira_Ocorrencia]*(tblDados[GM_V]=0)))/G920,0))</f>
        <v/>
      </c>
      <c r="K920" s="16" t="str" cm="1">
        <f t="array" ref="K920">IF($A920="","",IFERROR((SUMPRODUCT((TRIM(tblDados[Mandante])=$A920)*tblDados[Primeira_Ocorrencia]*((tblDados[GM_M]+tblDados[GS_M])&gt;0.5))+SUMPRODUCT((TRIM(tblDados[Visitante])=$A920)*tblDados[Primeira_Ocorrencia]*((tblDados[GM_V]+tblDados[GS_V])&gt;0.5)))/G920,0))</f>
        <v/>
      </c>
      <c r="L920" s="16" t="str" cm="1">
        <f t="array" ref="L920">IF($A920="","",IFERROR((SUMPRODUCT((TRIM(tblDados[Mandante])=$A920)*tblDados[Primeira_Ocorrencia]*((tblDados[GM_M]+tblDados[GS_M])&gt;1.5))+SUMPRODUCT((TRIM(tblDados[Visitante])=$A920)*tblDados[Primeira_Ocorrencia]*((tblDados[GM_V]+tblDados[GS_V])&gt;1.5)))/G920,0))</f>
        <v/>
      </c>
      <c r="M920" s="16" t="str" cm="1">
        <f t="array" ref="M920">IF($A920="","",IFERROR((SUMPRODUCT((TRIM(tblDados[Mandante])=$A920)*tblDados[Primeira_Ocorrencia]*((tblDados[GM_M]+tblDados[GS_M])&gt;2.5))+SUMPRODUCT((TRIM(tblDados[Visitante])=$A920)*tblDados[Primeira_Ocorrencia]*((tblDados[GM_V]+tblDados[GS_V])&gt;2.5)))/G920,0))</f>
        <v/>
      </c>
      <c r="N920" s="16" t="str" cm="1">
        <f t="array" ref="N920">IF($A920="","",IFERROR((SUMPRODUCT((TRIM(tblDados[Mandante])=$A920)*tblDados[Primeira_Ocorrencia]*((tblDados[GM_M]+tblDados[GS_M])&gt;3.5))+SUMPRODUCT((TRIM(tblDados[Visitante])=$A920)*tblDados[Primeira_Ocorrencia]*((tblDados[GM_V]+tblDados[GS_V])&gt;3.5)))/G920,0))</f>
        <v/>
      </c>
      <c r="O920" s="16" t="str" cm="1">
        <f t="array" ref="O920">IF($A920="","",IFERROR((SUMPRODUCT((TRIM(tblDados[Mandante])=$A920)*tblDados[Primeira_Ocorrencia]*(tblDados[GM_M]&gt;0)*(tblDados[GS_M]&gt;0))+SUMPRODUCT((TRIM(tblDados[Visitante])=$A920)*tblDados[Primeira_Ocorrencia]*(tblDados[GM_V]&gt;0)*(tblDados[GS_V]&gt;0)))/G920,0))</f>
        <v/>
      </c>
      <c r="P920" s="14" t="str" cm="1">
        <f t="array" ref="P920">IF($A920="","",IFERROR((SUMPRODUCT((TRIM(tblDados[Mandante])=$A920)*tblDados[Primeira_Ocorrencia]*tblDados[GM_M]^2)+SUMPRODUCT((TRIM(tblDados[Visitante])=$A920)*tblDados[Primeira_Ocorrencia]*tblDados[GM_V]^2))/G920-H920^2,0))</f>
        <v/>
      </c>
      <c r="Q920" s="14" t="str">
        <f t="shared" si="239"/>
        <v/>
      </c>
      <c r="R920" s="1" t="str">
        <f t="shared" si="240"/>
        <v/>
      </c>
      <c r="S920" s="14" t="str" cm="1">
        <f t="array" ref="S920">IF($A920="","",SUMPRODUCT((TRIM(tblDados[Mandante])=$A920)*tblDados[Primeira_Ocorrencia]*tblDados[GM_M]))</f>
        <v/>
      </c>
      <c r="T920" s="14" t="str" cm="1">
        <f t="array" ref="T920">IF($A920="","",SUMPRODUCT((TRIM(tblDados[Visitante])=$A920)*tblDados[Primeira_Ocorrencia]*tblDados[GM_V]))</f>
        <v/>
      </c>
      <c r="U920" s="14" t="str">
        <f t="shared" si="241"/>
        <v/>
      </c>
      <c r="V920" s="14" t="str">
        <f t="shared" si="230"/>
        <v/>
      </c>
      <c r="W920" s="14" t="str" cm="1">
        <f t="array" ref="W920">IF($A920="","",SUMPRODUCT((TRIM(tblDados[Mandante])=$A920)*tblDados[Primeira_Ocorrencia]*tblDados[GS_M]))</f>
        <v/>
      </c>
      <c r="X920" s="14" t="str" cm="1">
        <f t="array" ref="X920">IF($A920="","",SUMPRODUCT((TRIM(tblDados[Visitante])=$A920)*tblDados[Primeira_Ocorrencia]*tblDados[GS_V]))</f>
        <v/>
      </c>
      <c r="Y920" s="14" t="str">
        <f t="shared" si="242"/>
        <v/>
      </c>
      <c r="Z920" s="14" t="str">
        <f t="shared" si="231"/>
        <v/>
      </c>
      <c r="AA920" s="14" t="str">
        <f t="shared" si="232"/>
        <v/>
      </c>
      <c r="AB920" s="14" t="str">
        <f t="shared" si="233"/>
        <v/>
      </c>
      <c r="AC920" s="14" t="str">
        <f t="shared" si="234"/>
        <v/>
      </c>
      <c r="AD920" s="14" t="str">
        <f t="shared" si="235"/>
        <v/>
      </c>
    </row>
    <row r="921" spans="2:30" x14ac:dyDescent="0.3">
      <c r="B921" s="13" t="str" cm="1">
        <f t="array" ref="B921">IF($A921="","",_xlfn.LET(_xlpm.p,IFERROR(INDEX(tblDados[País],MATCH($A921,TRIM(tblDados[Mandante]),0)),INDEX(tblDados[País],MATCH($A921,TRIM(tblDados[Visitante]),0))),_xlpm.l,IFERROR(INDEX(tblDados[Liga],MATCH($A921,TRIM(tblDados[Mandante]),0)),INDEX(tblDados[Liga],MATCH($A921,TRIM(tblDados[Visitante]),0))),_xlpm.p&amp;" - "&amp;_xlpm.l))</f>
        <v/>
      </c>
      <c r="C921" s="14" t="str">
        <f t="shared" si="236"/>
        <v/>
      </c>
      <c r="D921" s="14" t="str">
        <f t="shared" si="237"/>
        <v/>
      </c>
      <c r="E921" s="15" t="str" cm="1">
        <f t="array" ref="E921">IF($A921="","",SUMPRODUCT((TRIM(tblDados[Mandante])=$A921)*tblDados[Primeira_Ocorrencia]))</f>
        <v/>
      </c>
      <c r="F921" s="15" t="str" cm="1">
        <f t="array" ref="F921">IF($A921="","",SUMPRODUCT((TRIM(tblDados[Visitante])=$A921)*tblDados[Primeira_Ocorrencia]))</f>
        <v/>
      </c>
      <c r="G921" s="15" t="str" cm="1">
        <f t="array" ref="G921">IF($A921="","",SUMPRODUCT((TRIM(tblDados[Mandante])=$A921)*tblDados[Primeira_Ocorrencia])+SUMPRODUCT((TRIM(tblDados[Visitante])=$A921)*tblDados[Primeira_Ocorrencia]))</f>
        <v/>
      </c>
      <c r="H921" s="14" t="str">
        <f t="shared" si="238"/>
        <v/>
      </c>
      <c r="I921" s="14" t="str" cm="1">
        <f t="array" ref="I921">IF($A921="","",_xlfn.LET(_xlpm.p,IFERROR(INDEX(tblDados[País],MATCH($A921,TRIM(tblDados[Mandante]),0)),INDEX(tblDados[País],MATCH($A921,TRIM(tblDados[Visitante]),0))),_xlpm.l,IFERROR(INDEX(tblDados[Liga],MATCH($A921,TRIM(tblDados[Mandante]),0)),INDEX(tblDados[Liga],MATCH($A921,TRIM(tblDados[Visitante]),0))),IFERROR(SUMIFS(Ligas!$D$2:$D$39,Ligas!$H$2:$H$39,_xlpm.p,Ligas!$I$2:$I$39,_xlpm.l),0)))</f>
        <v/>
      </c>
      <c r="J921" s="16" t="str" cm="1">
        <f t="array" ref="J921">IF($A921="","",IFERROR((SUMPRODUCT((TRIM(tblDados[Mandante])=$A921)*tblDados[Primeira_Ocorrencia]*(tblDados[GM_M]=0))+SUMPRODUCT((TRIM(tblDados[Visitante])=$A921)*tblDados[Primeira_Ocorrencia]*(tblDados[GM_V]=0)))/G921,0))</f>
        <v/>
      </c>
      <c r="K921" s="16" t="str" cm="1">
        <f t="array" ref="K921">IF($A921="","",IFERROR((SUMPRODUCT((TRIM(tblDados[Mandante])=$A921)*tblDados[Primeira_Ocorrencia]*((tblDados[GM_M]+tblDados[GS_M])&gt;0.5))+SUMPRODUCT((TRIM(tblDados[Visitante])=$A921)*tblDados[Primeira_Ocorrencia]*((tblDados[GM_V]+tblDados[GS_V])&gt;0.5)))/G921,0))</f>
        <v/>
      </c>
      <c r="L921" s="16" t="str" cm="1">
        <f t="array" ref="L921">IF($A921="","",IFERROR((SUMPRODUCT((TRIM(tblDados[Mandante])=$A921)*tblDados[Primeira_Ocorrencia]*((tblDados[GM_M]+tblDados[GS_M])&gt;1.5))+SUMPRODUCT((TRIM(tblDados[Visitante])=$A921)*tblDados[Primeira_Ocorrencia]*((tblDados[GM_V]+tblDados[GS_V])&gt;1.5)))/G921,0))</f>
        <v/>
      </c>
      <c r="M921" s="16" t="str" cm="1">
        <f t="array" ref="M921">IF($A921="","",IFERROR((SUMPRODUCT((TRIM(tblDados[Mandante])=$A921)*tblDados[Primeira_Ocorrencia]*((tblDados[GM_M]+tblDados[GS_M])&gt;2.5))+SUMPRODUCT((TRIM(tblDados[Visitante])=$A921)*tblDados[Primeira_Ocorrencia]*((tblDados[GM_V]+tblDados[GS_V])&gt;2.5)))/G921,0))</f>
        <v/>
      </c>
      <c r="N921" s="16" t="str" cm="1">
        <f t="array" ref="N921">IF($A921="","",IFERROR((SUMPRODUCT((TRIM(tblDados[Mandante])=$A921)*tblDados[Primeira_Ocorrencia]*((tblDados[GM_M]+tblDados[GS_M])&gt;3.5))+SUMPRODUCT((TRIM(tblDados[Visitante])=$A921)*tblDados[Primeira_Ocorrencia]*((tblDados[GM_V]+tblDados[GS_V])&gt;3.5)))/G921,0))</f>
        <v/>
      </c>
      <c r="O921" s="16" t="str" cm="1">
        <f t="array" ref="O921">IF($A921="","",IFERROR((SUMPRODUCT((TRIM(tblDados[Mandante])=$A921)*tblDados[Primeira_Ocorrencia]*(tblDados[GM_M]&gt;0)*(tblDados[GS_M]&gt;0))+SUMPRODUCT((TRIM(tblDados[Visitante])=$A921)*tblDados[Primeira_Ocorrencia]*(tblDados[GM_V]&gt;0)*(tblDados[GS_V]&gt;0)))/G921,0))</f>
        <v/>
      </c>
      <c r="P921" s="14" t="str" cm="1">
        <f t="array" ref="P921">IF($A921="","",IFERROR((SUMPRODUCT((TRIM(tblDados[Mandante])=$A921)*tblDados[Primeira_Ocorrencia]*tblDados[GM_M]^2)+SUMPRODUCT((TRIM(tblDados[Visitante])=$A921)*tblDados[Primeira_Ocorrencia]*tblDados[GM_V]^2))/G921-H921^2,0))</f>
        <v/>
      </c>
      <c r="Q921" s="14" t="str">
        <f t="shared" si="239"/>
        <v/>
      </c>
      <c r="R921" s="1" t="str">
        <f t="shared" si="240"/>
        <v/>
      </c>
      <c r="S921" s="14" t="str" cm="1">
        <f t="array" ref="S921">IF($A921="","",SUMPRODUCT((TRIM(tblDados[Mandante])=$A921)*tblDados[Primeira_Ocorrencia]*tblDados[GM_M]))</f>
        <v/>
      </c>
      <c r="T921" s="14" t="str" cm="1">
        <f t="array" ref="T921">IF($A921="","",SUMPRODUCT((TRIM(tblDados[Visitante])=$A921)*tblDados[Primeira_Ocorrencia]*tblDados[GM_V]))</f>
        <v/>
      </c>
      <c r="U921" s="14" t="str">
        <f t="shared" si="241"/>
        <v/>
      </c>
      <c r="V921" s="14" t="str">
        <f t="shared" si="230"/>
        <v/>
      </c>
      <c r="W921" s="14" t="str" cm="1">
        <f t="array" ref="W921">IF($A921="","",SUMPRODUCT((TRIM(tblDados[Mandante])=$A921)*tblDados[Primeira_Ocorrencia]*tblDados[GS_M]))</f>
        <v/>
      </c>
      <c r="X921" s="14" t="str" cm="1">
        <f t="array" ref="X921">IF($A921="","",SUMPRODUCT((TRIM(tblDados[Visitante])=$A921)*tblDados[Primeira_Ocorrencia]*tblDados[GS_V]))</f>
        <v/>
      </c>
      <c r="Y921" s="14" t="str">
        <f t="shared" si="242"/>
        <v/>
      </c>
      <c r="Z921" s="14" t="str">
        <f t="shared" si="231"/>
        <v/>
      </c>
      <c r="AA921" s="14" t="str">
        <f t="shared" si="232"/>
        <v/>
      </c>
      <c r="AB921" s="14" t="str">
        <f t="shared" si="233"/>
        <v/>
      </c>
      <c r="AC921" s="14" t="str">
        <f t="shared" si="234"/>
        <v/>
      </c>
      <c r="AD921" s="14" t="str">
        <f t="shared" si="235"/>
        <v/>
      </c>
    </row>
    <row r="922" spans="2:30" x14ac:dyDescent="0.3">
      <c r="B922" s="13" t="str" cm="1">
        <f t="array" ref="B922">IF($A922="","",_xlfn.LET(_xlpm.p,IFERROR(INDEX(tblDados[País],MATCH($A922,TRIM(tblDados[Mandante]),0)),INDEX(tblDados[País],MATCH($A922,TRIM(tblDados[Visitante]),0))),_xlpm.l,IFERROR(INDEX(tblDados[Liga],MATCH($A922,TRIM(tblDados[Mandante]),0)),INDEX(tblDados[Liga],MATCH($A922,TRIM(tblDados[Visitante]),0))),_xlpm.p&amp;" - "&amp;_xlpm.l))</f>
        <v/>
      </c>
      <c r="C922" s="14" t="str">
        <f t="shared" si="236"/>
        <v/>
      </c>
      <c r="D922" s="14" t="str">
        <f t="shared" si="237"/>
        <v/>
      </c>
      <c r="E922" s="15" t="str" cm="1">
        <f t="array" ref="E922">IF($A922="","",SUMPRODUCT((TRIM(tblDados[Mandante])=$A922)*tblDados[Primeira_Ocorrencia]))</f>
        <v/>
      </c>
      <c r="F922" s="15" t="str" cm="1">
        <f t="array" ref="F922">IF($A922="","",SUMPRODUCT((TRIM(tblDados[Visitante])=$A922)*tblDados[Primeira_Ocorrencia]))</f>
        <v/>
      </c>
      <c r="G922" s="15" t="str" cm="1">
        <f t="array" ref="G922">IF($A922="","",SUMPRODUCT((TRIM(tblDados[Mandante])=$A922)*tblDados[Primeira_Ocorrencia])+SUMPRODUCT((TRIM(tblDados[Visitante])=$A922)*tblDados[Primeira_Ocorrencia]))</f>
        <v/>
      </c>
      <c r="H922" s="14" t="str">
        <f t="shared" si="238"/>
        <v/>
      </c>
      <c r="I922" s="14" t="str" cm="1">
        <f t="array" ref="I922">IF($A922="","",_xlfn.LET(_xlpm.p,IFERROR(INDEX(tblDados[País],MATCH($A922,TRIM(tblDados[Mandante]),0)),INDEX(tblDados[País],MATCH($A922,TRIM(tblDados[Visitante]),0))),_xlpm.l,IFERROR(INDEX(tblDados[Liga],MATCH($A922,TRIM(tblDados[Mandante]),0)),INDEX(tblDados[Liga],MATCH($A922,TRIM(tblDados[Visitante]),0))),IFERROR(SUMIFS(Ligas!$D$2:$D$39,Ligas!$H$2:$H$39,_xlpm.p,Ligas!$I$2:$I$39,_xlpm.l),0)))</f>
        <v/>
      </c>
      <c r="J922" s="16" t="str" cm="1">
        <f t="array" ref="J922">IF($A922="","",IFERROR((SUMPRODUCT((TRIM(tblDados[Mandante])=$A922)*tblDados[Primeira_Ocorrencia]*(tblDados[GM_M]=0))+SUMPRODUCT((TRIM(tblDados[Visitante])=$A922)*tblDados[Primeira_Ocorrencia]*(tblDados[GM_V]=0)))/G922,0))</f>
        <v/>
      </c>
      <c r="K922" s="16" t="str" cm="1">
        <f t="array" ref="K922">IF($A922="","",IFERROR((SUMPRODUCT((TRIM(tblDados[Mandante])=$A922)*tblDados[Primeira_Ocorrencia]*((tblDados[GM_M]+tblDados[GS_M])&gt;0.5))+SUMPRODUCT((TRIM(tblDados[Visitante])=$A922)*tblDados[Primeira_Ocorrencia]*((tblDados[GM_V]+tblDados[GS_V])&gt;0.5)))/G922,0))</f>
        <v/>
      </c>
      <c r="L922" s="16" t="str" cm="1">
        <f t="array" ref="L922">IF($A922="","",IFERROR((SUMPRODUCT((TRIM(tblDados[Mandante])=$A922)*tblDados[Primeira_Ocorrencia]*((tblDados[GM_M]+tblDados[GS_M])&gt;1.5))+SUMPRODUCT((TRIM(tblDados[Visitante])=$A922)*tblDados[Primeira_Ocorrencia]*((tblDados[GM_V]+tblDados[GS_V])&gt;1.5)))/G922,0))</f>
        <v/>
      </c>
      <c r="M922" s="16" t="str" cm="1">
        <f t="array" ref="M922">IF($A922="","",IFERROR((SUMPRODUCT((TRIM(tblDados[Mandante])=$A922)*tblDados[Primeira_Ocorrencia]*((tblDados[GM_M]+tblDados[GS_M])&gt;2.5))+SUMPRODUCT((TRIM(tblDados[Visitante])=$A922)*tblDados[Primeira_Ocorrencia]*((tblDados[GM_V]+tblDados[GS_V])&gt;2.5)))/G922,0))</f>
        <v/>
      </c>
      <c r="N922" s="16" t="str" cm="1">
        <f t="array" ref="N922">IF($A922="","",IFERROR((SUMPRODUCT((TRIM(tblDados[Mandante])=$A922)*tblDados[Primeira_Ocorrencia]*((tblDados[GM_M]+tblDados[GS_M])&gt;3.5))+SUMPRODUCT((TRIM(tblDados[Visitante])=$A922)*tblDados[Primeira_Ocorrencia]*((tblDados[GM_V]+tblDados[GS_V])&gt;3.5)))/G922,0))</f>
        <v/>
      </c>
      <c r="O922" s="16" t="str" cm="1">
        <f t="array" ref="O922">IF($A922="","",IFERROR((SUMPRODUCT((TRIM(tblDados[Mandante])=$A922)*tblDados[Primeira_Ocorrencia]*(tblDados[GM_M]&gt;0)*(tblDados[GS_M]&gt;0))+SUMPRODUCT((TRIM(tblDados[Visitante])=$A922)*tblDados[Primeira_Ocorrencia]*(tblDados[GM_V]&gt;0)*(tblDados[GS_V]&gt;0)))/G922,0))</f>
        <v/>
      </c>
      <c r="P922" s="14" t="str" cm="1">
        <f t="array" ref="P922">IF($A922="","",IFERROR((SUMPRODUCT((TRIM(tblDados[Mandante])=$A922)*tblDados[Primeira_Ocorrencia]*tblDados[GM_M]^2)+SUMPRODUCT((TRIM(tblDados[Visitante])=$A922)*tblDados[Primeira_Ocorrencia]*tblDados[GM_V]^2))/G922-H922^2,0))</f>
        <v/>
      </c>
      <c r="Q922" s="14" t="str">
        <f t="shared" si="239"/>
        <v/>
      </c>
      <c r="R922" s="1" t="str">
        <f t="shared" si="240"/>
        <v/>
      </c>
      <c r="S922" s="14" t="str" cm="1">
        <f t="array" ref="S922">IF($A922="","",SUMPRODUCT((TRIM(tblDados[Mandante])=$A922)*tblDados[Primeira_Ocorrencia]*tblDados[GM_M]))</f>
        <v/>
      </c>
      <c r="T922" s="14" t="str" cm="1">
        <f t="array" ref="T922">IF($A922="","",SUMPRODUCT((TRIM(tblDados[Visitante])=$A922)*tblDados[Primeira_Ocorrencia]*tblDados[GM_V]))</f>
        <v/>
      </c>
      <c r="U922" s="14" t="str">
        <f t="shared" si="241"/>
        <v/>
      </c>
      <c r="V922" s="14" t="str">
        <f t="shared" si="230"/>
        <v/>
      </c>
      <c r="W922" s="14" t="str" cm="1">
        <f t="array" ref="W922">IF($A922="","",SUMPRODUCT((TRIM(tblDados[Mandante])=$A922)*tblDados[Primeira_Ocorrencia]*tblDados[GS_M]))</f>
        <v/>
      </c>
      <c r="X922" s="14" t="str" cm="1">
        <f t="array" ref="X922">IF($A922="","",SUMPRODUCT((TRIM(tblDados[Visitante])=$A922)*tblDados[Primeira_Ocorrencia]*tblDados[GS_V]))</f>
        <v/>
      </c>
      <c r="Y922" s="14" t="str">
        <f t="shared" si="242"/>
        <v/>
      </c>
      <c r="Z922" s="14" t="str">
        <f t="shared" si="231"/>
        <v/>
      </c>
      <c r="AA922" s="14" t="str">
        <f t="shared" si="232"/>
        <v/>
      </c>
      <c r="AB922" s="14" t="str">
        <f t="shared" si="233"/>
        <v/>
      </c>
      <c r="AC922" s="14" t="str">
        <f t="shared" si="234"/>
        <v/>
      </c>
      <c r="AD922" s="14" t="str">
        <f t="shared" si="235"/>
        <v/>
      </c>
    </row>
    <row r="923" spans="2:30" x14ac:dyDescent="0.3">
      <c r="B923" s="13" t="str" cm="1">
        <f t="array" ref="B923">IF($A923="","",_xlfn.LET(_xlpm.p,IFERROR(INDEX(tblDados[País],MATCH($A923,TRIM(tblDados[Mandante]),0)),INDEX(tblDados[País],MATCH($A923,TRIM(tblDados[Visitante]),0))),_xlpm.l,IFERROR(INDEX(tblDados[Liga],MATCH($A923,TRIM(tblDados[Mandante]),0)),INDEX(tblDados[Liga],MATCH($A923,TRIM(tblDados[Visitante]),0))),_xlpm.p&amp;" - "&amp;_xlpm.l))</f>
        <v/>
      </c>
      <c r="C923" s="14" t="str">
        <f t="shared" si="236"/>
        <v/>
      </c>
      <c r="D923" s="14" t="str">
        <f t="shared" si="237"/>
        <v/>
      </c>
      <c r="E923" s="15" t="str" cm="1">
        <f t="array" ref="E923">IF($A923="","",SUMPRODUCT((TRIM(tblDados[Mandante])=$A923)*tblDados[Primeira_Ocorrencia]))</f>
        <v/>
      </c>
      <c r="F923" s="15" t="str" cm="1">
        <f t="array" ref="F923">IF($A923="","",SUMPRODUCT((TRIM(tblDados[Visitante])=$A923)*tblDados[Primeira_Ocorrencia]))</f>
        <v/>
      </c>
      <c r="G923" s="15" t="str" cm="1">
        <f t="array" ref="G923">IF($A923="","",SUMPRODUCT((TRIM(tblDados[Mandante])=$A923)*tblDados[Primeira_Ocorrencia])+SUMPRODUCT((TRIM(tblDados[Visitante])=$A923)*tblDados[Primeira_Ocorrencia]))</f>
        <v/>
      </c>
      <c r="H923" s="14" t="str">
        <f t="shared" si="238"/>
        <v/>
      </c>
      <c r="I923" s="14" t="str" cm="1">
        <f t="array" ref="I923">IF($A923="","",_xlfn.LET(_xlpm.p,IFERROR(INDEX(tblDados[País],MATCH($A923,TRIM(tblDados[Mandante]),0)),INDEX(tblDados[País],MATCH($A923,TRIM(tblDados[Visitante]),0))),_xlpm.l,IFERROR(INDEX(tblDados[Liga],MATCH($A923,TRIM(tblDados[Mandante]),0)),INDEX(tblDados[Liga],MATCH($A923,TRIM(tblDados[Visitante]),0))),IFERROR(SUMIFS(Ligas!$D$2:$D$39,Ligas!$H$2:$H$39,_xlpm.p,Ligas!$I$2:$I$39,_xlpm.l),0)))</f>
        <v/>
      </c>
      <c r="J923" s="16" t="str" cm="1">
        <f t="array" ref="J923">IF($A923="","",IFERROR((SUMPRODUCT((TRIM(tblDados[Mandante])=$A923)*tblDados[Primeira_Ocorrencia]*(tblDados[GM_M]=0))+SUMPRODUCT((TRIM(tblDados[Visitante])=$A923)*tblDados[Primeira_Ocorrencia]*(tblDados[GM_V]=0)))/G923,0))</f>
        <v/>
      </c>
      <c r="K923" s="16" t="str" cm="1">
        <f t="array" ref="K923">IF($A923="","",IFERROR((SUMPRODUCT((TRIM(tblDados[Mandante])=$A923)*tblDados[Primeira_Ocorrencia]*((tblDados[GM_M]+tblDados[GS_M])&gt;0.5))+SUMPRODUCT((TRIM(tblDados[Visitante])=$A923)*tblDados[Primeira_Ocorrencia]*((tblDados[GM_V]+tblDados[GS_V])&gt;0.5)))/G923,0))</f>
        <v/>
      </c>
      <c r="L923" s="16" t="str" cm="1">
        <f t="array" ref="L923">IF($A923="","",IFERROR((SUMPRODUCT((TRIM(tblDados[Mandante])=$A923)*tblDados[Primeira_Ocorrencia]*((tblDados[GM_M]+tblDados[GS_M])&gt;1.5))+SUMPRODUCT((TRIM(tblDados[Visitante])=$A923)*tblDados[Primeira_Ocorrencia]*((tblDados[GM_V]+tblDados[GS_V])&gt;1.5)))/G923,0))</f>
        <v/>
      </c>
      <c r="M923" s="16" t="str" cm="1">
        <f t="array" ref="M923">IF($A923="","",IFERROR((SUMPRODUCT((TRIM(tblDados[Mandante])=$A923)*tblDados[Primeira_Ocorrencia]*((tblDados[GM_M]+tblDados[GS_M])&gt;2.5))+SUMPRODUCT((TRIM(tblDados[Visitante])=$A923)*tblDados[Primeira_Ocorrencia]*((tblDados[GM_V]+tblDados[GS_V])&gt;2.5)))/G923,0))</f>
        <v/>
      </c>
      <c r="N923" s="16" t="str" cm="1">
        <f t="array" ref="N923">IF($A923="","",IFERROR((SUMPRODUCT((TRIM(tblDados[Mandante])=$A923)*tblDados[Primeira_Ocorrencia]*((tblDados[GM_M]+tblDados[GS_M])&gt;3.5))+SUMPRODUCT((TRIM(tblDados[Visitante])=$A923)*tblDados[Primeira_Ocorrencia]*((tblDados[GM_V]+tblDados[GS_V])&gt;3.5)))/G923,0))</f>
        <v/>
      </c>
      <c r="O923" s="16" t="str" cm="1">
        <f t="array" ref="O923">IF($A923="","",IFERROR((SUMPRODUCT((TRIM(tblDados[Mandante])=$A923)*tblDados[Primeira_Ocorrencia]*(tblDados[GM_M]&gt;0)*(tblDados[GS_M]&gt;0))+SUMPRODUCT((TRIM(tblDados[Visitante])=$A923)*tblDados[Primeira_Ocorrencia]*(tblDados[GM_V]&gt;0)*(tblDados[GS_V]&gt;0)))/G923,0))</f>
        <v/>
      </c>
      <c r="P923" s="14" t="str" cm="1">
        <f t="array" ref="P923">IF($A923="","",IFERROR((SUMPRODUCT((TRIM(tblDados[Mandante])=$A923)*tblDados[Primeira_Ocorrencia]*tblDados[GM_M]^2)+SUMPRODUCT((TRIM(tblDados[Visitante])=$A923)*tblDados[Primeira_Ocorrencia]*tblDados[GM_V]^2))/G923-H923^2,0))</f>
        <v/>
      </c>
      <c r="Q923" s="14" t="str">
        <f t="shared" si="239"/>
        <v/>
      </c>
      <c r="R923" s="1" t="str">
        <f t="shared" si="240"/>
        <v/>
      </c>
      <c r="S923" s="14" t="str" cm="1">
        <f t="array" ref="S923">IF($A923="","",SUMPRODUCT((TRIM(tblDados[Mandante])=$A923)*tblDados[Primeira_Ocorrencia]*tblDados[GM_M]))</f>
        <v/>
      </c>
      <c r="T923" s="14" t="str" cm="1">
        <f t="array" ref="T923">IF($A923="","",SUMPRODUCT((TRIM(tblDados[Visitante])=$A923)*tblDados[Primeira_Ocorrencia]*tblDados[GM_V]))</f>
        <v/>
      </c>
      <c r="U923" s="14" t="str">
        <f t="shared" si="241"/>
        <v/>
      </c>
      <c r="V923" s="14" t="str">
        <f t="shared" si="230"/>
        <v/>
      </c>
      <c r="W923" s="14" t="str" cm="1">
        <f t="array" ref="W923">IF($A923="","",SUMPRODUCT((TRIM(tblDados[Mandante])=$A923)*tblDados[Primeira_Ocorrencia]*tblDados[GS_M]))</f>
        <v/>
      </c>
      <c r="X923" s="14" t="str" cm="1">
        <f t="array" ref="X923">IF($A923="","",SUMPRODUCT((TRIM(tblDados[Visitante])=$A923)*tblDados[Primeira_Ocorrencia]*tblDados[GS_V]))</f>
        <v/>
      </c>
      <c r="Y923" s="14" t="str">
        <f t="shared" si="242"/>
        <v/>
      </c>
      <c r="Z923" s="14" t="str">
        <f t="shared" si="231"/>
        <v/>
      </c>
      <c r="AA923" s="14" t="str">
        <f t="shared" si="232"/>
        <v/>
      </c>
      <c r="AB923" s="14" t="str">
        <f t="shared" si="233"/>
        <v/>
      </c>
      <c r="AC923" s="14" t="str">
        <f t="shared" si="234"/>
        <v/>
      </c>
      <c r="AD923" s="14" t="str">
        <f t="shared" si="235"/>
        <v/>
      </c>
    </row>
    <row r="924" spans="2:30" x14ac:dyDescent="0.3">
      <c r="B924" s="13" t="str" cm="1">
        <f t="array" ref="B924">IF($A924="","",_xlfn.LET(_xlpm.p,IFERROR(INDEX(tblDados[País],MATCH($A924,TRIM(tblDados[Mandante]),0)),INDEX(tblDados[País],MATCH($A924,TRIM(tblDados[Visitante]),0))),_xlpm.l,IFERROR(INDEX(tblDados[Liga],MATCH($A924,TRIM(tblDados[Mandante]),0)),INDEX(tblDados[Liga],MATCH($A924,TRIM(tblDados[Visitante]),0))),_xlpm.p&amp;" - "&amp;_xlpm.l))</f>
        <v/>
      </c>
      <c r="C924" s="14" t="str">
        <f t="shared" si="236"/>
        <v/>
      </c>
      <c r="D924" s="14" t="str">
        <f t="shared" si="237"/>
        <v/>
      </c>
      <c r="E924" s="15" t="str" cm="1">
        <f t="array" ref="E924">IF($A924="","",SUMPRODUCT((TRIM(tblDados[Mandante])=$A924)*tblDados[Primeira_Ocorrencia]))</f>
        <v/>
      </c>
      <c r="F924" s="15" t="str" cm="1">
        <f t="array" ref="F924">IF($A924="","",SUMPRODUCT((TRIM(tblDados[Visitante])=$A924)*tblDados[Primeira_Ocorrencia]))</f>
        <v/>
      </c>
      <c r="G924" s="15" t="str" cm="1">
        <f t="array" ref="G924">IF($A924="","",SUMPRODUCT((TRIM(tblDados[Mandante])=$A924)*tblDados[Primeira_Ocorrencia])+SUMPRODUCT((TRIM(tblDados[Visitante])=$A924)*tblDados[Primeira_Ocorrencia]))</f>
        <v/>
      </c>
      <c r="H924" s="14" t="str">
        <f t="shared" si="238"/>
        <v/>
      </c>
      <c r="I924" s="14" t="str" cm="1">
        <f t="array" ref="I924">IF($A924="","",_xlfn.LET(_xlpm.p,IFERROR(INDEX(tblDados[País],MATCH($A924,TRIM(tblDados[Mandante]),0)),INDEX(tblDados[País],MATCH($A924,TRIM(tblDados[Visitante]),0))),_xlpm.l,IFERROR(INDEX(tblDados[Liga],MATCH($A924,TRIM(tblDados[Mandante]),0)),INDEX(tblDados[Liga],MATCH($A924,TRIM(tblDados[Visitante]),0))),IFERROR(SUMIFS(Ligas!$D$2:$D$39,Ligas!$H$2:$H$39,_xlpm.p,Ligas!$I$2:$I$39,_xlpm.l),0)))</f>
        <v/>
      </c>
      <c r="J924" s="16" t="str" cm="1">
        <f t="array" ref="J924">IF($A924="","",IFERROR((SUMPRODUCT((TRIM(tblDados[Mandante])=$A924)*tblDados[Primeira_Ocorrencia]*(tblDados[GM_M]=0))+SUMPRODUCT((TRIM(tblDados[Visitante])=$A924)*tblDados[Primeira_Ocorrencia]*(tblDados[GM_V]=0)))/G924,0))</f>
        <v/>
      </c>
      <c r="K924" s="16" t="str" cm="1">
        <f t="array" ref="K924">IF($A924="","",IFERROR((SUMPRODUCT((TRIM(tblDados[Mandante])=$A924)*tblDados[Primeira_Ocorrencia]*((tblDados[GM_M]+tblDados[GS_M])&gt;0.5))+SUMPRODUCT((TRIM(tblDados[Visitante])=$A924)*tblDados[Primeira_Ocorrencia]*((tblDados[GM_V]+tblDados[GS_V])&gt;0.5)))/G924,0))</f>
        <v/>
      </c>
      <c r="L924" s="16" t="str" cm="1">
        <f t="array" ref="L924">IF($A924="","",IFERROR((SUMPRODUCT((TRIM(tblDados[Mandante])=$A924)*tblDados[Primeira_Ocorrencia]*((tblDados[GM_M]+tblDados[GS_M])&gt;1.5))+SUMPRODUCT((TRIM(tblDados[Visitante])=$A924)*tblDados[Primeira_Ocorrencia]*((tblDados[GM_V]+tblDados[GS_V])&gt;1.5)))/G924,0))</f>
        <v/>
      </c>
      <c r="M924" s="16" t="str" cm="1">
        <f t="array" ref="M924">IF($A924="","",IFERROR((SUMPRODUCT((TRIM(tblDados[Mandante])=$A924)*tblDados[Primeira_Ocorrencia]*((tblDados[GM_M]+tblDados[GS_M])&gt;2.5))+SUMPRODUCT((TRIM(tblDados[Visitante])=$A924)*tblDados[Primeira_Ocorrencia]*((tblDados[GM_V]+tblDados[GS_V])&gt;2.5)))/G924,0))</f>
        <v/>
      </c>
      <c r="N924" s="16" t="str" cm="1">
        <f t="array" ref="N924">IF($A924="","",IFERROR((SUMPRODUCT((TRIM(tblDados[Mandante])=$A924)*tblDados[Primeira_Ocorrencia]*((tblDados[GM_M]+tblDados[GS_M])&gt;3.5))+SUMPRODUCT((TRIM(tblDados[Visitante])=$A924)*tblDados[Primeira_Ocorrencia]*((tblDados[GM_V]+tblDados[GS_V])&gt;3.5)))/G924,0))</f>
        <v/>
      </c>
      <c r="O924" s="16" t="str" cm="1">
        <f t="array" ref="O924">IF($A924="","",IFERROR((SUMPRODUCT((TRIM(tblDados[Mandante])=$A924)*tblDados[Primeira_Ocorrencia]*(tblDados[GM_M]&gt;0)*(tblDados[GS_M]&gt;0))+SUMPRODUCT((TRIM(tblDados[Visitante])=$A924)*tblDados[Primeira_Ocorrencia]*(tblDados[GM_V]&gt;0)*(tblDados[GS_V]&gt;0)))/G924,0))</f>
        <v/>
      </c>
      <c r="P924" s="14" t="str" cm="1">
        <f t="array" ref="P924">IF($A924="","",IFERROR((SUMPRODUCT((TRIM(tblDados[Mandante])=$A924)*tblDados[Primeira_Ocorrencia]*tblDados[GM_M]^2)+SUMPRODUCT((TRIM(tblDados[Visitante])=$A924)*tblDados[Primeira_Ocorrencia]*tblDados[GM_V]^2))/G924-H924^2,0))</f>
        <v/>
      </c>
      <c r="Q924" s="14" t="str">
        <f t="shared" si="239"/>
        <v/>
      </c>
      <c r="R924" s="1" t="str">
        <f t="shared" si="240"/>
        <v/>
      </c>
      <c r="S924" s="14" t="str" cm="1">
        <f t="array" ref="S924">IF($A924="","",SUMPRODUCT((TRIM(tblDados[Mandante])=$A924)*tblDados[Primeira_Ocorrencia]*tblDados[GM_M]))</f>
        <v/>
      </c>
      <c r="T924" s="14" t="str" cm="1">
        <f t="array" ref="T924">IF($A924="","",SUMPRODUCT((TRIM(tblDados[Visitante])=$A924)*tblDados[Primeira_Ocorrencia]*tblDados[GM_V]))</f>
        <v/>
      </c>
      <c r="U924" s="14" t="str">
        <f t="shared" si="241"/>
        <v/>
      </c>
      <c r="V924" s="14" t="str">
        <f t="shared" si="230"/>
        <v/>
      </c>
      <c r="W924" s="14" t="str" cm="1">
        <f t="array" ref="W924">IF($A924="","",SUMPRODUCT((TRIM(tblDados[Mandante])=$A924)*tblDados[Primeira_Ocorrencia]*tblDados[GS_M]))</f>
        <v/>
      </c>
      <c r="X924" s="14" t="str" cm="1">
        <f t="array" ref="X924">IF($A924="","",SUMPRODUCT((TRIM(tblDados[Visitante])=$A924)*tblDados[Primeira_Ocorrencia]*tblDados[GS_V]))</f>
        <v/>
      </c>
      <c r="Y924" s="14" t="str">
        <f t="shared" si="242"/>
        <v/>
      </c>
      <c r="Z924" s="14" t="str">
        <f t="shared" si="231"/>
        <v/>
      </c>
      <c r="AA924" s="14" t="str">
        <f t="shared" si="232"/>
        <v/>
      </c>
      <c r="AB924" s="14" t="str">
        <f t="shared" si="233"/>
        <v/>
      </c>
      <c r="AC924" s="14" t="str">
        <f t="shared" si="234"/>
        <v/>
      </c>
      <c r="AD924" s="14" t="str">
        <f t="shared" si="235"/>
        <v/>
      </c>
    </row>
    <row r="925" spans="2:30" x14ac:dyDescent="0.3">
      <c r="B925" s="13" t="str" cm="1">
        <f t="array" ref="B925">IF($A925="","",_xlfn.LET(_xlpm.p,IFERROR(INDEX(tblDados[País],MATCH($A925,TRIM(tblDados[Mandante]),0)),INDEX(tblDados[País],MATCH($A925,TRIM(tblDados[Visitante]),0))),_xlpm.l,IFERROR(INDEX(tblDados[Liga],MATCH($A925,TRIM(tblDados[Mandante]),0)),INDEX(tblDados[Liga],MATCH($A925,TRIM(tblDados[Visitante]),0))),_xlpm.p&amp;" - "&amp;_xlpm.l))</f>
        <v/>
      </c>
      <c r="C925" s="14" t="str">
        <f t="shared" si="236"/>
        <v/>
      </c>
      <c r="D925" s="14" t="str">
        <f t="shared" si="237"/>
        <v/>
      </c>
      <c r="E925" s="15" t="str" cm="1">
        <f t="array" ref="E925">IF($A925="","",SUMPRODUCT((TRIM(tblDados[Mandante])=$A925)*tblDados[Primeira_Ocorrencia]))</f>
        <v/>
      </c>
      <c r="F925" s="15" t="str" cm="1">
        <f t="array" ref="F925">IF($A925="","",SUMPRODUCT((TRIM(tblDados[Visitante])=$A925)*tblDados[Primeira_Ocorrencia]))</f>
        <v/>
      </c>
      <c r="G925" s="15" t="str" cm="1">
        <f t="array" ref="G925">IF($A925="","",SUMPRODUCT((TRIM(tblDados[Mandante])=$A925)*tblDados[Primeira_Ocorrencia])+SUMPRODUCT((TRIM(tblDados[Visitante])=$A925)*tblDados[Primeira_Ocorrencia]))</f>
        <v/>
      </c>
      <c r="H925" s="14" t="str">
        <f t="shared" si="238"/>
        <v/>
      </c>
      <c r="I925" s="14" t="str" cm="1">
        <f t="array" ref="I925">IF($A925="","",_xlfn.LET(_xlpm.p,IFERROR(INDEX(tblDados[País],MATCH($A925,TRIM(tblDados[Mandante]),0)),INDEX(tblDados[País],MATCH($A925,TRIM(tblDados[Visitante]),0))),_xlpm.l,IFERROR(INDEX(tblDados[Liga],MATCH($A925,TRIM(tblDados[Mandante]),0)),INDEX(tblDados[Liga],MATCH($A925,TRIM(tblDados[Visitante]),0))),IFERROR(SUMIFS(Ligas!$D$2:$D$39,Ligas!$H$2:$H$39,_xlpm.p,Ligas!$I$2:$I$39,_xlpm.l),0)))</f>
        <v/>
      </c>
      <c r="J925" s="16" t="str" cm="1">
        <f t="array" ref="J925">IF($A925="","",IFERROR((SUMPRODUCT((TRIM(tblDados[Mandante])=$A925)*tblDados[Primeira_Ocorrencia]*(tblDados[GM_M]=0))+SUMPRODUCT((TRIM(tblDados[Visitante])=$A925)*tblDados[Primeira_Ocorrencia]*(tblDados[GM_V]=0)))/G925,0))</f>
        <v/>
      </c>
      <c r="K925" s="16" t="str" cm="1">
        <f t="array" ref="K925">IF($A925="","",IFERROR((SUMPRODUCT((TRIM(tblDados[Mandante])=$A925)*tblDados[Primeira_Ocorrencia]*((tblDados[GM_M]+tblDados[GS_M])&gt;0.5))+SUMPRODUCT((TRIM(tblDados[Visitante])=$A925)*tblDados[Primeira_Ocorrencia]*((tblDados[GM_V]+tblDados[GS_V])&gt;0.5)))/G925,0))</f>
        <v/>
      </c>
      <c r="L925" s="16" t="str" cm="1">
        <f t="array" ref="L925">IF($A925="","",IFERROR((SUMPRODUCT((TRIM(tblDados[Mandante])=$A925)*tblDados[Primeira_Ocorrencia]*((tblDados[GM_M]+tblDados[GS_M])&gt;1.5))+SUMPRODUCT((TRIM(tblDados[Visitante])=$A925)*tblDados[Primeira_Ocorrencia]*((tblDados[GM_V]+tblDados[GS_V])&gt;1.5)))/G925,0))</f>
        <v/>
      </c>
      <c r="M925" s="16" t="str" cm="1">
        <f t="array" ref="M925">IF($A925="","",IFERROR((SUMPRODUCT((TRIM(tblDados[Mandante])=$A925)*tblDados[Primeira_Ocorrencia]*((tblDados[GM_M]+tblDados[GS_M])&gt;2.5))+SUMPRODUCT((TRIM(tblDados[Visitante])=$A925)*tblDados[Primeira_Ocorrencia]*((tblDados[GM_V]+tblDados[GS_V])&gt;2.5)))/G925,0))</f>
        <v/>
      </c>
      <c r="N925" s="16" t="str" cm="1">
        <f t="array" ref="N925">IF($A925="","",IFERROR((SUMPRODUCT((TRIM(tblDados[Mandante])=$A925)*tblDados[Primeira_Ocorrencia]*((tblDados[GM_M]+tblDados[GS_M])&gt;3.5))+SUMPRODUCT((TRIM(tblDados[Visitante])=$A925)*tblDados[Primeira_Ocorrencia]*((tblDados[GM_V]+tblDados[GS_V])&gt;3.5)))/G925,0))</f>
        <v/>
      </c>
      <c r="O925" s="16" t="str" cm="1">
        <f t="array" ref="O925">IF($A925="","",IFERROR((SUMPRODUCT((TRIM(tblDados[Mandante])=$A925)*tblDados[Primeira_Ocorrencia]*(tblDados[GM_M]&gt;0)*(tblDados[GS_M]&gt;0))+SUMPRODUCT((TRIM(tblDados[Visitante])=$A925)*tblDados[Primeira_Ocorrencia]*(tblDados[GM_V]&gt;0)*(tblDados[GS_V]&gt;0)))/G925,0))</f>
        <v/>
      </c>
      <c r="P925" s="14" t="str" cm="1">
        <f t="array" ref="P925">IF($A925="","",IFERROR((SUMPRODUCT((TRIM(tblDados[Mandante])=$A925)*tblDados[Primeira_Ocorrencia]*tblDados[GM_M]^2)+SUMPRODUCT((TRIM(tblDados[Visitante])=$A925)*tblDados[Primeira_Ocorrencia]*tblDados[GM_V]^2))/G925-H925^2,0))</f>
        <v/>
      </c>
      <c r="Q925" s="14" t="str">
        <f t="shared" si="239"/>
        <v/>
      </c>
      <c r="R925" s="1" t="str">
        <f t="shared" si="240"/>
        <v/>
      </c>
      <c r="S925" s="14" t="str" cm="1">
        <f t="array" ref="S925">IF($A925="","",SUMPRODUCT((TRIM(tblDados[Mandante])=$A925)*tblDados[Primeira_Ocorrencia]*tblDados[GM_M]))</f>
        <v/>
      </c>
      <c r="T925" s="14" t="str" cm="1">
        <f t="array" ref="T925">IF($A925="","",SUMPRODUCT((TRIM(tblDados[Visitante])=$A925)*tblDados[Primeira_Ocorrencia]*tblDados[GM_V]))</f>
        <v/>
      </c>
      <c r="U925" s="14" t="str">
        <f t="shared" si="241"/>
        <v/>
      </c>
      <c r="V925" s="14" t="str">
        <f t="shared" si="230"/>
        <v/>
      </c>
      <c r="W925" s="14" t="str" cm="1">
        <f t="array" ref="W925">IF($A925="","",SUMPRODUCT((TRIM(tblDados[Mandante])=$A925)*tblDados[Primeira_Ocorrencia]*tblDados[GS_M]))</f>
        <v/>
      </c>
      <c r="X925" s="14" t="str" cm="1">
        <f t="array" ref="X925">IF($A925="","",SUMPRODUCT((TRIM(tblDados[Visitante])=$A925)*tblDados[Primeira_Ocorrencia]*tblDados[GS_V]))</f>
        <v/>
      </c>
      <c r="Y925" s="14" t="str">
        <f t="shared" si="242"/>
        <v/>
      </c>
      <c r="Z925" s="14" t="str">
        <f t="shared" si="231"/>
        <v/>
      </c>
      <c r="AA925" s="14" t="str">
        <f t="shared" si="232"/>
        <v/>
      </c>
      <c r="AB925" s="14" t="str">
        <f t="shared" si="233"/>
        <v/>
      </c>
      <c r="AC925" s="14" t="str">
        <f t="shared" si="234"/>
        <v/>
      </c>
      <c r="AD925" s="14" t="str">
        <f t="shared" si="235"/>
        <v/>
      </c>
    </row>
    <row r="926" spans="2:30" x14ac:dyDescent="0.3">
      <c r="B926" s="13" t="str" cm="1">
        <f t="array" ref="B926">IF($A926="","",_xlfn.LET(_xlpm.p,IFERROR(INDEX(tblDados[País],MATCH($A926,TRIM(tblDados[Mandante]),0)),INDEX(tblDados[País],MATCH($A926,TRIM(tblDados[Visitante]),0))),_xlpm.l,IFERROR(INDEX(tblDados[Liga],MATCH($A926,TRIM(tblDados[Mandante]),0)),INDEX(tblDados[Liga],MATCH($A926,TRIM(tblDados[Visitante]),0))),_xlpm.p&amp;" - "&amp;_xlpm.l))</f>
        <v/>
      </c>
      <c r="C926" s="14" t="str">
        <f t="shared" si="236"/>
        <v/>
      </c>
      <c r="D926" s="14" t="str">
        <f t="shared" si="237"/>
        <v/>
      </c>
      <c r="E926" s="15" t="str" cm="1">
        <f t="array" ref="E926">IF($A926="","",SUMPRODUCT((TRIM(tblDados[Mandante])=$A926)*tblDados[Primeira_Ocorrencia]))</f>
        <v/>
      </c>
      <c r="F926" s="15" t="str" cm="1">
        <f t="array" ref="F926">IF($A926="","",SUMPRODUCT((TRIM(tblDados[Visitante])=$A926)*tblDados[Primeira_Ocorrencia]))</f>
        <v/>
      </c>
      <c r="G926" s="15" t="str" cm="1">
        <f t="array" ref="G926">IF($A926="","",SUMPRODUCT((TRIM(tblDados[Mandante])=$A926)*tblDados[Primeira_Ocorrencia])+SUMPRODUCT((TRIM(tblDados[Visitante])=$A926)*tblDados[Primeira_Ocorrencia]))</f>
        <v/>
      </c>
      <c r="H926" s="14" t="str">
        <f t="shared" si="238"/>
        <v/>
      </c>
      <c r="I926" s="14" t="str" cm="1">
        <f t="array" ref="I926">IF($A926="","",_xlfn.LET(_xlpm.p,IFERROR(INDEX(tblDados[País],MATCH($A926,TRIM(tblDados[Mandante]),0)),INDEX(tblDados[País],MATCH($A926,TRIM(tblDados[Visitante]),0))),_xlpm.l,IFERROR(INDEX(tblDados[Liga],MATCH($A926,TRIM(tblDados[Mandante]),0)),INDEX(tblDados[Liga],MATCH($A926,TRIM(tblDados[Visitante]),0))),IFERROR(SUMIFS(Ligas!$D$2:$D$39,Ligas!$H$2:$H$39,_xlpm.p,Ligas!$I$2:$I$39,_xlpm.l),0)))</f>
        <v/>
      </c>
      <c r="J926" s="16" t="str" cm="1">
        <f t="array" ref="J926">IF($A926="","",IFERROR((SUMPRODUCT((TRIM(tblDados[Mandante])=$A926)*tblDados[Primeira_Ocorrencia]*(tblDados[GM_M]=0))+SUMPRODUCT((TRIM(tblDados[Visitante])=$A926)*tblDados[Primeira_Ocorrencia]*(tblDados[GM_V]=0)))/G926,0))</f>
        <v/>
      </c>
      <c r="K926" s="16" t="str" cm="1">
        <f t="array" ref="K926">IF($A926="","",IFERROR((SUMPRODUCT((TRIM(tblDados[Mandante])=$A926)*tblDados[Primeira_Ocorrencia]*((tblDados[GM_M]+tblDados[GS_M])&gt;0.5))+SUMPRODUCT((TRIM(tblDados[Visitante])=$A926)*tblDados[Primeira_Ocorrencia]*((tblDados[GM_V]+tblDados[GS_V])&gt;0.5)))/G926,0))</f>
        <v/>
      </c>
      <c r="L926" s="16" t="str" cm="1">
        <f t="array" ref="L926">IF($A926="","",IFERROR((SUMPRODUCT((TRIM(tblDados[Mandante])=$A926)*tblDados[Primeira_Ocorrencia]*((tblDados[GM_M]+tblDados[GS_M])&gt;1.5))+SUMPRODUCT((TRIM(tblDados[Visitante])=$A926)*tblDados[Primeira_Ocorrencia]*((tblDados[GM_V]+tblDados[GS_V])&gt;1.5)))/G926,0))</f>
        <v/>
      </c>
      <c r="M926" s="16" t="str" cm="1">
        <f t="array" ref="M926">IF($A926="","",IFERROR((SUMPRODUCT((TRIM(tblDados[Mandante])=$A926)*tblDados[Primeira_Ocorrencia]*((tblDados[GM_M]+tblDados[GS_M])&gt;2.5))+SUMPRODUCT((TRIM(tblDados[Visitante])=$A926)*tblDados[Primeira_Ocorrencia]*((tblDados[GM_V]+tblDados[GS_V])&gt;2.5)))/G926,0))</f>
        <v/>
      </c>
      <c r="N926" s="16" t="str" cm="1">
        <f t="array" ref="N926">IF($A926="","",IFERROR((SUMPRODUCT((TRIM(tblDados[Mandante])=$A926)*tblDados[Primeira_Ocorrencia]*((tblDados[GM_M]+tblDados[GS_M])&gt;3.5))+SUMPRODUCT((TRIM(tblDados[Visitante])=$A926)*tblDados[Primeira_Ocorrencia]*((tblDados[GM_V]+tblDados[GS_V])&gt;3.5)))/G926,0))</f>
        <v/>
      </c>
      <c r="O926" s="16" t="str" cm="1">
        <f t="array" ref="O926">IF($A926="","",IFERROR((SUMPRODUCT((TRIM(tblDados[Mandante])=$A926)*tblDados[Primeira_Ocorrencia]*(tblDados[GM_M]&gt;0)*(tblDados[GS_M]&gt;0))+SUMPRODUCT((TRIM(tblDados[Visitante])=$A926)*tblDados[Primeira_Ocorrencia]*(tblDados[GM_V]&gt;0)*(tblDados[GS_V]&gt;0)))/G926,0))</f>
        <v/>
      </c>
      <c r="P926" s="14" t="str" cm="1">
        <f t="array" ref="P926">IF($A926="","",IFERROR((SUMPRODUCT((TRIM(tblDados[Mandante])=$A926)*tblDados[Primeira_Ocorrencia]*tblDados[GM_M]^2)+SUMPRODUCT((TRIM(tblDados[Visitante])=$A926)*tblDados[Primeira_Ocorrencia]*tblDados[GM_V]^2))/G926-H926^2,0))</f>
        <v/>
      </c>
      <c r="Q926" s="14" t="str">
        <f t="shared" si="239"/>
        <v/>
      </c>
      <c r="R926" s="1" t="str">
        <f t="shared" si="240"/>
        <v/>
      </c>
      <c r="S926" s="14" t="str" cm="1">
        <f t="array" ref="S926">IF($A926="","",SUMPRODUCT((TRIM(tblDados[Mandante])=$A926)*tblDados[Primeira_Ocorrencia]*tblDados[GM_M]))</f>
        <v/>
      </c>
      <c r="T926" s="14" t="str" cm="1">
        <f t="array" ref="T926">IF($A926="","",SUMPRODUCT((TRIM(tblDados[Visitante])=$A926)*tblDados[Primeira_Ocorrencia]*tblDados[GM_V]))</f>
        <v/>
      </c>
      <c r="U926" s="14" t="str">
        <f t="shared" si="241"/>
        <v/>
      </c>
      <c r="V926" s="14" t="str">
        <f t="shared" si="230"/>
        <v/>
      </c>
      <c r="W926" s="14" t="str" cm="1">
        <f t="array" ref="W926">IF($A926="","",SUMPRODUCT((TRIM(tblDados[Mandante])=$A926)*tblDados[Primeira_Ocorrencia]*tblDados[GS_M]))</f>
        <v/>
      </c>
      <c r="X926" s="14" t="str" cm="1">
        <f t="array" ref="X926">IF($A926="","",SUMPRODUCT((TRIM(tblDados[Visitante])=$A926)*tblDados[Primeira_Ocorrencia]*tblDados[GS_V]))</f>
        <v/>
      </c>
      <c r="Y926" s="14" t="str">
        <f t="shared" si="242"/>
        <v/>
      </c>
      <c r="Z926" s="14" t="str">
        <f t="shared" si="231"/>
        <v/>
      </c>
      <c r="AA926" s="14" t="str">
        <f t="shared" si="232"/>
        <v/>
      </c>
      <c r="AB926" s="14" t="str">
        <f t="shared" si="233"/>
        <v/>
      </c>
      <c r="AC926" s="14" t="str">
        <f t="shared" si="234"/>
        <v/>
      </c>
      <c r="AD926" s="14" t="str">
        <f t="shared" si="235"/>
        <v/>
      </c>
    </row>
    <row r="927" spans="2:30" x14ac:dyDescent="0.3">
      <c r="B927" s="13" t="str" cm="1">
        <f t="array" ref="B927">IF($A927="","",_xlfn.LET(_xlpm.p,IFERROR(INDEX(tblDados[País],MATCH($A927,TRIM(tblDados[Mandante]),0)),INDEX(tblDados[País],MATCH($A927,TRIM(tblDados[Visitante]),0))),_xlpm.l,IFERROR(INDEX(tblDados[Liga],MATCH($A927,TRIM(tblDados[Mandante]),0)),INDEX(tblDados[Liga],MATCH($A927,TRIM(tblDados[Visitante]),0))),_xlpm.p&amp;" - "&amp;_xlpm.l))</f>
        <v/>
      </c>
      <c r="C927" s="14" t="str">
        <f t="shared" si="236"/>
        <v/>
      </c>
      <c r="D927" s="14" t="str">
        <f t="shared" si="237"/>
        <v/>
      </c>
      <c r="E927" s="15" t="str" cm="1">
        <f t="array" ref="E927">IF($A927="","",SUMPRODUCT((TRIM(tblDados[Mandante])=$A927)*tblDados[Primeira_Ocorrencia]))</f>
        <v/>
      </c>
      <c r="F927" s="15" t="str" cm="1">
        <f t="array" ref="F927">IF($A927="","",SUMPRODUCT((TRIM(tblDados[Visitante])=$A927)*tblDados[Primeira_Ocorrencia]))</f>
        <v/>
      </c>
      <c r="G927" s="15" t="str" cm="1">
        <f t="array" ref="G927">IF($A927="","",SUMPRODUCT((TRIM(tblDados[Mandante])=$A927)*tblDados[Primeira_Ocorrencia])+SUMPRODUCT((TRIM(tblDados[Visitante])=$A927)*tblDados[Primeira_Ocorrencia]))</f>
        <v/>
      </c>
      <c r="H927" s="14" t="str">
        <f t="shared" si="238"/>
        <v/>
      </c>
      <c r="I927" s="14" t="str" cm="1">
        <f t="array" ref="I927">IF($A927="","",_xlfn.LET(_xlpm.p,IFERROR(INDEX(tblDados[País],MATCH($A927,TRIM(tblDados[Mandante]),0)),INDEX(tblDados[País],MATCH($A927,TRIM(tblDados[Visitante]),0))),_xlpm.l,IFERROR(INDEX(tblDados[Liga],MATCH($A927,TRIM(tblDados[Mandante]),0)),INDEX(tblDados[Liga],MATCH($A927,TRIM(tblDados[Visitante]),0))),IFERROR(SUMIFS(Ligas!$D$2:$D$39,Ligas!$H$2:$H$39,_xlpm.p,Ligas!$I$2:$I$39,_xlpm.l),0)))</f>
        <v/>
      </c>
      <c r="J927" s="16" t="str" cm="1">
        <f t="array" ref="J927">IF($A927="","",IFERROR((SUMPRODUCT((TRIM(tblDados[Mandante])=$A927)*tblDados[Primeira_Ocorrencia]*(tblDados[GM_M]=0))+SUMPRODUCT((TRIM(tblDados[Visitante])=$A927)*tblDados[Primeira_Ocorrencia]*(tblDados[GM_V]=0)))/G927,0))</f>
        <v/>
      </c>
      <c r="K927" s="16" t="str" cm="1">
        <f t="array" ref="K927">IF($A927="","",IFERROR((SUMPRODUCT((TRIM(tblDados[Mandante])=$A927)*tblDados[Primeira_Ocorrencia]*((tblDados[GM_M]+tblDados[GS_M])&gt;0.5))+SUMPRODUCT((TRIM(tblDados[Visitante])=$A927)*tblDados[Primeira_Ocorrencia]*((tblDados[GM_V]+tblDados[GS_V])&gt;0.5)))/G927,0))</f>
        <v/>
      </c>
      <c r="L927" s="16" t="str" cm="1">
        <f t="array" ref="L927">IF($A927="","",IFERROR((SUMPRODUCT((TRIM(tblDados[Mandante])=$A927)*tblDados[Primeira_Ocorrencia]*((tblDados[GM_M]+tblDados[GS_M])&gt;1.5))+SUMPRODUCT((TRIM(tblDados[Visitante])=$A927)*tblDados[Primeira_Ocorrencia]*((tblDados[GM_V]+tblDados[GS_V])&gt;1.5)))/G927,0))</f>
        <v/>
      </c>
      <c r="M927" s="16" t="str" cm="1">
        <f t="array" ref="M927">IF($A927="","",IFERROR((SUMPRODUCT((TRIM(tblDados[Mandante])=$A927)*tblDados[Primeira_Ocorrencia]*((tblDados[GM_M]+tblDados[GS_M])&gt;2.5))+SUMPRODUCT((TRIM(tblDados[Visitante])=$A927)*tblDados[Primeira_Ocorrencia]*((tblDados[GM_V]+tblDados[GS_V])&gt;2.5)))/G927,0))</f>
        <v/>
      </c>
      <c r="N927" s="16" t="str" cm="1">
        <f t="array" ref="N927">IF($A927="","",IFERROR((SUMPRODUCT((TRIM(tblDados[Mandante])=$A927)*tblDados[Primeira_Ocorrencia]*((tblDados[GM_M]+tblDados[GS_M])&gt;3.5))+SUMPRODUCT((TRIM(tblDados[Visitante])=$A927)*tblDados[Primeira_Ocorrencia]*((tblDados[GM_V]+tblDados[GS_V])&gt;3.5)))/G927,0))</f>
        <v/>
      </c>
      <c r="O927" s="16" t="str" cm="1">
        <f t="array" ref="O927">IF($A927="","",IFERROR((SUMPRODUCT((TRIM(tblDados[Mandante])=$A927)*tblDados[Primeira_Ocorrencia]*(tblDados[GM_M]&gt;0)*(tblDados[GS_M]&gt;0))+SUMPRODUCT((TRIM(tblDados[Visitante])=$A927)*tblDados[Primeira_Ocorrencia]*(tblDados[GM_V]&gt;0)*(tblDados[GS_V]&gt;0)))/G927,0))</f>
        <v/>
      </c>
      <c r="P927" s="14" t="str" cm="1">
        <f t="array" ref="P927">IF($A927="","",IFERROR((SUMPRODUCT((TRIM(tblDados[Mandante])=$A927)*tblDados[Primeira_Ocorrencia]*tblDados[GM_M]^2)+SUMPRODUCT((TRIM(tblDados[Visitante])=$A927)*tblDados[Primeira_Ocorrencia]*tblDados[GM_V]^2))/G927-H927^2,0))</f>
        <v/>
      </c>
      <c r="Q927" s="14" t="str">
        <f t="shared" si="239"/>
        <v/>
      </c>
      <c r="R927" s="1" t="str">
        <f t="shared" si="240"/>
        <v/>
      </c>
      <c r="S927" s="14" t="str" cm="1">
        <f t="array" ref="S927">IF($A927="","",SUMPRODUCT((TRIM(tblDados[Mandante])=$A927)*tblDados[Primeira_Ocorrencia]*tblDados[GM_M]))</f>
        <v/>
      </c>
      <c r="T927" s="14" t="str" cm="1">
        <f t="array" ref="T927">IF($A927="","",SUMPRODUCT((TRIM(tblDados[Visitante])=$A927)*tblDados[Primeira_Ocorrencia]*tblDados[GM_V]))</f>
        <v/>
      </c>
      <c r="U927" s="14" t="str">
        <f t="shared" si="241"/>
        <v/>
      </c>
      <c r="V927" s="14" t="str">
        <f t="shared" si="230"/>
        <v/>
      </c>
      <c r="W927" s="14" t="str" cm="1">
        <f t="array" ref="W927">IF($A927="","",SUMPRODUCT((TRIM(tblDados[Mandante])=$A927)*tblDados[Primeira_Ocorrencia]*tblDados[GS_M]))</f>
        <v/>
      </c>
      <c r="X927" s="14" t="str" cm="1">
        <f t="array" ref="X927">IF($A927="","",SUMPRODUCT((TRIM(tblDados[Visitante])=$A927)*tblDados[Primeira_Ocorrencia]*tblDados[GS_V]))</f>
        <v/>
      </c>
      <c r="Y927" s="14" t="str">
        <f t="shared" si="242"/>
        <v/>
      </c>
      <c r="Z927" s="14" t="str">
        <f t="shared" si="231"/>
        <v/>
      </c>
      <c r="AA927" s="14" t="str">
        <f t="shared" si="232"/>
        <v/>
      </c>
      <c r="AB927" s="14" t="str">
        <f t="shared" si="233"/>
        <v/>
      </c>
      <c r="AC927" s="14" t="str">
        <f t="shared" si="234"/>
        <v/>
      </c>
      <c r="AD927" s="14" t="str">
        <f t="shared" si="235"/>
        <v/>
      </c>
    </row>
    <row r="928" spans="2:30" x14ac:dyDescent="0.3">
      <c r="B928" s="13" t="str" cm="1">
        <f t="array" ref="B928">IF($A928="","",_xlfn.LET(_xlpm.p,IFERROR(INDEX(tblDados[País],MATCH($A928,TRIM(tblDados[Mandante]),0)),INDEX(tblDados[País],MATCH($A928,TRIM(tblDados[Visitante]),0))),_xlpm.l,IFERROR(INDEX(tblDados[Liga],MATCH($A928,TRIM(tblDados[Mandante]),0)),INDEX(tblDados[Liga],MATCH($A928,TRIM(tblDados[Visitante]),0))),_xlpm.p&amp;" - "&amp;_xlpm.l))</f>
        <v/>
      </c>
      <c r="C928" s="14" t="str">
        <f t="shared" si="236"/>
        <v/>
      </c>
      <c r="D928" s="14" t="str">
        <f t="shared" si="237"/>
        <v/>
      </c>
      <c r="E928" s="15" t="str" cm="1">
        <f t="array" ref="E928">IF($A928="","",SUMPRODUCT((TRIM(tblDados[Mandante])=$A928)*tblDados[Primeira_Ocorrencia]))</f>
        <v/>
      </c>
      <c r="F928" s="15" t="str" cm="1">
        <f t="array" ref="F928">IF($A928="","",SUMPRODUCT((TRIM(tblDados[Visitante])=$A928)*tblDados[Primeira_Ocorrencia]))</f>
        <v/>
      </c>
      <c r="G928" s="15" t="str" cm="1">
        <f t="array" ref="G928">IF($A928="","",SUMPRODUCT((TRIM(tblDados[Mandante])=$A928)*tblDados[Primeira_Ocorrencia])+SUMPRODUCT((TRIM(tblDados[Visitante])=$A928)*tblDados[Primeira_Ocorrencia]))</f>
        <v/>
      </c>
      <c r="H928" s="14" t="str">
        <f t="shared" si="238"/>
        <v/>
      </c>
      <c r="I928" s="14" t="str" cm="1">
        <f t="array" ref="I928">IF($A928="","",_xlfn.LET(_xlpm.p,IFERROR(INDEX(tblDados[País],MATCH($A928,TRIM(tblDados[Mandante]),0)),INDEX(tblDados[País],MATCH($A928,TRIM(tblDados[Visitante]),0))),_xlpm.l,IFERROR(INDEX(tblDados[Liga],MATCH($A928,TRIM(tblDados[Mandante]),0)),INDEX(tblDados[Liga],MATCH($A928,TRIM(tblDados[Visitante]),0))),IFERROR(SUMIFS(Ligas!$D$2:$D$39,Ligas!$H$2:$H$39,_xlpm.p,Ligas!$I$2:$I$39,_xlpm.l),0)))</f>
        <v/>
      </c>
      <c r="J928" s="16" t="str" cm="1">
        <f t="array" ref="J928">IF($A928="","",IFERROR((SUMPRODUCT((TRIM(tblDados[Mandante])=$A928)*tblDados[Primeira_Ocorrencia]*(tblDados[GM_M]=0))+SUMPRODUCT((TRIM(tblDados[Visitante])=$A928)*tblDados[Primeira_Ocorrencia]*(tblDados[GM_V]=0)))/G928,0))</f>
        <v/>
      </c>
      <c r="K928" s="16" t="str" cm="1">
        <f t="array" ref="K928">IF($A928="","",IFERROR((SUMPRODUCT((TRIM(tblDados[Mandante])=$A928)*tblDados[Primeira_Ocorrencia]*((tblDados[GM_M]+tblDados[GS_M])&gt;0.5))+SUMPRODUCT((TRIM(tblDados[Visitante])=$A928)*tblDados[Primeira_Ocorrencia]*((tblDados[GM_V]+tblDados[GS_V])&gt;0.5)))/G928,0))</f>
        <v/>
      </c>
      <c r="L928" s="16" t="str" cm="1">
        <f t="array" ref="L928">IF($A928="","",IFERROR((SUMPRODUCT((TRIM(tblDados[Mandante])=$A928)*tblDados[Primeira_Ocorrencia]*((tblDados[GM_M]+tblDados[GS_M])&gt;1.5))+SUMPRODUCT((TRIM(tblDados[Visitante])=$A928)*tblDados[Primeira_Ocorrencia]*((tblDados[GM_V]+tblDados[GS_V])&gt;1.5)))/G928,0))</f>
        <v/>
      </c>
      <c r="M928" s="16" t="str" cm="1">
        <f t="array" ref="M928">IF($A928="","",IFERROR((SUMPRODUCT((TRIM(tblDados[Mandante])=$A928)*tblDados[Primeira_Ocorrencia]*((tblDados[GM_M]+tblDados[GS_M])&gt;2.5))+SUMPRODUCT((TRIM(tblDados[Visitante])=$A928)*tblDados[Primeira_Ocorrencia]*((tblDados[GM_V]+tblDados[GS_V])&gt;2.5)))/G928,0))</f>
        <v/>
      </c>
      <c r="N928" s="16" t="str" cm="1">
        <f t="array" ref="N928">IF($A928="","",IFERROR((SUMPRODUCT((TRIM(tblDados[Mandante])=$A928)*tblDados[Primeira_Ocorrencia]*((tblDados[GM_M]+tblDados[GS_M])&gt;3.5))+SUMPRODUCT((TRIM(tblDados[Visitante])=$A928)*tblDados[Primeira_Ocorrencia]*((tblDados[GM_V]+tblDados[GS_V])&gt;3.5)))/G928,0))</f>
        <v/>
      </c>
      <c r="O928" s="16" t="str" cm="1">
        <f t="array" ref="O928">IF($A928="","",IFERROR((SUMPRODUCT((TRIM(tblDados[Mandante])=$A928)*tblDados[Primeira_Ocorrencia]*(tblDados[GM_M]&gt;0)*(tblDados[GS_M]&gt;0))+SUMPRODUCT((TRIM(tblDados[Visitante])=$A928)*tblDados[Primeira_Ocorrencia]*(tblDados[GM_V]&gt;0)*(tblDados[GS_V]&gt;0)))/G928,0))</f>
        <v/>
      </c>
      <c r="P928" s="14" t="str" cm="1">
        <f t="array" ref="P928">IF($A928="","",IFERROR((SUMPRODUCT((TRIM(tblDados[Mandante])=$A928)*tblDados[Primeira_Ocorrencia]*tblDados[GM_M]^2)+SUMPRODUCT((TRIM(tblDados[Visitante])=$A928)*tblDados[Primeira_Ocorrencia]*tblDados[GM_V]^2))/G928-H928^2,0))</f>
        <v/>
      </c>
      <c r="Q928" s="14" t="str">
        <f t="shared" si="239"/>
        <v/>
      </c>
      <c r="R928" s="1" t="str">
        <f t="shared" si="240"/>
        <v/>
      </c>
      <c r="S928" s="14" t="str" cm="1">
        <f t="array" ref="S928">IF($A928="","",SUMPRODUCT((TRIM(tblDados[Mandante])=$A928)*tblDados[Primeira_Ocorrencia]*tblDados[GM_M]))</f>
        <v/>
      </c>
      <c r="T928" s="14" t="str" cm="1">
        <f t="array" ref="T928">IF($A928="","",SUMPRODUCT((TRIM(tblDados[Visitante])=$A928)*tblDados[Primeira_Ocorrencia]*tblDados[GM_V]))</f>
        <v/>
      </c>
      <c r="U928" s="14" t="str">
        <f t="shared" si="241"/>
        <v/>
      </c>
      <c r="V928" s="14" t="str">
        <f t="shared" si="230"/>
        <v/>
      </c>
      <c r="W928" s="14" t="str" cm="1">
        <f t="array" ref="W928">IF($A928="","",SUMPRODUCT((TRIM(tblDados[Mandante])=$A928)*tblDados[Primeira_Ocorrencia]*tblDados[GS_M]))</f>
        <v/>
      </c>
      <c r="X928" s="14" t="str" cm="1">
        <f t="array" ref="X928">IF($A928="","",SUMPRODUCT((TRIM(tblDados[Visitante])=$A928)*tblDados[Primeira_Ocorrencia]*tblDados[GS_V]))</f>
        <v/>
      </c>
      <c r="Y928" s="14" t="str">
        <f t="shared" si="242"/>
        <v/>
      </c>
      <c r="Z928" s="14" t="str">
        <f t="shared" si="231"/>
        <v/>
      </c>
      <c r="AA928" s="14" t="str">
        <f t="shared" si="232"/>
        <v/>
      </c>
      <c r="AB928" s="14" t="str">
        <f t="shared" si="233"/>
        <v/>
      </c>
      <c r="AC928" s="14" t="str">
        <f t="shared" si="234"/>
        <v/>
      </c>
      <c r="AD928" s="14" t="str">
        <f t="shared" si="235"/>
        <v/>
      </c>
    </row>
    <row r="929" spans="2:30" x14ac:dyDescent="0.3">
      <c r="B929" s="13" t="str" cm="1">
        <f t="array" ref="B929">IF($A929="","",_xlfn.LET(_xlpm.p,IFERROR(INDEX(tblDados[País],MATCH($A929,TRIM(tblDados[Mandante]),0)),INDEX(tblDados[País],MATCH($A929,TRIM(tblDados[Visitante]),0))),_xlpm.l,IFERROR(INDEX(tblDados[Liga],MATCH($A929,TRIM(tblDados[Mandante]),0)),INDEX(tblDados[Liga],MATCH($A929,TRIM(tblDados[Visitante]),0))),_xlpm.p&amp;" - "&amp;_xlpm.l))</f>
        <v/>
      </c>
      <c r="C929" s="14" t="str">
        <f t="shared" si="236"/>
        <v/>
      </c>
      <c r="D929" s="14" t="str">
        <f t="shared" si="237"/>
        <v/>
      </c>
      <c r="E929" s="15" t="str" cm="1">
        <f t="array" ref="E929">IF($A929="","",SUMPRODUCT((TRIM(tblDados[Mandante])=$A929)*tblDados[Primeira_Ocorrencia]))</f>
        <v/>
      </c>
      <c r="F929" s="15" t="str" cm="1">
        <f t="array" ref="F929">IF($A929="","",SUMPRODUCT((TRIM(tblDados[Visitante])=$A929)*tblDados[Primeira_Ocorrencia]))</f>
        <v/>
      </c>
      <c r="G929" s="15" t="str" cm="1">
        <f t="array" ref="G929">IF($A929="","",SUMPRODUCT((TRIM(tblDados[Mandante])=$A929)*tblDados[Primeira_Ocorrencia])+SUMPRODUCT((TRIM(tblDados[Visitante])=$A929)*tblDados[Primeira_Ocorrencia]))</f>
        <v/>
      </c>
      <c r="H929" s="14" t="str">
        <f t="shared" si="238"/>
        <v/>
      </c>
      <c r="I929" s="14" t="str" cm="1">
        <f t="array" ref="I929">IF($A929="","",_xlfn.LET(_xlpm.p,IFERROR(INDEX(tblDados[País],MATCH($A929,TRIM(tblDados[Mandante]),0)),INDEX(tblDados[País],MATCH($A929,TRIM(tblDados[Visitante]),0))),_xlpm.l,IFERROR(INDEX(tblDados[Liga],MATCH($A929,TRIM(tblDados[Mandante]),0)),INDEX(tblDados[Liga],MATCH($A929,TRIM(tblDados[Visitante]),0))),IFERROR(SUMIFS(Ligas!$D$2:$D$39,Ligas!$H$2:$H$39,_xlpm.p,Ligas!$I$2:$I$39,_xlpm.l),0)))</f>
        <v/>
      </c>
      <c r="J929" s="16" t="str" cm="1">
        <f t="array" ref="J929">IF($A929="","",IFERROR((SUMPRODUCT((TRIM(tblDados[Mandante])=$A929)*tblDados[Primeira_Ocorrencia]*(tblDados[GM_M]=0))+SUMPRODUCT((TRIM(tblDados[Visitante])=$A929)*tblDados[Primeira_Ocorrencia]*(tblDados[GM_V]=0)))/G929,0))</f>
        <v/>
      </c>
      <c r="K929" s="16" t="str" cm="1">
        <f t="array" ref="K929">IF($A929="","",IFERROR((SUMPRODUCT((TRIM(tblDados[Mandante])=$A929)*tblDados[Primeira_Ocorrencia]*((tblDados[GM_M]+tblDados[GS_M])&gt;0.5))+SUMPRODUCT((TRIM(tblDados[Visitante])=$A929)*tblDados[Primeira_Ocorrencia]*((tblDados[GM_V]+tblDados[GS_V])&gt;0.5)))/G929,0))</f>
        <v/>
      </c>
      <c r="L929" s="16" t="str" cm="1">
        <f t="array" ref="L929">IF($A929="","",IFERROR((SUMPRODUCT((TRIM(tblDados[Mandante])=$A929)*tblDados[Primeira_Ocorrencia]*((tblDados[GM_M]+tblDados[GS_M])&gt;1.5))+SUMPRODUCT((TRIM(tblDados[Visitante])=$A929)*tblDados[Primeira_Ocorrencia]*((tblDados[GM_V]+tblDados[GS_V])&gt;1.5)))/G929,0))</f>
        <v/>
      </c>
      <c r="M929" s="16" t="str" cm="1">
        <f t="array" ref="M929">IF($A929="","",IFERROR((SUMPRODUCT((TRIM(tblDados[Mandante])=$A929)*tblDados[Primeira_Ocorrencia]*((tblDados[GM_M]+tblDados[GS_M])&gt;2.5))+SUMPRODUCT((TRIM(tblDados[Visitante])=$A929)*tblDados[Primeira_Ocorrencia]*((tblDados[GM_V]+tblDados[GS_V])&gt;2.5)))/G929,0))</f>
        <v/>
      </c>
      <c r="N929" s="16" t="str" cm="1">
        <f t="array" ref="N929">IF($A929="","",IFERROR((SUMPRODUCT((TRIM(tblDados[Mandante])=$A929)*tblDados[Primeira_Ocorrencia]*((tblDados[GM_M]+tblDados[GS_M])&gt;3.5))+SUMPRODUCT((TRIM(tblDados[Visitante])=$A929)*tblDados[Primeira_Ocorrencia]*((tblDados[GM_V]+tblDados[GS_V])&gt;3.5)))/G929,0))</f>
        <v/>
      </c>
      <c r="O929" s="16" t="str" cm="1">
        <f t="array" ref="O929">IF($A929="","",IFERROR((SUMPRODUCT((TRIM(tblDados[Mandante])=$A929)*tblDados[Primeira_Ocorrencia]*(tblDados[GM_M]&gt;0)*(tblDados[GS_M]&gt;0))+SUMPRODUCT((TRIM(tblDados[Visitante])=$A929)*tblDados[Primeira_Ocorrencia]*(tblDados[GM_V]&gt;0)*(tblDados[GS_V]&gt;0)))/G929,0))</f>
        <v/>
      </c>
      <c r="P929" s="14" t="str" cm="1">
        <f t="array" ref="P929">IF($A929="","",IFERROR((SUMPRODUCT((TRIM(tblDados[Mandante])=$A929)*tblDados[Primeira_Ocorrencia]*tblDados[GM_M]^2)+SUMPRODUCT((TRIM(tblDados[Visitante])=$A929)*tblDados[Primeira_Ocorrencia]*tblDados[GM_V]^2))/G929-H929^2,0))</f>
        <v/>
      </c>
      <c r="Q929" s="14" t="str">
        <f t="shared" si="239"/>
        <v/>
      </c>
      <c r="R929" s="1" t="str">
        <f t="shared" si="240"/>
        <v/>
      </c>
      <c r="S929" s="14" t="str" cm="1">
        <f t="array" ref="S929">IF($A929="","",SUMPRODUCT((TRIM(tblDados[Mandante])=$A929)*tblDados[Primeira_Ocorrencia]*tblDados[GM_M]))</f>
        <v/>
      </c>
      <c r="T929" s="14" t="str" cm="1">
        <f t="array" ref="T929">IF($A929="","",SUMPRODUCT((TRIM(tblDados[Visitante])=$A929)*tblDados[Primeira_Ocorrencia]*tblDados[GM_V]))</f>
        <v/>
      </c>
      <c r="U929" s="14" t="str">
        <f t="shared" si="241"/>
        <v/>
      </c>
      <c r="V929" s="14" t="str">
        <f t="shared" si="230"/>
        <v/>
      </c>
      <c r="W929" s="14" t="str" cm="1">
        <f t="array" ref="W929">IF($A929="","",SUMPRODUCT((TRIM(tblDados[Mandante])=$A929)*tblDados[Primeira_Ocorrencia]*tblDados[GS_M]))</f>
        <v/>
      </c>
      <c r="X929" s="14" t="str" cm="1">
        <f t="array" ref="X929">IF($A929="","",SUMPRODUCT((TRIM(tblDados[Visitante])=$A929)*tblDados[Primeira_Ocorrencia]*tblDados[GS_V]))</f>
        <v/>
      </c>
      <c r="Y929" s="14" t="str">
        <f t="shared" si="242"/>
        <v/>
      </c>
      <c r="Z929" s="14" t="str">
        <f t="shared" si="231"/>
        <v/>
      </c>
      <c r="AA929" s="14" t="str">
        <f t="shared" si="232"/>
        <v/>
      </c>
      <c r="AB929" s="14" t="str">
        <f t="shared" si="233"/>
        <v/>
      </c>
      <c r="AC929" s="14" t="str">
        <f t="shared" si="234"/>
        <v/>
      </c>
      <c r="AD929" s="14" t="str">
        <f t="shared" si="235"/>
        <v/>
      </c>
    </row>
    <row r="930" spans="2:30" x14ac:dyDescent="0.3">
      <c r="B930" s="13" t="str" cm="1">
        <f t="array" ref="B930">IF($A930="","",_xlfn.LET(_xlpm.p,IFERROR(INDEX(tblDados[País],MATCH($A930,TRIM(tblDados[Mandante]),0)),INDEX(tblDados[País],MATCH($A930,TRIM(tblDados[Visitante]),0))),_xlpm.l,IFERROR(INDEX(tblDados[Liga],MATCH($A930,TRIM(tblDados[Mandante]),0)),INDEX(tblDados[Liga],MATCH($A930,TRIM(tblDados[Visitante]),0))),_xlpm.p&amp;" - "&amp;_xlpm.l))</f>
        <v/>
      </c>
      <c r="C930" s="14" t="str">
        <f t="shared" si="236"/>
        <v/>
      </c>
      <c r="D930" s="14" t="str">
        <f t="shared" si="237"/>
        <v/>
      </c>
      <c r="E930" s="15" t="str" cm="1">
        <f t="array" ref="E930">IF($A930="","",SUMPRODUCT((TRIM(tblDados[Mandante])=$A930)*tblDados[Primeira_Ocorrencia]))</f>
        <v/>
      </c>
      <c r="F930" s="15" t="str" cm="1">
        <f t="array" ref="F930">IF($A930="","",SUMPRODUCT((TRIM(tblDados[Visitante])=$A930)*tblDados[Primeira_Ocorrencia]))</f>
        <v/>
      </c>
      <c r="G930" s="15" t="str" cm="1">
        <f t="array" ref="G930">IF($A930="","",SUMPRODUCT((TRIM(tblDados[Mandante])=$A930)*tblDados[Primeira_Ocorrencia])+SUMPRODUCT((TRIM(tblDados[Visitante])=$A930)*tblDados[Primeira_Ocorrencia]))</f>
        <v/>
      </c>
      <c r="H930" s="14" t="str">
        <f t="shared" si="238"/>
        <v/>
      </c>
      <c r="I930" s="14" t="str" cm="1">
        <f t="array" ref="I930">IF($A930="","",_xlfn.LET(_xlpm.p,IFERROR(INDEX(tblDados[País],MATCH($A930,TRIM(tblDados[Mandante]),0)),INDEX(tblDados[País],MATCH($A930,TRIM(tblDados[Visitante]),0))),_xlpm.l,IFERROR(INDEX(tblDados[Liga],MATCH($A930,TRIM(tblDados[Mandante]),0)),INDEX(tblDados[Liga],MATCH($A930,TRIM(tblDados[Visitante]),0))),IFERROR(SUMIFS(Ligas!$D$2:$D$39,Ligas!$H$2:$H$39,_xlpm.p,Ligas!$I$2:$I$39,_xlpm.l),0)))</f>
        <v/>
      </c>
      <c r="J930" s="16" t="str" cm="1">
        <f t="array" ref="J930">IF($A930="","",IFERROR((SUMPRODUCT((TRIM(tblDados[Mandante])=$A930)*tblDados[Primeira_Ocorrencia]*(tblDados[GM_M]=0))+SUMPRODUCT((TRIM(tblDados[Visitante])=$A930)*tblDados[Primeira_Ocorrencia]*(tblDados[GM_V]=0)))/G930,0))</f>
        <v/>
      </c>
      <c r="K930" s="16" t="str" cm="1">
        <f t="array" ref="K930">IF($A930="","",IFERROR((SUMPRODUCT((TRIM(tblDados[Mandante])=$A930)*tblDados[Primeira_Ocorrencia]*((tblDados[GM_M]+tblDados[GS_M])&gt;0.5))+SUMPRODUCT((TRIM(tblDados[Visitante])=$A930)*tblDados[Primeira_Ocorrencia]*((tblDados[GM_V]+tblDados[GS_V])&gt;0.5)))/G930,0))</f>
        <v/>
      </c>
      <c r="L930" s="16" t="str" cm="1">
        <f t="array" ref="L930">IF($A930="","",IFERROR((SUMPRODUCT((TRIM(tblDados[Mandante])=$A930)*tblDados[Primeira_Ocorrencia]*((tblDados[GM_M]+tblDados[GS_M])&gt;1.5))+SUMPRODUCT((TRIM(tblDados[Visitante])=$A930)*tblDados[Primeira_Ocorrencia]*((tblDados[GM_V]+tblDados[GS_V])&gt;1.5)))/G930,0))</f>
        <v/>
      </c>
      <c r="M930" s="16" t="str" cm="1">
        <f t="array" ref="M930">IF($A930="","",IFERROR((SUMPRODUCT((TRIM(tblDados[Mandante])=$A930)*tblDados[Primeira_Ocorrencia]*((tblDados[GM_M]+tblDados[GS_M])&gt;2.5))+SUMPRODUCT((TRIM(tblDados[Visitante])=$A930)*tblDados[Primeira_Ocorrencia]*((tblDados[GM_V]+tblDados[GS_V])&gt;2.5)))/G930,0))</f>
        <v/>
      </c>
      <c r="N930" s="16" t="str" cm="1">
        <f t="array" ref="N930">IF($A930="","",IFERROR((SUMPRODUCT((TRIM(tblDados[Mandante])=$A930)*tblDados[Primeira_Ocorrencia]*((tblDados[GM_M]+tblDados[GS_M])&gt;3.5))+SUMPRODUCT((TRIM(tblDados[Visitante])=$A930)*tblDados[Primeira_Ocorrencia]*((tblDados[GM_V]+tblDados[GS_V])&gt;3.5)))/G930,0))</f>
        <v/>
      </c>
      <c r="O930" s="16" t="str" cm="1">
        <f t="array" ref="O930">IF($A930="","",IFERROR((SUMPRODUCT((TRIM(tblDados[Mandante])=$A930)*tblDados[Primeira_Ocorrencia]*(tblDados[GM_M]&gt;0)*(tblDados[GS_M]&gt;0))+SUMPRODUCT((TRIM(tblDados[Visitante])=$A930)*tblDados[Primeira_Ocorrencia]*(tblDados[GM_V]&gt;0)*(tblDados[GS_V]&gt;0)))/G930,0))</f>
        <v/>
      </c>
      <c r="P930" s="14" t="str" cm="1">
        <f t="array" ref="P930">IF($A930="","",IFERROR((SUMPRODUCT((TRIM(tblDados[Mandante])=$A930)*tblDados[Primeira_Ocorrencia]*tblDados[GM_M]^2)+SUMPRODUCT((TRIM(tblDados[Visitante])=$A930)*tblDados[Primeira_Ocorrencia]*tblDados[GM_V]^2))/G930-H930^2,0))</f>
        <v/>
      </c>
      <c r="Q930" s="14" t="str">
        <f t="shared" si="239"/>
        <v/>
      </c>
      <c r="R930" s="1" t="str">
        <f t="shared" si="240"/>
        <v/>
      </c>
      <c r="S930" s="14" t="str" cm="1">
        <f t="array" ref="S930">IF($A930="","",SUMPRODUCT((TRIM(tblDados[Mandante])=$A930)*tblDados[Primeira_Ocorrencia]*tblDados[GM_M]))</f>
        <v/>
      </c>
      <c r="T930" s="14" t="str" cm="1">
        <f t="array" ref="T930">IF($A930="","",SUMPRODUCT((TRIM(tblDados[Visitante])=$A930)*tblDados[Primeira_Ocorrencia]*tblDados[GM_V]))</f>
        <v/>
      </c>
      <c r="U930" s="14" t="str">
        <f t="shared" si="241"/>
        <v/>
      </c>
      <c r="V930" s="14" t="str">
        <f t="shared" si="230"/>
        <v/>
      </c>
      <c r="W930" s="14" t="str" cm="1">
        <f t="array" ref="W930">IF($A930="","",SUMPRODUCT((TRIM(tblDados[Mandante])=$A930)*tblDados[Primeira_Ocorrencia]*tblDados[GS_M]))</f>
        <v/>
      </c>
      <c r="X930" s="14" t="str" cm="1">
        <f t="array" ref="X930">IF($A930="","",SUMPRODUCT((TRIM(tblDados[Visitante])=$A930)*tblDados[Primeira_Ocorrencia]*tblDados[GS_V]))</f>
        <v/>
      </c>
      <c r="Y930" s="14" t="str">
        <f t="shared" si="242"/>
        <v/>
      </c>
      <c r="Z930" s="14" t="str">
        <f t="shared" si="231"/>
        <v/>
      </c>
      <c r="AA930" s="14" t="str">
        <f t="shared" si="232"/>
        <v/>
      </c>
      <c r="AB930" s="14" t="str">
        <f t="shared" si="233"/>
        <v/>
      </c>
      <c r="AC930" s="14" t="str">
        <f t="shared" si="234"/>
        <v/>
      </c>
      <c r="AD930" s="14" t="str">
        <f t="shared" si="235"/>
        <v/>
      </c>
    </row>
    <row r="931" spans="2:30" x14ac:dyDescent="0.3">
      <c r="B931" s="13" t="str" cm="1">
        <f t="array" ref="B931">IF($A931="","",_xlfn.LET(_xlpm.p,IFERROR(INDEX(tblDados[País],MATCH($A931,TRIM(tblDados[Mandante]),0)),INDEX(tblDados[País],MATCH($A931,TRIM(tblDados[Visitante]),0))),_xlpm.l,IFERROR(INDEX(tblDados[Liga],MATCH($A931,TRIM(tblDados[Mandante]),0)),INDEX(tblDados[Liga],MATCH($A931,TRIM(tblDados[Visitante]),0))),_xlpm.p&amp;" - "&amp;_xlpm.l))</f>
        <v/>
      </c>
      <c r="C931" s="14" t="str">
        <f t="shared" si="236"/>
        <v/>
      </c>
      <c r="D931" s="14" t="str">
        <f t="shared" si="237"/>
        <v/>
      </c>
      <c r="E931" s="15" t="str" cm="1">
        <f t="array" ref="E931">IF($A931="","",SUMPRODUCT((TRIM(tblDados[Mandante])=$A931)*tblDados[Primeira_Ocorrencia]))</f>
        <v/>
      </c>
      <c r="F931" s="15" t="str" cm="1">
        <f t="array" ref="F931">IF($A931="","",SUMPRODUCT((TRIM(tblDados[Visitante])=$A931)*tblDados[Primeira_Ocorrencia]))</f>
        <v/>
      </c>
      <c r="G931" s="15" t="str" cm="1">
        <f t="array" ref="G931">IF($A931="","",SUMPRODUCT((TRIM(tblDados[Mandante])=$A931)*tblDados[Primeira_Ocorrencia])+SUMPRODUCT((TRIM(tblDados[Visitante])=$A931)*tblDados[Primeira_Ocorrencia]))</f>
        <v/>
      </c>
      <c r="H931" s="14" t="str">
        <f t="shared" si="238"/>
        <v/>
      </c>
      <c r="I931" s="14" t="str" cm="1">
        <f t="array" ref="I931">IF($A931="","",_xlfn.LET(_xlpm.p,IFERROR(INDEX(tblDados[País],MATCH($A931,TRIM(tblDados[Mandante]),0)),INDEX(tblDados[País],MATCH($A931,TRIM(tblDados[Visitante]),0))),_xlpm.l,IFERROR(INDEX(tblDados[Liga],MATCH($A931,TRIM(tblDados[Mandante]),0)),INDEX(tblDados[Liga],MATCH($A931,TRIM(tblDados[Visitante]),0))),IFERROR(SUMIFS(Ligas!$D$2:$D$39,Ligas!$H$2:$H$39,_xlpm.p,Ligas!$I$2:$I$39,_xlpm.l),0)))</f>
        <v/>
      </c>
      <c r="J931" s="16" t="str" cm="1">
        <f t="array" ref="J931">IF($A931="","",IFERROR((SUMPRODUCT((TRIM(tblDados[Mandante])=$A931)*tblDados[Primeira_Ocorrencia]*(tblDados[GM_M]=0))+SUMPRODUCT((TRIM(tblDados[Visitante])=$A931)*tblDados[Primeira_Ocorrencia]*(tblDados[GM_V]=0)))/G931,0))</f>
        <v/>
      </c>
      <c r="K931" s="16" t="str" cm="1">
        <f t="array" ref="K931">IF($A931="","",IFERROR((SUMPRODUCT((TRIM(tblDados[Mandante])=$A931)*tblDados[Primeira_Ocorrencia]*((tblDados[GM_M]+tblDados[GS_M])&gt;0.5))+SUMPRODUCT((TRIM(tblDados[Visitante])=$A931)*tblDados[Primeira_Ocorrencia]*((tblDados[GM_V]+tblDados[GS_V])&gt;0.5)))/G931,0))</f>
        <v/>
      </c>
      <c r="L931" s="16" t="str" cm="1">
        <f t="array" ref="L931">IF($A931="","",IFERROR((SUMPRODUCT((TRIM(tblDados[Mandante])=$A931)*tblDados[Primeira_Ocorrencia]*((tblDados[GM_M]+tblDados[GS_M])&gt;1.5))+SUMPRODUCT((TRIM(tblDados[Visitante])=$A931)*tblDados[Primeira_Ocorrencia]*((tblDados[GM_V]+tblDados[GS_V])&gt;1.5)))/G931,0))</f>
        <v/>
      </c>
      <c r="M931" s="16" t="str" cm="1">
        <f t="array" ref="M931">IF($A931="","",IFERROR((SUMPRODUCT((TRIM(tblDados[Mandante])=$A931)*tblDados[Primeira_Ocorrencia]*((tblDados[GM_M]+tblDados[GS_M])&gt;2.5))+SUMPRODUCT((TRIM(tblDados[Visitante])=$A931)*tblDados[Primeira_Ocorrencia]*((tblDados[GM_V]+tblDados[GS_V])&gt;2.5)))/G931,0))</f>
        <v/>
      </c>
      <c r="N931" s="16" t="str" cm="1">
        <f t="array" ref="N931">IF($A931="","",IFERROR((SUMPRODUCT((TRIM(tblDados[Mandante])=$A931)*tblDados[Primeira_Ocorrencia]*((tblDados[GM_M]+tblDados[GS_M])&gt;3.5))+SUMPRODUCT((TRIM(tblDados[Visitante])=$A931)*tblDados[Primeira_Ocorrencia]*((tblDados[GM_V]+tblDados[GS_V])&gt;3.5)))/G931,0))</f>
        <v/>
      </c>
      <c r="O931" s="16" t="str" cm="1">
        <f t="array" ref="O931">IF($A931="","",IFERROR((SUMPRODUCT((TRIM(tblDados[Mandante])=$A931)*tblDados[Primeira_Ocorrencia]*(tblDados[GM_M]&gt;0)*(tblDados[GS_M]&gt;0))+SUMPRODUCT((TRIM(tblDados[Visitante])=$A931)*tblDados[Primeira_Ocorrencia]*(tblDados[GM_V]&gt;0)*(tblDados[GS_V]&gt;0)))/G931,0))</f>
        <v/>
      </c>
      <c r="P931" s="14" t="str" cm="1">
        <f t="array" ref="P931">IF($A931="","",IFERROR((SUMPRODUCT((TRIM(tblDados[Mandante])=$A931)*tblDados[Primeira_Ocorrencia]*tblDados[GM_M]^2)+SUMPRODUCT((TRIM(tblDados[Visitante])=$A931)*tblDados[Primeira_Ocorrencia]*tblDados[GM_V]^2))/G931-H931^2,0))</f>
        <v/>
      </c>
      <c r="Q931" s="14" t="str">
        <f t="shared" si="239"/>
        <v/>
      </c>
      <c r="R931" s="1" t="str">
        <f t="shared" si="240"/>
        <v/>
      </c>
      <c r="S931" s="14" t="str" cm="1">
        <f t="array" ref="S931">IF($A931="","",SUMPRODUCT((TRIM(tblDados[Mandante])=$A931)*tblDados[Primeira_Ocorrencia]*tblDados[GM_M]))</f>
        <v/>
      </c>
      <c r="T931" s="14" t="str" cm="1">
        <f t="array" ref="T931">IF($A931="","",SUMPRODUCT((TRIM(tblDados[Visitante])=$A931)*tblDados[Primeira_Ocorrencia]*tblDados[GM_V]))</f>
        <v/>
      </c>
      <c r="U931" s="14" t="str">
        <f t="shared" si="241"/>
        <v/>
      </c>
      <c r="V931" s="14" t="str">
        <f t="shared" si="230"/>
        <v/>
      </c>
      <c r="W931" s="14" t="str" cm="1">
        <f t="array" ref="W931">IF($A931="","",SUMPRODUCT((TRIM(tblDados[Mandante])=$A931)*tblDados[Primeira_Ocorrencia]*tblDados[GS_M]))</f>
        <v/>
      </c>
      <c r="X931" s="14" t="str" cm="1">
        <f t="array" ref="X931">IF($A931="","",SUMPRODUCT((TRIM(tblDados[Visitante])=$A931)*tblDados[Primeira_Ocorrencia]*tblDados[GS_V]))</f>
        <v/>
      </c>
      <c r="Y931" s="14" t="str">
        <f t="shared" si="242"/>
        <v/>
      </c>
      <c r="Z931" s="14" t="str">
        <f t="shared" si="231"/>
        <v/>
      </c>
      <c r="AA931" s="14" t="str">
        <f t="shared" si="232"/>
        <v/>
      </c>
      <c r="AB931" s="14" t="str">
        <f t="shared" si="233"/>
        <v/>
      </c>
      <c r="AC931" s="14" t="str">
        <f t="shared" si="234"/>
        <v/>
      </c>
      <c r="AD931" s="14" t="str">
        <f t="shared" si="235"/>
        <v/>
      </c>
    </row>
    <row r="932" spans="2:30" x14ac:dyDescent="0.3">
      <c r="B932" s="13" t="str" cm="1">
        <f t="array" ref="B932">IF($A932="","",_xlfn.LET(_xlpm.p,IFERROR(INDEX(tblDados[País],MATCH($A932,TRIM(tblDados[Mandante]),0)),INDEX(tblDados[País],MATCH($A932,TRIM(tblDados[Visitante]),0))),_xlpm.l,IFERROR(INDEX(tblDados[Liga],MATCH($A932,TRIM(tblDados[Mandante]),0)),INDEX(tblDados[Liga],MATCH($A932,TRIM(tblDados[Visitante]),0))),_xlpm.p&amp;" - "&amp;_xlpm.l))</f>
        <v/>
      </c>
      <c r="C932" s="14" t="str">
        <f t="shared" si="236"/>
        <v/>
      </c>
      <c r="D932" s="14" t="str">
        <f t="shared" si="237"/>
        <v/>
      </c>
      <c r="E932" s="15" t="str" cm="1">
        <f t="array" ref="E932">IF($A932="","",SUMPRODUCT((TRIM(tblDados[Mandante])=$A932)*tblDados[Primeira_Ocorrencia]))</f>
        <v/>
      </c>
      <c r="F932" s="15" t="str" cm="1">
        <f t="array" ref="F932">IF($A932="","",SUMPRODUCT((TRIM(tblDados[Visitante])=$A932)*tblDados[Primeira_Ocorrencia]))</f>
        <v/>
      </c>
      <c r="G932" s="15" t="str" cm="1">
        <f t="array" ref="G932">IF($A932="","",SUMPRODUCT((TRIM(tblDados[Mandante])=$A932)*tblDados[Primeira_Ocorrencia])+SUMPRODUCT((TRIM(tblDados[Visitante])=$A932)*tblDados[Primeira_Ocorrencia]))</f>
        <v/>
      </c>
      <c r="H932" s="14" t="str">
        <f t="shared" si="238"/>
        <v/>
      </c>
      <c r="I932" s="14" t="str" cm="1">
        <f t="array" ref="I932">IF($A932="","",_xlfn.LET(_xlpm.p,IFERROR(INDEX(tblDados[País],MATCH($A932,TRIM(tblDados[Mandante]),0)),INDEX(tblDados[País],MATCH($A932,TRIM(tblDados[Visitante]),0))),_xlpm.l,IFERROR(INDEX(tblDados[Liga],MATCH($A932,TRIM(tblDados[Mandante]),0)),INDEX(tblDados[Liga],MATCH($A932,TRIM(tblDados[Visitante]),0))),IFERROR(SUMIFS(Ligas!$D$2:$D$39,Ligas!$H$2:$H$39,_xlpm.p,Ligas!$I$2:$I$39,_xlpm.l),0)))</f>
        <v/>
      </c>
      <c r="J932" s="16" t="str" cm="1">
        <f t="array" ref="J932">IF($A932="","",IFERROR((SUMPRODUCT((TRIM(tblDados[Mandante])=$A932)*tblDados[Primeira_Ocorrencia]*(tblDados[GM_M]=0))+SUMPRODUCT((TRIM(tblDados[Visitante])=$A932)*tblDados[Primeira_Ocorrencia]*(tblDados[GM_V]=0)))/G932,0))</f>
        <v/>
      </c>
      <c r="K932" s="16" t="str" cm="1">
        <f t="array" ref="K932">IF($A932="","",IFERROR((SUMPRODUCT((TRIM(tblDados[Mandante])=$A932)*tblDados[Primeira_Ocorrencia]*((tblDados[GM_M]+tblDados[GS_M])&gt;0.5))+SUMPRODUCT((TRIM(tblDados[Visitante])=$A932)*tblDados[Primeira_Ocorrencia]*((tblDados[GM_V]+tblDados[GS_V])&gt;0.5)))/G932,0))</f>
        <v/>
      </c>
      <c r="L932" s="16" t="str" cm="1">
        <f t="array" ref="L932">IF($A932="","",IFERROR((SUMPRODUCT((TRIM(tblDados[Mandante])=$A932)*tblDados[Primeira_Ocorrencia]*((tblDados[GM_M]+tblDados[GS_M])&gt;1.5))+SUMPRODUCT((TRIM(tblDados[Visitante])=$A932)*tblDados[Primeira_Ocorrencia]*((tblDados[GM_V]+tblDados[GS_V])&gt;1.5)))/G932,0))</f>
        <v/>
      </c>
      <c r="M932" s="16" t="str" cm="1">
        <f t="array" ref="M932">IF($A932="","",IFERROR((SUMPRODUCT((TRIM(tblDados[Mandante])=$A932)*tblDados[Primeira_Ocorrencia]*((tblDados[GM_M]+tblDados[GS_M])&gt;2.5))+SUMPRODUCT((TRIM(tblDados[Visitante])=$A932)*tblDados[Primeira_Ocorrencia]*((tblDados[GM_V]+tblDados[GS_V])&gt;2.5)))/G932,0))</f>
        <v/>
      </c>
      <c r="N932" s="16" t="str" cm="1">
        <f t="array" ref="N932">IF($A932="","",IFERROR((SUMPRODUCT((TRIM(tblDados[Mandante])=$A932)*tblDados[Primeira_Ocorrencia]*((tblDados[GM_M]+tblDados[GS_M])&gt;3.5))+SUMPRODUCT((TRIM(tblDados[Visitante])=$A932)*tblDados[Primeira_Ocorrencia]*((tblDados[GM_V]+tblDados[GS_V])&gt;3.5)))/G932,0))</f>
        <v/>
      </c>
      <c r="O932" s="16" t="str" cm="1">
        <f t="array" ref="O932">IF($A932="","",IFERROR((SUMPRODUCT((TRIM(tblDados[Mandante])=$A932)*tblDados[Primeira_Ocorrencia]*(tblDados[GM_M]&gt;0)*(tblDados[GS_M]&gt;0))+SUMPRODUCT((TRIM(tblDados[Visitante])=$A932)*tblDados[Primeira_Ocorrencia]*(tblDados[GM_V]&gt;0)*(tblDados[GS_V]&gt;0)))/G932,0))</f>
        <v/>
      </c>
      <c r="P932" s="14" t="str" cm="1">
        <f t="array" ref="P932">IF($A932="","",IFERROR((SUMPRODUCT((TRIM(tblDados[Mandante])=$A932)*tblDados[Primeira_Ocorrencia]*tblDados[GM_M]^2)+SUMPRODUCT((TRIM(tblDados[Visitante])=$A932)*tblDados[Primeira_Ocorrencia]*tblDados[GM_V]^2))/G932-H932^2,0))</f>
        <v/>
      </c>
      <c r="Q932" s="14" t="str">
        <f t="shared" si="239"/>
        <v/>
      </c>
      <c r="R932" s="1" t="str">
        <f t="shared" si="240"/>
        <v/>
      </c>
      <c r="S932" s="14" t="str" cm="1">
        <f t="array" ref="S932">IF($A932="","",SUMPRODUCT((TRIM(tblDados[Mandante])=$A932)*tblDados[Primeira_Ocorrencia]*tblDados[GM_M]))</f>
        <v/>
      </c>
      <c r="T932" s="14" t="str" cm="1">
        <f t="array" ref="T932">IF($A932="","",SUMPRODUCT((TRIM(tblDados[Visitante])=$A932)*tblDados[Primeira_Ocorrencia]*tblDados[GM_V]))</f>
        <v/>
      </c>
      <c r="U932" s="14" t="str">
        <f t="shared" si="241"/>
        <v/>
      </c>
      <c r="V932" s="14" t="str">
        <f t="shared" si="230"/>
        <v/>
      </c>
      <c r="W932" s="14" t="str" cm="1">
        <f t="array" ref="W932">IF($A932="","",SUMPRODUCT((TRIM(tblDados[Mandante])=$A932)*tblDados[Primeira_Ocorrencia]*tblDados[GS_M]))</f>
        <v/>
      </c>
      <c r="X932" s="14" t="str" cm="1">
        <f t="array" ref="X932">IF($A932="","",SUMPRODUCT((TRIM(tblDados[Visitante])=$A932)*tblDados[Primeira_Ocorrencia]*tblDados[GS_V]))</f>
        <v/>
      </c>
      <c r="Y932" s="14" t="str">
        <f t="shared" si="242"/>
        <v/>
      </c>
      <c r="Z932" s="14" t="str">
        <f t="shared" si="231"/>
        <v/>
      </c>
      <c r="AA932" s="14" t="str">
        <f t="shared" si="232"/>
        <v/>
      </c>
      <c r="AB932" s="14" t="str">
        <f t="shared" si="233"/>
        <v/>
      </c>
      <c r="AC932" s="14" t="str">
        <f t="shared" si="234"/>
        <v/>
      </c>
      <c r="AD932" s="14" t="str">
        <f t="shared" si="235"/>
        <v/>
      </c>
    </row>
    <row r="933" spans="2:30" x14ac:dyDescent="0.3">
      <c r="B933" s="13" t="str" cm="1">
        <f t="array" ref="B933">IF($A933="","",_xlfn.LET(_xlpm.p,IFERROR(INDEX(tblDados[País],MATCH($A933,TRIM(tblDados[Mandante]),0)),INDEX(tblDados[País],MATCH($A933,TRIM(tblDados[Visitante]),0))),_xlpm.l,IFERROR(INDEX(tblDados[Liga],MATCH($A933,TRIM(tblDados[Mandante]),0)),INDEX(tblDados[Liga],MATCH($A933,TRIM(tblDados[Visitante]),0))),_xlpm.p&amp;" - "&amp;_xlpm.l))</f>
        <v/>
      </c>
      <c r="C933" s="14" t="str">
        <f t="shared" si="236"/>
        <v/>
      </c>
      <c r="D933" s="14" t="str">
        <f t="shared" si="237"/>
        <v/>
      </c>
      <c r="E933" s="15" t="str" cm="1">
        <f t="array" ref="E933">IF($A933="","",SUMPRODUCT((TRIM(tblDados[Mandante])=$A933)*tblDados[Primeira_Ocorrencia]))</f>
        <v/>
      </c>
      <c r="F933" s="15" t="str" cm="1">
        <f t="array" ref="F933">IF($A933="","",SUMPRODUCT((TRIM(tblDados[Visitante])=$A933)*tblDados[Primeira_Ocorrencia]))</f>
        <v/>
      </c>
      <c r="G933" s="15" t="str" cm="1">
        <f t="array" ref="G933">IF($A933="","",SUMPRODUCT((TRIM(tblDados[Mandante])=$A933)*tblDados[Primeira_Ocorrencia])+SUMPRODUCT((TRIM(tblDados[Visitante])=$A933)*tblDados[Primeira_Ocorrencia]))</f>
        <v/>
      </c>
      <c r="H933" s="14" t="str">
        <f t="shared" si="238"/>
        <v/>
      </c>
      <c r="I933" s="14" t="str" cm="1">
        <f t="array" ref="I933">IF($A933="","",_xlfn.LET(_xlpm.p,IFERROR(INDEX(tblDados[País],MATCH($A933,TRIM(tblDados[Mandante]),0)),INDEX(tblDados[País],MATCH($A933,TRIM(tblDados[Visitante]),0))),_xlpm.l,IFERROR(INDEX(tblDados[Liga],MATCH($A933,TRIM(tblDados[Mandante]),0)),INDEX(tblDados[Liga],MATCH($A933,TRIM(tblDados[Visitante]),0))),IFERROR(SUMIFS(Ligas!$D$2:$D$39,Ligas!$H$2:$H$39,_xlpm.p,Ligas!$I$2:$I$39,_xlpm.l),0)))</f>
        <v/>
      </c>
      <c r="J933" s="16" t="str" cm="1">
        <f t="array" ref="J933">IF($A933="","",IFERROR((SUMPRODUCT((TRIM(tblDados[Mandante])=$A933)*tblDados[Primeira_Ocorrencia]*(tblDados[GM_M]=0))+SUMPRODUCT((TRIM(tblDados[Visitante])=$A933)*tblDados[Primeira_Ocorrencia]*(tblDados[GM_V]=0)))/G933,0))</f>
        <v/>
      </c>
      <c r="K933" s="16" t="str" cm="1">
        <f t="array" ref="K933">IF($A933="","",IFERROR((SUMPRODUCT((TRIM(tblDados[Mandante])=$A933)*tblDados[Primeira_Ocorrencia]*((tblDados[GM_M]+tblDados[GS_M])&gt;0.5))+SUMPRODUCT((TRIM(tblDados[Visitante])=$A933)*tblDados[Primeira_Ocorrencia]*((tblDados[GM_V]+tblDados[GS_V])&gt;0.5)))/G933,0))</f>
        <v/>
      </c>
      <c r="L933" s="16" t="str" cm="1">
        <f t="array" ref="L933">IF($A933="","",IFERROR((SUMPRODUCT((TRIM(tblDados[Mandante])=$A933)*tblDados[Primeira_Ocorrencia]*((tblDados[GM_M]+tblDados[GS_M])&gt;1.5))+SUMPRODUCT((TRIM(tblDados[Visitante])=$A933)*tblDados[Primeira_Ocorrencia]*((tblDados[GM_V]+tblDados[GS_V])&gt;1.5)))/G933,0))</f>
        <v/>
      </c>
      <c r="M933" s="16" t="str" cm="1">
        <f t="array" ref="M933">IF($A933="","",IFERROR((SUMPRODUCT((TRIM(tblDados[Mandante])=$A933)*tblDados[Primeira_Ocorrencia]*((tblDados[GM_M]+tblDados[GS_M])&gt;2.5))+SUMPRODUCT((TRIM(tblDados[Visitante])=$A933)*tblDados[Primeira_Ocorrencia]*((tblDados[GM_V]+tblDados[GS_V])&gt;2.5)))/G933,0))</f>
        <v/>
      </c>
      <c r="N933" s="16" t="str" cm="1">
        <f t="array" ref="N933">IF($A933="","",IFERROR((SUMPRODUCT((TRIM(tblDados[Mandante])=$A933)*tblDados[Primeira_Ocorrencia]*((tblDados[GM_M]+tblDados[GS_M])&gt;3.5))+SUMPRODUCT((TRIM(tblDados[Visitante])=$A933)*tblDados[Primeira_Ocorrencia]*((tblDados[GM_V]+tblDados[GS_V])&gt;3.5)))/G933,0))</f>
        <v/>
      </c>
      <c r="O933" s="16" t="str" cm="1">
        <f t="array" ref="O933">IF($A933="","",IFERROR((SUMPRODUCT((TRIM(tblDados[Mandante])=$A933)*tblDados[Primeira_Ocorrencia]*(tblDados[GM_M]&gt;0)*(tblDados[GS_M]&gt;0))+SUMPRODUCT((TRIM(tblDados[Visitante])=$A933)*tblDados[Primeira_Ocorrencia]*(tblDados[GM_V]&gt;0)*(tblDados[GS_V]&gt;0)))/G933,0))</f>
        <v/>
      </c>
      <c r="P933" s="14" t="str" cm="1">
        <f t="array" ref="P933">IF($A933="","",IFERROR((SUMPRODUCT((TRIM(tblDados[Mandante])=$A933)*tblDados[Primeira_Ocorrencia]*tblDados[GM_M]^2)+SUMPRODUCT((TRIM(tblDados[Visitante])=$A933)*tblDados[Primeira_Ocorrencia]*tblDados[GM_V]^2))/G933-H933^2,0))</f>
        <v/>
      </c>
      <c r="Q933" s="14" t="str">
        <f t="shared" si="239"/>
        <v/>
      </c>
      <c r="R933" s="1" t="str">
        <f t="shared" si="240"/>
        <v/>
      </c>
      <c r="S933" s="14" t="str" cm="1">
        <f t="array" ref="S933">IF($A933="","",SUMPRODUCT((TRIM(tblDados[Mandante])=$A933)*tblDados[Primeira_Ocorrencia]*tblDados[GM_M]))</f>
        <v/>
      </c>
      <c r="T933" s="14" t="str" cm="1">
        <f t="array" ref="T933">IF($A933="","",SUMPRODUCT((TRIM(tblDados[Visitante])=$A933)*tblDados[Primeira_Ocorrencia]*tblDados[GM_V]))</f>
        <v/>
      </c>
      <c r="U933" s="14" t="str">
        <f t="shared" si="241"/>
        <v/>
      </c>
      <c r="V933" s="14" t="str">
        <f t="shared" si="230"/>
        <v/>
      </c>
      <c r="W933" s="14" t="str" cm="1">
        <f t="array" ref="W933">IF($A933="","",SUMPRODUCT((TRIM(tblDados[Mandante])=$A933)*tblDados[Primeira_Ocorrencia]*tblDados[GS_M]))</f>
        <v/>
      </c>
      <c r="X933" s="14" t="str" cm="1">
        <f t="array" ref="X933">IF($A933="","",SUMPRODUCT((TRIM(tblDados[Visitante])=$A933)*tblDados[Primeira_Ocorrencia]*tblDados[GS_V]))</f>
        <v/>
      </c>
      <c r="Y933" s="14" t="str">
        <f t="shared" si="242"/>
        <v/>
      </c>
      <c r="Z933" s="14" t="str">
        <f t="shared" si="231"/>
        <v/>
      </c>
      <c r="AA933" s="14" t="str">
        <f t="shared" si="232"/>
        <v/>
      </c>
      <c r="AB933" s="14" t="str">
        <f t="shared" si="233"/>
        <v/>
      </c>
      <c r="AC933" s="14" t="str">
        <f t="shared" si="234"/>
        <v/>
      </c>
      <c r="AD933" s="14" t="str">
        <f t="shared" si="235"/>
        <v/>
      </c>
    </row>
    <row r="934" spans="2:30" x14ac:dyDescent="0.3">
      <c r="B934" s="13" t="str" cm="1">
        <f t="array" ref="B934">IF($A934="","",_xlfn.LET(_xlpm.p,IFERROR(INDEX(tblDados[País],MATCH($A934,TRIM(tblDados[Mandante]),0)),INDEX(tblDados[País],MATCH($A934,TRIM(tblDados[Visitante]),0))),_xlpm.l,IFERROR(INDEX(tblDados[Liga],MATCH($A934,TRIM(tblDados[Mandante]),0)),INDEX(tblDados[Liga],MATCH($A934,TRIM(tblDados[Visitante]),0))),_xlpm.p&amp;" - "&amp;_xlpm.l))</f>
        <v/>
      </c>
      <c r="C934" s="14" t="str">
        <f t="shared" si="236"/>
        <v/>
      </c>
      <c r="D934" s="14" t="str">
        <f t="shared" si="237"/>
        <v/>
      </c>
      <c r="E934" s="15" t="str" cm="1">
        <f t="array" ref="E934">IF($A934="","",SUMPRODUCT((TRIM(tblDados[Mandante])=$A934)*tblDados[Primeira_Ocorrencia]))</f>
        <v/>
      </c>
      <c r="F934" s="15" t="str" cm="1">
        <f t="array" ref="F934">IF($A934="","",SUMPRODUCT((TRIM(tblDados[Visitante])=$A934)*tblDados[Primeira_Ocorrencia]))</f>
        <v/>
      </c>
      <c r="G934" s="15" t="str" cm="1">
        <f t="array" ref="G934">IF($A934="","",SUMPRODUCT((TRIM(tblDados[Mandante])=$A934)*tblDados[Primeira_Ocorrencia])+SUMPRODUCT((TRIM(tblDados[Visitante])=$A934)*tblDados[Primeira_Ocorrencia]))</f>
        <v/>
      </c>
      <c r="H934" s="14" t="str">
        <f t="shared" si="238"/>
        <v/>
      </c>
      <c r="I934" s="14" t="str" cm="1">
        <f t="array" ref="I934">IF($A934="","",_xlfn.LET(_xlpm.p,IFERROR(INDEX(tblDados[País],MATCH($A934,TRIM(tblDados[Mandante]),0)),INDEX(tblDados[País],MATCH($A934,TRIM(tblDados[Visitante]),0))),_xlpm.l,IFERROR(INDEX(tblDados[Liga],MATCH($A934,TRIM(tblDados[Mandante]),0)),INDEX(tblDados[Liga],MATCH($A934,TRIM(tblDados[Visitante]),0))),IFERROR(SUMIFS(Ligas!$D$2:$D$39,Ligas!$H$2:$H$39,_xlpm.p,Ligas!$I$2:$I$39,_xlpm.l),0)))</f>
        <v/>
      </c>
      <c r="J934" s="16" t="str" cm="1">
        <f t="array" ref="J934">IF($A934="","",IFERROR((SUMPRODUCT((TRIM(tblDados[Mandante])=$A934)*tblDados[Primeira_Ocorrencia]*(tblDados[GM_M]=0))+SUMPRODUCT((TRIM(tblDados[Visitante])=$A934)*tblDados[Primeira_Ocorrencia]*(tblDados[GM_V]=0)))/G934,0))</f>
        <v/>
      </c>
      <c r="K934" s="16" t="str" cm="1">
        <f t="array" ref="K934">IF($A934="","",IFERROR((SUMPRODUCT((TRIM(tblDados[Mandante])=$A934)*tblDados[Primeira_Ocorrencia]*((tblDados[GM_M]+tblDados[GS_M])&gt;0.5))+SUMPRODUCT((TRIM(tblDados[Visitante])=$A934)*tblDados[Primeira_Ocorrencia]*((tblDados[GM_V]+tblDados[GS_V])&gt;0.5)))/G934,0))</f>
        <v/>
      </c>
      <c r="L934" s="16" t="str" cm="1">
        <f t="array" ref="L934">IF($A934="","",IFERROR((SUMPRODUCT((TRIM(tblDados[Mandante])=$A934)*tblDados[Primeira_Ocorrencia]*((tblDados[GM_M]+tblDados[GS_M])&gt;1.5))+SUMPRODUCT((TRIM(tblDados[Visitante])=$A934)*tblDados[Primeira_Ocorrencia]*((tblDados[GM_V]+tblDados[GS_V])&gt;1.5)))/G934,0))</f>
        <v/>
      </c>
      <c r="M934" s="16" t="str" cm="1">
        <f t="array" ref="M934">IF($A934="","",IFERROR((SUMPRODUCT((TRIM(tblDados[Mandante])=$A934)*tblDados[Primeira_Ocorrencia]*((tblDados[GM_M]+tblDados[GS_M])&gt;2.5))+SUMPRODUCT((TRIM(tblDados[Visitante])=$A934)*tblDados[Primeira_Ocorrencia]*((tblDados[GM_V]+tblDados[GS_V])&gt;2.5)))/G934,0))</f>
        <v/>
      </c>
      <c r="N934" s="16" t="str" cm="1">
        <f t="array" ref="N934">IF($A934="","",IFERROR((SUMPRODUCT((TRIM(tblDados[Mandante])=$A934)*tblDados[Primeira_Ocorrencia]*((tblDados[GM_M]+tblDados[GS_M])&gt;3.5))+SUMPRODUCT((TRIM(tblDados[Visitante])=$A934)*tblDados[Primeira_Ocorrencia]*((tblDados[GM_V]+tblDados[GS_V])&gt;3.5)))/G934,0))</f>
        <v/>
      </c>
      <c r="O934" s="16" t="str" cm="1">
        <f t="array" ref="O934">IF($A934="","",IFERROR((SUMPRODUCT((TRIM(tblDados[Mandante])=$A934)*tblDados[Primeira_Ocorrencia]*(tblDados[GM_M]&gt;0)*(tblDados[GS_M]&gt;0))+SUMPRODUCT((TRIM(tblDados[Visitante])=$A934)*tblDados[Primeira_Ocorrencia]*(tblDados[GM_V]&gt;0)*(tblDados[GS_V]&gt;0)))/G934,0))</f>
        <v/>
      </c>
      <c r="P934" s="14" t="str" cm="1">
        <f t="array" ref="P934">IF($A934="","",IFERROR((SUMPRODUCT((TRIM(tblDados[Mandante])=$A934)*tblDados[Primeira_Ocorrencia]*tblDados[GM_M]^2)+SUMPRODUCT((TRIM(tblDados[Visitante])=$A934)*tblDados[Primeira_Ocorrencia]*tblDados[GM_V]^2))/G934-H934^2,0))</f>
        <v/>
      </c>
      <c r="Q934" s="14" t="str">
        <f t="shared" si="239"/>
        <v/>
      </c>
      <c r="R934" s="1" t="str">
        <f t="shared" si="240"/>
        <v/>
      </c>
      <c r="S934" s="14" t="str" cm="1">
        <f t="array" ref="S934">IF($A934="","",SUMPRODUCT((TRIM(tblDados[Mandante])=$A934)*tblDados[Primeira_Ocorrencia]*tblDados[GM_M]))</f>
        <v/>
      </c>
      <c r="T934" s="14" t="str" cm="1">
        <f t="array" ref="T934">IF($A934="","",SUMPRODUCT((TRIM(tblDados[Visitante])=$A934)*tblDados[Primeira_Ocorrencia]*tblDados[GM_V]))</f>
        <v/>
      </c>
      <c r="U934" s="14" t="str">
        <f t="shared" si="241"/>
        <v/>
      </c>
      <c r="V934" s="14" t="str">
        <f t="shared" si="230"/>
        <v/>
      </c>
      <c r="W934" s="14" t="str" cm="1">
        <f t="array" ref="W934">IF($A934="","",SUMPRODUCT((TRIM(tblDados[Mandante])=$A934)*tblDados[Primeira_Ocorrencia]*tblDados[GS_M]))</f>
        <v/>
      </c>
      <c r="X934" s="14" t="str" cm="1">
        <f t="array" ref="X934">IF($A934="","",SUMPRODUCT((TRIM(tblDados[Visitante])=$A934)*tblDados[Primeira_Ocorrencia]*tblDados[GS_V]))</f>
        <v/>
      </c>
      <c r="Y934" s="14" t="str">
        <f t="shared" si="242"/>
        <v/>
      </c>
      <c r="Z934" s="14" t="str">
        <f t="shared" si="231"/>
        <v/>
      </c>
      <c r="AA934" s="14" t="str">
        <f t="shared" si="232"/>
        <v/>
      </c>
      <c r="AB934" s="14" t="str">
        <f t="shared" si="233"/>
        <v/>
      </c>
      <c r="AC934" s="14" t="str">
        <f t="shared" si="234"/>
        <v/>
      </c>
      <c r="AD934" s="14" t="str">
        <f t="shared" si="235"/>
        <v/>
      </c>
    </row>
    <row r="935" spans="2:30" x14ac:dyDescent="0.3">
      <c r="B935" s="13" t="str" cm="1">
        <f t="array" ref="B935">IF($A935="","",_xlfn.LET(_xlpm.p,IFERROR(INDEX(tblDados[País],MATCH($A935,TRIM(tblDados[Mandante]),0)),INDEX(tblDados[País],MATCH($A935,TRIM(tblDados[Visitante]),0))),_xlpm.l,IFERROR(INDEX(tblDados[Liga],MATCH($A935,TRIM(tblDados[Mandante]),0)),INDEX(tblDados[Liga],MATCH($A935,TRIM(tblDados[Visitante]),0))),_xlpm.p&amp;" - "&amp;_xlpm.l))</f>
        <v/>
      </c>
      <c r="C935" s="14" t="str">
        <f t="shared" si="236"/>
        <v/>
      </c>
      <c r="D935" s="14" t="str">
        <f t="shared" si="237"/>
        <v/>
      </c>
      <c r="E935" s="15" t="str" cm="1">
        <f t="array" ref="E935">IF($A935="","",SUMPRODUCT((TRIM(tblDados[Mandante])=$A935)*tblDados[Primeira_Ocorrencia]))</f>
        <v/>
      </c>
      <c r="F935" s="15" t="str" cm="1">
        <f t="array" ref="F935">IF($A935="","",SUMPRODUCT((TRIM(tblDados[Visitante])=$A935)*tblDados[Primeira_Ocorrencia]))</f>
        <v/>
      </c>
      <c r="G935" s="15" t="str" cm="1">
        <f t="array" ref="G935">IF($A935="","",SUMPRODUCT((TRIM(tblDados[Mandante])=$A935)*tblDados[Primeira_Ocorrencia])+SUMPRODUCT((TRIM(tblDados[Visitante])=$A935)*tblDados[Primeira_Ocorrencia]))</f>
        <v/>
      </c>
      <c r="H935" s="14" t="str">
        <f t="shared" si="238"/>
        <v/>
      </c>
      <c r="I935" s="14" t="str" cm="1">
        <f t="array" ref="I935">IF($A935="","",_xlfn.LET(_xlpm.p,IFERROR(INDEX(tblDados[País],MATCH($A935,TRIM(tblDados[Mandante]),0)),INDEX(tblDados[País],MATCH($A935,TRIM(tblDados[Visitante]),0))),_xlpm.l,IFERROR(INDEX(tblDados[Liga],MATCH($A935,TRIM(tblDados[Mandante]),0)),INDEX(tblDados[Liga],MATCH($A935,TRIM(tblDados[Visitante]),0))),IFERROR(SUMIFS(Ligas!$D$2:$D$39,Ligas!$H$2:$H$39,_xlpm.p,Ligas!$I$2:$I$39,_xlpm.l),0)))</f>
        <v/>
      </c>
      <c r="J935" s="16" t="str" cm="1">
        <f t="array" ref="J935">IF($A935="","",IFERROR((SUMPRODUCT((TRIM(tblDados[Mandante])=$A935)*tblDados[Primeira_Ocorrencia]*(tblDados[GM_M]=0))+SUMPRODUCT((TRIM(tblDados[Visitante])=$A935)*tblDados[Primeira_Ocorrencia]*(tblDados[GM_V]=0)))/G935,0))</f>
        <v/>
      </c>
      <c r="K935" s="16" t="str" cm="1">
        <f t="array" ref="K935">IF($A935="","",IFERROR((SUMPRODUCT((TRIM(tblDados[Mandante])=$A935)*tblDados[Primeira_Ocorrencia]*((tblDados[GM_M]+tblDados[GS_M])&gt;0.5))+SUMPRODUCT((TRIM(tblDados[Visitante])=$A935)*tblDados[Primeira_Ocorrencia]*((tblDados[GM_V]+tblDados[GS_V])&gt;0.5)))/G935,0))</f>
        <v/>
      </c>
      <c r="L935" s="16" t="str" cm="1">
        <f t="array" ref="L935">IF($A935="","",IFERROR((SUMPRODUCT((TRIM(tblDados[Mandante])=$A935)*tblDados[Primeira_Ocorrencia]*((tblDados[GM_M]+tblDados[GS_M])&gt;1.5))+SUMPRODUCT((TRIM(tblDados[Visitante])=$A935)*tblDados[Primeira_Ocorrencia]*((tblDados[GM_V]+tblDados[GS_V])&gt;1.5)))/G935,0))</f>
        <v/>
      </c>
      <c r="M935" s="16" t="str" cm="1">
        <f t="array" ref="M935">IF($A935="","",IFERROR((SUMPRODUCT((TRIM(tblDados[Mandante])=$A935)*tblDados[Primeira_Ocorrencia]*((tblDados[GM_M]+tblDados[GS_M])&gt;2.5))+SUMPRODUCT((TRIM(tblDados[Visitante])=$A935)*tblDados[Primeira_Ocorrencia]*((tblDados[GM_V]+tblDados[GS_V])&gt;2.5)))/G935,0))</f>
        <v/>
      </c>
      <c r="N935" s="16" t="str" cm="1">
        <f t="array" ref="N935">IF($A935="","",IFERROR((SUMPRODUCT((TRIM(tblDados[Mandante])=$A935)*tblDados[Primeira_Ocorrencia]*((tblDados[GM_M]+tblDados[GS_M])&gt;3.5))+SUMPRODUCT((TRIM(tblDados[Visitante])=$A935)*tblDados[Primeira_Ocorrencia]*((tblDados[GM_V]+tblDados[GS_V])&gt;3.5)))/G935,0))</f>
        <v/>
      </c>
      <c r="O935" s="16" t="str" cm="1">
        <f t="array" ref="O935">IF($A935="","",IFERROR((SUMPRODUCT((TRIM(tblDados[Mandante])=$A935)*tblDados[Primeira_Ocorrencia]*(tblDados[GM_M]&gt;0)*(tblDados[GS_M]&gt;0))+SUMPRODUCT((TRIM(tblDados[Visitante])=$A935)*tblDados[Primeira_Ocorrencia]*(tblDados[GM_V]&gt;0)*(tblDados[GS_V]&gt;0)))/G935,0))</f>
        <v/>
      </c>
      <c r="P935" s="14" t="str" cm="1">
        <f t="array" ref="P935">IF($A935="","",IFERROR((SUMPRODUCT((TRIM(tblDados[Mandante])=$A935)*tblDados[Primeira_Ocorrencia]*tblDados[GM_M]^2)+SUMPRODUCT((TRIM(tblDados[Visitante])=$A935)*tblDados[Primeira_Ocorrencia]*tblDados[GM_V]^2))/G935-H935^2,0))</f>
        <v/>
      </c>
      <c r="Q935" s="14" t="str">
        <f t="shared" si="239"/>
        <v/>
      </c>
      <c r="R935" s="1" t="str">
        <f t="shared" si="240"/>
        <v/>
      </c>
      <c r="S935" s="14" t="str" cm="1">
        <f t="array" ref="S935">IF($A935="","",SUMPRODUCT((TRIM(tblDados[Mandante])=$A935)*tblDados[Primeira_Ocorrencia]*tblDados[GM_M]))</f>
        <v/>
      </c>
      <c r="T935" s="14" t="str" cm="1">
        <f t="array" ref="T935">IF($A935="","",SUMPRODUCT((TRIM(tblDados[Visitante])=$A935)*tblDados[Primeira_Ocorrencia]*tblDados[GM_V]))</f>
        <v/>
      </c>
      <c r="U935" s="14" t="str">
        <f t="shared" si="241"/>
        <v/>
      </c>
      <c r="V935" s="14" t="str">
        <f t="shared" si="230"/>
        <v/>
      </c>
      <c r="W935" s="14" t="str" cm="1">
        <f t="array" ref="W935">IF($A935="","",SUMPRODUCT((TRIM(tblDados[Mandante])=$A935)*tblDados[Primeira_Ocorrencia]*tblDados[GS_M]))</f>
        <v/>
      </c>
      <c r="X935" s="14" t="str" cm="1">
        <f t="array" ref="X935">IF($A935="","",SUMPRODUCT((TRIM(tblDados[Visitante])=$A935)*tblDados[Primeira_Ocorrencia]*tblDados[GS_V]))</f>
        <v/>
      </c>
      <c r="Y935" s="14" t="str">
        <f t="shared" si="242"/>
        <v/>
      </c>
      <c r="Z935" s="14" t="str">
        <f t="shared" si="231"/>
        <v/>
      </c>
      <c r="AA935" s="14" t="str">
        <f t="shared" si="232"/>
        <v/>
      </c>
      <c r="AB935" s="14" t="str">
        <f t="shared" si="233"/>
        <v/>
      </c>
      <c r="AC935" s="14" t="str">
        <f t="shared" si="234"/>
        <v/>
      </c>
      <c r="AD935" s="14" t="str">
        <f t="shared" si="235"/>
        <v/>
      </c>
    </row>
    <row r="936" spans="2:30" x14ac:dyDescent="0.3">
      <c r="B936" s="13" t="str" cm="1">
        <f t="array" ref="B936">IF($A936="","",_xlfn.LET(_xlpm.p,IFERROR(INDEX(tblDados[País],MATCH($A936,TRIM(tblDados[Mandante]),0)),INDEX(tblDados[País],MATCH($A936,TRIM(tblDados[Visitante]),0))),_xlpm.l,IFERROR(INDEX(tblDados[Liga],MATCH($A936,TRIM(tblDados[Mandante]),0)),INDEX(tblDados[Liga],MATCH($A936,TRIM(tblDados[Visitante]),0))),_xlpm.p&amp;" - "&amp;_xlpm.l))</f>
        <v/>
      </c>
      <c r="C936" s="14" t="str">
        <f t="shared" si="236"/>
        <v/>
      </c>
      <c r="D936" s="14" t="str">
        <f t="shared" si="237"/>
        <v/>
      </c>
      <c r="E936" s="15" t="str" cm="1">
        <f t="array" ref="E936">IF($A936="","",SUMPRODUCT((TRIM(tblDados[Mandante])=$A936)*tblDados[Primeira_Ocorrencia]))</f>
        <v/>
      </c>
      <c r="F936" s="15" t="str" cm="1">
        <f t="array" ref="F936">IF($A936="","",SUMPRODUCT((TRIM(tblDados[Visitante])=$A936)*tblDados[Primeira_Ocorrencia]))</f>
        <v/>
      </c>
      <c r="G936" s="15" t="str" cm="1">
        <f t="array" ref="G936">IF($A936="","",SUMPRODUCT((TRIM(tblDados[Mandante])=$A936)*tblDados[Primeira_Ocorrencia])+SUMPRODUCT((TRIM(tblDados[Visitante])=$A936)*tblDados[Primeira_Ocorrencia]))</f>
        <v/>
      </c>
      <c r="H936" s="14" t="str">
        <f t="shared" si="238"/>
        <v/>
      </c>
      <c r="I936" s="14" t="str" cm="1">
        <f t="array" ref="I936">IF($A936="","",_xlfn.LET(_xlpm.p,IFERROR(INDEX(tblDados[País],MATCH($A936,TRIM(tblDados[Mandante]),0)),INDEX(tblDados[País],MATCH($A936,TRIM(tblDados[Visitante]),0))),_xlpm.l,IFERROR(INDEX(tblDados[Liga],MATCH($A936,TRIM(tblDados[Mandante]),0)),INDEX(tblDados[Liga],MATCH($A936,TRIM(tblDados[Visitante]),0))),IFERROR(SUMIFS(Ligas!$D$2:$D$39,Ligas!$H$2:$H$39,_xlpm.p,Ligas!$I$2:$I$39,_xlpm.l),0)))</f>
        <v/>
      </c>
      <c r="J936" s="16" t="str" cm="1">
        <f t="array" ref="J936">IF($A936="","",IFERROR((SUMPRODUCT((TRIM(tblDados[Mandante])=$A936)*tblDados[Primeira_Ocorrencia]*(tblDados[GM_M]=0))+SUMPRODUCT((TRIM(tblDados[Visitante])=$A936)*tblDados[Primeira_Ocorrencia]*(tblDados[GM_V]=0)))/G936,0))</f>
        <v/>
      </c>
      <c r="K936" s="16" t="str" cm="1">
        <f t="array" ref="K936">IF($A936="","",IFERROR((SUMPRODUCT((TRIM(tblDados[Mandante])=$A936)*tblDados[Primeira_Ocorrencia]*((tblDados[GM_M]+tblDados[GS_M])&gt;0.5))+SUMPRODUCT((TRIM(tblDados[Visitante])=$A936)*tblDados[Primeira_Ocorrencia]*((tblDados[GM_V]+tblDados[GS_V])&gt;0.5)))/G936,0))</f>
        <v/>
      </c>
      <c r="L936" s="16" t="str" cm="1">
        <f t="array" ref="L936">IF($A936="","",IFERROR((SUMPRODUCT((TRIM(tblDados[Mandante])=$A936)*tblDados[Primeira_Ocorrencia]*((tblDados[GM_M]+tblDados[GS_M])&gt;1.5))+SUMPRODUCT((TRIM(tblDados[Visitante])=$A936)*tblDados[Primeira_Ocorrencia]*((tblDados[GM_V]+tblDados[GS_V])&gt;1.5)))/G936,0))</f>
        <v/>
      </c>
      <c r="M936" s="16" t="str" cm="1">
        <f t="array" ref="M936">IF($A936="","",IFERROR((SUMPRODUCT((TRIM(tblDados[Mandante])=$A936)*tblDados[Primeira_Ocorrencia]*((tblDados[GM_M]+tblDados[GS_M])&gt;2.5))+SUMPRODUCT((TRIM(tblDados[Visitante])=$A936)*tblDados[Primeira_Ocorrencia]*((tblDados[GM_V]+tblDados[GS_V])&gt;2.5)))/G936,0))</f>
        <v/>
      </c>
      <c r="N936" s="16" t="str" cm="1">
        <f t="array" ref="N936">IF($A936="","",IFERROR((SUMPRODUCT((TRIM(tblDados[Mandante])=$A936)*tblDados[Primeira_Ocorrencia]*((tblDados[GM_M]+tblDados[GS_M])&gt;3.5))+SUMPRODUCT((TRIM(tblDados[Visitante])=$A936)*tblDados[Primeira_Ocorrencia]*((tblDados[GM_V]+tblDados[GS_V])&gt;3.5)))/G936,0))</f>
        <v/>
      </c>
      <c r="O936" s="16" t="str" cm="1">
        <f t="array" ref="O936">IF($A936="","",IFERROR((SUMPRODUCT((TRIM(tblDados[Mandante])=$A936)*tblDados[Primeira_Ocorrencia]*(tblDados[GM_M]&gt;0)*(tblDados[GS_M]&gt;0))+SUMPRODUCT((TRIM(tblDados[Visitante])=$A936)*tblDados[Primeira_Ocorrencia]*(tblDados[GM_V]&gt;0)*(tblDados[GS_V]&gt;0)))/G936,0))</f>
        <v/>
      </c>
      <c r="P936" s="14" t="str" cm="1">
        <f t="array" ref="P936">IF($A936="","",IFERROR((SUMPRODUCT((TRIM(tblDados[Mandante])=$A936)*tblDados[Primeira_Ocorrencia]*tblDados[GM_M]^2)+SUMPRODUCT((TRIM(tblDados[Visitante])=$A936)*tblDados[Primeira_Ocorrencia]*tblDados[GM_V]^2))/G936-H936^2,0))</f>
        <v/>
      </c>
      <c r="Q936" s="14" t="str">
        <f t="shared" si="239"/>
        <v/>
      </c>
      <c r="R936" s="1" t="str">
        <f t="shared" si="240"/>
        <v/>
      </c>
      <c r="S936" s="14" t="str" cm="1">
        <f t="array" ref="S936">IF($A936="","",SUMPRODUCT((TRIM(tblDados[Mandante])=$A936)*tblDados[Primeira_Ocorrencia]*tblDados[GM_M]))</f>
        <v/>
      </c>
      <c r="T936" s="14" t="str" cm="1">
        <f t="array" ref="T936">IF($A936="","",SUMPRODUCT((TRIM(tblDados[Visitante])=$A936)*tblDados[Primeira_Ocorrencia]*tblDados[GM_V]))</f>
        <v/>
      </c>
      <c r="U936" s="14" t="str">
        <f t="shared" si="241"/>
        <v/>
      </c>
      <c r="V936" s="14" t="str">
        <f t="shared" si="230"/>
        <v/>
      </c>
      <c r="W936" s="14" t="str" cm="1">
        <f t="array" ref="W936">IF($A936="","",SUMPRODUCT((TRIM(tblDados[Mandante])=$A936)*tblDados[Primeira_Ocorrencia]*tblDados[GS_M]))</f>
        <v/>
      </c>
      <c r="X936" s="14" t="str" cm="1">
        <f t="array" ref="X936">IF($A936="","",SUMPRODUCT((TRIM(tblDados[Visitante])=$A936)*tblDados[Primeira_Ocorrencia]*tblDados[GS_V]))</f>
        <v/>
      </c>
      <c r="Y936" s="14" t="str">
        <f t="shared" si="242"/>
        <v/>
      </c>
      <c r="Z936" s="14" t="str">
        <f t="shared" si="231"/>
        <v/>
      </c>
      <c r="AA936" s="14" t="str">
        <f t="shared" si="232"/>
        <v/>
      </c>
      <c r="AB936" s="14" t="str">
        <f t="shared" si="233"/>
        <v/>
      </c>
      <c r="AC936" s="14" t="str">
        <f t="shared" si="234"/>
        <v/>
      </c>
      <c r="AD936" s="14" t="str">
        <f t="shared" si="235"/>
        <v/>
      </c>
    </row>
    <row r="937" spans="2:30" x14ac:dyDescent="0.3">
      <c r="B937" s="13" t="str" cm="1">
        <f t="array" ref="B937">IF($A937="","",_xlfn.LET(_xlpm.p,IFERROR(INDEX(tblDados[País],MATCH($A937,TRIM(tblDados[Mandante]),0)),INDEX(tblDados[País],MATCH($A937,TRIM(tblDados[Visitante]),0))),_xlpm.l,IFERROR(INDEX(tblDados[Liga],MATCH($A937,TRIM(tblDados[Mandante]),0)),INDEX(tblDados[Liga],MATCH($A937,TRIM(tblDados[Visitante]),0))),_xlpm.p&amp;" - "&amp;_xlpm.l))</f>
        <v/>
      </c>
      <c r="C937" s="14" t="str">
        <f t="shared" si="236"/>
        <v/>
      </c>
      <c r="D937" s="14" t="str">
        <f t="shared" si="237"/>
        <v/>
      </c>
      <c r="E937" s="15" t="str" cm="1">
        <f t="array" ref="E937">IF($A937="","",SUMPRODUCT((TRIM(tblDados[Mandante])=$A937)*tblDados[Primeira_Ocorrencia]))</f>
        <v/>
      </c>
      <c r="F937" s="15" t="str" cm="1">
        <f t="array" ref="F937">IF($A937="","",SUMPRODUCT((TRIM(tblDados[Visitante])=$A937)*tblDados[Primeira_Ocorrencia]))</f>
        <v/>
      </c>
      <c r="G937" s="15" t="str" cm="1">
        <f t="array" ref="G937">IF($A937="","",SUMPRODUCT((TRIM(tblDados[Mandante])=$A937)*tblDados[Primeira_Ocorrencia])+SUMPRODUCT((TRIM(tblDados[Visitante])=$A937)*tblDados[Primeira_Ocorrencia]))</f>
        <v/>
      </c>
      <c r="H937" s="14" t="str">
        <f t="shared" si="238"/>
        <v/>
      </c>
      <c r="I937" s="14" t="str" cm="1">
        <f t="array" ref="I937">IF($A937="","",_xlfn.LET(_xlpm.p,IFERROR(INDEX(tblDados[País],MATCH($A937,TRIM(tblDados[Mandante]),0)),INDEX(tblDados[País],MATCH($A937,TRIM(tblDados[Visitante]),0))),_xlpm.l,IFERROR(INDEX(tblDados[Liga],MATCH($A937,TRIM(tblDados[Mandante]),0)),INDEX(tblDados[Liga],MATCH($A937,TRIM(tblDados[Visitante]),0))),IFERROR(SUMIFS(Ligas!$D$2:$D$39,Ligas!$H$2:$H$39,_xlpm.p,Ligas!$I$2:$I$39,_xlpm.l),0)))</f>
        <v/>
      </c>
      <c r="J937" s="16" t="str" cm="1">
        <f t="array" ref="J937">IF($A937="","",IFERROR((SUMPRODUCT((TRIM(tblDados[Mandante])=$A937)*tblDados[Primeira_Ocorrencia]*(tblDados[GM_M]=0))+SUMPRODUCT((TRIM(tblDados[Visitante])=$A937)*tblDados[Primeira_Ocorrencia]*(tblDados[GM_V]=0)))/G937,0))</f>
        <v/>
      </c>
      <c r="K937" s="16" t="str" cm="1">
        <f t="array" ref="K937">IF($A937="","",IFERROR((SUMPRODUCT((TRIM(tblDados[Mandante])=$A937)*tblDados[Primeira_Ocorrencia]*((tblDados[GM_M]+tblDados[GS_M])&gt;0.5))+SUMPRODUCT((TRIM(tblDados[Visitante])=$A937)*tblDados[Primeira_Ocorrencia]*((tblDados[GM_V]+tblDados[GS_V])&gt;0.5)))/G937,0))</f>
        <v/>
      </c>
      <c r="L937" s="16" t="str" cm="1">
        <f t="array" ref="L937">IF($A937="","",IFERROR((SUMPRODUCT((TRIM(tblDados[Mandante])=$A937)*tblDados[Primeira_Ocorrencia]*((tblDados[GM_M]+tblDados[GS_M])&gt;1.5))+SUMPRODUCT((TRIM(tblDados[Visitante])=$A937)*tblDados[Primeira_Ocorrencia]*((tblDados[GM_V]+tblDados[GS_V])&gt;1.5)))/G937,0))</f>
        <v/>
      </c>
      <c r="M937" s="16" t="str" cm="1">
        <f t="array" ref="M937">IF($A937="","",IFERROR((SUMPRODUCT((TRIM(tblDados[Mandante])=$A937)*tblDados[Primeira_Ocorrencia]*((tblDados[GM_M]+tblDados[GS_M])&gt;2.5))+SUMPRODUCT((TRIM(tblDados[Visitante])=$A937)*tblDados[Primeira_Ocorrencia]*((tblDados[GM_V]+tblDados[GS_V])&gt;2.5)))/G937,0))</f>
        <v/>
      </c>
      <c r="N937" s="16" t="str" cm="1">
        <f t="array" ref="N937">IF($A937="","",IFERROR((SUMPRODUCT((TRIM(tblDados[Mandante])=$A937)*tblDados[Primeira_Ocorrencia]*((tblDados[GM_M]+tblDados[GS_M])&gt;3.5))+SUMPRODUCT((TRIM(tblDados[Visitante])=$A937)*tblDados[Primeira_Ocorrencia]*((tblDados[GM_V]+tblDados[GS_V])&gt;3.5)))/G937,0))</f>
        <v/>
      </c>
      <c r="O937" s="16" t="str" cm="1">
        <f t="array" ref="O937">IF($A937="","",IFERROR((SUMPRODUCT((TRIM(tblDados[Mandante])=$A937)*tblDados[Primeira_Ocorrencia]*(tblDados[GM_M]&gt;0)*(tblDados[GS_M]&gt;0))+SUMPRODUCT((TRIM(tblDados[Visitante])=$A937)*tblDados[Primeira_Ocorrencia]*(tblDados[GM_V]&gt;0)*(tblDados[GS_V]&gt;0)))/G937,0))</f>
        <v/>
      </c>
      <c r="P937" s="14" t="str" cm="1">
        <f t="array" ref="P937">IF($A937="","",IFERROR((SUMPRODUCT((TRIM(tblDados[Mandante])=$A937)*tblDados[Primeira_Ocorrencia]*tblDados[GM_M]^2)+SUMPRODUCT((TRIM(tblDados[Visitante])=$A937)*tblDados[Primeira_Ocorrencia]*tblDados[GM_V]^2))/G937-H937^2,0))</f>
        <v/>
      </c>
      <c r="Q937" s="14" t="str">
        <f t="shared" si="239"/>
        <v/>
      </c>
      <c r="R937" s="1" t="str">
        <f t="shared" si="240"/>
        <v/>
      </c>
      <c r="S937" s="14" t="str" cm="1">
        <f t="array" ref="S937">IF($A937="","",SUMPRODUCT((TRIM(tblDados[Mandante])=$A937)*tblDados[Primeira_Ocorrencia]*tblDados[GM_M]))</f>
        <v/>
      </c>
      <c r="T937" s="14" t="str" cm="1">
        <f t="array" ref="T937">IF($A937="","",SUMPRODUCT((TRIM(tblDados[Visitante])=$A937)*tblDados[Primeira_Ocorrencia]*tblDados[GM_V]))</f>
        <v/>
      </c>
      <c r="U937" s="14" t="str">
        <f t="shared" si="241"/>
        <v/>
      </c>
      <c r="V937" s="14" t="str">
        <f t="shared" si="230"/>
        <v/>
      </c>
      <c r="W937" s="14" t="str" cm="1">
        <f t="array" ref="W937">IF($A937="","",SUMPRODUCT((TRIM(tblDados[Mandante])=$A937)*tblDados[Primeira_Ocorrencia]*tblDados[GS_M]))</f>
        <v/>
      </c>
      <c r="X937" s="14" t="str" cm="1">
        <f t="array" ref="X937">IF($A937="","",SUMPRODUCT((TRIM(tblDados[Visitante])=$A937)*tblDados[Primeira_Ocorrencia]*tblDados[GS_V]))</f>
        <v/>
      </c>
      <c r="Y937" s="14" t="str">
        <f t="shared" si="242"/>
        <v/>
      </c>
      <c r="Z937" s="14" t="str">
        <f t="shared" si="231"/>
        <v/>
      </c>
      <c r="AA937" s="14" t="str">
        <f t="shared" si="232"/>
        <v/>
      </c>
      <c r="AB937" s="14" t="str">
        <f t="shared" si="233"/>
        <v/>
      </c>
      <c r="AC937" s="14" t="str">
        <f t="shared" si="234"/>
        <v/>
      </c>
      <c r="AD937" s="14" t="str">
        <f t="shared" si="235"/>
        <v/>
      </c>
    </row>
    <row r="938" spans="2:30" x14ac:dyDescent="0.3">
      <c r="B938" s="13" t="str" cm="1">
        <f t="array" ref="B938">IF($A938="","",_xlfn.LET(_xlpm.p,IFERROR(INDEX(tblDados[País],MATCH($A938,TRIM(tblDados[Mandante]),0)),INDEX(tblDados[País],MATCH($A938,TRIM(tblDados[Visitante]),0))),_xlpm.l,IFERROR(INDEX(tblDados[Liga],MATCH($A938,TRIM(tblDados[Mandante]),0)),INDEX(tblDados[Liga],MATCH($A938,TRIM(tblDados[Visitante]),0))),_xlpm.p&amp;" - "&amp;_xlpm.l))</f>
        <v/>
      </c>
      <c r="C938" s="14" t="str">
        <f t="shared" si="236"/>
        <v/>
      </c>
      <c r="D938" s="14" t="str">
        <f t="shared" si="237"/>
        <v/>
      </c>
      <c r="E938" s="15" t="str" cm="1">
        <f t="array" ref="E938">IF($A938="","",SUMPRODUCT((TRIM(tblDados[Mandante])=$A938)*tblDados[Primeira_Ocorrencia]))</f>
        <v/>
      </c>
      <c r="F938" s="15" t="str" cm="1">
        <f t="array" ref="F938">IF($A938="","",SUMPRODUCT((TRIM(tblDados[Visitante])=$A938)*tblDados[Primeira_Ocorrencia]))</f>
        <v/>
      </c>
      <c r="G938" s="15" t="str" cm="1">
        <f t="array" ref="G938">IF($A938="","",SUMPRODUCT((TRIM(tblDados[Mandante])=$A938)*tblDados[Primeira_Ocorrencia])+SUMPRODUCT((TRIM(tblDados[Visitante])=$A938)*tblDados[Primeira_Ocorrencia]))</f>
        <v/>
      </c>
      <c r="H938" s="14" t="str">
        <f t="shared" si="238"/>
        <v/>
      </c>
      <c r="I938" s="14" t="str" cm="1">
        <f t="array" ref="I938">IF($A938="","",_xlfn.LET(_xlpm.p,IFERROR(INDEX(tblDados[País],MATCH($A938,TRIM(tblDados[Mandante]),0)),INDEX(tblDados[País],MATCH($A938,TRIM(tblDados[Visitante]),0))),_xlpm.l,IFERROR(INDEX(tblDados[Liga],MATCH($A938,TRIM(tblDados[Mandante]),0)),INDEX(tblDados[Liga],MATCH($A938,TRIM(tblDados[Visitante]),0))),IFERROR(SUMIFS(Ligas!$D$2:$D$39,Ligas!$H$2:$H$39,_xlpm.p,Ligas!$I$2:$I$39,_xlpm.l),0)))</f>
        <v/>
      </c>
      <c r="J938" s="16" t="str" cm="1">
        <f t="array" ref="J938">IF($A938="","",IFERROR((SUMPRODUCT((TRIM(tblDados[Mandante])=$A938)*tblDados[Primeira_Ocorrencia]*(tblDados[GM_M]=0))+SUMPRODUCT((TRIM(tblDados[Visitante])=$A938)*tblDados[Primeira_Ocorrencia]*(tblDados[GM_V]=0)))/G938,0))</f>
        <v/>
      </c>
      <c r="K938" s="16" t="str" cm="1">
        <f t="array" ref="K938">IF($A938="","",IFERROR((SUMPRODUCT((TRIM(tblDados[Mandante])=$A938)*tblDados[Primeira_Ocorrencia]*((tblDados[GM_M]+tblDados[GS_M])&gt;0.5))+SUMPRODUCT((TRIM(tblDados[Visitante])=$A938)*tblDados[Primeira_Ocorrencia]*((tblDados[GM_V]+tblDados[GS_V])&gt;0.5)))/G938,0))</f>
        <v/>
      </c>
      <c r="L938" s="16" t="str" cm="1">
        <f t="array" ref="L938">IF($A938="","",IFERROR((SUMPRODUCT((TRIM(tblDados[Mandante])=$A938)*tblDados[Primeira_Ocorrencia]*((tblDados[GM_M]+tblDados[GS_M])&gt;1.5))+SUMPRODUCT((TRIM(tblDados[Visitante])=$A938)*tblDados[Primeira_Ocorrencia]*((tblDados[GM_V]+tblDados[GS_V])&gt;1.5)))/G938,0))</f>
        <v/>
      </c>
      <c r="M938" s="16" t="str" cm="1">
        <f t="array" ref="M938">IF($A938="","",IFERROR((SUMPRODUCT((TRIM(tblDados[Mandante])=$A938)*tblDados[Primeira_Ocorrencia]*((tblDados[GM_M]+tblDados[GS_M])&gt;2.5))+SUMPRODUCT((TRIM(tblDados[Visitante])=$A938)*tblDados[Primeira_Ocorrencia]*((tblDados[GM_V]+tblDados[GS_V])&gt;2.5)))/G938,0))</f>
        <v/>
      </c>
      <c r="N938" s="16" t="str" cm="1">
        <f t="array" ref="N938">IF($A938="","",IFERROR((SUMPRODUCT((TRIM(tblDados[Mandante])=$A938)*tblDados[Primeira_Ocorrencia]*((tblDados[GM_M]+tblDados[GS_M])&gt;3.5))+SUMPRODUCT((TRIM(tblDados[Visitante])=$A938)*tblDados[Primeira_Ocorrencia]*((tblDados[GM_V]+tblDados[GS_V])&gt;3.5)))/G938,0))</f>
        <v/>
      </c>
      <c r="O938" s="16" t="str" cm="1">
        <f t="array" ref="O938">IF($A938="","",IFERROR((SUMPRODUCT((TRIM(tblDados[Mandante])=$A938)*tblDados[Primeira_Ocorrencia]*(tblDados[GM_M]&gt;0)*(tblDados[GS_M]&gt;0))+SUMPRODUCT((TRIM(tblDados[Visitante])=$A938)*tblDados[Primeira_Ocorrencia]*(tblDados[GM_V]&gt;0)*(tblDados[GS_V]&gt;0)))/G938,0))</f>
        <v/>
      </c>
      <c r="P938" s="14" t="str" cm="1">
        <f t="array" ref="P938">IF($A938="","",IFERROR((SUMPRODUCT((TRIM(tblDados[Mandante])=$A938)*tblDados[Primeira_Ocorrencia]*tblDados[GM_M]^2)+SUMPRODUCT((TRIM(tblDados[Visitante])=$A938)*tblDados[Primeira_Ocorrencia]*tblDados[GM_V]^2))/G938-H938^2,0))</f>
        <v/>
      </c>
      <c r="Q938" s="14" t="str">
        <f t="shared" si="239"/>
        <v/>
      </c>
      <c r="R938" s="1" t="str">
        <f t="shared" si="240"/>
        <v/>
      </c>
      <c r="S938" s="14" t="str" cm="1">
        <f t="array" ref="S938">IF($A938="","",SUMPRODUCT((TRIM(tblDados[Mandante])=$A938)*tblDados[Primeira_Ocorrencia]*tblDados[GM_M]))</f>
        <v/>
      </c>
      <c r="T938" s="14" t="str" cm="1">
        <f t="array" ref="T938">IF($A938="","",SUMPRODUCT((TRIM(tblDados[Visitante])=$A938)*tblDados[Primeira_Ocorrencia]*tblDados[GM_V]))</f>
        <v/>
      </c>
      <c r="U938" s="14" t="str">
        <f t="shared" si="241"/>
        <v/>
      </c>
      <c r="V938" s="14" t="str">
        <f t="shared" si="230"/>
        <v/>
      </c>
      <c r="W938" s="14" t="str" cm="1">
        <f t="array" ref="W938">IF($A938="","",SUMPRODUCT((TRIM(tblDados[Mandante])=$A938)*tblDados[Primeira_Ocorrencia]*tblDados[GS_M]))</f>
        <v/>
      </c>
      <c r="X938" s="14" t="str" cm="1">
        <f t="array" ref="X938">IF($A938="","",SUMPRODUCT((TRIM(tblDados[Visitante])=$A938)*tblDados[Primeira_Ocorrencia]*tblDados[GS_V]))</f>
        <v/>
      </c>
      <c r="Y938" s="14" t="str">
        <f t="shared" si="242"/>
        <v/>
      </c>
      <c r="Z938" s="14" t="str">
        <f t="shared" si="231"/>
        <v/>
      </c>
      <c r="AA938" s="14" t="str">
        <f t="shared" si="232"/>
        <v/>
      </c>
      <c r="AB938" s="14" t="str">
        <f t="shared" si="233"/>
        <v/>
      </c>
      <c r="AC938" s="14" t="str">
        <f t="shared" si="234"/>
        <v/>
      </c>
      <c r="AD938" s="14" t="str">
        <f t="shared" si="235"/>
        <v/>
      </c>
    </row>
    <row r="939" spans="2:30" x14ac:dyDescent="0.3">
      <c r="B939" s="13" t="str" cm="1">
        <f t="array" ref="B939">IF($A939="","",_xlfn.LET(_xlpm.p,IFERROR(INDEX(tblDados[País],MATCH($A939,TRIM(tblDados[Mandante]),0)),INDEX(tblDados[País],MATCH($A939,TRIM(tblDados[Visitante]),0))),_xlpm.l,IFERROR(INDEX(tblDados[Liga],MATCH($A939,TRIM(tblDados[Mandante]),0)),INDEX(tblDados[Liga],MATCH($A939,TRIM(tblDados[Visitante]),0))),_xlpm.p&amp;" - "&amp;_xlpm.l))</f>
        <v/>
      </c>
      <c r="C939" s="14" t="str">
        <f t="shared" si="236"/>
        <v/>
      </c>
      <c r="D939" s="14" t="str">
        <f t="shared" si="237"/>
        <v/>
      </c>
      <c r="E939" s="15" t="str" cm="1">
        <f t="array" ref="E939">IF($A939="","",SUMPRODUCT((TRIM(tblDados[Mandante])=$A939)*tblDados[Primeira_Ocorrencia]))</f>
        <v/>
      </c>
      <c r="F939" s="15" t="str" cm="1">
        <f t="array" ref="F939">IF($A939="","",SUMPRODUCT((TRIM(tblDados[Visitante])=$A939)*tblDados[Primeira_Ocorrencia]))</f>
        <v/>
      </c>
      <c r="G939" s="15" t="str" cm="1">
        <f t="array" ref="G939">IF($A939="","",SUMPRODUCT((TRIM(tblDados[Mandante])=$A939)*tblDados[Primeira_Ocorrencia])+SUMPRODUCT((TRIM(tblDados[Visitante])=$A939)*tblDados[Primeira_Ocorrencia]))</f>
        <v/>
      </c>
      <c r="H939" s="14" t="str">
        <f t="shared" si="238"/>
        <v/>
      </c>
      <c r="I939" s="14" t="str" cm="1">
        <f t="array" ref="I939">IF($A939="","",_xlfn.LET(_xlpm.p,IFERROR(INDEX(tblDados[País],MATCH($A939,TRIM(tblDados[Mandante]),0)),INDEX(tblDados[País],MATCH($A939,TRIM(tblDados[Visitante]),0))),_xlpm.l,IFERROR(INDEX(tblDados[Liga],MATCH($A939,TRIM(tblDados[Mandante]),0)),INDEX(tblDados[Liga],MATCH($A939,TRIM(tblDados[Visitante]),0))),IFERROR(SUMIFS(Ligas!$D$2:$D$39,Ligas!$H$2:$H$39,_xlpm.p,Ligas!$I$2:$I$39,_xlpm.l),0)))</f>
        <v/>
      </c>
      <c r="J939" s="16" t="str" cm="1">
        <f t="array" ref="J939">IF($A939="","",IFERROR((SUMPRODUCT((TRIM(tblDados[Mandante])=$A939)*tblDados[Primeira_Ocorrencia]*(tblDados[GM_M]=0))+SUMPRODUCT((TRIM(tblDados[Visitante])=$A939)*tblDados[Primeira_Ocorrencia]*(tblDados[GM_V]=0)))/G939,0))</f>
        <v/>
      </c>
      <c r="K939" s="16" t="str" cm="1">
        <f t="array" ref="K939">IF($A939="","",IFERROR((SUMPRODUCT((TRIM(tblDados[Mandante])=$A939)*tblDados[Primeira_Ocorrencia]*((tblDados[GM_M]+tblDados[GS_M])&gt;0.5))+SUMPRODUCT((TRIM(tblDados[Visitante])=$A939)*tblDados[Primeira_Ocorrencia]*((tblDados[GM_V]+tblDados[GS_V])&gt;0.5)))/G939,0))</f>
        <v/>
      </c>
      <c r="L939" s="16" t="str" cm="1">
        <f t="array" ref="L939">IF($A939="","",IFERROR((SUMPRODUCT((TRIM(tblDados[Mandante])=$A939)*tblDados[Primeira_Ocorrencia]*((tblDados[GM_M]+tblDados[GS_M])&gt;1.5))+SUMPRODUCT((TRIM(tblDados[Visitante])=$A939)*tblDados[Primeira_Ocorrencia]*((tblDados[GM_V]+tblDados[GS_V])&gt;1.5)))/G939,0))</f>
        <v/>
      </c>
      <c r="M939" s="16" t="str" cm="1">
        <f t="array" ref="M939">IF($A939="","",IFERROR((SUMPRODUCT((TRIM(tblDados[Mandante])=$A939)*tblDados[Primeira_Ocorrencia]*((tblDados[GM_M]+tblDados[GS_M])&gt;2.5))+SUMPRODUCT((TRIM(tblDados[Visitante])=$A939)*tblDados[Primeira_Ocorrencia]*((tblDados[GM_V]+tblDados[GS_V])&gt;2.5)))/G939,0))</f>
        <v/>
      </c>
      <c r="N939" s="16" t="str" cm="1">
        <f t="array" ref="N939">IF($A939="","",IFERROR((SUMPRODUCT((TRIM(tblDados[Mandante])=$A939)*tblDados[Primeira_Ocorrencia]*((tblDados[GM_M]+tblDados[GS_M])&gt;3.5))+SUMPRODUCT((TRIM(tblDados[Visitante])=$A939)*tblDados[Primeira_Ocorrencia]*((tblDados[GM_V]+tblDados[GS_V])&gt;3.5)))/G939,0))</f>
        <v/>
      </c>
      <c r="O939" s="16" t="str" cm="1">
        <f t="array" ref="O939">IF($A939="","",IFERROR((SUMPRODUCT((TRIM(tblDados[Mandante])=$A939)*tblDados[Primeira_Ocorrencia]*(tblDados[GM_M]&gt;0)*(tblDados[GS_M]&gt;0))+SUMPRODUCT((TRIM(tblDados[Visitante])=$A939)*tblDados[Primeira_Ocorrencia]*(tblDados[GM_V]&gt;0)*(tblDados[GS_V]&gt;0)))/G939,0))</f>
        <v/>
      </c>
      <c r="P939" s="14" t="str" cm="1">
        <f t="array" ref="P939">IF($A939="","",IFERROR((SUMPRODUCT((TRIM(tblDados[Mandante])=$A939)*tblDados[Primeira_Ocorrencia]*tblDados[GM_M]^2)+SUMPRODUCT((TRIM(tblDados[Visitante])=$A939)*tblDados[Primeira_Ocorrencia]*tblDados[GM_V]^2))/G939-H939^2,0))</f>
        <v/>
      </c>
      <c r="Q939" s="14" t="str">
        <f t="shared" si="239"/>
        <v/>
      </c>
      <c r="R939" s="1" t="str">
        <f t="shared" si="240"/>
        <v/>
      </c>
      <c r="S939" s="14" t="str" cm="1">
        <f t="array" ref="S939">IF($A939="","",SUMPRODUCT((TRIM(tblDados[Mandante])=$A939)*tblDados[Primeira_Ocorrencia]*tblDados[GM_M]))</f>
        <v/>
      </c>
      <c r="T939" s="14" t="str" cm="1">
        <f t="array" ref="T939">IF($A939="","",SUMPRODUCT((TRIM(tblDados[Visitante])=$A939)*tblDados[Primeira_Ocorrencia]*tblDados[GM_V]))</f>
        <v/>
      </c>
      <c r="U939" s="14" t="str">
        <f t="shared" si="241"/>
        <v/>
      </c>
      <c r="V939" s="14" t="str">
        <f t="shared" si="230"/>
        <v/>
      </c>
      <c r="W939" s="14" t="str" cm="1">
        <f t="array" ref="W939">IF($A939="","",SUMPRODUCT((TRIM(tblDados[Mandante])=$A939)*tblDados[Primeira_Ocorrencia]*tblDados[GS_M]))</f>
        <v/>
      </c>
      <c r="X939" s="14" t="str" cm="1">
        <f t="array" ref="X939">IF($A939="","",SUMPRODUCT((TRIM(tblDados[Visitante])=$A939)*tblDados[Primeira_Ocorrencia]*tblDados[GS_V]))</f>
        <v/>
      </c>
      <c r="Y939" s="14" t="str">
        <f t="shared" si="242"/>
        <v/>
      </c>
      <c r="Z939" s="14" t="str">
        <f t="shared" si="231"/>
        <v/>
      </c>
      <c r="AA939" s="14" t="str">
        <f t="shared" si="232"/>
        <v/>
      </c>
      <c r="AB939" s="14" t="str">
        <f t="shared" si="233"/>
        <v/>
      </c>
      <c r="AC939" s="14" t="str">
        <f t="shared" si="234"/>
        <v/>
      </c>
      <c r="AD939" s="14" t="str">
        <f t="shared" si="235"/>
        <v/>
      </c>
    </row>
    <row r="940" spans="2:30" x14ac:dyDescent="0.3">
      <c r="B940" s="13" t="str" cm="1">
        <f t="array" ref="B940">IF($A940="","",_xlfn.LET(_xlpm.p,IFERROR(INDEX(tblDados[País],MATCH($A940,TRIM(tblDados[Mandante]),0)),INDEX(tblDados[País],MATCH($A940,TRIM(tblDados[Visitante]),0))),_xlpm.l,IFERROR(INDEX(tblDados[Liga],MATCH($A940,TRIM(tblDados[Mandante]),0)),INDEX(tblDados[Liga],MATCH($A940,TRIM(tblDados[Visitante]),0))),_xlpm.p&amp;" - "&amp;_xlpm.l))</f>
        <v/>
      </c>
      <c r="C940" s="14" t="str">
        <f t="shared" si="236"/>
        <v/>
      </c>
      <c r="D940" s="14" t="str">
        <f t="shared" si="237"/>
        <v/>
      </c>
      <c r="E940" s="15" t="str" cm="1">
        <f t="array" ref="E940">IF($A940="","",SUMPRODUCT((TRIM(tblDados[Mandante])=$A940)*tblDados[Primeira_Ocorrencia]))</f>
        <v/>
      </c>
      <c r="F940" s="15" t="str" cm="1">
        <f t="array" ref="F940">IF($A940="","",SUMPRODUCT((TRIM(tblDados[Visitante])=$A940)*tblDados[Primeira_Ocorrencia]))</f>
        <v/>
      </c>
      <c r="G940" s="15" t="str" cm="1">
        <f t="array" ref="G940">IF($A940="","",SUMPRODUCT((TRIM(tblDados[Mandante])=$A940)*tblDados[Primeira_Ocorrencia])+SUMPRODUCT((TRIM(tblDados[Visitante])=$A940)*tblDados[Primeira_Ocorrencia]))</f>
        <v/>
      </c>
      <c r="H940" s="14" t="str">
        <f t="shared" si="238"/>
        <v/>
      </c>
      <c r="I940" s="14" t="str" cm="1">
        <f t="array" ref="I940">IF($A940="","",_xlfn.LET(_xlpm.p,IFERROR(INDEX(tblDados[País],MATCH($A940,TRIM(tblDados[Mandante]),0)),INDEX(tblDados[País],MATCH($A940,TRIM(tblDados[Visitante]),0))),_xlpm.l,IFERROR(INDEX(tblDados[Liga],MATCH($A940,TRIM(tblDados[Mandante]),0)),INDEX(tblDados[Liga],MATCH($A940,TRIM(tblDados[Visitante]),0))),IFERROR(SUMIFS(Ligas!$D$2:$D$39,Ligas!$H$2:$H$39,_xlpm.p,Ligas!$I$2:$I$39,_xlpm.l),0)))</f>
        <v/>
      </c>
      <c r="J940" s="16" t="str" cm="1">
        <f t="array" ref="J940">IF($A940="","",IFERROR((SUMPRODUCT((TRIM(tblDados[Mandante])=$A940)*tblDados[Primeira_Ocorrencia]*(tblDados[GM_M]=0))+SUMPRODUCT((TRIM(tblDados[Visitante])=$A940)*tblDados[Primeira_Ocorrencia]*(tblDados[GM_V]=0)))/G940,0))</f>
        <v/>
      </c>
      <c r="K940" s="16" t="str" cm="1">
        <f t="array" ref="K940">IF($A940="","",IFERROR((SUMPRODUCT((TRIM(tblDados[Mandante])=$A940)*tblDados[Primeira_Ocorrencia]*((tblDados[GM_M]+tblDados[GS_M])&gt;0.5))+SUMPRODUCT((TRIM(tblDados[Visitante])=$A940)*tblDados[Primeira_Ocorrencia]*((tblDados[GM_V]+tblDados[GS_V])&gt;0.5)))/G940,0))</f>
        <v/>
      </c>
      <c r="L940" s="16" t="str" cm="1">
        <f t="array" ref="L940">IF($A940="","",IFERROR((SUMPRODUCT((TRIM(tblDados[Mandante])=$A940)*tblDados[Primeira_Ocorrencia]*((tblDados[GM_M]+tblDados[GS_M])&gt;1.5))+SUMPRODUCT((TRIM(tblDados[Visitante])=$A940)*tblDados[Primeira_Ocorrencia]*((tblDados[GM_V]+tblDados[GS_V])&gt;1.5)))/G940,0))</f>
        <v/>
      </c>
      <c r="M940" s="16" t="str" cm="1">
        <f t="array" ref="M940">IF($A940="","",IFERROR((SUMPRODUCT((TRIM(tblDados[Mandante])=$A940)*tblDados[Primeira_Ocorrencia]*((tblDados[GM_M]+tblDados[GS_M])&gt;2.5))+SUMPRODUCT((TRIM(tblDados[Visitante])=$A940)*tblDados[Primeira_Ocorrencia]*((tblDados[GM_V]+tblDados[GS_V])&gt;2.5)))/G940,0))</f>
        <v/>
      </c>
      <c r="N940" s="16" t="str" cm="1">
        <f t="array" ref="N940">IF($A940="","",IFERROR((SUMPRODUCT((TRIM(tblDados[Mandante])=$A940)*tblDados[Primeira_Ocorrencia]*((tblDados[GM_M]+tblDados[GS_M])&gt;3.5))+SUMPRODUCT((TRIM(tblDados[Visitante])=$A940)*tblDados[Primeira_Ocorrencia]*((tblDados[GM_V]+tblDados[GS_V])&gt;3.5)))/G940,0))</f>
        <v/>
      </c>
      <c r="O940" s="16" t="str" cm="1">
        <f t="array" ref="O940">IF($A940="","",IFERROR((SUMPRODUCT((TRIM(tblDados[Mandante])=$A940)*tblDados[Primeira_Ocorrencia]*(tblDados[GM_M]&gt;0)*(tblDados[GS_M]&gt;0))+SUMPRODUCT((TRIM(tblDados[Visitante])=$A940)*tblDados[Primeira_Ocorrencia]*(tblDados[GM_V]&gt;0)*(tblDados[GS_V]&gt;0)))/G940,0))</f>
        <v/>
      </c>
      <c r="P940" s="14" t="str" cm="1">
        <f t="array" ref="P940">IF($A940="","",IFERROR((SUMPRODUCT((TRIM(tblDados[Mandante])=$A940)*tblDados[Primeira_Ocorrencia]*tblDados[GM_M]^2)+SUMPRODUCT((TRIM(tblDados[Visitante])=$A940)*tblDados[Primeira_Ocorrencia]*tblDados[GM_V]^2))/G940-H940^2,0))</f>
        <v/>
      </c>
      <c r="Q940" s="14" t="str">
        <f t="shared" si="239"/>
        <v/>
      </c>
      <c r="R940" s="1" t="str">
        <f t="shared" si="240"/>
        <v/>
      </c>
      <c r="S940" s="14" t="str" cm="1">
        <f t="array" ref="S940">IF($A940="","",SUMPRODUCT((TRIM(tblDados[Mandante])=$A940)*tblDados[Primeira_Ocorrencia]*tblDados[GM_M]))</f>
        <v/>
      </c>
      <c r="T940" s="14" t="str" cm="1">
        <f t="array" ref="T940">IF($A940="","",SUMPRODUCT((TRIM(tblDados[Visitante])=$A940)*tblDados[Primeira_Ocorrencia]*tblDados[GM_V]))</f>
        <v/>
      </c>
      <c r="U940" s="14" t="str">
        <f t="shared" si="241"/>
        <v/>
      </c>
      <c r="V940" s="14" t="str">
        <f t="shared" si="230"/>
        <v/>
      </c>
      <c r="W940" s="14" t="str" cm="1">
        <f t="array" ref="W940">IF($A940="","",SUMPRODUCT((TRIM(tblDados[Mandante])=$A940)*tblDados[Primeira_Ocorrencia]*tblDados[GS_M]))</f>
        <v/>
      </c>
      <c r="X940" s="14" t="str" cm="1">
        <f t="array" ref="X940">IF($A940="","",SUMPRODUCT((TRIM(tblDados[Visitante])=$A940)*tblDados[Primeira_Ocorrencia]*tblDados[GS_V]))</f>
        <v/>
      </c>
      <c r="Y940" s="14" t="str">
        <f t="shared" si="242"/>
        <v/>
      </c>
      <c r="Z940" s="14" t="str">
        <f t="shared" si="231"/>
        <v/>
      </c>
      <c r="AA940" s="14" t="str">
        <f t="shared" si="232"/>
        <v/>
      </c>
      <c r="AB940" s="14" t="str">
        <f t="shared" si="233"/>
        <v/>
      </c>
      <c r="AC940" s="14" t="str">
        <f t="shared" si="234"/>
        <v/>
      </c>
      <c r="AD940" s="14" t="str">
        <f t="shared" si="235"/>
        <v/>
      </c>
    </row>
    <row r="941" spans="2:30" x14ac:dyDescent="0.3">
      <c r="B941" s="13" t="str" cm="1">
        <f t="array" ref="B941">IF($A941="","",_xlfn.LET(_xlpm.p,IFERROR(INDEX(tblDados[País],MATCH($A941,TRIM(tblDados[Mandante]),0)),INDEX(tblDados[País],MATCH($A941,TRIM(tblDados[Visitante]),0))),_xlpm.l,IFERROR(INDEX(tblDados[Liga],MATCH($A941,TRIM(tblDados[Mandante]),0)),INDEX(tblDados[Liga],MATCH($A941,TRIM(tblDados[Visitante]),0))),_xlpm.p&amp;" - "&amp;_xlpm.l))</f>
        <v/>
      </c>
      <c r="C941" s="14" t="str">
        <f t="shared" si="236"/>
        <v/>
      </c>
      <c r="D941" s="14" t="str">
        <f t="shared" si="237"/>
        <v/>
      </c>
      <c r="E941" s="15" t="str" cm="1">
        <f t="array" ref="E941">IF($A941="","",SUMPRODUCT((TRIM(tblDados[Mandante])=$A941)*tblDados[Primeira_Ocorrencia]))</f>
        <v/>
      </c>
      <c r="F941" s="15" t="str" cm="1">
        <f t="array" ref="F941">IF($A941="","",SUMPRODUCT((TRIM(tblDados[Visitante])=$A941)*tblDados[Primeira_Ocorrencia]))</f>
        <v/>
      </c>
      <c r="G941" s="15" t="str" cm="1">
        <f t="array" ref="G941">IF($A941="","",SUMPRODUCT((TRIM(tblDados[Mandante])=$A941)*tblDados[Primeira_Ocorrencia])+SUMPRODUCT((TRIM(tblDados[Visitante])=$A941)*tblDados[Primeira_Ocorrencia]))</f>
        <v/>
      </c>
      <c r="H941" s="14" t="str">
        <f t="shared" si="238"/>
        <v/>
      </c>
      <c r="I941" s="14" t="str" cm="1">
        <f t="array" ref="I941">IF($A941="","",_xlfn.LET(_xlpm.p,IFERROR(INDEX(tblDados[País],MATCH($A941,TRIM(tblDados[Mandante]),0)),INDEX(tblDados[País],MATCH($A941,TRIM(tblDados[Visitante]),0))),_xlpm.l,IFERROR(INDEX(tblDados[Liga],MATCH($A941,TRIM(tblDados[Mandante]),0)),INDEX(tblDados[Liga],MATCH($A941,TRIM(tblDados[Visitante]),0))),IFERROR(SUMIFS(Ligas!$D$2:$D$39,Ligas!$H$2:$H$39,_xlpm.p,Ligas!$I$2:$I$39,_xlpm.l),0)))</f>
        <v/>
      </c>
      <c r="J941" s="16" t="str" cm="1">
        <f t="array" ref="J941">IF($A941="","",IFERROR((SUMPRODUCT((TRIM(tblDados[Mandante])=$A941)*tblDados[Primeira_Ocorrencia]*(tblDados[GM_M]=0))+SUMPRODUCT((TRIM(tblDados[Visitante])=$A941)*tblDados[Primeira_Ocorrencia]*(tblDados[GM_V]=0)))/G941,0))</f>
        <v/>
      </c>
      <c r="K941" s="16" t="str" cm="1">
        <f t="array" ref="K941">IF($A941="","",IFERROR((SUMPRODUCT((TRIM(tblDados[Mandante])=$A941)*tblDados[Primeira_Ocorrencia]*((tblDados[GM_M]+tblDados[GS_M])&gt;0.5))+SUMPRODUCT((TRIM(tblDados[Visitante])=$A941)*tblDados[Primeira_Ocorrencia]*((tblDados[GM_V]+tblDados[GS_V])&gt;0.5)))/G941,0))</f>
        <v/>
      </c>
      <c r="L941" s="16" t="str" cm="1">
        <f t="array" ref="L941">IF($A941="","",IFERROR((SUMPRODUCT((TRIM(tblDados[Mandante])=$A941)*tblDados[Primeira_Ocorrencia]*((tblDados[GM_M]+tblDados[GS_M])&gt;1.5))+SUMPRODUCT((TRIM(tblDados[Visitante])=$A941)*tblDados[Primeira_Ocorrencia]*((tblDados[GM_V]+tblDados[GS_V])&gt;1.5)))/G941,0))</f>
        <v/>
      </c>
      <c r="M941" s="16" t="str" cm="1">
        <f t="array" ref="M941">IF($A941="","",IFERROR((SUMPRODUCT((TRIM(tblDados[Mandante])=$A941)*tblDados[Primeira_Ocorrencia]*((tblDados[GM_M]+tblDados[GS_M])&gt;2.5))+SUMPRODUCT((TRIM(tblDados[Visitante])=$A941)*tblDados[Primeira_Ocorrencia]*((tblDados[GM_V]+tblDados[GS_V])&gt;2.5)))/G941,0))</f>
        <v/>
      </c>
      <c r="N941" s="16" t="str" cm="1">
        <f t="array" ref="N941">IF($A941="","",IFERROR((SUMPRODUCT((TRIM(tblDados[Mandante])=$A941)*tblDados[Primeira_Ocorrencia]*((tblDados[GM_M]+tblDados[GS_M])&gt;3.5))+SUMPRODUCT((TRIM(tblDados[Visitante])=$A941)*tblDados[Primeira_Ocorrencia]*((tblDados[GM_V]+tblDados[GS_V])&gt;3.5)))/G941,0))</f>
        <v/>
      </c>
      <c r="O941" s="16" t="str" cm="1">
        <f t="array" ref="O941">IF($A941="","",IFERROR((SUMPRODUCT((TRIM(tblDados[Mandante])=$A941)*tblDados[Primeira_Ocorrencia]*(tblDados[GM_M]&gt;0)*(tblDados[GS_M]&gt;0))+SUMPRODUCT((TRIM(tblDados[Visitante])=$A941)*tblDados[Primeira_Ocorrencia]*(tblDados[GM_V]&gt;0)*(tblDados[GS_V]&gt;0)))/G941,0))</f>
        <v/>
      </c>
      <c r="P941" s="14" t="str" cm="1">
        <f t="array" ref="P941">IF($A941="","",IFERROR((SUMPRODUCT((TRIM(tblDados[Mandante])=$A941)*tblDados[Primeira_Ocorrencia]*tblDados[GM_M]^2)+SUMPRODUCT((TRIM(tblDados[Visitante])=$A941)*tblDados[Primeira_Ocorrencia]*tblDados[GM_V]^2))/G941-H941^2,0))</f>
        <v/>
      </c>
      <c r="Q941" s="14" t="str">
        <f t="shared" si="239"/>
        <v/>
      </c>
      <c r="R941" s="1" t="str">
        <f t="shared" si="240"/>
        <v/>
      </c>
      <c r="S941" s="14" t="str" cm="1">
        <f t="array" ref="S941">IF($A941="","",SUMPRODUCT((TRIM(tblDados[Mandante])=$A941)*tblDados[Primeira_Ocorrencia]*tblDados[GM_M]))</f>
        <v/>
      </c>
      <c r="T941" s="14" t="str" cm="1">
        <f t="array" ref="T941">IF($A941="","",SUMPRODUCT((TRIM(tblDados[Visitante])=$A941)*tblDados[Primeira_Ocorrencia]*tblDados[GM_V]))</f>
        <v/>
      </c>
      <c r="U941" s="14" t="str">
        <f t="shared" si="241"/>
        <v/>
      </c>
      <c r="V941" s="14" t="str">
        <f t="shared" si="230"/>
        <v/>
      </c>
      <c r="W941" s="14" t="str" cm="1">
        <f t="array" ref="W941">IF($A941="","",SUMPRODUCT((TRIM(tblDados[Mandante])=$A941)*tblDados[Primeira_Ocorrencia]*tblDados[GS_M]))</f>
        <v/>
      </c>
      <c r="X941" s="14" t="str" cm="1">
        <f t="array" ref="X941">IF($A941="","",SUMPRODUCT((TRIM(tblDados[Visitante])=$A941)*tblDados[Primeira_Ocorrencia]*tblDados[GS_V]))</f>
        <v/>
      </c>
      <c r="Y941" s="14" t="str">
        <f t="shared" si="242"/>
        <v/>
      </c>
      <c r="Z941" s="14" t="str">
        <f t="shared" si="231"/>
        <v/>
      </c>
      <c r="AA941" s="14" t="str">
        <f t="shared" si="232"/>
        <v/>
      </c>
      <c r="AB941" s="14" t="str">
        <f t="shared" si="233"/>
        <v/>
      </c>
      <c r="AC941" s="14" t="str">
        <f t="shared" si="234"/>
        <v/>
      </c>
      <c r="AD941" s="14" t="str">
        <f t="shared" si="235"/>
        <v/>
      </c>
    </row>
    <row r="942" spans="2:30" x14ac:dyDescent="0.3">
      <c r="B942" s="13" t="str" cm="1">
        <f t="array" ref="B942">IF($A942="","",_xlfn.LET(_xlpm.p,IFERROR(INDEX(tblDados[País],MATCH($A942,TRIM(tblDados[Mandante]),0)),INDEX(tblDados[País],MATCH($A942,TRIM(tblDados[Visitante]),0))),_xlpm.l,IFERROR(INDEX(tblDados[Liga],MATCH($A942,TRIM(tblDados[Mandante]),0)),INDEX(tblDados[Liga],MATCH($A942,TRIM(tblDados[Visitante]),0))),_xlpm.p&amp;" - "&amp;_xlpm.l))</f>
        <v/>
      </c>
      <c r="C942" s="14" t="str">
        <f t="shared" si="236"/>
        <v/>
      </c>
      <c r="D942" s="14" t="str">
        <f t="shared" si="237"/>
        <v/>
      </c>
      <c r="E942" s="15" t="str" cm="1">
        <f t="array" ref="E942">IF($A942="","",SUMPRODUCT((TRIM(tblDados[Mandante])=$A942)*tblDados[Primeira_Ocorrencia]))</f>
        <v/>
      </c>
      <c r="F942" s="15" t="str" cm="1">
        <f t="array" ref="F942">IF($A942="","",SUMPRODUCT((TRIM(tblDados[Visitante])=$A942)*tblDados[Primeira_Ocorrencia]))</f>
        <v/>
      </c>
      <c r="G942" s="15" t="str" cm="1">
        <f t="array" ref="G942">IF($A942="","",SUMPRODUCT((TRIM(tblDados[Mandante])=$A942)*tblDados[Primeira_Ocorrencia])+SUMPRODUCT((TRIM(tblDados[Visitante])=$A942)*tblDados[Primeira_Ocorrencia]))</f>
        <v/>
      </c>
      <c r="H942" s="14" t="str">
        <f t="shared" si="238"/>
        <v/>
      </c>
      <c r="I942" s="14" t="str" cm="1">
        <f t="array" ref="I942">IF($A942="","",_xlfn.LET(_xlpm.p,IFERROR(INDEX(tblDados[País],MATCH($A942,TRIM(tblDados[Mandante]),0)),INDEX(tblDados[País],MATCH($A942,TRIM(tblDados[Visitante]),0))),_xlpm.l,IFERROR(INDEX(tblDados[Liga],MATCH($A942,TRIM(tblDados[Mandante]),0)),INDEX(tblDados[Liga],MATCH($A942,TRIM(tblDados[Visitante]),0))),IFERROR(SUMIFS(Ligas!$D$2:$D$39,Ligas!$H$2:$H$39,_xlpm.p,Ligas!$I$2:$I$39,_xlpm.l),0)))</f>
        <v/>
      </c>
      <c r="J942" s="16" t="str" cm="1">
        <f t="array" ref="J942">IF($A942="","",IFERROR((SUMPRODUCT((TRIM(tblDados[Mandante])=$A942)*tblDados[Primeira_Ocorrencia]*(tblDados[GM_M]=0))+SUMPRODUCT((TRIM(tblDados[Visitante])=$A942)*tblDados[Primeira_Ocorrencia]*(tblDados[GM_V]=0)))/G942,0))</f>
        <v/>
      </c>
      <c r="K942" s="16" t="str" cm="1">
        <f t="array" ref="K942">IF($A942="","",IFERROR((SUMPRODUCT((TRIM(tblDados[Mandante])=$A942)*tblDados[Primeira_Ocorrencia]*((tblDados[GM_M]+tblDados[GS_M])&gt;0.5))+SUMPRODUCT((TRIM(tblDados[Visitante])=$A942)*tblDados[Primeira_Ocorrencia]*((tblDados[GM_V]+tblDados[GS_V])&gt;0.5)))/G942,0))</f>
        <v/>
      </c>
      <c r="L942" s="16" t="str" cm="1">
        <f t="array" ref="L942">IF($A942="","",IFERROR((SUMPRODUCT((TRIM(tblDados[Mandante])=$A942)*tblDados[Primeira_Ocorrencia]*((tblDados[GM_M]+tblDados[GS_M])&gt;1.5))+SUMPRODUCT((TRIM(tblDados[Visitante])=$A942)*tblDados[Primeira_Ocorrencia]*((tblDados[GM_V]+tblDados[GS_V])&gt;1.5)))/G942,0))</f>
        <v/>
      </c>
      <c r="M942" s="16" t="str" cm="1">
        <f t="array" ref="M942">IF($A942="","",IFERROR((SUMPRODUCT((TRIM(tblDados[Mandante])=$A942)*tblDados[Primeira_Ocorrencia]*((tblDados[GM_M]+tblDados[GS_M])&gt;2.5))+SUMPRODUCT((TRIM(tblDados[Visitante])=$A942)*tblDados[Primeira_Ocorrencia]*((tblDados[GM_V]+tblDados[GS_V])&gt;2.5)))/G942,0))</f>
        <v/>
      </c>
      <c r="N942" s="16" t="str" cm="1">
        <f t="array" ref="N942">IF($A942="","",IFERROR((SUMPRODUCT((TRIM(tblDados[Mandante])=$A942)*tblDados[Primeira_Ocorrencia]*((tblDados[GM_M]+tblDados[GS_M])&gt;3.5))+SUMPRODUCT((TRIM(tblDados[Visitante])=$A942)*tblDados[Primeira_Ocorrencia]*((tblDados[GM_V]+tblDados[GS_V])&gt;3.5)))/G942,0))</f>
        <v/>
      </c>
      <c r="O942" s="16" t="str" cm="1">
        <f t="array" ref="O942">IF($A942="","",IFERROR((SUMPRODUCT((TRIM(tblDados[Mandante])=$A942)*tblDados[Primeira_Ocorrencia]*(tblDados[GM_M]&gt;0)*(tblDados[GS_M]&gt;0))+SUMPRODUCT((TRIM(tblDados[Visitante])=$A942)*tblDados[Primeira_Ocorrencia]*(tblDados[GM_V]&gt;0)*(tblDados[GS_V]&gt;0)))/G942,0))</f>
        <v/>
      </c>
      <c r="P942" s="14" t="str" cm="1">
        <f t="array" ref="P942">IF($A942="","",IFERROR((SUMPRODUCT((TRIM(tblDados[Mandante])=$A942)*tblDados[Primeira_Ocorrencia]*tblDados[GM_M]^2)+SUMPRODUCT((TRIM(tblDados[Visitante])=$A942)*tblDados[Primeira_Ocorrencia]*tblDados[GM_V]^2))/G942-H942^2,0))</f>
        <v/>
      </c>
      <c r="Q942" s="14" t="str">
        <f t="shared" si="239"/>
        <v/>
      </c>
      <c r="R942" s="1" t="str">
        <f t="shared" si="240"/>
        <v/>
      </c>
      <c r="S942" s="14" t="str" cm="1">
        <f t="array" ref="S942">IF($A942="","",SUMPRODUCT((TRIM(tblDados[Mandante])=$A942)*tblDados[Primeira_Ocorrencia]*tblDados[GM_M]))</f>
        <v/>
      </c>
      <c r="T942" s="14" t="str" cm="1">
        <f t="array" ref="T942">IF($A942="","",SUMPRODUCT((TRIM(tblDados[Visitante])=$A942)*tblDados[Primeira_Ocorrencia]*tblDados[GM_V]))</f>
        <v/>
      </c>
      <c r="U942" s="14" t="str">
        <f t="shared" si="241"/>
        <v/>
      </c>
      <c r="V942" s="14" t="str">
        <f t="shared" si="230"/>
        <v/>
      </c>
      <c r="W942" s="14" t="str" cm="1">
        <f t="array" ref="W942">IF($A942="","",SUMPRODUCT((TRIM(tblDados[Mandante])=$A942)*tblDados[Primeira_Ocorrencia]*tblDados[GS_M]))</f>
        <v/>
      </c>
      <c r="X942" s="14" t="str" cm="1">
        <f t="array" ref="X942">IF($A942="","",SUMPRODUCT((TRIM(tblDados[Visitante])=$A942)*tblDados[Primeira_Ocorrencia]*tblDados[GS_V]))</f>
        <v/>
      </c>
      <c r="Y942" s="14" t="str">
        <f t="shared" si="242"/>
        <v/>
      </c>
      <c r="Z942" s="14" t="str">
        <f t="shared" si="231"/>
        <v/>
      </c>
      <c r="AA942" s="14" t="str">
        <f t="shared" si="232"/>
        <v/>
      </c>
      <c r="AB942" s="14" t="str">
        <f t="shared" si="233"/>
        <v/>
      </c>
      <c r="AC942" s="14" t="str">
        <f t="shared" si="234"/>
        <v/>
      </c>
      <c r="AD942" s="14" t="str">
        <f t="shared" si="235"/>
        <v/>
      </c>
    </row>
    <row r="943" spans="2:30" x14ac:dyDescent="0.3">
      <c r="B943" s="13" t="str" cm="1">
        <f t="array" ref="B943">IF($A943="","",_xlfn.LET(_xlpm.p,IFERROR(INDEX(tblDados[País],MATCH($A943,TRIM(tblDados[Mandante]),0)),INDEX(tblDados[País],MATCH($A943,TRIM(tblDados[Visitante]),0))),_xlpm.l,IFERROR(INDEX(tblDados[Liga],MATCH($A943,TRIM(tblDados[Mandante]),0)),INDEX(tblDados[Liga],MATCH($A943,TRIM(tblDados[Visitante]),0))),_xlpm.p&amp;" - "&amp;_xlpm.l))</f>
        <v/>
      </c>
      <c r="C943" s="14" t="str">
        <f t="shared" si="236"/>
        <v/>
      </c>
      <c r="D943" s="14" t="str">
        <f t="shared" si="237"/>
        <v/>
      </c>
      <c r="E943" s="15" t="str" cm="1">
        <f t="array" ref="E943">IF($A943="","",SUMPRODUCT((TRIM(tblDados[Mandante])=$A943)*tblDados[Primeira_Ocorrencia]))</f>
        <v/>
      </c>
      <c r="F943" s="15" t="str" cm="1">
        <f t="array" ref="F943">IF($A943="","",SUMPRODUCT((TRIM(tblDados[Visitante])=$A943)*tblDados[Primeira_Ocorrencia]))</f>
        <v/>
      </c>
      <c r="G943" s="15" t="str" cm="1">
        <f t="array" ref="G943">IF($A943="","",SUMPRODUCT((TRIM(tblDados[Mandante])=$A943)*tblDados[Primeira_Ocorrencia])+SUMPRODUCT((TRIM(tblDados[Visitante])=$A943)*tblDados[Primeira_Ocorrencia]))</f>
        <v/>
      </c>
      <c r="H943" s="14" t="str">
        <f t="shared" si="238"/>
        <v/>
      </c>
      <c r="I943" s="14" t="str" cm="1">
        <f t="array" ref="I943">IF($A943="","",_xlfn.LET(_xlpm.p,IFERROR(INDEX(tblDados[País],MATCH($A943,TRIM(tblDados[Mandante]),0)),INDEX(tblDados[País],MATCH($A943,TRIM(tblDados[Visitante]),0))),_xlpm.l,IFERROR(INDEX(tblDados[Liga],MATCH($A943,TRIM(tblDados[Mandante]),0)),INDEX(tblDados[Liga],MATCH($A943,TRIM(tblDados[Visitante]),0))),IFERROR(SUMIFS(Ligas!$D$2:$D$39,Ligas!$H$2:$H$39,_xlpm.p,Ligas!$I$2:$I$39,_xlpm.l),0)))</f>
        <v/>
      </c>
      <c r="J943" s="16" t="str" cm="1">
        <f t="array" ref="J943">IF($A943="","",IFERROR((SUMPRODUCT((TRIM(tblDados[Mandante])=$A943)*tblDados[Primeira_Ocorrencia]*(tblDados[GM_M]=0))+SUMPRODUCT((TRIM(tblDados[Visitante])=$A943)*tblDados[Primeira_Ocorrencia]*(tblDados[GM_V]=0)))/G943,0))</f>
        <v/>
      </c>
      <c r="K943" s="16" t="str" cm="1">
        <f t="array" ref="K943">IF($A943="","",IFERROR((SUMPRODUCT((TRIM(tblDados[Mandante])=$A943)*tblDados[Primeira_Ocorrencia]*((tblDados[GM_M]+tblDados[GS_M])&gt;0.5))+SUMPRODUCT((TRIM(tblDados[Visitante])=$A943)*tblDados[Primeira_Ocorrencia]*((tblDados[GM_V]+tblDados[GS_V])&gt;0.5)))/G943,0))</f>
        <v/>
      </c>
      <c r="L943" s="16" t="str" cm="1">
        <f t="array" ref="L943">IF($A943="","",IFERROR((SUMPRODUCT((TRIM(tblDados[Mandante])=$A943)*tblDados[Primeira_Ocorrencia]*((tblDados[GM_M]+tblDados[GS_M])&gt;1.5))+SUMPRODUCT((TRIM(tblDados[Visitante])=$A943)*tblDados[Primeira_Ocorrencia]*((tblDados[GM_V]+tblDados[GS_V])&gt;1.5)))/G943,0))</f>
        <v/>
      </c>
      <c r="M943" s="16" t="str" cm="1">
        <f t="array" ref="M943">IF($A943="","",IFERROR((SUMPRODUCT((TRIM(tblDados[Mandante])=$A943)*tblDados[Primeira_Ocorrencia]*((tblDados[GM_M]+tblDados[GS_M])&gt;2.5))+SUMPRODUCT((TRIM(tblDados[Visitante])=$A943)*tblDados[Primeira_Ocorrencia]*((tblDados[GM_V]+tblDados[GS_V])&gt;2.5)))/G943,0))</f>
        <v/>
      </c>
      <c r="N943" s="16" t="str" cm="1">
        <f t="array" ref="N943">IF($A943="","",IFERROR((SUMPRODUCT((TRIM(tblDados[Mandante])=$A943)*tblDados[Primeira_Ocorrencia]*((tblDados[GM_M]+tblDados[GS_M])&gt;3.5))+SUMPRODUCT((TRIM(tblDados[Visitante])=$A943)*tblDados[Primeira_Ocorrencia]*((tblDados[GM_V]+tblDados[GS_V])&gt;3.5)))/G943,0))</f>
        <v/>
      </c>
      <c r="O943" s="16" t="str" cm="1">
        <f t="array" ref="O943">IF($A943="","",IFERROR((SUMPRODUCT((TRIM(tblDados[Mandante])=$A943)*tblDados[Primeira_Ocorrencia]*(tblDados[GM_M]&gt;0)*(tblDados[GS_M]&gt;0))+SUMPRODUCT((TRIM(tblDados[Visitante])=$A943)*tblDados[Primeira_Ocorrencia]*(tblDados[GM_V]&gt;0)*(tblDados[GS_V]&gt;0)))/G943,0))</f>
        <v/>
      </c>
      <c r="P943" s="14" t="str" cm="1">
        <f t="array" ref="P943">IF($A943="","",IFERROR((SUMPRODUCT((TRIM(tblDados[Mandante])=$A943)*tblDados[Primeira_Ocorrencia]*tblDados[GM_M]^2)+SUMPRODUCT((TRIM(tblDados[Visitante])=$A943)*tblDados[Primeira_Ocorrencia]*tblDados[GM_V]^2))/G943-H943^2,0))</f>
        <v/>
      </c>
      <c r="Q943" s="14" t="str">
        <f t="shared" si="239"/>
        <v/>
      </c>
      <c r="R943" s="1" t="str">
        <f t="shared" si="240"/>
        <v/>
      </c>
      <c r="S943" s="14" t="str" cm="1">
        <f t="array" ref="S943">IF($A943="","",SUMPRODUCT((TRIM(tblDados[Mandante])=$A943)*tblDados[Primeira_Ocorrencia]*tblDados[GM_M]))</f>
        <v/>
      </c>
      <c r="T943" s="14" t="str" cm="1">
        <f t="array" ref="T943">IF($A943="","",SUMPRODUCT((TRIM(tblDados[Visitante])=$A943)*tblDados[Primeira_Ocorrencia]*tblDados[GM_V]))</f>
        <v/>
      </c>
      <c r="U943" s="14" t="str">
        <f t="shared" si="241"/>
        <v/>
      </c>
      <c r="V943" s="14" t="str">
        <f t="shared" si="230"/>
        <v/>
      </c>
      <c r="W943" s="14" t="str" cm="1">
        <f t="array" ref="W943">IF($A943="","",SUMPRODUCT((TRIM(tblDados[Mandante])=$A943)*tblDados[Primeira_Ocorrencia]*tblDados[GS_M]))</f>
        <v/>
      </c>
      <c r="X943" s="14" t="str" cm="1">
        <f t="array" ref="X943">IF($A943="","",SUMPRODUCT((TRIM(tblDados[Visitante])=$A943)*tblDados[Primeira_Ocorrencia]*tblDados[GS_V]))</f>
        <v/>
      </c>
      <c r="Y943" s="14" t="str">
        <f t="shared" si="242"/>
        <v/>
      </c>
      <c r="Z943" s="14" t="str">
        <f t="shared" si="231"/>
        <v/>
      </c>
      <c r="AA943" s="14" t="str">
        <f t="shared" si="232"/>
        <v/>
      </c>
      <c r="AB943" s="14" t="str">
        <f t="shared" si="233"/>
        <v/>
      </c>
      <c r="AC943" s="14" t="str">
        <f t="shared" si="234"/>
        <v/>
      </c>
      <c r="AD943" s="14" t="str">
        <f t="shared" si="235"/>
        <v/>
      </c>
    </row>
    <row r="944" spans="2:30" x14ac:dyDescent="0.3">
      <c r="B944" s="13" t="str" cm="1">
        <f t="array" ref="B944">IF($A944="","",_xlfn.LET(_xlpm.p,IFERROR(INDEX(tblDados[País],MATCH($A944,TRIM(tblDados[Mandante]),0)),INDEX(tblDados[País],MATCH($A944,TRIM(tblDados[Visitante]),0))),_xlpm.l,IFERROR(INDEX(tblDados[Liga],MATCH($A944,TRIM(tblDados[Mandante]),0)),INDEX(tblDados[Liga],MATCH($A944,TRIM(tblDados[Visitante]),0))),_xlpm.p&amp;" - "&amp;_xlpm.l))</f>
        <v/>
      </c>
      <c r="C944" s="14" t="str">
        <f t="shared" si="236"/>
        <v/>
      </c>
      <c r="D944" s="14" t="str">
        <f t="shared" si="237"/>
        <v/>
      </c>
      <c r="E944" s="15" t="str" cm="1">
        <f t="array" ref="E944">IF($A944="","",SUMPRODUCT((TRIM(tblDados[Mandante])=$A944)*tblDados[Primeira_Ocorrencia]))</f>
        <v/>
      </c>
      <c r="F944" s="15" t="str" cm="1">
        <f t="array" ref="F944">IF($A944="","",SUMPRODUCT((TRIM(tblDados[Visitante])=$A944)*tblDados[Primeira_Ocorrencia]))</f>
        <v/>
      </c>
      <c r="G944" s="15" t="str" cm="1">
        <f t="array" ref="G944">IF($A944="","",SUMPRODUCT((TRIM(tblDados[Mandante])=$A944)*tblDados[Primeira_Ocorrencia])+SUMPRODUCT((TRIM(tblDados[Visitante])=$A944)*tblDados[Primeira_Ocorrencia]))</f>
        <v/>
      </c>
      <c r="H944" s="14" t="str">
        <f t="shared" si="238"/>
        <v/>
      </c>
      <c r="I944" s="14" t="str" cm="1">
        <f t="array" ref="I944">IF($A944="","",_xlfn.LET(_xlpm.p,IFERROR(INDEX(tblDados[País],MATCH($A944,TRIM(tblDados[Mandante]),0)),INDEX(tblDados[País],MATCH($A944,TRIM(tblDados[Visitante]),0))),_xlpm.l,IFERROR(INDEX(tblDados[Liga],MATCH($A944,TRIM(tblDados[Mandante]),0)),INDEX(tblDados[Liga],MATCH($A944,TRIM(tblDados[Visitante]),0))),IFERROR(SUMIFS(Ligas!$D$2:$D$39,Ligas!$H$2:$H$39,_xlpm.p,Ligas!$I$2:$I$39,_xlpm.l),0)))</f>
        <v/>
      </c>
      <c r="J944" s="16" t="str" cm="1">
        <f t="array" ref="J944">IF($A944="","",IFERROR((SUMPRODUCT((TRIM(tblDados[Mandante])=$A944)*tblDados[Primeira_Ocorrencia]*(tblDados[GM_M]=0))+SUMPRODUCT((TRIM(tblDados[Visitante])=$A944)*tblDados[Primeira_Ocorrencia]*(tblDados[GM_V]=0)))/G944,0))</f>
        <v/>
      </c>
      <c r="K944" s="16" t="str" cm="1">
        <f t="array" ref="K944">IF($A944="","",IFERROR((SUMPRODUCT((TRIM(tblDados[Mandante])=$A944)*tblDados[Primeira_Ocorrencia]*((tblDados[GM_M]+tblDados[GS_M])&gt;0.5))+SUMPRODUCT((TRIM(tblDados[Visitante])=$A944)*tblDados[Primeira_Ocorrencia]*((tblDados[GM_V]+tblDados[GS_V])&gt;0.5)))/G944,0))</f>
        <v/>
      </c>
      <c r="L944" s="16" t="str" cm="1">
        <f t="array" ref="L944">IF($A944="","",IFERROR((SUMPRODUCT((TRIM(tblDados[Mandante])=$A944)*tblDados[Primeira_Ocorrencia]*((tblDados[GM_M]+tblDados[GS_M])&gt;1.5))+SUMPRODUCT((TRIM(tblDados[Visitante])=$A944)*tblDados[Primeira_Ocorrencia]*((tblDados[GM_V]+tblDados[GS_V])&gt;1.5)))/G944,0))</f>
        <v/>
      </c>
      <c r="M944" s="16" t="str" cm="1">
        <f t="array" ref="M944">IF($A944="","",IFERROR((SUMPRODUCT((TRIM(tblDados[Mandante])=$A944)*tblDados[Primeira_Ocorrencia]*((tblDados[GM_M]+tblDados[GS_M])&gt;2.5))+SUMPRODUCT((TRIM(tblDados[Visitante])=$A944)*tblDados[Primeira_Ocorrencia]*((tblDados[GM_V]+tblDados[GS_V])&gt;2.5)))/G944,0))</f>
        <v/>
      </c>
      <c r="N944" s="16" t="str" cm="1">
        <f t="array" ref="N944">IF($A944="","",IFERROR((SUMPRODUCT((TRIM(tblDados[Mandante])=$A944)*tblDados[Primeira_Ocorrencia]*((tblDados[GM_M]+tblDados[GS_M])&gt;3.5))+SUMPRODUCT((TRIM(tblDados[Visitante])=$A944)*tblDados[Primeira_Ocorrencia]*((tblDados[GM_V]+tblDados[GS_V])&gt;3.5)))/G944,0))</f>
        <v/>
      </c>
      <c r="O944" s="16" t="str" cm="1">
        <f t="array" ref="O944">IF($A944="","",IFERROR((SUMPRODUCT((TRIM(tblDados[Mandante])=$A944)*tblDados[Primeira_Ocorrencia]*(tblDados[GM_M]&gt;0)*(tblDados[GS_M]&gt;0))+SUMPRODUCT((TRIM(tblDados[Visitante])=$A944)*tblDados[Primeira_Ocorrencia]*(tblDados[GM_V]&gt;0)*(tblDados[GS_V]&gt;0)))/G944,0))</f>
        <v/>
      </c>
      <c r="P944" s="14" t="str" cm="1">
        <f t="array" ref="P944">IF($A944="","",IFERROR((SUMPRODUCT((TRIM(tblDados[Mandante])=$A944)*tblDados[Primeira_Ocorrencia]*tblDados[GM_M]^2)+SUMPRODUCT((TRIM(tblDados[Visitante])=$A944)*tblDados[Primeira_Ocorrencia]*tblDados[GM_V]^2))/G944-H944^2,0))</f>
        <v/>
      </c>
      <c r="Q944" s="14" t="str">
        <f t="shared" si="239"/>
        <v/>
      </c>
      <c r="R944" s="1" t="str">
        <f t="shared" si="240"/>
        <v/>
      </c>
      <c r="S944" s="14" t="str" cm="1">
        <f t="array" ref="S944">IF($A944="","",SUMPRODUCT((TRIM(tblDados[Mandante])=$A944)*tblDados[Primeira_Ocorrencia]*tblDados[GM_M]))</f>
        <v/>
      </c>
      <c r="T944" s="14" t="str" cm="1">
        <f t="array" ref="T944">IF($A944="","",SUMPRODUCT((TRIM(tblDados[Visitante])=$A944)*tblDados[Primeira_Ocorrencia]*tblDados[GM_V]))</f>
        <v/>
      </c>
      <c r="U944" s="14" t="str">
        <f t="shared" si="241"/>
        <v/>
      </c>
      <c r="V944" s="14" t="str">
        <f t="shared" si="230"/>
        <v/>
      </c>
      <c r="W944" s="14" t="str" cm="1">
        <f t="array" ref="W944">IF($A944="","",SUMPRODUCT((TRIM(tblDados[Mandante])=$A944)*tblDados[Primeira_Ocorrencia]*tblDados[GS_M]))</f>
        <v/>
      </c>
      <c r="X944" s="14" t="str" cm="1">
        <f t="array" ref="X944">IF($A944="","",SUMPRODUCT((TRIM(tblDados[Visitante])=$A944)*tblDados[Primeira_Ocorrencia]*tblDados[GS_V]))</f>
        <v/>
      </c>
      <c r="Y944" s="14" t="str">
        <f t="shared" si="242"/>
        <v/>
      </c>
      <c r="Z944" s="14" t="str">
        <f t="shared" si="231"/>
        <v/>
      </c>
      <c r="AA944" s="14" t="str">
        <f t="shared" si="232"/>
        <v/>
      </c>
      <c r="AB944" s="14" t="str">
        <f t="shared" si="233"/>
        <v/>
      </c>
      <c r="AC944" s="14" t="str">
        <f t="shared" si="234"/>
        <v/>
      </c>
      <c r="AD944" s="14" t="str">
        <f t="shared" si="235"/>
        <v/>
      </c>
    </row>
    <row r="945" spans="2:30" x14ac:dyDescent="0.3">
      <c r="B945" s="13" t="str" cm="1">
        <f t="array" ref="B945">IF($A945="","",_xlfn.LET(_xlpm.p,IFERROR(INDEX(tblDados[País],MATCH($A945,TRIM(tblDados[Mandante]),0)),INDEX(tblDados[País],MATCH($A945,TRIM(tblDados[Visitante]),0))),_xlpm.l,IFERROR(INDEX(tblDados[Liga],MATCH($A945,TRIM(tblDados[Mandante]),0)),INDEX(tblDados[Liga],MATCH($A945,TRIM(tblDados[Visitante]),0))),_xlpm.p&amp;" - "&amp;_xlpm.l))</f>
        <v/>
      </c>
      <c r="C945" s="14" t="str">
        <f t="shared" si="236"/>
        <v/>
      </c>
      <c r="D945" s="14" t="str">
        <f t="shared" si="237"/>
        <v/>
      </c>
      <c r="E945" s="15" t="str" cm="1">
        <f t="array" ref="E945">IF($A945="","",SUMPRODUCT((TRIM(tblDados[Mandante])=$A945)*tblDados[Primeira_Ocorrencia]))</f>
        <v/>
      </c>
      <c r="F945" s="15" t="str" cm="1">
        <f t="array" ref="F945">IF($A945="","",SUMPRODUCT((TRIM(tblDados[Visitante])=$A945)*tblDados[Primeira_Ocorrencia]))</f>
        <v/>
      </c>
      <c r="G945" s="15" t="str" cm="1">
        <f t="array" ref="G945">IF($A945="","",SUMPRODUCT((TRIM(tblDados[Mandante])=$A945)*tblDados[Primeira_Ocorrencia])+SUMPRODUCT((TRIM(tblDados[Visitante])=$A945)*tblDados[Primeira_Ocorrencia]))</f>
        <v/>
      </c>
      <c r="H945" s="14" t="str">
        <f t="shared" si="238"/>
        <v/>
      </c>
      <c r="I945" s="14" t="str" cm="1">
        <f t="array" ref="I945">IF($A945="","",_xlfn.LET(_xlpm.p,IFERROR(INDEX(tblDados[País],MATCH($A945,TRIM(tblDados[Mandante]),0)),INDEX(tblDados[País],MATCH($A945,TRIM(tblDados[Visitante]),0))),_xlpm.l,IFERROR(INDEX(tblDados[Liga],MATCH($A945,TRIM(tblDados[Mandante]),0)),INDEX(tblDados[Liga],MATCH($A945,TRIM(tblDados[Visitante]),0))),IFERROR(SUMIFS(Ligas!$D$2:$D$39,Ligas!$H$2:$H$39,_xlpm.p,Ligas!$I$2:$I$39,_xlpm.l),0)))</f>
        <v/>
      </c>
      <c r="J945" s="16" t="str" cm="1">
        <f t="array" ref="J945">IF($A945="","",IFERROR((SUMPRODUCT((TRIM(tblDados[Mandante])=$A945)*tblDados[Primeira_Ocorrencia]*(tblDados[GM_M]=0))+SUMPRODUCT((TRIM(tblDados[Visitante])=$A945)*tblDados[Primeira_Ocorrencia]*(tblDados[GM_V]=0)))/G945,0))</f>
        <v/>
      </c>
      <c r="K945" s="16" t="str" cm="1">
        <f t="array" ref="K945">IF($A945="","",IFERROR((SUMPRODUCT((TRIM(tblDados[Mandante])=$A945)*tblDados[Primeira_Ocorrencia]*((tblDados[GM_M]+tblDados[GS_M])&gt;0.5))+SUMPRODUCT((TRIM(tblDados[Visitante])=$A945)*tblDados[Primeira_Ocorrencia]*((tblDados[GM_V]+tblDados[GS_V])&gt;0.5)))/G945,0))</f>
        <v/>
      </c>
      <c r="L945" s="16" t="str" cm="1">
        <f t="array" ref="L945">IF($A945="","",IFERROR((SUMPRODUCT((TRIM(tblDados[Mandante])=$A945)*tblDados[Primeira_Ocorrencia]*((tblDados[GM_M]+tblDados[GS_M])&gt;1.5))+SUMPRODUCT((TRIM(tblDados[Visitante])=$A945)*tblDados[Primeira_Ocorrencia]*((tblDados[GM_V]+tblDados[GS_V])&gt;1.5)))/G945,0))</f>
        <v/>
      </c>
      <c r="M945" s="16" t="str" cm="1">
        <f t="array" ref="M945">IF($A945="","",IFERROR((SUMPRODUCT((TRIM(tblDados[Mandante])=$A945)*tblDados[Primeira_Ocorrencia]*((tblDados[GM_M]+tblDados[GS_M])&gt;2.5))+SUMPRODUCT((TRIM(tblDados[Visitante])=$A945)*tblDados[Primeira_Ocorrencia]*((tblDados[GM_V]+tblDados[GS_V])&gt;2.5)))/G945,0))</f>
        <v/>
      </c>
      <c r="N945" s="16" t="str" cm="1">
        <f t="array" ref="N945">IF($A945="","",IFERROR((SUMPRODUCT((TRIM(tblDados[Mandante])=$A945)*tblDados[Primeira_Ocorrencia]*((tblDados[GM_M]+tblDados[GS_M])&gt;3.5))+SUMPRODUCT((TRIM(tblDados[Visitante])=$A945)*tblDados[Primeira_Ocorrencia]*((tblDados[GM_V]+tblDados[GS_V])&gt;3.5)))/G945,0))</f>
        <v/>
      </c>
      <c r="O945" s="16" t="str" cm="1">
        <f t="array" ref="O945">IF($A945="","",IFERROR((SUMPRODUCT((TRIM(tblDados[Mandante])=$A945)*tblDados[Primeira_Ocorrencia]*(tblDados[GM_M]&gt;0)*(tblDados[GS_M]&gt;0))+SUMPRODUCT((TRIM(tblDados[Visitante])=$A945)*tblDados[Primeira_Ocorrencia]*(tblDados[GM_V]&gt;0)*(tblDados[GS_V]&gt;0)))/G945,0))</f>
        <v/>
      </c>
      <c r="P945" s="14" t="str" cm="1">
        <f t="array" ref="P945">IF($A945="","",IFERROR((SUMPRODUCT((TRIM(tblDados[Mandante])=$A945)*tblDados[Primeira_Ocorrencia]*tblDados[GM_M]^2)+SUMPRODUCT((TRIM(tblDados[Visitante])=$A945)*tblDados[Primeira_Ocorrencia]*tblDados[GM_V]^2))/G945-H945^2,0))</f>
        <v/>
      </c>
      <c r="Q945" s="14" t="str">
        <f t="shared" si="239"/>
        <v/>
      </c>
      <c r="R945" s="1" t="str">
        <f t="shared" si="240"/>
        <v/>
      </c>
      <c r="S945" s="14" t="str" cm="1">
        <f t="array" ref="S945">IF($A945="","",SUMPRODUCT((TRIM(tblDados[Mandante])=$A945)*tblDados[Primeira_Ocorrencia]*tblDados[GM_M]))</f>
        <v/>
      </c>
      <c r="T945" s="14" t="str" cm="1">
        <f t="array" ref="T945">IF($A945="","",SUMPRODUCT((TRIM(tblDados[Visitante])=$A945)*tblDados[Primeira_Ocorrencia]*tblDados[GM_V]))</f>
        <v/>
      </c>
      <c r="U945" s="14" t="str">
        <f t="shared" si="241"/>
        <v/>
      </c>
      <c r="V945" s="14" t="str">
        <f t="shared" si="230"/>
        <v/>
      </c>
      <c r="W945" s="14" t="str" cm="1">
        <f t="array" ref="W945">IF($A945="","",SUMPRODUCT((TRIM(tblDados[Mandante])=$A945)*tblDados[Primeira_Ocorrencia]*tblDados[GS_M]))</f>
        <v/>
      </c>
      <c r="X945" s="14" t="str" cm="1">
        <f t="array" ref="X945">IF($A945="","",SUMPRODUCT((TRIM(tblDados[Visitante])=$A945)*tblDados[Primeira_Ocorrencia]*tblDados[GS_V]))</f>
        <v/>
      </c>
      <c r="Y945" s="14" t="str">
        <f t="shared" si="242"/>
        <v/>
      </c>
      <c r="Z945" s="14" t="str">
        <f t="shared" si="231"/>
        <v/>
      </c>
      <c r="AA945" s="14" t="str">
        <f t="shared" si="232"/>
        <v/>
      </c>
      <c r="AB945" s="14" t="str">
        <f t="shared" si="233"/>
        <v/>
      </c>
      <c r="AC945" s="14" t="str">
        <f t="shared" si="234"/>
        <v/>
      </c>
      <c r="AD945" s="14" t="str">
        <f t="shared" si="235"/>
        <v/>
      </c>
    </row>
    <row r="946" spans="2:30" x14ac:dyDescent="0.3">
      <c r="B946" s="13" t="str" cm="1">
        <f t="array" ref="B946">IF($A946="","",_xlfn.LET(_xlpm.p,IFERROR(INDEX(tblDados[País],MATCH($A946,TRIM(tblDados[Mandante]),0)),INDEX(tblDados[País],MATCH($A946,TRIM(tblDados[Visitante]),0))),_xlpm.l,IFERROR(INDEX(tblDados[Liga],MATCH($A946,TRIM(tblDados[Mandante]),0)),INDEX(tblDados[Liga],MATCH($A946,TRIM(tblDados[Visitante]),0))),_xlpm.p&amp;" - "&amp;_xlpm.l))</f>
        <v/>
      </c>
      <c r="C946" s="14" t="str">
        <f t="shared" si="236"/>
        <v/>
      </c>
      <c r="D946" s="14" t="str">
        <f t="shared" si="237"/>
        <v/>
      </c>
      <c r="E946" s="15" t="str" cm="1">
        <f t="array" ref="E946">IF($A946="","",SUMPRODUCT((TRIM(tblDados[Mandante])=$A946)*tblDados[Primeira_Ocorrencia]))</f>
        <v/>
      </c>
      <c r="F946" s="15" t="str" cm="1">
        <f t="array" ref="F946">IF($A946="","",SUMPRODUCT((TRIM(tblDados[Visitante])=$A946)*tblDados[Primeira_Ocorrencia]))</f>
        <v/>
      </c>
      <c r="G946" s="15" t="str" cm="1">
        <f t="array" ref="G946">IF($A946="","",SUMPRODUCT((TRIM(tblDados[Mandante])=$A946)*tblDados[Primeira_Ocorrencia])+SUMPRODUCT((TRIM(tblDados[Visitante])=$A946)*tblDados[Primeira_Ocorrencia]))</f>
        <v/>
      </c>
      <c r="H946" s="14" t="str">
        <f t="shared" si="238"/>
        <v/>
      </c>
      <c r="I946" s="14" t="str" cm="1">
        <f t="array" ref="I946">IF($A946="","",_xlfn.LET(_xlpm.p,IFERROR(INDEX(tblDados[País],MATCH($A946,TRIM(tblDados[Mandante]),0)),INDEX(tblDados[País],MATCH($A946,TRIM(tblDados[Visitante]),0))),_xlpm.l,IFERROR(INDEX(tblDados[Liga],MATCH($A946,TRIM(tblDados[Mandante]),0)),INDEX(tblDados[Liga],MATCH($A946,TRIM(tblDados[Visitante]),0))),IFERROR(SUMIFS(Ligas!$D$2:$D$39,Ligas!$H$2:$H$39,_xlpm.p,Ligas!$I$2:$I$39,_xlpm.l),0)))</f>
        <v/>
      </c>
      <c r="J946" s="16" t="str" cm="1">
        <f t="array" ref="J946">IF($A946="","",IFERROR((SUMPRODUCT((TRIM(tblDados[Mandante])=$A946)*tblDados[Primeira_Ocorrencia]*(tblDados[GM_M]=0))+SUMPRODUCT((TRIM(tblDados[Visitante])=$A946)*tblDados[Primeira_Ocorrencia]*(tblDados[GM_V]=0)))/G946,0))</f>
        <v/>
      </c>
      <c r="K946" s="16" t="str" cm="1">
        <f t="array" ref="K946">IF($A946="","",IFERROR((SUMPRODUCT((TRIM(tblDados[Mandante])=$A946)*tblDados[Primeira_Ocorrencia]*((tblDados[GM_M]+tblDados[GS_M])&gt;0.5))+SUMPRODUCT((TRIM(tblDados[Visitante])=$A946)*tblDados[Primeira_Ocorrencia]*((tblDados[GM_V]+tblDados[GS_V])&gt;0.5)))/G946,0))</f>
        <v/>
      </c>
      <c r="L946" s="16" t="str" cm="1">
        <f t="array" ref="L946">IF($A946="","",IFERROR((SUMPRODUCT((TRIM(tblDados[Mandante])=$A946)*tblDados[Primeira_Ocorrencia]*((tblDados[GM_M]+tblDados[GS_M])&gt;1.5))+SUMPRODUCT((TRIM(tblDados[Visitante])=$A946)*tblDados[Primeira_Ocorrencia]*((tblDados[GM_V]+tblDados[GS_V])&gt;1.5)))/G946,0))</f>
        <v/>
      </c>
      <c r="M946" s="16" t="str" cm="1">
        <f t="array" ref="M946">IF($A946="","",IFERROR((SUMPRODUCT((TRIM(tblDados[Mandante])=$A946)*tblDados[Primeira_Ocorrencia]*((tblDados[GM_M]+tblDados[GS_M])&gt;2.5))+SUMPRODUCT((TRIM(tblDados[Visitante])=$A946)*tblDados[Primeira_Ocorrencia]*((tblDados[GM_V]+tblDados[GS_V])&gt;2.5)))/G946,0))</f>
        <v/>
      </c>
      <c r="N946" s="16" t="str" cm="1">
        <f t="array" ref="N946">IF($A946="","",IFERROR((SUMPRODUCT((TRIM(tblDados[Mandante])=$A946)*tblDados[Primeira_Ocorrencia]*((tblDados[GM_M]+tblDados[GS_M])&gt;3.5))+SUMPRODUCT((TRIM(tblDados[Visitante])=$A946)*tblDados[Primeira_Ocorrencia]*((tblDados[GM_V]+tblDados[GS_V])&gt;3.5)))/G946,0))</f>
        <v/>
      </c>
      <c r="O946" s="16" t="str" cm="1">
        <f t="array" ref="O946">IF($A946="","",IFERROR((SUMPRODUCT((TRIM(tblDados[Mandante])=$A946)*tblDados[Primeira_Ocorrencia]*(tblDados[GM_M]&gt;0)*(tblDados[GS_M]&gt;0))+SUMPRODUCT((TRIM(tblDados[Visitante])=$A946)*tblDados[Primeira_Ocorrencia]*(tblDados[GM_V]&gt;0)*(tblDados[GS_V]&gt;0)))/G946,0))</f>
        <v/>
      </c>
      <c r="P946" s="14" t="str" cm="1">
        <f t="array" ref="P946">IF($A946="","",IFERROR((SUMPRODUCT((TRIM(tblDados[Mandante])=$A946)*tblDados[Primeira_Ocorrencia]*tblDados[GM_M]^2)+SUMPRODUCT((TRIM(tblDados[Visitante])=$A946)*tblDados[Primeira_Ocorrencia]*tblDados[GM_V]^2))/G946-H946^2,0))</f>
        <v/>
      </c>
      <c r="Q946" s="14" t="str">
        <f t="shared" si="239"/>
        <v/>
      </c>
      <c r="R946" s="1" t="str">
        <f t="shared" si="240"/>
        <v/>
      </c>
      <c r="S946" s="14" t="str" cm="1">
        <f t="array" ref="S946">IF($A946="","",SUMPRODUCT((TRIM(tblDados[Mandante])=$A946)*tblDados[Primeira_Ocorrencia]*tblDados[GM_M]))</f>
        <v/>
      </c>
      <c r="T946" s="14" t="str" cm="1">
        <f t="array" ref="T946">IF($A946="","",SUMPRODUCT((TRIM(tblDados[Visitante])=$A946)*tblDados[Primeira_Ocorrencia]*tblDados[GM_V]))</f>
        <v/>
      </c>
      <c r="U946" s="14" t="str">
        <f t="shared" si="241"/>
        <v/>
      </c>
      <c r="V946" s="14" t="str">
        <f t="shared" si="230"/>
        <v/>
      </c>
      <c r="W946" s="14" t="str" cm="1">
        <f t="array" ref="W946">IF($A946="","",SUMPRODUCT((TRIM(tblDados[Mandante])=$A946)*tblDados[Primeira_Ocorrencia]*tblDados[GS_M]))</f>
        <v/>
      </c>
      <c r="X946" s="14" t="str" cm="1">
        <f t="array" ref="X946">IF($A946="","",SUMPRODUCT((TRIM(tblDados[Visitante])=$A946)*tblDados[Primeira_Ocorrencia]*tblDados[GS_V]))</f>
        <v/>
      </c>
      <c r="Y946" s="14" t="str">
        <f t="shared" si="242"/>
        <v/>
      </c>
      <c r="Z946" s="14" t="str">
        <f t="shared" si="231"/>
        <v/>
      </c>
      <c r="AA946" s="14" t="str">
        <f t="shared" si="232"/>
        <v/>
      </c>
      <c r="AB946" s="14" t="str">
        <f t="shared" si="233"/>
        <v/>
      </c>
      <c r="AC946" s="14" t="str">
        <f t="shared" si="234"/>
        <v/>
      </c>
      <c r="AD946" s="14" t="str">
        <f t="shared" si="235"/>
        <v/>
      </c>
    </row>
    <row r="947" spans="2:30" x14ac:dyDescent="0.3">
      <c r="B947" s="13" t="str" cm="1">
        <f t="array" ref="B947">IF($A947="","",_xlfn.LET(_xlpm.p,IFERROR(INDEX(tblDados[País],MATCH($A947,TRIM(tblDados[Mandante]),0)),INDEX(tblDados[País],MATCH($A947,TRIM(tblDados[Visitante]),0))),_xlpm.l,IFERROR(INDEX(tblDados[Liga],MATCH($A947,TRIM(tblDados[Mandante]),0)),INDEX(tblDados[Liga],MATCH($A947,TRIM(tblDados[Visitante]),0))),_xlpm.p&amp;" - "&amp;_xlpm.l))</f>
        <v/>
      </c>
      <c r="C947" s="14" t="str">
        <f t="shared" si="236"/>
        <v/>
      </c>
      <c r="D947" s="14" t="str">
        <f t="shared" si="237"/>
        <v/>
      </c>
      <c r="E947" s="15" t="str" cm="1">
        <f t="array" ref="E947">IF($A947="","",SUMPRODUCT((TRIM(tblDados[Mandante])=$A947)*tblDados[Primeira_Ocorrencia]))</f>
        <v/>
      </c>
      <c r="F947" s="15" t="str" cm="1">
        <f t="array" ref="F947">IF($A947="","",SUMPRODUCT((TRIM(tblDados[Visitante])=$A947)*tblDados[Primeira_Ocorrencia]))</f>
        <v/>
      </c>
      <c r="G947" s="15" t="str" cm="1">
        <f t="array" ref="G947">IF($A947="","",SUMPRODUCT((TRIM(tblDados[Mandante])=$A947)*tblDados[Primeira_Ocorrencia])+SUMPRODUCT((TRIM(tblDados[Visitante])=$A947)*tblDados[Primeira_Ocorrencia]))</f>
        <v/>
      </c>
      <c r="H947" s="14" t="str">
        <f t="shared" si="238"/>
        <v/>
      </c>
      <c r="I947" s="14" t="str" cm="1">
        <f t="array" ref="I947">IF($A947="","",_xlfn.LET(_xlpm.p,IFERROR(INDEX(tblDados[País],MATCH($A947,TRIM(tblDados[Mandante]),0)),INDEX(tblDados[País],MATCH($A947,TRIM(tblDados[Visitante]),0))),_xlpm.l,IFERROR(INDEX(tblDados[Liga],MATCH($A947,TRIM(tblDados[Mandante]),0)),INDEX(tblDados[Liga],MATCH($A947,TRIM(tblDados[Visitante]),0))),IFERROR(SUMIFS(Ligas!$D$2:$D$39,Ligas!$H$2:$H$39,_xlpm.p,Ligas!$I$2:$I$39,_xlpm.l),0)))</f>
        <v/>
      </c>
      <c r="J947" s="16" t="str" cm="1">
        <f t="array" ref="J947">IF($A947="","",IFERROR((SUMPRODUCT((TRIM(tblDados[Mandante])=$A947)*tblDados[Primeira_Ocorrencia]*(tblDados[GM_M]=0))+SUMPRODUCT((TRIM(tblDados[Visitante])=$A947)*tblDados[Primeira_Ocorrencia]*(tblDados[GM_V]=0)))/G947,0))</f>
        <v/>
      </c>
      <c r="K947" s="16" t="str" cm="1">
        <f t="array" ref="K947">IF($A947="","",IFERROR((SUMPRODUCT((TRIM(tblDados[Mandante])=$A947)*tblDados[Primeira_Ocorrencia]*((tblDados[GM_M]+tblDados[GS_M])&gt;0.5))+SUMPRODUCT((TRIM(tblDados[Visitante])=$A947)*tblDados[Primeira_Ocorrencia]*((tblDados[GM_V]+tblDados[GS_V])&gt;0.5)))/G947,0))</f>
        <v/>
      </c>
      <c r="L947" s="16" t="str" cm="1">
        <f t="array" ref="L947">IF($A947="","",IFERROR((SUMPRODUCT((TRIM(tblDados[Mandante])=$A947)*tblDados[Primeira_Ocorrencia]*((tblDados[GM_M]+tblDados[GS_M])&gt;1.5))+SUMPRODUCT((TRIM(tblDados[Visitante])=$A947)*tblDados[Primeira_Ocorrencia]*((tblDados[GM_V]+tblDados[GS_V])&gt;1.5)))/G947,0))</f>
        <v/>
      </c>
      <c r="M947" s="16" t="str" cm="1">
        <f t="array" ref="M947">IF($A947="","",IFERROR((SUMPRODUCT((TRIM(tblDados[Mandante])=$A947)*tblDados[Primeira_Ocorrencia]*((tblDados[GM_M]+tblDados[GS_M])&gt;2.5))+SUMPRODUCT((TRIM(tblDados[Visitante])=$A947)*tblDados[Primeira_Ocorrencia]*((tblDados[GM_V]+tblDados[GS_V])&gt;2.5)))/G947,0))</f>
        <v/>
      </c>
      <c r="N947" s="16" t="str" cm="1">
        <f t="array" ref="N947">IF($A947="","",IFERROR((SUMPRODUCT((TRIM(tblDados[Mandante])=$A947)*tblDados[Primeira_Ocorrencia]*((tblDados[GM_M]+tblDados[GS_M])&gt;3.5))+SUMPRODUCT((TRIM(tblDados[Visitante])=$A947)*tblDados[Primeira_Ocorrencia]*((tblDados[GM_V]+tblDados[GS_V])&gt;3.5)))/G947,0))</f>
        <v/>
      </c>
      <c r="O947" s="16" t="str" cm="1">
        <f t="array" ref="O947">IF($A947="","",IFERROR((SUMPRODUCT((TRIM(tblDados[Mandante])=$A947)*tblDados[Primeira_Ocorrencia]*(tblDados[GM_M]&gt;0)*(tblDados[GS_M]&gt;0))+SUMPRODUCT((TRIM(tblDados[Visitante])=$A947)*tblDados[Primeira_Ocorrencia]*(tblDados[GM_V]&gt;0)*(tblDados[GS_V]&gt;0)))/G947,0))</f>
        <v/>
      </c>
      <c r="P947" s="14" t="str" cm="1">
        <f t="array" ref="P947">IF($A947="","",IFERROR((SUMPRODUCT((TRIM(tblDados[Mandante])=$A947)*tblDados[Primeira_Ocorrencia]*tblDados[GM_M]^2)+SUMPRODUCT((TRIM(tblDados[Visitante])=$A947)*tblDados[Primeira_Ocorrencia]*tblDados[GM_V]^2))/G947-H947^2,0))</f>
        <v/>
      </c>
      <c r="Q947" s="14" t="str">
        <f t="shared" si="239"/>
        <v/>
      </c>
      <c r="R947" s="1" t="str">
        <f t="shared" si="240"/>
        <v/>
      </c>
      <c r="S947" s="14" t="str" cm="1">
        <f t="array" ref="S947">IF($A947="","",SUMPRODUCT((TRIM(tblDados[Mandante])=$A947)*tblDados[Primeira_Ocorrencia]*tblDados[GM_M]))</f>
        <v/>
      </c>
      <c r="T947" s="14" t="str" cm="1">
        <f t="array" ref="T947">IF($A947="","",SUMPRODUCT((TRIM(tblDados[Visitante])=$A947)*tblDados[Primeira_Ocorrencia]*tblDados[GM_V]))</f>
        <v/>
      </c>
      <c r="U947" s="14" t="str">
        <f t="shared" si="241"/>
        <v/>
      </c>
      <c r="V947" s="14" t="str">
        <f t="shared" si="230"/>
        <v/>
      </c>
      <c r="W947" s="14" t="str" cm="1">
        <f t="array" ref="W947">IF($A947="","",SUMPRODUCT((TRIM(tblDados[Mandante])=$A947)*tblDados[Primeira_Ocorrencia]*tblDados[GS_M]))</f>
        <v/>
      </c>
      <c r="X947" s="14" t="str" cm="1">
        <f t="array" ref="X947">IF($A947="","",SUMPRODUCT((TRIM(tblDados[Visitante])=$A947)*tblDados[Primeira_Ocorrencia]*tblDados[GS_V]))</f>
        <v/>
      </c>
      <c r="Y947" s="14" t="str">
        <f t="shared" si="242"/>
        <v/>
      </c>
      <c r="Z947" s="14" t="str">
        <f t="shared" si="231"/>
        <v/>
      </c>
      <c r="AA947" s="14" t="str">
        <f t="shared" si="232"/>
        <v/>
      </c>
      <c r="AB947" s="14" t="str">
        <f t="shared" si="233"/>
        <v/>
      </c>
      <c r="AC947" s="14" t="str">
        <f t="shared" si="234"/>
        <v/>
      </c>
      <c r="AD947" s="14" t="str">
        <f t="shared" si="235"/>
        <v/>
      </c>
    </row>
    <row r="948" spans="2:30" x14ac:dyDescent="0.3">
      <c r="B948" s="13" t="str" cm="1">
        <f t="array" ref="B948">IF($A948="","",_xlfn.LET(_xlpm.p,IFERROR(INDEX(tblDados[País],MATCH($A948,TRIM(tblDados[Mandante]),0)),INDEX(tblDados[País],MATCH($A948,TRIM(tblDados[Visitante]),0))),_xlpm.l,IFERROR(INDEX(tblDados[Liga],MATCH($A948,TRIM(tblDados[Mandante]),0)),INDEX(tblDados[Liga],MATCH($A948,TRIM(tblDados[Visitante]),0))),_xlpm.p&amp;" - "&amp;_xlpm.l))</f>
        <v/>
      </c>
      <c r="C948" s="14" t="str">
        <f t="shared" si="236"/>
        <v/>
      </c>
      <c r="D948" s="14" t="str">
        <f t="shared" si="237"/>
        <v/>
      </c>
      <c r="E948" s="15" t="str" cm="1">
        <f t="array" ref="E948">IF($A948="","",SUMPRODUCT((TRIM(tblDados[Mandante])=$A948)*tblDados[Primeira_Ocorrencia]))</f>
        <v/>
      </c>
      <c r="F948" s="15" t="str" cm="1">
        <f t="array" ref="F948">IF($A948="","",SUMPRODUCT((TRIM(tblDados[Visitante])=$A948)*tblDados[Primeira_Ocorrencia]))</f>
        <v/>
      </c>
      <c r="G948" s="15" t="str" cm="1">
        <f t="array" ref="G948">IF($A948="","",SUMPRODUCT((TRIM(tblDados[Mandante])=$A948)*tblDados[Primeira_Ocorrencia])+SUMPRODUCT((TRIM(tblDados[Visitante])=$A948)*tblDados[Primeira_Ocorrencia]))</f>
        <v/>
      </c>
      <c r="H948" s="14" t="str">
        <f t="shared" si="238"/>
        <v/>
      </c>
      <c r="I948" s="14" t="str" cm="1">
        <f t="array" ref="I948">IF($A948="","",_xlfn.LET(_xlpm.p,IFERROR(INDEX(tblDados[País],MATCH($A948,TRIM(tblDados[Mandante]),0)),INDEX(tblDados[País],MATCH($A948,TRIM(tblDados[Visitante]),0))),_xlpm.l,IFERROR(INDEX(tblDados[Liga],MATCH($A948,TRIM(tblDados[Mandante]),0)),INDEX(tblDados[Liga],MATCH($A948,TRIM(tblDados[Visitante]),0))),IFERROR(SUMIFS(Ligas!$D$2:$D$39,Ligas!$H$2:$H$39,_xlpm.p,Ligas!$I$2:$I$39,_xlpm.l),0)))</f>
        <v/>
      </c>
      <c r="J948" s="16" t="str" cm="1">
        <f t="array" ref="J948">IF($A948="","",IFERROR((SUMPRODUCT((TRIM(tblDados[Mandante])=$A948)*tblDados[Primeira_Ocorrencia]*(tblDados[GM_M]=0))+SUMPRODUCT((TRIM(tblDados[Visitante])=$A948)*tblDados[Primeira_Ocorrencia]*(tblDados[GM_V]=0)))/G948,0))</f>
        <v/>
      </c>
      <c r="K948" s="16" t="str" cm="1">
        <f t="array" ref="K948">IF($A948="","",IFERROR((SUMPRODUCT((TRIM(tblDados[Mandante])=$A948)*tblDados[Primeira_Ocorrencia]*((tblDados[GM_M]+tblDados[GS_M])&gt;0.5))+SUMPRODUCT((TRIM(tblDados[Visitante])=$A948)*tblDados[Primeira_Ocorrencia]*((tblDados[GM_V]+tblDados[GS_V])&gt;0.5)))/G948,0))</f>
        <v/>
      </c>
      <c r="L948" s="16" t="str" cm="1">
        <f t="array" ref="L948">IF($A948="","",IFERROR((SUMPRODUCT((TRIM(tblDados[Mandante])=$A948)*tblDados[Primeira_Ocorrencia]*((tblDados[GM_M]+tblDados[GS_M])&gt;1.5))+SUMPRODUCT((TRIM(tblDados[Visitante])=$A948)*tblDados[Primeira_Ocorrencia]*((tblDados[GM_V]+tblDados[GS_V])&gt;1.5)))/G948,0))</f>
        <v/>
      </c>
      <c r="M948" s="16" t="str" cm="1">
        <f t="array" ref="M948">IF($A948="","",IFERROR((SUMPRODUCT((TRIM(tblDados[Mandante])=$A948)*tblDados[Primeira_Ocorrencia]*((tblDados[GM_M]+tblDados[GS_M])&gt;2.5))+SUMPRODUCT((TRIM(tblDados[Visitante])=$A948)*tblDados[Primeira_Ocorrencia]*((tblDados[GM_V]+tblDados[GS_V])&gt;2.5)))/G948,0))</f>
        <v/>
      </c>
      <c r="N948" s="16" t="str" cm="1">
        <f t="array" ref="N948">IF($A948="","",IFERROR((SUMPRODUCT((TRIM(tblDados[Mandante])=$A948)*tblDados[Primeira_Ocorrencia]*((tblDados[GM_M]+tblDados[GS_M])&gt;3.5))+SUMPRODUCT((TRIM(tblDados[Visitante])=$A948)*tblDados[Primeira_Ocorrencia]*((tblDados[GM_V]+tblDados[GS_V])&gt;3.5)))/G948,0))</f>
        <v/>
      </c>
      <c r="O948" s="16" t="str" cm="1">
        <f t="array" ref="O948">IF($A948="","",IFERROR((SUMPRODUCT((TRIM(tblDados[Mandante])=$A948)*tblDados[Primeira_Ocorrencia]*(tblDados[GM_M]&gt;0)*(tblDados[GS_M]&gt;0))+SUMPRODUCT((TRIM(tblDados[Visitante])=$A948)*tblDados[Primeira_Ocorrencia]*(tblDados[GM_V]&gt;0)*(tblDados[GS_V]&gt;0)))/G948,0))</f>
        <v/>
      </c>
      <c r="P948" s="14" t="str" cm="1">
        <f t="array" ref="P948">IF($A948="","",IFERROR((SUMPRODUCT((TRIM(tblDados[Mandante])=$A948)*tblDados[Primeira_Ocorrencia]*tblDados[GM_M]^2)+SUMPRODUCT((TRIM(tblDados[Visitante])=$A948)*tblDados[Primeira_Ocorrencia]*tblDados[GM_V]^2))/G948-H948^2,0))</f>
        <v/>
      </c>
      <c r="Q948" s="14" t="str">
        <f t="shared" si="239"/>
        <v/>
      </c>
      <c r="R948" s="1" t="str">
        <f t="shared" si="240"/>
        <v/>
      </c>
      <c r="S948" s="14" t="str" cm="1">
        <f t="array" ref="S948">IF($A948="","",SUMPRODUCT((TRIM(tblDados[Mandante])=$A948)*tblDados[Primeira_Ocorrencia]*tblDados[GM_M]))</f>
        <v/>
      </c>
      <c r="T948" s="14" t="str" cm="1">
        <f t="array" ref="T948">IF($A948="","",SUMPRODUCT((TRIM(tblDados[Visitante])=$A948)*tblDados[Primeira_Ocorrencia]*tblDados[GM_V]))</f>
        <v/>
      </c>
      <c r="U948" s="14" t="str">
        <f t="shared" si="241"/>
        <v/>
      </c>
      <c r="V948" s="14" t="str">
        <f t="shared" si="230"/>
        <v/>
      </c>
      <c r="W948" s="14" t="str" cm="1">
        <f t="array" ref="W948">IF($A948="","",SUMPRODUCT((TRIM(tblDados[Mandante])=$A948)*tblDados[Primeira_Ocorrencia]*tblDados[GS_M]))</f>
        <v/>
      </c>
      <c r="X948" s="14" t="str" cm="1">
        <f t="array" ref="X948">IF($A948="","",SUMPRODUCT((TRIM(tblDados[Visitante])=$A948)*tblDados[Primeira_Ocorrencia]*tblDados[GS_V]))</f>
        <v/>
      </c>
      <c r="Y948" s="14" t="str">
        <f t="shared" si="242"/>
        <v/>
      </c>
      <c r="Z948" s="14" t="str">
        <f t="shared" si="231"/>
        <v/>
      </c>
      <c r="AA948" s="14" t="str">
        <f t="shared" si="232"/>
        <v/>
      </c>
      <c r="AB948" s="14" t="str">
        <f t="shared" si="233"/>
        <v/>
      </c>
      <c r="AC948" s="14" t="str">
        <f t="shared" si="234"/>
        <v/>
      </c>
      <c r="AD948" s="14" t="str">
        <f t="shared" si="235"/>
        <v/>
      </c>
    </row>
    <row r="949" spans="2:30" x14ac:dyDescent="0.3">
      <c r="B949" s="13" t="str" cm="1">
        <f t="array" ref="B949">IF($A949="","",_xlfn.LET(_xlpm.p,IFERROR(INDEX(tblDados[País],MATCH($A949,TRIM(tblDados[Mandante]),0)),INDEX(tblDados[País],MATCH($A949,TRIM(tblDados[Visitante]),0))),_xlpm.l,IFERROR(INDEX(tblDados[Liga],MATCH($A949,TRIM(tblDados[Mandante]),0)),INDEX(tblDados[Liga],MATCH($A949,TRIM(tblDados[Visitante]),0))),_xlpm.p&amp;" - "&amp;_xlpm.l))</f>
        <v/>
      </c>
      <c r="C949" s="14" t="str">
        <f t="shared" si="236"/>
        <v/>
      </c>
      <c r="D949" s="14" t="str">
        <f t="shared" si="237"/>
        <v/>
      </c>
      <c r="E949" s="15" t="str" cm="1">
        <f t="array" ref="E949">IF($A949="","",SUMPRODUCT((TRIM(tblDados[Mandante])=$A949)*tblDados[Primeira_Ocorrencia]))</f>
        <v/>
      </c>
      <c r="F949" s="15" t="str" cm="1">
        <f t="array" ref="F949">IF($A949="","",SUMPRODUCT((TRIM(tblDados[Visitante])=$A949)*tblDados[Primeira_Ocorrencia]))</f>
        <v/>
      </c>
      <c r="G949" s="15" t="str" cm="1">
        <f t="array" ref="G949">IF($A949="","",SUMPRODUCT((TRIM(tblDados[Mandante])=$A949)*tblDados[Primeira_Ocorrencia])+SUMPRODUCT((TRIM(tblDados[Visitante])=$A949)*tblDados[Primeira_Ocorrencia]))</f>
        <v/>
      </c>
      <c r="H949" s="14" t="str">
        <f t="shared" si="238"/>
        <v/>
      </c>
      <c r="I949" s="14" t="str" cm="1">
        <f t="array" ref="I949">IF($A949="","",_xlfn.LET(_xlpm.p,IFERROR(INDEX(tblDados[País],MATCH($A949,TRIM(tblDados[Mandante]),0)),INDEX(tblDados[País],MATCH($A949,TRIM(tblDados[Visitante]),0))),_xlpm.l,IFERROR(INDEX(tblDados[Liga],MATCH($A949,TRIM(tblDados[Mandante]),0)),INDEX(tblDados[Liga],MATCH($A949,TRIM(tblDados[Visitante]),0))),IFERROR(SUMIFS(Ligas!$D$2:$D$39,Ligas!$H$2:$H$39,_xlpm.p,Ligas!$I$2:$I$39,_xlpm.l),0)))</f>
        <v/>
      </c>
      <c r="J949" s="16" t="str" cm="1">
        <f t="array" ref="J949">IF($A949="","",IFERROR((SUMPRODUCT((TRIM(tblDados[Mandante])=$A949)*tblDados[Primeira_Ocorrencia]*(tblDados[GM_M]=0))+SUMPRODUCT((TRIM(tblDados[Visitante])=$A949)*tblDados[Primeira_Ocorrencia]*(tblDados[GM_V]=0)))/G949,0))</f>
        <v/>
      </c>
      <c r="K949" s="16" t="str" cm="1">
        <f t="array" ref="K949">IF($A949="","",IFERROR((SUMPRODUCT((TRIM(tblDados[Mandante])=$A949)*tblDados[Primeira_Ocorrencia]*((tblDados[GM_M]+tblDados[GS_M])&gt;0.5))+SUMPRODUCT((TRIM(tblDados[Visitante])=$A949)*tblDados[Primeira_Ocorrencia]*((tblDados[GM_V]+tblDados[GS_V])&gt;0.5)))/G949,0))</f>
        <v/>
      </c>
      <c r="L949" s="16" t="str" cm="1">
        <f t="array" ref="L949">IF($A949="","",IFERROR((SUMPRODUCT((TRIM(tblDados[Mandante])=$A949)*tblDados[Primeira_Ocorrencia]*((tblDados[GM_M]+tblDados[GS_M])&gt;1.5))+SUMPRODUCT((TRIM(tblDados[Visitante])=$A949)*tblDados[Primeira_Ocorrencia]*((tblDados[GM_V]+tblDados[GS_V])&gt;1.5)))/G949,0))</f>
        <v/>
      </c>
      <c r="M949" s="16" t="str" cm="1">
        <f t="array" ref="M949">IF($A949="","",IFERROR((SUMPRODUCT((TRIM(tblDados[Mandante])=$A949)*tblDados[Primeira_Ocorrencia]*((tblDados[GM_M]+tblDados[GS_M])&gt;2.5))+SUMPRODUCT((TRIM(tblDados[Visitante])=$A949)*tblDados[Primeira_Ocorrencia]*((tblDados[GM_V]+tblDados[GS_V])&gt;2.5)))/G949,0))</f>
        <v/>
      </c>
      <c r="N949" s="16" t="str" cm="1">
        <f t="array" ref="N949">IF($A949="","",IFERROR((SUMPRODUCT((TRIM(tblDados[Mandante])=$A949)*tblDados[Primeira_Ocorrencia]*((tblDados[GM_M]+tblDados[GS_M])&gt;3.5))+SUMPRODUCT((TRIM(tblDados[Visitante])=$A949)*tblDados[Primeira_Ocorrencia]*((tblDados[GM_V]+tblDados[GS_V])&gt;3.5)))/G949,0))</f>
        <v/>
      </c>
      <c r="O949" s="16" t="str" cm="1">
        <f t="array" ref="O949">IF($A949="","",IFERROR((SUMPRODUCT((TRIM(tblDados[Mandante])=$A949)*tblDados[Primeira_Ocorrencia]*(tblDados[GM_M]&gt;0)*(tblDados[GS_M]&gt;0))+SUMPRODUCT((TRIM(tblDados[Visitante])=$A949)*tblDados[Primeira_Ocorrencia]*(tblDados[GM_V]&gt;0)*(tblDados[GS_V]&gt;0)))/G949,0))</f>
        <v/>
      </c>
      <c r="P949" s="14" t="str" cm="1">
        <f t="array" ref="P949">IF($A949="","",IFERROR((SUMPRODUCT((TRIM(tblDados[Mandante])=$A949)*tblDados[Primeira_Ocorrencia]*tblDados[GM_M]^2)+SUMPRODUCT((TRIM(tblDados[Visitante])=$A949)*tblDados[Primeira_Ocorrencia]*tblDados[GM_V]^2))/G949-H949^2,0))</f>
        <v/>
      </c>
      <c r="Q949" s="14" t="str">
        <f t="shared" si="239"/>
        <v/>
      </c>
      <c r="R949" s="1" t="str">
        <f t="shared" si="240"/>
        <v/>
      </c>
      <c r="S949" s="14" t="str" cm="1">
        <f t="array" ref="S949">IF($A949="","",SUMPRODUCT((TRIM(tblDados[Mandante])=$A949)*tblDados[Primeira_Ocorrencia]*tblDados[GM_M]))</f>
        <v/>
      </c>
      <c r="T949" s="14" t="str" cm="1">
        <f t="array" ref="T949">IF($A949="","",SUMPRODUCT((TRIM(tblDados[Visitante])=$A949)*tblDados[Primeira_Ocorrencia]*tblDados[GM_V]))</f>
        <v/>
      </c>
      <c r="U949" s="14" t="str">
        <f t="shared" si="241"/>
        <v/>
      </c>
      <c r="V949" s="14" t="str">
        <f t="shared" si="230"/>
        <v/>
      </c>
      <c r="W949" s="14" t="str" cm="1">
        <f t="array" ref="W949">IF($A949="","",SUMPRODUCT((TRIM(tblDados[Mandante])=$A949)*tblDados[Primeira_Ocorrencia]*tblDados[GS_M]))</f>
        <v/>
      </c>
      <c r="X949" s="14" t="str" cm="1">
        <f t="array" ref="X949">IF($A949="","",SUMPRODUCT((TRIM(tblDados[Visitante])=$A949)*tblDados[Primeira_Ocorrencia]*tblDados[GS_V]))</f>
        <v/>
      </c>
      <c r="Y949" s="14" t="str">
        <f t="shared" si="242"/>
        <v/>
      </c>
      <c r="Z949" s="14" t="str">
        <f t="shared" si="231"/>
        <v/>
      </c>
      <c r="AA949" s="14" t="str">
        <f t="shared" si="232"/>
        <v/>
      </c>
      <c r="AB949" s="14" t="str">
        <f t="shared" si="233"/>
        <v/>
      </c>
      <c r="AC949" s="14" t="str">
        <f t="shared" si="234"/>
        <v/>
      </c>
      <c r="AD949" s="14" t="str">
        <f t="shared" si="235"/>
        <v/>
      </c>
    </row>
    <row r="950" spans="2:30" x14ac:dyDescent="0.3">
      <c r="B950" s="13" t="str" cm="1">
        <f t="array" ref="B950">IF($A950="","",_xlfn.LET(_xlpm.p,IFERROR(INDEX(tblDados[País],MATCH($A950,TRIM(tblDados[Mandante]),0)),INDEX(tblDados[País],MATCH($A950,TRIM(tblDados[Visitante]),0))),_xlpm.l,IFERROR(INDEX(tblDados[Liga],MATCH($A950,TRIM(tblDados[Mandante]),0)),INDEX(tblDados[Liga],MATCH($A950,TRIM(tblDados[Visitante]),0))),_xlpm.p&amp;" - "&amp;_xlpm.l))</f>
        <v/>
      </c>
      <c r="C950" s="14" t="str">
        <f t="shared" si="236"/>
        <v/>
      </c>
      <c r="D950" s="14" t="str">
        <f t="shared" si="237"/>
        <v/>
      </c>
      <c r="E950" s="15" t="str" cm="1">
        <f t="array" ref="E950">IF($A950="","",SUMPRODUCT((TRIM(tblDados[Mandante])=$A950)*tblDados[Primeira_Ocorrencia]))</f>
        <v/>
      </c>
      <c r="F950" s="15" t="str" cm="1">
        <f t="array" ref="F950">IF($A950="","",SUMPRODUCT((TRIM(tblDados[Visitante])=$A950)*tblDados[Primeira_Ocorrencia]))</f>
        <v/>
      </c>
      <c r="G950" s="15" t="str" cm="1">
        <f t="array" ref="G950">IF($A950="","",SUMPRODUCT((TRIM(tblDados[Mandante])=$A950)*tblDados[Primeira_Ocorrencia])+SUMPRODUCT((TRIM(tblDados[Visitante])=$A950)*tblDados[Primeira_Ocorrencia]))</f>
        <v/>
      </c>
      <c r="H950" s="14" t="str">
        <f t="shared" si="238"/>
        <v/>
      </c>
      <c r="I950" s="14" t="str" cm="1">
        <f t="array" ref="I950">IF($A950="","",_xlfn.LET(_xlpm.p,IFERROR(INDEX(tblDados[País],MATCH($A950,TRIM(tblDados[Mandante]),0)),INDEX(tblDados[País],MATCH($A950,TRIM(tblDados[Visitante]),0))),_xlpm.l,IFERROR(INDEX(tblDados[Liga],MATCH($A950,TRIM(tblDados[Mandante]),0)),INDEX(tblDados[Liga],MATCH($A950,TRIM(tblDados[Visitante]),0))),IFERROR(SUMIFS(Ligas!$D$2:$D$39,Ligas!$H$2:$H$39,_xlpm.p,Ligas!$I$2:$I$39,_xlpm.l),0)))</f>
        <v/>
      </c>
      <c r="J950" s="16" t="str" cm="1">
        <f t="array" ref="J950">IF($A950="","",IFERROR((SUMPRODUCT((TRIM(tblDados[Mandante])=$A950)*tblDados[Primeira_Ocorrencia]*(tblDados[GM_M]=0))+SUMPRODUCT((TRIM(tblDados[Visitante])=$A950)*tblDados[Primeira_Ocorrencia]*(tblDados[GM_V]=0)))/G950,0))</f>
        <v/>
      </c>
      <c r="K950" s="16" t="str" cm="1">
        <f t="array" ref="K950">IF($A950="","",IFERROR((SUMPRODUCT((TRIM(tblDados[Mandante])=$A950)*tblDados[Primeira_Ocorrencia]*((tblDados[GM_M]+tblDados[GS_M])&gt;0.5))+SUMPRODUCT((TRIM(tblDados[Visitante])=$A950)*tblDados[Primeira_Ocorrencia]*((tblDados[GM_V]+tblDados[GS_V])&gt;0.5)))/G950,0))</f>
        <v/>
      </c>
      <c r="L950" s="16" t="str" cm="1">
        <f t="array" ref="L950">IF($A950="","",IFERROR((SUMPRODUCT((TRIM(tblDados[Mandante])=$A950)*tblDados[Primeira_Ocorrencia]*((tblDados[GM_M]+tblDados[GS_M])&gt;1.5))+SUMPRODUCT((TRIM(tblDados[Visitante])=$A950)*tblDados[Primeira_Ocorrencia]*((tblDados[GM_V]+tblDados[GS_V])&gt;1.5)))/G950,0))</f>
        <v/>
      </c>
      <c r="M950" s="16" t="str" cm="1">
        <f t="array" ref="M950">IF($A950="","",IFERROR((SUMPRODUCT((TRIM(tblDados[Mandante])=$A950)*tblDados[Primeira_Ocorrencia]*((tblDados[GM_M]+tblDados[GS_M])&gt;2.5))+SUMPRODUCT((TRIM(tblDados[Visitante])=$A950)*tblDados[Primeira_Ocorrencia]*((tblDados[GM_V]+tblDados[GS_V])&gt;2.5)))/G950,0))</f>
        <v/>
      </c>
      <c r="N950" s="16" t="str" cm="1">
        <f t="array" ref="N950">IF($A950="","",IFERROR((SUMPRODUCT((TRIM(tblDados[Mandante])=$A950)*tblDados[Primeira_Ocorrencia]*((tblDados[GM_M]+tblDados[GS_M])&gt;3.5))+SUMPRODUCT((TRIM(tblDados[Visitante])=$A950)*tblDados[Primeira_Ocorrencia]*((tblDados[GM_V]+tblDados[GS_V])&gt;3.5)))/G950,0))</f>
        <v/>
      </c>
      <c r="O950" s="16" t="str" cm="1">
        <f t="array" ref="O950">IF($A950="","",IFERROR((SUMPRODUCT((TRIM(tblDados[Mandante])=$A950)*tblDados[Primeira_Ocorrencia]*(tblDados[GM_M]&gt;0)*(tblDados[GS_M]&gt;0))+SUMPRODUCT((TRIM(tblDados[Visitante])=$A950)*tblDados[Primeira_Ocorrencia]*(tblDados[GM_V]&gt;0)*(tblDados[GS_V]&gt;0)))/G950,0))</f>
        <v/>
      </c>
      <c r="P950" s="14" t="str" cm="1">
        <f t="array" ref="P950">IF($A950="","",IFERROR((SUMPRODUCT((TRIM(tblDados[Mandante])=$A950)*tblDados[Primeira_Ocorrencia]*tblDados[GM_M]^2)+SUMPRODUCT((TRIM(tblDados[Visitante])=$A950)*tblDados[Primeira_Ocorrencia]*tblDados[GM_V]^2))/G950-H950^2,0))</f>
        <v/>
      </c>
      <c r="Q950" s="14" t="str">
        <f t="shared" si="239"/>
        <v/>
      </c>
      <c r="R950" s="1" t="str">
        <f t="shared" si="240"/>
        <v/>
      </c>
      <c r="S950" s="14" t="str" cm="1">
        <f t="array" ref="S950">IF($A950="","",SUMPRODUCT((TRIM(tblDados[Mandante])=$A950)*tblDados[Primeira_Ocorrencia]*tblDados[GM_M]))</f>
        <v/>
      </c>
      <c r="T950" s="14" t="str" cm="1">
        <f t="array" ref="T950">IF($A950="","",SUMPRODUCT((TRIM(tblDados[Visitante])=$A950)*tblDados[Primeira_Ocorrencia]*tblDados[GM_V]))</f>
        <v/>
      </c>
      <c r="U950" s="14" t="str">
        <f t="shared" si="241"/>
        <v/>
      </c>
      <c r="V950" s="14" t="str">
        <f t="shared" si="230"/>
        <v/>
      </c>
      <c r="W950" s="14" t="str" cm="1">
        <f t="array" ref="W950">IF($A950="","",SUMPRODUCT((TRIM(tblDados[Mandante])=$A950)*tblDados[Primeira_Ocorrencia]*tblDados[GS_M]))</f>
        <v/>
      </c>
      <c r="X950" s="14" t="str" cm="1">
        <f t="array" ref="X950">IF($A950="","",SUMPRODUCT((TRIM(tblDados[Visitante])=$A950)*tblDados[Primeira_Ocorrencia]*tblDados[GS_V]))</f>
        <v/>
      </c>
      <c r="Y950" s="14" t="str">
        <f t="shared" si="242"/>
        <v/>
      </c>
      <c r="Z950" s="14" t="str">
        <f t="shared" si="231"/>
        <v/>
      </c>
      <c r="AA950" s="14" t="str">
        <f t="shared" si="232"/>
        <v/>
      </c>
      <c r="AB950" s="14" t="str">
        <f t="shared" si="233"/>
        <v/>
      </c>
      <c r="AC950" s="14" t="str">
        <f t="shared" si="234"/>
        <v/>
      </c>
      <c r="AD950" s="14" t="str">
        <f t="shared" si="235"/>
        <v/>
      </c>
    </row>
    <row r="951" spans="2:30" x14ac:dyDescent="0.3">
      <c r="B951" s="13" t="str" cm="1">
        <f t="array" ref="B951">IF($A951="","",_xlfn.LET(_xlpm.p,IFERROR(INDEX(tblDados[País],MATCH($A951,TRIM(tblDados[Mandante]),0)),INDEX(tblDados[País],MATCH($A951,TRIM(tblDados[Visitante]),0))),_xlpm.l,IFERROR(INDEX(tblDados[Liga],MATCH($A951,TRIM(tblDados[Mandante]),0)),INDEX(tblDados[Liga],MATCH($A951,TRIM(tblDados[Visitante]),0))),_xlpm.p&amp;" - "&amp;_xlpm.l))</f>
        <v/>
      </c>
      <c r="C951" s="14" t="str">
        <f t="shared" si="236"/>
        <v/>
      </c>
      <c r="D951" s="14" t="str">
        <f t="shared" si="237"/>
        <v/>
      </c>
      <c r="E951" s="15" t="str" cm="1">
        <f t="array" ref="E951">IF($A951="","",SUMPRODUCT((TRIM(tblDados[Mandante])=$A951)*tblDados[Primeira_Ocorrencia]))</f>
        <v/>
      </c>
      <c r="F951" s="15" t="str" cm="1">
        <f t="array" ref="F951">IF($A951="","",SUMPRODUCT((TRIM(tblDados[Visitante])=$A951)*tblDados[Primeira_Ocorrencia]))</f>
        <v/>
      </c>
      <c r="G951" s="15" t="str" cm="1">
        <f t="array" ref="G951">IF($A951="","",SUMPRODUCT((TRIM(tblDados[Mandante])=$A951)*tblDados[Primeira_Ocorrencia])+SUMPRODUCT((TRIM(tblDados[Visitante])=$A951)*tblDados[Primeira_Ocorrencia]))</f>
        <v/>
      </c>
      <c r="H951" s="14" t="str">
        <f t="shared" si="238"/>
        <v/>
      </c>
      <c r="I951" s="14" t="str" cm="1">
        <f t="array" ref="I951">IF($A951="","",_xlfn.LET(_xlpm.p,IFERROR(INDEX(tblDados[País],MATCH($A951,TRIM(tblDados[Mandante]),0)),INDEX(tblDados[País],MATCH($A951,TRIM(tblDados[Visitante]),0))),_xlpm.l,IFERROR(INDEX(tblDados[Liga],MATCH($A951,TRIM(tblDados[Mandante]),0)),INDEX(tblDados[Liga],MATCH($A951,TRIM(tblDados[Visitante]),0))),IFERROR(SUMIFS(Ligas!$D$2:$D$39,Ligas!$H$2:$H$39,_xlpm.p,Ligas!$I$2:$I$39,_xlpm.l),0)))</f>
        <v/>
      </c>
      <c r="J951" s="16" t="str" cm="1">
        <f t="array" ref="J951">IF($A951="","",IFERROR((SUMPRODUCT((TRIM(tblDados[Mandante])=$A951)*tblDados[Primeira_Ocorrencia]*(tblDados[GM_M]=0))+SUMPRODUCT((TRIM(tblDados[Visitante])=$A951)*tblDados[Primeira_Ocorrencia]*(tblDados[GM_V]=0)))/G951,0))</f>
        <v/>
      </c>
      <c r="K951" s="16" t="str" cm="1">
        <f t="array" ref="K951">IF($A951="","",IFERROR((SUMPRODUCT((TRIM(tblDados[Mandante])=$A951)*tblDados[Primeira_Ocorrencia]*((tblDados[GM_M]+tblDados[GS_M])&gt;0.5))+SUMPRODUCT((TRIM(tblDados[Visitante])=$A951)*tblDados[Primeira_Ocorrencia]*((tblDados[GM_V]+tblDados[GS_V])&gt;0.5)))/G951,0))</f>
        <v/>
      </c>
      <c r="L951" s="16" t="str" cm="1">
        <f t="array" ref="L951">IF($A951="","",IFERROR((SUMPRODUCT((TRIM(tblDados[Mandante])=$A951)*tblDados[Primeira_Ocorrencia]*((tblDados[GM_M]+tblDados[GS_M])&gt;1.5))+SUMPRODUCT((TRIM(tblDados[Visitante])=$A951)*tblDados[Primeira_Ocorrencia]*((tblDados[GM_V]+tblDados[GS_V])&gt;1.5)))/G951,0))</f>
        <v/>
      </c>
      <c r="M951" s="16" t="str" cm="1">
        <f t="array" ref="M951">IF($A951="","",IFERROR((SUMPRODUCT((TRIM(tblDados[Mandante])=$A951)*tblDados[Primeira_Ocorrencia]*((tblDados[GM_M]+tblDados[GS_M])&gt;2.5))+SUMPRODUCT((TRIM(tblDados[Visitante])=$A951)*tblDados[Primeira_Ocorrencia]*((tblDados[GM_V]+tblDados[GS_V])&gt;2.5)))/G951,0))</f>
        <v/>
      </c>
      <c r="N951" s="16" t="str" cm="1">
        <f t="array" ref="N951">IF($A951="","",IFERROR((SUMPRODUCT((TRIM(tblDados[Mandante])=$A951)*tblDados[Primeira_Ocorrencia]*((tblDados[GM_M]+tblDados[GS_M])&gt;3.5))+SUMPRODUCT((TRIM(tblDados[Visitante])=$A951)*tblDados[Primeira_Ocorrencia]*((tblDados[GM_V]+tblDados[GS_V])&gt;3.5)))/G951,0))</f>
        <v/>
      </c>
      <c r="O951" s="16" t="str" cm="1">
        <f t="array" ref="O951">IF($A951="","",IFERROR((SUMPRODUCT((TRIM(tblDados[Mandante])=$A951)*tblDados[Primeira_Ocorrencia]*(tblDados[GM_M]&gt;0)*(tblDados[GS_M]&gt;0))+SUMPRODUCT((TRIM(tblDados[Visitante])=$A951)*tblDados[Primeira_Ocorrencia]*(tblDados[GM_V]&gt;0)*(tblDados[GS_V]&gt;0)))/G951,0))</f>
        <v/>
      </c>
      <c r="P951" s="14" t="str" cm="1">
        <f t="array" ref="P951">IF($A951="","",IFERROR((SUMPRODUCT((TRIM(tblDados[Mandante])=$A951)*tblDados[Primeira_Ocorrencia]*tblDados[GM_M]^2)+SUMPRODUCT((TRIM(tblDados[Visitante])=$A951)*tblDados[Primeira_Ocorrencia]*tblDados[GM_V]^2))/G951-H951^2,0))</f>
        <v/>
      </c>
      <c r="Q951" s="14" t="str">
        <f t="shared" si="239"/>
        <v/>
      </c>
      <c r="R951" s="1" t="str">
        <f t="shared" si="240"/>
        <v/>
      </c>
      <c r="S951" s="14" t="str" cm="1">
        <f t="array" ref="S951">IF($A951="","",SUMPRODUCT((TRIM(tblDados[Mandante])=$A951)*tblDados[Primeira_Ocorrencia]*tblDados[GM_M]))</f>
        <v/>
      </c>
      <c r="T951" s="14" t="str" cm="1">
        <f t="array" ref="T951">IF($A951="","",SUMPRODUCT((TRIM(tblDados[Visitante])=$A951)*tblDados[Primeira_Ocorrencia]*tblDados[GM_V]))</f>
        <v/>
      </c>
      <c r="U951" s="14" t="str">
        <f t="shared" si="241"/>
        <v/>
      </c>
      <c r="V951" s="14" t="str">
        <f t="shared" si="230"/>
        <v/>
      </c>
      <c r="W951" s="14" t="str" cm="1">
        <f t="array" ref="W951">IF($A951="","",SUMPRODUCT((TRIM(tblDados[Mandante])=$A951)*tblDados[Primeira_Ocorrencia]*tblDados[GS_M]))</f>
        <v/>
      </c>
      <c r="X951" s="14" t="str" cm="1">
        <f t="array" ref="X951">IF($A951="","",SUMPRODUCT((TRIM(tblDados[Visitante])=$A951)*tblDados[Primeira_Ocorrencia]*tblDados[GS_V]))</f>
        <v/>
      </c>
      <c r="Y951" s="14" t="str">
        <f t="shared" si="242"/>
        <v/>
      </c>
      <c r="Z951" s="14" t="str">
        <f t="shared" si="231"/>
        <v/>
      </c>
      <c r="AA951" s="14" t="str">
        <f t="shared" si="232"/>
        <v/>
      </c>
      <c r="AB951" s="14" t="str">
        <f t="shared" si="233"/>
        <v/>
      </c>
      <c r="AC951" s="14" t="str">
        <f t="shared" si="234"/>
        <v/>
      </c>
      <c r="AD951" s="14" t="str">
        <f t="shared" si="235"/>
        <v/>
      </c>
    </row>
    <row r="952" spans="2:30" x14ac:dyDescent="0.3">
      <c r="B952" s="13" t="str" cm="1">
        <f t="array" ref="B952">IF($A952="","",_xlfn.LET(_xlpm.p,IFERROR(INDEX(tblDados[País],MATCH($A952,TRIM(tblDados[Mandante]),0)),INDEX(tblDados[País],MATCH($A952,TRIM(tblDados[Visitante]),0))),_xlpm.l,IFERROR(INDEX(tblDados[Liga],MATCH($A952,TRIM(tblDados[Mandante]),0)),INDEX(tblDados[Liga],MATCH($A952,TRIM(tblDados[Visitante]),0))),_xlpm.p&amp;" - "&amp;_xlpm.l))</f>
        <v/>
      </c>
      <c r="C952" s="14" t="str">
        <f t="shared" si="236"/>
        <v/>
      </c>
      <c r="D952" s="14" t="str">
        <f t="shared" si="237"/>
        <v/>
      </c>
      <c r="E952" s="15" t="str" cm="1">
        <f t="array" ref="E952">IF($A952="","",SUMPRODUCT((TRIM(tblDados[Mandante])=$A952)*tblDados[Primeira_Ocorrencia]))</f>
        <v/>
      </c>
      <c r="F952" s="15" t="str" cm="1">
        <f t="array" ref="F952">IF($A952="","",SUMPRODUCT((TRIM(tblDados[Visitante])=$A952)*tblDados[Primeira_Ocorrencia]))</f>
        <v/>
      </c>
      <c r="G952" s="15" t="str" cm="1">
        <f t="array" ref="G952">IF($A952="","",SUMPRODUCT((TRIM(tblDados[Mandante])=$A952)*tblDados[Primeira_Ocorrencia])+SUMPRODUCT((TRIM(tblDados[Visitante])=$A952)*tblDados[Primeira_Ocorrencia]))</f>
        <v/>
      </c>
      <c r="H952" s="14" t="str">
        <f t="shared" si="238"/>
        <v/>
      </c>
      <c r="I952" s="14" t="str" cm="1">
        <f t="array" ref="I952">IF($A952="","",_xlfn.LET(_xlpm.p,IFERROR(INDEX(tblDados[País],MATCH($A952,TRIM(tblDados[Mandante]),0)),INDEX(tblDados[País],MATCH($A952,TRIM(tblDados[Visitante]),0))),_xlpm.l,IFERROR(INDEX(tblDados[Liga],MATCH($A952,TRIM(tblDados[Mandante]),0)),INDEX(tblDados[Liga],MATCH($A952,TRIM(tblDados[Visitante]),0))),IFERROR(SUMIFS(Ligas!$D$2:$D$39,Ligas!$H$2:$H$39,_xlpm.p,Ligas!$I$2:$I$39,_xlpm.l),0)))</f>
        <v/>
      </c>
      <c r="J952" s="16" t="str" cm="1">
        <f t="array" ref="J952">IF($A952="","",IFERROR((SUMPRODUCT((TRIM(tblDados[Mandante])=$A952)*tblDados[Primeira_Ocorrencia]*(tblDados[GM_M]=0))+SUMPRODUCT((TRIM(tblDados[Visitante])=$A952)*tblDados[Primeira_Ocorrencia]*(tblDados[GM_V]=0)))/G952,0))</f>
        <v/>
      </c>
      <c r="K952" s="16" t="str" cm="1">
        <f t="array" ref="K952">IF($A952="","",IFERROR((SUMPRODUCT((TRIM(tblDados[Mandante])=$A952)*tblDados[Primeira_Ocorrencia]*((tblDados[GM_M]+tblDados[GS_M])&gt;0.5))+SUMPRODUCT((TRIM(tblDados[Visitante])=$A952)*tblDados[Primeira_Ocorrencia]*((tblDados[GM_V]+tblDados[GS_V])&gt;0.5)))/G952,0))</f>
        <v/>
      </c>
      <c r="L952" s="16" t="str" cm="1">
        <f t="array" ref="L952">IF($A952="","",IFERROR((SUMPRODUCT((TRIM(tblDados[Mandante])=$A952)*tblDados[Primeira_Ocorrencia]*((tblDados[GM_M]+tblDados[GS_M])&gt;1.5))+SUMPRODUCT((TRIM(tblDados[Visitante])=$A952)*tblDados[Primeira_Ocorrencia]*((tblDados[GM_V]+tblDados[GS_V])&gt;1.5)))/G952,0))</f>
        <v/>
      </c>
      <c r="M952" s="16" t="str" cm="1">
        <f t="array" ref="M952">IF($A952="","",IFERROR((SUMPRODUCT((TRIM(tblDados[Mandante])=$A952)*tblDados[Primeira_Ocorrencia]*((tblDados[GM_M]+tblDados[GS_M])&gt;2.5))+SUMPRODUCT((TRIM(tblDados[Visitante])=$A952)*tblDados[Primeira_Ocorrencia]*((tblDados[GM_V]+tblDados[GS_V])&gt;2.5)))/G952,0))</f>
        <v/>
      </c>
      <c r="N952" s="16" t="str" cm="1">
        <f t="array" ref="N952">IF($A952="","",IFERROR((SUMPRODUCT((TRIM(tblDados[Mandante])=$A952)*tblDados[Primeira_Ocorrencia]*((tblDados[GM_M]+tblDados[GS_M])&gt;3.5))+SUMPRODUCT((TRIM(tblDados[Visitante])=$A952)*tblDados[Primeira_Ocorrencia]*((tblDados[GM_V]+tblDados[GS_V])&gt;3.5)))/G952,0))</f>
        <v/>
      </c>
      <c r="O952" s="16" t="str" cm="1">
        <f t="array" ref="O952">IF($A952="","",IFERROR((SUMPRODUCT((TRIM(tblDados[Mandante])=$A952)*tblDados[Primeira_Ocorrencia]*(tblDados[GM_M]&gt;0)*(tblDados[GS_M]&gt;0))+SUMPRODUCT((TRIM(tblDados[Visitante])=$A952)*tblDados[Primeira_Ocorrencia]*(tblDados[GM_V]&gt;0)*(tblDados[GS_V]&gt;0)))/G952,0))</f>
        <v/>
      </c>
      <c r="P952" s="14" t="str" cm="1">
        <f t="array" ref="P952">IF($A952="","",IFERROR((SUMPRODUCT((TRIM(tblDados[Mandante])=$A952)*tblDados[Primeira_Ocorrencia]*tblDados[GM_M]^2)+SUMPRODUCT((TRIM(tblDados[Visitante])=$A952)*tblDados[Primeira_Ocorrencia]*tblDados[GM_V]^2))/G952-H952^2,0))</f>
        <v/>
      </c>
      <c r="Q952" s="14" t="str">
        <f t="shared" si="239"/>
        <v/>
      </c>
      <c r="R952" s="1" t="str">
        <f t="shared" si="240"/>
        <v/>
      </c>
      <c r="S952" s="14" t="str" cm="1">
        <f t="array" ref="S952">IF($A952="","",SUMPRODUCT((TRIM(tblDados[Mandante])=$A952)*tblDados[Primeira_Ocorrencia]*tblDados[GM_M]))</f>
        <v/>
      </c>
      <c r="T952" s="14" t="str" cm="1">
        <f t="array" ref="T952">IF($A952="","",SUMPRODUCT((TRIM(tblDados[Visitante])=$A952)*tblDados[Primeira_Ocorrencia]*tblDados[GM_V]))</f>
        <v/>
      </c>
      <c r="U952" s="14" t="str">
        <f t="shared" si="241"/>
        <v/>
      </c>
      <c r="V952" s="14" t="str">
        <f t="shared" si="230"/>
        <v/>
      </c>
      <c r="W952" s="14" t="str" cm="1">
        <f t="array" ref="W952">IF($A952="","",SUMPRODUCT((TRIM(tblDados[Mandante])=$A952)*tblDados[Primeira_Ocorrencia]*tblDados[GS_M]))</f>
        <v/>
      </c>
      <c r="X952" s="14" t="str" cm="1">
        <f t="array" ref="X952">IF($A952="","",SUMPRODUCT((TRIM(tblDados[Visitante])=$A952)*tblDados[Primeira_Ocorrencia]*tblDados[GS_V]))</f>
        <v/>
      </c>
      <c r="Y952" s="14" t="str">
        <f t="shared" si="242"/>
        <v/>
      </c>
      <c r="Z952" s="14" t="str">
        <f t="shared" si="231"/>
        <v/>
      </c>
      <c r="AA952" s="14" t="str">
        <f t="shared" si="232"/>
        <v/>
      </c>
      <c r="AB952" s="14" t="str">
        <f t="shared" si="233"/>
        <v/>
      </c>
      <c r="AC952" s="14" t="str">
        <f t="shared" si="234"/>
        <v/>
      </c>
      <c r="AD952" s="14" t="str">
        <f t="shared" si="235"/>
        <v/>
      </c>
    </row>
    <row r="953" spans="2:30" x14ac:dyDescent="0.3">
      <c r="B953" s="13" t="str" cm="1">
        <f t="array" ref="B953">IF($A953="","",_xlfn.LET(_xlpm.p,IFERROR(INDEX(tblDados[País],MATCH($A953,TRIM(tblDados[Mandante]),0)),INDEX(tblDados[País],MATCH($A953,TRIM(tblDados[Visitante]),0))),_xlpm.l,IFERROR(INDEX(tblDados[Liga],MATCH($A953,TRIM(tblDados[Mandante]),0)),INDEX(tblDados[Liga],MATCH($A953,TRIM(tblDados[Visitante]),0))),_xlpm.p&amp;" - "&amp;_xlpm.l))</f>
        <v/>
      </c>
      <c r="C953" s="14" t="str">
        <f t="shared" si="236"/>
        <v/>
      </c>
      <c r="D953" s="14" t="str">
        <f t="shared" si="237"/>
        <v/>
      </c>
      <c r="E953" s="15" t="str" cm="1">
        <f t="array" ref="E953">IF($A953="","",SUMPRODUCT((TRIM(tblDados[Mandante])=$A953)*tblDados[Primeira_Ocorrencia]))</f>
        <v/>
      </c>
      <c r="F953" s="15" t="str" cm="1">
        <f t="array" ref="F953">IF($A953="","",SUMPRODUCT((TRIM(tblDados[Visitante])=$A953)*tblDados[Primeira_Ocorrencia]))</f>
        <v/>
      </c>
      <c r="G953" s="15" t="str" cm="1">
        <f t="array" ref="G953">IF($A953="","",SUMPRODUCT((TRIM(tblDados[Mandante])=$A953)*tblDados[Primeira_Ocorrencia])+SUMPRODUCT((TRIM(tblDados[Visitante])=$A953)*tblDados[Primeira_Ocorrencia]))</f>
        <v/>
      </c>
      <c r="H953" s="14" t="str">
        <f t="shared" si="238"/>
        <v/>
      </c>
      <c r="I953" s="14" t="str" cm="1">
        <f t="array" ref="I953">IF($A953="","",_xlfn.LET(_xlpm.p,IFERROR(INDEX(tblDados[País],MATCH($A953,TRIM(tblDados[Mandante]),0)),INDEX(tblDados[País],MATCH($A953,TRIM(tblDados[Visitante]),0))),_xlpm.l,IFERROR(INDEX(tblDados[Liga],MATCH($A953,TRIM(tblDados[Mandante]),0)),INDEX(tblDados[Liga],MATCH($A953,TRIM(tblDados[Visitante]),0))),IFERROR(SUMIFS(Ligas!$D$2:$D$39,Ligas!$H$2:$H$39,_xlpm.p,Ligas!$I$2:$I$39,_xlpm.l),0)))</f>
        <v/>
      </c>
      <c r="J953" s="16" t="str" cm="1">
        <f t="array" ref="J953">IF($A953="","",IFERROR((SUMPRODUCT((TRIM(tblDados[Mandante])=$A953)*tblDados[Primeira_Ocorrencia]*(tblDados[GM_M]=0))+SUMPRODUCT((TRIM(tblDados[Visitante])=$A953)*tblDados[Primeira_Ocorrencia]*(tblDados[GM_V]=0)))/G953,0))</f>
        <v/>
      </c>
      <c r="K953" s="16" t="str" cm="1">
        <f t="array" ref="K953">IF($A953="","",IFERROR((SUMPRODUCT((TRIM(tblDados[Mandante])=$A953)*tblDados[Primeira_Ocorrencia]*((tblDados[GM_M]+tblDados[GS_M])&gt;0.5))+SUMPRODUCT((TRIM(tblDados[Visitante])=$A953)*tblDados[Primeira_Ocorrencia]*((tblDados[GM_V]+tblDados[GS_V])&gt;0.5)))/G953,0))</f>
        <v/>
      </c>
      <c r="L953" s="16" t="str" cm="1">
        <f t="array" ref="L953">IF($A953="","",IFERROR((SUMPRODUCT((TRIM(tblDados[Mandante])=$A953)*tblDados[Primeira_Ocorrencia]*((tblDados[GM_M]+tblDados[GS_M])&gt;1.5))+SUMPRODUCT((TRIM(tblDados[Visitante])=$A953)*tblDados[Primeira_Ocorrencia]*((tblDados[GM_V]+tblDados[GS_V])&gt;1.5)))/G953,0))</f>
        <v/>
      </c>
      <c r="M953" s="16" t="str" cm="1">
        <f t="array" ref="M953">IF($A953="","",IFERROR((SUMPRODUCT((TRIM(tblDados[Mandante])=$A953)*tblDados[Primeira_Ocorrencia]*((tblDados[GM_M]+tblDados[GS_M])&gt;2.5))+SUMPRODUCT((TRIM(tblDados[Visitante])=$A953)*tblDados[Primeira_Ocorrencia]*((tblDados[GM_V]+tblDados[GS_V])&gt;2.5)))/G953,0))</f>
        <v/>
      </c>
      <c r="N953" s="16" t="str" cm="1">
        <f t="array" ref="N953">IF($A953="","",IFERROR((SUMPRODUCT((TRIM(tblDados[Mandante])=$A953)*tblDados[Primeira_Ocorrencia]*((tblDados[GM_M]+tblDados[GS_M])&gt;3.5))+SUMPRODUCT((TRIM(tblDados[Visitante])=$A953)*tblDados[Primeira_Ocorrencia]*((tblDados[GM_V]+tblDados[GS_V])&gt;3.5)))/G953,0))</f>
        <v/>
      </c>
      <c r="O953" s="16" t="str" cm="1">
        <f t="array" ref="O953">IF($A953="","",IFERROR((SUMPRODUCT((TRIM(tblDados[Mandante])=$A953)*tblDados[Primeira_Ocorrencia]*(tblDados[GM_M]&gt;0)*(tblDados[GS_M]&gt;0))+SUMPRODUCT((TRIM(tblDados[Visitante])=$A953)*tblDados[Primeira_Ocorrencia]*(tblDados[GM_V]&gt;0)*(tblDados[GS_V]&gt;0)))/G953,0))</f>
        <v/>
      </c>
      <c r="P953" s="14" t="str" cm="1">
        <f t="array" ref="P953">IF($A953="","",IFERROR((SUMPRODUCT((TRIM(tblDados[Mandante])=$A953)*tblDados[Primeira_Ocorrencia]*tblDados[GM_M]^2)+SUMPRODUCT((TRIM(tblDados[Visitante])=$A953)*tblDados[Primeira_Ocorrencia]*tblDados[GM_V]^2))/G953-H953^2,0))</f>
        <v/>
      </c>
      <c r="Q953" s="14" t="str">
        <f t="shared" si="239"/>
        <v/>
      </c>
      <c r="R953" s="1" t="str">
        <f t="shared" si="240"/>
        <v/>
      </c>
      <c r="S953" s="14" t="str" cm="1">
        <f t="array" ref="S953">IF($A953="","",SUMPRODUCT((TRIM(tblDados[Mandante])=$A953)*tblDados[Primeira_Ocorrencia]*tblDados[GM_M]))</f>
        <v/>
      </c>
      <c r="T953" s="14" t="str" cm="1">
        <f t="array" ref="T953">IF($A953="","",SUMPRODUCT((TRIM(tblDados[Visitante])=$A953)*tblDados[Primeira_Ocorrencia]*tblDados[GM_V]))</f>
        <v/>
      </c>
      <c r="U953" s="14" t="str">
        <f t="shared" si="241"/>
        <v/>
      </c>
      <c r="V953" s="14" t="str">
        <f t="shared" si="230"/>
        <v/>
      </c>
      <c r="W953" s="14" t="str" cm="1">
        <f t="array" ref="W953">IF($A953="","",SUMPRODUCT((TRIM(tblDados[Mandante])=$A953)*tblDados[Primeira_Ocorrencia]*tblDados[GS_M]))</f>
        <v/>
      </c>
      <c r="X953" s="14" t="str" cm="1">
        <f t="array" ref="X953">IF($A953="","",SUMPRODUCT((TRIM(tblDados[Visitante])=$A953)*tblDados[Primeira_Ocorrencia]*tblDados[GS_V]))</f>
        <v/>
      </c>
      <c r="Y953" s="14" t="str">
        <f t="shared" si="242"/>
        <v/>
      </c>
      <c r="Z953" s="14" t="str">
        <f t="shared" si="231"/>
        <v/>
      </c>
      <c r="AA953" s="14" t="str">
        <f t="shared" si="232"/>
        <v/>
      </c>
      <c r="AB953" s="14" t="str">
        <f t="shared" si="233"/>
        <v/>
      </c>
      <c r="AC953" s="14" t="str">
        <f t="shared" si="234"/>
        <v/>
      </c>
      <c r="AD953" s="14" t="str">
        <f t="shared" si="235"/>
        <v/>
      </c>
    </row>
    <row r="954" spans="2:30" x14ac:dyDescent="0.3">
      <c r="B954" s="13" t="str" cm="1">
        <f t="array" ref="B954">IF($A954="","",_xlfn.LET(_xlpm.p,IFERROR(INDEX(tblDados[País],MATCH($A954,TRIM(tblDados[Mandante]),0)),INDEX(tblDados[País],MATCH($A954,TRIM(tblDados[Visitante]),0))),_xlpm.l,IFERROR(INDEX(tblDados[Liga],MATCH($A954,TRIM(tblDados[Mandante]),0)),INDEX(tblDados[Liga],MATCH($A954,TRIM(tblDados[Visitante]),0))),_xlpm.p&amp;" - "&amp;_xlpm.l))</f>
        <v/>
      </c>
      <c r="C954" s="14" t="str">
        <f t="shared" si="236"/>
        <v/>
      </c>
      <c r="D954" s="14" t="str">
        <f t="shared" si="237"/>
        <v/>
      </c>
      <c r="E954" s="15" t="str" cm="1">
        <f t="array" ref="E954">IF($A954="","",SUMPRODUCT((TRIM(tblDados[Mandante])=$A954)*tblDados[Primeira_Ocorrencia]))</f>
        <v/>
      </c>
      <c r="F954" s="15" t="str" cm="1">
        <f t="array" ref="F954">IF($A954="","",SUMPRODUCT((TRIM(tblDados[Visitante])=$A954)*tblDados[Primeira_Ocorrencia]))</f>
        <v/>
      </c>
      <c r="G954" s="15" t="str" cm="1">
        <f t="array" ref="G954">IF($A954="","",SUMPRODUCT((TRIM(tblDados[Mandante])=$A954)*tblDados[Primeira_Ocorrencia])+SUMPRODUCT((TRIM(tblDados[Visitante])=$A954)*tblDados[Primeira_Ocorrencia]))</f>
        <v/>
      </c>
      <c r="H954" s="14" t="str">
        <f t="shared" si="238"/>
        <v/>
      </c>
      <c r="I954" s="14" t="str" cm="1">
        <f t="array" ref="I954">IF($A954="","",_xlfn.LET(_xlpm.p,IFERROR(INDEX(tblDados[País],MATCH($A954,TRIM(tblDados[Mandante]),0)),INDEX(tblDados[País],MATCH($A954,TRIM(tblDados[Visitante]),0))),_xlpm.l,IFERROR(INDEX(tblDados[Liga],MATCH($A954,TRIM(tblDados[Mandante]),0)),INDEX(tblDados[Liga],MATCH($A954,TRIM(tblDados[Visitante]),0))),IFERROR(SUMIFS(Ligas!$D$2:$D$39,Ligas!$H$2:$H$39,_xlpm.p,Ligas!$I$2:$I$39,_xlpm.l),0)))</f>
        <v/>
      </c>
      <c r="J954" s="16" t="str" cm="1">
        <f t="array" ref="J954">IF($A954="","",IFERROR((SUMPRODUCT((TRIM(tblDados[Mandante])=$A954)*tblDados[Primeira_Ocorrencia]*(tblDados[GM_M]=0))+SUMPRODUCT((TRIM(tblDados[Visitante])=$A954)*tblDados[Primeira_Ocorrencia]*(tblDados[GM_V]=0)))/G954,0))</f>
        <v/>
      </c>
      <c r="K954" s="16" t="str" cm="1">
        <f t="array" ref="K954">IF($A954="","",IFERROR((SUMPRODUCT((TRIM(tblDados[Mandante])=$A954)*tblDados[Primeira_Ocorrencia]*((tblDados[GM_M]+tblDados[GS_M])&gt;0.5))+SUMPRODUCT((TRIM(tblDados[Visitante])=$A954)*tblDados[Primeira_Ocorrencia]*((tblDados[GM_V]+tblDados[GS_V])&gt;0.5)))/G954,0))</f>
        <v/>
      </c>
      <c r="L954" s="16" t="str" cm="1">
        <f t="array" ref="L954">IF($A954="","",IFERROR((SUMPRODUCT((TRIM(tblDados[Mandante])=$A954)*tblDados[Primeira_Ocorrencia]*((tblDados[GM_M]+tblDados[GS_M])&gt;1.5))+SUMPRODUCT((TRIM(tblDados[Visitante])=$A954)*tblDados[Primeira_Ocorrencia]*((tblDados[GM_V]+tblDados[GS_V])&gt;1.5)))/G954,0))</f>
        <v/>
      </c>
      <c r="M954" s="16" t="str" cm="1">
        <f t="array" ref="M954">IF($A954="","",IFERROR((SUMPRODUCT((TRIM(tblDados[Mandante])=$A954)*tblDados[Primeira_Ocorrencia]*((tblDados[GM_M]+tblDados[GS_M])&gt;2.5))+SUMPRODUCT((TRIM(tblDados[Visitante])=$A954)*tblDados[Primeira_Ocorrencia]*((tblDados[GM_V]+tblDados[GS_V])&gt;2.5)))/G954,0))</f>
        <v/>
      </c>
      <c r="N954" s="16" t="str" cm="1">
        <f t="array" ref="N954">IF($A954="","",IFERROR((SUMPRODUCT((TRIM(tblDados[Mandante])=$A954)*tblDados[Primeira_Ocorrencia]*((tblDados[GM_M]+tblDados[GS_M])&gt;3.5))+SUMPRODUCT((TRIM(tblDados[Visitante])=$A954)*tblDados[Primeira_Ocorrencia]*((tblDados[GM_V]+tblDados[GS_V])&gt;3.5)))/G954,0))</f>
        <v/>
      </c>
      <c r="O954" s="16" t="str" cm="1">
        <f t="array" ref="O954">IF($A954="","",IFERROR((SUMPRODUCT((TRIM(tblDados[Mandante])=$A954)*tblDados[Primeira_Ocorrencia]*(tblDados[GM_M]&gt;0)*(tblDados[GS_M]&gt;0))+SUMPRODUCT((TRIM(tblDados[Visitante])=$A954)*tblDados[Primeira_Ocorrencia]*(tblDados[GM_V]&gt;0)*(tblDados[GS_V]&gt;0)))/G954,0))</f>
        <v/>
      </c>
      <c r="P954" s="14" t="str" cm="1">
        <f t="array" ref="P954">IF($A954="","",IFERROR((SUMPRODUCT((TRIM(tblDados[Mandante])=$A954)*tblDados[Primeira_Ocorrencia]*tblDados[GM_M]^2)+SUMPRODUCT((TRIM(tblDados[Visitante])=$A954)*tblDados[Primeira_Ocorrencia]*tblDados[GM_V]^2))/G954-H954^2,0))</f>
        <v/>
      </c>
      <c r="Q954" s="14" t="str">
        <f t="shared" si="239"/>
        <v/>
      </c>
      <c r="R954" s="1" t="str">
        <f t="shared" si="240"/>
        <v/>
      </c>
      <c r="S954" s="14" t="str" cm="1">
        <f t="array" ref="S954">IF($A954="","",SUMPRODUCT((TRIM(tblDados[Mandante])=$A954)*tblDados[Primeira_Ocorrencia]*tblDados[GM_M]))</f>
        <v/>
      </c>
      <c r="T954" s="14" t="str" cm="1">
        <f t="array" ref="T954">IF($A954="","",SUMPRODUCT((TRIM(tblDados[Visitante])=$A954)*tblDados[Primeira_Ocorrencia]*tblDados[GM_V]))</f>
        <v/>
      </c>
      <c r="U954" s="14" t="str">
        <f t="shared" si="241"/>
        <v/>
      </c>
      <c r="V954" s="14" t="str">
        <f t="shared" si="230"/>
        <v/>
      </c>
      <c r="W954" s="14" t="str" cm="1">
        <f t="array" ref="W954">IF($A954="","",SUMPRODUCT((TRIM(tblDados[Mandante])=$A954)*tblDados[Primeira_Ocorrencia]*tblDados[GS_M]))</f>
        <v/>
      </c>
      <c r="X954" s="14" t="str" cm="1">
        <f t="array" ref="X954">IF($A954="","",SUMPRODUCT((TRIM(tblDados[Visitante])=$A954)*tblDados[Primeira_Ocorrencia]*tblDados[GS_V]))</f>
        <v/>
      </c>
      <c r="Y954" s="14" t="str">
        <f t="shared" si="242"/>
        <v/>
      </c>
      <c r="Z954" s="14" t="str">
        <f t="shared" si="231"/>
        <v/>
      </c>
      <c r="AA954" s="14" t="str">
        <f t="shared" si="232"/>
        <v/>
      </c>
      <c r="AB954" s="14" t="str">
        <f t="shared" si="233"/>
        <v/>
      </c>
      <c r="AC954" s="14" t="str">
        <f t="shared" si="234"/>
        <v/>
      </c>
      <c r="AD954" s="14" t="str">
        <f t="shared" si="235"/>
        <v/>
      </c>
    </row>
    <row r="955" spans="2:30" x14ac:dyDescent="0.3">
      <c r="B955" s="13" t="str" cm="1">
        <f t="array" ref="B955">IF($A955="","",_xlfn.LET(_xlpm.p,IFERROR(INDEX(tblDados[País],MATCH($A955,TRIM(tblDados[Mandante]),0)),INDEX(tblDados[País],MATCH($A955,TRIM(tblDados[Visitante]),0))),_xlpm.l,IFERROR(INDEX(tblDados[Liga],MATCH($A955,TRIM(tblDados[Mandante]),0)),INDEX(tblDados[Liga],MATCH($A955,TRIM(tblDados[Visitante]),0))),_xlpm.p&amp;" - "&amp;_xlpm.l))</f>
        <v/>
      </c>
      <c r="C955" s="14" t="str">
        <f t="shared" si="236"/>
        <v/>
      </c>
      <c r="D955" s="14" t="str">
        <f t="shared" si="237"/>
        <v/>
      </c>
      <c r="E955" s="15" t="str" cm="1">
        <f t="array" ref="E955">IF($A955="","",SUMPRODUCT((TRIM(tblDados[Mandante])=$A955)*tblDados[Primeira_Ocorrencia]))</f>
        <v/>
      </c>
      <c r="F955" s="15" t="str" cm="1">
        <f t="array" ref="F955">IF($A955="","",SUMPRODUCT((TRIM(tblDados[Visitante])=$A955)*tblDados[Primeira_Ocorrencia]))</f>
        <v/>
      </c>
      <c r="G955" s="15" t="str" cm="1">
        <f t="array" ref="G955">IF($A955="","",SUMPRODUCT((TRIM(tblDados[Mandante])=$A955)*tblDados[Primeira_Ocorrencia])+SUMPRODUCT((TRIM(tblDados[Visitante])=$A955)*tblDados[Primeira_Ocorrencia]))</f>
        <v/>
      </c>
      <c r="H955" s="14" t="str">
        <f t="shared" si="238"/>
        <v/>
      </c>
      <c r="I955" s="14" t="str" cm="1">
        <f t="array" ref="I955">IF($A955="","",_xlfn.LET(_xlpm.p,IFERROR(INDEX(tblDados[País],MATCH($A955,TRIM(tblDados[Mandante]),0)),INDEX(tblDados[País],MATCH($A955,TRIM(tblDados[Visitante]),0))),_xlpm.l,IFERROR(INDEX(tblDados[Liga],MATCH($A955,TRIM(tblDados[Mandante]),0)),INDEX(tblDados[Liga],MATCH($A955,TRIM(tblDados[Visitante]),0))),IFERROR(SUMIFS(Ligas!$D$2:$D$39,Ligas!$H$2:$H$39,_xlpm.p,Ligas!$I$2:$I$39,_xlpm.l),0)))</f>
        <v/>
      </c>
      <c r="J955" s="16" t="str" cm="1">
        <f t="array" ref="J955">IF($A955="","",IFERROR((SUMPRODUCT((TRIM(tblDados[Mandante])=$A955)*tblDados[Primeira_Ocorrencia]*(tblDados[GM_M]=0))+SUMPRODUCT((TRIM(tblDados[Visitante])=$A955)*tblDados[Primeira_Ocorrencia]*(tblDados[GM_V]=0)))/G955,0))</f>
        <v/>
      </c>
      <c r="K955" s="16" t="str" cm="1">
        <f t="array" ref="K955">IF($A955="","",IFERROR((SUMPRODUCT((TRIM(tblDados[Mandante])=$A955)*tblDados[Primeira_Ocorrencia]*((tblDados[GM_M]+tblDados[GS_M])&gt;0.5))+SUMPRODUCT((TRIM(tblDados[Visitante])=$A955)*tblDados[Primeira_Ocorrencia]*((tblDados[GM_V]+tblDados[GS_V])&gt;0.5)))/G955,0))</f>
        <v/>
      </c>
      <c r="L955" s="16" t="str" cm="1">
        <f t="array" ref="L955">IF($A955="","",IFERROR((SUMPRODUCT((TRIM(tblDados[Mandante])=$A955)*tblDados[Primeira_Ocorrencia]*((tblDados[GM_M]+tblDados[GS_M])&gt;1.5))+SUMPRODUCT((TRIM(tblDados[Visitante])=$A955)*tblDados[Primeira_Ocorrencia]*((tblDados[GM_V]+tblDados[GS_V])&gt;1.5)))/G955,0))</f>
        <v/>
      </c>
      <c r="M955" s="16" t="str" cm="1">
        <f t="array" ref="M955">IF($A955="","",IFERROR((SUMPRODUCT((TRIM(tblDados[Mandante])=$A955)*tblDados[Primeira_Ocorrencia]*((tblDados[GM_M]+tblDados[GS_M])&gt;2.5))+SUMPRODUCT((TRIM(tblDados[Visitante])=$A955)*tblDados[Primeira_Ocorrencia]*((tblDados[GM_V]+tblDados[GS_V])&gt;2.5)))/G955,0))</f>
        <v/>
      </c>
      <c r="N955" s="16" t="str" cm="1">
        <f t="array" ref="N955">IF($A955="","",IFERROR((SUMPRODUCT((TRIM(tblDados[Mandante])=$A955)*tblDados[Primeira_Ocorrencia]*((tblDados[GM_M]+tblDados[GS_M])&gt;3.5))+SUMPRODUCT((TRIM(tblDados[Visitante])=$A955)*tblDados[Primeira_Ocorrencia]*((tblDados[GM_V]+tblDados[GS_V])&gt;3.5)))/G955,0))</f>
        <v/>
      </c>
      <c r="O955" s="16" t="str" cm="1">
        <f t="array" ref="O955">IF($A955="","",IFERROR((SUMPRODUCT((TRIM(tblDados[Mandante])=$A955)*tblDados[Primeira_Ocorrencia]*(tblDados[GM_M]&gt;0)*(tblDados[GS_M]&gt;0))+SUMPRODUCT((TRIM(tblDados[Visitante])=$A955)*tblDados[Primeira_Ocorrencia]*(tblDados[GM_V]&gt;0)*(tblDados[GS_V]&gt;0)))/G955,0))</f>
        <v/>
      </c>
      <c r="P955" s="14" t="str" cm="1">
        <f t="array" ref="P955">IF($A955="","",IFERROR((SUMPRODUCT((TRIM(tblDados[Mandante])=$A955)*tblDados[Primeira_Ocorrencia]*tblDados[GM_M]^2)+SUMPRODUCT((TRIM(tblDados[Visitante])=$A955)*tblDados[Primeira_Ocorrencia]*tblDados[GM_V]^2))/G955-H955^2,0))</f>
        <v/>
      </c>
      <c r="Q955" s="14" t="str">
        <f t="shared" si="239"/>
        <v/>
      </c>
      <c r="R955" s="1" t="str">
        <f t="shared" si="240"/>
        <v/>
      </c>
      <c r="S955" s="14" t="str" cm="1">
        <f t="array" ref="S955">IF($A955="","",SUMPRODUCT((TRIM(tblDados[Mandante])=$A955)*tblDados[Primeira_Ocorrencia]*tblDados[GM_M]))</f>
        <v/>
      </c>
      <c r="T955" s="14" t="str" cm="1">
        <f t="array" ref="T955">IF($A955="","",SUMPRODUCT((TRIM(tblDados[Visitante])=$A955)*tblDados[Primeira_Ocorrencia]*tblDados[GM_V]))</f>
        <v/>
      </c>
      <c r="U955" s="14" t="str">
        <f t="shared" si="241"/>
        <v/>
      </c>
      <c r="V955" s="14" t="str">
        <f t="shared" si="230"/>
        <v/>
      </c>
      <c r="W955" s="14" t="str" cm="1">
        <f t="array" ref="W955">IF($A955="","",SUMPRODUCT((TRIM(tblDados[Mandante])=$A955)*tblDados[Primeira_Ocorrencia]*tblDados[GS_M]))</f>
        <v/>
      </c>
      <c r="X955" s="14" t="str" cm="1">
        <f t="array" ref="X955">IF($A955="","",SUMPRODUCT((TRIM(tblDados[Visitante])=$A955)*tblDados[Primeira_Ocorrencia]*tblDados[GS_V]))</f>
        <v/>
      </c>
      <c r="Y955" s="14" t="str">
        <f t="shared" si="242"/>
        <v/>
      </c>
      <c r="Z955" s="14" t="str">
        <f t="shared" si="231"/>
        <v/>
      </c>
      <c r="AA955" s="14" t="str">
        <f t="shared" si="232"/>
        <v/>
      </c>
      <c r="AB955" s="14" t="str">
        <f t="shared" si="233"/>
        <v/>
      </c>
      <c r="AC955" s="14" t="str">
        <f t="shared" si="234"/>
        <v/>
      </c>
      <c r="AD955" s="14" t="str">
        <f t="shared" si="235"/>
        <v/>
      </c>
    </row>
    <row r="956" spans="2:30" x14ac:dyDescent="0.3">
      <c r="B956" s="13" t="str" cm="1">
        <f t="array" ref="B956">IF($A956="","",_xlfn.LET(_xlpm.p,IFERROR(INDEX(tblDados[País],MATCH($A956,TRIM(tblDados[Mandante]),0)),INDEX(tblDados[País],MATCH($A956,TRIM(tblDados[Visitante]),0))),_xlpm.l,IFERROR(INDEX(tblDados[Liga],MATCH($A956,TRIM(tblDados[Mandante]),0)),INDEX(tblDados[Liga],MATCH($A956,TRIM(tblDados[Visitante]),0))),_xlpm.p&amp;" - "&amp;_xlpm.l))</f>
        <v/>
      </c>
      <c r="C956" s="14" t="str">
        <f t="shared" si="236"/>
        <v/>
      </c>
      <c r="D956" s="14" t="str">
        <f t="shared" si="237"/>
        <v/>
      </c>
      <c r="E956" s="15" t="str" cm="1">
        <f t="array" ref="E956">IF($A956="","",SUMPRODUCT((TRIM(tblDados[Mandante])=$A956)*tblDados[Primeira_Ocorrencia]))</f>
        <v/>
      </c>
      <c r="F956" s="15" t="str" cm="1">
        <f t="array" ref="F956">IF($A956="","",SUMPRODUCT((TRIM(tblDados[Visitante])=$A956)*tblDados[Primeira_Ocorrencia]))</f>
        <v/>
      </c>
      <c r="G956" s="15" t="str" cm="1">
        <f t="array" ref="G956">IF($A956="","",SUMPRODUCT((TRIM(tblDados[Mandante])=$A956)*tblDados[Primeira_Ocorrencia])+SUMPRODUCT((TRIM(tblDados[Visitante])=$A956)*tblDados[Primeira_Ocorrencia]))</f>
        <v/>
      </c>
      <c r="H956" s="14" t="str">
        <f t="shared" si="238"/>
        <v/>
      </c>
      <c r="I956" s="14" t="str" cm="1">
        <f t="array" ref="I956">IF($A956="","",_xlfn.LET(_xlpm.p,IFERROR(INDEX(tblDados[País],MATCH($A956,TRIM(tblDados[Mandante]),0)),INDEX(tblDados[País],MATCH($A956,TRIM(tblDados[Visitante]),0))),_xlpm.l,IFERROR(INDEX(tblDados[Liga],MATCH($A956,TRIM(tblDados[Mandante]),0)),INDEX(tblDados[Liga],MATCH($A956,TRIM(tblDados[Visitante]),0))),IFERROR(SUMIFS(Ligas!$D$2:$D$39,Ligas!$H$2:$H$39,_xlpm.p,Ligas!$I$2:$I$39,_xlpm.l),0)))</f>
        <v/>
      </c>
      <c r="J956" s="16" t="str" cm="1">
        <f t="array" ref="J956">IF($A956="","",IFERROR((SUMPRODUCT((TRIM(tblDados[Mandante])=$A956)*tblDados[Primeira_Ocorrencia]*(tblDados[GM_M]=0))+SUMPRODUCT((TRIM(tblDados[Visitante])=$A956)*tblDados[Primeira_Ocorrencia]*(tblDados[GM_V]=0)))/G956,0))</f>
        <v/>
      </c>
      <c r="K956" s="16" t="str" cm="1">
        <f t="array" ref="K956">IF($A956="","",IFERROR((SUMPRODUCT((TRIM(tblDados[Mandante])=$A956)*tblDados[Primeira_Ocorrencia]*((tblDados[GM_M]+tblDados[GS_M])&gt;0.5))+SUMPRODUCT((TRIM(tblDados[Visitante])=$A956)*tblDados[Primeira_Ocorrencia]*((tblDados[GM_V]+tblDados[GS_V])&gt;0.5)))/G956,0))</f>
        <v/>
      </c>
      <c r="L956" s="16" t="str" cm="1">
        <f t="array" ref="L956">IF($A956="","",IFERROR((SUMPRODUCT((TRIM(tblDados[Mandante])=$A956)*tblDados[Primeira_Ocorrencia]*((tblDados[GM_M]+tblDados[GS_M])&gt;1.5))+SUMPRODUCT((TRIM(tblDados[Visitante])=$A956)*tblDados[Primeira_Ocorrencia]*((tblDados[GM_V]+tblDados[GS_V])&gt;1.5)))/G956,0))</f>
        <v/>
      </c>
      <c r="M956" s="16" t="str" cm="1">
        <f t="array" ref="M956">IF($A956="","",IFERROR((SUMPRODUCT((TRIM(tblDados[Mandante])=$A956)*tblDados[Primeira_Ocorrencia]*((tblDados[GM_M]+tblDados[GS_M])&gt;2.5))+SUMPRODUCT((TRIM(tblDados[Visitante])=$A956)*tblDados[Primeira_Ocorrencia]*((tblDados[GM_V]+tblDados[GS_V])&gt;2.5)))/G956,0))</f>
        <v/>
      </c>
      <c r="N956" s="16" t="str" cm="1">
        <f t="array" ref="N956">IF($A956="","",IFERROR((SUMPRODUCT((TRIM(tblDados[Mandante])=$A956)*tblDados[Primeira_Ocorrencia]*((tblDados[GM_M]+tblDados[GS_M])&gt;3.5))+SUMPRODUCT((TRIM(tblDados[Visitante])=$A956)*tblDados[Primeira_Ocorrencia]*((tblDados[GM_V]+tblDados[GS_V])&gt;3.5)))/G956,0))</f>
        <v/>
      </c>
      <c r="O956" s="16" t="str" cm="1">
        <f t="array" ref="O956">IF($A956="","",IFERROR((SUMPRODUCT((TRIM(tblDados[Mandante])=$A956)*tblDados[Primeira_Ocorrencia]*(tblDados[GM_M]&gt;0)*(tblDados[GS_M]&gt;0))+SUMPRODUCT((TRIM(tblDados[Visitante])=$A956)*tblDados[Primeira_Ocorrencia]*(tblDados[GM_V]&gt;0)*(tblDados[GS_V]&gt;0)))/G956,0))</f>
        <v/>
      </c>
      <c r="P956" s="14" t="str" cm="1">
        <f t="array" ref="P956">IF($A956="","",IFERROR((SUMPRODUCT((TRIM(tblDados[Mandante])=$A956)*tblDados[Primeira_Ocorrencia]*tblDados[GM_M]^2)+SUMPRODUCT((TRIM(tblDados[Visitante])=$A956)*tblDados[Primeira_Ocorrencia]*tblDados[GM_V]^2))/G956-H956^2,0))</f>
        <v/>
      </c>
      <c r="Q956" s="14" t="str">
        <f t="shared" si="239"/>
        <v/>
      </c>
      <c r="R956" s="1" t="str">
        <f t="shared" si="240"/>
        <v/>
      </c>
      <c r="S956" s="14" t="str" cm="1">
        <f t="array" ref="S956">IF($A956="","",SUMPRODUCT((TRIM(tblDados[Mandante])=$A956)*tblDados[Primeira_Ocorrencia]*tblDados[GM_M]))</f>
        <v/>
      </c>
      <c r="T956" s="14" t="str" cm="1">
        <f t="array" ref="T956">IF($A956="","",SUMPRODUCT((TRIM(tblDados[Visitante])=$A956)*tblDados[Primeira_Ocorrencia]*tblDados[GM_V]))</f>
        <v/>
      </c>
      <c r="U956" s="14" t="str">
        <f t="shared" si="241"/>
        <v/>
      </c>
      <c r="V956" s="14" t="str">
        <f t="shared" si="230"/>
        <v/>
      </c>
      <c r="W956" s="14" t="str" cm="1">
        <f t="array" ref="W956">IF($A956="","",SUMPRODUCT((TRIM(tblDados[Mandante])=$A956)*tblDados[Primeira_Ocorrencia]*tblDados[GS_M]))</f>
        <v/>
      </c>
      <c r="X956" s="14" t="str" cm="1">
        <f t="array" ref="X956">IF($A956="","",SUMPRODUCT((TRIM(tblDados[Visitante])=$A956)*tblDados[Primeira_Ocorrencia]*tblDados[GS_V]))</f>
        <v/>
      </c>
      <c r="Y956" s="14" t="str">
        <f t="shared" si="242"/>
        <v/>
      </c>
      <c r="Z956" s="14" t="str">
        <f t="shared" si="231"/>
        <v/>
      </c>
      <c r="AA956" s="14" t="str">
        <f t="shared" si="232"/>
        <v/>
      </c>
      <c r="AB956" s="14" t="str">
        <f t="shared" si="233"/>
        <v/>
      </c>
      <c r="AC956" s="14" t="str">
        <f t="shared" si="234"/>
        <v/>
      </c>
      <c r="AD956" s="14" t="str">
        <f t="shared" si="235"/>
        <v/>
      </c>
    </row>
    <row r="957" spans="2:30" x14ac:dyDescent="0.3">
      <c r="B957" s="13" t="str" cm="1">
        <f t="array" ref="B957">IF($A957="","",_xlfn.LET(_xlpm.p,IFERROR(INDEX(tblDados[País],MATCH($A957,TRIM(tblDados[Mandante]),0)),INDEX(tblDados[País],MATCH($A957,TRIM(tblDados[Visitante]),0))),_xlpm.l,IFERROR(INDEX(tblDados[Liga],MATCH($A957,TRIM(tblDados[Mandante]),0)),INDEX(tblDados[Liga],MATCH($A957,TRIM(tblDados[Visitante]),0))),_xlpm.p&amp;" - "&amp;_xlpm.l))</f>
        <v/>
      </c>
      <c r="C957" s="14" t="str">
        <f t="shared" si="236"/>
        <v/>
      </c>
      <c r="D957" s="14" t="str">
        <f t="shared" si="237"/>
        <v/>
      </c>
      <c r="E957" s="15" t="str" cm="1">
        <f t="array" ref="E957">IF($A957="","",SUMPRODUCT((TRIM(tblDados[Mandante])=$A957)*tblDados[Primeira_Ocorrencia]))</f>
        <v/>
      </c>
      <c r="F957" s="15" t="str" cm="1">
        <f t="array" ref="F957">IF($A957="","",SUMPRODUCT((TRIM(tblDados[Visitante])=$A957)*tblDados[Primeira_Ocorrencia]))</f>
        <v/>
      </c>
      <c r="G957" s="15" t="str" cm="1">
        <f t="array" ref="G957">IF($A957="","",SUMPRODUCT((TRIM(tblDados[Mandante])=$A957)*tblDados[Primeira_Ocorrencia])+SUMPRODUCT((TRIM(tblDados[Visitante])=$A957)*tblDados[Primeira_Ocorrencia]))</f>
        <v/>
      </c>
      <c r="H957" s="14" t="str">
        <f t="shared" si="238"/>
        <v/>
      </c>
      <c r="I957" s="14" t="str" cm="1">
        <f t="array" ref="I957">IF($A957="","",_xlfn.LET(_xlpm.p,IFERROR(INDEX(tblDados[País],MATCH($A957,TRIM(tblDados[Mandante]),0)),INDEX(tblDados[País],MATCH($A957,TRIM(tblDados[Visitante]),0))),_xlpm.l,IFERROR(INDEX(tblDados[Liga],MATCH($A957,TRIM(tblDados[Mandante]),0)),INDEX(tblDados[Liga],MATCH($A957,TRIM(tblDados[Visitante]),0))),IFERROR(SUMIFS(Ligas!$D$2:$D$39,Ligas!$H$2:$H$39,_xlpm.p,Ligas!$I$2:$I$39,_xlpm.l),0)))</f>
        <v/>
      </c>
      <c r="J957" s="16" t="str" cm="1">
        <f t="array" ref="J957">IF($A957="","",IFERROR((SUMPRODUCT((TRIM(tblDados[Mandante])=$A957)*tblDados[Primeira_Ocorrencia]*(tblDados[GM_M]=0))+SUMPRODUCT((TRIM(tblDados[Visitante])=$A957)*tblDados[Primeira_Ocorrencia]*(tblDados[GM_V]=0)))/G957,0))</f>
        <v/>
      </c>
      <c r="K957" s="16" t="str" cm="1">
        <f t="array" ref="K957">IF($A957="","",IFERROR((SUMPRODUCT((TRIM(tblDados[Mandante])=$A957)*tblDados[Primeira_Ocorrencia]*((tblDados[GM_M]+tblDados[GS_M])&gt;0.5))+SUMPRODUCT((TRIM(tblDados[Visitante])=$A957)*tblDados[Primeira_Ocorrencia]*((tblDados[GM_V]+tblDados[GS_V])&gt;0.5)))/G957,0))</f>
        <v/>
      </c>
      <c r="L957" s="16" t="str" cm="1">
        <f t="array" ref="L957">IF($A957="","",IFERROR((SUMPRODUCT((TRIM(tblDados[Mandante])=$A957)*tblDados[Primeira_Ocorrencia]*((tblDados[GM_M]+tblDados[GS_M])&gt;1.5))+SUMPRODUCT((TRIM(tblDados[Visitante])=$A957)*tblDados[Primeira_Ocorrencia]*((tblDados[GM_V]+tblDados[GS_V])&gt;1.5)))/G957,0))</f>
        <v/>
      </c>
      <c r="M957" s="16" t="str" cm="1">
        <f t="array" ref="M957">IF($A957="","",IFERROR((SUMPRODUCT((TRIM(tblDados[Mandante])=$A957)*tblDados[Primeira_Ocorrencia]*((tblDados[GM_M]+tblDados[GS_M])&gt;2.5))+SUMPRODUCT((TRIM(tblDados[Visitante])=$A957)*tblDados[Primeira_Ocorrencia]*((tblDados[GM_V]+tblDados[GS_V])&gt;2.5)))/G957,0))</f>
        <v/>
      </c>
      <c r="N957" s="16" t="str" cm="1">
        <f t="array" ref="N957">IF($A957="","",IFERROR((SUMPRODUCT((TRIM(tblDados[Mandante])=$A957)*tblDados[Primeira_Ocorrencia]*((tblDados[GM_M]+tblDados[GS_M])&gt;3.5))+SUMPRODUCT((TRIM(tblDados[Visitante])=$A957)*tblDados[Primeira_Ocorrencia]*((tblDados[GM_V]+tblDados[GS_V])&gt;3.5)))/G957,0))</f>
        <v/>
      </c>
      <c r="O957" s="16" t="str" cm="1">
        <f t="array" ref="O957">IF($A957="","",IFERROR((SUMPRODUCT((TRIM(tblDados[Mandante])=$A957)*tblDados[Primeira_Ocorrencia]*(tblDados[GM_M]&gt;0)*(tblDados[GS_M]&gt;0))+SUMPRODUCT((TRIM(tblDados[Visitante])=$A957)*tblDados[Primeira_Ocorrencia]*(tblDados[GM_V]&gt;0)*(tblDados[GS_V]&gt;0)))/G957,0))</f>
        <v/>
      </c>
      <c r="P957" s="14" t="str" cm="1">
        <f t="array" ref="P957">IF($A957="","",IFERROR((SUMPRODUCT((TRIM(tblDados[Mandante])=$A957)*tblDados[Primeira_Ocorrencia]*tblDados[GM_M]^2)+SUMPRODUCT((TRIM(tblDados[Visitante])=$A957)*tblDados[Primeira_Ocorrencia]*tblDados[GM_V]^2))/G957-H957^2,0))</f>
        <v/>
      </c>
      <c r="Q957" s="14" t="str">
        <f t="shared" si="239"/>
        <v/>
      </c>
      <c r="R957" s="1" t="str">
        <f t="shared" si="240"/>
        <v/>
      </c>
      <c r="S957" s="14" t="str" cm="1">
        <f t="array" ref="S957">IF($A957="","",SUMPRODUCT((TRIM(tblDados[Mandante])=$A957)*tblDados[Primeira_Ocorrencia]*tblDados[GM_M]))</f>
        <v/>
      </c>
      <c r="T957" s="14" t="str" cm="1">
        <f t="array" ref="T957">IF($A957="","",SUMPRODUCT((TRIM(tblDados[Visitante])=$A957)*tblDados[Primeira_Ocorrencia]*tblDados[GM_V]))</f>
        <v/>
      </c>
      <c r="U957" s="14" t="str">
        <f t="shared" si="241"/>
        <v/>
      </c>
      <c r="V957" s="14" t="str">
        <f t="shared" si="230"/>
        <v/>
      </c>
      <c r="W957" s="14" t="str" cm="1">
        <f t="array" ref="W957">IF($A957="","",SUMPRODUCT((TRIM(tblDados[Mandante])=$A957)*tblDados[Primeira_Ocorrencia]*tblDados[GS_M]))</f>
        <v/>
      </c>
      <c r="X957" s="14" t="str" cm="1">
        <f t="array" ref="X957">IF($A957="","",SUMPRODUCT((TRIM(tblDados[Visitante])=$A957)*tblDados[Primeira_Ocorrencia]*tblDados[GS_V]))</f>
        <v/>
      </c>
      <c r="Y957" s="14" t="str">
        <f t="shared" si="242"/>
        <v/>
      </c>
      <c r="Z957" s="14" t="str">
        <f t="shared" si="231"/>
        <v/>
      </c>
      <c r="AA957" s="14" t="str">
        <f t="shared" si="232"/>
        <v/>
      </c>
      <c r="AB957" s="14" t="str">
        <f t="shared" si="233"/>
        <v/>
      </c>
      <c r="AC957" s="14" t="str">
        <f t="shared" si="234"/>
        <v/>
      </c>
      <c r="AD957" s="14" t="str">
        <f t="shared" si="235"/>
        <v/>
      </c>
    </row>
    <row r="958" spans="2:30" x14ac:dyDescent="0.3">
      <c r="B958" s="13" t="str" cm="1">
        <f t="array" ref="B958">IF($A958="","",_xlfn.LET(_xlpm.p,IFERROR(INDEX(tblDados[País],MATCH($A958,TRIM(tblDados[Mandante]),0)),INDEX(tblDados[País],MATCH($A958,TRIM(tblDados[Visitante]),0))),_xlpm.l,IFERROR(INDEX(tblDados[Liga],MATCH($A958,TRIM(tblDados[Mandante]),0)),INDEX(tblDados[Liga],MATCH($A958,TRIM(tblDados[Visitante]),0))),_xlpm.p&amp;" - "&amp;_xlpm.l))</f>
        <v/>
      </c>
      <c r="C958" s="14" t="str">
        <f t="shared" si="236"/>
        <v/>
      </c>
      <c r="D958" s="14" t="str">
        <f t="shared" si="237"/>
        <v/>
      </c>
      <c r="E958" s="15" t="str" cm="1">
        <f t="array" ref="E958">IF($A958="","",SUMPRODUCT((TRIM(tblDados[Mandante])=$A958)*tblDados[Primeira_Ocorrencia]))</f>
        <v/>
      </c>
      <c r="F958" s="15" t="str" cm="1">
        <f t="array" ref="F958">IF($A958="","",SUMPRODUCT((TRIM(tblDados[Visitante])=$A958)*tblDados[Primeira_Ocorrencia]))</f>
        <v/>
      </c>
      <c r="G958" s="15" t="str" cm="1">
        <f t="array" ref="G958">IF($A958="","",SUMPRODUCT((TRIM(tblDados[Mandante])=$A958)*tblDados[Primeira_Ocorrencia])+SUMPRODUCT((TRIM(tblDados[Visitante])=$A958)*tblDados[Primeira_Ocorrencia]))</f>
        <v/>
      </c>
      <c r="H958" s="14" t="str">
        <f t="shared" si="238"/>
        <v/>
      </c>
      <c r="I958" s="14" t="str" cm="1">
        <f t="array" ref="I958">IF($A958="","",_xlfn.LET(_xlpm.p,IFERROR(INDEX(tblDados[País],MATCH($A958,TRIM(tblDados[Mandante]),0)),INDEX(tblDados[País],MATCH($A958,TRIM(tblDados[Visitante]),0))),_xlpm.l,IFERROR(INDEX(tblDados[Liga],MATCH($A958,TRIM(tblDados[Mandante]),0)),INDEX(tblDados[Liga],MATCH($A958,TRIM(tblDados[Visitante]),0))),IFERROR(SUMIFS(Ligas!$D$2:$D$39,Ligas!$H$2:$H$39,_xlpm.p,Ligas!$I$2:$I$39,_xlpm.l),0)))</f>
        <v/>
      </c>
      <c r="J958" s="16" t="str" cm="1">
        <f t="array" ref="J958">IF($A958="","",IFERROR((SUMPRODUCT((TRIM(tblDados[Mandante])=$A958)*tblDados[Primeira_Ocorrencia]*(tblDados[GM_M]=0))+SUMPRODUCT((TRIM(tblDados[Visitante])=$A958)*tblDados[Primeira_Ocorrencia]*(tblDados[GM_V]=0)))/G958,0))</f>
        <v/>
      </c>
      <c r="K958" s="16" t="str" cm="1">
        <f t="array" ref="K958">IF($A958="","",IFERROR((SUMPRODUCT((TRIM(tblDados[Mandante])=$A958)*tblDados[Primeira_Ocorrencia]*((tblDados[GM_M]+tblDados[GS_M])&gt;0.5))+SUMPRODUCT((TRIM(tblDados[Visitante])=$A958)*tblDados[Primeira_Ocorrencia]*((tblDados[GM_V]+tblDados[GS_V])&gt;0.5)))/G958,0))</f>
        <v/>
      </c>
      <c r="L958" s="16" t="str" cm="1">
        <f t="array" ref="L958">IF($A958="","",IFERROR((SUMPRODUCT((TRIM(tblDados[Mandante])=$A958)*tblDados[Primeira_Ocorrencia]*((tblDados[GM_M]+tblDados[GS_M])&gt;1.5))+SUMPRODUCT((TRIM(tblDados[Visitante])=$A958)*tblDados[Primeira_Ocorrencia]*((tblDados[GM_V]+tblDados[GS_V])&gt;1.5)))/G958,0))</f>
        <v/>
      </c>
      <c r="M958" s="16" t="str" cm="1">
        <f t="array" ref="M958">IF($A958="","",IFERROR((SUMPRODUCT((TRIM(tblDados[Mandante])=$A958)*tblDados[Primeira_Ocorrencia]*((tblDados[GM_M]+tblDados[GS_M])&gt;2.5))+SUMPRODUCT((TRIM(tblDados[Visitante])=$A958)*tblDados[Primeira_Ocorrencia]*((tblDados[GM_V]+tblDados[GS_V])&gt;2.5)))/G958,0))</f>
        <v/>
      </c>
      <c r="N958" s="16" t="str" cm="1">
        <f t="array" ref="N958">IF($A958="","",IFERROR((SUMPRODUCT((TRIM(tblDados[Mandante])=$A958)*tblDados[Primeira_Ocorrencia]*((tblDados[GM_M]+tblDados[GS_M])&gt;3.5))+SUMPRODUCT((TRIM(tblDados[Visitante])=$A958)*tblDados[Primeira_Ocorrencia]*((tblDados[GM_V]+tblDados[GS_V])&gt;3.5)))/G958,0))</f>
        <v/>
      </c>
      <c r="O958" s="16" t="str" cm="1">
        <f t="array" ref="O958">IF($A958="","",IFERROR((SUMPRODUCT((TRIM(tblDados[Mandante])=$A958)*tblDados[Primeira_Ocorrencia]*(tblDados[GM_M]&gt;0)*(tblDados[GS_M]&gt;0))+SUMPRODUCT((TRIM(tblDados[Visitante])=$A958)*tblDados[Primeira_Ocorrencia]*(tblDados[GM_V]&gt;0)*(tblDados[GS_V]&gt;0)))/G958,0))</f>
        <v/>
      </c>
      <c r="P958" s="14" t="str" cm="1">
        <f t="array" ref="P958">IF($A958="","",IFERROR((SUMPRODUCT((TRIM(tblDados[Mandante])=$A958)*tblDados[Primeira_Ocorrencia]*tblDados[GM_M]^2)+SUMPRODUCT((TRIM(tblDados[Visitante])=$A958)*tblDados[Primeira_Ocorrencia]*tblDados[GM_V]^2))/G958-H958^2,0))</f>
        <v/>
      </c>
      <c r="Q958" s="14" t="str">
        <f t="shared" si="239"/>
        <v/>
      </c>
      <c r="R958" s="1" t="str">
        <f t="shared" si="240"/>
        <v/>
      </c>
      <c r="S958" s="14" t="str" cm="1">
        <f t="array" ref="S958">IF($A958="","",SUMPRODUCT((TRIM(tblDados[Mandante])=$A958)*tblDados[Primeira_Ocorrencia]*tblDados[GM_M]))</f>
        <v/>
      </c>
      <c r="T958" s="14" t="str" cm="1">
        <f t="array" ref="T958">IF($A958="","",SUMPRODUCT((TRIM(tblDados[Visitante])=$A958)*tblDados[Primeira_Ocorrencia]*tblDados[GM_V]))</f>
        <v/>
      </c>
      <c r="U958" s="14" t="str">
        <f t="shared" si="241"/>
        <v/>
      </c>
      <c r="V958" s="14" t="str">
        <f t="shared" si="230"/>
        <v/>
      </c>
      <c r="W958" s="14" t="str" cm="1">
        <f t="array" ref="W958">IF($A958="","",SUMPRODUCT((TRIM(tblDados[Mandante])=$A958)*tblDados[Primeira_Ocorrencia]*tblDados[GS_M]))</f>
        <v/>
      </c>
      <c r="X958" s="14" t="str" cm="1">
        <f t="array" ref="X958">IF($A958="","",SUMPRODUCT((TRIM(tblDados[Visitante])=$A958)*tblDados[Primeira_Ocorrencia]*tblDados[GS_V]))</f>
        <v/>
      </c>
      <c r="Y958" s="14" t="str">
        <f t="shared" si="242"/>
        <v/>
      </c>
      <c r="Z958" s="14" t="str">
        <f t="shared" si="231"/>
        <v/>
      </c>
      <c r="AA958" s="14" t="str">
        <f t="shared" si="232"/>
        <v/>
      </c>
      <c r="AB958" s="14" t="str">
        <f t="shared" si="233"/>
        <v/>
      </c>
      <c r="AC958" s="14" t="str">
        <f t="shared" si="234"/>
        <v/>
      </c>
      <c r="AD958" s="14" t="str">
        <f t="shared" si="235"/>
        <v/>
      </c>
    </row>
    <row r="959" spans="2:30" x14ac:dyDescent="0.3">
      <c r="B959" s="13" t="str" cm="1">
        <f t="array" ref="B959">IF($A959="","",_xlfn.LET(_xlpm.p,IFERROR(INDEX(tblDados[País],MATCH($A959,TRIM(tblDados[Mandante]),0)),INDEX(tblDados[País],MATCH($A959,TRIM(tblDados[Visitante]),0))),_xlpm.l,IFERROR(INDEX(tblDados[Liga],MATCH($A959,TRIM(tblDados[Mandante]),0)),INDEX(tblDados[Liga],MATCH($A959,TRIM(tblDados[Visitante]),0))),_xlpm.p&amp;" - "&amp;_xlpm.l))</f>
        <v/>
      </c>
      <c r="C959" s="14" t="str">
        <f t="shared" si="236"/>
        <v/>
      </c>
      <c r="D959" s="14" t="str">
        <f t="shared" si="237"/>
        <v/>
      </c>
      <c r="E959" s="15" t="str" cm="1">
        <f t="array" ref="E959">IF($A959="","",SUMPRODUCT((TRIM(tblDados[Mandante])=$A959)*tblDados[Primeira_Ocorrencia]))</f>
        <v/>
      </c>
      <c r="F959" s="15" t="str" cm="1">
        <f t="array" ref="F959">IF($A959="","",SUMPRODUCT((TRIM(tblDados[Visitante])=$A959)*tblDados[Primeira_Ocorrencia]))</f>
        <v/>
      </c>
      <c r="G959" s="15" t="str" cm="1">
        <f t="array" ref="G959">IF($A959="","",SUMPRODUCT((TRIM(tblDados[Mandante])=$A959)*tblDados[Primeira_Ocorrencia])+SUMPRODUCT((TRIM(tblDados[Visitante])=$A959)*tblDados[Primeira_Ocorrencia]))</f>
        <v/>
      </c>
      <c r="H959" s="14" t="str">
        <f t="shared" si="238"/>
        <v/>
      </c>
      <c r="I959" s="14" t="str" cm="1">
        <f t="array" ref="I959">IF($A959="","",_xlfn.LET(_xlpm.p,IFERROR(INDEX(tblDados[País],MATCH($A959,TRIM(tblDados[Mandante]),0)),INDEX(tblDados[País],MATCH($A959,TRIM(tblDados[Visitante]),0))),_xlpm.l,IFERROR(INDEX(tblDados[Liga],MATCH($A959,TRIM(tblDados[Mandante]),0)),INDEX(tblDados[Liga],MATCH($A959,TRIM(tblDados[Visitante]),0))),IFERROR(SUMIFS(Ligas!$D$2:$D$39,Ligas!$H$2:$H$39,_xlpm.p,Ligas!$I$2:$I$39,_xlpm.l),0)))</f>
        <v/>
      </c>
      <c r="J959" s="16" t="str" cm="1">
        <f t="array" ref="J959">IF($A959="","",IFERROR((SUMPRODUCT((TRIM(tblDados[Mandante])=$A959)*tblDados[Primeira_Ocorrencia]*(tblDados[GM_M]=0))+SUMPRODUCT((TRIM(tblDados[Visitante])=$A959)*tblDados[Primeira_Ocorrencia]*(tblDados[GM_V]=0)))/G959,0))</f>
        <v/>
      </c>
      <c r="K959" s="16" t="str" cm="1">
        <f t="array" ref="K959">IF($A959="","",IFERROR((SUMPRODUCT((TRIM(tblDados[Mandante])=$A959)*tblDados[Primeira_Ocorrencia]*((tblDados[GM_M]+tblDados[GS_M])&gt;0.5))+SUMPRODUCT((TRIM(tblDados[Visitante])=$A959)*tblDados[Primeira_Ocorrencia]*((tblDados[GM_V]+tblDados[GS_V])&gt;0.5)))/G959,0))</f>
        <v/>
      </c>
      <c r="L959" s="16" t="str" cm="1">
        <f t="array" ref="L959">IF($A959="","",IFERROR((SUMPRODUCT((TRIM(tblDados[Mandante])=$A959)*tblDados[Primeira_Ocorrencia]*((tblDados[GM_M]+tblDados[GS_M])&gt;1.5))+SUMPRODUCT((TRIM(tblDados[Visitante])=$A959)*tblDados[Primeira_Ocorrencia]*((tblDados[GM_V]+tblDados[GS_V])&gt;1.5)))/G959,0))</f>
        <v/>
      </c>
      <c r="M959" s="16" t="str" cm="1">
        <f t="array" ref="M959">IF($A959="","",IFERROR((SUMPRODUCT((TRIM(tblDados[Mandante])=$A959)*tblDados[Primeira_Ocorrencia]*((tblDados[GM_M]+tblDados[GS_M])&gt;2.5))+SUMPRODUCT((TRIM(tblDados[Visitante])=$A959)*tblDados[Primeira_Ocorrencia]*((tblDados[GM_V]+tblDados[GS_V])&gt;2.5)))/G959,0))</f>
        <v/>
      </c>
      <c r="N959" s="16" t="str" cm="1">
        <f t="array" ref="N959">IF($A959="","",IFERROR((SUMPRODUCT((TRIM(tblDados[Mandante])=$A959)*tblDados[Primeira_Ocorrencia]*((tblDados[GM_M]+tblDados[GS_M])&gt;3.5))+SUMPRODUCT((TRIM(tblDados[Visitante])=$A959)*tblDados[Primeira_Ocorrencia]*((tblDados[GM_V]+tblDados[GS_V])&gt;3.5)))/G959,0))</f>
        <v/>
      </c>
      <c r="O959" s="16" t="str" cm="1">
        <f t="array" ref="O959">IF($A959="","",IFERROR((SUMPRODUCT((TRIM(tblDados[Mandante])=$A959)*tblDados[Primeira_Ocorrencia]*(tblDados[GM_M]&gt;0)*(tblDados[GS_M]&gt;0))+SUMPRODUCT((TRIM(tblDados[Visitante])=$A959)*tblDados[Primeira_Ocorrencia]*(tblDados[GM_V]&gt;0)*(tblDados[GS_V]&gt;0)))/G959,0))</f>
        <v/>
      </c>
      <c r="P959" s="14" t="str" cm="1">
        <f t="array" ref="P959">IF($A959="","",IFERROR((SUMPRODUCT((TRIM(tblDados[Mandante])=$A959)*tblDados[Primeira_Ocorrencia]*tblDados[GM_M]^2)+SUMPRODUCT((TRIM(tblDados[Visitante])=$A959)*tblDados[Primeira_Ocorrencia]*tblDados[GM_V]^2))/G959-H959^2,0))</f>
        <v/>
      </c>
      <c r="Q959" s="14" t="str">
        <f t="shared" si="239"/>
        <v/>
      </c>
      <c r="R959" s="1" t="str">
        <f t="shared" si="240"/>
        <v/>
      </c>
      <c r="S959" s="14" t="str" cm="1">
        <f t="array" ref="S959">IF($A959="","",SUMPRODUCT((TRIM(tblDados[Mandante])=$A959)*tblDados[Primeira_Ocorrencia]*tblDados[GM_M]))</f>
        <v/>
      </c>
      <c r="T959" s="14" t="str" cm="1">
        <f t="array" ref="T959">IF($A959="","",SUMPRODUCT((TRIM(tblDados[Visitante])=$A959)*tblDados[Primeira_Ocorrencia]*tblDados[GM_V]))</f>
        <v/>
      </c>
      <c r="U959" s="14" t="str">
        <f t="shared" si="241"/>
        <v/>
      </c>
      <c r="V959" s="14" t="str">
        <f t="shared" si="230"/>
        <v/>
      </c>
      <c r="W959" s="14" t="str" cm="1">
        <f t="array" ref="W959">IF($A959="","",SUMPRODUCT((TRIM(tblDados[Mandante])=$A959)*tblDados[Primeira_Ocorrencia]*tblDados[GS_M]))</f>
        <v/>
      </c>
      <c r="X959" s="14" t="str" cm="1">
        <f t="array" ref="X959">IF($A959="","",SUMPRODUCT((TRIM(tblDados[Visitante])=$A959)*tblDados[Primeira_Ocorrencia]*tblDados[GS_V]))</f>
        <v/>
      </c>
      <c r="Y959" s="14" t="str">
        <f t="shared" si="242"/>
        <v/>
      </c>
      <c r="Z959" s="14" t="str">
        <f t="shared" si="231"/>
        <v/>
      </c>
      <c r="AA959" s="14" t="str">
        <f t="shared" si="232"/>
        <v/>
      </c>
      <c r="AB959" s="14" t="str">
        <f t="shared" si="233"/>
        <v/>
      </c>
      <c r="AC959" s="14" t="str">
        <f t="shared" si="234"/>
        <v/>
      </c>
      <c r="AD959" s="14" t="str">
        <f t="shared" si="235"/>
        <v/>
      </c>
    </row>
    <row r="960" spans="2:30" x14ac:dyDescent="0.3">
      <c r="B960" s="13" t="str" cm="1">
        <f t="array" ref="B960">IF($A960="","",_xlfn.LET(_xlpm.p,IFERROR(INDEX(tblDados[País],MATCH($A960,TRIM(tblDados[Mandante]),0)),INDEX(tblDados[País],MATCH($A960,TRIM(tblDados[Visitante]),0))),_xlpm.l,IFERROR(INDEX(tblDados[Liga],MATCH($A960,TRIM(tblDados[Mandante]),0)),INDEX(tblDados[Liga],MATCH($A960,TRIM(tblDados[Visitante]),0))),_xlpm.p&amp;" - "&amp;_xlpm.l))</f>
        <v/>
      </c>
      <c r="C960" s="14" t="str">
        <f t="shared" si="236"/>
        <v/>
      </c>
      <c r="D960" s="14" t="str">
        <f t="shared" si="237"/>
        <v/>
      </c>
      <c r="E960" s="15" t="str" cm="1">
        <f t="array" ref="E960">IF($A960="","",SUMPRODUCT((TRIM(tblDados[Mandante])=$A960)*tblDados[Primeira_Ocorrencia]))</f>
        <v/>
      </c>
      <c r="F960" s="15" t="str" cm="1">
        <f t="array" ref="F960">IF($A960="","",SUMPRODUCT((TRIM(tblDados[Visitante])=$A960)*tblDados[Primeira_Ocorrencia]))</f>
        <v/>
      </c>
      <c r="G960" s="15" t="str" cm="1">
        <f t="array" ref="G960">IF($A960="","",SUMPRODUCT((TRIM(tblDados[Mandante])=$A960)*tblDados[Primeira_Ocorrencia])+SUMPRODUCT((TRIM(tblDados[Visitante])=$A960)*tblDados[Primeira_Ocorrencia]))</f>
        <v/>
      </c>
      <c r="H960" s="14" t="str">
        <f t="shared" si="238"/>
        <v/>
      </c>
      <c r="I960" s="14" t="str" cm="1">
        <f t="array" ref="I960">IF($A960="","",_xlfn.LET(_xlpm.p,IFERROR(INDEX(tblDados[País],MATCH($A960,TRIM(tblDados[Mandante]),0)),INDEX(tblDados[País],MATCH($A960,TRIM(tblDados[Visitante]),0))),_xlpm.l,IFERROR(INDEX(tblDados[Liga],MATCH($A960,TRIM(tblDados[Mandante]),0)),INDEX(tblDados[Liga],MATCH($A960,TRIM(tblDados[Visitante]),0))),IFERROR(SUMIFS(Ligas!$D$2:$D$39,Ligas!$H$2:$H$39,_xlpm.p,Ligas!$I$2:$I$39,_xlpm.l),0)))</f>
        <v/>
      </c>
      <c r="J960" s="16" t="str" cm="1">
        <f t="array" ref="J960">IF($A960="","",IFERROR((SUMPRODUCT((TRIM(tblDados[Mandante])=$A960)*tblDados[Primeira_Ocorrencia]*(tblDados[GM_M]=0))+SUMPRODUCT((TRIM(tblDados[Visitante])=$A960)*tblDados[Primeira_Ocorrencia]*(tblDados[GM_V]=0)))/G960,0))</f>
        <v/>
      </c>
      <c r="K960" s="16" t="str" cm="1">
        <f t="array" ref="K960">IF($A960="","",IFERROR((SUMPRODUCT((TRIM(tblDados[Mandante])=$A960)*tblDados[Primeira_Ocorrencia]*((tblDados[GM_M]+tblDados[GS_M])&gt;0.5))+SUMPRODUCT((TRIM(tblDados[Visitante])=$A960)*tblDados[Primeira_Ocorrencia]*((tblDados[GM_V]+tblDados[GS_V])&gt;0.5)))/G960,0))</f>
        <v/>
      </c>
      <c r="L960" s="16" t="str" cm="1">
        <f t="array" ref="L960">IF($A960="","",IFERROR((SUMPRODUCT((TRIM(tblDados[Mandante])=$A960)*tblDados[Primeira_Ocorrencia]*((tblDados[GM_M]+tblDados[GS_M])&gt;1.5))+SUMPRODUCT((TRIM(tblDados[Visitante])=$A960)*tblDados[Primeira_Ocorrencia]*((tblDados[GM_V]+tblDados[GS_V])&gt;1.5)))/G960,0))</f>
        <v/>
      </c>
      <c r="M960" s="16" t="str" cm="1">
        <f t="array" ref="M960">IF($A960="","",IFERROR((SUMPRODUCT((TRIM(tblDados[Mandante])=$A960)*tblDados[Primeira_Ocorrencia]*((tblDados[GM_M]+tblDados[GS_M])&gt;2.5))+SUMPRODUCT((TRIM(tblDados[Visitante])=$A960)*tblDados[Primeira_Ocorrencia]*((tblDados[GM_V]+tblDados[GS_V])&gt;2.5)))/G960,0))</f>
        <v/>
      </c>
      <c r="N960" s="16" t="str" cm="1">
        <f t="array" ref="N960">IF($A960="","",IFERROR((SUMPRODUCT((TRIM(tblDados[Mandante])=$A960)*tblDados[Primeira_Ocorrencia]*((tblDados[GM_M]+tblDados[GS_M])&gt;3.5))+SUMPRODUCT((TRIM(tblDados[Visitante])=$A960)*tblDados[Primeira_Ocorrencia]*((tblDados[GM_V]+tblDados[GS_V])&gt;3.5)))/G960,0))</f>
        <v/>
      </c>
      <c r="O960" s="16" t="str" cm="1">
        <f t="array" ref="O960">IF($A960="","",IFERROR((SUMPRODUCT((TRIM(tblDados[Mandante])=$A960)*tblDados[Primeira_Ocorrencia]*(tblDados[GM_M]&gt;0)*(tblDados[GS_M]&gt;0))+SUMPRODUCT((TRIM(tblDados[Visitante])=$A960)*tblDados[Primeira_Ocorrencia]*(tblDados[GM_V]&gt;0)*(tblDados[GS_V]&gt;0)))/G960,0))</f>
        <v/>
      </c>
      <c r="P960" s="14" t="str" cm="1">
        <f t="array" ref="P960">IF($A960="","",IFERROR((SUMPRODUCT((TRIM(tblDados[Mandante])=$A960)*tblDados[Primeira_Ocorrencia]*tblDados[GM_M]^2)+SUMPRODUCT((TRIM(tblDados[Visitante])=$A960)*tblDados[Primeira_Ocorrencia]*tblDados[GM_V]^2))/G960-H960^2,0))</f>
        <v/>
      </c>
      <c r="Q960" s="14" t="str">
        <f t="shared" si="239"/>
        <v/>
      </c>
      <c r="R960" s="1" t="str">
        <f t="shared" si="240"/>
        <v/>
      </c>
      <c r="S960" s="14" t="str" cm="1">
        <f t="array" ref="S960">IF($A960="","",SUMPRODUCT((TRIM(tblDados[Mandante])=$A960)*tblDados[Primeira_Ocorrencia]*tblDados[GM_M]))</f>
        <v/>
      </c>
      <c r="T960" s="14" t="str" cm="1">
        <f t="array" ref="T960">IF($A960="","",SUMPRODUCT((TRIM(tblDados[Visitante])=$A960)*tblDados[Primeira_Ocorrencia]*tblDados[GM_V]))</f>
        <v/>
      </c>
      <c r="U960" s="14" t="str">
        <f t="shared" si="241"/>
        <v/>
      </c>
      <c r="V960" s="14" t="str">
        <f t="shared" si="230"/>
        <v/>
      </c>
      <c r="W960" s="14" t="str" cm="1">
        <f t="array" ref="W960">IF($A960="","",SUMPRODUCT((TRIM(tblDados[Mandante])=$A960)*tblDados[Primeira_Ocorrencia]*tblDados[GS_M]))</f>
        <v/>
      </c>
      <c r="X960" s="14" t="str" cm="1">
        <f t="array" ref="X960">IF($A960="","",SUMPRODUCT((TRIM(tblDados[Visitante])=$A960)*tblDados[Primeira_Ocorrencia]*tblDados[GS_V]))</f>
        <v/>
      </c>
      <c r="Y960" s="14" t="str">
        <f t="shared" si="242"/>
        <v/>
      </c>
      <c r="Z960" s="14" t="str">
        <f t="shared" si="231"/>
        <v/>
      </c>
      <c r="AA960" s="14" t="str">
        <f t="shared" si="232"/>
        <v/>
      </c>
      <c r="AB960" s="14" t="str">
        <f t="shared" si="233"/>
        <v/>
      </c>
      <c r="AC960" s="14" t="str">
        <f t="shared" si="234"/>
        <v/>
      </c>
      <c r="AD960" s="14" t="str">
        <f t="shared" si="235"/>
        <v/>
      </c>
    </row>
    <row r="961" spans="2:30" x14ac:dyDescent="0.3">
      <c r="B961" s="13" t="str" cm="1">
        <f t="array" ref="B961">IF($A961="","",_xlfn.LET(_xlpm.p,IFERROR(INDEX(tblDados[País],MATCH($A961,TRIM(tblDados[Mandante]),0)),INDEX(tblDados[País],MATCH($A961,TRIM(tblDados[Visitante]),0))),_xlpm.l,IFERROR(INDEX(tblDados[Liga],MATCH($A961,TRIM(tblDados[Mandante]),0)),INDEX(tblDados[Liga],MATCH($A961,TRIM(tblDados[Visitante]),0))),_xlpm.p&amp;" - "&amp;_xlpm.l))</f>
        <v/>
      </c>
      <c r="C961" s="14" t="str">
        <f t="shared" si="236"/>
        <v/>
      </c>
      <c r="D961" s="14" t="str">
        <f t="shared" si="237"/>
        <v/>
      </c>
      <c r="E961" s="15" t="str" cm="1">
        <f t="array" ref="E961">IF($A961="","",SUMPRODUCT((TRIM(tblDados[Mandante])=$A961)*tblDados[Primeira_Ocorrencia]))</f>
        <v/>
      </c>
      <c r="F961" s="15" t="str" cm="1">
        <f t="array" ref="F961">IF($A961="","",SUMPRODUCT((TRIM(tblDados[Visitante])=$A961)*tblDados[Primeira_Ocorrencia]))</f>
        <v/>
      </c>
      <c r="G961" s="15" t="str" cm="1">
        <f t="array" ref="G961">IF($A961="","",SUMPRODUCT((TRIM(tblDados[Mandante])=$A961)*tblDados[Primeira_Ocorrencia])+SUMPRODUCT((TRIM(tblDados[Visitante])=$A961)*tblDados[Primeira_Ocorrencia]))</f>
        <v/>
      </c>
      <c r="H961" s="14" t="str">
        <f t="shared" si="238"/>
        <v/>
      </c>
      <c r="I961" s="14" t="str" cm="1">
        <f t="array" ref="I961">IF($A961="","",_xlfn.LET(_xlpm.p,IFERROR(INDEX(tblDados[País],MATCH($A961,TRIM(tblDados[Mandante]),0)),INDEX(tblDados[País],MATCH($A961,TRIM(tblDados[Visitante]),0))),_xlpm.l,IFERROR(INDEX(tblDados[Liga],MATCH($A961,TRIM(tblDados[Mandante]),0)),INDEX(tblDados[Liga],MATCH($A961,TRIM(tblDados[Visitante]),0))),IFERROR(SUMIFS(Ligas!$D$2:$D$39,Ligas!$H$2:$H$39,_xlpm.p,Ligas!$I$2:$I$39,_xlpm.l),0)))</f>
        <v/>
      </c>
      <c r="J961" s="16" t="str" cm="1">
        <f t="array" ref="J961">IF($A961="","",IFERROR((SUMPRODUCT((TRIM(tblDados[Mandante])=$A961)*tblDados[Primeira_Ocorrencia]*(tblDados[GM_M]=0))+SUMPRODUCT((TRIM(tblDados[Visitante])=$A961)*tblDados[Primeira_Ocorrencia]*(tblDados[GM_V]=0)))/G961,0))</f>
        <v/>
      </c>
      <c r="K961" s="16" t="str" cm="1">
        <f t="array" ref="K961">IF($A961="","",IFERROR((SUMPRODUCT((TRIM(tblDados[Mandante])=$A961)*tblDados[Primeira_Ocorrencia]*((tblDados[GM_M]+tblDados[GS_M])&gt;0.5))+SUMPRODUCT((TRIM(tblDados[Visitante])=$A961)*tblDados[Primeira_Ocorrencia]*((tblDados[GM_V]+tblDados[GS_V])&gt;0.5)))/G961,0))</f>
        <v/>
      </c>
      <c r="L961" s="16" t="str" cm="1">
        <f t="array" ref="L961">IF($A961="","",IFERROR((SUMPRODUCT((TRIM(tblDados[Mandante])=$A961)*tblDados[Primeira_Ocorrencia]*((tblDados[GM_M]+tblDados[GS_M])&gt;1.5))+SUMPRODUCT((TRIM(tblDados[Visitante])=$A961)*tblDados[Primeira_Ocorrencia]*((tblDados[GM_V]+tblDados[GS_V])&gt;1.5)))/G961,0))</f>
        <v/>
      </c>
      <c r="M961" s="16" t="str" cm="1">
        <f t="array" ref="M961">IF($A961="","",IFERROR((SUMPRODUCT((TRIM(tblDados[Mandante])=$A961)*tblDados[Primeira_Ocorrencia]*((tblDados[GM_M]+tblDados[GS_M])&gt;2.5))+SUMPRODUCT((TRIM(tblDados[Visitante])=$A961)*tblDados[Primeira_Ocorrencia]*((tblDados[GM_V]+tblDados[GS_V])&gt;2.5)))/G961,0))</f>
        <v/>
      </c>
      <c r="N961" s="16" t="str" cm="1">
        <f t="array" ref="N961">IF($A961="","",IFERROR((SUMPRODUCT((TRIM(tblDados[Mandante])=$A961)*tblDados[Primeira_Ocorrencia]*((tblDados[GM_M]+tblDados[GS_M])&gt;3.5))+SUMPRODUCT((TRIM(tblDados[Visitante])=$A961)*tblDados[Primeira_Ocorrencia]*((tblDados[GM_V]+tblDados[GS_V])&gt;3.5)))/G961,0))</f>
        <v/>
      </c>
      <c r="O961" s="16" t="str" cm="1">
        <f t="array" ref="O961">IF($A961="","",IFERROR((SUMPRODUCT((TRIM(tblDados[Mandante])=$A961)*tblDados[Primeira_Ocorrencia]*(tblDados[GM_M]&gt;0)*(tblDados[GS_M]&gt;0))+SUMPRODUCT((TRIM(tblDados[Visitante])=$A961)*tblDados[Primeira_Ocorrencia]*(tblDados[GM_V]&gt;0)*(tblDados[GS_V]&gt;0)))/G961,0))</f>
        <v/>
      </c>
      <c r="P961" s="14" t="str" cm="1">
        <f t="array" ref="P961">IF($A961="","",IFERROR((SUMPRODUCT((TRIM(tblDados[Mandante])=$A961)*tblDados[Primeira_Ocorrencia]*tblDados[GM_M]^2)+SUMPRODUCT((TRIM(tblDados[Visitante])=$A961)*tblDados[Primeira_Ocorrencia]*tblDados[GM_V]^2))/G961-H961^2,0))</f>
        <v/>
      </c>
      <c r="Q961" s="14" t="str">
        <f t="shared" si="239"/>
        <v/>
      </c>
      <c r="R961" s="1" t="str">
        <f t="shared" si="240"/>
        <v/>
      </c>
      <c r="S961" s="14" t="str" cm="1">
        <f t="array" ref="S961">IF($A961="","",SUMPRODUCT((TRIM(tblDados[Mandante])=$A961)*tblDados[Primeira_Ocorrencia]*tblDados[GM_M]))</f>
        <v/>
      </c>
      <c r="T961" s="14" t="str" cm="1">
        <f t="array" ref="T961">IF($A961="","",SUMPRODUCT((TRIM(tblDados[Visitante])=$A961)*tblDados[Primeira_Ocorrencia]*tblDados[GM_V]))</f>
        <v/>
      </c>
      <c r="U961" s="14" t="str">
        <f t="shared" si="241"/>
        <v/>
      </c>
      <c r="V961" s="14" t="str">
        <f t="shared" si="230"/>
        <v/>
      </c>
      <c r="W961" s="14" t="str" cm="1">
        <f t="array" ref="W961">IF($A961="","",SUMPRODUCT((TRIM(tblDados[Mandante])=$A961)*tblDados[Primeira_Ocorrencia]*tblDados[GS_M]))</f>
        <v/>
      </c>
      <c r="X961" s="14" t="str" cm="1">
        <f t="array" ref="X961">IF($A961="","",SUMPRODUCT((TRIM(tblDados[Visitante])=$A961)*tblDados[Primeira_Ocorrencia]*tblDados[GS_V]))</f>
        <v/>
      </c>
      <c r="Y961" s="14" t="str">
        <f t="shared" si="242"/>
        <v/>
      </c>
      <c r="Z961" s="14" t="str">
        <f t="shared" si="231"/>
        <v/>
      </c>
      <c r="AA961" s="14" t="str">
        <f t="shared" si="232"/>
        <v/>
      </c>
      <c r="AB961" s="14" t="str">
        <f t="shared" si="233"/>
        <v/>
      </c>
      <c r="AC961" s="14" t="str">
        <f t="shared" si="234"/>
        <v/>
      </c>
      <c r="AD961" s="14" t="str">
        <f t="shared" si="235"/>
        <v/>
      </c>
    </row>
    <row r="962" spans="2:30" x14ac:dyDescent="0.3">
      <c r="B962" s="13" t="str" cm="1">
        <f t="array" ref="B962">IF($A962="","",_xlfn.LET(_xlpm.p,IFERROR(INDEX(tblDados[País],MATCH($A962,TRIM(tblDados[Mandante]),0)),INDEX(tblDados[País],MATCH($A962,TRIM(tblDados[Visitante]),0))),_xlpm.l,IFERROR(INDEX(tblDados[Liga],MATCH($A962,TRIM(tblDados[Mandante]),0)),INDEX(tblDados[Liga],MATCH($A962,TRIM(tblDados[Visitante]),0))),_xlpm.p&amp;" - "&amp;_xlpm.l))</f>
        <v/>
      </c>
      <c r="C962" s="14" t="str">
        <f t="shared" si="236"/>
        <v/>
      </c>
      <c r="D962" s="14" t="str">
        <f t="shared" si="237"/>
        <v/>
      </c>
      <c r="E962" s="15" t="str" cm="1">
        <f t="array" ref="E962">IF($A962="","",SUMPRODUCT((TRIM(tblDados[Mandante])=$A962)*tblDados[Primeira_Ocorrencia]))</f>
        <v/>
      </c>
      <c r="F962" s="15" t="str" cm="1">
        <f t="array" ref="F962">IF($A962="","",SUMPRODUCT((TRIM(tblDados[Visitante])=$A962)*tblDados[Primeira_Ocorrencia]))</f>
        <v/>
      </c>
      <c r="G962" s="15" t="str" cm="1">
        <f t="array" ref="G962">IF($A962="","",SUMPRODUCT((TRIM(tblDados[Mandante])=$A962)*tblDados[Primeira_Ocorrencia])+SUMPRODUCT((TRIM(tblDados[Visitante])=$A962)*tblDados[Primeira_Ocorrencia]))</f>
        <v/>
      </c>
      <c r="H962" s="14" t="str">
        <f t="shared" si="238"/>
        <v/>
      </c>
      <c r="I962" s="14" t="str" cm="1">
        <f t="array" ref="I962">IF($A962="","",_xlfn.LET(_xlpm.p,IFERROR(INDEX(tblDados[País],MATCH($A962,TRIM(tblDados[Mandante]),0)),INDEX(tblDados[País],MATCH($A962,TRIM(tblDados[Visitante]),0))),_xlpm.l,IFERROR(INDEX(tblDados[Liga],MATCH($A962,TRIM(tblDados[Mandante]),0)),INDEX(tblDados[Liga],MATCH($A962,TRIM(tblDados[Visitante]),0))),IFERROR(SUMIFS(Ligas!$D$2:$D$39,Ligas!$H$2:$H$39,_xlpm.p,Ligas!$I$2:$I$39,_xlpm.l),0)))</f>
        <v/>
      </c>
      <c r="J962" s="16" t="str" cm="1">
        <f t="array" ref="J962">IF($A962="","",IFERROR((SUMPRODUCT((TRIM(tblDados[Mandante])=$A962)*tblDados[Primeira_Ocorrencia]*(tblDados[GM_M]=0))+SUMPRODUCT((TRIM(tblDados[Visitante])=$A962)*tblDados[Primeira_Ocorrencia]*(tblDados[GM_V]=0)))/G962,0))</f>
        <v/>
      </c>
      <c r="K962" s="16" t="str" cm="1">
        <f t="array" ref="K962">IF($A962="","",IFERROR((SUMPRODUCT((TRIM(tblDados[Mandante])=$A962)*tblDados[Primeira_Ocorrencia]*((tblDados[GM_M]+tblDados[GS_M])&gt;0.5))+SUMPRODUCT((TRIM(tblDados[Visitante])=$A962)*tblDados[Primeira_Ocorrencia]*((tblDados[GM_V]+tblDados[GS_V])&gt;0.5)))/G962,0))</f>
        <v/>
      </c>
      <c r="L962" s="16" t="str" cm="1">
        <f t="array" ref="L962">IF($A962="","",IFERROR((SUMPRODUCT((TRIM(tblDados[Mandante])=$A962)*tblDados[Primeira_Ocorrencia]*((tblDados[GM_M]+tblDados[GS_M])&gt;1.5))+SUMPRODUCT((TRIM(tblDados[Visitante])=$A962)*tblDados[Primeira_Ocorrencia]*((tblDados[GM_V]+tblDados[GS_V])&gt;1.5)))/G962,0))</f>
        <v/>
      </c>
      <c r="M962" s="16" t="str" cm="1">
        <f t="array" ref="M962">IF($A962="","",IFERROR((SUMPRODUCT((TRIM(tblDados[Mandante])=$A962)*tblDados[Primeira_Ocorrencia]*((tblDados[GM_M]+tblDados[GS_M])&gt;2.5))+SUMPRODUCT((TRIM(tblDados[Visitante])=$A962)*tblDados[Primeira_Ocorrencia]*((tblDados[GM_V]+tblDados[GS_V])&gt;2.5)))/G962,0))</f>
        <v/>
      </c>
      <c r="N962" s="16" t="str" cm="1">
        <f t="array" ref="N962">IF($A962="","",IFERROR((SUMPRODUCT((TRIM(tblDados[Mandante])=$A962)*tblDados[Primeira_Ocorrencia]*((tblDados[GM_M]+tblDados[GS_M])&gt;3.5))+SUMPRODUCT((TRIM(tblDados[Visitante])=$A962)*tblDados[Primeira_Ocorrencia]*((tblDados[GM_V]+tblDados[GS_V])&gt;3.5)))/G962,0))</f>
        <v/>
      </c>
      <c r="O962" s="16" t="str" cm="1">
        <f t="array" ref="O962">IF($A962="","",IFERROR((SUMPRODUCT((TRIM(tblDados[Mandante])=$A962)*tblDados[Primeira_Ocorrencia]*(tblDados[GM_M]&gt;0)*(tblDados[GS_M]&gt;0))+SUMPRODUCT((TRIM(tblDados[Visitante])=$A962)*tblDados[Primeira_Ocorrencia]*(tblDados[GM_V]&gt;0)*(tblDados[GS_V]&gt;0)))/G962,0))</f>
        <v/>
      </c>
      <c r="P962" s="14" t="str" cm="1">
        <f t="array" ref="P962">IF($A962="","",IFERROR((SUMPRODUCT((TRIM(tblDados[Mandante])=$A962)*tblDados[Primeira_Ocorrencia]*tblDados[GM_M]^2)+SUMPRODUCT((TRIM(tblDados[Visitante])=$A962)*tblDados[Primeira_Ocorrencia]*tblDados[GM_V]^2))/G962-H962^2,0))</f>
        <v/>
      </c>
      <c r="Q962" s="14" t="str">
        <f t="shared" si="239"/>
        <v/>
      </c>
      <c r="R962" s="1" t="str">
        <f t="shared" si="240"/>
        <v/>
      </c>
      <c r="S962" s="14" t="str" cm="1">
        <f t="array" ref="S962">IF($A962="","",SUMPRODUCT((TRIM(tblDados[Mandante])=$A962)*tblDados[Primeira_Ocorrencia]*tblDados[GM_M]))</f>
        <v/>
      </c>
      <c r="T962" s="14" t="str" cm="1">
        <f t="array" ref="T962">IF($A962="","",SUMPRODUCT((TRIM(tblDados[Visitante])=$A962)*tblDados[Primeira_Ocorrencia]*tblDados[GM_V]))</f>
        <v/>
      </c>
      <c r="U962" s="14" t="str">
        <f t="shared" si="241"/>
        <v/>
      </c>
      <c r="V962" s="14" t="str">
        <f t="shared" ref="V962:V1000" si="243">IF($A962="","",IFERROR(U962/G962,0))</f>
        <v/>
      </c>
      <c r="W962" s="14" t="str" cm="1">
        <f t="array" ref="W962">IF($A962="","",SUMPRODUCT((TRIM(tblDados[Mandante])=$A962)*tblDados[Primeira_Ocorrencia]*tblDados[GS_M]))</f>
        <v/>
      </c>
      <c r="X962" s="14" t="str" cm="1">
        <f t="array" ref="X962">IF($A962="","",SUMPRODUCT((TRIM(tblDados[Visitante])=$A962)*tblDados[Primeira_Ocorrencia]*tblDados[GS_V]))</f>
        <v/>
      </c>
      <c r="Y962" s="14" t="str">
        <f t="shared" si="242"/>
        <v/>
      </c>
      <c r="Z962" s="14" t="str">
        <f t="shared" ref="Z962:Z1000" si="244">IF($A962="","",IFERROR(Y962/G962,0))</f>
        <v/>
      </c>
      <c r="AA962" s="14" t="str">
        <f t="shared" ref="AA962:AA1000" si="245">IF($A962="","",IF($E962=0,"",$S962/$E962))</f>
        <v/>
      </c>
      <c r="AB962" s="14" t="str">
        <f t="shared" ref="AB962:AB1000" si="246">IF($A962="","",IF($E962=0,"",$W962/$E962))</f>
        <v/>
      </c>
      <c r="AC962" s="14" t="str">
        <f t="shared" ref="AC962:AC1000" si="247">IF($A962="","",IF($F962=0,"",$T962/$F962))</f>
        <v/>
      </c>
      <c r="AD962" s="14" t="str">
        <f t="shared" ref="AD962:AD1000" si="248">IF($A962="","",IF($F962=0,"",$X962/$F962))</f>
        <v/>
      </c>
    </row>
    <row r="963" spans="2:30" x14ac:dyDescent="0.3">
      <c r="B963" s="13" t="str" cm="1">
        <f t="array" ref="B963">IF($A963="","",_xlfn.LET(_xlpm.p,IFERROR(INDEX(tblDados[País],MATCH($A963,TRIM(tblDados[Mandante]),0)),INDEX(tblDados[País],MATCH($A963,TRIM(tblDados[Visitante]),0))),_xlpm.l,IFERROR(INDEX(tblDados[Liga],MATCH($A963,TRIM(tblDados[Mandante]),0)),INDEX(tblDados[Liga],MATCH($A963,TRIM(tblDados[Visitante]),0))),_xlpm.p&amp;" - "&amp;_xlpm.l))</f>
        <v/>
      </c>
      <c r="C963" s="14" t="str">
        <f t="shared" ref="C963:C1000" si="249">IF($A963="","",IF($E963=0,"",$AA963+$AB963))</f>
        <v/>
      </c>
      <c r="D963" s="14" t="str">
        <f t="shared" ref="D963:D1000" si="250">IF($A963="","",IF($F963=0,"",$AC963+$AD963))</f>
        <v/>
      </c>
      <c r="E963" s="15" t="str" cm="1">
        <f t="array" ref="E963">IF($A963="","",SUMPRODUCT((TRIM(tblDados[Mandante])=$A963)*tblDados[Primeira_Ocorrencia]))</f>
        <v/>
      </c>
      <c r="F963" s="15" t="str" cm="1">
        <f t="array" ref="F963">IF($A963="","",SUMPRODUCT((TRIM(tblDados[Visitante])=$A963)*tblDados[Primeira_Ocorrencia]))</f>
        <v/>
      </c>
      <c r="G963" s="15" t="str" cm="1">
        <f t="array" ref="G963">IF($A963="","",SUMPRODUCT((TRIM(tblDados[Mandante])=$A963)*tblDados[Primeira_Ocorrencia])+SUMPRODUCT((TRIM(tblDados[Visitante])=$A963)*tblDados[Primeira_Ocorrencia]))</f>
        <v/>
      </c>
      <c r="H963" s="14" t="str">
        <f t="shared" ref="H963:H1000" si="251">IF($A963="","",IFERROR($U963/$G963,0))</f>
        <v/>
      </c>
      <c r="I963" s="14" t="str" cm="1">
        <f t="array" ref="I963">IF($A963="","",_xlfn.LET(_xlpm.p,IFERROR(INDEX(tblDados[País],MATCH($A963,TRIM(tblDados[Mandante]),0)),INDEX(tblDados[País],MATCH($A963,TRIM(tblDados[Visitante]),0))),_xlpm.l,IFERROR(INDEX(tblDados[Liga],MATCH($A963,TRIM(tblDados[Mandante]),0)),INDEX(tblDados[Liga],MATCH($A963,TRIM(tblDados[Visitante]),0))),IFERROR(SUMIFS(Ligas!$D$2:$D$39,Ligas!$H$2:$H$39,_xlpm.p,Ligas!$I$2:$I$39,_xlpm.l),0)))</f>
        <v/>
      </c>
      <c r="J963" s="16" t="str" cm="1">
        <f t="array" ref="J963">IF($A963="","",IFERROR((SUMPRODUCT((TRIM(tblDados[Mandante])=$A963)*tblDados[Primeira_Ocorrencia]*(tblDados[GM_M]=0))+SUMPRODUCT((TRIM(tblDados[Visitante])=$A963)*tblDados[Primeira_Ocorrencia]*(tblDados[GM_V]=0)))/G963,0))</f>
        <v/>
      </c>
      <c r="K963" s="16" t="str" cm="1">
        <f t="array" ref="K963">IF($A963="","",IFERROR((SUMPRODUCT((TRIM(tblDados[Mandante])=$A963)*tblDados[Primeira_Ocorrencia]*((tblDados[GM_M]+tblDados[GS_M])&gt;0.5))+SUMPRODUCT((TRIM(tblDados[Visitante])=$A963)*tblDados[Primeira_Ocorrencia]*((tblDados[GM_V]+tblDados[GS_V])&gt;0.5)))/G963,0))</f>
        <v/>
      </c>
      <c r="L963" s="16" t="str" cm="1">
        <f t="array" ref="L963">IF($A963="","",IFERROR((SUMPRODUCT((TRIM(tblDados[Mandante])=$A963)*tblDados[Primeira_Ocorrencia]*((tblDados[GM_M]+tblDados[GS_M])&gt;1.5))+SUMPRODUCT((TRIM(tblDados[Visitante])=$A963)*tblDados[Primeira_Ocorrencia]*((tblDados[GM_V]+tblDados[GS_V])&gt;1.5)))/G963,0))</f>
        <v/>
      </c>
      <c r="M963" s="16" t="str" cm="1">
        <f t="array" ref="M963">IF($A963="","",IFERROR((SUMPRODUCT((TRIM(tblDados[Mandante])=$A963)*tblDados[Primeira_Ocorrencia]*((tblDados[GM_M]+tblDados[GS_M])&gt;2.5))+SUMPRODUCT((TRIM(tblDados[Visitante])=$A963)*tblDados[Primeira_Ocorrencia]*((tblDados[GM_V]+tblDados[GS_V])&gt;2.5)))/G963,0))</f>
        <v/>
      </c>
      <c r="N963" s="16" t="str" cm="1">
        <f t="array" ref="N963">IF($A963="","",IFERROR((SUMPRODUCT((TRIM(tblDados[Mandante])=$A963)*tblDados[Primeira_Ocorrencia]*((tblDados[GM_M]+tblDados[GS_M])&gt;3.5))+SUMPRODUCT((TRIM(tblDados[Visitante])=$A963)*tblDados[Primeira_Ocorrencia]*((tblDados[GM_V]+tblDados[GS_V])&gt;3.5)))/G963,0))</f>
        <v/>
      </c>
      <c r="O963" s="16" t="str" cm="1">
        <f t="array" ref="O963">IF($A963="","",IFERROR((SUMPRODUCT((TRIM(tblDados[Mandante])=$A963)*tblDados[Primeira_Ocorrencia]*(tblDados[GM_M]&gt;0)*(tblDados[GS_M]&gt;0))+SUMPRODUCT((TRIM(tblDados[Visitante])=$A963)*tblDados[Primeira_Ocorrencia]*(tblDados[GM_V]&gt;0)*(tblDados[GS_V]&gt;0)))/G963,0))</f>
        <v/>
      </c>
      <c r="P963" s="14" t="str" cm="1">
        <f t="array" ref="P963">IF($A963="","",IFERROR((SUMPRODUCT((TRIM(tblDados[Mandante])=$A963)*tblDados[Primeira_Ocorrencia]*tblDados[GM_M]^2)+SUMPRODUCT((TRIM(tblDados[Visitante])=$A963)*tblDados[Primeira_Ocorrencia]*tblDados[GM_V]^2))/G963-H963^2,0))</f>
        <v/>
      </c>
      <c r="Q963" s="14" t="str">
        <f t="shared" ref="Q963:Q1000" si="252">IF($A963="","",IFERROR(SQRT(MAX(P963,0)),0))</f>
        <v/>
      </c>
      <c r="R963" s="1" t="str">
        <f t="shared" ref="R963:R1000" si="253">IF(A963="","",IF(OR(G963&lt;5,H963=0),"Amostra Insuficiente",IF(_xlfn.CHISQ.DIST.RT(G963*P963/H963,G963-1)&lt;0.05,"Binomial Negativa","Poisson")))</f>
        <v/>
      </c>
      <c r="S963" s="14" t="str" cm="1">
        <f t="array" ref="S963">IF($A963="","",SUMPRODUCT((TRIM(tblDados[Mandante])=$A963)*tblDados[Primeira_Ocorrencia]*tblDados[GM_M]))</f>
        <v/>
      </c>
      <c r="T963" s="14" t="str" cm="1">
        <f t="array" ref="T963">IF($A963="","",SUMPRODUCT((TRIM(tblDados[Visitante])=$A963)*tblDados[Primeira_Ocorrencia]*tblDados[GM_V]))</f>
        <v/>
      </c>
      <c r="U963" s="14" t="str">
        <f t="shared" ref="U963:U1000" si="254">IF($A963="","",S963+T963)</f>
        <v/>
      </c>
      <c r="V963" s="14" t="str">
        <f t="shared" si="243"/>
        <v/>
      </c>
      <c r="W963" s="14" t="str" cm="1">
        <f t="array" ref="W963">IF($A963="","",SUMPRODUCT((TRIM(tblDados[Mandante])=$A963)*tblDados[Primeira_Ocorrencia]*tblDados[GS_M]))</f>
        <v/>
      </c>
      <c r="X963" s="14" t="str" cm="1">
        <f t="array" ref="X963">IF($A963="","",SUMPRODUCT((TRIM(tblDados[Visitante])=$A963)*tblDados[Primeira_Ocorrencia]*tblDados[GS_V]))</f>
        <v/>
      </c>
      <c r="Y963" s="14" t="str">
        <f t="shared" ref="Y963:Y1000" si="255">IF($A963="","",W963+X963)</f>
        <v/>
      </c>
      <c r="Z963" s="14" t="str">
        <f t="shared" si="244"/>
        <v/>
      </c>
      <c r="AA963" s="14" t="str">
        <f t="shared" si="245"/>
        <v/>
      </c>
      <c r="AB963" s="14" t="str">
        <f t="shared" si="246"/>
        <v/>
      </c>
      <c r="AC963" s="14" t="str">
        <f t="shared" si="247"/>
        <v/>
      </c>
      <c r="AD963" s="14" t="str">
        <f t="shared" si="248"/>
        <v/>
      </c>
    </row>
    <row r="964" spans="2:30" x14ac:dyDescent="0.3">
      <c r="B964" s="13" t="str" cm="1">
        <f t="array" ref="B964">IF($A964="","",_xlfn.LET(_xlpm.p,IFERROR(INDEX(tblDados[País],MATCH($A964,TRIM(tblDados[Mandante]),0)),INDEX(tblDados[País],MATCH($A964,TRIM(tblDados[Visitante]),0))),_xlpm.l,IFERROR(INDEX(tblDados[Liga],MATCH($A964,TRIM(tblDados[Mandante]),0)),INDEX(tblDados[Liga],MATCH($A964,TRIM(tblDados[Visitante]),0))),_xlpm.p&amp;" - "&amp;_xlpm.l))</f>
        <v/>
      </c>
      <c r="C964" s="14" t="str">
        <f t="shared" si="249"/>
        <v/>
      </c>
      <c r="D964" s="14" t="str">
        <f t="shared" si="250"/>
        <v/>
      </c>
      <c r="E964" s="15" t="str" cm="1">
        <f t="array" ref="E964">IF($A964="","",SUMPRODUCT((TRIM(tblDados[Mandante])=$A964)*tblDados[Primeira_Ocorrencia]))</f>
        <v/>
      </c>
      <c r="F964" s="15" t="str" cm="1">
        <f t="array" ref="F964">IF($A964="","",SUMPRODUCT((TRIM(tblDados[Visitante])=$A964)*tblDados[Primeira_Ocorrencia]))</f>
        <v/>
      </c>
      <c r="G964" s="15" t="str" cm="1">
        <f t="array" ref="G964">IF($A964="","",SUMPRODUCT((TRIM(tblDados[Mandante])=$A964)*tblDados[Primeira_Ocorrencia])+SUMPRODUCT((TRIM(tblDados[Visitante])=$A964)*tblDados[Primeira_Ocorrencia]))</f>
        <v/>
      </c>
      <c r="H964" s="14" t="str">
        <f t="shared" si="251"/>
        <v/>
      </c>
      <c r="I964" s="14" t="str" cm="1">
        <f t="array" ref="I964">IF($A964="","",_xlfn.LET(_xlpm.p,IFERROR(INDEX(tblDados[País],MATCH($A964,TRIM(tblDados[Mandante]),0)),INDEX(tblDados[País],MATCH($A964,TRIM(tblDados[Visitante]),0))),_xlpm.l,IFERROR(INDEX(tblDados[Liga],MATCH($A964,TRIM(tblDados[Mandante]),0)),INDEX(tblDados[Liga],MATCH($A964,TRIM(tblDados[Visitante]),0))),IFERROR(SUMIFS(Ligas!$D$2:$D$39,Ligas!$H$2:$H$39,_xlpm.p,Ligas!$I$2:$I$39,_xlpm.l),0)))</f>
        <v/>
      </c>
      <c r="J964" s="16" t="str" cm="1">
        <f t="array" ref="J964">IF($A964="","",IFERROR((SUMPRODUCT((TRIM(tblDados[Mandante])=$A964)*tblDados[Primeira_Ocorrencia]*(tblDados[GM_M]=0))+SUMPRODUCT((TRIM(tblDados[Visitante])=$A964)*tblDados[Primeira_Ocorrencia]*(tblDados[GM_V]=0)))/G964,0))</f>
        <v/>
      </c>
      <c r="K964" s="16" t="str" cm="1">
        <f t="array" ref="K964">IF($A964="","",IFERROR((SUMPRODUCT((TRIM(tblDados[Mandante])=$A964)*tblDados[Primeira_Ocorrencia]*((tblDados[GM_M]+tblDados[GS_M])&gt;0.5))+SUMPRODUCT((TRIM(tblDados[Visitante])=$A964)*tblDados[Primeira_Ocorrencia]*((tblDados[GM_V]+tblDados[GS_V])&gt;0.5)))/G964,0))</f>
        <v/>
      </c>
      <c r="L964" s="16" t="str" cm="1">
        <f t="array" ref="L964">IF($A964="","",IFERROR((SUMPRODUCT((TRIM(tblDados[Mandante])=$A964)*tblDados[Primeira_Ocorrencia]*((tblDados[GM_M]+tblDados[GS_M])&gt;1.5))+SUMPRODUCT((TRIM(tblDados[Visitante])=$A964)*tblDados[Primeira_Ocorrencia]*((tblDados[GM_V]+tblDados[GS_V])&gt;1.5)))/G964,0))</f>
        <v/>
      </c>
      <c r="M964" s="16" t="str" cm="1">
        <f t="array" ref="M964">IF($A964="","",IFERROR((SUMPRODUCT((TRIM(tblDados[Mandante])=$A964)*tblDados[Primeira_Ocorrencia]*((tblDados[GM_M]+tblDados[GS_M])&gt;2.5))+SUMPRODUCT((TRIM(tblDados[Visitante])=$A964)*tblDados[Primeira_Ocorrencia]*((tblDados[GM_V]+tblDados[GS_V])&gt;2.5)))/G964,0))</f>
        <v/>
      </c>
      <c r="N964" s="16" t="str" cm="1">
        <f t="array" ref="N964">IF($A964="","",IFERROR((SUMPRODUCT((TRIM(tblDados[Mandante])=$A964)*tblDados[Primeira_Ocorrencia]*((tblDados[GM_M]+tblDados[GS_M])&gt;3.5))+SUMPRODUCT((TRIM(tblDados[Visitante])=$A964)*tblDados[Primeira_Ocorrencia]*((tblDados[GM_V]+tblDados[GS_V])&gt;3.5)))/G964,0))</f>
        <v/>
      </c>
      <c r="O964" s="16" t="str" cm="1">
        <f t="array" ref="O964">IF($A964="","",IFERROR((SUMPRODUCT((TRIM(tblDados[Mandante])=$A964)*tblDados[Primeira_Ocorrencia]*(tblDados[GM_M]&gt;0)*(tblDados[GS_M]&gt;0))+SUMPRODUCT((TRIM(tblDados[Visitante])=$A964)*tblDados[Primeira_Ocorrencia]*(tblDados[GM_V]&gt;0)*(tblDados[GS_V]&gt;0)))/G964,0))</f>
        <v/>
      </c>
      <c r="P964" s="14" t="str" cm="1">
        <f t="array" ref="P964">IF($A964="","",IFERROR((SUMPRODUCT((TRIM(tblDados[Mandante])=$A964)*tblDados[Primeira_Ocorrencia]*tblDados[GM_M]^2)+SUMPRODUCT((TRIM(tblDados[Visitante])=$A964)*tblDados[Primeira_Ocorrencia]*tblDados[GM_V]^2))/G964-H964^2,0))</f>
        <v/>
      </c>
      <c r="Q964" s="14" t="str">
        <f t="shared" si="252"/>
        <v/>
      </c>
      <c r="R964" s="1" t="str">
        <f t="shared" si="253"/>
        <v/>
      </c>
      <c r="S964" s="14" t="str" cm="1">
        <f t="array" ref="S964">IF($A964="","",SUMPRODUCT((TRIM(tblDados[Mandante])=$A964)*tblDados[Primeira_Ocorrencia]*tblDados[GM_M]))</f>
        <v/>
      </c>
      <c r="T964" s="14" t="str" cm="1">
        <f t="array" ref="T964">IF($A964="","",SUMPRODUCT((TRIM(tblDados[Visitante])=$A964)*tblDados[Primeira_Ocorrencia]*tblDados[GM_V]))</f>
        <v/>
      </c>
      <c r="U964" s="14" t="str">
        <f t="shared" si="254"/>
        <v/>
      </c>
      <c r="V964" s="14" t="str">
        <f t="shared" si="243"/>
        <v/>
      </c>
      <c r="W964" s="14" t="str" cm="1">
        <f t="array" ref="W964">IF($A964="","",SUMPRODUCT((TRIM(tblDados[Mandante])=$A964)*tblDados[Primeira_Ocorrencia]*tblDados[GS_M]))</f>
        <v/>
      </c>
      <c r="X964" s="14" t="str" cm="1">
        <f t="array" ref="X964">IF($A964="","",SUMPRODUCT((TRIM(tblDados[Visitante])=$A964)*tblDados[Primeira_Ocorrencia]*tblDados[GS_V]))</f>
        <v/>
      </c>
      <c r="Y964" s="14" t="str">
        <f t="shared" si="255"/>
        <v/>
      </c>
      <c r="Z964" s="14" t="str">
        <f t="shared" si="244"/>
        <v/>
      </c>
      <c r="AA964" s="14" t="str">
        <f t="shared" si="245"/>
        <v/>
      </c>
      <c r="AB964" s="14" t="str">
        <f t="shared" si="246"/>
        <v/>
      </c>
      <c r="AC964" s="14" t="str">
        <f t="shared" si="247"/>
        <v/>
      </c>
      <c r="AD964" s="14" t="str">
        <f t="shared" si="248"/>
        <v/>
      </c>
    </row>
    <row r="965" spans="2:30" x14ac:dyDescent="0.3">
      <c r="B965" s="13" t="str" cm="1">
        <f t="array" ref="B965">IF($A965="","",_xlfn.LET(_xlpm.p,IFERROR(INDEX(tblDados[País],MATCH($A965,TRIM(tblDados[Mandante]),0)),INDEX(tblDados[País],MATCH($A965,TRIM(tblDados[Visitante]),0))),_xlpm.l,IFERROR(INDEX(tblDados[Liga],MATCH($A965,TRIM(tblDados[Mandante]),0)),INDEX(tblDados[Liga],MATCH($A965,TRIM(tblDados[Visitante]),0))),_xlpm.p&amp;" - "&amp;_xlpm.l))</f>
        <v/>
      </c>
      <c r="C965" s="14" t="str">
        <f t="shared" si="249"/>
        <v/>
      </c>
      <c r="D965" s="14" t="str">
        <f t="shared" si="250"/>
        <v/>
      </c>
      <c r="E965" s="15" t="str" cm="1">
        <f t="array" ref="E965">IF($A965="","",SUMPRODUCT((TRIM(tblDados[Mandante])=$A965)*tblDados[Primeira_Ocorrencia]))</f>
        <v/>
      </c>
      <c r="F965" s="15" t="str" cm="1">
        <f t="array" ref="F965">IF($A965="","",SUMPRODUCT((TRIM(tblDados[Visitante])=$A965)*tblDados[Primeira_Ocorrencia]))</f>
        <v/>
      </c>
      <c r="G965" s="15" t="str" cm="1">
        <f t="array" ref="G965">IF($A965="","",SUMPRODUCT((TRIM(tblDados[Mandante])=$A965)*tblDados[Primeira_Ocorrencia])+SUMPRODUCT((TRIM(tblDados[Visitante])=$A965)*tblDados[Primeira_Ocorrencia]))</f>
        <v/>
      </c>
      <c r="H965" s="14" t="str">
        <f t="shared" si="251"/>
        <v/>
      </c>
      <c r="I965" s="14" t="str" cm="1">
        <f t="array" ref="I965">IF($A965="","",_xlfn.LET(_xlpm.p,IFERROR(INDEX(tblDados[País],MATCH($A965,TRIM(tblDados[Mandante]),0)),INDEX(tblDados[País],MATCH($A965,TRIM(tblDados[Visitante]),0))),_xlpm.l,IFERROR(INDEX(tblDados[Liga],MATCH($A965,TRIM(tblDados[Mandante]),0)),INDEX(tblDados[Liga],MATCH($A965,TRIM(tblDados[Visitante]),0))),IFERROR(SUMIFS(Ligas!$D$2:$D$39,Ligas!$H$2:$H$39,_xlpm.p,Ligas!$I$2:$I$39,_xlpm.l),0)))</f>
        <v/>
      </c>
      <c r="J965" s="16" t="str" cm="1">
        <f t="array" ref="J965">IF($A965="","",IFERROR((SUMPRODUCT((TRIM(tblDados[Mandante])=$A965)*tblDados[Primeira_Ocorrencia]*(tblDados[GM_M]=0))+SUMPRODUCT((TRIM(tblDados[Visitante])=$A965)*tblDados[Primeira_Ocorrencia]*(tblDados[GM_V]=0)))/G965,0))</f>
        <v/>
      </c>
      <c r="K965" s="16" t="str" cm="1">
        <f t="array" ref="K965">IF($A965="","",IFERROR((SUMPRODUCT((TRIM(tblDados[Mandante])=$A965)*tblDados[Primeira_Ocorrencia]*((tblDados[GM_M]+tblDados[GS_M])&gt;0.5))+SUMPRODUCT((TRIM(tblDados[Visitante])=$A965)*tblDados[Primeira_Ocorrencia]*((tblDados[GM_V]+tblDados[GS_V])&gt;0.5)))/G965,0))</f>
        <v/>
      </c>
      <c r="L965" s="16" t="str" cm="1">
        <f t="array" ref="L965">IF($A965="","",IFERROR((SUMPRODUCT((TRIM(tblDados[Mandante])=$A965)*tblDados[Primeira_Ocorrencia]*((tblDados[GM_M]+tblDados[GS_M])&gt;1.5))+SUMPRODUCT((TRIM(tblDados[Visitante])=$A965)*tblDados[Primeira_Ocorrencia]*((tblDados[GM_V]+tblDados[GS_V])&gt;1.5)))/G965,0))</f>
        <v/>
      </c>
      <c r="M965" s="16" t="str" cm="1">
        <f t="array" ref="M965">IF($A965="","",IFERROR((SUMPRODUCT((TRIM(tblDados[Mandante])=$A965)*tblDados[Primeira_Ocorrencia]*((tblDados[GM_M]+tblDados[GS_M])&gt;2.5))+SUMPRODUCT((TRIM(tblDados[Visitante])=$A965)*tblDados[Primeira_Ocorrencia]*((tblDados[GM_V]+tblDados[GS_V])&gt;2.5)))/G965,0))</f>
        <v/>
      </c>
      <c r="N965" s="16" t="str" cm="1">
        <f t="array" ref="N965">IF($A965="","",IFERROR((SUMPRODUCT((TRIM(tblDados[Mandante])=$A965)*tblDados[Primeira_Ocorrencia]*((tblDados[GM_M]+tblDados[GS_M])&gt;3.5))+SUMPRODUCT((TRIM(tblDados[Visitante])=$A965)*tblDados[Primeira_Ocorrencia]*((tblDados[GM_V]+tblDados[GS_V])&gt;3.5)))/G965,0))</f>
        <v/>
      </c>
      <c r="O965" s="16" t="str" cm="1">
        <f t="array" ref="O965">IF($A965="","",IFERROR((SUMPRODUCT((TRIM(tblDados[Mandante])=$A965)*tblDados[Primeira_Ocorrencia]*(tblDados[GM_M]&gt;0)*(tblDados[GS_M]&gt;0))+SUMPRODUCT((TRIM(tblDados[Visitante])=$A965)*tblDados[Primeira_Ocorrencia]*(tblDados[GM_V]&gt;0)*(tblDados[GS_V]&gt;0)))/G965,0))</f>
        <v/>
      </c>
      <c r="P965" s="14" t="str" cm="1">
        <f t="array" ref="P965">IF($A965="","",IFERROR((SUMPRODUCT((TRIM(tblDados[Mandante])=$A965)*tblDados[Primeira_Ocorrencia]*tblDados[GM_M]^2)+SUMPRODUCT((TRIM(tblDados[Visitante])=$A965)*tblDados[Primeira_Ocorrencia]*tblDados[GM_V]^2))/G965-H965^2,0))</f>
        <v/>
      </c>
      <c r="Q965" s="14" t="str">
        <f t="shared" si="252"/>
        <v/>
      </c>
      <c r="R965" s="1" t="str">
        <f t="shared" si="253"/>
        <v/>
      </c>
      <c r="S965" s="14" t="str" cm="1">
        <f t="array" ref="S965">IF($A965="","",SUMPRODUCT((TRIM(tblDados[Mandante])=$A965)*tblDados[Primeira_Ocorrencia]*tblDados[GM_M]))</f>
        <v/>
      </c>
      <c r="T965" s="14" t="str" cm="1">
        <f t="array" ref="T965">IF($A965="","",SUMPRODUCT((TRIM(tblDados[Visitante])=$A965)*tblDados[Primeira_Ocorrencia]*tblDados[GM_V]))</f>
        <v/>
      </c>
      <c r="U965" s="14" t="str">
        <f t="shared" si="254"/>
        <v/>
      </c>
      <c r="V965" s="14" t="str">
        <f t="shared" si="243"/>
        <v/>
      </c>
      <c r="W965" s="14" t="str" cm="1">
        <f t="array" ref="W965">IF($A965="","",SUMPRODUCT((TRIM(tblDados[Mandante])=$A965)*tblDados[Primeira_Ocorrencia]*tblDados[GS_M]))</f>
        <v/>
      </c>
      <c r="X965" s="14" t="str" cm="1">
        <f t="array" ref="X965">IF($A965="","",SUMPRODUCT((TRIM(tblDados[Visitante])=$A965)*tblDados[Primeira_Ocorrencia]*tblDados[GS_V]))</f>
        <v/>
      </c>
      <c r="Y965" s="14" t="str">
        <f t="shared" si="255"/>
        <v/>
      </c>
      <c r="Z965" s="14" t="str">
        <f t="shared" si="244"/>
        <v/>
      </c>
      <c r="AA965" s="14" t="str">
        <f t="shared" si="245"/>
        <v/>
      </c>
      <c r="AB965" s="14" t="str">
        <f t="shared" si="246"/>
        <v/>
      </c>
      <c r="AC965" s="14" t="str">
        <f t="shared" si="247"/>
        <v/>
      </c>
      <c r="AD965" s="14" t="str">
        <f t="shared" si="248"/>
        <v/>
      </c>
    </row>
    <row r="966" spans="2:30" x14ac:dyDescent="0.3">
      <c r="B966" s="13" t="str" cm="1">
        <f t="array" ref="B966">IF($A966="","",_xlfn.LET(_xlpm.p,IFERROR(INDEX(tblDados[País],MATCH($A966,TRIM(tblDados[Mandante]),0)),INDEX(tblDados[País],MATCH($A966,TRIM(tblDados[Visitante]),0))),_xlpm.l,IFERROR(INDEX(tblDados[Liga],MATCH($A966,TRIM(tblDados[Mandante]),0)),INDEX(tblDados[Liga],MATCH($A966,TRIM(tblDados[Visitante]),0))),_xlpm.p&amp;" - "&amp;_xlpm.l))</f>
        <v/>
      </c>
      <c r="C966" s="14" t="str">
        <f t="shared" si="249"/>
        <v/>
      </c>
      <c r="D966" s="14" t="str">
        <f t="shared" si="250"/>
        <v/>
      </c>
      <c r="E966" s="15" t="str" cm="1">
        <f t="array" ref="E966">IF($A966="","",SUMPRODUCT((TRIM(tblDados[Mandante])=$A966)*tblDados[Primeira_Ocorrencia]))</f>
        <v/>
      </c>
      <c r="F966" s="15" t="str" cm="1">
        <f t="array" ref="F966">IF($A966="","",SUMPRODUCT((TRIM(tblDados[Visitante])=$A966)*tblDados[Primeira_Ocorrencia]))</f>
        <v/>
      </c>
      <c r="G966" s="15" t="str" cm="1">
        <f t="array" ref="G966">IF($A966="","",SUMPRODUCT((TRIM(tblDados[Mandante])=$A966)*tblDados[Primeira_Ocorrencia])+SUMPRODUCT((TRIM(tblDados[Visitante])=$A966)*tblDados[Primeira_Ocorrencia]))</f>
        <v/>
      </c>
      <c r="H966" s="14" t="str">
        <f t="shared" si="251"/>
        <v/>
      </c>
      <c r="I966" s="14" t="str" cm="1">
        <f t="array" ref="I966">IF($A966="","",_xlfn.LET(_xlpm.p,IFERROR(INDEX(tblDados[País],MATCH($A966,TRIM(tblDados[Mandante]),0)),INDEX(tblDados[País],MATCH($A966,TRIM(tblDados[Visitante]),0))),_xlpm.l,IFERROR(INDEX(tblDados[Liga],MATCH($A966,TRIM(tblDados[Mandante]),0)),INDEX(tblDados[Liga],MATCH($A966,TRIM(tblDados[Visitante]),0))),IFERROR(SUMIFS(Ligas!$D$2:$D$39,Ligas!$H$2:$H$39,_xlpm.p,Ligas!$I$2:$I$39,_xlpm.l),0)))</f>
        <v/>
      </c>
      <c r="J966" s="16" t="str" cm="1">
        <f t="array" ref="J966">IF($A966="","",IFERROR((SUMPRODUCT((TRIM(tblDados[Mandante])=$A966)*tblDados[Primeira_Ocorrencia]*(tblDados[GM_M]=0))+SUMPRODUCT((TRIM(tblDados[Visitante])=$A966)*tblDados[Primeira_Ocorrencia]*(tblDados[GM_V]=0)))/G966,0))</f>
        <v/>
      </c>
      <c r="K966" s="16" t="str" cm="1">
        <f t="array" ref="K966">IF($A966="","",IFERROR((SUMPRODUCT((TRIM(tblDados[Mandante])=$A966)*tblDados[Primeira_Ocorrencia]*((tblDados[GM_M]+tblDados[GS_M])&gt;0.5))+SUMPRODUCT((TRIM(tblDados[Visitante])=$A966)*tblDados[Primeira_Ocorrencia]*((tblDados[GM_V]+tblDados[GS_V])&gt;0.5)))/G966,0))</f>
        <v/>
      </c>
      <c r="L966" s="16" t="str" cm="1">
        <f t="array" ref="L966">IF($A966="","",IFERROR((SUMPRODUCT((TRIM(tblDados[Mandante])=$A966)*tblDados[Primeira_Ocorrencia]*((tblDados[GM_M]+tblDados[GS_M])&gt;1.5))+SUMPRODUCT((TRIM(tblDados[Visitante])=$A966)*tblDados[Primeira_Ocorrencia]*((tblDados[GM_V]+tblDados[GS_V])&gt;1.5)))/G966,0))</f>
        <v/>
      </c>
      <c r="M966" s="16" t="str" cm="1">
        <f t="array" ref="M966">IF($A966="","",IFERROR((SUMPRODUCT((TRIM(tblDados[Mandante])=$A966)*tblDados[Primeira_Ocorrencia]*((tblDados[GM_M]+tblDados[GS_M])&gt;2.5))+SUMPRODUCT((TRIM(tblDados[Visitante])=$A966)*tblDados[Primeira_Ocorrencia]*((tblDados[GM_V]+tblDados[GS_V])&gt;2.5)))/G966,0))</f>
        <v/>
      </c>
      <c r="N966" s="16" t="str" cm="1">
        <f t="array" ref="N966">IF($A966="","",IFERROR((SUMPRODUCT((TRIM(tblDados[Mandante])=$A966)*tblDados[Primeira_Ocorrencia]*((tblDados[GM_M]+tblDados[GS_M])&gt;3.5))+SUMPRODUCT((TRIM(tblDados[Visitante])=$A966)*tblDados[Primeira_Ocorrencia]*((tblDados[GM_V]+tblDados[GS_V])&gt;3.5)))/G966,0))</f>
        <v/>
      </c>
      <c r="O966" s="16" t="str" cm="1">
        <f t="array" ref="O966">IF($A966="","",IFERROR((SUMPRODUCT((TRIM(tblDados[Mandante])=$A966)*tblDados[Primeira_Ocorrencia]*(tblDados[GM_M]&gt;0)*(tblDados[GS_M]&gt;0))+SUMPRODUCT((TRIM(tblDados[Visitante])=$A966)*tblDados[Primeira_Ocorrencia]*(tblDados[GM_V]&gt;0)*(tblDados[GS_V]&gt;0)))/G966,0))</f>
        <v/>
      </c>
      <c r="P966" s="14" t="str" cm="1">
        <f t="array" ref="P966">IF($A966="","",IFERROR((SUMPRODUCT((TRIM(tblDados[Mandante])=$A966)*tblDados[Primeira_Ocorrencia]*tblDados[GM_M]^2)+SUMPRODUCT((TRIM(tblDados[Visitante])=$A966)*tblDados[Primeira_Ocorrencia]*tblDados[GM_V]^2))/G966-H966^2,0))</f>
        <v/>
      </c>
      <c r="Q966" s="14" t="str">
        <f t="shared" si="252"/>
        <v/>
      </c>
      <c r="R966" s="1" t="str">
        <f t="shared" si="253"/>
        <v/>
      </c>
      <c r="S966" s="14" t="str" cm="1">
        <f t="array" ref="S966">IF($A966="","",SUMPRODUCT((TRIM(tblDados[Mandante])=$A966)*tblDados[Primeira_Ocorrencia]*tblDados[GM_M]))</f>
        <v/>
      </c>
      <c r="T966" s="14" t="str" cm="1">
        <f t="array" ref="T966">IF($A966="","",SUMPRODUCT((TRIM(tblDados[Visitante])=$A966)*tblDados[Primeira_Ocorrencia]*tblDados[GM_V]))</f>
        <v/>
      </c>
      <c r="U966" s="14" t="str">
        <f t="shared" si="254"/>
        <v/>
      </c>
      <c r="V966" s="14" t="str">
        <f t="shared" si="243"/>
        <v/>
      </c>
      <c r="W966" s="14" t="str" cm="1">
        <f t="array" ref="W966">IF($A966="","",SUMPRODUCT((TRIM(tblDados[Mandante])=$A966)*tblDados[Primeira_Ocorrencia]*tblDados[GS_M]))</f>
        <v/>
      </c>
      <c r="X966" s="14" t="str" cm="1">
        <f t="array" ref="X966">IF($A966="","",SUMPRODUCT((TRIM(tblDados[Visitante])=$A966)*tblDados[Primeira_Ocorrencia]*tblDados[GS_V]))</f>
        <v/>
      </c>
      <c r="Y966" s="14" t="str">
        <f t="shared" si="255"/>
        <v/>
      </c>
      <c r="Z966" s="14" t="str">
        <f t="shared" si="244"/>
        <v/>
      </c>
      <c r="AA966" s="14" t="str">
        <f t="shared" si="245"/>
        <v/>
      </c>
      <c r="AB966" s="14" t="str">
        <f t="shared" si="246"/>
        <v/>
      </c>
      <c r="AC966" s="14" t="str">
        <f t="shared" si="247"/>
        <v/>
      </c>
      <c r="AD966" s="14" t="str">
        <f t="shared" si="248"/>
        <v/>
      </c>
    </row>
    <row r="967" spans="2:30" x14ac:dyDescent="0.3">
      <c r="B967" s="13" t="str" cm="1">
        <f t="array" ref="B967">IF($A967="","",_xlfn.LET(_xlpm.p,IFERROR(INDEX(tblDados[País],MATCH($A967,TRIM(tblDados[Mandante]),0)),INDEX(tblDados[País],MATCH($A967,TRIM(tblDados[Visitante]),0))),_xlpm.l,IFERROR(INDEX(tblDados[Liga],MATCH($A967,TRIM(tblDados[Mandante]),0)),INDEX(tblDados[Liga],MATCH($A967,TRIM(tblDados[Visitante]),0))),_xlpm.p&amp;" - "&amp;_xlpm.l))</f>
        <v/>
      </c>
      <c r="C967" s="14" t="str">
        <f t="shared" si="249"/>
        <v/>
      </c>
      <c r="D967" s="14" t="str">
        <f t="shared" si="250"/>
        <v/>
      </c>
      <c r="E967" s="15" t="str" cm="1">
        <f t="array" ref="E967">IF($A967="","",SUMPRODUCT((TRIM(tblDados[Mandante])=$A967)*tblDados[Primeira_Ocorrencia]))</f>
        <v/>
      </c>
      <c r="F967" s="15" t="str" cm="1">
        <f t="array" ref="F967">IF($A967="","",SUMPRODUCT((TRIM(tblDados[Visitante])=$A967)*tblDados[Primeira_Ocorrencia]))</f>
        <v/>
      </c>
      <c r="G967" s="15" t="str" cm="1">
        <f t="array" ref="G967">IF($A967="","",SUMPRODUCT((TRIM(tblDados[Mandante])=$A967)*tblDados[Primeira_Ocorrencia])+SUMPRODUCT((TRIM(tblDados[Visitante])=$A967)*tblDados[Primeira_Ocorrencia]))</f>
        <v/>
      </c>
      <c r="H967" s="14" t="str">
        <f t="shared" si="251"/>
        <v/>
      </c>
      <c r="I967" s="14" t="str" cm="1">
        <f t="array" ref="I967">IF($A967="","",_xlfn.LET(_xlpm.p,IFERROR(INDEX(tblDados[País],MATCH($A967,TRIM(tblDados[Mandante]),0)),INDEX(tblDados[País],MATCH($A967,TRIM(tblDados[Visitante]),0))),_xlpm.l,IFERROR(INDEX(tblDados[Liga],MATCH($A967,TRIM(tblDados[Mandante]),0)),INDEX(tblDados[Liga],MATCH($A967,TRIM(tblDados[Visitante]),0))),IFERROR(SUMIFS(Ligas!$D$2:$D$39,Ligas!$H$2:$H$39,_xlpm.p,Ligas!$I$2:$I$39,_xlpm.l),0)))</f>
        <v/>
      </c>
      <c r="J967" s="16" t="str" cm="1">
        <f t="array" ref="J967">IF($A967="","",IFERROR((SUMPRODUCT((TRIM(tblDados[Mandante])=$A967)*tblDados[Primeira_Ocorrencia]*(tblDados[GM_M]=0))+SUMPRODUCT((TRIM(tblDados[Visitante])=$A967)*tblDados[Primeira_Ocorrencia]*(tblDados[GM_V]=0)))/G967,0))</f>
        <v/>
      </c>
      <c r="K967" s="16" t="str" cm="1">
        <f t="array" ref="K967">IF($A967="","",IFERROR((SUMPRODUCT((TRIM(tblDados[Mandante])=$A967)*tblDados[Primeira_Ocorrencia]*((tblDados[GM_M]+tblDados[GS_M])&gt;0.5))+SUMPRODUCT((TRIM(tblDados[Visitante])=$A967)*tblDados[Primeira_Ocorrencia]*((tblDados[GM_V]+tblDados[GS_V])&gt;0.5)))/G967,0))</f>
        <v/>
      </c>
      <c r="L967" s="16" t="str" cm="1">
        <f t="array" ref="L967">IF($A967="","",IFERROR((SUMPRODUCT((TRIM(tblDados[Mandante])=$A967)*tblDados[Primeira_Ocorrencia]*((tblDados[GM_M]+tblDados[GS_M])&gt;1.5))+SUMPRODUCT((TRIM(tblDados[Visitante])=$A967)*tblDados[Primeira_Ocorrencia]*((tblDados[GM_V]+tblDados[GS_V])&gt;1.5)))/G967,0))</f>
        <v/>
      </c>
      <c r="M967" s="16" t="str" cm="1">
        <f t="array" ref="M967">IF($A967="","",IFERROR((SUMPRODUCT((TRIM(tblDados[Mandante])=$A967)*tblDados[Primeira_Ocorrencia]*((tblDados[GM_M]+tblDados[GS_M])&gt;2.5))+SUMPRODUCT((TRIM(tblDados[Visitante])=$A967)*tblDados[Primeira_Ocorrencia]*((tblDados[GM_V]+tblDados[GS_V])&gt;2.5)))/G967,0))</f>
        <v/>
      </c>
      <c r="N967" s="16" t="str" cm="1">
        <f t="array" ref="N967">IF($A967="","",IFERROR((SUMPRODUCT((TRIM(tblDados[Mandante])=$A967)*tblDados[Primeira_Ocorrencia]*((tblDados[GM_M]+tblDados[GS_M])&gt;3.5))+SUMPRODUCT((TRIM(tblDados[Visitante])=$A967)*tblDados[Primeira_Ocorrencia]*((tblDados[GM_V]+tblDados[GS_V])&gt;3.5)))/G967,0))</f>
        <v/>
      </c>
      <c r="O967" s="16" t="str" cm="1">
        <f t="array" ref="O967">IF($A967="","",IFERROR((SUMPRODUCT((TRIM(tblDados[Mandante])=$A967)*tblDados[Primeira_Ocorrencia]*(tblDados[GM_M]&gt;0)*(tblDados[GS_M]&gt;0))+SUMPRODUCT((TRIM(tblDados[Visitante])=$A967)*tblDados[Primeira_Ocorrencia]*(tblDados[GM_V]&gt;0)*(tblDados[GS_V]&gt;0)))/G967,0))</f>
        <v/>
      </c>
      <c r="P967" s="14" t="str" cm="1">
        <f t="array" ref="P967">IF($A967="","",IFERROR((SUMPRODUCT((TRIM(tblDados[Mandante])=$A967)*tblDados[Primeira_Ocorrencia]*tblDados[GM_M]^2)+SUMPRODUCT((TRIM(tblDados[Visitante])=$A967)*tblDados[Primeira_Ocorrencia]*tblDados[GM_V]^2))/G967-H967^2,0))</f>
        <v/>
      </c>
      <c r="Q967" s="14" t="str">
        <f t="shared" si="252"/>
        <v/>
      </c>
      <c r="R967" s="1" t="str">
        <f t="shared" si="253"/>
        <v/>
      </c>
      <c r="S967" s="14" t="str" cm="1">
        <f t="array" ref="S967">IF($A967="","",SUMPRODUCT((TRIM(tblDados[Mandante])=$A967)*tblDados[Primeira_Ocorrencia]*tblDados[GM_M]))</f>
        <v/>
      </c>
      <c r="T967" s="14" t="str" cm="1">
        <f t="array" ref="T967">IF($A967="","",SUMPRODUCT((TRIM(tblDados[Visitante])=$A967)*tblDados[Primeira_Ocorrencia]*tblDados[GM_V]))</f>
        <v/>
      </c>
      <c r="U967" s="14" t="str">
        <f t="shared" si="254"/>
        <v/>
      </c>
      <c r="V967" s="14" t="str">
        <f t="shared" si="243"/>
        <v/>
      </c>
      <c r="W967" s="14" t="str" cm="1">
        <f t="array" ref="W967">IF($A967="","",SUMPRODUCT((TRIM(tblDados[Mandante])=$A967)*tblDados[Primeira_Ocorrencia]*tblDados[GS_M]))</f>
        <v/>
      </c>
      <c r="X967" s="14" t="str" cm="1">
        <f t="array" ref="X967">IF($A967="","",SUMPRODUCT((TRIM(tblDados[Visitante])=$A967)*tblDados[Primeira_Ocorrencia]*tblDados[GS_V]))</f>
        <v/>
      </c>
      <c r="Y967" s="14" t="str">
        <f t="shared" si="255"/>
        <v/>
      </c>
      <c r="Z967" s="14" t="str">
        <f t="shared" si="244"/>
        <v/>
      </c>
      <c r="AA967" s="14" t="str">
        <f t="shared" si="245"/>
        <v/>
      </c>
      <c r="AB967" s="14" t="str">
        <f t="shared" si="246"/>
        <v/>
      </c>
      <c r="AC967" s="14" t="str">
        <f t="shared" si="247"/>
        <v/>
      </c>
      <c r="AD967" s="14" t="str">
        <f t="shared" si="248"/>
        <v/>
      </c>
    </row>
    <row r="968" spans="2:30" x14ac:dyDescent="0.3">
      <c r="B968" s="13" t="str" cm="1">
        <f t="array" ref="B968">IF($A968="","",_xlfn.LET(_xlpm.p,IFERROR(INDEX(tblDados[País],MATCH($A968,TRIM(tblDados[Mandante]),0)),INDEX(tblDados[País],MATCH($A968,TRIM(tblDados[Visitante]),0))),_xlpm.l,IFERROR(INDEX(tblDados[Liga],MATCH($A968,TRIM(tblDados[Mandante]),0)),INDEX(tblDados[Liga],MATCH($A968,TRIM(tblDados[Visitante]),0))),_xlpm.p&amp;" - "&amp;_xlpm.l))</f>
        <v/>
      </c>
      <c r="C968" s="14" t="str">
        <f t="shared" si="249"/>
        <v/>
      </c>
      <c r="D968" s="14" t="str">
        <f t="shared" si="250"/>
        <v/>
      </c>
      <c r="E968" s="15" t="str" cm="1">
        <f t="array" ref="E968">IF($A968="","",SUMPRODUCT((TRIM(tblDados[Mandante])=$A968)*tblDados[Primeira_Ocorrencia]))</f>
        <v/>
      </c>
      <c r="F968" s="15" t="str" cm="1">
        <f t="array" ref="F968">IF($A968="","",SUMPRODUCT((TRIM(tblDados[Visitante])=$A968)*tblDados[Primeira_Ocorrencia]))</f>
        <v/>
      </c>
      <c r="G968" s="15" t="str" cm="1">
        <f t="array" ref="G968">IF($A968="","",SUMPRODUCT((TRIM(tblDados[Mandante])=$A968)*tblDados[Primeira_Ocorrencia])+SUMPRODUCT((TRIM(tblDados[Visitante])=$A968)*tblDados[Primeira_Ocorrencia]))</f>
        <v/>
      </c>
      <c r="H968" s="14" t="str">
        <f t="shared" si="251"/>
        <v/>
      </c>
      <c r="I968" s="14" t="str" cm="1">
        <f t="array" ref="I968">IF($A968="","",_xlfn.LET(_xlpm.p,IFERROR(INDEX(tblDados[País],MATCH($A968,TRIM(tblDados[Mandante]),0)),INDEX(tblDados[País],MATCH($A968,TRIM(tblDados[Visitante]),0))),_xlpm.l,IFERROR(INDEX(tblDados[Liga],MATCH($A968,TRIM(tblDados[Mandante]),0)),INDEX(tblDados[Liga],MATCH($A968,TRIM(tblDados[Visitante]),0))),IFERROR(SUMIFS(Ligas!$D$2:$D$39,Ligas!$H$2:$H$39,_xlpm.p,Ligas!$I$2:$I$39,_xlpm.l),0)))</f>
        <v/>
      </c>
      <c r="J968" s="16" t="str" cm="1">
        <f t="array" ref="J968">IF($A968="","",IFERROR((SUMPRODUCT((TRIM(tblDados[Mandante])=$A968)*tblDados[Primeira_Ocorrencia]*(tblDados[GM_M]=0))+SUMPRODUCT((TRIM(tblDados[Visitante])=$A968)*tblDados[Primeira_Ocorrencia]*(tblDados[GM_V]=0)))/G968,0))</f>
        <v/>
      </c>
      <c r="K968" s="16" t="str" cm="1">
        <f t="array" ref="K968">IF($A968="","",IFERROR((SUMPRODUCT((TRIM(tblDados[Mandante])=$A968)*tblDados[Primeira_Ocorrencia]*((tblDados[GM_M]+tblDados[GS_M])&gt;0.5))+SUMPRODUCT((TRIM(tblDados[Visitante])=$A968)*tblDados[Primeira_Ocorrencia]*((tblDados[GM_V]+tblDados[GS_V])&gt;0.5)))/G968,0))</f>
        <v/>
      </c>
      <c r="L968" s="16" t="str" cm="1">
        <f t="array" ref="L968">IF($A968="","",IFERROR((SUMPRODUCT((TRIM(tblDados[Mandante])=$A968)*tblDados[Primeira_Ocorrencia]*((tblDados[GM_M]+tblDados[GS_M])&gt;1.5))+SUMPRODUCT((TRIM(tblDados[Visitante])=$A968)*tblDados[Primeira_Ocorrencia]*((tblDados[GM_V]+tblDados[GS_V])&gt;1.5)))/G968,0))</f>
        <v/>
      </c>
      <c r="M968" s="16" t="str" cm="1">
        <f t="array" ref="M968">IF($A968="","",IFERROR((SUMPRODUCT((TRIM(tblDados[Mandante])=$A968)*tblDados[Primeira_Ocorrencia]*((tblDados[GM_M]+tblDados[GS_M])&gt;2.5))+SUMPRODUCT((TRIM(tblDados[Visitante])=$A968)*tblDados[Primeira_Ocorrencia]*((tblDados[GM_V]+tblDados[GS_V])&gt;2.5)))/G968,0))</f>
        <v/>
      </c>
      <c r="N968" s="16" t="str" cm="1">
        <f t="array" ref="N968">IF($A968="","",IFERROR((SUMPRODUCT((TRIM(tblDados[Mandante])=$A968)*tblDados[Primeira_Ocorrencia]*((tblDados[GM_M]+tblDados[GS_M])&gt;3.5))+SUMPRODUCT((TRIM(tblDados[Visitante])=$A968)*tblDados[Primeira_Ocorrencia]*((tblDados[GM_V]+tblDados[GS_V])&gt;3.5)))/G968,0))</f>
        <v/>
      </c>
      <c r="O968" s="16" t="str" cm="1">
        <f t="array" ref="O968">IF($A968="","",IFERROR((SUMPRODUCT((TRIM(tblDados[Mandante])=$A968)*tblDados[Primeira_Ocorrencia]*(tblDados[GM_M]&gt;0)*(tblDados[GS_M]&gt;0))+SUMPRODUCT((TRIM(tblDados[Visitante])=$A968)*tblDados[Primeira_Ocorrencia]*(tblDados[GM_V]&gt;0)*(tblDados[GS_V]&gt;0)))/G968,0))</f>
        <v/>
      </c>
      <c r="P968" s="14" t="str" cm="1">
        <f t="array" ref="P968">IF($A968="","",IFERROR((SUMPRODUCT((TRIM(tblDados[Mandante])=$A968)*tblDados[Primeira_Ocorrencia]*tblDados[GM_M]^2)+SUMPRODUCT((TRIM(tblDados[Visitante])=$A968)*tblDados[Primeira_Ocorrencia]*tblDados[GM_V]^2))/G968-H968^2,0))</f>
        <v/>
      </c>
      <c r="Q968" s="14" t="str">
        <f t="shared" si="252"/>
        <v/>
      </c>
      <c r="R968" s="1" t="str">
        <f t="shared" si="253"/>
        <v/>
      </c>
      <c r="S968" s="14" t="str" cm="1">
        <f t="array" ref="S968">IF($A968="","",SUMPRODUCT((TRIM(tblDados[Mandante])=$A968)*tblDados[Primeira_Ocorrencia]*tblDados[GM_M]))</f>
        <v/>
      </c>
      <c r="T968" s="14" t="str" cm="1">
        <f t="array" ref="T968">IF($A968="","",SUMPRODUCT((TRIM(tblDados[Visitante])=$A968)*tblDados[Primeira_Ocorrencia]*tblDados[GM_V]))</f>
        <v/>
      </c>
      <c r="U968" s="14" t="str">
        <f t="shared" si="254"/>
        <v/>
      </c>
      <c r="V968" s="14" t="str">
        <f t="shared" si="243"/>
        <v/>
      </c>
      <c r="W968" s="14" t="str" cm="1">
        <f t="array" ref="W968">IF($A968="","",SUMPRODUCT((TRIM(tblDados[Mandante])=$A968)*tblDados[Primeira_Ocorrencia]*tblDados[GS_M]))</f>
        <v/>
      </c>
      <c r="X968" s="14" t="str" cm="1">
        <f t="array" ref="X968">IF($A968="","",SUMPRODUCT((TRIM(tblDados[Visitante])=$A968)*tblDados[Primeira_Ocorrencia]*tblDados[GS_V]))</f>
        <v/>
      </c>
      <c r="Y968" s="14" t="str">
        <f t="shared" si="255"/>
        <v/>
      </c>
      <c r="Z968" s="14" t="str">
        <f t="shared" si="244"/>
        <v/>
      </c>
      <c r="AA968" s="14" t="str">
        <f t="shared" si="245"/>
        <v/>
      </c>
      <c r="AB968" s="14" t="str">
        <f t="shared" si="246"/>
        <v/>
      </c>
      <c r="AC968" s="14" t="str">
        <f t="shared" si="247"/>
        <v/>
      </c>
      <c r="AD968" s="14" t="str">
        <f t="shared" si="248"/>
        <v/>
      </c>
    </row>
    <row r="969" spans="2:30" x14ac:dyDescent="0.3">
      <c r="B969" s="13" t="str" cm="1">
        <f t="array" ref="B969">IF($A969="","",_xlfn.LET(_xlpm.p,IFERROR(INDEX(tblDados[País],MATCH($A969,TRIM(tblDados[Mandante]),0)),INDEX(tblDados[País],MATCH($A969,TRIM(tblDados[Visitante]),0))),_xlpm.l,IFERROR(INDEX(tblDados[Liga],MATCH($A969,TRIM(tblDados[Mandante]),0)),INDEX(tblDados[Liga],MATCH($A969,TRIM(tblDados[Visitante]),0))),_xlpm.p&amp;" - "&amp;_xlpm.l))</f>
        <v/>
      </c>
      <c r="C969" s="14" t="str">
        <f t="shared" si="249"/>
        <v/>
      </c>
      <c r="D969" s="14" t="str">
        <f t="shared" si="250"/>
        <v/>
      </c>
      <c r="E969" s="15" t="str" cm="1">
        <f t="array" ref="E969">IF($A969="","",SUMPRODUCT((TRIM(tblDados[Mandante])=$A969)*tblDados[Primeira_Ocorrencia]))</f>
        <v/>
      </c>
      <c r="F969" s="15" t="str" cm="1">
        <f t="array" ref="F969">IF($A969="","",SUMPRODUCT((TRIM(tblDados[Visitante])=$A969)*tblDados[Primeira_Ocorrencia]))</f>
        <v/>
      </c>
      <c r="G969" s="15" t="str" cm="1">
        <f t="array" ref="G969">IF($A969="","",SUMPRODUCT((TRIM(tblDados[Mandante])=$A969)*tblDados[Primeira_Ocorrencia])+SUMPRODUCT((TRIM(tblDados[Visitante])=$A969)*tblDados[Primeira_Ocorrencia]))</f>
        <v/>
      </c>
      <c r="H969" s="14" t="str">
        <f t="shared" si="251"/>
        <v/>
      </c>
      <c r="I969" s="14" t="str" cm="1">
        <f t="array" ref="I969">IF($A969="","",_xlfn.LET(_xlpm.p,IFERROR(INDEX(tblDados[País],MATCH($A969,TRIM(tblDados[Mandante]),0)),INDEX(tblDados[País],MATCH($A969,TRIM(tblDados[Visitante]),0))),_xlpm.l,IFERROR(INDEX(tblDados[Liga],MATCH($A969,TRIM(tblDados[Mandante]),0)),INDEX(tblDados[Liga],MATCH($A969,TRIM(tblDados[Visitante]),0))),IFERROR(SUMIFS(Ligas!$D$2:$D$39,Ligas!$H$2:$H$39,_xlpm.p,Ligas!$I$2:$I$39,_xlpm.l),0)))</f>
        <v/>
      </c>
      <c r="J969" s="16" t="str" cm="1">
        <f t="array" ref="J969">IF($A969="","",IFERROR((SUMPRODUCT((TRIM(tblDados[Mandante])=$A969)*tblDados[Primeira_Ocorrencia]*(tblDados[GM_M]=0))+SUMPRODUCT((TRIM(tblDados[Visitante])=$A969)*tblDados[Primeira_Ocorrencia]*(tblDados[GM_V]=0)))/G969,0))</f>
        <v/>
      </c>
      <c r="K969" s="16" t="str" cm="1">
        <f t="array" ref="K969">IF($A969="","",IFERROR((SUMPRODUCT((TRIM(tblDados[Mandante])=$A969)*tblDados[Primeira_Ocorrencia]*((tblDados[GM_M]+tblDados[GS_M])&gt;0.5))+SUMPRODUCT((TRIM(tblDados[Visitante])=$A969)*tblDados[Primeira_Ocorrencia]*((tblDados[GM_V]+tblDados[GS_V])&gt;0.5)))/G969,0))</f>
        <v/>
      </c>
      <c r="L969" s="16" t="str" cm="1">
        <f t="array" ref="L969">IF($A969="","",IFERROR((SUMPRODUCT((TRIM(tblDados[Mandante])=$A969)*tblDados[Primeira_Ocorrencia]*((tblDados[GM_M]+tblDados[GS_M])&gt;1.5))+SUMPRODUCT((TRIM(tblDados[Visitante])=$A969)*tblDados[Primeira_Ocorrencia]*((tblDados[GM_V]+tblDados[GS_V])&gt;1.5)))/G969,0))</f>
        <v/>
      </c>
      <c r="M969" s="16" t="str" cm="1">
        <f t="array" ref="M969">IF($A969="","",IFERROR((SUMPRODUCT((TRIM(tblDados[Mandante])=$A969)*tblDados[Primeira_Ocorrencia]*((tblDados[GM_M]+tblDados[GS_M])&gt;2.5))+SUMPRODUCT((TRIM(tblDados[Visitante])=$A969)*tblDados[Primeira_Ocorrencia]*((tblDados[GM_V]+tblDados[GS_V])&gt;2.5)))/G969,0))</f>
        <v/>
      </c>
      <c r="N969" s="16" t="str" cm="1">
        <f t="array" ref="N969">IF($A969="","",IFERROR((SUMPRODUCT((TRIM(tblDados[Mandante])=$A969)*tblDados[Primeira_Ocorrencia]*((tblDados[GM_M]+tblDados[GS_M])&gt;3.5))+SUMPRODUCT((TRIM(tblDados[Visitante])=$A969)*tblDados[Primeira_Ocorrencia]*((tblDados[GM_V]+tblDados[GS_V])&gt;3.5)))/G969,0))</f>
        <v/>
      </c>
      <c r="O969" s="16" t="str" cm="1">
        <f t="array" ref="O969">IF($A969="","",IFERROR((SUMPRODUCT((TRIM(tblDados[Mandante])=$A969)*tblDados[Primeira_Ocorrencia]*(tblDados[GM_M]&gt;0)*(tblDados[GS_M]&gt;0))+SUMPRODUCT((TRIM(tblDados[Visitante])=$A969)*tblDados[Primeira_Ocorrencia]*(tblDados[GM_V]&gt;0)*(tblDados[GS_V]&gt;0)))/G969,0))</f>
        <v/>
      </c>
      <c r="P969" s="14" t="str" cm="1">
        <f t="array" ref="P969">IF($A969="","",IFERROR((SUMPRODUCT((TRIM(tblDados[Mandante])=$A969)*tblDados[Primeira_Ocorrencia]*tblDados[GM_M]^2)+SUMPRODUCT((TRIM(tblDados[Visitante])=$A969)*tblDados[Primeira_Ocorrencia]*tblDados[GM_V]^2))/G969-H969^2,0))</f>
        <v/>
      </c>
      <c r="Q969" s="14" t="str">
        <f t="shared" si="252"/>
        <v/>
      </c>
      <c r="R969" s="1" t="str">
        <f t="shared" si="253"/>
        <v/>
      </c>
      <c r="S969" s="14" t="str" cm="1">
        <f t="array" ref="S969">IF($A969="","",SUMPRODUCT((TRIM(tblDados[Mandante])=$A969)*tblDados[Primeira_Ocorrencia]*tblDados[GM_M]))</f>
        <v/>
      </c>
      <c r="T969" s="14" t="str" cm="1">
        <f t="array" ref="T969">IF($A969="","",SUMPRODUCT((TRIM(tblDados[Visitante])=$A969)*tblDados[Primeira_Ocorrencia]*tblDados[GM_V]))</f>
        <v/>
      </c>
      <c r="U969" s="14" t="str">
        <f t="shared" si="254"/>
        <v/>
      </c>
      <c r="V969" s="14" t="str">
        <f t="shared" si="243"/>
        <v/>
      </c>
      <c r="W969" s="14" t="str" cm="1">
        <f t="array" ref="W969">IF($A969="","",SUMPRODUCT((TRIM(tblDados[Mandante])=$A969)*tblDados[Primeira_Ocorrencia]*tblDados[GS_M]))</f>
        <v/>
      </c>
      <c r="X969" s="14" t="str" cm="1">
        <f t="array" ref="X969">IF($A969="","",SUMPRODUCT((TRIM(tblDados[Visitante])=$A969)*tblDados[Primeira_Ocorrencia]*tblDados[GS_V]))</f>
        <v/>
      </c>
      <c r="Y969" s="14" t="str">
        <f t="shared" si="255"/>
        <v/>
      </c>
      <c r="Z969" s="14" t="str">
        <f t="shared" si="244"/>
        <v/>
      </c>
      <c r="AA969" s="14" t="str">
        <f t="shared" si="245"/>
        <v/>
      </c>
      <c r="AB969" s="14" t="str">
        <f t="shared" si="246"/>
        <v/>
      </c>
      <c r="AC969" s="14" t="str">
        <f t="shared" si="247"/>
        <v/>
      </c>
      <c r="AD969" s="14" t="str">
        <f t="shared" si="248"/>
        <v/>
      </c>
    </row>
    <row r="970" spans="2:30" x14ac:dyDescent="0.3">
      <c r="B970" s="13" t="str" cm="1">
        <f t="array" ref="B970">IF($A970="","",_xlfn.LET(_xlpm.p,IFERROR(INDEX(tblDados[País],MATCH($A970,TRIM(tblDados[Mandante]),0)),INDEX(tblDados[País],MATCH($A970,TRIM(tblDados[Visitante]),0))),_xlpm.l,IFERROR(INDEX(tblDados[Liga],MATCH($A970,TRIM(tblDados[Mandante]),0)),INDEX(tblDados[Liga],MATCH($A970,TRIM(tblDados[Visitante]),0))),_xlpm.p&amp;" - "&amp;_xlpm.l))</f>
        <v/>
      </c>
      <c r="C970" s="14" t="str">
        <f t="shared" si="249"/>
        <v/>
      </c>
      <c r="D970" s="14" t="str">
        <f t="shared" si="250"/>
        <v/>
      </c>
      <c r="E970" s="15" t="str" cm="1">
        <f t="array" ref="E970">IF($A970="","",SUMPRODUCT((TRIM(tblDados[Mandante])=$A970)*tblDados[Primeira_Ocorrencia]))</f>
        <v/>
      </c>
      <c r="F970" s="15" t="str" cm="1">
        <f t="array" ref="F970">IF($A970="","",SUMPRODUCT((TRIM(tblDados[Visitante])=$A970)*tblDados[Primeira_Ocorrencia]))</f>
        <v/>
      </c>
      <c r="G970" s="15" t="str" cm="1">
        <f t="array" ref="G970">IF($A970="","",SUMPRODUCT((TRIM(tblDados[Mandante])=$A970)*tblDados[Primeira_Ocorrencia])+SUMPRODUCT((TRIM(tblDados[Visitante])=$A970)*tblDados[Primeira_Ocorrencia]))</f>
        <v/>
      </c>
      <c r="H970" s="14" t="str">
        <f t="shared" si="251"/>
        <v/>
      </c>
      <c r="I970" s="14" t="str" cm="1">
        <f t="array" ref="I970">IF($A970="","",_xlfn.LET(_xlpm.p,IFERROR(INDEX(tblDados[País],MATCH($A970,TRIM(tblDados[Mandante]),0)),INDEX(tblDados[País],MATCH($A970,TRIM(tblDados[Visitante]),0))),_xlpm.l,IFERROR(INDEX(tblDados[Liga],MATCH($A970,TRIM(tblDados[Mandante]),0)),INDEX(tblDados[Liga],MATCH($A970,TRIM(tblDados[Visitante]),0))),IFERROR(SUMIFS(Ligas!$D$2:$D$39,Ligas!$H$2:$H$39,_xlpm.p,Ligas!$I$2:$I$39,_xlpm.l),0)))</f>
        <v/>
      </c>
      <c r="J970" s="16" t="str" cm="1">
        <f t="array" ref="J970">IF($A970="","",IFERROR((SUMPRODUCT((TRIM(tblDados[Mandante])=$A970)*tblDados[Primeira_Ocorrencia]*(tblDados[GM_M]=0))+SUMPRODUCT((TRIM(tblDados[Visitante])=$A970)*tblDados[Primeira_Ocorrencia]*(tblDados[GM_V]=0)))/G970,0))</f>
        <v/>
      </c>
      <c r="K970" s="16" t="str" cm="1">
        <f t="array" ref="K970">IF($A970="","",IFERROR((SUMPRODUCT((TRIM(tblDados[Mandante])=$A970)*tblDados[Primeira_Ocorrencia]*((tblDados[GM_M]+tblDados[GS_M])&gt;0.5))+SUMPRODUCT((TRIM(tblDados[Visitante])=$A970)*tblDados[Primeira_Ocorrencia]*((tblDados[GM_V]+tblDados[GS_V])&gt;0.5)))/G970,0))</f>
        <v/>
      </c>
      <c r="L970" s="16" t="str" cm="1">
        <f t="array" ref="L970">IF($A970="","",IFERROR((SUMPRODUCT((TRIM(tblDados[Mandante])=$A970)*tblDados[Primeira_Ocorrencia]*((tblDados[GM_M]+tblDados[GS_M])&gt;1.5))+SUMPRODUCT((TRIM(tblDados[Visitante])=$A970)*tblDados[Primeira_Ocorrencia]*((tblDados[GM_V]+tblDados[GS_V])&gt;1.5)))/G970,0))</f>
        <v/>
      </c>
      <c r="M970" s="16" t="str" cm="1">
        <f t="array" ref="M970">IF($A970="","",IFERROR((SUMPRODUCT((TRIM(tblDados[Mandante])=$A970)*tblDados[Primeira_Ocorrencia]*((tblDados[GM_M]+tblDados[GS_M])&gt;2.5))+SUMPRODUCT((TRIM(tblDados[Visitante])=$A970)*tblDados[Primeira_Ocorrencia]*((tblDados[GM_V]+tblDados[GS_V])&gt;2.5)))/G970,0))</f>
        <v/>
      </c>
      <c r="N970" s="16" t="str" cm="1">
        <f t="array" ref="N970">IF($A970="","",IFERROR((SUMPRODUCT((TRIM(tblDados[Mandante])=$A970)*tblDados[Primeira_Ocorrencia]*((tblDados[GM_M]+tblDados[GS_M])&gt;3.5))+SUMPRODUCT((TRIM(tblDados[Visitante])=$A970)*tblDados[Primeira_Ocorrencia]*((tblDados[GM_V]+tblDados[GS_V])&gt;3.5)))/G970,0))</f>
        <v/>
      </c>
      <c r="O970" s="16" t="str" cm="1">
        <f t="array" ref="O970">IF($A970="","",IFERROR((SUMPRODUCT((TRIM(tblDados[Mandante])=$A970)*tblDados[Primeira_Ocorrencia]*(tblDados[GM_M]&gt;0)*(tblDados[GS_M]&gt;0))+SUMPRODUCT((TRIM(tblDados[Visitante])=$A970)*tblDados[Primeira_Ocorrencia]*(tblDados[GM_V]&gt;0)*(tblDados[GS_V]&gt;0)))/G970,0))</f>
        <v/>
      </c>
      <c r="P970" s="14" t="str" cm="1">
        <f t="array" ref="P970">IF($A970="","",IFERROR((SUMPRODUCT((TRIM(tblDados[Mandante])=$A970)*tblDados[Primeira_Ocorrencia]*tblDados[GM_M]^2)+SUMPRODUCT((TRIM(tblDados[Visitante])=$A970)*tblDados[Primeira_Ocorrencia]*tblDados[GM_V]^2))/G970-H970^2,0))</f>
        <v/>
      </c>
      <c r="Q970" s="14" t="str">
        <f t="shared" si="252"/>
        <v/>
      </c>
      <c r="R970" s="1" t="str">
        <f t="shared" si="253"/>
        <v/>
      </c>
      <c r="S970" s="14" t="str" cm="1">
        <f t="array" ref="S970">IF($A970="","",SUMPRODUCT((TRIM(tblDados[Mandante])=$A970)*tblDados[Primeira_Ocorrencia]*tblDados[GM_M]))</f>
        <v/>
      </c>
      <c r="T970" s="14" t="str" cm="1">
        <f t="array" ref="T970">IF($A970="","",SUMPRODUCT((TRIM(tblDados[Visitante])=$A970)*tblDados[Primeira_Ocorrencia]*tblDados[GM_V]))</f>
        <v/>
      </c>
      <c r="U970" s="14" t="str">
        <f t="shared" si="254"/>
        <v/>
      </c>
      <c r="V970" s="14" t="str">
        <f t="shared" si="243"/>
        <v/>
      </c>
      <c r="W970" s="14" t="str" cm="1">
        <f t="array" ref="W970">IF($A970="","",SUMPRODUCT((TRIM(tblDados[Mandante])=$A970)*tblDados[Primeira_Ocorrencia]*tblDados[GS_M]))</f>
        <v/>
      </c>
      <c r="X970" s="14" t="str" cm="1">
        <f t="array" ref="X970">IF($A970="","",SUMPRODUCT((TRIM(tblDados[Visitante])=$A970)*tblDados[Primeira_Ocorrencia]*tblDados[GS_V]))</f>
        <v/>
      </c>
      <c r="Y970" s="14" t="str">
        <f t="shared" si="255"/>
        <v/>
      </c>
      <c r="Z970" s="14" t="str">
        <f t="shared" si="244"/>
        <v/>
      </c>
      <c r="AA970" s="14" t="str">
        <f t="shared" si="245"/>
        <v/>
      </c>
      <c r="AB970" s="14" t="str">
        <f t="shared" si="246"/>
        <v/>
      </c>
      <c r="AC970" s="14" t="str">
        <f t="shared" si="247"/>
        <v/>
      </c>
      <c r="AD970" s="14" t="str">
        <f t="shared" si="248"/>
        <v/>
      </c>
    </row>
    <row r="971" spans="2:30" x14ac:dyDescent="0.3">
      <c r="B971" s="13" t="str" cm="1">
        <f t="array" ref="B971">IF($A971="","",_xlfn.LET(_xlpm.p,IFERROR(INDEX(tblDados[País],MATCH($A971,TRIM(tblDados[Mandante]),0)),INDEX(tblDados[País],MATCH($A971,TRIM(tblDados[Visitante]),0))),_xlpm.l,IFERROR(INDEX(tblDados[Liga],MATCH($A971,TRIM(tblDados[Mandante]),0)),INDEX(tblDados[Liga],MATCH($A971,TRIM(tblDados[Visitante]),0))),_xlpm.p&amp;" - "&amp;_xlpm.l))</f>
        <v/>
      </c>
      <c r="C971" s="14" t="str">
        <f t="shared" si="249"/>
        <v/>
      </c>
      <c r="D971" s="14" t="str">
        <f t="shared" si="250"/>
        <v/>
      </c>
      <c r="E971" s="15" t="str" cm="1">
        <f t="array" ref="E971">IF($A971="","",SUMPRODUCT((TRIM(tblDados[Mandante])=$A971)*tblDados[Primeira_Ocorrencia]))</f>
        <v/>
      </c>
      <c r="F971" s="15" t="str" cm="1">
        <f t="array" ref="F971">IF($A971="","",SUMPRODUCT((TRIM(tblDados[Visitante])=$A971)*tblDados[Primeira_Ocorrencia]))</f>
        <v/>
      </c>
      <c r="G971" s="15" t="str" cm="1">
        <f t="array" ref="G971">IF($A971="","",SUMPRODUCT((TRIM(tblDados[Mandante])=$A971)*tblDados[Primeira_Ocorrencia])+SUMPRODUCT((TRIM(tblDados[Visitante])=$A971)*tblDados[Primeira_Ocorrencia]))</f>
        <v/>
      </c>
      <c r="H971" s="14" t="str">
        <f t="shared" si="251"/>
        <v/>
      </c>
      <c r="I971" s="14" t="str" cm="1">
        <f t="array" ref="I971">IF($A971="","",_xlfn.LET(_xlpm.p,IFERROR(INDEX(tblDados[País],MATCH($A971,TRIM(tblDados[Mandante]),0)),INDEX(tblDados[País],MATCH($A971,TRIM(tblDados[Visitante]),0))),_xlpm.l,IFERROR(INDEX(tblDados[Liga],MATCH($A971,TRIM(tblDados[Mandante]),0)),INDEX(tblDados[Liga],MATCH($A971,TRIM(tblDados[Visitante]),0))),IFERROR(SUMIFS(Ligas!$D$2:$D$39,Ligas!$H$2:$H$39,_xlpm.p,Ligas!$I$2:$I$39,_xlpm.l),0)))</f>
        <v/>
      </c>
      <c r="J971" s="16" t="str" cm="1">
        <f t="array" ref="J971">IF($A971="","",IFERROR((SUMPRODUCT((TRIM(tblDados[Mandante])=$A971)*tblDados[Primeira_Ocorrencia]*(tblDados[GM_M]=0))+SUMPRODUCT((TRIM(tblDados[Visitante])=$A971)*tblDados[Primeira_Ocorrencia]*(tblDados[GM_V]=0)))/G971,0))</f>
        <v/>
      </c>
      <c r="K971" s="16" t="str" cm="1">
        <f t="array" ref="K971">IF($A971="","",IFERROR((SUMPRODUCT((TRIM(tblDados[Mandante])=$A971)*tblDados[Primeira_Ocorrencia]*((tblDados[GM_M]+tblDados[GS_M])&gt;0.5))+SUMPRODUCT((TRIM(tblDados[Visitante])=$A971)*tblDados[Primeira_Ocorrencia]*((tblDados[GM_V]+tblDados[GS_V])&gt;0.5)))/G971,0))</f>
        <v/>
      </c>
      <c r="L971" s="16" t="str" cm="1">
        <f t="array" ref="L971">IF($A971="","",IFERROR((SUMPRODUCT((TRIM(tblDados[Mandante])=$A971)*tblDados[Primeira_Ocorrencia]*((tblDados[GM_M]+tblDados[GS_M])&gt;1.5))+SUMPRODUCT((TRIM(tblDados[Visitante])=$A971)*tblDados[Primeira_Ocorrencia]*((tblDados[GM_V]+tblDados[GS_V])&gt;1.5)))/G971,0))</f>
        <v/>
      </c>
      <c r="M971" s="16" t="str" cm="1">
        <f t="array" ref="M971">IF($A971="","",IFERROR((SUMPRODUCT((TRIM(tblDados[Mandante])=$A971)*tblDados[Primeira_Ocorrencia]*((tblDados[GM_M]+tblDados[GS_M])&gt;2.5))+SUMPRODUCT((TRIM(tblDados[Visitante])=$A971)*tblDados[Primeira_Ocorrencia]*((tblDados[GM_V]+tblDados[GS_V])&gt;2.5)))/G971,0))</f>
        <v/>
      </c>
      <c r="N971" s="16" t="str" cm="1">
        <f t="array" ref="N971">IF($A971="","",IFERROR((SUMPRODUCT((TRIM(tblDados[Mandante])=$A971)*tblDados[Primeira_Ocorrencia]*((tblDados[GM_M]+tblDados[GS_M])&gt;3.5))+SUMPRODUCT((TRIM(tblDados[Visitante])=$A971)*tblDados[Primeira_Ocorrencia]*((tblDados[GM_V]+tblDados[GS_V])&gt;3.5)))/G971,0))</f>
        <v/>
      </c>
      <c r="O971" s="16" t="str" cm="1">
        <f t="array" ref="O971">IF($A971="","",IFERROR((SUMPRODUCT((TRIM(tblDados[Mandante])=$A971)*tblDados[Primeira_Ocorrencia]*(tblDados[GM_M]&gt;0)*(tblDados[GS_M]&gt;0))+SUMPRODUCT((TRIM(tblDados[Visitante])=$A971)*tblDados[Primeira_Ocorrencia]*(tblDados[GM_V]&gt;0)*(tblDados[GS_V]&gt;0)))/G971,0))</f>
        <v/>
      </c>
      <c r="P971" s="14" t="str" cm="1">
        <f t="array" ref="P971">IF($A971="","",IFERROR((SUMPRODUCT((TRIM(tblDados[Mandante])=$A971)*tblDados[Primeira_Ocorrencia]*tblDados[GM_M]^2)+SUMPRODUCT((TRIM(tblDados[Visitante])=$A971)*tblDados[Primeira_Ocorrencia]*tblDados[GM_V]^2))/G971-H971^2,0))</f>
        <v/>
      </c>
      <c r="Q971" s="14" t="str">
        <f t="shared" si="252"/>
        <v/>
      </c>
      <c r="R971" s="1" t="str">
        <f t="shared" si="253"/>
        <v/>
      </c>
      <c r="S971" s="14" t="str" cm="1">
        <f t="array" ref="S971">IF($A971="","",SUMPRODUCT((TRIM(tblDados[Mandante])=$A971)*tblDados[Primeira_Ocorrencia]*tblDados[GM_M]))</f>
        <v/>
      </c>
      <c r="T971" s="14" t="str" cm="1">
        <f t="array" ref="T971">IF($A971="","",SUMPRODUCT((TRIM(tblDados[Visitante])=$A971)*tblDados[Primeira_Ocorrencia]*tblDados[GM_V]))</f>
        <v/>
      </c>
      <c r="U971" s="14" t="str">
        <f t="shared" si="254"/>
        <v/>
      </c>
      <c r="V971" s="14" t="str">
        <f t="shared" si="243"/>
        <v/>
      </c>
      <c r="W971" s="14" t="str" cm="1">
        <f t="array" ref="W971">IF($A971="","",SUMPRODUCT((TRIM(tblDados[Mandante])=$A971)*tblDados[Primeira_Ocorrencia]*tblDados[GS_M]))</f>
        <v/>
      </c>
      <c r="X971" s="14" t="str" cm="1">
        <f t="array" ref="X971">IF($A971="","",SUMPRODUCT((TRIM(tblDados[Visitante])=$A971)*tblDados[Primeira_Ocorrencia]*tblDados[GS_V]))</f>
        <v/>
      </c>
      <c r="Y971" s="14" t="str">
        <f t="shared" si="255"/>
        <v/>
      </c>
      <c r="Z971" s="14" t="str">
        <f t="shared" si="244"/>
        <v/>
      </c>
      <c r="AA971" s="14" t="str">
        <f t="shared" si="245"/>
        <v/>
      </c>
      <c r="AB971" s="14" t="str">
        <f t="shared" si="246"/>
        <v/>
      </c>
      <c r="AC971" s="14" t="str">
        <f t="shared" si="247"/>
        <v/>
      </c>
      <c r="AD971" s="14" t="str">
        <f t="shared" si="248"/>
        <v/>
      </c>
    </row>
    <row r="972" spans="2:30" x14ac:dyDescent="0.3">
      <c r="B972" s="13" t="str" cm="1">
        <f t="array" ref="B972">IF($A972="","",_xlfn.LET(_xlpm.p,IFERROR(INDEX(tblDados[País],MATCH($A972,TRIM(tblDados[Mandante]),0)),INDEX(tblDados[País],MATCH($A972,TRIM(tblDados[Visitante]),0))),_xlpm.l,IFERROR(INDEX(tblDados[Liga],MATCH($A972,TRIM(tblDados[Mandante]),0)),INDEX(tblDados[Liga],MATCH($A972,TRIM(tblDados[Visitante]),0))),_xlpm.p&amp;" - "&amp;_xlpm.l))</f>
        <v/>
      </c>
      <c r="C972" s="14" t="str">
        <f t="shared" si="249"/>
        <v/>
      </c>
      <c r="D972" s="14" t="str">
        <f t="shared" si="250"/>
        <v/>
      </c>
      <c r="E972" s="15" t="str" cm="1">
        <f t="array" ref="E972">IF($A972="","",SUMPRODUCT((TRIM(tblDados[Mandante])=$A972)*tblDados[Primeira_Ocorrencia]))</f>
        <v/>
      </c>
      <c r="F972" s="15" t="str" cm="1">
        <f t="array" ref="F972">IF($A972="","",SUMPRODUCT((TRIM(tblDados[Visitante])=$A972)*tblDados[Primeira_Ocorrencia]))</f>
        <v/>
      </c>
      <c r="G972" s="15" t="str" cm="1">
        <f t="array" ref="G972">IF($A972="","",SUMPRODUCT((TRIM(tblDados[Mandante])=$A972)*tblDados[Primeira_Ocorrencia])+SUMPRODUCT((TRIM(tblDados[Visitante])=$A972)*tblDados[Primeira_Ocorrencia]))</f>
        <v/>
      </c>
      <c r="H972" s="14" t="str">
        <f t="shared" si="251"/>
        <v/>
      </c>
      <c r="I972" s="14" t="str" cm="1">
        <f t="array" ref="I972">IF($A972="","",_xlfn.LET(_xlpm.p,IFERROR(INDEX(tblDados[País],MATCH($A972,TRIM(tblDados[Mandante]),0)),INDEX(tblDados[País],MATCH($A972,TRIM(tblDados[Visitante]),0))),_xlpm.l,IFERROR(INDEX(tblDados[Liga],MATCH($A972,TRIM(tblDados[Mandante]),0)),INDEX(tblDados[Liga],MATCH($A972,TRIM(tblDados[Visitante]),0))),IFERROR(SUMIFS(Ligas!$D$2:$D$39,Ligas!$H$2:$H$39,_xlpm.p,Ligas!$I$2:$I$39,_xlpm.l),0)))</f>
        <v/>
      </c>
      <c r="J972" s="16" t="str" cm="1">
        <f t="array" ref="J972">IF($A972="","",IFERROR((SUMPRODUCT((TRIM(tblDados[Mandante])=$A972)*tblDados[Primeira_Ocorrencia]*(tblDados[GM_M]=0))+SUMPRODUCT((TRIM(tblDados[Visitante])=$A972)*tblDados[Primeira_Ocorrencia]*(tblDados[GM_V]=0)))/G972,0))</f>
        <v/>
      </c>
      <c r="K972" s="16" t="str" cm="1">
        <f t="array" ref="K972">IF($A972="","",IFERROR((SUMPRODUCT((TRIM(tblDados[Mandante])=$A972)*tblDados[Primeira_Ocorrencia]*((tblDados[GM_M]+tblDados[GS_M])&gt;0.5))+SUMPRODUCT((TRIM(tblDados[Visitante])=$A972)*tblDados[Primeira_Ocorrencia]*((tblDados[GM_V]+tblDados[GS_V])&gt;0.5)))/G972,0))</f>
        <v/>
      </c>
      <c r="L972" s="16" t="str" cm="1">
        <f t="array" ref="L972">IF($A972="","",IFERROR((SUMPRODUCT((TRIM(tblDados[Mandante])=$A972)*tblDados[Primeira_Ocorrencia]*((tblDados[GM_M]+tblDados[GS_M])&gt;1.5))+SUMPRODUCT((TRIM(tblDados[Visitante])=$A972)*tblDados[Primeira_Ocorrencia]*((tblDados[GM_V]+tblDados[GS_V])&gt;1.5)))/G972,0))</f>
        <v/>
      </c>
      <c r="M972" s="16" t="str" cm="1">
        <f t="array" ref="M972">IF($A972="","",IFERROR((SUMPRODUCT((TRIM(tblDados[Mandante])=$A972)*tblDados[Primeira_Ocorrencia]*((tblDados[GM_M]+tblDados[GS_M])&gt;2.5))+SUMPRODUCT((TRIM(tblDados[Visitante])=$A972)*tblDados[Primeira_Ocorrencia]*((tblDados[GM_V]+tblDados[GS_V])&gt;2.5)))/G972,0))</f>
        <v/>
      </c>
      <c r="N972" s="16" t="str" cm="1">
        <f t="array" ref="N972">IF($A972="","",IFERROR((SUMPRODUCT((TRIM(tblDados[Mandante])=$A972)*tblDados[Primeira_Ocorrencia]*((tblDados[GM_M]+tblDados[GS_M])&gt;3.5))+SUMPRODUCT((TRIM(tblDados[Visitante])=$A972)*tblDados[Primeira_Ocorrencia]*((tblDados[GM_V]+tblDados[GS_V])&gt;3.5)))/G972,0))</f>
        <v/>
      </c>
      <c r="O972" s="16" t="str" cm="1">
        <f t="array" ref="O972">IF($A972="","",IFERROR((SUMPRODUCT((TRIM(tblDados[Mandante])=$A972)*tblDados[Primeira_Ocorrencia]*(tblDados[GM_M]&gt;0)*(tblDados[GS_M]&gt;0))+SUMPRODUCT((TRIM(tblDados[Visitante])=$A972)*tblDados[Primeira_Ocorrencia]*(tblDados[GM_V]&gt;0)*(tblDados[GS_V]&gt;0)))/G972,0))</f>
        <v/>
      </c>
      <c r="P972" s="14" t="str" cm="1">
        <f t="array" ref="P972">IF($A972="","",IFERROR((SUMPRODUCT((TRIM(tblDados[Mandante])=$A972)*tblDados[Primeira_Ocorrencia]*tblDados[GM_M]^2)+SUMPRODUCT((TRIM(tblDados[Visitante])=$A972)*tblDados[Primeira_Ocorrencia]*tblDados[GM_V]^2))/G972-H972^2,0))</f>
        <v/>
      </c>
      <c r="Q972" s="14" t="str">
        <f t="shared" si="252"/>
        <v/>
      </c>
      <c r="R972" s="1" t="str">
        <f t="shared" si="253"/>
        <v/>
      </c>
      <c r="S972" s="14" t="str" cm="1">
        <f t="array" ref="S972">IF($A972="","",SUMPRODUCT((TRIM(tblDados[Mandante])=$A972)*tblDados[Primeira_Ocorrencia]*tblDados[GM_M]))</f>
        <v/>
      </c>
      <c r="T972" s="14" t="str" cm="1">
        <f t="array" ref="T972">IF($A972="","",SUMPRODUCT((TRIM(tblDados[Visitante])=$A972)*tblDados[Primeira_Ocorrencia]*tblDados[GM_V]))</f>
        <v/>
      </c>
      <c r="U972" s="14" t="str">
        <f t="shared" si="254"/>
        <v/>
      </c>
      <c r="V972" s="14" t="str">
        <f t="shared" si="243"/>
        <v/>
      </c>
      <c r="W972" s="14" t="str" cm="1">
        <f t="array" ref="W972">IF($A972="","",SUMPRODUCT((TRIM(tblDados[Mandante])=$A972)*tblDados[Primeira_Ocorrencia]*tblDados[GS_M]))</f>
        <v/>
      </c>
      <c r="X972" s="14" t="str" cm="1">
        <f t="array" ref="X972">IF($A972="","",SUMPRODUCT((TRIM(tblDados[Visitante])=$A972)*tblDados[Primeira_Ocorrencia]*tblDados[GS_V]))</f>
        <v/>
      </c>
      <c r="Y972" s="14" t="str">
        <f t="shared" si="255"/>
        <v/>
      </c>
      <c r="Z972" s="14" t="str">
        <f t="shared" si="244"/>
        <v/>
      </c>
      <c r="AA972" s="14" t="str">
        <f t="shared" si="245"/>
        <v/>
      </c>
      <c r="AB972" s="14" t="str">
        <f t="shared" si="246"/>
        <v/>
      </c>
      <c r="AC972" s="14" t="str">
        <f t="shared" si="247"/>
        <v/>
      </c>
      <c r="AD972" s="14" t="str">
        <f t="shared" si="248"/>
        <v/>
      </c>
    </row>
    <row r="973" spans="2:30" x14ac:dyDescent="0.3">
      <c r="B973" s="13" t="str" cm="1">
        <f t="array" ref="B973">IF($A973="","",_xlfn.LET(_xlpm.p,IFERROR(INDEX(tblDados[País],MATCH($A973,TRIM(tblDados[Mandante]),0)),INDEX(tblDados[País],MATCH($A973,TRIM(tblDados[Visitante]),0))),_xlpm.l,IFERROR(INDEX(tblDados[Liga],MATCH($A973,TRIM(tblDados[Mandante]),0)),INDEX(tblDados[Liga],MATCH($A973,TRIM(tblDados[Visitante]),0))),_xlpm.p&amp;" - "&amp;_xlpm.l))</f>
        <v/>
      </c>
      <c r="C973" s="14" t="str">
        <f t="shared" si="249"/>
        <v/>
      </c>
      <c r="D973" s="14" t="str">
        <f t="shared" si="250"/>
        <v/>
      </c>
      <c r="E973" s="15" t="str" cm="1">
        <f t="array" ref="E973">IF($A973="","",SUMPRODUCT((TRIM(tblDados[Mandante])=$A973)*tblDados[Primeira_Ocorrencia]))</f>
        <v/>
      </c>
      <c r="F973" s="15" t="str" cm="1">
        <f t="array" ref="F973">IF($A973="","",SUMPRODUCT((TRIM(tblDados[Visitante])=$A973)*tblDados[Primeira_Ocorrencia]))</f>
        <v/>
      </c>
      <c r="G973" s="15" t="str" cm="1">
        <f t="array" ref="G973">IF($A973="","",SUMPRODUCT((TRIM(tblDados[Mandante])=$A973)*tblDados[Primeira_Ocorrencia])+SUMPRODUCT((TRIM(tblDados[Visitante])=$A973)*tblDados[Primeira_Ocorrencia]))</f>
        <v/>
      </c>
      <c r="H973" s="14" t="str">
        <f t="shared" si="251"/>
        <v/>
      </c>
      <c r="I973" s="14" t="str" cm="1">
        <f t="array" ref="I973">IF($A973="","",_xlfn.LET(_xlpm.p,IFERROR(INDEX(tblDados[País],MATCH($A973,TRIM(tblDados[Mandante]),0)),INDEX(tblDados[País],MATCH($A973,TRIM(tblDados[Visitante]),0))),_xlpm.l,IFERROR(INDEX(tblDados[Liga],MATCH($A973,TRIM(tblDados[Mandante]),0)),INDEX(tblDados[Liga],MATCH($A973,TRIM(tblDados[Visitante]),0))),IFERROR(SUMIFS(Ligas!$D$2:$D$39,Ligas!$H$2:$H$39,_xlpm.p,Ligas!$I$2:$I$39,_xlpm.l),0)))</f>
        <v/>
      </c>
      <c r="J973" s="16" t="str" cm="1">
        <f t="array" ref="J973">IF($A973="","",IFERROR((SUMPRODUCT((TRIM(tblDados[Mandante])=$A973)*tblDados[Primeira_Ocorrencia]*(tblDados[GM_M]=0))+SUMPRODUCT((TRIM(tblDados[Visitante])=$A973)*tblDados[Primeira_Ocorrencia]*(tblDados[GM_V]=0)))/G973,0))</f>
        <v/>
      </c>
      <c r="K973" s="16" t="str" cm="1">
        <f t="array" ref="K973">IF($A973="","",IFERROR((SUMPRODUCT((TRIM(tblDados[Mandante])=$A973)*tblDados[Primeira_Ocorrencia]*((tblDados[GM_M]+tblDados[GS_M])&gt;0.5))+SUMPRODUCT((TRIM(tblDados[Visitante])=$A973)*tblDados[Primeira_Ocorrencia]*((tblDados[GM_V]+tblDados[GS_V])&gt;0.5)))/G973,0))</f>
        <v/>
      </c>
      <c r="L973" s="16" t="str" cm="1">
        <f t="array" ref="L973">IF($A973="","",IFERROR((SUMPRODUCT((TRIM(tblDados[Mandante])=$A973)*tblDados[Primeira_Ocorrencia]*((tblDados[GM_M]+tblDados[GS_M])&gt;1.5))+SUMPRODUCT((TRIM(tblDados[Visitante])=$A973)*tblDados[Primeira_Ocorrencia]*((tblDados[GM_V]+tblDados[GS_V])&gt;1.5)))/G973,0))</f>
        <v/>
      </c>
      <c r="M973" s="16" t="str" cm="1">
        <f t="array" ref="M973">IF($A973="","",IFERROR((SUMPRODUCT((TRIM(tblDados[Mandante])=$A973)*tblDados[Primeira_Ocorrencia]*((tblDados[GM_M]+tblDados[GS_M])&gt;2.5))+SUMPRODUCT((TRIM(tblDados[Visitante])=$A973)*tblDados[Primeira_Ocorrencia]*((tblDados[GM_V]+tblDados[GS_V])&gt;2.5)))/G973,0))</f>
        <v/>
      </c>
      <c r="N973" s="16" t="str" cm="1">
        <f t="array" ref="N973">IF($A973="","",IFERROR((SUMPRODUCT((TRIM(tblDados[Mandante])=$A973)*tblDados[Primeira_Ocorrencia]*((tblDados[GM_M]+tblDados[GS_M])&gt;3.5))+SUMPRODUCT((TRIM(tblDados[Visitante])=$A973)*tblDados[Primeira_Ocorrencia]*((tblDados[GM_V]+tblDados[GS_V])&gt;3.5)))/G973,0))</f>
        <v/>
      </c>
      <c r="O973" s="16" t="str" cm="1">
        <f t="array" ref="O973">IF($A973="","",IFERROR((SUMPRODUCT((TRIM(tblDados[Mandante])=$A973)*tblDados[Primeira_Ocorrencia]*(tblDados[GM_M]&gt;0)*(tblDados[GS_M]&gt;0))+SUMPRODUCT((TRIM(tblDados[Visitante])=$A973)*tblDados[Primeira_Ocorrencia]*(tblDados[GM_V]&gt;0)*(tblDados[GS_V]&gt;0)))/G973,0))</f>
        <v/>
      </c>
      <c r="P973" s="14" t="str" cm="1">
        <f t="array" ref="P973">IF($A973="","",IFERROR((SUMPRODUCT((TRIM(tblDados[Mandante])=$A973)*tblDados[Primeira_Ocorrencia]*tblDados[GM_M]^2)+SUMPRODUCT((TRIM(tblDados[Visitante])=$A973)*tblDados[Primeira_Ocorrencia]*tblDados[GM_V]^2))/G973-H973^2,0))</f>
        <v/>
      </c>
      <c r="Q973" s="14" t="str">
        <f t="shared" si="252"/>
        <v/>
      </c>
      <c r="R973" s="1" t="str">
        <f t="shared" si="253"/>
        <v/>
      </c>
      <c r="S973" s="14" t="str" cm="1">
        <f t="array" ref="S973">IF($A973="","",SUMPRODUCT((TRIM(tblDados[Mandante])=$A973)*tblDados[Primeira_Ocorrencia]*tblDados[GM_M]))</f>
        <v/>
      </c>
      <c r="T973" s="14" t="str" cm="1">
        <f t="array" ref="T973">IF($A973="","",SUMPRODUCT((TRIM(tblDados[Visitante])=$A973)*tblDados[Primeira_Ocorrencia]*tblDados[GM_V]))</f>
        <v/>
      </c>
      <c r="U973" s="14" t="str">
        <f t="shared" si="254"/>
        <v/>
      </c>
      <c r="V973" s="14" t="str">
        <f t="shared" si="243"/>
        <v/>
      </c>
      <c r="W973" s="14" t="str" cm="1">
        <f t="array" ref="W973">IF($A973="","",SUMPRODUCT((TRIM(tblDados[Mandante])=$A973)*tblDados[Primeira_Ocorrencia]*tblDados[GS_M]))</f>
        <v/>
      </c>
      <c r="X973" s="14" t="str" cm="1">
        <f t="array" ref="X973">IF($A973="","",SUMPRODUCT((TRIM(tblDados[Visitante])=$A973)*tblDados[Primeira_Ocorrencia]*tblDados[GS_V]))</f>
        <v/>
      </c>
      <c r="Y973" s="14" t="str">
        <f t="shared" si="255"/>
        <v/>
      </c>
      <c r="Z973" s="14" t="str">
        <f t="shared" si="244"/>
        <v/>
      </c>
      <c r="AA973" s="14" t="str">
        <f t="shared" si="245"/>
        <v/>
      </c>
      <c r="AB973" s="14" t="str">
        <f t="shared" si="246"/>
        <v/>
      </c>
      <c r="AC973" s="14" t="str">
        <f t="shared" si="247"/>
        <v/>
      </c>
      <c r="AD973" s="14" t="str">
        <f t="shared" si="248"/>
        <v/>
      </c>
    </row>
    <row r="974" spans="2:30" x14ac:dyDescent="0.3">
      <c r="B974" s="13" t="str" cm="1">
        <f t="array" ref="B974">IF($A974="","",_xlfn.LET(_xlpm.p,IFERROR(INDEX(tblDados[País],MATCH($A974,TRIM(tblDados[Mandante]),0)),INDEX(tblDados[País],MATCH($A974,TRIM(tblDados[Visitante]),0))),_xlpm.l,IFERROR(INDEX(tblDados[Liga],MATCH($A974,TRIM(tblDados[Mandante]),0)),INDEX(tblDados[Liga],MATCH($A974,TRIM(tblDados[Visitante]),0))),_xlpm.p&amp;" - "&amp;_xlpm.l))</f>
        <v/>
      </c>
      <c r="C974" s="14" t="str">
        <f t="shared" si="249"/>
        <v/>
      </c>
      <c r="D974" s="14" t="str">
        <f t="shared" si="250"/>
        <v/>
      </c>
      <c r="E974" s="15" t="str" cm="1">
        <f t="array" ref="E974">IF($A974="","",SUMPRODUCT((TRIM(tblDados[Mandante])=$A974)*tblDados[Primeira_Ocorrencia]))</f>
        <v/>
      </c>
      <c r="F974" s="15" t="str" cm="1">
        <f t="array" ref="F974">IF($A974="","",SUMPRODUCT((TRIM(tblDados[Visitante])=$A974)*tblDados[Primeira_Ocorrencia]))</f>
        <v/>
      </c>
      <c r="G974" s="15" t="str" cm="1">
        <f t="array" ref="G974">IF($A974="","",SUMPRODUCT((TRIM(tblDados[Mandante])=$A974)*tblDados[Primeira_Ocorrencia])+SUMPRODUCT((TRIM(tblDados[Visitante])=$A974)*tblDados[Primeira_Ocorrencia]))</f>
        <v/>
      </c>
      <c r="H974" s="14" t="str">
        <f t="shared" si="251"/>
        <v/>
      </c>
      <c r="I974" s="14" t="str" cm="1">
        <f t="array" ref="I974">IF($A974="","",_xlfn.LET(_xlpm.p,IFERROR(INDEX(tblDados[País],MATCH($A974,TRIM(tblDados[Mandante]),0)),INDEX(tblDados[País],MATCH($A974,TRIM(tblDados[Visitante]),0))),_xlpm.l,IFERROR(INDEX(tblDados[Liga],MATCH($A974,TRIM(tblDados[Mandante]),0)),INDEX(tblDados[Liga],MATCH($A974,TRIM(tblDados[Visitante]),0))),IFERROR(SUMIFS(Ligas!$D$2:$D$39,Ligas!$H$2:$H$39,_xlpm.p,Ligas!$I$2:$I$39,_xlpm.l),0)))</f>
        <v/>
      </c>
      <c r="J974" s="16" t="str" cm="1">
        <f t="array" ref="J974">IF($A974="","",IFERROR((SUMPRODUCT((TRIM(tblDados[Mandante])=$A974)*tblDados[Primeira_Ocorrencia]*(tblDados[GM_M]=0))+SUMPRODUCT((TRIM(tblDados[Visitante])=$A974)*tblDados[Primeira_Ocorrencia]*(tblDados[GM_V]=0)))/G974,0))</f>
        <v/>
      </c>
      <c r="K974" s="16" t="str" cm="1">
        <f t="array" ref="K974">IF($A974="","",IFERROR((SUMPRODUCT((TRIM(tblDados[Mandante])=$A974)*tblDados[Primeira_Ocorrencia]*((tblDados[GM_M]+tblDados[GS_M])&gt;0.5))+SUMPRODUCT((TRIM(tblDados[Visitante])=$A974)*tblDados[Primeira_Ocorrencia]*((tblDados[GM_V]+tblDados[GS_V])&gt;0.5)))/G974,0))</f>
        <v/>
      </c>
      <c r="L974" s="16" t="str" cm="1">
        <f t="array" ref="L974">IF($A974="","",IFERROR((SUMPRODUCT((TRIM(tblDados[Mandante])=$A974)*tblDados[Primeira_Ocorrencia]*((tblDados[GM_M]+tblDados[GS_M])&gt;1.5))+SUMPRODUCT((TRIM(tblDados[Visitante])=$A974)*tblDados[Primeira_Ocorrencia]*((tblDados[GM_V]+tblDados[GS_V])&gt;1.5)))/G974,0))</f>
        <v/>
      </c>
      <c r="M974" s="16" t="str" cm="1">
        <f t="array" ref="M974">IF($A974="","",IFERROR((SUMPRODUCT((TRIM(tblDados[Mandante])=$A974)*tblDados[Primeira_Ocorrencia]*((tblDados[GM_M]+tblDados[GS_M])&gt;2.5))+SUMPRODUCT((TRIM(tblDados[Visitante])=$A974)*tblDados[Primeira_Ocorrencia]*((tblDados[GM_V]+tblDados[GS_V])&gt;2.5)))/G974,0))</f>
        <v/>
      </c>
      <c r="N974" s="16" t="str" cm="1">
        <f t="array" ref="N974">IF($A974="","",IFERROR((SUMPRODUCT((TRIM(tblDados[Mandante])=$A974)*tblDados[Primeira_Ocorrencia]*((tblDados[GM_M]+tblDados[GS_M])&gt;3.5))+SUMPRODUCT((TRIM(tblDados[Visitante])=$A974)*tblDados[Primeira_Ocorrencia]*((tblDados[GM_V]+tblDados[GS_V])&gt;3.5)))/G974,0))</f>
        <v/>
      </c>
      <c r="O974" s="16" t="str" cm="1">
        <f t="array" ref="O974">IF($A974="","",IFERROR((SUMPRODUCT((TRIM(tblDados[Mandante])=$A974)*tblDados[Primeira_Ocorrencia]*(tblDados[GM_M]&gt;0)*(tblDados[GS_M]&gt;0))+SUMPRODUCT((TRIM(tblDados[Visitante])=$A974)*tblDados[Primeira_Ocorrencia]*(tblDados[GM_V]&gt;0)*(tblDados[GS_V]&gt;0)))/G974,0))</f>
        <v/>
      </c>
      <c r="P974" s="14" t="str" cm="1">
        <f t="array" ref="P974">IF($A974="","",IFERROR((SUMPRODUCT((TRIM(tblDados[Mandante])=$A974)*tblDados[Primeira_Ocorrencia]*tblDados[GM_M]^2)+SUMPRODUCT((TRIM(tblDados[Visitante])=$A974)*tblDados[Primeira_Ocorrencia]*tblDados[GM_V]^2))/G974-H974^2,0))</f>
        <v/>
      </c>
      <c r="Q974" s="14" t="str">
        <f t="shared" si="252"/>
        <v/>
      </c>
      <c r="R974" s="1" t="str">
        <f t="shared" si="253"/>
        <v/>
      </c>
      <c r="S974" s="14" t="str" cm="1">
        <f t="array" ref="S974">IF($A974="","",SUMPRODUCT((TRIM(tblDados[Mandante])=$A974)*tblDados[Primeira_Ocorrencia]*tblDados[GM_M]))</f>
        <v/>
      </c>
      <c r="T974" s="14" t="str" cm="1">
        <f t="array" ref="T974">IF($A974="","",SUMPRODUCT((TRIM(tblDados[Visitante])=$A974)*tblDados[Primeira_Ocorrencia]*tblDados[GM_V]))</f>
        <v/>
      </c>
      <c r="U974" s="14" t="str">
        <f t="shared" si="254"/>
        <v/>
      </c>
      <c r="V974" s="14" t="str">
        <f t="shared" si="243"/>
        <v/>
      </c>
      <c r="W974" s="14" t="str" cm="1">
        <f t="array" ref="W974">IF($A974="","",SUMPRODUCT((TRIM(tblDados[Mandante])=$A974)*tblDados[Primeira_Ocorrencia]*tblDados[GS_M]))</f>
        <v/>
      </c>
      <c r="X974" s="14" t="str" cm="1">
        <f t="array" ref="X974">IF($A974="","",SUMPRODUCT((TRIM(tblDados[Visitante])=$A974)*tblDados[Primeira_Ocorrencia]*tblDados[GS_V]))</f>
        <v/>
      </c>
      <c r="Y974" s="14" t="str">
        <f t="shared" si="255"/>
        <v/>
      </c>
      <c r="Z974" s="14" t="str">
        <f t="shared" si="244"/>
        <v/>
      </c>
      <c r="AA974" s="14" t="str">
        <f t="shared" si="245"/>
        <v/>
      </c>
      <c r="AB974" s="14" t="str">
        <f t="shared" si="246"/>
        <v/>
      </c>
      <c r="AC974" s="14" t="str">
        <f t="shared" si="247"/>
        <v/>
      </c>
      <c r="AD974" s="14" t="str">
        <f t="shared" si="248"/>
        <v/>
      </c>
    </row>
    <row r="975" spans="2:30" x14ac:dyDescent="0.3">
      <c r="B975" s="13" t="str" cm="1">
        <f t="array" ref="B975">IF($A975="","",_xlfn.LET(_xlpm.p,IFERROR(INDEX(tblDados[País],MATCH($A975,TRIM(tblDados[Mandante]),0)),INDEX(tblDados[País],MATCH($A975,TRIM(tblDados[Visitante]),0))),_xlpm.l,IFERROR(INDEX(tblDados[Liga],MATCH($A975,TRIM(tblDados[Mandante]),0)),INDEX(tblDados[Liga],MATCH($A975,TRIM(tblDados[Visitante]),0))),_xlpm.p&amp;" - "&amp;_xlpm.l))</f>
        <v/>
      </c>
      <c r="C975" s="14" t="str">
        <f t="shared" si="249"/>
        <v/>
      </c>
      <c r="D975" s="14" t="str">
        <f t="shared" si="250"/>
        <v/>
      </c>
      <c r="E975" s="15" t="str" cm="1">
        <f t="array" ref="E975">IF($A975="","",SUMPRODUCT((TRIM(tblDados[Mandante])=$A975)*tblDados[Primeira_Ocorrencia]))</f>
        <v/>
      </c>
      <c r="F975" s="15" t="str" cm="1">
        <f t="array" ref="F975">IF($A975="","",SUMPRODUCT((TRIM(tblDados[Visitante])=$A975)*tblDados[Primeira_Ocorrencia]))</f>
        <v/>
      </c>
      <c r="G975" s="15" t="str" cm="1">
        <f t="array" ref="G975">IF($A975="","",SUMPRODUCT((TRIM(tblDados[Mandante])=$A975)*tblDados[Primeira_Ocorrencia])+SUMPRODUCT((TRIM(tblDados[Visitante])=$A975)*tblDados[Primeira_Ocorrencia]))</f>
        <v/>
      </c>
      <c r="H975" s="14" t="str">
        <f t="shared" si="251"/>
        <v/>
      </c>
      <c r="I975" s="14" t="str" cm="1">
        <f t="array" ref="I975">IF($A975="","",_xlfn.LET(_xlpm.p,IFERROR(INDEX(tblDados[País],MATCH($A975,TRIM(tblDados[Mandante]),0)),INDEX(tblDados[País],MATCH($A975,TRIM(tblDados[Visitante]),0))),_xlpm.l,IFERROR(INDEX(tblDados[Liga],MATCH($A975,TRIM(tblDados[Mandante]),0)),INDEX(tblDados[Liga],MATCH($A975,TRIM(tblDados[Visitante]),0))),IFERROR(SUMIFS(Ligas!$D$2:$D$39,Ligas!$H$2:$H$39,_xlpm.p,Ligas!$I$2:$I$39,_xlpm.l),0)))</f>
        <v/>
      </c>
      <c r="J975" s="16" t="str" cm="1">
        <f t="array" ref="J975">IF($A975="","",IFERROR((SUMPRODUCT((TRIM(tblDados[Mandante])=$A975)*tblDados[Primeira_Ocorrencia]*(tblDados[GM_M]=0))+SUMPRODUCT((TRIM(tblDados[Visitante])=$A975)*tblDados[Primeira_Ocorrencia]*(tblDados[GM_V]=0)))/G975,0))</f>
        <v/>
      </c>
      <c r="K975" s="16" t="str" cm="1">
        <f t="array" ref="K975">IF($A975="","",IFERROR((SUMPRODUCT((TRIM(tblDados[Mandante])=$A975)*tblDados[Primeira_Ocorrencia]*((tblDados[GM_M]+tblDados[GS_M])&gt;0.5))+SUMPRODUCT((TRIM(tblDados[Visitante])=$A975)*tblDados[Primeira_Ocorrencia]*((tblDados[GM_V]+tblDados[GS_V])&gt;0.5)))/G975,0))</f>
        <v/>
      </c>
      <c r="L975" s="16" t="str" cm="1">
        <f t="array" ref="L975">IF($A975="","",IFERROR((SUMPRODUCT((TRIM(tblDados[Mandante])=$A975)*tblDados[Primeira_Ocorrencia]*((tblDados[GM_M]+tblDados[GS_M])&gt;1.5))+SUMPRODUCT((TRIM(tblDados[Visitante])=$A975)*tblDados[Primeira_Ocorrencia]*((tblDados[GM_V]+tblDados[GS_V])&gt;1.5)))/G975,0))</f>
        <v/>
      </c>
      <c r="M975" s="16" t="str" cm="1">
        <f t="array" ref="M975">IF($A975="","",IFERROR((SUMPRODUCT((TRIM(tblDados[Mandante])=$A975)*tblDados[Primeira_Ocorrencia]*((tblDados[GM_M]+tblDados[GS_M])&gt;2.5))+SUMPRODUCT((TRIM(tblDados[Visitante])=$A975)*tblDados[Primeira_Ocorrencia]*((tblDados[GM_V]+tblDados[GS_V])&gt;2.5)))/G975,0))</f>
        <v/>
      </c>
      <c r="N975" s="16" t="str" cm="1">
        <f t="array" ref="N975">IF($A975="","",IFERROR((SUMPRODUCT((TRIM(tblDados[Mandante])=$A975)*tblDados[Primeira_Ocorrencia]*((tblDados[GM_M]+tblDados[GS_M])&gt;3.5))+SUMPRODUCT((TRIM(tblDados[Visitante])=$A975)*tblDados[Primeira_Ocorrencia]*((tblDados[GM_V]+tblDados[GS_V])&gt;3.5)))/G975,0))</f>
        <v/>
      </c>
      <c r="O975" s="16" t="str" cm="1">
        <f t="array" ref="O975">IF($A975="","",IFERROR((SUMPRODUCT((TRIM(tblDados[Mandante])=$A975)*tblDados[Primeira_Ocorrencia]*(tblDados[GM_M]&gt;0)*(tblDados[GS_M]&gt;0))+SUMPRODUCT((TRIM(tblDados[Visitante])=$A975)*tblDados[Primeira_Ocorrencia]*(tblDados[GM_V]&gt;0)*(tblDados[GS_V]&gt;0)))/G975,0))</f>
        <v/>
      </c>
      <c r="P975" s="14" t="str" cm="1">
        <f t="array" ref="P975">IF($A975="","",IFERROR((SUMPRODUCT((TRIM(tblDados[Mandante])=$A975)*tblDados[Primeira_Ocorrencia]*tblDados[GM_M]^2)+SUMPRODUCT((TRIM(tblDados[Visitante])=$A975)*tblDados[Primeira_Ocorrencia]*tblDados[GM_V]^2))/G975-H975^2,0))</f>
        <v/>
      </c>
      <c r="Q975" s="14" t="str">
        <f t="shared" si="252"/>
        <v/>
      </c>
      <c r="R975" s="1" t="str">
        <f t="shared" si="253"/>
        <v/>
      </c>
      <c r="S975" s="14" t="str" cm="1">
        <f t="array" ref="S975">IF($A975="","",SUMPRODUCT((TRIM(tblDados[Mandante])=$A975)*tblDados[Primeira_Ocorrencia]*tblDados[GM_M]))</f>
        <v/>
      </c>
      <c r="T975" s="14" t="str" cm="1">
        <f t="array" ref="T975">IF($A975="","",SUMPRODUCT((TRIM(tblDados[Visitante])=$A975)*tblDados[Primeira_Ocorrencia]*tblDados[GM_V]))</f>
        <v/>
      </c>
      <c r="U975" s="14" t="str">
        <f t="shared" si="254"/>
        <v/>
      </c>
      <c r="V975" s="14" t="str">
        <f t="shared" si="243"/>
        <v/>
      </c>
      <c r="W975" s="14" t="str" cm="1">
        <f t="array" ref="W975">IF($A975="","",SUMPRODUCT((TRIM(tblDados[Mandante])=$A975)*tblDados[Primeira_Ocorrencia]*tblDados[GS_M]))</f>
        <v/>
      </c>
      <c r="X975" s="14" t="str" cm="1">
        <f t="array" ref="X975">IF($A975="","",SUMPRODUCT((TRIM(tblDados[Visitante])=$A975)*tblDados[Primeira_Ocorrencia]*tblDados[GS_V]))</f>
        <v/>
      </c>
      <c r="Y975" s="14" t="str">
        <f t="shared" si="255"/>
        <v/>
      </c>
      <c r="Z975" s="14" t="str">
        <f t="shared" si="244"/>
        <v/>
      </c>
      <c r="AA975" s="14" t="str">
        <f t="shared" si="245"/>
        <v/>
      </c>
      <c r="AB975" s="14" t="str">
        <f t="shared" si="246"/>
        <v/>
      </c>
      <c r="AC975" s="14" t="str">
        <f t="shared" si="247"/>
        <v/>
      </c>
      <c r="AD975" s="14" t="str">
        <f t="shared" si="248"/>
        <v/>
      </c>
    </row>
    <row r="976" spans="2:30" x14ac:dyDescent="0.3">
      <c r="B976" s="13" t="str" cm="1">
        <f t="array" ref="B976">IF($A976="","",_xlfn.LET(_xlpm.p,IFERROR(INDEX(tblDados[País],MATCH($A976,TRIM(tblDados[Mandante]),0)),INDEX(tblDados[País],MATCH($A976,TRIM(tblDados[Visitante]),0))),_xlpm.l,IFERROR(INDEX(tblDados[Liga],MATCH($A976,TRIM(tblDados[Mandante]),0)),INDEX(tblDados[Liga],MATCH($A976,TRIM(tblDados[Visitante]),0))),_xlpm.p&amp;" - "&amp;_xlpm.l))</f>
        <v/>
      </c>
      <c r="C976" s="14" t="str">
        <f t="shared" si="249"/>
        <v/>
      </c>
      <c r="D976" s="14" t="str">
        <f t="shared" si="250"/>
        <v/>
      </c>
      <c r="E976" s="15" t="str" cm="1">
        <f t="array" ref="E976">IF($A976="","",SUMPRODUCT((TRIM(tblDados[Mandante])=$A976)*tblDados[Primeira_Ocorrencia]))</f>
        <v/>
      </c>
      <c r="F976" s="15" t="str" cm="1">
        <f t="array" ref="F976">IF($A976="","",SUMPRODUCT((TRIM(tblDados[Visitante])=$A976)*tblDados[Primeira_Ocorrencia]))</f>
        <v/>
      </c>
      <c r="G976" s="15" t="str" cm="1">
        <f t="array" ref="G976">IF($A976="","",SUMPRODUCT((TRIM(tblDados[Mandante])=$A976)*tblDados[Primeira_Ocorrencia])+SUMPRODUCT((TRIM(tblDados[Visitante])=$A976)*tblDados[Primeira_Ocorrencia]))</f>
        <v/>
      </c>
      <c r="H976" s="14" t="str">
        <f t="shared" si="251"/>
        <v/>
      </c>
      <c r="I976" s="14" t="str" cm="1">
        <f t="array" ref="I976">IF($A976="","",_xlfn.LET(_xlpm.p,IFERROR(INDEX(tblDados[País],MATCH($A976,TRIM(tblDados[Mandante]),0)),INDEX(tblDados[País],MATCH($A976,TRIM(tblDados[Visitante]),0))),_xlpm.l,IFERROR(INDEX(tblDados[Liga],MATCH($A976,TRIM(tblDados[Mandante]),0)),INDEX(tblDados[Liga],MATCH($A976,TRIM(tblDados[Visitante]),0))),IFERROR(SUMIFS(Ligas!$D$2:$D$39,Ligas!$H$2:$H$39,_xlpm.p,Ligas!$I$2:$I$39,_xlpm.l),0)))</f>
        <v/>
      </c>
      <c r="J976" s="16" t="str" cm="1">
        <f t="array" ref="J976">IF($A976="","",IFERROR((SUMPRODUCT((TRIM(tblDados[Mandante])=$A976)*tblDados[Primeira_Ocorrencia]*(tblDados[GM_M]=0))+SUMPRODUCT((TRIM(tblDados[Visitante])=$A976)*tblDados[Primeira_Ocorrencia]*(tblDados[GM_V]=0)))/G976,0))</f>
        <v/>
      </c>
      <c r="K976" s="16" t="str" cm="1">
        <f t="array" ref="K976">IF($A976="","",IFERROR((SUMPRODUCT((TRIM(tblDados[Mandante])=$A976)*tblDados[Primeira_Ocorrencia]*((tblDados[GM_M]+tblDados[GS_M])&gt;0.5))+SUMPRODUCT((TRIM(tblDados[Visitante])=$A976)*tblDados[Primeira_Ocorrencia]*((tblDados[GM_V]+tblDados[GS_V])&gt;0.5)))/G976,0))</f>
        <v/>
      </c>
      <c r="L976" s="16" t="str" cm="1">
        <f t="array" ref="L976">IF($A976="","",IFERROR((SUMPRODUCT((TRIM(tblDados[Mandante])=$A976)*tblDados[Primeira_Ocorrencia]*((tblDados[GM_M]+tblDados[GS_M])&gt;1.5))+SUMPRODUCT((TRIM(tblDados[Visitante])=$A976)*tblDados[Primeira_Ocorrencia]*((tblDados[GM_V]+tblDados[GS_V])&gt;1.5)))/G976,0))</f>
        <v/>
      </c>
      <c r="M976" s="16" t="str" cm="1">
        <f t="array" ref="M976">IF($A976="","",IFERROR((SUMPRODUCT((TRIM(tblDados[Mandante])=$A976)*tblDados[Primeira_Ocorrencia]*((tblDados[GM_M]+tblDados[GS_M])&gt;2.5))+SUMPRODUCT((TRIM(tblDados[Visitante])=$A976)*tblDados[Primeira_Ocorrencia]*((tblDados[GM_V]+tblDados[GS_V])&gt;2.5)))/G976,0))</f>
        <v/>
      </c>
      <c r="N976" s="16" t="str" cm="1">
        <f t="array" ref="N976">IF($A976="","",IFERROR((SUMPRODUCT((TRIM(tblDados[Mandante])=$A976)*tblDados[Primeira_Ocorrencia]*((tblDados[GM_M]+tblDados[GS_M])&gt;3.5))+SUMPRODUCT((TRIM(tblDados[Visitante])=$A976)*tblDados[Primeira_Ocorrencia]*((tblDados[GM_V]+tblDados[GS_V])&gt;3.5)))/G976,0))</f>
        <v/>
      </c>
      <c r="O976" s="16" t="str" cm="1">
        <f t="array" ref="O976">IF($A976="","",IFERROR((SUMPRODUCT((TRIM(tblDados[Mandante])=$A976)*tblDados[Primeira_Ocorrencia]*(tblDados[GM_M]&gt;0)*(tblDados[GS_M]&gt;0))+SUMPRODUCT((TRIM(tblDados[Visitante])=$A976)*tblDados[Primeira_Ocorrencia]*(tblDados[GM_V]&gt;0)*(tblDados[GS_V]&gt;0)))/G976,0))</f>
        <v/>
      </c>
      <c r="P976" s="14" t="str" cm="1">
        <f t="array" ref="P976">IF($A976="","",IFERROR((SUMPRODUCT((TRIM(tblDados[Mandante])=$A976)*tblDados[Primeira_Ocorrencia]*tblDados[GM_M]^2)+SUMPRODUCT((TRIM(tblDados[Visitante])=$A976)*tblDados[Primeira_Ocorrencia]*tblDados[GM_V]^2))/G976-H976^2,0))</f>
        <v/>
      </c>
      <c r="Q976" s="14" t="str">
        <f t="shared" si="252"/>
        <v/>
      </c>
      <c r="R976" s="1" t="str">
        <f t="shared" si="253"/>
        <v/>
      </c>
      <c r="S976" s="14" t="str" cm="1">
        <f t="array" ref="S976">IF($A976="","",SUMPRODUCT((TRIM(tblDados[Mandante])=$A976)*tblDados[Primeira_Ocorrencia]*tblDados[GM_M]))</f>
        <v/>
      </c>
      <c r="T976" s="14" t="str" cm="1">
        <f t="array" ref="T976">IF($A976="","",SUMPRODUCT((TRIM(tblDados[Visitante])=$A976)*tblDados[Primeira_Ocorrencia]*tblDados[GM_V]))</f>
        <v/>
      </c>
      <c r="U976" s="14" t="str">
        <f t="shared" si="254"/>
        <v/>
      </c>
      <c r="V976" s="14" t="str">
        <f t="shared" si="243"/>
        <v/>
      </c>
      <c r="W976" s="14" t="str" cm="1">
        <f t="array" ref="W976">IF($A976="","",SUMPRODUCT((TRIM(tblDados[Mandante])=$A976)*tblDados[Primeira_Ocorrencia]*tblDados[GS_M]))</f>
        <v/>
      </c>
      <c r="X976" s="14" t="str" cm="1">
        <f t="array" ref="X976">IF($A976="","",SUMPRODUCT((TRIM(tblDados[Visitante])=$A976)*tblDados[Primeira_Ocorrencia]*tblDados[GS_V]))</f>
        <v/>
      </c>
      <c r="Y976" s="14" t="str">
        <f t="shared" si="255"/>
        <v/>
      </c>
      <c r="Z976" s="14" t="str">
        <f t="shared" si="244"/>
        <v/>
      </c>
      <c r="AA976" s="14" t="str">
        <f t="shared" si="245"/>
        <v/>
      </c>
      <c r="AB976" s="14" t="str">
        <f t="shared" si="246"/>
        <v/>
      </c>
      <c r="AC976" s="14" t="str">
        <f t="shared" si="247"/>
        <v/>
      </c>
      <c r="AD976" s="14" t="str">
        <f t="shared" si="248"/>
        <v/>
      </c>
    </row>
    <row r="977" spans="2:30" x14ac:dyDescent="0.3">
      <c r="B977" s="13" t="str" cm="1">
        <f t="array" ref="B977">IF($A977="","",_xlfn.LET(_xlpm.p,IFERROR(INDEX(tblDados[País],MATCH($A977,TRIM(tblDados[Mandante]),0)),INDEX(tblDados[País],MATCH($A977,TRIM(tblDados[Visitante]),0))),_xlpm.l,IFERROR(INDEX(tblDados[Liga],MATCH($A977,TRIM(tblDados[Mandante]),0)),INDEX(tblDados[Liga],MATCH($A977,TRIM(tblDados[Visitante]),0))),_xlpm.p&amp;" - "&amp;_xlpm.l))</f>
        <v/>
      </c>
      <c r="C977" s="14" t="str">
        <f t="shared" si="249"/>
        <v/>
      </c>
      <c r="D977" s="14" t="str">
        <f t="shared" si="250"/>
        <v/>
      </c>
      <c r="E977" s="15" t="str" cm="1">
        <f t="array" ref="E977">IF($A977="","",SUMPRODUCT((TRIM(tblDados[Mandante])=$A977)*tblDados[Primeira_Ocorrencia]))</f>
        <v/>
      </c>
      <c r="F977" s="15" t="str" cm="1">
        <f t="array" ref="F977">IF($A977="","",SUMPRODUCT((TRIM(tblDados[Visitante])=$A977)*tblDados[Primeira_Ocorrencia]))</f>
        <v/>
      </c>
      <c r="G977" s="15" t="str" cm="1">
        <f t="array" ref="G977">IF($A977="","",SUMPRODUCT((TRIM(tblDados[Mandante])=$A977)*tblDados[Primeira_Ocorrencia])+SUMPRODUCT((TRIM(tblDados[Visitante])=$A977)*tblDados[Primeira_Ocorrencia]))</f>
        <v/>
      </c>
      <c r="H977" s="14" t="str">
        <f t="shared" si="251"/>
        <v/>
      </c>
      <c r="I977" s="14" t="str" cm="1">
        <f t="array" ref="I977">IF($A977="","",_xlfn.LET(_xlpm.p,IFERROR(INDEX(tblDados[País],MATCH($A977,TRIM(tblDados[Mandante]),0)),INDEX(tblDados[País],MATCH($A977,TRIM(tblDados[Visitante]),0))),_xlpm.l,IFERROR(INDEX(tblDados[Liga],MATCH($A977,TRIM(tblDados[Mandante]),0)),INDEX(tblDados[Liga],MATCH($A977,TRIM(tblDados[Visitante]),0))),IFERROR(SUMIFS(Ligas!$D$2:$D$39,Ligas!$H$2:$H$39,_xlpm.p,Ligas!$I$2:$I$39,_xlpm.l),0)))</f>
        <v/>
      </c>
      <c r="J977" s="16" t="str" cm="1">
        <f t="array" ref="J977">IF($A977="","",IFERROR((SUMPRODUCT((TRIM(tblDados[Mandante])=$A977)*tblDados[Primeira_Ocorrencia]*(tblDados[GM_M]=0))+SUMPRODUCT((TRIM(tblDados[Visitante])=$A977)*tblDados[Primeira_Ocorrencia]*(tblDados[GM_V]=0)))/G977,0))</f>
        <v/>
      </c>
      <c r="K977" s="16" t="str" cm="1">
        <f t="array" ref="K977">IF($A977="","",IFERROR((SUMPRODUCT((TRIM(tblDados[Mandante])=$A977)*tblDados[Primeira_Ocorrencia]*((tblDados[GM_M]+tblDados[GS_M])&gt;0.5))+SUMPRODUCT((TRIM(tblDados[Visitante])=$A977)*tblDados[Primeira_Ocorrencia]*((tblDados[GM_V]+tblDados[GS_V])&gt;0.5)))/G977,0))</f>
        <v/>
      </c>
      <c r="L977" s="16" t="str" cm="1">
        <f t="array" ref="L977">IF($A977="","",IFERROR((SUMPRODUCT((TRIM(tblDados[Mandante])=$A977)*tblDados[Primeira_Ocorrencia]*((tblDados[GM_M]+tblDados[GS_M])&gt;1.5))+SUMPRODUCT((TRIM(tblDados[Visitante])=$A977)*tblDados[Primeira_Ocorrencia]*((tblDados[GM_V]+tblDados[GS_V])&gt;1.5)))/G977,0))</f>
        <v/>
      </c>
      <c r="M977" s="16" t="str" cm="1">
        <f t="array" ref="M977">IF($A977="","",IFERROR((SUMPRODUCT((TRIM(tblDados[Mandante])=$A977)*tblDados[Primeira_Ocorrencia]*((tblDados[GM_M]+tblDados[GS_M])&gt;2.5))+SUMPRODUCT((TRIM(tblDados[Visitante])=$A977)*tblDados[Primeira_Ocorrencia]*((tblDados[GM_V]+tblDados[GS_V])&gt;2.5)))/G977,0))</f>
        <v/>
      </c>
      <c r="N977" s="16" t="str" cm="1">
        <f t="array" ref="N977">IF($A977="","",IFERROR((SUMPRODUCT((TRIM(tblDados[Mandante])=$A977)*tblDados[Primeira_Ocorrencia]*((tblDados[GM_M]+tblDados[GS_M])&gt;3.5))+SUMPRODUCT((TRIM(tblDados[Visitante])=$A977)*tblDados[Primeira_Ocorrencia]*((tblDados[GM_V]+tblDados[GS_V])&gt;3.5)))/G977,0))</f>
        <v/>
      </c>
      <c r="O977" s="16" t="str" cm="1">
        <f t="array" ref="O977">IF($A977="","",IFERROR((SUMPRODUCT((TRIM(tblDados[Mandante])=$A977)*tblDados[Primeira_Ocorrencia]*(tblDados[GM_M]&gt;0)*(tblDados[GS_M]&gt;0))+SUMPRODUCT((TRIM(tblDados[Visitante])=$A977)*tblDados[Primeira_Ocorrencia]*(tblDados[GM_V]&gt;0)*(tblDados[GS_V]&gt;0)))/G977,0))</f>
        <v/>
      </c>
      <c r="P977" s="14" t="str" cm="1">
        <f t="array" ref="P977">IF($A977="","",IFERROR((SUMPRODUCT((TRIM(tblDados[Mandante])=$A977)*tblDados[Primeira_Ocorrencia]*tblDados[GM_M]^2)+SUMPRODUCT((TRIM(tblDados[Visitante])=$A977)*tblDados[Primeira_Ocorrencia]*tblDados[GM_V]^2))/G977-H977^2,0))</f>
        <v/>
      </c>
      <c r="Q977" s="14" t="str">
        <f t="shared" si="252"/>
        <v/>
      </c>
      <c r="R977" s="1" t="str">
        <f t="shared" si="253"/>
        <v/>
      </c>
      <c r="S977" s="14" t="str" cm="1">
        <f t="array" ref="S977">IF($A977="","",SUMPRODUCT((TRIM(tblDados[Mandante])=$A977)*tblDados[Primeira_Ocorrencia]*tblDados[GM_M]))</f>
        <v/>
      </c>
      <c r="T977" s="14" t="str" cm="1">
        <f t="array" ref="T977">IF($A977="","",SUMPRODUCT((TRIM(tblDados[Visitante])=$A977)*tblDados[Primeira_Ocorrencia]*tblDados[GM_V]))</f>
        <v/>
      </c>
      <c r="U977" s="14" t="str">
        <f t="shared" si="254"/>
        <v/>
      </c>
      <c r="V977" s="14" t="str">
        <f t="shared" si="243"/>
        <v/>
      </c>
      <c r="W977" s="14" t="str" cm="1">
        <f t="array" ref="W977">IF($A977="","",SUMPRODUCT((TRIM(tblDados[Mandante])=$A977)*tblDados[Primeira_Ocorrencia]*tblDados[GS_M]))</f>
        <v/>
      </c>
      <c r="X977" s="14" t="str" cm="1">
        <f t="array" ref="X977">IF($A977="","",SUMPRODUCT((TRIM(tblDados[Visitante])=$A977)*tblDados[Primeira_Ocorrencia]*tblDados[GS_V]))</f>
        <v/>
      </c>
      <c r="Y977" s="14" t="str">
        <f t="shared" si="255"/>
        <v/>
      </c>
      <c r="Z977" s="14" t="str">
        <f t="shared" si="244"/>
        <v/>
      </c>
      <c r="AA977" s="14" t="str">
        <f t="shared" si="245"/>
        <v/>
      </c>
      <c r="AB977" s="14" t="str">
        <f t="shared" si="246"/>
        <v/>
      </c>
      <c r="AC977" s="14" t="str">
        <f t="shared" si="247"/>
        <v/>
      </c>
      <c r="AD977" s="14" t="str">
        <f t="shared" si="248"/>
        <v/>
      </c>
    </row>
    <row r="978" spans="2:30" x14ac:dyDescent="0.3">
      <c r="B978" s="13" t="str" cm="1">
        <f t="array" ref="B978">IF($A978="","",_xlfn.LET(_xlpm.p,IFERROR(INDEX(tblDados[País],MATCH($A978,TRIM(tblDados[Mandante]),0)),INDEX(tblDados[País],MATCH($A978,TRIM(tblDados[Visitante]),0))),_xlpm.l,IFERROR(INDEX(tblDados[Liga],MATCH($A978,TRIM(tblDados[Mandante]),0)),INDEX(tblDados[Liga],MATCH($A978,TRIM(tblDados[Visitante]),0))),_xlpm.p&amp;" - "&amp;_xlpm.l))</f>
        <v/>
      </c>
      <c r="C978" s="14" t="str">
        <f t="shared" si="249"/>
        <v/>
      </c>
      <c r="D978" s="14" t="str">
        <f t="shared" si="250"/>
        <v/>
      </c>
      <c r="E978" s="15" t="str" cm="1">
        <f t="array" ref="E978">IF($A978="","",SUMPRODUCT((TRIM(tblDados[Mandante])=$A978)*tblDados[Primeira_Ocorrencia]))</f>
        <v/>
      </c>
      <c r="F978" s="15" t="str" cm="1">
        <f t="array" ref="F978">IF($A978="","",SUMPRODUCT((TRIM(tblDados[Visitante])=$A978)*tblDados[Primeira_Ocorrencia]))</f>
        <v/>
      </c>
      <c r="G978" s="15" t="str" cm="1">
        <f t="array" ref="G978">IF($A978="","",SUMPRODUCT((TRIM(tblDados[Mandante])=$A978)*tblDados[Primeira_Ocorrencia])+SUMPRODUCT((TRIM(tblDados[Visitante])=$A978)*tblDados[Primeira_Ocorrencia]))</f>
        <v/>
      </c>
      <c r="H978" s="14" t="str">
        <f t="shared" si="251"/>
        <v/>
      </c>
      <c r="I978" s="14" t="str" cm="1">
        <f t="array" ref="I978">IF($A978="","",_xlfn.LET(_xlpm.p,IFERROR(INDEX(tblDados[País],MATCH($A978,TRIM(tblDados[Mandante]),0)),INDEX(tblDados[País],MATCH($A978,TRIM(tblDados[Visitante]),0))),_xlpm.l,IFERROR(INDEX(tblDados[Liga],MATCH($A978,TRIM(tblDados[Mandante]),0)),INDEX(tblDados[Liga],MATCH($A978,TRIM(tblDados[Visitante]),0))),IFERROR(SUMIFS(Ligas!$D$2:$D$39,Ligas!$H$2:$H$39,_xlpm.p,Ligas!$I$2:$I$39,_xlpm.l),0)))</f>
        <v/>
      </c>
      <c r="J978" s="16" t="str" cm="1">
        <f t="array" ref="J978">IF($A978="","",IFERROR((SUMPRODUCT((TRIM(tblDados[Mandante])=$A978)*tblDados[Primeira_Ocorrencia]*(tblDados[GM_M]=0))+SUMPRODUCT((TRIM(tblDados[Visitante])=$A978)*tblDados[Primeira_Ocorrencia]*(tblDados[GM_V]=0)))/G978,0))</f>
        <v/>
      </c>
      <c r="K978" s="16" t="str" cm="1">
        <f t="array" ref="K978">IF($A978="","",IFERROR((SUMPRODUCT((TRIM(tblDados[Mandante])=$A978)*tblDados[Primeira_Ocorrencia]*((tblDados[GM_M]+tblDados[GS_M])&gt;0.5))+SUMPRODUCT((TRIM(tblDados[Visitante])=$A978)*tblDados[Primeira_Ocorrencia]*((tblDados[GM_V]+tblDados[GS_V])&gt;0.5)))/G978,0))</f>
        <v/>
      </c>
      <c r="L978" s="16" t="str" cm="1">
        <f t="array" ref="L978">IF($A978="","",IFERROR((SUMPRODUCT((TRIM(tblDados[Mandante])=$A978)*tblDados[Primeira_Ocorrencia]*((tblDados[GM_M]+tblDados[GS_M])&gt;1.5))+SUMPRODUCT((TRIM(tblDados[Visitante])=$A978)*tblDados[Primeira_Ocorrencia]*((tblDados[GM_V]+tblDados[GS_V])&gt;1.5)))/G978,0))</f>
        <v/>
      </c>
      <c r="M978" s="16" t="str" cm="1">
        <f t="array" ref="M978">IF($A978="","",IFERROR((SUMPRODUCT((TRIM(tblDados[Mandante])=$A978)*tblDados[Primeira_Ocorrencia]*((tblDados[GM_M]+tblDados[GS_M])&gt;2.5))+SUMPRODUCT((TRIM(tblDados[Visitante])=$A978)*tblDados[Primeira_Ocorrencia]*((tblDados[GM_V]+tblDados[GS_V])&gt;2.5)))/G978,0))</f>
        <v/>
      </c>
      <c r="N978" s="16" t="str" cm="1">
        <f t="array" ref="N978">IF($A978="","",IFERROR((SUMPRODUCT((TRIM(tblDados[Mandante])=$A978)*tblDados[Primeira_Ocorrencia]*((tblDados[GM_M]+tblDados[GS_M])&gt;3.5))+SUMPRODUCT((TRIM(tblDados[Visitante])=$A978)*tblDados[Primeira_Ocorrencia]*((tblDados[GM_V]+tblDados[GS_V])&gt;3.5)))/G978,0))</f>
        <v/>
      </c>
      <c r="O978" s="16" t="str" cm="1">
        <f t="array" ref="O978">IF($A978="","",IFERROR((SUMPRODUCT((TRIM(tblDados[Mandante])=$A978)*tblDados[Primeira_Ocorrencia]*(tblDados[GM_M]&gt;0)*(tblDados[GS_M]&gt;0))+SUMPRODUCT((TRIM(tblDados[Visitante])=$A978)*tblDados[Primeira_Ocorrencia]*(tblDados[GM_V]&gt;0)*(tblDados[GS_V]&gt;0)))/G978,0))</f>
        <v/>
      </c>
      <c r="P978" s="14" t="str" cm="1">
        <f t="array" ref="P978">IF($A978="","",IFERROR((SUMPRODUCT((TRIM(tblDados[Mandante])=$A978)*tblDados[Primeira_Ocorrencia]*tblDados[GM_M]^2)+SUMPRODUCT((TRIM(tblDados[Visitante])=$A978)*tblDados[Primeira_Ocorrencia]*tblDados[GM_V]^2))/G978-H978^2,0))</f>
        <v/>
      </c>
      <c r="Q978" s="14" t="str">
        <f t="shared" si="252"/>
        <v/>
      </c>
      <c r="R978" s="1" t="str">
        <f t="shared" si="253"/>
        <v/>
      </c>
      <c r="S978" s="14" t="str" cm="1">
        <f t="array" ref="S978">IF($A978="","",SUMPRODUCT((TRIM(tblDados[Mandante])=$A978)*tblDados[Primeira_Ocorrencia]*tblDados[GM_M]))</f>
        <v/>
      </c>
      <c r="T978" s="14" t="str" cm="1">
        <f t="array" ref="T978">IF($A978="","",SUMPRODUCT((TRIM(tblDados[Visitante])=$A978)*tblDados[Primeira_Ocorrencia]*tblDados[GM_V]))</f>
        <v/>
      </c>
      <c r="U978" s="14" t="str">
        <f t="shared" si="254"/>
        <v/>
      </c>
      <c r="V978" s="14" t="str">
        <f t="shared" si="243"/>
        <v/>
      </c>
      <c r="W978" s="14" t="str" cm="1">
        <f t="array" ref="W978">IF($A978="","",SUMPRODUCT((TRIM(tblDados[Mandante])=$A978)*tblDados[Primeira_Ocorrencia]*tblDados[GS_M]))</f>
        <v/>
      </c>
      <c r="X978" s="14" t="str" cm="1">
        <f t="array" ref="X978">IF($A978="","",SUMPRODUCT((TRIM(tblDados[Visitante])=$A978)*tblDados[Primeira_Ocorrencia]*tblDados[GS_V]))</f>
        <v/>
      </c>
      <c r="Y978" s="14" t="str">
        <f t="shared" si="255"/>
        <v/>
      </c>
      <c r="Z978" s="14" t="str">
        <f t="shared" si="244"/>
        <v/>
      </c>
      <c r="AA978" s="14" t="str">
        <f t="shared" si="245"/>
        <v/>
      </c>
      <c r="AB978" s="14" t="str">
        <f t="shared" si="246"/>
        <v/>
      </c>
      <c r="AC978" s="14" t="str">
        <f t="shared" si="247"/>
        <v/>
      </c>
      <c r="AD978" s="14" t="str">
        <f t="shared" si="248"/>
        <v/>
      </c>
    </row>
    <row r="979" spans="2:30" x14ac:dyDescent="0.3">
      <c r="B979" s="13" t="str" cm="1">
        <f t="array" ref="B979">IF($A979="","",_xlfn.LET(_xlpm.p,IFERROR(INDEX(tblDados[País],MATCH($A979,TRIM(tblDados[Mandante]),0)),INDEX(tblDados[País],MATCH($A979,TRIM(tblDados[Visitante]),0))),_xlpm.l,IFERROR(INDEX(tblDados[Liga],MATCH($A979,TRIM(tblDados[Mandante]),0)),INDEX(tblDados[Liga],MATCH($A979,TRIM(tblDados[Visitante]),0))),_xlpm.p&amp;" - "&amp;_xlpm.l))</f>
        <v/>
      </c>
      <c r="C979" s="14" t="str">
        <f t="shared" si="249"/>
        <v/>
      </c>
      <c r="D979" s="14" t="str">
        <f t="shared" si="250"/>
        <v/>
      </c>
      <c r="E979" s="15" t="str" cm="1">
        <f t="array" ref="E979">IF($A979="","",SUMPRODUCT((TRIM(tblDados[Mandante])=$A979)*tblDados[Primeira_Ocorrencia]))</f>
        <v/>
      </c>
      <c r="F979" s="15" t="str" cm="1">
        <f t="array" ref="F979">IF($A979="","",SUMPRODUCT((TRIM(tblDados[Visitante])=$A979)*tblDados[Primeira_Ocorrencia]))</f>
        <v/>
      </c>
      <c r="G979" s="15" t="str" cm="1">
        <f t="array" ref="G979">IF($A979="","",SUMPRODUCT((TRIM(tblDados[Mandante])=$A979)*tblDados[Primeira_Ocorrencia])+SUMPRODUCT((TRIM(tblDados[Visitante])=$A979)*tblDados[Primeira_Ocorrencia]))</f>
        <v/>
      </c>
      <c r="H979" s="14" t="str">
        <f t="shared" si="251"/>
        <v/>
      </c>
      <c r="I979" s="14" t="str" cm="1">
        <f t="array" ref="I979">IF($A979="","",_xlfn.LET(_xlpm.p,IFERROR(INDEX(tblDados[País],MATCH($A979,TRIM(tblDados[Mandante]),0)),INDEX(tblDados[País],MATCH($A979,TRIM(tblDados[Visitante]),0))),_xlpm.l,IFERROR(INDEX(tblDados[Liga],MATCH($A979,TRIM(tblDados[Mandante]),0)),INDEX(tblDados[Liga],MATCH($A979,TRIM(tblDados[Visitante]),0))),IFERROR(SUMIFS(Ligas!$D$2:$D$39,Ligas!$H$2:$H$39,_xlpm.p,Ligas!$I$2:$I$39,_xlpm.l),0)))</f>
        <v/>
      </c>
      <c r="J979" s="16" t="str" cm="1">
        <f t="array" ref="J979">IF($A979="","",IFERROR((SUMPRODUCT((TRIM(tblDados[Mandante])=$A979)*tblDados[Primeira_Ocorrencia]*(tblDados[GM_M]=0))+SUMPRODUCT((TRIM(tblDados[Visitante])=$A979)*tblDados[Primeira_Ocorrencia]*(tblDados[GM_V]=0)))/G979,0))</f>
        <v/>
      </c>
      <c r="K979" s="16" t="str" cm="1">
        <f t="array" ref="K979">IF($A979="","",IFERROR((SUMPRODUCT((TRIM(tblDados[Mandante])=$A979)*tblDados[Primeira_Ocorrencia]*((tblDados[GM_M]+tblDados[GS_M])&gt;0.5))+SUMPRODUCT((TRIM(tblDados[Visitante])=$A979)*tblDados[Primeira_Ocorrencia]*((tblDados[GM_V]+tblDados[GS_V])&gt;0.5)))/G979,0))</f>
        <v/>
      </c>
      <c r="L979" s="16" t="str" cm="1">
        <f t="array" ref="L979">IF($A979="","",IFERROR((SUMPRODUCT((TRIM(tblDados[Mandante])=$A979)*tblDados[Primeira_Ocorrencia]*((tblDados[GM_M]+tblDados[GS_M])&gt;1.5))+SUMPRODUCT((TRIM(tblDados[Visitante])=$A979)*tblDados[Primeira_Ocorrencia]*((tblDados[GM_V]+tblDados[GS_V])&gt;1.5)))/G979,0))</f>
        <v/>
      </c>
      <c r="M979" s="16" t="str" cm="1">
        <f t="array" ref="M979">IF($A979="","",IFERROR((SUMPRODUCT((TRIM(tblDados[Mandante])=$A979)*tblDados[Primeira_Ocorrencia]*((tblDados[GM_M]+tblDados[GS_M])&gt;2.5))+SUMPRODUCT((TRIM(tblDados[Visitante])=$A979)*tblDados[Primeira_Ocorrencia]*((tblDados[GM_V]+tblDados[GS_V])&gt;2.5)))/G979,0))</f>
        <v/>
      </c>
      <c r="N979" s="16" t="str" cm="1">
        <f t="array" ref="N979">IF($A979="","",IFERROR((SUMPRODUCT((TRIM(tblDados[Mandante])=$A979)*tblDados[Primeira_Ocorrencia]*((tblDados[GM_M]+tblDados[GS_M])&gt;3.5))+SUMPRODUCT((TRIM(tblDados[Visitante])=$A979)*tblDados[Primeira_Ocorrencia]*((tblDados[GM_V]+tblDados[GS_V])&gt;3.5)))/G979,0))</f>
        <v/>
      </c>
      <c r="O979" s="16" t="str" cm="1">
        <f t="array" ref="O979">IF($A979="","",IFERROR((SUMPRODUCT((TRIM(tblDados[Mandante])=$A979)*tblDados[Primeira_Ocorrencia]*(tblDados[GM_M]&gt;0)*(tblDados[GS_M]&gt;0))+SUMPRODUCT((TRIM(tblDados[Visitante])=$A979)*tblDados[Primeira_Ocorrencia]*(tblDados[GM_V]&gt;0)*(tblDados[GS_V]&gt;0)))/G979,0))</f>
        <v/>
      </c>
      <c r="P979" s="14" t="str" cm="1">
        <f t="array" ref="P979">IF($A979="","",IFERROR((SUMPRODUCT((TRIM(tblDados[Mandante])=$A979)*tblDados[Primeira_Ocorrencia]*tblDados[GM_M]^2)+SUMPRODUCT((TRIM(tblDados[Visitante])=$A979)*tblDados[Primeira_Ocorrencia]*tblDados[GM_V]^2))/G979-H979^2,0))</f>
        <v/>
      </c>
      <c r="Q979" s="14" t="str">
        <f t="shared" si="252"/>
        <v/>
      </c>
      <c r="R979" s="1" t="str">
        <f t="shared" si="253"/>
        <v/>
      </c>
      <c r="S979" s="14" t="str" cm="1">
        <f t="array" ref="S979">IF($A979="","",SUMPRODUCT((TRIM(tblDados[Mandante])=$A979)*tblDados[Primeira_Ocorrencia]*tblDados[GM_M]))</f>
        <v/>
      </c>
      <c r="T979" s="14" t="str" cm="1">
        <f t="array" ref="T979">IF($A979="","",SUMPRODUCT((TRIM(tblDados[Visitante])=$A979)*tblDados[Primeira_Ocorrencia]*tblDados[GM_V]))</f>
        <v/>
      </c>
      <c r="U979" s="14" t="str">
        <f t="shared" si="254"/>
        <v/>
      </c>
      <c r="V979" s="14" t="str">
        <f t="shared" si="243"/>
        <v/>
      </c>
      <c r="W979" s="14" t="str" cm="1">
        <f t="array" ref="W979">IF($A979="","",SUMPRODUCT((TRIM(tblDados[Mandante])=$A979)*tblDados[Primeira_Ocorrencia]*tblDados[GS_M]))</f>
        <v/>
      </c>
      <c r="X979" s="14" t="str" cm="1">
        <f t="array" ref="X979">IF($A979="","",SUMPRODUCT((TRIM(tblDados[Visitante])=$A979)*tblDados[Primeira_Ocorrencia]*tblDados[GS_V]))</f>
        <v/>
      </c>
      <c r="Y979" s="14" t="str">
        <f t="shared" si="255"/>
        <v/>
      </c>
      <c r="Z979" s="14" t="str">
        <f t="shared" si="244"/>
        <v/>
      </c>
      <c r="AA979" s="14" t="str">
        <f t="shared" si="245"/>
        <v/>
      </c>
      <c r="AB979" s="14" t="str">
        <f t="shared" si="246"/>
        <v/>
      </c>
      <c r="AC979" s="14" t="str">
        <f t="shared" si="247"/>
        <v/>
      </c>
      <c r="AD979" s="14" t="str">
        <f t="shared" si="248"/>
        <v/>
      </c>
    </row>
    <row r="980" spans="2:30" x14ac:dyDescent="0.3">
      <c r="B980" s="13" t="str" cm="1">
        <f t="array" ref="B980">IF($A980="","",_xlfn.LET(_xlpm.p,IFERROR(INDEX(tblDados[País],MATCH($A980,TRIM(tblDados[Mandante]),0)),INDEX(tblDados[País],MATCH($A980,TRIM(tblDados[Visitante]),0))),_xlpm.l,IFERROR(INDEX(tblDados[Liga],MATCH($A980,TRIM(tblDados[Mandante]),0)),INDEX(tblDados[Liga],MATCH($A980,TRIM(tblDados[Visitante]),0))),_xlpm.p&amp;" - "&amp;_xlpm.l))</f>
        <v/>
      </c>
      <c r="C980" s="14" t="str">
        <f t="shared" si="249"/>
        <v/>
      </c>
      <c r="D980" s="14" t="str">
        <f t="shared" si="250"/>
        <v/>
      </c>
      <c r="E980" s="15" t="str" cm="1">
        <f t="array" ref="E980">IF($A980="","",SUMPRODUCT((TRIM(tblDados[Mandante])=$A980)*tblDados[Primeira_Ocorrencia]))</f>
        <v/>
      </c>
      <c r="F980" s="15" t="str" cm="1">
        <f t="array" ref="F980">IF($A980="","",SUMPRODUCT((TRIM(tblDados[Visitante])=$A980)*tblDados[Primeira_Ocorrencia]))</f>
        <v/>
      </c>
      <c r="G980" s="15" t="str" cm="1">
        <f t="array" ref="G980">IF($A980="","",SUMPRODUCT((TRIM(tblDados[Mandante])=$A980)*tblDados[Primeira_Ocorrencia])+SUMPRODUCT((TRIM(tblDados[Visitante])=$A980)*tblDados[Primeira_Ocorrencia]))</f>
        <v/>
      </c>
      <c r="H980" s="14" t="str">
        <f t="shared" si="251"/>
        <v/>
      </c>
      <c r="I980" s="14" t="str" cm="1">
        <f t="array" ref="I980">IF($A980="","",_xlfn.LET(_xlpm.p,IFERROR(INDEX(tblDados[País],MATCH($A980,TRIM(tblDados[Mandante]),0)),INDEX(tblDados[País],MATCH($A980,TRIM(tblDados[Visitante]),0))),_xlpm.l,IFERROR(INDEX(tblDados[Liga],MATCH($A980,TRIM(tblDados[Mandante]),0)),INDEX(tblDados[Liga],MATCH($A980,TRIM(tblDados[Visitante]),0))),IFERROR(SUMIFS(Ligas!$D$2:$D$39,Ligas!$H$2:$H$39,_xlpm.p,Ligas!$I$2:$I$39,_xlpm.l),0)))</f>
        <v/>
      </c>
      <c r="J980" s="16" t="str" cm="1">
        <f t="array" ref="J980">IF($A980="","",IFERROR((SUMPRODUCT((TRIM(tblDados[Mandante])=$A980)*tblDados[Primeira_Ocorrencia]*(tblDados[GM_M]=0))+SUMPRODUCT((TRIM(tblDados[Visitante])=$A980)*tblDados[Primeira_Ocorrencia]*(tblDados[GM_V]=0)))/G980,0))</f>
        <v/>
      </c>
      <c r="K980" s="16" t="str" cm="1">
        <f t="array" ref="K980">IF($A980="","",IFERROR((SUMPRODUCT((TRIM(tblDados[Mandante])=$A980)*tblDados[Primeira_Ocorrencia]*((tblDados[GM_M]+tblDados[GS_M])&gt;0.5))+SUMPRODUCT((TRIM(tblDados[Visitante])=$A980)*tblDados[Primeira_Ocorrencia]*((tblDados[GM_V]+tblDados[GS_V])&gt;0.5)))/G980,0))</f>
        <v/>
      </c>
      <c r="L980" s="16" t="str" cm="1">
        <f t="array" ref="L980">IF($A980="","",IFERROR((SUMPRODUCT((TRIM(tblDados[Mandante])=$A980)*tblDados[Primeira_Ocorrencia]*((tblDados[GM_M]+tblDados[GS_M])&gt;1.5))+SUMPRODUCT((TRIM(tblDados[Visitante])=$A980)*tblDados[Primeira_Ocorrencia]*((tblDados[GM_V]+tblDados[GS_V])&gt;1.5)))/G980,0))</f>
        <v/>
      </c>
      <c r="M980" s="16" t="str" cm="1">
        <f t="array" ref="M980">IF($A980="","",IFERROR((SUMPRODUCT((TRIM(tblDados[Mandante])=$A980)*tblDados[Primeira_Ocorrencia]*((tblDados[GM_M]+tblDados[GS_M])&gt;2.5))+SUMPRODUCT((TRIM(tblDados[Visitante])=$A980)*tblDados[Primeira_Ocorrencia]*((tblDados[GM_V]+tblDados[GS_V])&gt;2.5)))/G980,0))</f>
        <v/>
      </c>
      <c r="N980" s="16" t="str" cm="1">
        <f t="array" ref="N980">IF($A980="","",IFERROR((SUMPRODUCT((TRIM(tblDados[Mandante])=$A980)*tblDados[Primeira_Ocorrencia]*((tblDados[GM_M]+tblDados[GS_M])&gt;3.5))+SUMPRODUCT((TRIM(tblDados[Visitante])=$A980)*tblDados[Primeira_Ocorrencia]*((tblDados[GM_V]+tblDados[GS_V])&gt;3.5)))/G980,0))</f>
        <v/>
      </c>
      <c r="O980" s="16" t="str" cm="1">
        <f t="array" ref="O980">IF($A980="","",IFERROR((SUMPRODUCT((TRIM(tblDados[Mandante])=$A980)*tblDados[Primeira_Ocorrencia]*(tblDados[GM_M]&gt;0)*(tblDados[GS_M]&gt;0))+SUMPRODUCT((TRIM(tblDados[Visitante])=$A980)*tblDados[Primeira_Ocorrencia]*(tblDados[GM_V]&gt;0)*(tblDados[GS_V]&gt;0)))/G980,0))</f>
        <v/>
      </c>
      <c r="P980" s="14" t="str" cm="1">
        <f t="array" ref="P980">IF($A980="","",IFERROR((SUMPRODUCT((TRIM(tblDados[Mandante])=$A980)*tblDados[Primeira_Ocorrencia]*tblDados[GM_M]^2)+SUMPRODUCT((TRIM(tblDados[Visitante])=$A980)*tblDados[Primeira_Ocorrencia]*tblDados[GM_V]^2))/G980-H980^2,0))</f>
        <v/>
      </c>
      <c r="Q980" s="14" t="str">
        <f t="shared" si="252"/>
        <v/>
      </c>
      <c r="R980" s="1" t="str">
        <f t="shared" si="253"/>
        <v/>
      </c>
      <c r="S980" s="14" t="str" cm="1">
        <f t="array" ref="S980">IF($A980="","",SUMPRODUCT((TRIM(tblDados[Mandante])=$A980)*tblDados[Primeira_Ocorrencia]*tblDados[GM_M]))</f>
        <v/>
      </c>
      <c r="T980" s="14" t="str" cm="1">
        <f t="array" ref="T980">IF($A980="","",SUMPRODUCT((TRIM(tblDados[Visitante])=$A980)*tblDados[Primeira_Ocorrencia]*tblDados[GM_V]))</f>
        <v/>
      </c>
      <c r="U980" s="14" t="str">
        <f t="shared" si="254"/>
        <v/>
      </c>
      <c r="V980" s="14" t="str">
        <f t="shared" si="243"/>
        <v/>
      </c>
      <c r="W980" s="14" t="str" cm="1">
        <f t="array" ref="W980">IF($A980="","",SUMPRODUCT((TRIM(tblDados[Mandante])=$A980)*tblDados[Primeira_Ocorrencia]*tblDados[GS_M]))</f>
        <v/>
      </c>
      <c r="X980" s="14" t="str" cm="1">
        <f t="array" ref="X980">IF($A980="","",SUMPRODUCT((TRIM(tblDados[Visitante])=$A980)*tblDados[Primeira_Ocorrencia]*tblDados[GS_V]))</f>
        <v/>
      </c>
      <c r="Y980" s="14" t="str">
        <f t="shared" si="255"/>
        <v/>
      </c>
      <c r="Z980" s="14" t="str">
        <f t="shared" si="244"/>
        <v/>
      </c>
      <c r="AA980" s="14" t="str">
        <f t="shared" si="245"/>
        <v/>
      </c>
      <c r="AB980" s="14" t="str">
        <f t="shared" si="246"/>
        <v/>
      </c>
      <c r="AC980" s="14" t="str">
        <f t="shared" si="247"/>
        <v/>
      </c>
      <c r="AD980" s="14" t="str">
        <f t="shared" si="248"/>
        <v/>
      </c>
    </row>
    <row r="981" spans="2:30" x14ac:dyDescent="0.3">
      <c r="B981" s="13" t="str" cm="1">
        <f t="array" ref="B981">IF($A981="","",_xlfn.LET(_xlpm.p,IFERROR(INDEX(tblDados[País],MATCH($A981,TRIM(tblDados[Mandante]),0)),INDEX(tblDados[País],MATCH($A981,TRIM(tblDados[Visitante]),0))),_xlpm.l,IFERROR(INDEX(tblDados[Liga],MATCH($A981,TRIM(tblDados[Mandante]),0)),INDEX(tblDados[Liga],MATCH($A981,TRIM(tblDados[Visitante]),0))),_xlpm.p&amp;" - "&amp;_xlpm.l))</f>
        <v/>
      </c>
      <c r="C981" s="14" t="str">
        <f t="shared" si="249"/>
        <v/>
      </c>
      <c r="D981" s="14" t="str">
        <f t="shared" si="250"/>
        <v/>
      </c>
      <c r="E981" s="15" t="str" cm="1">
        <f t="array" ref="E981">IF($A981="","",SUMPRODUCT((TRIM(tblDados[Mandante])=$A981)*tblDados[Primeira_Ocorrencia]))</f>
        <v/>
      </c>
      <c r="F981" s="15" t="str" cm="1">
        <f t="array" ref="F981">IF($A981="","",SUMPRODUCT((TRIM(tblDados[Visitante])=$A981)*tblDados[Primeira_Ocorrencia]))</f>
        <v/>
      </c>
      <c r="G981" s="15" t="str" cm="1">
        <f t="array" ref="G981">IF($A981="","",SUMPRODUCT((TRIM(tblDados[Mandante])=$A981)*tblDados[Primeira_Ocorrencia])+SUMPRODUCT((TRIM(tblDados[Visitante])=$A981)*tblDados[Primeira_Ocorrencia]))</f>
        <v/>
      </c>
      <c r="H981" s="14" t="str">
        <f t="shared" si="251"/>
        <v/>
      </c>
      <c r="I981" s="14" t="str" cm="1">
        <f t="array" ref="I981">IF($A981="","",_xlfn.LET(_xlpm.p,IFERROR(INDEX(tblDados[País],MATCH($A981,TRIM(tblDados[Mandante]),0)),INDEX(tblDados[País],MATCH($A981,TRIM(tblDados[Visitante]),0))),_xlpm.l,IFERROR(INDEX(tblDados[Liga],MATCH($A981,TRIM(tblDados[Mandante]),0)),INDEX(tblDados[Liga],MATCH($A981,TRIM(tblDados[Visitante]),0))),IFERROR(SUMIFS(Ligas!$D$2:$D$39,Ligas!$H$2:$H$39,_xlpm.p,Ligas!$I$2:$I$39,_xlpm.l),0)))</f>
        <v/>
      </c>
      <c r="J981" s="16" t="str" cm="1">
        <f t="array" ref="J981">IF($A981="","",IFERROR((SUMPRODUCT((TRIM(tblDados[Mandante])=$A981)*tblDados[Primeira_Ocorrencia]*(tblDados[GM_M]=0))+SUMPRODUCT((TRIM(tblDados[Visitante])=$A981)*tblDados[Primeira_Ocorrencia]*(tblDados[GM_V]=0)))/G981,0))</f>
        <v/>
      </c>
      <c r="K981" s="16" t="str" cm="1">
        <f t="array" ref="K981">IF($A981="","",IFERROR((SUMPRODUCT((TRIM(tblDados[Mandante])=$A981)*tblDados[Primeira_Ocorrencia]*((tblDados[GM_M]+tblDados[GS_M])&gt;0.5))+SUMPRODUCT((TRIM(tblDados[Visitante])=$A981)*tblDados[Primeira_Ocorrencia]*((tblDados[GM_V]+tblDados[GS_V])&gt;0.5)))/G981,0))</f>
        <v/>
      </c>
      <c r="L981" s="16" t="str" cm="1">
        <f t="array" ref="L981">IF($A981="","",IFERROR((SUMPRODUCT((TRIM(tblDados[Mandante])=$A981)*tblDados[Primeira_Ocorrencia]*((tblDados[GM_M]+tblDados[GS_M])&gt;1.5))+SUMPRODUCT((TRIM(tblDados[Visitante])=$A981)*tblDados[Primeira_Ocorrencia]*((tblDados[GM_V]+tblDados[GS_V])&gt;1.5)))/G981,0))</f>
        <v/>
      </c>
      <c r="M981" s="16" t="str" cm="1">
        <f t="array" ref="M981">IF($A981="","",IFERROR((SUMPRODUCT((TRIM(tblDados[Mandante])=$A981)*tblDados[Primeira_Ocorrencia]*((tblDados[GM_M]+tblDados[GS_M])&gt;2.5))+SUMPRODUCT((TRIM(tblDados[Visitante])=$A981)*tblDados[Primeira_Ocorrencia]*((tblDados[GM_V]+tblDados[GS_V])&gt;2.5)))/G981,0))</f>
        <v/>
      </c>
      <c r="N981" s="16" t="str" cm="1">
        <f t="array" ref="N981">IF($A981="","",IFERROR((SUMPRODUCT((TRIM(tblDados[Mandante])=$A981)*tblDados[Primeira_Ocorrencia]*((tblDados[GM_M]+tblDados[GS_M])&gt;3.5))+SUMPRODUCT((TRIM(tblDados[Visitante])=$A981)*tblDados[Primeira_Ocorrencia]*((tblDados[GM_V]+tblDados[GS_V])&gt;3.5)))/G981,0))</f>
        <v/>
      </c>
      <c r="O981" s="16" t="str" cm="1">
        <f t="array" ref="O981">IF($A981="","",IFERROR((SUMPRODUCT((TRIM(tblDados[Mandante])=$A981)*tblDados[Primeira_Ocorrencia]*(tblDados[GM_M]&gt;0)*(tblDados[GS_M]&gt;0))+SUMPRODUCT((TRIM(tblDados[Visitante])=$A981)*tblDados[Primeira_Ocorrencia]*(tblDados[GM_V]&gt;0)*(tblDados[GS_V]&gt;0)))/G981,0))</f>
        <v/>
      </c>
      <c r="P981" s="14" t="str" cm="1">
        <f t="array" ref="P981">IF($A981="","",IFERROR((SUMPRODUCT((TRIM(tblDados[Mandante])=$A981)*tblDados[Primeira_Ocorrencia]*tblDados[GM_M]^2)+SUMPRODUCT((TRIM(tblDados[Visitante])=$A981)*tblDados[Primeira_Ocorrencia]*tblDados[GM_V]^2))/G981-H981^2,0))</f>
        <v/>
      </c>
      <c r="Q981" s="14" t="str">
        <f t="shared" si="252"/>
        <v/>
      </c>
      <c r="R981" s="1" t="str">
        <f t="shared" si="253"/>
        <v/>
      </c>
      <c r="S981" s="14" t="str" cm="1">
        <f t="array" ref="S981">IF($A981="","",SUMPRODUCT((TRIM(tblDados[Mandante])=$A981)*tblDados[Primeira_Ocorrencia]*tblDados[GM_M]))</f>
        <v/>
      </c>
      <c r="T981" s="14" t="str" cm="1">
        <f t="array" ref="T981">IF($A981="","",SUMPRODUCT((TRIM(tblDados[Visitante])=$A981)*tblDados[Primeira_Ocorrencia]*tblDados[GM_V]))</f>
        <v/>
      </c>
      <c r="U981" s="14" t="str">
        <f t="shared" si="254"/>
        <v/>
      </c>
      <c r="V981" s="14" t="str">
        <f t="shared" si="243"/>
        <v/>
      </c>
      <c r="W981" s="14" t="str" cm="1">
        <f t="array" ref="W981">IF($A981="","",SUMPRODUCT((TRIM(tblDados[Mandante])=$A981)*tblDados[Primeira_Ocorrencia]*tblDados[GS_M]))</f>
        <v/>
      </c>
      <c r="X981" s="14" t="str" cm="1">
        <f t="array" ref="X981">IF($A981="","",SUMPRODUCT((TRIM(tblDados[Visitante])=$A981)*tblDados[Primeira_Ocorrencia]*tblDados[GS_V]))</f>
        <v/>
      </c>
      <c r="Y981" s="14" t="str">
        <f t="shared" si="255"/>
        <v/>
      </c>
      <c r="Z981" s="14" t="str">
        <f t="shared" si="244"/>
        <v/>
      </c>
      <c r="AA981" s="14" t="str">
        <f t="shared" si="245"/>
        <v/>
      </c>
      <c r="AB981" s="14" t="str">
        <f t="shared" si="246"/>
        <v/>
      </c>
      <c r="AC981" s="14" t="str">
        <f t="shared" si="247"/>
        <v/>
      </c>
      <c r="AD981" s="14" t="str">
        <f t="shared" si="248"/>
        <v/>
      </c>
    </row>
    <row r="982" spans="2:30" x14ac:dyDescent="0.3">
      <c r="B982" s="13" t="str" cm="1">
        <f t="array" ref="B982">IF($A982="","",_xlfn.LET(_xlpm.p,IFERROR(INDEX(tblDados[País],MATCH($A982,TRIM(tblDados[Mandante]),0)),INDEX(tblDados[País],MATCH($A982,TRIM(tblDados[Visitante]),0))),_xlpm.l,IFERROR(INDEX(tblDados[Liga],MATCH($A982,TRIM(tblDados[Mandante]),0)),INDEX(tblDados[Liga],MATCH($A982,TRIM(tblDados[Visitante]),0))),_xlpm.p&amp;" - "&amp;_xlpm.l))</f>
        <v/>
      </c>
      <c r="C982" s="14" t="str">
        <f t="shared" si="249"/>
        <v/>
      </c>
      <c r="D982" s="14" t="str">
        <f t="shared" si="250"/>
        <v/>
      </c>
      <c r="E982" s="15" t="str" cm="1">
        <f t="array" ref="E982">IF($A982="","",SUMPRODUCT((TRIM(tblDados[Mandante])=$A982)*tblDados[Primeira_Ocorrencia]))</f>
        <v/>
      </c>
      <c r="F982" s="15" t="str" cm="1">
        <f t="array" ref="F982">IF($A982="","",SUMPRODUCT((TRIM(tblDados[Visitante])=$A982)*tblDados[Primeira_Ocorrencia]))</f>
        <v/>
      </c>
      <c r="G982" s="15" t="str" cm="1">
        <f t="array" ref="G982">IF($A982="","",SUMPRODUCT((TRIM(tblDados[Mandante])=$A982)*tblDados[Primeira_Ocorrencia])+SUMPRODUCT((TRIM(tblDados[Visitante])=$A982)*tblDados[Primeira_Ocorrencia]))</f>
        <v/>
      </c>
      <c r="H982" s="14" t="str">
        <f t="shared" si="251"/>
        <v/>
      </c>
      <c r="I982" s="14" t="str" cm="1">
        <f t="array" ref="I982">IF($A982="","",_xlfn.LET(_xlpm.p,IFERROR(INDEX(tblDados[País],MATCH($A982,TRIM(tblDados[Mandante]),0)),INDEX(tblDados[País],MATCH($A982,TRIM(tblDados[Visitante]),0))),_xlpm.l,IFERROR(INDEX(tblDados[Liga],MATCH($A982,TRIM(tblDados[Mandante]),0)),INDEX(tblDados[Liga],MATCH($A982,TRIM(tblDados[Visitante]),0))),IFERROR(SUMIFS(Ligas!$D$2:$D$39,Ligas!$H$2:$H$39,_xlpm.p,Ligas!$I$2:$I$39,_xlpm.l),0)))</f>
        <v/>
      </c>
      <c r="J982" s="16" t="str" cm="1">
        <f t="array" ref="J982">IF($A982="","",IFERROR((SUMPRODUCT((TRIM(tblDados[Mandante])=$A982)*tblDados[Primeira_Ocorrencia]*(tblDados[GM_M]=0))+SUMPRODUCT((TRIM(tblDados[Visitante])=$A982)*tblDados[Primeira_Ocorrencia]*(tblDados[GM_V]=0)))/G982,0))</f>
        <v/>
      </c>
      <c r="K982" s="16" t="str" cm="1">
        <f t="array" ref="K982">IF($A982="","",IFERROR((SUMPRODUCT((TRIM(tblDados[Mandante])=$A982)*tblDados[Primeira_Ocorrencia]*((tblDados[GM_M]+tblDados[GS_M])&gt;0.5))+SUMPRODUCT((TRIM(tblDados[Visitante])=$A982)*tblDados[Primeira_Ocorrencia]*((tblDados[GM_V]+tblDados[GS_V])&gt;0.5)))/G982,0))</f>
        <v/>
      </c>
      <c r="L982" s="16" t="str" cm="1">
        <f t="array" ref="L982">IF($A982="","",IFERROR((SUMPRODUCT((TRIM(tblDados[Mandante])=$A982)*tblDados[Primeira_Ocorrencia]*((tblDados[GM_M]+tblDados[GS_M])&gt;1.5))+SUMPRODUCT((TRIM(tblDados[Visitante])=$A982)*tblDados[Primeira_Ocorrencia]*((tblDados[GM_V]+tblDados[GS_V])&gt;1.5)))/G982,0))</f>
        <v/>
      </c>
      <c r="M982" s="16" t="str" cm="1">
        <f t="array" ref="M982">IF($A982="","",IFERROR((SUMPRODUCT((TRIM(tblDados[Mandante])=$A982)*tblDados[Primeira_Ocorrencia]*((tblDados[GM_M]+tblDados[GS_M])&gt;2.5))+SUMPRODUCT((TRIM(tblDados[Visitante])=$A982)*tblDados[Primeira_Ocorrencia]*((tblDados[GM_V]+tblDados[GS_V])&gt;2.5)))/G982,0))</f>
        <v/>
      </c>
      <c r="N982" s="16" t="str" cm="1">
        <f t="array" ref="N982">IF($A982="","",IFERROR((SUMPRODUCT((TRIM(tblDados[Mandante])=$A982)*tblDados[Primeira_Ocorrencia]*((tblDados[GM_M]+tblDados[GS_M])&gt;3.5))+SUMPRODUCT((TRIM(tblDados[Visitante])=$A982)*tblDados[Primeira_Ocorrencia]*((tblDados[GM_V]+tblDados[GS_V])&gt;3.5)))/G982,0))</f>
        <v/>
      </c>
      <c r="O982" s="16" t="str" cm="1">
        <f t="array" ref="O982">IF($A982="","",IFERROR((SUMPRODUCT((TRIM(tblDados[Mandante])=$A982)*tblDados[Primeira_Ocorrencia]*(tblDados[GM_M]&gt;0)*(tblDados[GS_M]&gt;0))+SUMPRODUCT((TRIM(tblDados[Visitante])=$A982)*tblDados[Primeira_Ocorrencia]*(tblDados[GM_V]&gt;0)*(tblDados[GS_V]&gt;0)))/G982,0))</f>
        <v/>
      </c>
      <c r="P982" s="14" t="str" cm="1">
        <f t="array" ref="P982">IF($A982="","",IFERROR((SUMPRODUCT((TRIM(tblDados[Mandante])=$A982)*tblDados[Primeira_Ocorrencia]*tblDados[GM_M]^2)+SUMPRODUCT((TRIM(tblDados[Visitante])=$A982)*tblDados[Primeira_Ocorrencia]*tblDados[GM_V]^2))/G982-H982^2,0))</f>
        <v/>
      </c>
      <c r="Q982" s="14" t="str">
        <f t="shared" si="252"/>
        <v/>
      </c>
      <c r="R982" s="1" t="str">
        <f t="shared" si="253"/>
        <v/>
      </c>
      <c r="S982" s="14" t="str" cm="1">
        <f t="array" ref="S982">IF($A982="","",SUMPRODUCT((TRIM(tblDados[Mandante])=$A982)*tblDados[Primeira_Ocorrencia]*tblDados[GM_M]))</f>
        <v/>
      </c>
      <c r="T982" s="14" t="str" cm="1">
        <f t="array" ref="T982">IF($A982="","",SUMPRODUCT((TRIM(tblDados[Visitante])=$A982)*tblDados[Primeira_Ocorrencia]*tblDados[GM_V]))</f>
        <v/>
      </c>
      <c r="U982" s="14" t="str">
        <f t="shared" si="254"/>
        <v/>
      </c>
      <c r="V982" s="14" t="str">
        <f t="shared" si="243"/>
        <v/>
      </c>
      <c r="W982" s="14" t="str" cm="1">
        <f t="array" ref="W982">IF($A982="","",SUMPRODUCT((TRIM(tblDados[Mandante])=$A982)*tblDados[Primeira_Ocorrencia]*tblDados[GS_M]))</f>
        <v/>
      </c>
      <c r="X982" s="14" t="str" cm="1">
        <f t="array" ref="X982">IF($A982="","",SUMPRODUCT((TRIM(tblDados[Visitante])=$A982)*tblDados[Primeira_Ocorrencia]*tblDados[GS_V]))</f>
        <v/>
      </c>
      <c r="Y982" s="14" t="str">
        <f t="shared" si="255"/>
        <v/>
      </c>
      <c r="Z982" s="14" t="str">
        <f t="shared" si="244"/>
        <v/>
      </c>
      <c r="AA982" s="14" t="str">
        <f t="shared" si="245"/>
        <v/>
      </c>
      <c r="AB982" s="14" t="str">
        <f t="shared" si="246"/>
        <v/>
      </c>
      <c r="AC982" s="14" t="str">
        <f t="shared" si="247"/>
        <v/>
      </c>
      <c r="AD982" s="14" t="str">
        <f t="shared" si="248"/>
        <v/>
      </c>
    </row>
    <row r="983" spans="2:30" x14ac:dyDescent="0.3">
      <c r="B983" s="13" t="str" cm="1">
        <f t="array" ref="B983">IF($A983="","",_xlfn.LET(_xlpm.p,IFERROR(INDEX(tblDados[País],MATCH($A983,TRIM(tblDados[Mandante]),0)),INDEX(tblDados[País],MATCH($A983,TRIM(tblDados[Visitante]),0))),_xlpm.l,IFERROR(INDEX(tblDados[Liga],MATCH($A983,TRIM(tblDados[Mandante]),0)),INDEX(tblDados[Liga],MATCH($A983,TRIM(tblDados[Visitante]),0))),_xlpm.p&amp;" - "&amp;_xlpm.l))</f>
        <v/>
      </c>
      <c r="C983" s="14" t="str">
        <f t="shared" si="249"/>
        <v/>
      </c>
      <c r="D983" s="14" t="str">
        <f t="shared" si="250"/>
        <v/>
      </c>
      <c r="E983" s="15" t="str" cm="1">
        <f t="array" ref="E983">IF($A983="","",SUMPRODUCT((TRIM(tblDados[Mandante])=$A983)*tblDados[Primeira_Ocorrencia]))</f>
        <v/>
      </c>
      <c r="F983" s="15" t="str" cm="1">
        <f t="array" ref="F983">IF($A983="","",SUMPRODUCT((TRIM(tblDados[Visitante])=$A983)*tblDados[Primeira_Ocorrencia]))</f>
        <v/>
      </c>
      <c r="G983" s="15" t="str" cm="1">
        <f t="array" ref="G983">IF($A983="","",SUMPRODUCT((TRIM(tblDados[Mandante])=$A983)*tblDados[Primeira_Ocorrencia])+SUMPRODUCT((TRIM(tblDados[Visitante])=$A983)*tblDados[Primeira_Ocorrencia]))</f>
        <v/>
      </c>
      <c r="H983" s="14" t="str">
        <f t="shared" si="251"/>
        <v/>
      </c>
      <c r="I983" s="14" t="str" cm="1">
        <f t="array" ref="I983">IF($A983="","",_xlfn.LET(_xlpm.p,IFERROR(INDEX(tblDados[País],MATCH($A983,TRIM(tblDados[Mandante]),0)),INDEX(tblDados[País],MATCH($A983,TRIM(tblDados[Visitante]),0))),_xlpm.l,IFERROR(INDEX(tblDados[Liga],MATCH($A983,TRIM(tblDados[Mandante]),0)),INDEX(tblDados[Liga],MATCH($A983,TRIM(tblDados[Visitante]),0))),IFERROR(SUMIFS(Ligas!$D$2:$D$39,Ligas!$H$2:$H$39,_xlpm.p,Ligas!$I$2:$I$39,_xlpm.l),0)))</f>
        <v/>
      </c>
      <c r="J983" s="16" t="str" cm="1">
        <f t="array" ref="J983">IF($A983="","",IFERROR((SUMPRODUCT((TRIM(tblDados[Mandante])=$A983)*tblDados[Primeira_Ocorrencia]*(tblDados[GM_M]=0))+SUMPRODUCT((TRIM(tblDados[Visitante])=$A983)*tblDados[Primeira_Ocorrencia]*(tblDados[GM_V]=0)))/G983,0))</f>
        <v/>
      </c>
      <c r="K983" s="16" t="str" cm="1">
        <f t="array" ref="K983">IF($A983="","",IFERROR((SUMPRODUCT((TRIM(tblDados[Mandante])=$A983)*tblDados[Primeira_Ocorrencia]*((tblDados[GM_M]+tblDados[GS_M])&gt;0.5))+SUMPRODUCT((TRIM(tblDados[Visitante])=$A983)*tblDados[Primeira_Ocorrencia]*((tblDados[GM_V]+tblDados[GS_V])&gt;0.5)))/G983,0))</f>
        <v/>
      </c>
      <c r="L983" s="16" t="str" cm="1">
        <f t="array" ref="L983">IF($A983="","",IFERROR((SUMPRODUCT((TRIM(tblDados[Mandante])=$A983)*tblDados[Primeira_Ocorrencia]*((tblDados[GM_M]+tblDados[GS_M])&gt;1.5))+SUMPRODUCT((TRIM(tblDados[Visitante])=$A983)*tblDados[Primeira_Ocorrencia]*((tblDados[GM_V]+tblDados[GS_V])&gt;1.5)))/G983,0))</f>
        <v/>
      </c>
      <c r="M983" s="16" t="str" cm="1">
        <f t="array" ref="M983">IF($A983="","",IFERROR((SUMPRODUCT((TRIM(tblDados[Mandante])=$A983)*tblDados[Primeira_Ocorrencia]*((tblDados[GM_M]+tblDados[GS_M])&gt;2.5))+SUMPRODUCT((TRIM(tblDados[Visitante])=$A983)*tblDados[Primeira_Ocorrencia]*((tblDados[GM_V]+tblDados[GS_V])&gt;2.5)))/G983,0))</f>
        <v/>
      </c>
      <c r="N983" s="16" t="str" cm="1">
        <f t="array" ref="N983">IF($A983="","",IFERROR((SUMPRODUCT((TRIM(tblDados[Mandante])=$A983)*tblDados[Primeira_Ocorrencia]*((tblDados[GM_M]+tblDados[GS_M])&gt;3.5))+SUMPRODUCT((TRIM(tblDados[Visitante])=$A983)*tblDados[Primeira_Ocorrencia]*((tblDados[GM_V]+tblDados[GS_V])&gt;3.5)))/G983,0))</f>
        <v/>
      </c>
      <c r="O983" s="16" t="str" cm="1">
        <f t="array" ref="O983">IF($A983="","",IFERROR((SUMPRODUCT((TRIM(tblDados[Mandante])=$A983)*tblDados[Primeira_Ocorrencia]*(tblDados[GM_M]&gt;0)*(tblDados[GS_M]&gt;0))+SUMPRODUCT((TRIM(tblDados[Visitante])=$A983)*tblDados[Primeira_Ocorrencia]*(tblDados[GM_V]&gt;0)*(tblDados[GS_V]&gt;0)))/G983,0))</f>
        <v/>
      </c>
      <c r="P983" s="14" t="str" cm="1">
        <f t="array" ref="P983">IF($A983="","",IFERROR((SUMPRODUCT((TRIM(tblDados[Mandante])=$A983)*tblDados[Primeira_Ocorrencia]*tblDados[GM_M]^2)+SUMPRODUCT((TRIM(tblDados[Visitante])=$A983)*tblDados[Primeira_Ocorrencia]*tblDados[GM_V]^2))/G983-H983^2,0))</f>
        <v/>
      </c>
      <c r="Q983" s="14" t="str">
        <f t="shared" si="252"/>
        <v/>
      </c>
      <c r="R983" s="1" t="str">
        <f t="shared" si="253"/>
        <v/>
      </c>
      <c r="S983" s="14" t="str" cm="1">
        <f t="array" ref="S983">IF($A983="","",SUMPRODUCT((TRIM(tblDados[Mandante])=$A983)*tblDados[Primeira_Ocorrencia]*tblDados[GM_M]))</f>
        <v/>
      </c>
      <c r="T983" s="14" t="str" cm="1">
        <f t="array" ref="T983">IF($A983="","",SUMPRODUCT((TRIM(tblDados[Visitante])=$A983)*tblDados[Primeira_Ocorrencia]*tblDados[GM_V]))</f>
        <v/>
      </c>
      <c r="U983" s="14" t="str">
        <f t="shared" si="254"/>
        <v/>
      </c>
      <c r="V983" s="14" t="str">
        <f t="shared" si="243"/>
        <v/>
      </c>
      <c r="W983" s="14" t="str" cm="1">
        <f t="array" ref="W983">IF($A983="","",SUMPRODUCT((TRIM(tblDados[Mandante])=$A983)*tblDados[Primeira_Ocorrencia]*tblDados[GS_M]))</f>
        <v/>
      </c>
      <c r="X983" s="14" t="str" cm="1">
        <f t="array" ref="X983">IF($A983="","",SUMPRODUCT((TRIM(tblDados[Visitante])=$A983)*tblDados[Primeira_Ocorrencia]*tblDados[GS_V]))</f>
        <v/>
      </c>
      <c r="Y983" s="14" t="str">
        <f t="shared" si="255"/>
        <v/>
      </c>
      <c r="Z983" s="14" t="str">
        <f t="shared" si="244"/>
        <v/>
      </c>
      <c r="AA983" s="14" t="str">
        <f t="shared" si="245"/>
        <v/>
      </c>
      <c r="AB983" s="14" t="str">
        <f t="shared" si="246"/>
        <v/>
      </c>
      <c r="AC983" s="14" t="str">
        <f t="shared" si="247"/>
        <v/>
      </c>
      <c r="AD983" s="14" t="str">
        <f t="shared" si="248"/>
        <v/>
      </c>
    </row>
    <row r="984" spans="2:30" x14ac:dyDescent="0.3">
      <c r="B984" s="13" t="str" cm="1">
        <f t="array" ref="B984">IF($A984="","",_xlfn.LET(_xlpm.p,IFERROR(INDEX(tblDados[País],MATCH($A984,TRIM(tblDados[Mandante]),0)),INDEX(tblDados[País],MATCH($A984,TRIM(tblDados[Visitante]),0))),_xlpm.l,IFERROR(INDEX(tblDados[Liga],MATCH($A984,TRIM(tblDados[Mandante]),0)),INDEX(tblDados[Liga],MATCH($A984,TRIM(tblDados[Visitante]),0))),_xlpm.p&amp;" - "&amp;_xlpm.l))</f>
        <v/>
      </c>
      <c r="C984" s="14" t="str">
        <f t="shared" si="249"/>
        <v/>
      </c>
      <c r="D984" s="14" t="str">
        <f t="shared" si="250"/>
        <v/>
      </c>
      <c r="E984" s="15" t="str" cm="1">
        <f t="array" ref="E984">IF($A984="","",SUMPRODUCT((TRIM(tblDados[Mandante])=$A984)*tblDados[Primeira_Ocorrencia]))</f>
        <v/>
      </c>
      <c r="F984" s="15" t="str" cm="1">
        <f t="array" ref="F984">IF($A984="","",SUMPRODUCT((TRIM(tblDados[Visitante])=$A984)*tblDados[Primeira_Ocorrencia]))</f>
        <v/>
      </c>
      <c r="G984" s="15" t="str" cm="1">
        <f t="array" ref="G984">IF($A984="","",SUMPRODUCT((TRIM(tblDados[Mandante])=$A984)*tblDados[Primeira_Ocorrencia])+SUMPRODUCT((TRIM(tblDados[Visitante])=$A984)*tblDados[Primeira_Ocorrencia]))</f>
        <v/>
      </c>
      <c r="H984" s="14" t="str">
        <f t="shared" si="251"/>
        <v/>
      </c>
      <c r="I984" s="14" t="str" cm="1">
        <f t="array" ref="I984">IF($A984="","",_xlfn.LET(_xlpm.p,IFERROR(INDEX(tblDados[País],MATCH($A984,TRIM(tblDados[Mandante]),0)),INDEX(tblDados[País],MATCH($A984,TRIM(tblDados[Visitante]),0))),_xlpm.l,IFERROR(INDEX(tblDados[Liga],MATCH($A984,TRIM(tblDados[Mandante]),0)),INDEX(tblDados[Liga],MATCH($A984,TRIM(tblDados[Visitante]),0))),IFERROR(SUMIFS(Ligas!$D$2:$D$39,Ligas!$H$2:$H$39,_xlpm.p,Ligas!$I$2:$I$39,_xlpm.l),0)))</f>
        <v/>
      </c>
      <c r="J984" s="16" t="str" cm="1">
        <f t="array" ref="J984">IF($A984="","",IFERROR((SUMPRODUCT((TRIM(tblDados[Mandante])=$A984)*tblDados[Primeira_Ocorrencia]*(tblDados[GM_M]=0))+SUMPRODUCT((TRIM(tblDados[Visitante])=$A984)*tblDados[Primeira_Ocorrencia]*(tblDados[GM_V]=0)))/G984,0))</f>
        <v/>
      </c>
      <c r="K984" s="16" t="str" cm="1">
        <f t="array" ref="K984">IF($A984="","",IFERROR((SUMPRODUCT((TRIM(tblDados[Mandante])=$A984)*tblDados[Primeira_Ocorrencia]*((tblDados[GM_M]+tblDados[GS_M])&gt;0.5))+SUMPRODUCT((TRIM(tblDados[Visitante])=$A984)*tblDados[Primeira_Ocorrencia]*((tblDados[GM_V]+tblDados[GS_V])&gt;0.5)))/G984,0))</f>
        <v/>
      </c>
      <c r="L984" s="16" t="str" cm="1">
        <f t="array" ref="L984">IF($A984="","",IFERROR((SUMPRODUCT((TRIM(tblDados[Mandante])=$A984)*tblDados[Primeira_Ocorrencia]*((tblDados[GM_M]+tblDados[GS_M])&gt;1.5))+SUMPRODUCT((TRIM(tblDados[Visitante])=$A984)*tblDados[Primeira_Ocorrencia]*((tblDados[GM_V]+tblDados[GS_V])&gt;1.5)))/G984,0))</f>
        <v/>
      </c>
      <c r="M984" s="16" t="str" cm="1">
        <f t="array" ref="M984">IF($A984="","",IFERROR((SUMPRODUCT((TRIM(tblDados[Mandante])=$A984)*tblDados[Primeira_Ocorrencia]*((tblDados[GM_M]+tblDados[GS_M])&gt;2.5))+SUMPRODUCT((TRIM(tblDados[Visitante])=$A984)*tblDados[Primeira_Ocorrencia]*((tblDados[GM_V]+tblDados[GS_V])&gt;2.5)))/G984,0))</f>
        <v/>
      </c>
      <c r="N984" s="16" t="str" cm="1">
        <f t="array" ref="N984">IF($A984="","",IFERROR((SUMPRODUCT((TRIM(tblDados[Mandante])=$A984)*tblDados[Primeira_Ocorrencia]*((tblDados[GM_M]+tblDados[GS_M])&gt;3.5))+SUMPRODUCT((TRIM(tblDados[Visitante])=$A984)*tblDados[Primeira_Ocorrencia]*((tblDados[GM_V]+tblDados[GS_V])&gt;3.5)))/G984,0))</f>
        <v/>
      </c>
      <c r="O984" s="16" t="str" cm="1">
        <f t="array" ref="O984">IF($A984="","",IFERROR((SUMPRODUCT((TRIM(tblDados[Mandante])=$A984)*tblDados[Primeira_Ocorrencia]*(tblDados[GM_M]&gt;0)*(tblDados[GS_M]&gt;0))+SUMPRODUCT((TRIM(tblDados[Visitante])=$A984)*tblDados[Primeira_Ocorrencia]*(tblDados[GM_V]&gt;0)*(tblDados[GS_V]&gt;0)))/G984,0))</f>
        <v/>
      </c>
      <c r="P984" s="14" t="str" cm="1">
        <f t="array" ref="P984">IF($A984="","",IFERROR((SUMPRODUCT((TRIM(tblDados[Mandante])=$A984)*tblDados[Primeira_Ocorrencia]*tblDados[GM_M]^2)+SUMPRODUCT((TRIM(tblDados[Visitante])=$A984)*tblDados[Primeira_Ocorrencia]*tblDados[GM_V]^2))/G984-H984^2,0))</f>
        <v/>
      </c>
      <c r="Q984" s="14" t="str">
        <f t="shared" si="252"/>
        <v/>
      </c>
      <c r="R984" s="1" t="str">
        <f t="shared" si="253"/>
        <v/>
      </c>
      <c r="S984" s="14" t="str" cm="1">
        <f t="array" ref="S984">IF($A984="","",SUMPRODUCT((TRIM(tblDados[Mandante])=$A984)*tblDados[Primeira_Ocorrencia]*tblDados[GM_M]))</f>
        <v/>
      </c>
      <c r="T984" s="14" t="str" cm="1">
        <f t="array" ref="T984">IF($A984="","",SUMPRODUCT((TRIM(tblDados[Visitante])=$A984)*tblDados[Primeira_Ocorrencia]*tblDados[GM_V]))</f>
        <v/>
      </c>
      <c r="U984" s="14" t="str">
        <f t="shared" si="254"/>
        <v/>
      </c>
      <c r="V984" s="14" t="str">
        <f t="shared" si="243"/>
        <v/>
      </c>
      <c r="W984" s="14" t="str" cm="1">
        <f t="array" ref="W984">IF($A984="","",SUMPRODUCT((TRIM(tblDados[Mandante])=$A984)*tblDados[Primeira_Ocorrencia]*tblDados[GS_M]))</f>
        <v/>
      </c>
      <c r="X984" s="14" t="str" cm="1">
        <f t="array" ref="X984">IF($A984="","",SUMPRODUCT((TRIM(tblDados[Visitante])=$A984)*tblDados[Primeira_Ocorrencia]*tblDados[GS_V]))</f>
        <v/>
      </c>
      <c r="Y984" s="14" t="str">
        <f t="shared" si="255"/>
        <v/>
      </c>
      <c r="Z984" s="14" t="str">
        <f t="shared" si="244"/>
        <v/>
      </c>
      <c r="AA984" s="14" t="str">
        <f t="shared" si="245"/>
        <v/>
      </c>
      <c r="AB984" s="14" t="str">
        <f t="shared" si="246"/>
        <v/>
      </c>
      <c r="AC984" s="14" t="str">
        <f t="shared" si="247"/>
        <v/>
      </c>
      <c r="AD984" s="14" t="str">
        <f t="shared" si="248"/>
        <v/>
      </c>
    </row>
    <row r="985" spans="2:30" x14ac:dyDescent="0.3">
      <c r="B985" s="13" t="str" cm="1">
        <f t="array" ref="B985">IF($A985="","",_xlfn.LET(_xlpm.p,IFERROR(INDEX(tblDados[País],MATCH($A985,TRIM(tblDados[Mandante]),0)),INDEX(tblDados[País],MATCH($A985,TRIM(tblDados[Visitante]),0))),_xlpm.l,IFERROR(INDEX(tblDados[Liga],MATCH($A985,TRIM(tblDados[Mandante]),0)),INDEX(tblDados[Liga],MATCH($A985,TRIM(tblDados[Visitante]),0))),_xlpm.p&amp;" - "&amp;_xlpm.l))</f>
        <v/>
      </c>
      <c r="C985" s="14" t="str">
        <f t="shared" si="249"/>
        <v/>
      </c>
      <c r="D985" s="14" t="str">
        <f t="shared" si="250"/>
        <v/>
      </c>
      <c r="E985" s="15" t="str" cm="1">
        <f t="array" ref="E985">IF($A985="","",SUMPRODUCT((TRIM(tblDados[Mandante])=$A985)*tblDados[Primeira_Ocorrencia]))</f>
        <v/>
      </c>
      <c r="F985" s="15" t="str" cm="1">
        <f t="array" ref="F985">IF($A985="","",SUMPRODUCT((TRIM(tblDados[Visitante])=$A985)*tblDados[Primeira_Ocorrencia]))</f>
        <v/>
      </c>
      <c r="G985" s="15" t="str" cm="1">
        <f t="array" ref="G985">IF($A985="","",SUMPRODUCT((TRIM(tblDados[Mandante])=$A985)*tblDados[Primeira_Ocorrencia])+SUMPRODUCT((TRIM(tblDados[Visitante])=$A985)*tblDados[Primeira_Ocorrencia]))</f>
        <v/>
      </c>
      <c r="H985" s="14" t="str">
        <f t="shared" si="251"/>
        <v/>
      </c>
      <c r="I985" s="14" t="str" cm="1">
        <f t="array" ref="I985">IF($A985="","",_xlfn.LET(_xlpm.p,IFERROR(INDEX(tblDados[País],MATCH($A985,TRIM(tblDados[Mandante]),0)),INDEX(tblDados[País],MATCH($A985,TRIM(tblDados[Visitante]),0))),_xlpm.l,IFERROR(INDEX(tblDados[Liga],MATCH($A985,TRIM(tblDados[Mandante]),0)),INDEX(tblDados[Liga],MATCH($A985,TRIM(tblDados[Visitante]),0))),IFERROR(SUMIFS(Ligas!$D$2:$D$39,Ligas!$H$2:$H$39,_xlpm.p,Ligas!$I$2:$I$39,_xlpm.l),0)))</f>
        <v/>
      </c>
      <c r="J985" s="16" t="str" cm="1">
        <f t="array" ref="J985">IF($A985="","",IFERROR((SUMPRODUCT((TRIM(tblDados[Mandante])=$A985)*tblDados[Primeira_Ocorrencia]*(tblDados[GM_M]=0))+SUMPRODUCT((TRIM(tblDados[Visitante])=$A985)*tblDados[Primeira_Ocorrencia]*(tblDados[GM_V]=0)))/G985,0))</f>
        <v/>
      </c>
      <c r="K985" s="16" t="str" cm="1">
        <f t="array" ref="K985">IF($A985="","",IFERROR((SUMPRODUCT((TRIM(tblDados[Mandante])=$A985)*tblDados[Primeira_Ocorrencia]*((tblDados[GM_M]+tblDados[GS_M])&gt;0.5))+SUMPRODUCT((TRIM(tblDados[Visitante])=$A985)*tblDados[Primeira_Ocorrencia]*((tblDados[GM_V]+tblDados[GS_V])&gt;0.5)))/G985,0))</f>
        <v/>
      </c>
      <c r="L985" s="16" t="str" cm="1">
        <f t="array" ref="L985">IF($A985="","",IFERROR((SUMPRODUCT((TRIM(tblDados[Mandante])=$A985)*tblDados[Primeira_Ocorrencia]*((tblDados[GM_M]+tblDados[GS_M])&gt;1.5))+SUMPRODUCT((TRIM(tblDados[Visitante])=$A985)*tblDados[Primeira_Ocorrencia]*((tblDados[GM_V]+tblDados[GS_V])&gt;1.5)))/G985,0))</f>
        <v/>
      </c>
      <c r="M985" s="16" t="str" cm="1">
        <f t="array" ref="M985">IF($A985="","",IFERROR((SUMPRODUCT((TRIM(tblDados[Mandante])=$A985)*tblDados[Primeira_Ocorrencia]*((tblDados[GM_M]+tblDados[GS_M])&gt;2.5))+SUMPRODUCT((TRIM(tblDados[Visitante])=$A985)*tblDados[Primeira_Ocorrencia]*((tblDados[GM_V]+tblDados[GS_V])&gt;2.5)))/G985,0))</f>
        <v/>
      </c>
      <c r="N985" s="16" t="str" cm="1">
        <f t="array" ref="N985">IF($A985="","",IFERROR((SUMPRODUCT((TRIM(tblDados[Mandante])=$A985)*tblDados[Primeira_Ocorrencia]*((tblDados[GM_M]+tblDados[GS_M])&gt;3.5))+SUMPRODUCT((TRIM(tblDados[Visitante])=$A985)*tblDados[Primeira_Ocorrencia]*((tblDados[GM_V]+tblDados[GS_V])&gt;3.5)))/G985,0))</f>
        <v/>
      </c>
      <c r="O985" s="16" t="str" cm="1">
        <f t="array" ref="O985">IF($A985="","",IFERROR((SUMPRODUCT((TRIM(tblDados[Mandante])=$A985)*tblDados[Primeira_Ocorrencia]*(tblDados[GM_M]&gt;0)*(tblDados[GS_M]&gt;0))+SUMPRODUCT((TRIM(tblDados[Visitante])=$A985)*tblDados[Primeira_Ocorrencia]*(tblDados[GM_V]&gt;0)*(tblDados[GS_V]&gt;0)))/G985,0))</f>
        <v/>
      </c>
      <c r="P985" s="14" t="str" cm="1">
        <f t="array" ref="P985">IF($A985="","",IFERROR((SUMPRODUCT((TRIM(tblDados[Mandante])=$A985)*tblDados[Primeira_Ocorrencia]*tblDados[GM_M]^2)+SUMPRODUCT((TRIM(tblDados[Visitante])=$A985)*tblDados[Primeira_Ocorrencia]*tblDados[GM_V]^2))/G985-H985^2,0))</f>
        <v/>
      </c>
      <c r="Q985" s="14" t="str">
        <f t="shared" si="252"/>
        <v/>
      </c>
      <c r="R985" s="1" t="str">
        <f t="shared" si="253"/>
        <v/>
      </c>
      <c r="S985" s="14" t="str" cm="1">
        <f t="array" ref="S985">IF($A985="","",SUMPRODUCT((TRIM(tblDados[Mandante])=$A985)*tblDados[Primeira_Ocorrencia]*tblDados[GM_M]))</f>
        <v/>
      </c>
      <c r="T985" s="14" t="str" cm="1">
        <f t="array" ref="T985">IF($A985="","",SUMPRODUCT((TRIM(tblDados[Visitante])=$A985)*tblDados[Primeira_Ocorrencia]*tblDados[GM_V]))</f>
        <v/>
      </c>
      <c r="U985" s="14" t="str">
        <f t="shared" si="254"/>
        <v/>
      </c>
      <c r="V985" s="14" t="str">
        <f t="shared" si="243"/>
        <v/>
      </c>
      <c r="W985" s="14" t="str" cm="1">
        <f t="array" ref="W985">IF($A985="","",SUMPRODUCT((TRIM(tblDados[Mandante])=$A985)*tblDados[Primeira_Ocorrencia]*tblDados[GS_M]))</f>
        <v/>
      </c>
      <c r="X985" s="14" t="str" cm="1">
        <f t="array" ref="X985">IF($A985="","",SUMPRODUCT((TRIM(tblDados[Visitante])=$A985)*tblDados[Primeira_Ocorrencia]*tblDados[GS_V]))</f>
        <v/>
      </c>
      <c r="Y985" s="14" t="str">
        <f t="shared" si="255"/>
        <v/>
      </c>
      <c r="Z985" s="14" t="str">
        <f t="shared" si="244"/>
        <v/>
      </c>
      <c r="AA985" s="14" t="str">
        <f t="shared" si="245"/>
        <v/>
      </c>
      <c r="AB985" s="14" t="str">
        <f t="shared" si="246"/>
        <v/>
      </c>
      <c r="AC985" s="14" t="str">
        <f t="shared" si="247"/>
        <v/>
      </c>
      <c r="AD985" s="14" t="str">
        <f t="shared" si="248"/>
        <v/>
      </c>
    </row>
    <row r="986" spans="2:30" x14ac:dyDescent="0.3">
      <c r="B986" s="13" t="str" cm="1">
        <f t="array" ref="B986">IF($A986="","",_xlfn.LET(_xlpm.p,IFERROR(INDEX(tblDados[País],MATCH($A986,TRIM(tblDados[Mandante]),0)),INDEX(tblDados[País],MATCH($A986,TRIM(tblDados[Visitante]),0))),_xlpm.l,IFERROR(INDEX(tblDados[Liga],MATCH($A986,TRIM(tblDados[Mandante]),0)),INDEX(tblDados[Liga],MATCH($A986,TRIM(tblDados[Visitante]),0))),_xlpm.p&amp;" - "&amp;_xlpm.l))</f>
        <v/>
      </c>
      <c r="C986" s="14" t="str">
        <f t="shared" si="249"/>
        <v/>
      </c>
      <c r="D986" s="14" t="str">
        <f t="shared" si="250"/>
        <v/>
      </c>
      <c r="E986" s="15" t="str" cm="1">
        <f t="array" ref="E986">IF($A986="","",SUMPRODUCT((TRIM(tblDados[Mandante])=$A986)*tblDados[Primeira_Ocorrencia]))</f>
        <v/>
      </c>
      <c r="F986" s="15" t="str" cm="1">
        <f t="array" ref="F986">IF($A986="","",SUMPRODUCT((TRIM(tblDados[Visitante])=$A986)*tblDados[Primeira_Ocorrencia]))</f>
        <v/>
      </c>
      <c r="G986" s="15" t="str" cm="1">
        <f t="array" ref="G986">IF($A986="","",SUMPRODUCT((TRIM(tblDados[Mandante])=$A986)*tblDados[Primeira_Ocorrencia])+SUMPRODUCT((TRIM(tblDados[Visitante])=$A986)*tblDados[Primeira_Ocorrencia]))</f>
        <v/>
      </c>
      <c r="H986" s="14" t="str">
        <f t="shared" si="251"/>
        <v/>
      </c>
      <c r="I986" s="14" t="str" cm="1">
        <f t="array" ref="I986">IF($A986="","",_xlfn.LET(_xlpm.p,IFERROR(INDEX(tblDados[País],MATCH($A986,TRIM(tblDados[Mandante]),0)),INDEX(tblDados[País],MATCH($A986,TRIM(tblDados[Visitante]),0))),_xlpm.l,IFERROR(INDEX(tblDados[Liga],MATCH($A986,TRIM(tblDados[Mandante]),0)),INDEX(tblDados[Liga],MATCH($A986,TRIM(tblDados[Visitante]),0))),IFERROR(SUMIFS(Ligas!$D$2:$D$39,Ligas!$H$2:$H$39,_xlpm.p,Ligas!$I$2:$I$39,_xlpm.l),0)))</f>
        <v/>
      </c>
      <c r="J986" s="16" t="str" cm="1">
        <f t="array" ref="J986">IF($A986="","",IFERROR((SUMPRODUCT((TRIM(tblDados[Mandante])=$A986)*tblDados[Primeira_Ocorrencia]*(tblDados[GM_M]=0))+SUMPRODUCT((TRIM(tblDados[Visitante])=$A986)*tblDados[Primeira_Ocorrencia]*(tblDados[GM_V]=0)))/G986,0))</f>
        <v/>
      </c>
      <c r="K986" s="16" t="str" cm="1">
        <f t="array" ref="K986">IF($A986="","",IFERROR((SUMPRODUCT((TRIM(tblDados[Mandante])=$A986)*tblDados[Primeira_Ocorrencia]*((tblDados[GM_M]+tblDados[GS_M])&gt;0.5))+SUMPRODUCT((TRIM(tblDados[Visitante])=$A986)*tblDados[Primeira_Ocorrencia]*((tblDados[GM_V]+tblDados[GS_V])&gt;0.5)))/G986,0))</f>
        <v/>
      </c>
      <c r="L986" s="16" t="str" cm="1">
        <f t="array" ref="L986">IF($A986="","",IFERROR((SUMPRODUCT((TRIM(tblDados[Mandante])=$A986)*tblDados[Primeira_Ocorrencia]*((tblDados[GM_M]+tblDados[GS_M])&gt;1.5))+SUMPRODUCT((TRIM(tblDados[Visitante])=$A986)*tblDados[Primeira_Ocorrencia]*((tblDados[GM_V]+tblDados[GS_V])&gt;1.5)))/G986,0))</f>
        <v/>
      </c>
      <c r="M986" s="16" t="str" cm="1">
        <f t="array" ref="M986">IF($A986="","",IFERROR((SUMPRODUCT((TRIM(tblDados[Mandante])=$A986)*tblDados[Primeira_Ocorrencia]*((tblDados[GM_M]+tblDados[GS_M])&gt;2.5))+SUMPRODUCT((TRIM(tblDados[Visitante])=$A986)*tblDados[Primeira_Ocorrencia]*((tblDados[GM_V]+tblDados[GS_V])&gt;2.5)))/G986,0))</f>
        <v/>
      </c>
      <c r="N986" s="16" t="str" cm="1">
        <f t="array" ref="N986">IF($A986="","",IFERROR((SUMPRODUCT((TRIM(tblDados[Mandante])=$A986)*tblDados[Primeira_Ocorrencia]*((tblDados[GM_M]+tblDados[GS_M])&gt;3.5))+SUMPRODUCT((TRIM(tblDados[Visitante])=$A986)*tblDados[Primeira_Ocorrencia]*((tblDados[GM_V]+tblDados[GS_V])&gt;3.5)))/G986,0))</f>
        <v/>
      </c>
      <c r="O986" s="16" t="str" cm="1">
        <f t="array" ref="O986">IF($A986="","",IFERROR((SUMPRODUCT((TRIM(tblDados[Mandante])=$A986)*tblDados[Primeira_Ocorrencia]*(tblDados[GM_M]&gt;0)*(tblDados[GS_M]&gt;0))+SUMPRODUCT((TRIM(tblDados[Visitante])=$A986)*tblDados[Primeira_Ocorrencia]*(tblDados[GM_V]&gt;0)*(tblDados[GS_V]&gt;0)))/G986,0))</f>
        <v/>
      </c>
      <c r="P986" s="14" t="str" cm="1">
        <f t="array" ref="P986">IF($A986="","",IFERROR((SUMPRODUCT((TRIM(tblDados[Mandante])=$A986)*tblDados[Primeira_Ocorrencia]*tblDados[GM_M]^2)+SUMPRODUCT((TRIM(tblDados[Visitante])=$A986)*tblDados[Primeira_Ocorrencia]*tblDados[GM_V]^2))/G986-H986^2,0))</f>
        <v/>
      </c>
      <c r="Q986" s="14" t="str">
        <f t="shared" si="252"/>
        <v/>
      </c>
      <c r="R986" s="1" t="str">
        <f t="shared" si="253"/>
        <v/>
      </c>
      <c r="S986" s="14" t="str" cm="1">
        <f t="array" ref="S986">IF($A986="","",SUMPRODUCT((TRIM(tblDados[Mandante])=$A986)*tblDados[Primeira_Ocorrencia]*tblDados[GM_M]))</f>
        <v/>
      </c>
      <c r="T986" s="14" t="str" cm="1">
        <f t="array" ref="T986">IF($A986="","",SUMPRODUCT((TRIM(tblDados[Visitante])=$A986)*tblDados[Primeira_Ocorrencia]*tblDados[GM_V]))</f>
        <v/>
      </c>
      <c r="U986" s="14" t="str">
        <f t="shared" si="254"/>
        <v/>
      </c>
      <c r="V986" s="14" t="str">
        <f t="shared" si="243"/>
        <v/>
      </c>
      <c r="W986" s="14" t="str" cm="1">
        <f t="array" ref="W986">IF($A986="","",SUMPRODUCT((TRIM(tblDados[Mandante])=$A986)*tblDados[Primeira_Ocorrencia]*tblDados[GS_M]))</f>
        <v/>
      </c>
      <c r="X986" s="14" t="str" cm="1">
        <f t="array" ref="X986">IF($A986="","",SUMPRODUCT((TRIM(tblDados[Visitante])=$A986)*tblDados[Primeira_Ocorrencia]*tblDados[GS_V]))</f>
        <v/>
      </c>
      <c r="Y986" s="14" t="str">
        <f t="shared" si="255"/>
        <v/>
      </c>
      <c r="Z986" s="14" t="str">
        <f t="shared" si="244"/>
        <v/>
      </c>
      <c r="AA986" s="14" t="str">
        <f t="shared" si="245"/>
        <v/>
      </c>
      <c r="AB986" s="14" t="str">
        <f t="shared" si="246"/>
        <v/>
      </c>
      <c r="AC986" s="14" t="str">
        <f t="shared" si="247"/>
        <v/>
      </c>
      <c r="AD986" s="14" t="str">
        <f t="shared" si="248"/>
        <v/>
      </c>
    </row>
    <row r="987" spans="2:30" x14ac:dyDescent="0.3">
      <c r="B987" s="13" t="str" cm="1">
        <f t="array" ref="B987">IF($A987="","",_xlfn.LET(_xlpm.p,IFERROR(INDEX(tblDados[País],MATCH($A987,TRIM(tblDados[Mandante]),0)),INDEX(tblDados[País],MATCH($A987,TRIM(tblDados[Visitante]),0))),_xlpm.l,IFERROR(INDEX(tblDados[Liga],MATCH($A987,TRIM(tblDados[Mandante]),0)),INDEX(tblDados[Liga],MATCH($A987,TRIM(tblDados[Visitante]),0))),_xlpm.p&amp;" - "&amp;_xlpm.l))</f>
        <v/>
      </c>
      <c r="C987" s="14" t="str">
        <f t="shared" si="249"/>
        <v/>
      </c>
      <c r="D987" s="14" t="str">
        <f t="shared" si="250"/>
        <v/>
      </c>
      <c r="E987" s="15" t="str" cm="1">
        <f t="array" ref="E987">IF($A987="","",SUMPRODUCT((TRIM(tblDados[Mandante])=$A987)*tblDados[Primeira_Ocorrencia]))</f>
        <v/>
      </c>
      <c r="F987" s="15" t="str" cm="1">
        <f t="array" ref="F987">IF($A987="","",SUMPRODUCT((TRIM(tblDados[Visitante])=$A987)*tblDados[Primeira_Ocorrencia]))</f>
        <v/>
      </c>
      <c r="G987" s="15" t="str" cm="1">
        <f t="array" ref="G987">IF($A987="","",SUMPRODUCT((TRIM(tblDados[Mandante])=$A987)*tblDados[Primeira_Ocorrencia])+SUMPRODUCT((TRIM(tblDados[Visitante])=$A987)*tblDados[Primeira_Ocorrencia]))</f>
        <v/>
      </c>
      <c r="H987" s="14" t="str">
        <f t="shared" si="251"/>
        <v/>
      </c>
      <c r="I987" s="14" t="str" cm="1">
        <f t="array" ref="I987">IF($A987="","",_xlfn.LET(_xlpm.p,IFERROR(INDEX(tblDados[País],MATCH($A987,TRIM(tblDados[Mandante]),0)),INDEX(tblDados[País],MATCH($A987,TRIM(tblDados[Visitante]),0))),_xlpm.l,IFERROR(INDEX(tblDados[Liga],MATCH($A987,TRIM(tblDados[Mandante]),0)),INDEX(tblDados[Liga],MATCH($A987,TRIM(tblDados[Visitante]),0))),IFERROR(SUMIFS(Ligas!$D$2:$D$39,Ligas!$H$2:$H$39,_xlpm.p,Ligas!$I$2:$I$39,_xlpm.l),0)))</f>
        <v/>
      </c>
      <c r="J987" s="16" t="str" cm="1">
        <f t="array" ref="J987">IF($A987="","",IFERROR((SUMPRODUCT((TRIM(tblDados[Mandante])=$A987)*tblDados[Primeira_Ocorrencia]*(tblDados[GM_M]=0))+SUMPRODUCT((TRIM(tblDados[Visitante])=$A987)*tblDados[Primeira_Ocorrencia]*(tblDados[GM_V]=0)))/G987,0))</f>
        <v/>
      </c>
      <c r="K987" s="16" t="str" cm="1">
        <f t="array" ref="K987">IF($A987="","",IFERROR((SUMPRODUCT((TRIM(tblDados[Mandante])=$A987)*tblDados[Primeira_Ocorrencia]*((tblDados[GM_M]+tblDados[GS_M])&gt;0.5))+SUMPRODUCT((TRIM(tblDados[Visitante])=$A987)*tblDados[Primeira_Ocorrencia]*((tblDados[GM_V]+tblDados[GS_V])&gt;0.5)))/G987,0))</f>
        <v/>
      </c>
      <c r="L987" s="16" t="str" cm="1">
        <f t="array" ref="L987">IF($A987="","",IFERROR((SUMPRODUCT((TRIM(tblDados[Mandante])=$A987)*tblDados[Primeira_Ocorrencia]*((tblDados[GM_M]+tblDados[GS_M])&gt;1.5))+SUMPRODUCT((TRIM(tblDados[Visitante])=$A987)*tblDados[Primeira_Ocorrencia]*((tblDados[GM_V]+tblDados[GS_V])&gt;1.5)))/G987,0))</f>
        <v/>
      </c>
      <c r="M987" s="16" t="str" cm="1">
        <f t="array" ref="M987">IF($A987="","",IFERROR((SUMPRODUCT((TRIM(tblDados[Mandante])=$A987)*tblDados[Primeira_Ocorrencia]*((tblDados[GM_M]+tblDados[GS_M])&gt;2.5))+SUMPRODUCT((TRIM(tblDados[Visitante])=$A987)*tblDados[Primeira_Ocorrencia]*((tblDados[GM_V]+tblDados[GS_V])&gt;2.5)))/G987,0))</f>
        <v/>
      </c>
      <c r="N987" s="16" t="str" cm="1">
        <f t="array" ref="N987">IF($A987="","",IFERROR((SUMPRODUCT((TRIM(tblDados[Mandante])=$A987)*tblDados[Primeira_Ocorrencia]*((tblDados[GM_M]+tblDados[GS_M])&gt;3.5))+SUMPRODUCT((TRIM(tblDados[Visitante])=$A987)*tblDados[Primeira_Ocorrencia]*((tblDados[GM_V]+tblDados[GS_V])&gt;3.5)))/G987,0))</f>
        <v/>
      </c>
      <c r="O987" s="16" t="str" cm="1">
        <f t="array" ref="O987">IF($A987="","",IFERROR((SUMPRODUCT((TRIM(tblDados[Mandante])=$A987)*tblDados[Primeira_Ocorrencia]*(tblDados[GM_M]&gt;0)*(tblDados[GS_M]&gt;0))+SUMPRODUCT((TRIM(tblDados[Visitante])=$A987)*tblDados[Primeira_Ocorrencia]*(tblDados[GM_V]&gt;0)*(tblDados[GS_V]&gt;0)))/G987,0))</f>
        <v/>
      </c>
      <c r="P987" s="14" t="str" cm="1">
        <f t="array" ref="P987">IF($A987="","",IFERROR((SUMPRODUCT((TRIM(tblDados[Mandante])=$A987)*tblDados[Primeira_Ocorrencia]*tblDados[GM_M]^2)+SUMPRODUCT((TRIM(tblDados[Visitante])=$A987)*tblDados[Primeira_Ocorrencia]*tblDados[GM_V]^2))/G987-H987^2,0))</f>
        <v/>
      </c>
      <c r="Q987" s="14" t="str">
        <f t="shared" si="252"/>
        <v/>
      </c>
      <c r="R987" s="1" t="str">
        <f t="shared" si="253"/>
        <v/>
      </c>
      <c r="S987" s="14" t="str" cm="1">
        <f t="array" ref="S987">IF($A987="","",SUMPRODUCT((TRIM(tblDados[Mandante])=$A987)*tblDados[Primeira_Ocorrencia]*tblDados[GM_M]))</f>
        <v/>
      </c>
      <c r="T987" s="14" t="str" cm="1">
        <f t="array" ref="T987">IF($A987="","",SUMPRODUCT((TRIM(tblDados[Visitante])=$A987)*tblDados[Primeira_Ocorrencia]*tblDados[GM_V]))</f>
        <v/>
      </c>
      <c r="U987" s="14" t="str">
        <f t="shared" si="254"/>
        <v/>
      </c>
      <c r="V987" s="14" t="str">
        <f t="shared" si="243"/>
        <v/>
      </c>
      <c r="W987" s="14" t="str" cm="1">
        <f t="array" ref="W987">IF($A987="","",SUMPRODUCT((TRIM(tblDados[Mandante])=$A987)*tblDados[Primeira_Ocorrencia]*tblDados[GS_M]))</f>
        <v/>
      </c>
      <c r="X987" s="14" t="str" cm="1">
        <f t="array" ref="X987">IF($A987="","",SUMPRODUCT((TRIM(tblDados[Visitante])=$A987)*tblDados[Primeira_Ocorrencia]*tblDados[GS_V]))</f>
        <v/>
      </c>
      <c r="Y987" s="14" t="str">
        <f t="shared" si="255"/>
        <v/>
      </c>
      <c r="Z987" s="14" t="str">
        <f t="shared" si="244"/>
        <v/>
      </c>
      <c r="AA987" s="14" t="str">
        <f t="shared" si="245"/>
        <v/>
      </c>
      <c r="AB987" s="14" t="str">
        <f t="shared" si="246"/>
        <v/>
      </c>
      <c r="AC987" s="14" t="str">
        <f t="shared" si="247"/>
        <v/>
      </c>
      <c r="AD987" s="14" t="str">
        <f t="shared" si="248"/>
        <v/>
      </c>
    </row>
    <row r="988" spans="2:30" x14ac:dyDescent="0.3">
      <c r="B988" s="13" t="str" cm="1">
        <f t="array" ref="B988">IF($A988="","",_xlfn.LET(_xlpm.p,IFERROR(INDEX(tblDados[País],MATCH($A988,TRIM(tblDados[Mandante]),0)),INDEX(tblDados[País],MATCH($A988,TRIM(tblDados[Visitante]),0))),_xlpm.l,IFERROR(INDEX(tblDados[Liga],MATCH($A988,TRIM(tblDados[Mandante]),0)),INDEX(tblDados[Liga],MATCH($A988,TRIM(tblDados[Visitante]),0))),_xlpm.p&amp;" - "&amp;_xlpm.l))</f>
        <v/>
      </c>
      <c r="C988" s="14" t="str">
        <f t="shared" si="249"/>
        <v/>
      </c>
      <c r="D988" s="14" t="str">
        <f t="shared" si="250"/>
        <v/>
      </c>
      <c r="E988" s="15" t="str" cm="1">
        <f t="array" ref="E988">IF($A988="","",SUMPRODUCT((TRIM(tblDados[Mandante])=$A988)*tblDados[Primeira_Ocorrencia]))</f>
        <v/>
      </c>
      <c r="F988" s="15" t="str" cm="1">
        <f t="array" ref="F988">IF($A988="","",SUMPRODUCT((TRIM(tblDados[Visitante])=$A988)*tblDados[Primeira_Ocorrencia]))</f>
        <v/>
      </c>
      <c r="G988" s="15" t="str" cm="1">
        <f t="array" ref="G988">IF($A988="","",SUMPRODUCT((TRIM(tblDados[Mandante])=$A988)*tblDados[Primeira_Ocorrencia])+SUMPRODUCT((TRIM(tblDados[Visitante])=$A988)*tblDados[Primeira_Ocorrencia]))</f>
        <v/>
      </c>
      <c r="H988" s="14" t="str">
        <f t="shared" si="251"/>
        <v/>
      </c>
      <c r="I988" s="14" t="str" cm="1">
        <f t="array" ref="I988">IF($A988="","",_xlfn.LET(_xlpm.p,IFERROR(INDEX(tblDados[País],MATCH($A988,TRIM(tblDados[Mandante]),0)),INDEX(tblDados[País],MATCH($A988,TRIM(tblDados[Visitante]),0))),_xlpm.l,IFERROR(INDEX(tblDados[Liga],MATCH($A988,TRIM(tblDados[Mandante]),0)),INDEX(tblDados[Liga],MATCH($A988,TRIM(tblDados[Visitante]),0))),IFERROR(SUMIFS(Ligas!$D$2:$D$39,Ligas!$H$2:$H$39,_xlpm.p,Ligas!$I$2:$I$39,_xlpm.l),0)))</f>
        <v/>
      </c>
      <c r="J988" s="16" t="str" cm="1">
        <f t="array" ref="J988">IF($A988="","",IFERROR((SUMPRODUCT((TRIM(tblDados[Mandante])=$A988)*tblDados[Primeira_Ocorrencia]*(tblDados[GM_M]=0))+SUMPRODUCT((TRIM(tblDados[Visitante])=$A988)*tblDados[Primeira_Ocorrencia]*(tblDados[GM_V]=0)))/G988,0))</f>
        <v/>
      </c>
      <c r="K988" s="16" t="str" cm="1">
        <f t="array" ref="K988">IF($A988="","",IFERROR((SUMPRODUCT((TRIM(tblDados[Mandante])=$A988)*tblDados[Primeira_Ocorrencia]*((tblDados[GM_M]+tblDados[GS_M])&gt;0.5))+SUMPRODUCT((TRIM(tblDados[Visitante])=$A988)*tblDados[Primeira_Ocorrencia]*((tblDados[GM_V]+tblDados[GS_V])&gt;0.5)))/G988,0))</f>
        <v/>
      </c>
      <c r="L988" s="16" t="str" cm="1">
        <f t="array" ref="L988">IF($A988="","",IFERROR((SUMPRODUCT((TRIM(tblDados[Mandante])=$A988)*tblDados[Primeira_Ocorrencia]*((tblDados[GM_M]+tblDados[GS_M])&gt;1.5))+SUMPRODUCT((TRIM(tblDados[Visitante])=$A988)*tblDados[Primeira_Ocorrencia]*((tblDados[GM_V]+tblDados[GS_V])&gt;1.5)))/G988,0))</f>
        <v/>
      </c>
      <c r="M988" s="16" t="str" cm="1">
        <f t="array" ref="M988">IF($A988="","",IFERROR((SUMPRODUCT((TRIM(tblDados[Mandante])=$A988)*tblDados[Primeira_Ocorrencia]*((tblDados[GM_M]+tblDados[GS_M])&gt;2.5))+SUMPRODUCT((TRIM(tblDados[Visitante])=$A988)*tblDados[Primeira_Ocorrencia]*((tblDados[GM_V]+tblDados[GS_V])&gt;2.5)))/G988,0))</f>
        <v/>
      </c>
      <c r="N988" s="16" t="str" cm="1">
        <f t="array" ref="N988">IF($A988="","",IFERROR((SUMPRODUCT((TRIM(tblDados[Mandante])=$A988)*tblDados[Primeira_Ocorrencia]*((tblDados[GM_M]+tblDados[GS_M])&gt;3.5))+SUMPRODUCT((TRIM(tblDados[Visitante])=$A988)*tblDados[Primeira_Ocorrencia]*((tblDados[GM_V]+tblDados[GS_V])&gt;3.5)))/G988,0))</f>
        <v/>
      </c>
      <c r="O988" s="16" t="str" cm="1">
        <f t="array" ref="O988">IF($A988="","",IFERROR((SUMPRODUCT((TRIM(tblDados[Mandante])=$A988)*tblDados[Primeira_Ocorrencia]*(tblDados[GM_M]&gt;0)*(tblDados[GS_M]&gt;0))+SUMPRODUCT((TRIM(tblDados[Visitante])=$A988)*tblDados[Primeira_Ocorrencia]*(tblDados[GM_V]&gt;0)*(tblDados[GS_V]&gt;0)))/G988,0))</f>
        <v/>
      </c>
      <c r="P988" s="14" t="str" cm="1">
        <f t="array" ref="P988">IF($A988="","",IFERROR((SUMPRODUCT((TRIM(tblDados[Mandante])=$A988)*tblDados[Primeira_Ocorrencia]*tblDados[GM_M]^2)+SUMPRODUCT((TRIM(tblDados[Visitante])=$A988)*tblDados[Primeira_Ocorrencia]*tblDados[GM_V]^2))/G988-H988^2,0))</f>
        <v/>
      </c>
      <c r="Q988" s="14" t="str">
        <f t="shared" si="252"/>
        <v/>
      </c>
      <c r="R988" s="1" t="str">
        <f t="shared" si="253"/>
        <v/>
      </c>
      <c r="S988" s="14" t="str" cm="1">
        <f t="array" ref="S988">IF($A988="","",SUMPRODUCT((TRIM(tblDados[Mandante])=$A988)*tblDados[Primeira_Ocorrencia]*tblDados[GM_M]))</f>
        <v/>
      </c>
      <c r="T988" s="14" t="str" cm="1">
        <f t="array" ref="T988">IF($A988="","",SUMPRODUCT((TRIM(tblDados[Visitante])=$A988)*tblDados[Primeira_Ocorrencia]*tblDados[GM_V]))</f>
        <v/>
      </c>
      <c r="U988" s="14" t="str">
        <f t="shared" si="254"/>
        <v/>
      </c>
      <c r="V988" s="14" t="str">
        <f t="shared" si="243"/>
        <v/>
      </c>
      <c r="W988" s="14" t="str" cm="1">
        <f t="array" ref="W988">IF($A988="","",SUMPRODUCT((TRIM(tblDados[Mandante])=$A988)*tblDados[Primeira_Ocorrencia]*tblDados[GS_M]))</f>
        <v/>
      </c>
      <c r="X988" s="14" t="str" cm="1">
        <f t="array" ref="X988">IF($A988="","",SUMPRODUCT((TRIM(tblDados[Visitante])=$A988)*tblDados[Primeira_Ocorrencia]*tblDados[GS_V]))</f>
        <v/>
      </c>
      <c r="Y988" s="14" t="str">
        <f t="shared" si="255"/>
        <v/>
      </c>
      <c r="Z988" s="14" t="str">
        <f t="shared" si="244"/>
        <v/>
      </c>
      <c r="AA988" s="14" t="str">
        <f t="shared" si="245"/>
        <v/>
      </c>
      <c r="AB988" s="14" t="str">
        <f t="shared" si="246"/>
        <v/>
      </c>
      <c r="AC988" s="14" t="str">
        <f t="shared" si="247"/>
        <v/>
      </c>
      <c r="AD988" s="14" t="str">
        <f t="shared" si="248"/>
        <v/>
      </c>
    </row>
    <row r="989" spans="2:30" x14ac:dyDescent="0.3">
      <c r="B989" s="13" t="str" cm="1">
        <f t="array" ref="B989">IF($A989="","",_xlfn.LET(_xlpm.p,IFERROR(INDEX(tblDados[País],MATCH($A989,TRIM(tblDados[Mandante]),0)),INDEX(tblDados[País],MATCH($A989,TRIM(tblDados[Visitante]),0))),_xlpm.l,IFERROR(INDEX(tblDados[Liga],MATCH($A989,TRIM(tblDados[Mandante]),0)),INDEX(tblDados[Liga],MATCH($A989,TRIM(tblDados[Visitante]),0))),_xlpm.p&amp;" - "&amp;_xlpm.l))</f>
        <v/>
      </c>
      <c r="C989" s="14" t="str">
        <f t="shared" si="249"/>
        <v/>
      </c>
      <c r="D989" s="14" t="str">
        <f t="shared" si="250"/>
        <v/>
      </c>
      <c r="E989" s="15" t="str" cm="1">
        <f t="array" ref="E989">IF($A989="","",SUMPRODUCT((TRIM(tblDados[Mandante])=$A989)*tblDados[Primeira_Ocorrencia]))</f>
        <v/>
      </c>
      <c r="F989" s="15" t="str" cm="1">
        <f t="array" ref="F989">IF($A989="","",SUMPRODUCT((TRIM(tblDados[Visitante])=$A989)*tblDados[Primeira_Ocorrencia]))</f>
        <v/>
      </c>
      <c r="G989" s="15" t="str" cm="1">
        <f t="array" ref="G989">IF($A989="","",SUMPRODUCT((TRIM(tblDados[Mandante])=$A989)*tblDados[Primeira_Ocorrencia])+SUMPRODUCT((TRIM(tblDados[Visitante])=$A989)*tblDados[Primeira_Ocorrencia]))</f>
        <v/>
      </c>
      <c r="H989" s="14" t="str">
        <f t="shared" si="251"/>
        <v/>
      </c>
      <c r="I989" s="14" t="str" cm="1">
        <f t="array" ref="I989">IF($A989="","",_xlfn.LET(_xlpm.p,IFERROR(INDEX(tblDados[País],MATCH($A989,TRIM(tblDados[Mandante]),0)),INDEX(tblDados[País],MATCH($A989,TRIM(tblDados[Visitante]),0))),_xlpm.l,IFERROR(INDEX(tblDados[Liga],MATCH($A989,TRIM(tblDados[Mandante]),0)),INDEX(tblDados[Liga],MATCH($A989,TRIM(tblDados[Visitante]),0))),IFERROR(SUMIFS(Ligas!$D$2:$D$39,Ligas!$H$2:$H$39,_xlpm.p,Ligas!$I$2:$I$39,_xlpm.l),0)))</f>
        <v/>
      </c>
      <c r="J989" s="16" t="str" cm="1">
        <f t="array" ref="J989">IF($A989="","",IFERROR((SUMPRODUCT((TRIM(tblDados[Mandante])=$A989)*tblDados[Primeira_Ocorrencia]*(tblDados[GM_M]=0))+SUMPRODUCT((TRIM(tblDados[Visitante])=$A989)*tblDados[Primeira_Ocorrencia]*(tblDados[GM_V]=0)))/G989,0))</f>
        <v/>
      </c>
      <c r="K989" s="16" t="str" cm="1">
        <f t="array" ref="K989">IF($A989="","",IFERROR((SUMPRODUCT((TRIM(tblDados[Mandante])=$A989)*tblDados[Primeira_Ocorrencia]*((tblDados[GM_M]+tblDados[GS_M])&gt;0.5))+SUMPRODUCT((TRIM(tblDados[Visitante])=$A989)*tblDados[Primeira_Ocorrencia]*((tblDados[GM_V]+tblDados[GS_V])&gt;0.5)))/G989,0))</f>
        <v/>
      </c>
      <c r="L989" s="16" t="str" cm="1">
        <f t="array" ref="L989">IF($A989="","",IFERROR((SUMPRODUCT((TRIM(tblDados[Mandante])=$A989)*tblDados[Primeira_Ocorrencia]*((tblDados[GM_M]+tblDados[GS_M])&gt;1.5))+SUMPRODUCT((TRIM(tblDados[Visitante])=$A989)*tblDados[Primeira_Ocorrencia]*((tblDados[GM_V]+tblDados[GS_V])&gt;1.5)))/G989,0))</f>
        <v/>
      </c>
      <c r="M989" s="16" t="str" cm="1">
        <f t="array" ref="M989">IF($A989="","",IFERROR((SUMPRODUCT((TRIM(tblDados[Mandante])=$A989)*tblDados[Primeira_Ocorrencia]*((tblDados[GM_M]+tblDados[GS_M])&gt;2.5))+SUMPRODUCT((TRIM(tblDados[Visitante])=$A989)*tblDados[Primeira_Ocorrencia]*((tblDados[GM_V]+tblDados[GS_V])&gt;2.5)))/G989,0))</f>
        <v/>
      </c>
      <c r="N989" s="16" t="str" cm="1">
        <f t="array" ref="N989">IF($A989="","",IFERROR((SUMPRODUCT((TRIM(tblDados[Mandante])=$A989)*tblDados[Primeira_Ocorrencia]*((tblDados[GM_M]+tblDados[GS_M])&gt;3.5))+SUMPRODUCT((TRIM(tblDados[Visitante])=$A989)*tblDados[Primeira_Ocorrencia]*((tblDados[GM_V]+tblDados[GS_V])&gt;3.5)))/G989,0))</f>
        <v/>
      </c>
      <c r="O989" s="16" t="str" cm="1">
        <f t="array" ref="O989">IF($A989="","",IFERROR((SUMPRODUCT((TRIM(tblDados[Mandante])=$A989)*tblDados[Primeira_Ocorrencia]*(tblDados[GM_M]&gt;0)*(tblDados[GS_M]&gt;0))+SUMPRODUCT((TRIM(tblDados[Visitante])=$A989)*tblDados[Primeira_Ocorrencia]*(tblDados[GM_V]&gt;0)*(tblDados[GS_V]&gt;0)))/G989,0))</f>
        <v/>
      </c>
      <c r="P989" s="14" t="str" cm="1">
        <f t="array" ref="P989">IF($A989="","",IFERROR((SUMPRODUCT((TRIM(tblDados[Mandante])=$A989)*tblDados[Primeira_Ocorrencia]*tblDados[GM_M]^2)+SUMPRODUCT((TRIM(tblDados[Visitante])=$A989)*tblDados[Primeira_Ocorrencia]*tblDados[GM_V]^2))/G989-H989^2,0))</f>
        <v/>
      </c>
      <c r="Q989" s="14" t="str">
        <f t="shared" si="252"/>
        <v/>
      </c>
      <c r="R989" s="1" t="str">
        <f t="shared" si="253"/>
        <v/>
      </c>
      <c r="S989" s="14" t="str" cm="1">
        <f t="array" ref="S989">IF($A989="","",SUMPRODUCT((TRIM(tblDados[Mandante])=$A989)*tblDados[Primeira_Ocorrencia]*tblDados[GM_M]))</f>
        <v/>
      </c>
      <c r="T989" s="14" t="str" cm="1">
        <f t="array" ref="T989">IF($A989="","",SUMPRODUCT((TRIM(tblDados[Visitante])=$A989)*tblDados[Primeira_Ocorrencia]*tblDados[GM_V]))</f>
        <v/>
      </c>
      <c r="U989" s="14" t="str">
        <f t="shared" si="254"/>
        <v/>
      </c>
      <c r="V989" s="14" t="str">
        <f t="shared" si="243"/>
        <v/>
      </c>
      <c r="W989" s="14" t="str" cm="1">
        <f t="array" ref="W989">IF($A989="","",SUMPRODUCT((TRIM(tblDados[Mandante])=$A989)*tblDados[Primeira_Ocorrencia]*tblDados[GS_M]))</f>
        <v/>
      </c>
      <c r="X989" s="14" t="str" cm="1">
        <f t="array" ref="X989">IF($A989="","",SUMPRODUCT((TRIM(tblDados[Visitante])=$A989)*tblDados[Primeira_Ocorrencia]*tblDados[GS_V]))</f>
        <v/>
      </c>
      <c r="Y989" s="14" t="str">
        <f t="shared" si="255"/>
        <v/>
      </c>
      <c r="Z989" s="14" t="str">
        <f t="shared" si="244"/>
        <v/>
      </c>
      <c r="AA989" s="14" t="str">
        <f t="shared" si="245"/>
        <v/>
      </c>
      <c r="AB989" s="14" t="str">
        <f t="shared" si="246"/>
        <v/>
      </c>
      <c r="AC989" s="14" t="str">
        <f t="shared" si="247"/>
        <v/>
      </c>
      <c r="AD989" s="14" t="str">
        <f t="shared" si="248"/>
        <v/>
      </c>
    </row>
    <row r="990" spans="2:30" x14ac:dyDescent="0.3">
      <c r="B990" s="13" t="str" cm="1">
        <f t="array" ref="B990">IF($A990="","",_xlfn.LET(_xlpm.p,IFERROR(INDEX(tblDados[País],MATCH($A990,TRIM(tblDados[Mandante]),0)),INDEX(tblDados[País],MATCH($A990,TRIM(tblDados[Visitante]),0))),_xlpm.l,IFERROR(INDEX(tblDados[Liga],MATCH($A990,TRIM(tblDados[Mandante]),0)),INDEX(tblDados[Liga],MATCH($A990,TRIM(tblDados[Visitante]),0))),_xlpm.p&amp;" - "&amp;_xlpm.l))</f>
        <v/>
      </c>
      <c r="C990" s="14" t="str">
        <f t="shared" si="249"/>
        <v/>
      </c>
      <c r="D990" s="14" t="str">
        <f t="shared" si="250"/>
        <v/>
      </c>
      <c r="E990" s="15" t="str" cm="1">
        <f t="array" ref="E990">IF($A990="","",SUMPRODUCT((TRIM(tblDados[Mandante])=$A990)*tblDados[Primeira_Ocorrencia]))</f>
        <v/>
      </c>
      <c r="F990" s="15" t="str" cm="1">
        <f t="array" ref="F990">IF($A990="","",SUMPRODUCT((TRIM(tblDados[Visitante])=$A990)*tblDados[Primeira_Ocorrencia]))</f>
        <v/>
      </c>
      <c r="G990" s="15" t="str" cm="1">
        <f t="array" ref="G990">IF($A990="","",SUMPRODUCT((TRIM(tblDados[Mandante])=$A990)*tblDados[Primeira_Ocorrencia])+SUMPRODUCT((TRIM(tblDados[Visitante])=$A990)*tblDados[Primeira_Ocorrencia]))</f>
        <v/>
      </c>
      <c r="H990" s="14" t="str">
        <f t="shared" si="251"/>
        <v/>
      </c>
      <c r="I990" s="14" t="str" cm="1">
        <f t="array" ref="I990">IF($A990="","",_xlfn.LET(_xlpm.p,IFERROR(INDEX(tblDados[País],MATCH($A990,TRIM(tblDados[Mandante]),0)),INDEX(tblDados[País],MATCH($A990,TRIM(tblDados[Visitante]),0))),_xlpm.l,IFERROR(INDEX(tblDados[Liga],MATCH($A990,TRIM(tblDados[Mandante]),0)),INDEX(tblDados[Liga],MATCH($A990,TRIM(tblDados[Visitante]),0))),IFERROR(SUMIFS(Ligas!$D$2:$D$39,Ligas!$H$2:$H$39,_xlpm.p,Ligas!$I$2:$I$39,_xlpm.l),0)))</f>
        <v/>
      </c>
      <c r="J990" s="16" t="str" cm="1">
        <f t="array" ref="J990">IF($A990="","",IFERROR((SUMPRODUCT((TRIM(tblDados[Mandante])=$A990)*tblDados[Primeira_Ocorrencia]*(tblDados[GM_M]=0))+SUMPRODUCT((TRIM(tblDados[Visitante])=$A990)*tblDados[Primeira_Ocorrencia]*(tblDados[GM_V]=0)))/G990,0))</f>
        <v/>
      </c>
      <c r="K990" s="16" t="str" cm="1">
        <f t="array" ref="K990">IF($A990="","",IFERROR((SUMPRODUCT((TRIM(tblDados[Mandante])=$A990)*tblDados[Primeira_Ocorrencia]*((tblDados[GM_M]+tblDados[GS_M])&gt;0.5))+SUMPRODUCT((TRIM(tblDados[Visitante])=$A990)*tblDados[Primeira_Ocorrencia]*((tblDados[GM_V]+tblDados[GS_V])&gt;0.5)))/G990,0))</f>
        <v/>
      </c>
      <c r="L990" s="16" t="str" cm="1">
        <f t="array" ref="L990">IF($A990="","",IFERROR((SUMPRODUCT((TRIM(tblDados[Mandante])=$A990)*tblDados[Primeira_Ocorrencia]*((tblDados[GM_M]+tblDados[GS_M])&gt;1.5))+SUMPRODUCT((TRIM(tblDados[Visitante])=$A990)*tblDados[Primeira_Ocorrencia]*((tblDados[GM_V]+tblDados[GS_V])&gt;1.5)))/G990,0))</f>
        <v/>
      </c>
      <c r="M990" s="16" t="str" cm="1">
        <f t="array" ref="M990">IF($A990="","",IFERROR((SUMPRODUCT((TRIM(tblDados[Mandante])=$A990)*tblDados[Primeira_Ocorrencia]*((tblDados[GM_M]+tblDados[GS_M])&gt;2.5))+SUMPRODUCT((TRIM(tblDados[Visitante])=$A990)*tblDados[Primeira_Ocorrencia]*((tblDados[GM_V]+tblDados[GS_V])&gt;2.5)))/G990,0))</f>
        <v/>
      </c>
      <c r="N990" s="16" t="str" cm="1">
        <f t="array" ref="N990">IF($A990="","",IFERROR((SUMPRODUCT((TRIM(tblDados[Mandante])=$A990)*tblDados[Primeira_Ocorrencia]*((tblDados[GM_M]+tblDados[GS_M])&gt;3.5))+SUMPRODUCT((TRIM(tblDados[Visitante])=$A990)*tblDados[Primeira_Ocorrencia]*((tblDados[GM_V]+tblDados[GS_V])&gt;3.5)))/G990,0))</f>
        <v/>
      </c>
      <c r="O990" s="16" t="str" cm="1">
        <f t="array" ref="O990">IF($A990="","",IFERROR((SUMPRODUCT((TRIM(tblDados[Mandante])=$A990)*tblDados[Primeira_Ocorrencia]*(tblDados[GM_M]&gt;0)*(tblDados[GS_M]&gt;0))+SUMPRODUCT((TRIM(tblDados[Visitante])=$A990)*tblDados[Primeira_Ocorrencia]*(tblDados[GM_V]&gt;0)*(tblDados[GS_V]&gt;0)))/G990,0))</f>
        <v/>
      </c>
      <c r="P990" s="14" t="str" cm="1">
        <f t="array" ref="P990">IF($A990="","",IFERROR((SUMPRODUCT((TRIM(tblDados[Mandante])=$A990)*tblDados[Primeira_Ocorrencia]*tblDados[GM_M]^2)+SUMPRODUCT((TRIM(tblDados[Visitante])=$A990)*tblDados[Primeira_Ocorrencia]*tblDados[GM_V]^2))/G990-H990^2,0))</f>
        <v/>
      </c>
      <c r="Q990" s="14" t="str">
        <f t="shared" si="252"/>
        <v/>
      </c>
      <c r="R990" s="1" t="str">
        <f t="shared" si="253"/>
        <v/>
      </c>
      <c r="S990" s="14" t="str" cm="1">
        <f t="array" ref="S990">IF($A990="","",SUMPRODUCT((TRIM(tblDados[Mandante])=$A990)*tblDados[Primeira_Ocorrencia]*tblDados[GM_M]))</f>
        <v/>
      </c>
      <c r="T990" s="14" t="str" cm="1">
        <f t="array" ref="T990">IF($A990="","",SUMPRODUCT((TRIM(tblDados[Visitante])=$A990)*tblDados[Primeira_Ocorrencia]*tblDados[GM_V]))</f>
        <v/>
      </c>
      <c r="U990" s="14" t="str">
        <f t="shared" si="254"/>
        <v/>
      </c>
      <c r="V990" s="14" t="str">
        <f t="shared" si="243"/>
        <v/>
      </c>
      <c r="W990" s="14" t="str" cm="1">
        <f t="array" ref="W990">IF($A990="","",SUMPRODUCT((TRIM(tblDados[Mandante])=$A990)*tblDados[Primeira_Ocorrencia]*tblDados[GS_M]))</f>
        <v/>
      </c>
      <c r="X990" s="14" t="str" cm="1">
        <f t="array" ref="X990">IF($A990="","",SUMPRODUCT((TRIM(tblDados[Visitante])=$A990)*tblDados[Primeira_Ocorrencia]*tblDados[GS_V]))</f>
        <v/>
      </c>
      <c r="Y990" s="14" t="str">
        <f t="shared" si="255"/>
        <v/>
      </c>
      <c r="Z990" s="14" t="str">
        <f t="shared" si="244"/>
        <v/>
      </c>
      <c r="AA990" s="14" t="str">
        <f t="shared" si="245"/>
        <v/>
      </c>
      <c r="AB990" s="14" t="str">
        <f t="shared" si="246"/>
        <v/>
      </c>
      <c r="AC990" s="14" t="str">
        <f t="shared" si="247"/>
        <v/>
      </c>
      <c r="AD990" s="14" t="str">
        <f t="shared" si="248"/>
        <v/>
      </c>
    </row>
    <row r="991" spans="2:30" x14ac:dyDescent="0.3">
      <c r="B991" s="13" t="str" cm="1">
        <f t="array" ref="B991">IF($A991="","",_xlfn.LET(_xlpm.p,IFERROR(INDEX(tblDados[País],MATCH($A991,TRIM(tblDados[Mandante]),0)),INDEX(tblDados[País],MATCH($A991,TRIM(tblDados[Visitante]),0))),_xlpm.l,IFERROR(INDEX(tblDados[Liga],MATCH($A991,TRIM(tblDados[Mandante]),0)),INDEX(tblDados[Liga],MATCH($A991,TRIM(tblDados[Visitante]),0))),_xlpm.p&amp;" - "&amp;_xlpm.l))</f>
        <v/>
      </c>
      <c r="C991" s="14" t="str">
        <f t="shared" si="249"/>
        <v/>
      </c>
      <c r="D991" s="14" t="str">
        <f t="shared" si="250"/>
        <v/>
      </c>
      <c r="E991" s="15" t="str" cm="1">
        <f t="array" ref="E991">IF($A991="","",SUMPRODUCT((TRIM(tblDados[Mandante])=$A991)*tblDados[Primeira_Ocorrencia]))</f>
        <v/>
      </c>
      <c r="F991" s="15" t="str" cm="1">
        <f t="array" ref="F991">IF($A991="","",SUMPRODUCT((TRIM(tblDados[Visitante])=$A991)*tblDados[Primeira_Ocorrencia]))</f>
        <v/>
      </c>
      <c r="G991" s="15" t="str" cm="1">
        <f t="array" ref="G991">IF($A991="","",SUMPRODUCT((TRIM(tblDados[Mandante])=$A991)*tblDados[Primeira_Ocorrencia])+SUMPRODUCT((TRIM(tblDados[Visitante])=$A991)*tblDados[Primeira_Ocorrencia]))</f>
        <v/>
      </c>
      <c r="H991" s="14" t="str">
        <f t="shared" si="251"/>
        <v/>
      </c>
      <c r="I991" s="14" t="str" cm="1">
        <f t="array" ref="I991">IF($A991="","",_xlfn.LET(_xlpm.p,IFERROR(INDEX(tblDados[País],MATCH($A991,TRIM(tblDados[Mandante]),0)),INDEX(tblDados[País],MATCH($A991,TRIM(tblDados[Visitante]),0))),_xlpm.l,IFERROR(INDEX(tblDados[Liga],MATCH($A991,TRIM(tblDados[Mandante]),0)),INDEX(tblDados[Liga],MATCH($A991,TRIM(tblDados[Visitante]),0))),IFERROR(SUMIFS(Ligas!$D$2:$D$39,Ligas!$H$2:$H$39,_xlpm.p,Ligas!$I$2:$I$39,_xlpm.l),0)))</f>
        <v/>
      </c>
      <c r="J991" s="16" t="str" cm="1">
        <f t="array" ref="J991">IF($A991="","",IFERROR((SUMPRODUCT((TRIM(tblDados[Mandante])=$A991)*tblDados[Primeira_Ocorrencia]*(tblDados[GM_M]=0))+SUMPRODUCT((TRIM(tblDados[Visitante])=$A991)*tblDados[Primeira_Ocorrencia]*(tblDados[GM_V]=0)))/G991,0))</f>
        <v/>
      </c>
      <c r="K991" s="16" t="str" cm="1">
        <f t="array" ref="K991">IF($A991="","",IFERROR((SUMPRODUCT((TRIM(tblDados[Mandante])=$A991)*tblDados[Primeira_Ocorrencia]*((tblDados[GM_M]+tblDados[GS_M])&gt;0.5))+SUMPRODUCT((TRIM(tblDados[Visitante])=$A991)*tblDados[Primeira_Ocorrencia]*((tblDados[GM_V]+tblDados[GS_V])&gt;0.5)))/G991,0))</f>
        <v/>
      </c>
      <c r="L991" s="16" t="str" cm="1">
        <f t="array" ref="L991">IF($A991="","",IFERROR((SUMPRODUCT((TRIM(tblDados[Mandante])=$A991)*tblDados[Primeira_Ocorrencia]*((tblDados[GM_M]+tblDados[GS_M])&gt;1.5))+SUMPRODUCT((TRIM(tblDados[Visitante])=$A991)*tblDados[Primeira_Ocorrencia]*((tblDados[GM_V]+tblDados[GS_V])&gt;1.5)))/G991,0))</f>
        <v/>
      </c>
      <c r="M991" s="16" t="str" cm="1">
        <f t="array" ref="M991">IF($A991="","",IFERROR((SUMPRODUCT((TRIM(tblDados[Mandante])=$A991)*tblDados[Primeira_Ocorrencia]*((tblDados[GM_M]+tblDados[GS_M])&gt;2.5))+SUMPRODUCT((TRIM(tblDados[Visitante])=$A991)*tblDados[Primeira_Ocorrencia]*((tblDados[GM_V]+tblDados[GS_V])&gt;2.5)))/G991,0))</f>
        <v/>
      </c>
      <c r="N991" s="16" t="str" cm="1">
        <f t="array" ref="N991">IF($A991="","",IFERROR((SUMPRODUCT((TRIM(tblDados[Mandante])=$A991)*tblDados[Primeira_Ocorrencia]*((tblDados[GM_M]+tblDados[GS_M])&gt;3.5))+SUMPRODUCT((TRIM(tblDados[Visitante])=$A991)*tblDados[Primeira_Ocorrencia]*((tblDados[GM_V]+tblDados[GS_V])&gt;3.5)))/G991,0))</f>
        <v/>
      </c>
      <c r="O991" s="16" t="str" cm="1">
        <f t="array" ref="O991">IF($A991="","",IFERROR((SUMPRODUCT((TRIM(tblDados[Mandante])=$A991)*tblDados[Primeira_Ocorrencia]*(tblDados[GM_M]&gt;0)*(tblDados[GS_M]&gt;0))+SUMPRODUCT((TRIM(tblDados[Visitante])=$A991)*tblDados[Primeira_Ocorrencia]*(tblDados[GM_V]&gt;0)*(tblDados[GS_V]&gt;0)))/G991,0))</f>
        <v/>
      </c>
      <c r="P991" s="14" t="str" cm="1">
        <f t="array" ref="P991">IF($A991="","",IFERROR((SUMPRODUCT((TRIM(tblDados[Mandante])=$A991)*tblDados[Primeira_Ocorrencia]*tblDados[GM_M]^2)+SUMPRODUCT((TRIM(tblDados[Visitante])=$A991)*tblDados[Primeira_Ocorrencia]*tblDados[GM_V]^2))/G991-H991^2,0))</f>
        <v/>
      </c>
      <c r="Q991" s="14" t="str">
        <f t="shared" si="252"/>
        <v/>
      </c>
      <c r="R991" s="1" t="str">
        <f t="shared" si="253"/>
        <v/>
      </c>
      <c r="S991" s="14" t="str" cm="1">
        <f t="array" ref="S991">IF($A991="","",SUMPRODUCT((TRIM(tblDados[Mandante])=$A991)*tblDados[Primeira_Ocorrencia]*tblDados[GM_M]))</f>
        <v/>
      </c>
      <c r="T991" s="14" t="str" cm="1">
        <f t="array" ref="T991">IF($A991="","",SUMPRODUCT((TRIM(tblDados[Visitante])=$A991)*tblDados[Primeira_Ocorrencia]*tblDados[GM_V]))</f>
        <v/>
      </c>
      <c r="U991" s="14" t="str">
        <f t="shared" si="254"/>
        <v/>
      </c>
      <c r="V991" s="14" t="str">
        <f t="shared" si="243"/>
        <v/>
      </c>
      <c r="W991" s="14" t="str" cm="1">
        <f t="array" ref="W991">IF($A991="","",SUMPRODUCT((TRIM(tblDados[Mandante])=$A991)*tblDados[Primeira_Ocorrencia]*tblDados[GS_M]))</f>
        <v/>
      </c>
      <c r="X991" s="14" t="str" cm="1">
        <f t="array" ref="X991">IF($A991="","",SUMPRODUCT((TRIM(tblDados[Visitante])=$A991)*tblDados[Primeira_Ocorrencia]*tblDados[GS_V]))</f>
        <v/>
      </c>
      <c r="Y991" s="14" t="str">
        <f t="shared" si="255"/>
        <v/>
      </c>
      <c r="Z991" s="14" t="str">
        <f t="shared" si="244"/>
        <v/>
      </c>
      <c r="AA991" s="14" t="str">
        <f t="shared" si="245"/>
        <v/>
      </c>
      <c r="AB991" s="14" t="str">
        <f t="shared" si="246"/>
        <v/>
      </c>
      <c r="AC991" s="14" t="str">
        <f t="shared" si="247"/>
        <v/>
      </c>
      <c r="AD991" s="14" t="str">
        <f t="shared" si="248"/>
        <v/>
      </c>
    </row>
    <row r="992" spans="2:30" x14ac:dyDescent="0.3">
      <c r="B992" s="13" t="str" cm="1">
        <f t="array" ref="B992">IF($A992="","",_xlfn.LET(_xlpm.p,IFERROR(INDEX(tblDados[País],MATCH($A992,TRIM(tblDados[Mandante]),0)),INDEX(tblDados[País],MATCH($A992,TRIM(tblDados[Visitante]),0))),_xlpm.l,IFERROR(INDEX(tblDados[Liga],MATCH($A992,TRIM(tblDados[Mandante]),0)),INDEX(tblDados[Liga],MATCH($A992,TRIM(tblDados[Visitante]),0))),_xlpm.p&amp;" - "&amp;_xlpm.l))</f>
        <v/>
      </c>
      <c r="C992" s="14" t="str">
        <f t="shared" si="249"/>
        <v/>
      </c>
      <c r="D992" s="14" t="str">
        <f t="shared" si="250"/>
        <v/>
      </c>
      <c r="E992" s="15" t="str" cm="1">
        <f t="array" ref="E992">IF($A992="","",SUMPRODUCT((TRIM(tblDados[Mandante])=$A992)*tblDados[Primeira_Ocorrencia]))</f>
        <v/>
      </c>
      <c r="F992" s="15" t="str" cm="1">
        <f t="array" ref="F992">IF($A992="","",SUMPRODUCT((TRIM(tblDados[Visitante])=$A992)*tblDados[Primeira_Ocorrencia]))</f>
        <v/>
      </c>
      <c r="G992" s="15" t="str" cm="1">
        <f t="array" ref="G992">IF($A992="","",SUMPRODUCT((TRIM(tblDados[Mandante])=$A992)*tblDados[Primeira_Ocorrencia])+SUMPRODUCT((TRIM(tblDados[Visitante])=$A992)*tblDados[Primeira_Ocorrencia]))</f>
        <v/>
      </c>
      <c r="H992" s="14" t="str">
        <f t="shared" si="251"/>
        <v/>
      </c>
      <c r="I992" s="14" t="str" cm="1">
        <f t="array" ref="I992">IF($A992="","",_xlfn.LET(_xlpm.p,IFERROR(INDEX(tblDados[País],MATCH($A992,TRIM(tblDados[Mandante]),0)),INDEX(tblDados[País],MATCH($A992,TRIM(tblDados[Visitante]),0))),_xlpm.l,IFERROR(INDEX(tblDados[Liga],MATCH($A992,TRIM(tblDados[Mandante]),0)),INDEX(tblDados[Liga],MATCH($A992,TRIM(tblDados[Visitante]),0))),IFERROR(SUMIFS(Ligas!$D$2:$D$39,Ligas!$H$2:$H$39,_xlpm.p,Ligas!$I$2:$I$39,_xlpm.l),0)))</f>
        <v/>
      </c>
      <c r="J992" s="16" t="str" cm="1">
        <f t="array" ref="J992">IF($A992="","",IFERROR((SUMPRODUCT((TRIM(tblDados[Mandante])=$A992)*tblDados[Primeira_Ocorrencia]*(tblDados[GM_M]=0))+SUMPRODUCT((TRIM(tblDados[Visitante])=$A992)*tblDados[Primeira_Ocorrencia]*(tblDados[GM_V]=0)))/G992,0))</f>
        <v/>
      </c>
      <c r="K992" s="16" t="str" cm="1">
        <f t="array" ref="K992">IF($A992="","",IFERROR((SUMPRODUCT((TRIM(tblDados[Mandante])=$A992)*tblDados[Primeira_Ocorrencia]*((tblDados[GM_M]+tblDados[GS_M])&gt;0.5))+SUMPRODUCT((TRIM(tblDados[Visitante])=$A992)*tblDados[Primeira_Ocorrencia]*((tblDados[GM_V]+tblDados[GS_V])&gt;0.5)))/G992,0))</f>
        <v/>
      </c>
      <c r="L992" s="16" t="str" cm="1">
        <f t="array" ref="L992">IF($A992="","",IFERROR((SUMPRODUCT((TRIM(tblDados[Mandante])=$A992)*tblDados[Primeira_Ocorrencia]*((tblDados[GM_M]+tblDados[GS_M])&gt;1.5))+SUMPRODUCT((TRIM(tblDados[Visitante])=$A992)*tblDados[Primeira_Ocorrencia]*((tblDados[GM_V]+tblDados[GS_V])&gt;1.5)))/G992,0))</f>
        <v/>
      </c>
      <c r="M992" s="16" t="str" cm="1">
        <f t="array" ref="M992">IF($A992="","",IFERROR((SUMPRODUCT((TRIM(tblDados[Mandante])=$A992)*tblDados[Primeira_Ocorrencia]*((tblDados[GM_M]+tblDados[GS_M])&gt;2.5))+SUMPRODUCT((TRIM(tblDados[Visitante])=$A992)*tblDados[Primeira_Ocorrencia]*((tblDados[GM_V]+tblDados[GS_V])&gt;2.5)))/G992,0))</f>
        <v/>
      </c>
      <c r="N992" s="16" t="str" cm="1">
        <f t="array" ref="N992">IF($A992="","",IFERROR((SUMPRODUCT((TRIM(tblDados[Mandante])=$A992)*tblDados[Primeira_Ocorrencia]*((tblDados[GM_M]+tblDados[GS_M])&gt;3.5))+SUMPRODUCT((TRIM(tblDados[Visitante])=$A992)*tblDados[Primeira_Ocorrencia]*((tblDados[GM_V]+tblDados[GS_V])&gt;3.5)))/G992,0))</f>
        <v/>
      </c>
      <c r="O992" s="16" t="str" cm="1">
        <f t="array" ref="O992">IF($A992="","",IFERROR((SUMPRODUCT((TRIM(tblDados[Mandante])=$A992)*tblDados[Primeira_Ocorrencia]*(tblDados[GM_M]&gt;0)*(tblDados[GS_M]&gt;0))+SUMPRODUCT((TRIM(tblDados[Visitante])=$A992)*tblDados[Primeira_Ocorrencia]*(tblDados[GM_V]&gt;0)*(tblDados[GS_V]&gt;0)))/G992,0))</f>
        <v/>
      </c>
      <c r="P992" s="14" t="str" cm="1">
        <f t="array" ref="P992">IF($A992="","",IFERROR((SUMPRODUCT((TRIM(tblDados[Mandante])=$A992)*tblDados[Primeira_Ocorrencia]*tblDados[GM_M]^2)+SUMPRODUCT((TRIM(tblDados[Visitante])=$A992)*tblDados[Primeira_Ocorrencia]*tblDados[GM_V]^2))/G992-H992^2,0))</f>
        <v/>
      </c>
      <c r="Q992" s="14" t="str">
        <f t="shared" si="252"/>
        <v/>
      </c>
      <c r="R992" s="1" t="str">
        <f t="shared" si="253"/>
        <v/>
      </c>
      <c r="S992" s="14" t="str" cm="1">
        <f t="array" ref="S992">IF($A992="","",SUMPRODUCT((TRIM(tblDados[Mandante])=$A992)*tblDados[Primeira_Ocorrencia]*tblDados[GM_M]))</f>
        <v/>
      </c>
      <c r="T992" s="14" t="str" cm="1">
        <f t="array" ref="T992">IF($A992="","",SUMPRODUCT((TRIM(tblDados[Visitante])=$A992)*tblDados[Primeira_Ocorrencia]*tblDados[GM_V]))</f>
        <v/>
      </c>
      <c r="U992" s="14" t="str">
        <f t="shared" si="254"/>
        <v/>
      </c>
      <c r="V992" s="14" t="str">
        <f t="shared" si="243"/>
        <v/>
      </c>
      <c r="W992" s="14" t="str" cm="1">
        <f t="array" ref="W992">IF($A992="","",SUMPRODUCT((TRIM(tblDados[Mandante])=$A992)*tblDados[Primeira_Ocorrencia]*tblDados[GS_M]))</f>
        <v/>
      </c>
      <c r="X992" s="14" t="str" cm="1">
        <f t="array" ref="X992">IF($A992="","",SUMPRODUCT((TRIM(tblDados[Visitante])=$A992)*tblDados[Primeira_Ocorrencia]*tblDados[GS_V]))</f>
        <v/>
      </c>
      <c r="Y992" s="14" t="str">
        <f t="shared" si="255"/>
        <v/>
      </c>
      <c r="Z992" s="14" t="str">
        <f t="shared" si="244"/>
        <v/>
      </c>
      <c r="AA992" s="14" t="str">
        <f t="shared" si="245"/>
        <v/>
      </c>
      <c r="AB992" s="14" t="str">
        <f t="shared" si="246"/>
        <v/>
      </c>
      <c r="AC992" s="14" t="str">
        <f t="shared" si="247"/>
        <v/>
      </c>
      <c r="AD992" s="14" t="str">
        <f t="shared" si="248"/>
        <v/>
      </c>
    </row>
    <row r="993" spans="2:30" x14ac:dyDescent="0.3">
      <c r="B993" s="13" t="str" cm="1">
        <f t="array" ref="B993">IF($A993="","",_xlfn.LET(_xlpm.p,IFERROR(INDEX(tblDados[País],MATCH($A993,TRIM(tblDados[Mandante]),0)),INDEX(tblDados[País],MATCH($A993,TRIM(tblDados[Visitante]),0))),_xlpm.l,IFERROR(INDEX(tblDados[Liga],MATCH($A993,TRIM(tblDados[Mandante]),0)),INDEX(tblDados[Liga],MATCH($A993,TRIM(tblDados[Visitante]),0))),_xlpm.p&amp;" - "&amp;_xlpm.l))</f>
        <v/>
      </c>
      <c r="C993" s="14" t="str">
        <f t="shared" si="249"/>
        <v/>
      </c>
      <c r="D993" s="14" t="str">
        <f t="shared" si="250"/>
        <v/>
      </c>
      <c r="E993" s="15" t="str" cm="1">
        <f t="array" ref="E993">IF($A993="","",SUMPRODUCT((TRIM(tblDados[Mandante])=$A993)*tblDados[Primeira_Ocorrencia]))</f>
        <v/>
      </c>
      <c r="F993" s="15" t="str" cm="1">
        <f t="array" ref="F993">IF($A993="","",SUMPRODUCT((TRIM(tblDados[Visitante])=$A993)*tblDados[Primeira_Ocorrencia]))</f>
        <v/>
      </c>
      <c r="G993" s="15" t="str" cm="1">
        <f t="array" ref="G993">IF($A993="","",SUMPRODUCT((TRIM(tblDados[Mandante])=$A993)*tblDados[Primeira_Ocorrencia])+SUMPRODUCT((TRIM(tblDados[Visitante])=$A993)*tblDados[Primeira_Ocorrencia]))</f>
        <v/>
      </c>
      <c r="H993" s="14" t="str">
        <f t="shared" si="251"/>
        <v/>
      </c>
      <c r="I993" s="14" t="str" cm="1">
        <f t="array" ref="I993">IF($A993="","",_xlfn.LET(_xlpm.p,IFERROR(INDEX(tblDados[País],MATCH($A993,TRIM(tblDados[Mandante]),0)),INDEX(tblDados[País],MATCH($A993,TRIM(tblDados[Visitante]),0))),_xlpm.l,IFERROR(INDEX(tblDados[Liga],MATCH($A993,TRIM(tblDados[Mandante]),0)),INDEX(tblDados[Liga],MATCH($A993,TRIM(tblDados[Visitante]),0))),IFERROR(SUMIFS(Ligas!$D$2:$D$39,Ligas!$H$2:$H$39,_xlpm.p,Ligas!$I$2:$I$39,_xlpm.l),0)))</f>
        <v/>
      </c>
      <c r="J993" s="16" t="str" cm="1">
        <f t="array" ref="J993">IF($A993="","",IFERROR((SUMPRODUCT((TRIM(tblDados[Mandante])=$A993)*tblDados[Primeira_Ocorrencia]*(tblDados[GM_M]=0))+SUMPRODUCT((TRIM(tblDados[Visitante])=$A993)*tblDados[Primeira_Ocorrencia]*(tblDados[GM_V]=0)))/G993,0))</f>
        <v/>
      </c>
      <c r="K993" s="16" t="str" cm="1">
        <f t="array" ref="K993">IF($A993="","",IFERROR((SUMPRODUCT((TRIM(tblDados[Mandante])=$A993)*tblDados[Primeira_Ocorrencia]*((tblDados[GM_M]+tblDados[GS_M])&gt;0.5))+SUMPRODUCT((TRIM(tblDados[Visitante])=$A993)*tblDados[Primeira_Ocorrencia]*((tblDados[GM_V]+tblDados[GS_V])&gt;0.5)))/G993,0))</f>
        <v/>
      </c>
      <c r="L993" s="16" t="str" cm="1">
        <f t="array" ref="L993">IF($A993="","",IFERROR((SUMPRODUCT((TRIM(tblDados[Mandante])=$A993)*tblDados[Primeira_Ocorrencia]*((tblDados[GM_M]+tblDados[GS_M])&gt;1.5))+SUMPRODUCT((TRIM(tblDados[Visitante])=$A993)*tblDados[Primeira_Ocorrencia]*((tblDados[GM_V]+tblDados[GS_V])&gt;1.5)))/G993,0))</f>
        <v/>
      </c>
      <c r="M993" s="16" t="str" cm="1">
        <f t="array" ref="M993">IF($A993="","",IFERROR((SUMPRODUCT((TRIM(tblDados[Mandante])=$A993)*tblDados[Primeira_Ocorrencia]*((tblDados[GM_M]+tblDados[GS_M])&gt;2.5))+SUMPRODUCT((TRIM(tblDados[Visitante])=$A993)*tblDados[Primeira_Ocorrencia]*((tblDados[GM_V]+tblDados[GS_V])&gt;2.5)))/G993,0))</f>
        <v/>
      </c>
      <c r="N993" s="16" t="str" cm="1">
        <f t="array" ref="N993">IF($A993="","",IFERROR((SUMPRODUCT((TRIM(tblDados[Mandante])=$A993)*tblDados[Primeira_Ocorrencia]*((tblDados[GM_M]+tblDados[GS_M])&gt;3.5))+SUMPRODUCT((TRIM(tblDados[Visitante])=$A993)*tblDados[Primeira_Ocorrencia]*((tblDados[GM_V]+tblDados[GS_V])&gt;3.5)))/G993,0))</f>
        <v/>
      </c>
      <c r="O993" s="16" t="str" cm="1">
        <f t="array" ref="O993">IF($A993="","",IFERROR((SUMPRODUCT((TRIM(tblDados[Mandante])=$A993)*tblDados[Primeira_Ocorrencia]*(tblDados[GM_M]&gt;0)*(tblDados[GS_M]&gt;0))+SUMPRODUCT((TRIM(tblDados[Visitante])=$A993)*tblDados[Primeira_Ocorrencia]*(tblDados[GM_V]&gt;0)*(tblDados[GS_V]&gt;0)))/G993,0))</f>
        <v/>
      </c>
      <c r="P993" s="14" t="str" cm="1">
        <f t="array" ref="P993">IF($A993="","",IFERROR((SUMPRODUCT((TRIM(tblDados[Mandante])=$A993)*tblDados[Primeira_Ocorrencia]*tblDados[GM_M]^2)+SUMPRODUCT((TRIM(tblDados[Visitante])=$A993)*tblDados[Primeira_Ocorrencia]*tblDados[GM_V]^2))/G993-H993^2,0))</f>
        <v/>
      </c>
      <c r="Q993" s="14" t="str">
        <f t="shared" si="252"/>
        <v/>
      </c>
      <c r="R993" s="1" t="str">
        <f t="shared" si="253"/>
        <v/>
      </c>
      <c r="S993" s="14" t="str" cm="1">
        <f t="array" ref="S993">IF($A993="","",SUMPRODUCT((TRIM(tblDados[Mandante])=$A993)*tblDados[Primeira_Ocorrencia]*tblDados[GM_M]))</f>
        <v/>
      </c>
      <c r="T993" s="14" t="str" cm="1">
        <f t="array" ref="T993">IF($A993="","",SUMPRODUCT((TRIM(tblDados[Visitante])=$A993)*tblDados[Primeira_Ocorrencia]*tblDados[GM_V]))</f>
        <v/>
      </c>
      <c r="U993" s="14" t="str">
        <f t="shared" si="254"/>
        <v/>
      </c>
      <c r="V993" s="14" t="str">
        <f t="shared" si="243"/>
        <v/>
      </c>
      <c r="W993" s="14" t="str" cm="1">
        <f t="array" ref="W993">IF($A993="","",SUMPRODUCT((TRIM(tblDados[Mandante])=$A993)*tblDados[Primeira_Ocorrencia]*tblDados[GS_M]))</f>
        <v/>
      </c>
      <c r="X993" s="14" t="str" cm="1">
        <f t="array" ref="X993">IF($A993="","",SUMPRODUCT((TRIM(tblDados[Visitante])=$A993)*tblDados[Primeira_Ocorrencia]*tblDados[GS_V]))</f>
        <v/>
      </c>
      <c r="Y993" s="14" t="str">
        <f t="shared" si="255"/>
        <v/>
      </c>
      <c r="Z993" s="14" t="str">
        <f t="shared" si="244"/>
        <v/>
      </c>
      <c r="AA993" s="14" t="str">
        <f t="shared" si="245"/>
        <v/>
      </c>
      <c r="AB993" s="14" t="str">
        <f t="shared" si="246"/>
        <v/>
      </c>
      <c r="AC993" s="14" t="str">
        <f t="shared" si="247"/>
        <v/>
      </c>
      <c r="AD993" s="14" t="str">
        <f t="shared" si="248"/>
        <v/>
      </c>
    </row>
    <row r="994" spans="2:30" x14ac:dyDescent="0.3">
      <c r="B994" s="13" t="str" cm="1">
        <f t="array" ref="B994">IF($A994="","",_xlfn.LET(_xlpm.p,IFERROR(INDEX(tblDados[País],MATCH($A994,TRIM(tblDados[Mandante]),0)),INDEX(tblDados[País],MATCH($A994,TRIM(tblDados[Visitante]),0))),_xlpm.l,IFERROR(INDEX(tblDados[Liga],MATCH($A994,TRIM(tblDados[Mandante]),0)),INDEX(tblDados[Liga],MATCH($A994,TRIM(tblDados[Visitante]),0))),_xlpm.p&amp;" - "&amp;_xlpm.l))</f>
        <v/>
      </c>
      <c r="C994" s="14" t="str">
        <f t="shared" si="249"/>
        <v/>
      </c>
      <c r="D994" s="14" t="str">
        <f t="shared" si="250"/>
        <v/>
      </c>
      <c r="E994" s="15" t="str" cm="1">
        <f t="array" ref="E994">IF($A994="","",SUMPRODUCT((TRIM(tblDados[Mandante])=$A994)*tblDados[Primeira_Ocorrencia]))</f>
        <v/>
      </c>
      <c r="F994" s="15" t="str" cm="1">
        <f t="array" ref="F994">IF($A994="","",SUMPRODUCT((TRIM(tblDados[Visitante])=$A994)*tblDados[Primeira_Ocorrencia]))</f>
        <v/>
      </c>
      <c r="G994" s="15" t="str" cm="1">
        <f t="array" ref="G994">IF($A994="","",SUMPRODUCT((TRIM(tblDados[Mandante])=$A994)*tblDados[Primeira_Ocorrencia])+SUMPRODUCT((TRIM(tblDados[Visitante])=$A994)*tblDados[Primeira_Ocorrencia]))</f>
        <v/>
      </c>
      <c r="H994" s="14" t="str">
        <f t="shared" si="251"/>
        <v/>
      </c>
      <c r="I994" s="14" t="str" cm="1">
        <f t="array" ref="I994">IF($A994="","",_xlfn.LET(_xlpm.p,IFERROR(INDEX(tblDados[País],MATCH($A994,TRIM(tblDados[Mandante]),0)),INDEX(tblDados[País],MATCH($A994,TRIM(tblDados[Visitante]),0))),_xlpm.l,IFERROR(INDEX(tblDados[Liga],MATCH($A994,TRIM(tblDados[Mandante]),0)),INDEX(tblDados[Liga],MATCH($A994,TRIM(tblDados[Visitante]),0))),IFERROR(SUMIFS(Ligas!$D$2:$D$39,Ligas!$H$2:$H$39,_xlpm.p,Ligas!$I$2:$I$39,_xlpm.l),0)))</f>
        <v/>
      </c>
      <c r="J994" s="16" t="str" cm="1">
        <f t="array" ref="J994">IF($A994="","",IFERROR((SUMPRODUCT((TRIM(tblDados[Mandante])=$A994)*tblDados[Primeira_Ocorrencia]*(tblDados[GM_M]=0))+SUMPRODUCT((TRIM(tblDados[Visitante])=$A994)*tblDados[Primeira_Ocorrencia]*(tblDados[GM_V]=0)))/G994,0))</f>
        <v/>
      </c>
      <c r="K994" s="16" t="str" cm="1">
        <f t="array" ref="K994">IF($A994="","",IFERROR((SUMPRODUCT((TRIM(tblDados[Mandante])=$A994)*tblDados[Primeira_Ocorrencia]*((tblDados[GM_M]+tblDados[GS_M])&gt;0.5))+SUMPRODUCT((TRIM(tblDados[Visitante])=$A994)*tblDados[Primeira_Ocorrencia]*((tblDados[GM_V]+tblDados[GS_V])&gt;0.5)))/G994,0))</f>
        <v/>
      </c>
      <c r="L994" s="16" t="str" cm="1">
        <f t="array" ref="L994">IF($A994="","",IFERROR((SUMPRODUCT((TRIM(tblDados[Mandante])=$A994)*tblDados[Primeira_Ocorrencia]*((tblDados[GM_M]+tblDados[GS_M])&gt;1.5))+SUMPRODUCT((TRIM(tblDados[Visitante])=$A994)*tblDados[Primeira_Ocorrencia]*((tblDados[GM_V]+tblDados[GS_V])&gt;1.5)))/G994,0))</f>
        <v/>
      </c>
      <c r="M994" s="16" t="str" cm="1">
        <f t="array" ref="M994">IF($A994="","",IFERROR((SUMPRODUCT((TRIM(tblDados[Mandante])=$A994)*tblDados[Primeira_Ocorrencia]*((tblDados[GM_M]+tblDados[GS_M])&gt;2.5))+SUMPRODUCT((TRIM(tblDados[Visitante])=$A994)*tblDados[Primeira_Ocorrencia]*((tblDados[GM_V]+tblDados[GS_V])&gt;2.5)))/G994,0))</f>
        <v/>
      </c>
      <c r="N994" s="16" t="str" cm="1">
        <f t="array" ref="N994">IF($A994="","",IFERROR((SUMPRODUCT((TRIM(tblDados[Mandante])=$A994)*tblDados[Primeira_Ocorrencia]*((tblDados[GM_M]+tblDados[GS_M])&gt;3.5))+SUMPRODUCT((TRIM(tblDados[Visitante])=$A994)*tblDados[Primeira_Ocorrencia]*((tblDados[GM_V]+tblDados[GS_V])&gt;3.5)))/G994,0))</f>
        <v/>
      </c>
      <c r="O994" s="16" t="str" cm="1">
        <f t="array" ref="O994">IF($A994="","",IFERROR((SUMPRODUCT((TRIM(tblDados[Mandante])=$A994)*tblDados[Primeira_Ocorrencia]*(tblDados[GM_M]&gt;0)*(tblDados[GS_M]&gt;0))+SUMPRODUCT((TRIM(tblDados[Visitante])=$A994)*tblDados[Primeira_Ocorrencia]*(tblDados[GM_V]&gt;0)*(tblDados[GS_V]&gt;0)))/G994,0))</f>
        <v/>
      </c>
      <c r="P994" s="14" t="str" cm="1">
        <f t="array" ref="P994">IF($A994="","",IFERROR((SUMPRODUCT((TRIM(tblDados[Mandante])=$A994)*tblDados[Primeira_Ocorrencia]*tblDados[GM_M]^2)+SUMPRODUCT((TRIM(tblDados[Visitante])=$A994)*tblDados[Primeira_Ocorrencia]*tblDados[GM_V]^2))/G994-H994^2,0))</f>
        <v/>
      </c>
      <c r="Q994" s="14" t="str">
        <f t="shared" si="252"/>
        <v/>
      </c>
      <c r="R994" s="1" t="str">
        <f t="shared" si="253"/>
        <v/>
      </c>
      <c r="S994" s="14" t="str" cm="1">
        <f t="array" ref="S994">IF($A994="","",SUMPRODUCT((TRIM(tblDados[Mandante])=$A994)*tblDados[Primeira_Ocorrencia]*tblDados[GM_M]))</f>
        <v/>
      </c>
      <c r="T994" s="14" t="str" cm="1">
        <f t="array" ref="T994">IF($A994="","",SUMPRODUCT((TRIM(tblDados[Visitante])=$A994)*tblDados[Primeira_Ocorrencia]*tblDados[GM_V]))</f>
        <v/>
      </c>
      <c r="U994" s="14" t="str">
        <f t="shared" si="254"/>
        <v/>
      </c>
      <c r="V994" s="14" t="str">
        <f t="shared" si="243"/>
        <v/>
      </c>
      <c r="W994" s="14" t="str" cm="1">
        <f t="array" ref="W994">IF($A994="","",SUMPRODUCT((TRIM(tblDados[Mandante])=$A994)*tblDados[Primeira_Ocorrencia]*tblDados[GS_M]))</f>
        <v/>
      </c>
      <c r="X994" s="14" t="str" cm="1">
        <f t="array" ref="X994">IF($A994="","",SUMPRODUCT((TRIM(tblDados[Visitante])=$A994)*tblDados[Primeira_Ocorrencia]*tblDados[GS_V]))</f>
        <v/>
      </c>
      <c r="Y994" s="14" t="str">
        <f t="shared" si="255"/>
        <v/>
      </c>
      <c r="Z994" s="14" t="str">
        <f t="shared" si="244"/>
        <v/>
      </c>
      <c r="AA994" s="14" t="str">
        <f t="shared" si="245"/>
        <v/>
      </c>
      <c r="AB994" s="14" t="str">
        <f t="shared" si="246"/>
        <v/>
      </c>
      <c r="AC994" s="14" t="str">
        <f t="shared" si="247"/>
        <v/>
      </c>
      <c r="AD994" s="14" t="str">
        <f t="shared" si="248"/>
        <v/>
      </c>
    </row>
    <row r="995" spans="2:30" x14ac:dyDescent="0.3">
      <c r="B995" s="13" t="str" cm="1">
        <f t="array" ref="B995">IF($A995="","",_xlfn.LET(_xlpm.p,IFERROR(INDEX(tblDados[País],MATCH($A995,TRIM(tblDados[Mandante]),0)),INDEX(tblDados[País],MATCH($A995,TRIM(tblDados[Visitante]),0))),_xlpm.l,IFERROR(INDEX(tblDados[Liga],MATCH($A995,TRIM(tblDados[Mandante]),0)),INDEX(tblDados[Liga],MATCH($A995,TRIM(tblDados[Visitante]),0))),_xlpm.p&amp;" - "&amp;_xlpm.l))</f>
        <v/>
      </c>
      <c r="C995" s="14" t="str">
        <f t="shared" si="249"/>
        <v/>
      </c>
      <c r="D995" s="14" t="str">
        <f t="shared" si="250"/>
        <v/>
      </c>
      <c r="E995" s="15" t="str" cm="1">
        <f t="array" ref="E995">IF($A995="","",SUMPRODUCT((TRIM(tblDados[Mandante])=$A995)*tblDados[Primeira_Ocorrencia]))</f>
        <v/>
      </c>
      <c r="F995" s="15" t="str" cm="1">
        <f t="array" ref="F995">IF($A995="","",SUMPRODUCT((TRIM(tblDados[Visitante])=$A995)*tblDados[Primeira_Ocorrencia]))</f>
        <v/>
      </c>
      <c r="G995" s="15" t="str" cm="1">
        <f t="array" ref="G995">IF($A995="","",SUMPRODUCT((TRIM(tblDados[Mandante])=$A995)*tblDados[Primeira_Ocorrencia])+SUMPRODUCT((TRIM(tblDados[Visitante])=$A995)*tblDados[Primeira_Ocorrencia]))</f>
        <v/>
      </c>
      <c r="H995" s="14" t="str">
        <f t="shared" si="251"/>
        <v/>
      </c>
      <c r="I995" s="14" t="str" cm="1">
        <f t="array" ref="I995">IF($A995="","",_xlfn.LET(_xlpm.p,IFERROR(INDEX(tblDados[País],MATCH($A995,TRIM(tblDados[Mandante]),0)),INDEX(tblDados[País],MATCH($A995,TRIM(tblDados[Visitante]),0))),_xlpm.l,IFERROR(INDEX(tblDados[Liga],MATCH($A995,TRIM(tblDados[Mandante]),0)),INDEX(tblDados[Liga],MATCH($A995,TRIM(tblDados[Visitante]),0))),IFERROR(SUMIFS(Ligas!$D$2:$D$39,Ligas!$H$2:$H$39,_xlpm.p,Ligas!$I$2:$I$39,_xlpm.l),0)))</f>
        <v/>
      </c>
      <c r="J995" s="16" t="str" cm="1">
        <f t="array" ref="J995">IF($A995="","",IFERROR((SUMPRODUCT((TRIM(tblDados[Mandante])=$A995)*tblDados[Primeira_Ocorrencia]*(tblDados[GM_M]=0))+SUMPRODUCT((TRIM(tblDados[Visitante])=$A995)*tblDados[Primeira_Ocorrencia]*(tblDados[GM_V]=0)))/G995,0))</f>
        <v/>
      </c>
      <c r="K995" s="16" t="str" cm="1">
        <f t="array" ref="K995">IF($A995="","",IFERROR((SUMPRODUCT((TRIM(tblDados[Mandante])=$A995)*tblDados[Primeira_Ocorrencia]*((tblDados[GM_M]+tblDados[GS_M])&gt;0.5))+SUMPRODUCT((TRIM(tblDados[Visitante])=$A995)*tblDados[Primeira_Ocorrencia]*((tblDados[GM_V]+tblDados[GS_V])&gt;0.5)))/G995,0))</f>
        <v/>
      </c>
      <c r="L995" s="16" t="str" cm="1">
        <f t="array" ref="L995">IF($A995="","",IFERROR((SUMPRODUCT((TRIM(tblDados[Mandante])=$A995)*tblDados[Primeira_Ocorrencia]*((tblDados[GM_M]+tblDados[GS_M])&gt;1.5))+SUMPRODUCT((TRIM(tblDados[Visitante])=$A995)*tblDados[Primeira_Ocorrencia]*((tblDados[GM_V]+tblDados[GS_V])&gt;1.5)))/G995,0))</f>
        <v/>
      </c>
      <c r="M995" s="16" t="str" cm="1">
        <f t="array" ref="M995">IF($A995="","",IFERROR((SUMPRODUCT((TRIM(tblDados[Mandante])=$A995)*tblDados[Primeira_Ocorrencia]*((tblDados[GM_M]+tblDados[GS_M])&gt;2.5))+SUMPRODUCT((TRIM(tblDados[Visitante])=$A995)*tblDados[Primeira_Ocorrencia]*((tblDados[GM_V]+tblDados[GS_V])&gt;2.5)))/G995,0))</f>
        <v/>
      </c>
      <c r="N995" s="16" t="str" cm="1">
        <f t="array" ref="N995">IF($A995="","",IFERROR((SUMPRODUCT((TRIM(tblDados[Mandante])=$A995)*tblDados[Primeira_Ocorrencia]*((tblDados[GM_M]+tblDados[GS_M])&gt;3.5))+SUMPRODUCT((TRIM(tblDados[Visitante])=$A995)*tblDados[Primeira_Ocorrencia]*((tblDados[GM_V]+tblDados[GS_V])&gt;3.5)))/G995,0))</f>
        <v/>
      </c>
      <c r="O995" s="16" t="str" cm="1">
        <f t="array" ref="O995">IF($A995="","",IFERROR((SUMPRODUCT((TRIM(tblDados[Mandante])=$A995)*tblDados[Primeira_Ocorrencia]*(tblDados[GM_M]&gt;0)*(tblDados[GS_M]&gt;0))+SUMPRODUCT((TRIM(tblDados[Visitante])=$A995)*tblDados[Primeira_Ocorrencia]*(tblDados[GM_V]&gt;0)*(tblDados[GS_V]&gt;0)))/G995,0))</f>
        <v/>
      </c>
      <c r="P995" s="14" t="str" cm="1">
        <f t="array" ref="P995">IF($A995="","",IFERROR((SUMPRODUCT((TRIM(tblDados[Mandante])=$A995)*tblDados[Primeira_Ocorrencia]*tblDados[GM_M]^2)+SUMPRODUCT((TRIM(tblDados[Visitante])=$A995)*tblDados[Primeira_Ocorrencia]*tblDados[GM_V]^2))/G995-H995^2,0))</f>
        <v/>
      </c>
      <c r="Q995" s="14" t="str">
        <f t="shared" si="252"/>
        <v/>
      </c>
      <c r="R995" s="1" t="str">
        <f t="shared" si="253"/>
        <v/>
      </c>
      <c r="S995" s="14" t="str" cm="1">
        <f t="array" ref="S995">IF($A995="","",SUMPRODUCT((TRIM(tblDados[Mandante])=$A995)*tblDados[Primeira_Ocorrencia]*tblDados[GM_M]))</f>
        <v/>
      </c>
      <c r="T995" s="14" t="str" cm="1">
        <f t="array" ref="T995">IF($A995="","",SUMPRODUCT((TRIM(tblDados[Visitante])=$A995)*tblDados[Primeira_Ocorrencia]*tblDados[GM_V]))</f>
        <v/>
      </c>
      <c r="U995" s="14" t="str">
        <f t="shared" si="254"/>
        <v/>
      </c>
      <c r="V995" s="14" t="str">
        <f t="shared" si="243"/>
        <v/>
      </c>
      <c r="W995" s="14" t="str" cm="1">
        <f t="array" ref="W995">IF($A995="","",SUMPRODUCT((TRIM(tblDados[Mandante])=$A995)*tblDados[Primeira_Ocorrencia]*tblDados[GS_M]))</f>
        <v/>
      </c>
      <c r="X995" s="14" t="str" cm="1">
        <f t="array" ref="X995">IF($A995="","",SUMPRODUCT((TRIM(tblDados[Visitante])=$A995)*tblDados[Primeira_Ocorrencia]*tblDados[GS_V]))</f>
        <v/>
      </c>
      <c r="Y995" s="14" t="str">
        <f t="shared" si="255"/>
        <v/>
      </c>
      <c r="Z995" s="14" t="str">
        <f t="shared" si="244"/>
        <v/>
      </c>
      <c r="AA995" s="14" t="str">
        <f t="shared" si="245"/>
        <v/>
      </c>
      <c r="AB995" s="14" t="str">
        <f t="shared" si="246"/>
        <v/>
      </c>
      <c r="AC995" s="14" t="str">
        <f t="shared" si="247"/>
        <v/>
      </c>
      <c r="AD995" s="14" t="str">
        <f t="shared" si="248"/>
        <v/>
      </c>
    </row>
    <row r="996" spans="2:30" x14ac:dyDescent="0.3">
      <c r="B996" s="13" t="str" cm="1">
        <f t="array" ref="B996">IF($A996="","",_xlfn.LET(_xlpm.p,IFERROR(INDEX(tblDados[País],MATCH($A996,TRIM(tblDados[Mandante]),0)),INDEX(tblDados[País],MATCH($A996,TRIM(tblDados[Visitante]),0))),_xlpm.l,IFERROR(INDEX(tblDados[Liga],MATCH($A996,TRIM(tblDados[Mandante]),0)),INDEX(tblDados[Liga],MATCH($A996,TRIM(tblDados[Visitante]),0))),_xlpm.p&amp;" - "&amp;_xlpm.l))</f>
        <v/>
      </c>
      <c r="C996" s="14" t="str">
        <f t="shared" si="249"/>
        <v/>
      </c>
      <c r="D996" s="14" t="str">
        <f t="shared" si="250"/>
        <v/>
      </c>
      <c r="E996" s="15" t="str" cm="1">
        <f t="array" ref="E996">IF($A996="","",SUMPRODUCT((TRIM(tblDados[Mandante])=$A996)*tblDados[Primeira_Ocorrencia]))</f>
        <v/>
      </c>
      <c r="F996" s="15" t="str" cm="1">
        <f t="array" ref="F996">IF($A996="","",SUMPRODUCT((TRIM(tblDados[Visitante])=$A996)*tblDados[Primeira_Ocorrencia]))</f>
        <v/>
      </c>
      <c r="G996" s="15" t="str" cm="1">
        <f t="array" ref="G996">IF($A996="","",SUMPRODUCT((TRIM(tblDados[Mandante])=$A996)*tblDados[Primeira_Ocorrencia])+SUMPRODUCT((TRIM(tblDados[Visitante])=$A996)*tblDados[Primeira_Ocorrencia]))</f>
        <v/>
      </c>
      <c r="H996" s="14" t="str">
        <f t="shared" si="251"/>
        <v/>
      </c>
      <c r="I996" s="14" t="str" cm="1">
        <f t="array" ref="I996">IF($A996="","",_xlfn.LET(_xlpm.p,IFERROR(INDEX(tblDados[País],MATCH($A996,TRIM(tblDados[Mandante]),0)),INDEX(tblDados[País],MATCH($A996,TRIM(tblDados[Visitante]),0))),_xlpm.l,IFERROR(INDEX(tblDados[Liga],MATCH($A996,TRIM(tblDados[Mandante]),0)),INDEX(tblDados[Liga],MATCH($A996,TRIM(tblDados[Visitante]),0))),IFERROR(SUMIFS(Ligas!$D$2:$D$39,Ligas!$H$2:$H$39,_xlpm.p,Ligas!$I$2:$I$39,_xlpm.l),0)))</f>
        <v/>
      </c>
      <c r="J996" s="16" t="str" cm="1">
        <f t="array" ref="J996">IF($A996="","",IFERROR((SUMPRODUCT((TRIM(tblDados[Mandante])=$A996)*tblDados[Primeira_Ocorrencia]*(tblDados[GM_M]=0))+SUMPRODUCT((TRIM(tblDados[Visitante])=$A996)*tblDados[Primeira_Ocorrencia]*(tblDados[GM_V]=0)))/G996,0))</f>
        <v/>
      </c>
      <c r="K996" s="16" t="str" cm="1">
        <f t="array" ref="K996">IF($A996="","",IFERROR((SUMPRODUCT((TRIM(tblDados[Mandante])=$A996)*tblDados[Primeira_Ocorrencia]*((tblDados[GM_M]+tblDados[GS_M])&gt;0.5))+SUMPRODUCT((TRIM(tblDados[Visitante])=$A996)*tblDados[Primeira_Ocorrencia]*((tblDados[GM_V]+tblDados[GS_V])&gt;0.5)))/G996,0))</f>
        <v/>
      </c>
      <c r="L996" s="16" t="str" cm="1">
        <f t="array" ref="L996">IF($A996="","",IFERROR((SUMPRODUCT((TRIM(tblDados[Mandante])=$A996)*tblDados[Primeira_Ocorrencia]*((tblDados[GM_M]+tblDados[GS_M])&gt;1.5))+SUMPRODUCT((TRIM(tblDados[Visitante])=$A996)*tblDados[Primeira_Ocorrencia]*((tblDados[GM_V]+tblDados[GS_V])&gt;1.5)))/G996,0))</f>
        <v/>
      </c>
      <c r="M996" s="16" t="str" cm="1">
        <f t="array" ref="M996">IF($A996="","",IFERROR((SUMPRODUCT((TRIM(tblDados[Mandante])=$A996)*tblDados[Primeira_Ocorrencia]*((tblDados[GM_M]+tblDados[GS_M])&gt;2.5))+SUMPRODUCT((TRIM(tblDados[Visitante])=$A996)*tblDados[Primeira_Ocorrencia]*((tblDados[GM_V]+tblDados[GS_V])&gt;2.5)))/G996,0))</f>
        <v/>
      </c>
      <c r="N996" s="16" t="str" cm="1">
        <f t="array" ref="N996">IF($A996="","",IFERROR((SUMPRODUCT((TRIM(tblDados[Mandante])=$A996)*tblDados[Primeira_Ocorrencia]*((tblDados[GM_M]+tblDados[GS_M])&gt;3.5))+SUMPRODUCT((TRIM(tblDados[Visitante])=$A996)*tblDados[Primeira_Ocorrencia]*((tblDados[GM_V]+tblDados[GS_V])&gt;3.5)))/G996,0))</f>
        <v/>
      </c>
      <c r="O996" s="16" t="str" cm="1">
        <f t="array" ref="O996">IF($A996="","",IFERROR((SUMPRODUCT((TRIM(tblDados[Mandante])=$A996)*tblDados[Primeira_Ocorrencia]*(tblDados[GM_M]&gt;0)*(tblDados[GS_M]&gt;0))+SUMPRODUCT((TRIM(tblDados[Visitante])=$A996)*tblDados[Primeira_Ocorrencia]*(tblDados[GM_V]&gt;0)*(tblDados[GS_V]&gt;0)))/G996,0))</f>
        <v/>
      </c>
      <c r="P996" s="14" t="str" cm="1">
        <f t="array" ref="P996">IF($A996="","",IFERROR((SUMPRODUCT((TRIM(tblDados[Mandante])=$A996)*tblDados[Primeira_Ocorrencia]*tblDados[GM_M]^2)+SUMPRODUCT((TRIM(tblDados[Visitante])=$A996)*tblDados[Primeira_Ocorrencia]*tblDados[GM_V]^2))/G996-H996^2,0))</f>
        <v/>
      </c>
      <c r="Q996" s="14" t="str">
        <f t="shared" si="252"/>
        <v/>
      </c>
      <c r="R996" s="1" t="str">
        <f t="shared" si="253"/>
        <v/>
      </c>
      <c r="S996" s="14" t="str" cm="1">
        <f t="array" ref="S996">IF($A996="","",SUMPRODUCT((TRIM(tblDados[Mandante])=$A996)*tblDados[Primeira_Ocorrencia]*tblDados[GM_M]))</f>
        <v/>
      </c>
      <c r="T996" s="14" t="str" cm="1">
        <f t="array" ref="T996">IF($A996="","",SUMPRODUCT((TRIM(tblDados[Visitante])=$A996)*tblDados[Primeira_Ocorrencia]*tblDados[GM_V]))</f>
        <v/>
      </c>
      <c r="U996" s="14" t="str">
        <f t="shared" si="254"/>
        <v/>
      </c>
      <c r="V996" s="14" t="str">
        <f t="shared" si="243"/>
        <v/>
      </c>
      <c r="W996" s="14" t="str" cm="1">
        <f t="array" ref="W996">IF($A996="","",SUMPRODUCT((TRIM(tblDados[Mandante])=$A996)*tblDados[Primeira_Ocorrencia]*tblDados[GS_M]))</f>
        <v/>
      </c>
      <c r="X996" s="14" t="str" cm="1">
        <f t="array" ref="X996">IF($A996="","",SUMPRODUCT((TRIM(tblDados[Visitante])=$A996)*tblDados[Primeira_Ocorrencia]*tblDados[GS_V]))</f>
        <v/>
      </c>
      <c r="Y996" s="14" t="str">
        <f t="shared" si="255"/>
        <v/>
      </c>
      <c r="Z996" s="14" t="str">
        <f t="shared" si="244"/>
        <v/>
      </c>
      <c r="AA996" s="14" t="str">
        <f t="shared" si="245"/>
        <v/>
      </c>
      <c r="AB996" s="14" t="str">
        <f t="shared" si="246"/>
        <v/>
      </c>
      <c r="AC996" s="14" t="str">
        <f t="shared" si="247"/>
        <v/>
      </c>
      <c r="AD996" s="14" t="str">
        <f t="shared" si="248"/>
        <v/>
      </c>
    </row>
    <row r="997" spans="2:30" x14ac:dyDescent="0.3">
      <c r="B997" s="13" t="str" cm="1">
        <f t="array" ref="B997">IF($A997="","",_xlfn.LET(_xlpm.p,IFERROR(INDEX(tblDados[País],MATCH($A997,TRIM(tblDados[Mandante]),0)),INDEX(tblDados[País],MATCH($A997,TRIM(tblDados[Visitante]),0))),_xlpm.l,IFERROR(INDEX(tblDados[Liga],MATCH($A997,TRIM(tblDados[Mandante]),0)),INDEX(tblDados[Liga],MATCH($A997,TRIM(tblDados[Visitante]),0))),_xlpm.p&amp;" - "&amp;_xlpm.l))</f>
        <v/>
      </c>
      <c r="C997" s="14" t="str">
        <f t="shared" si="249"/>
        <v/>
      </c>
      <c r="D997" s="14" t="str">
        <f t="shared" si="250"/>
        <v/>
      </c>
      <c r="E997" s="15" t="str" cm="1">
        <f t="array" ref="E997">IF($A997="","",SUMPRODUCT((TRIM(tblDados[Mandante])=$A997)*tblDados[Primeira_Ocorrencia]))</f>
        <v/>
      </c>
      <c r="F997" s="15" t="str" cm="1">
        <f t="array" ref="F997">IF($A997="","",SUMPRODUCT((TRIM(tblDados[Visitante])=$A997)*tblDados[Primeira_Ocorrencia]))</f>
        <v/>
      </c>
      <c r="G997" s="15" t="str" cm="1">
        <f t="array" ref="G997">IF($A997="","",SUMPRODUCT((TRIM(tblDados[Mandante])=$A997)*tblDados[Primeira_Ocorrencia])+SUMPRODUCT((TRIM(tblDados[Visitante])=$A997)*tblDados[Primeira_Ocorrencia]))</f>
        <v/>
      </c>
      <c r="H997" s="14" t="str">
        <f t="shared" si="251"/>
        <v/>
      </c>
      <c r="I997" s="14" t="str" cm="1">
        <f t="array" ref="I997">IF($A997="","",_xlfn.LET(_xlpm.p,IFERROR(INDEX(tblDados[País],MATCH($A997,TRIM(tblDados[Mandante]),0)),INDEX(tblDados[País],MATCH($A997,TRIM(tblDados[Visitante]),0))),_xlpm.l,IFERROR(INDEX(tblDados[Liga],MATCH($A997,TRIM(tblDados[Mandante]),0)),INDEX(tblDados[Liga],MATCH($A997,TRIM(tblDados[Visitante]),0))),IFERROR(SUMIFS(Ligas!$D$2:$D$39,Ligas!$H$2:$H$39,_xlpm.p,Ligas!$I$2:$I$39,_xlpm.l),0)))</f>
        <v/>
      </c>
      <c r="J997" s="16" t="str" cm="1">
        <f t="array" ref="J997">IF($A997="","",IFERROR((SUMPRODUCT((TRIM(tblDados[Mandante])=$A997)*tblDados[Primeira_Ocorrencia]*(tblDados[GM_M]=0))+SUMPRODUCT((TRIM(tblDados[Visitante])=$A997)*tblDados[Primeira_Ocorrencia]*(tblDados[GM_V]=0)))/G997,0))</f>
        <v/>
      </c>
      <c r="K997" s="16" t="str" cm="1">
        <f t="array" ref="K997">IF($A997="","",IFERROR((SUMPRODUCT((TRIM(tblDados[Mandante])=$A997)*tblDados[Primeira_Ocorrencia]*((tblDados[GM_M]+tblDados[GS_M])&gt;0.5))+SUMPRODUCT((TRIM(tblDados[Visitante])=$A997)*tblDados[Primeira_Ocorrencia]*((tblDados[GM_V]+tblDados[GS_V])&gt;0.5)))/G997,0))</f>
        <v/>
      </c>
      <c r="L997" s="16" t="str" cm="1">
        <f t="array" ref="L997">IF($A997="","",IFERROR((SUMPRODUCT((TRIM(tblDados[Mandante])=$A997)*tblDados[Primeira_Ocorrencia]*((tblDados[GM_M]+tblDados[GS_M])&gt;1.5))+SUMPRODUCT((TRIM(tblDados[Visitante])=$A997)*tblDados[Primeira_Ocorrencia]*((tblDados[GM_V]+tblDados[GS_V])&gt;1.5)))/G997,0))</f>
        <v/>
      </c>
      <c r="M997" s="16" t="str" cm="1">
        <f t="array" ref="M997">IF($A997="","",IFERROR((SUMPRODUCT((TRIM(tblDados[Mandante])=$A997)*tblDados[Primeira_Ocorrencia]*((tblDados[GM_M]+tblDados[GS_M])&gt;2.5))+SUMPRODUCT((TRIM(tblDados[Visitante])=$A997)*tblDados[Primeira_Ocorrencia]*((tblDados[GM_V]+tblDados[GS_V])&gt;2.5)))/G997,0))</f>
        <v/>
      </c>
      <c r="N997" s="16" t="str" cm="1">
        <f t="array" ref="N997">IF($A997="","",IFERROR((SUMPRODUCT((TRIM(tblDados[Mandante])=$A997)*tblDados[Primeira_Ocorrencia]*((tblDados[GM_M]+tblDados[GS_M])&gt;3.5))+SUMPRODUCT((TRIM(tblDados[Visitante])=$A997)*tblDados[Primeira_Ocorrencia]*((tblDados[GM_V]+tblDados[GS_V])&gt;3.5)))/G997,0))</f>
        <v/>
      </c>
      <c r="O997" s="16" t="str" cm="1">
        <f t="array" ref="O997">IF($A997="","",IFERROR((SUMPRODUCT((TRIM(tblDados[Mandante])=$A997)*tblDados[Primeira_Ocorrencia]*(tblDados[GM_M]&gt;0)*(tblDados[GS_M]&gt;0))+SUMPRODUCT((TRIM(tblDados[Visitante])=$A997)*tblDados[Primeira_Ocorrencia]*(tblDados[GM_V]&gt;0)*(tblDados[GS_V]&gt;0)))/G997,0))</f>
        <v/>
      </c>
      <c r="P997" s="14" t="str" cm="1">
        <f t="array" ref="P997">IF($A997="","",IFERROR((SUMPRODUCT((TRIM(tblDados[Mandante])=$A997)*tblDados[Primeira_Ocorrencia]*tblDados[GM_M]^2)+SUMPRODUCT((TRIM(tblDados[Visitante])=$A997)*tblDados[Primeira_Ocorrencia]*tblDados[GM_V]^2))/G997-H997^2,0))</f>
        <v/>
      </c>
      <c r="Q997" s="14" t="str">
        <f t="shared" si="252"/>
        <v/>
      </c>
      <c r="R997" s="1" t="str">
        <f t="shared" si="253"/>
        <v/>
      </c>
      <c r="S997" s="14" t="str" cm="1">
        <f t="array" ref="S997">IF($A997="","",SUMPRODUCT((TRIM(tblDados[Mandante])=$A997)*tblDados[Primeira_Ocorrencia]*tblDados[GM_M]))</f>
        <v/>
      </c>
      <c r="T997" s="14" t="str" cm="1">
        <f t="array" ref="T997">IF($A997="","",SUMPRODUCT((TRIM(tblDados[Visitante])=$A997)*tblDados[Primeira_Ocorrencia]*tblDados[GM_V]))</f>
        <v/>
      </c>
      <c r="U997" s="14" t="str">
        <f t="shared" si="254"/>
        <v/>
      </c>
      <c r="V997" s="14" t="str">
        <f t="shared" si="243"/>
        <v/>
      </c>
      <c r="W997" s="14" t="str" cm="1">
        <f t="array" ref="W997">IF($A997="","",SUMPRODUCT((TRIM(tblDados[Mandante])=$A997)*tblDados[Primeira_Ocorrencia]*tblDados[GS_M]))</f>
        <v/>
      </c>
      <c r="X997" s="14" t="str" cm="1">
        <f t="array" ref="X997">IF($A997="","",SUMPRODUCT((TRIM(tblDados[Visitante])=$A997)*tblDados[Primeira_Ocorrencia]*tblDados[GS_V]))</f>
        <v/>
      </c>
      <c r="Y997" s="14" t="str">
        <f t="shared" si="255"/>
        <v/>
      </c>
      <c r="Z997" s="14" t="str">
        <f t="shared" si="244"/>
        <v/>
      </c>
      <c r="AA997" s="14" t="str">
        <f t="shared" si="245"/>
        <v/>
      </c>
      <c r="AB997" s="14" t="str">
        <f t="shared" si="246"/>
        <v/>
      </c>
      <c r="AC997" s="14" t="str">
        <f t="shared" si="247"/>
        <v/>
      </c>
      <c r="AD997" s="14" t="str">
        <f t="shared" si="248"/>
        <v/>
      </c>
    </row>
    <row r="998" spans="2:30" x14ac:dyDescent="0.3">
      <c r="B998" s="13" t="str" cm="1">
        <f t="array" ref="B998">IF($A998="","",_xlfn.LET(_xlpm.p,IFERROR(INDEX(tblDados[País],MATCH($A998,TRIM(tblDados[Mandante]),0)),INDEX(tblDados[País],MATCH($A998,TRIM(tblDados[Visitante]),0))),_xlpm.l,IFERROR(INDEX(tblDados[Liga],MATCH($A998,TRIM(tblDados[Mandante]),0)),INDEX(tblDados[Liga],MATCH($A998,TRIM(tblDados[Visitante]),0))),_xlpm.p&amp;" - "&amp;_xlpm.l))</f>
        <v/>
      </c>
      <c r="C998" s="14" t="str">
        <f t="shared" si="249"/>
        <v/>
      </c>
      <c r="D998" s="14" t="str">
        <f t="shared" si="250"/>
        <v/>
      </c>
      <c r="E998" s="15" t="str" cm="1">
        <f t="array" ref="E998">IF($A998="","",SUMPRODUCT((TRIM(tblDados[Mandante])=$A998)*tblDados[Primeira_Ocorrencia]))</f>
        <v/>
      </c>
      <c r="F998" s="15" t="str" cm="1">
        <f t="array" ref="F998">IF($A998="","",SUMPRODUCT((TRIM(tblDados[Visitante])=$A998)*tblDados[Primeira_Ocorrencia]))</f>
        <v/>
      </c>
      <c r="G998" s="15" t="str" cm="1">
        <f t="array" ref="G998">IF($A998="","",SUMPRODUCT((TRIM(tblDados[Mandante])=$A998)*tblDados[Primeira_Ocorrencia])+SUMPRODUCT((TRIM(tblDados[Visitante])=$A998)*tblDados[Primeira_Ocorrencia]))</f>
        <v/>
      </c>
      <c r="H998" s="14" t="str">
        <f t="shared" si="251"/>
        <v/>
      </c>
      <c r="I998" s="14" t="str" cm="1">
        <f t="array" ref="I998">IF($A998="","",_xlfn.LET(_xlpm.p,IFERROR(INDEX(tblDados[País],MATCH($A998,TRIM(tblDados[Mandante]),0)),INDEX(tblDados[País],MATCH($A998,TRIM(tblDados[Visitante]),0))),_xlpm.l,IFERROR(INDEX(tblDados[Liga],MATCH($A998,TRIM(tblDados[Mandante]),0)),INDEX(tblDados[Liga],MATCH($A998,TRIM(tblDados[Visitante]),0))),IFERROR(SUMIFS(Ligas!$D$2:$D$39,Ligas!$H$2:$H$39,_xlpm.p,Ligas!$I$2:$I$39,_xlpm.l),0)))</f>
        <v/>
      </c>
      <c r="J998" s="16" t="str" cm="1">
        <f t="array" ref="J998">IF($A998="","",IFERROR((SUMPRODUCT((TRIM(tblDados[Mandante])=$A998)*tblDados[Primeira_Ocorrencia]*(tblDados[GM_M]=0))+SUMPRODUCT((TRIM(tblDados[Visitante])=$A998)*tblDados[Primeira_Ocorrencia]*(tblDados[GM_V]=0)))/G998,0))</f>
        <v/>
      </c>
      <c r="K998" s="16" t="str" cm="1">
        <f t="array" ref="K998">IF($A998="","",IFERROR((SUMPRODUCT((TRIM(tblDados[Mandante])=$A998)*tblDados[Primeira_Ocorrencia]*((tblDados[GM_M]+tblDados[GS_M])&gt;0.5))+SUMPRODUCT((TRIM(tblDados[Visitante])=$A998)*tblDados[Primeira_Ocorrencia]*((tblDados[GM_V]+tblDados[GS_V])&gt;0.5)))/G998,0))</f>
        <v/>
      </c>
      <c r="L998" s="16" t="str" cm="1">
        <f t="array" ref="L998">IF($A998="","",IFERROR((SUMPRODUCT((TRIM(tblDados[Mandante])=$A998)*tblDados[Primeira_Ocorrencia]*((tblDados[GM_M]+tblDados[GS_M])&gt;1.5))+SUMPRODUCT((TRIM(tblDados[Visitante])=$A998)*tblDados[Primeira_Ocorrencia]*((tblDados[GM_V]+tblDados[GS_V])&gt;1.5)))/G998,0))</f>
        <v/>
      </c>
      <c r="M998" s="16" t="str" cm="1">
        <f t="array" ref="M998">IF($A998="","",IFERROR((SUMPRODUCT((TRIM(tblDados[Mandante])=$A998)*tblDados[Primeira_Ocorrencia]*((tblDados[GM_M]+tblDados[GS_M])&gt;2.5))+SUMPRODUCT((TRIM(tblDados[Visitante])=$A998)*tblDados[Primeira_Ocorrencia]*((tblDados[GM_V]+tblDados[GS_V])&gt;2.5)))/G998,0))</f>
        <v/>
      </c>
      <c r="N998" s="16" t="str" cm="1">
        <f t="array" ref="N998">IF($A998="","",IFERROR((SUMPRODUCT((TRIM(tblDados[Mandante])=$A998)*tblDados[Primeira_Ocorrencia]*((tblDados[GM_M]+tblDados[GS_M])&gt;3.5))+SUMPRODUCT((TRIM(tblDados[Visitante])=$A998)*tblDados[Primeira_Ocorrencia]*((tblDados[GM_V]+tblDados[GS_V])&gt;3.5)))/G998,0))</f>
        <v/>
      </c>
      <c r="O998" s="16" t="str" cm="1">
        <f t="array" ref="O998">IF($A998="","",IFERROR((SUMPRODUCT((TRIM(tblDados[Mandante])=$A998)*tblDados[Primeira_Ocorrencia]*(tblDados[GM_M]&gt;0)*(tblDados[GS_M]&gt;0))+SUMPRODUCT((TRIM(tblDados[Visitante])=$A998)*tblDados[Primeira_Ocorrencia]*(tblDados[GM_V]&gt;0)*(tblDados[GS_V]&gt;0)))/G998,0))</f>
        <v/>
      </c>
      <c r="P998" s="14" t="str" cm="1">
        <f t="array" ref="P998">IF($A998="","",IFERROR((SUMPRODUCT((TRIM(tblDados[Mandante])=$A998)*tblDados[Primeira_Ocorrencia]*tblDados[GM_M]^2)+SUMPRODUCT((TRIM(tblDados[Visitante])=$A998)*tblDados[Primeira_Ocorrencia]*tblDados[GM_V]^2))/G998-H998^2,0))</f>
        <v/>
      </c>
      <c r="Q998" s="14" t="str">
        <f t="shared" si="252"/>
        <v/>
      </c>
      <c r="R998" s="1" t="str">
        <f t="shared" si="253"/>
        <v/>
      </c>
      <c r="S998" s="14" t="str" cm="1">
        <f t="array" ref="S998">IF($A998="","",SUMPRODUCT((TRIM(tblDados[Mandante])=$A998)*tblDados[Primeira_Ocorrencia]*tblDados[GM_M]))</f>
        <v/>
      </c>
      <c r="T998" s="14" t="str" cm="1">
        <f t="array" ref="T998">IF($A998="","",SUMPRODUCT((TRIM(tblDados[Visitante])=$A998)*tblDados[Primeira_Ocorrencia]*tblDados[GM_V]))</f>
        <v/>
      </c>
      <c r="U998" s="14" t="str">
        <f t="shared" si="254"/>
        <v/>
      </c>
      <c r="V998" s="14" t="str">
        <f t="shared" si="243"/>
        <v/>
      </c>
      <c r="W998" s="14" t="str" cm="1">
        <f t="array" ref="W998">IF($A998="","",SUMPRODUCT((TRIM(tblDados[Mandante])=$A998)*tblDados[Primeira_Ocorrencia]*tblDados[GS_M]))</f>
        <v/>
      </c>
      <c r="X998" s="14" t="str" cm="1">
        <f t="array" ref="X998">IF($A998="","",SUMPRODUCT((TRIM(tblDados[Visitante])=$A998)*tblDados[Primeira_Ocorrencia]*tblDados[GS_V]))</f>
        <v/>
      </c>
      <c r="Y998" s="14" t="str">
        <f t="shared" si="255"/>
        <v/>
      </c>
      <c r="Z998" s="14" t="str">
        <f t="shared" si="244"/>
        <v/>
      </c>
      <c r="AA998" s="14" t="str">
        <f t="shared" si="245"/>
        <v/>
      </c>
      <c r="AB998" s="14" t="str">
        <f t="shared" si="246"/>
        <v/>
      </c>
      <c r="AC998" s="14" t="str">
        <f t="shared" si="247"/>
        <v/>
      </c>
      <c r="AD998" s="14" t="str">
        <f t="shared" si="248"/>
        <v/>
      </c>
    </row>
    <row r="999" spans="2:30" x14ac:dyDescent="0.3">
      <c r="B999" s="13" t="str" cm="1">
        <f t="array" ref="B999">IF($A999="","",_xlfn.LET(_xlpm.p,IFERROR(INDEX(tblDados[País],MATCH($A999,TRIM(tblDados[Mandante]),0)),INDEX(tblDados[País],MATCH($A999,TRIM(tblDados[Visitante]),0))),_xlpm.l,IFERROR(INDEX(tblDados[Liga],MATCH($A999,TRIM(tblDados[Mandante]),0)),INDEX(tblDados[Liga],MATCH($A999,TRIM(tblDados[Visitante]),0))),_xlpm.p&amp;" - "&amp;_xlpm.l))</f>
        <v/>
      </c>
      <c r="C999" s="14" t="str">
        <f t="shared" si="249"/>
        <v/>
      </c>
      <c r="D999" s="14" t="str">
        <f t="shared" si="250"/>
        <v/>
      </c>
      <c r="E999" s="15" t="str" cm="1">
        <f t="array" ref="E999">IF($A999="","",SUMPRODUCT((TRIM(tblDados[Mandante])=$A999)*tblDados[Primeira_Ocorrencia]))</f>
        <v/>
      </c>
      <c r="F999" s="15" t="str" cm="1">
        <f t="array" ref="F999">IF($A999="","",SUMPRODUCT((TRIM(tblDados[Visitante])=$A999)*tblDados[Primeira_Ocorrencia]))</f>
        <v/>
      </c>
      <c r="G999" s="15" t="str" cm="1">
        <f t="array" ref="G999">IF($A999="","",SUMPRODUCT((TRIM(tblDados[Mandante])=$A999)*tblDados[Primeira_Ocorrencia])+SUMPRODUCT((TRIM(tblDados[Visitante])=$A999)*tblDados[Primeira_Ocorrencia]))</f>
        <v/>
      </c>
      <c r="H999" s="14" t="str">
        <f t="shared" si="251"/>
        <v/>
      </c>
      <c r="I999" s="14" t="str" cm="1">
        <f t="array" ref="I999">IF($A999="","",_xlfn.LET(_xlpm.p,IFERROR(INDEX(tblDados[País],MATCH($A999,TRIM(tblDados[Mandante]),0)),INDEX(tblDados[País],MATCH($A999,TRIM(tblDados[Visitante]),0))),_xlpm.l,IFERROR(INDEX(tblDados[Liga],MATCH($A999,TRIM(tblDados[Mandante]),0)),INDEX(tblDados[Liga],MATCH($A999,TRIM(tblDados[Visitante]),0))),IFERROR(SUMIFS(Ligas!$D$2:$D$39,Ligas!$H$2:$H$39,_xlpm.p,Ligas!$I$2:$I$39,_xlpm.l),0)))</f>
        <v/>
      </c>
      <c r="J999" s="16" t="str" cm="1">
        <f t="array" ref="J999">IF($A999="","",IFERROR((SUMPRODUCT((TRIM(tblDados[Mandante])=$A999)*tblDados[Primeira_Ocorrencia]*(tblDados[GM_M]=0))+SUMPRODUCT((TRIM(tblDados[Visitante])=$A999)*tblDados[Primeira_Ocorrencia]*(tblDados[GM_V]=0)))/G999,0))</f>
        <v/>
      </c>
      <c r="K999" s="16" t="str" cm="1">
        <f t="array" ref="K999">IF($A999="","",IFERROR((SUMPRODUCT((TRIM(tblDados[Mandante])=$A999)*tblDados[Primeira_Ocorrencia]*((tblDados[GM_M]+tblDados[GS_M])&gt;0.5))+SUMPRODUCT((TRIM(tblDados[Visitante])=$A999)*tblDados[Primeira_Ocorrencia]*((tblDados[GM_V]+tblDados[GS_V])&gt;0.5)))/G999,0))</f>
        <v/>
      </c>
      <c r="L999" s="16" t="str" cm="1">
        <f t="array" ref="L999">IF($A999="","",IFERROR((SUMPRODUCT((TRIM(tblDados[Mandante])=$A999)*tblDados[Primeira_Ocorrencia]*((tblDados[GM_M]+tblDados[GS_M])&gt;1.5))+SUMPRODUCT((TRIM(tblDados[Visitante])=$A999)*tblDados[Primeira_Ocorrencia]*((tblDados[GM_V]+tblDados[GS_V])&gt;1.5)))/G999,0))</f>
        <v/>
      </c>
      <c r="M999" s="16" t="str" cm="1">
        <f t="array" ref="M999">IF($A999="","",IFERROR((SUMPRODUCT((TRIM(tblDados[Mandante])=$A999)*tblDados[Primeira_Ocorrencia]*((tblDados[GM_M]+tblDados[GS_M])&gt;2.5))+SUMPRODUCT((TRIM(tblDados[Visitante])=$A999)*tblDados[Primeira_Ocorrencia]*((tblDados[GM_V]+tblDados[GS_V])&gt;2.5)))/G999,0))</f>
        <v/>
      </c>
      <c r="N999" s="16" t="str" cm="1">
        <f t="array" ref="N999">IF($A999="","",IFERROR((SUMPRODUCT((TRIM(tblDados[Mandante])=$A999)*tblDados[Primeira_Ocorrencia]*((tblDados[GM_M]+tblDados[GS_M])&gt;3.5))+SUMPRODUCT((TRIM(tblDados[Visitante])=$A999)*tblDados[Primeira_Ocorrencia]*((tblDados[GM_V]+tblDados[GS_V])&gt;3.5)))/G999,0))</f>
        <v/>
      </c>
      <c r="O999" s="16" t="str" cm="1">
        <f t="array" ref="O999">IF($A999="","",IFERROR((SUMPRODUCT((TRIM(tblDados[Mandante])=$A999)*tblDados[Primeira_Ocorrencia]*(tblDados[GM_M]&gt;0)*(tblDados[GS_M]&gt;0))+SUMPRODUCT((TRIM(tblDados[Visitante])=$A999)*tblDados[Primeira_Ocorrencia]*(tblDados[GM_V]&gt;0)*(tblDados[GS_V]&gt;0)))/G999,0))</f>
        <v/>
      </c>
      <c r="P999" s="14" t="str" cm="1">
        <f t="array" ref="P999">IF($A999="","",IFERROR((SUMPRODUCT((TRIM(tblDados[Mandante])=$A999)*tblDados[Primeira_Ocorrencia]*tblDados[GM_M]^2)+SUMPRODUCT((TRIM(tblDados[Visitante])=$A999)*tblDados[Primeira_Ocorrencia]*tblDados[GM_V]^2))/G999-H999^2,0))</f>
        <v/>
      </c>
      <c r="Q999" s="14" t="str">
        <f t="shared" si="252"/>
        <v/>
      </c>
      <c r="R999" s="1" t="str">
        <f t="shared" si="253"/>
        <v/>
      </c>
      <c r="S999" s="14" t="str" cm="1">
        <f t="array" ref="S999">IF($A999="","",SUMPRODUCT((TRIM(tblDados[Mandante])=$A999)*tblDados[Primeira_Ocorrencia]*tblDados[GM_M]))</f>
        <v/>
      </c>
      <c r="T999" s="14" t="str" cm="1">
        <f t="array" ref="T999">IF($A999="","",SUMPRODUCT((TRIM(tblDados[Visitante])=$A999)*tblDados[Primeira_Ocorrencia]*tblDados[GM_V]))</f>
        <v/>
      </c>
      <c r="U999" s="14" t="str">
        <f t="shared" si="254"/>
        <v/>
      </c>
      <c r="V999" s="14" t="str">
        <f t="shared" si="243"/>
        <v/>
      </c>
      <c r="W999" s="14" t="str" cm="1">
        <f t="array" ref="W999">IF($A999="","",SUMPRODUCT((TRIM(tblDados[Mandante])=$A999)*tblDados[Primeira_Ocorrencia]*tblDados[GS_M]))</f>
        <v/>
      </c>
      <c r="X999" s="14" t="str" cm="1">
        <f t="array" ref="X999">IF($A999="","",SUMPRODUCT((TRIM(tblDados[Visitante])=$A999)*tblDados[Primeira_Ocorrencia]*tblDados[GS_V]))</f>
        <v/>
      </c>
      <c r="Y999" s="14" t="str">
        <f t="shared" si="255"/>
        <v/>
      </c>
      <c r="Z999" s="14" t="str">
        <f t="shared" si="244"/>
        <v/>
      </c>
      <c r="AA999" s="14" t="str">
        <f t="shared" si="245"/>
        <v/>
      </c>
      <c r="AB999" s="14" t="str">
        <f t="shared" si="246"/>
        <v/>
      </c>
      <c r="AC999" s="14" t="str">
        <f t="shared" si="247"/>
        <v/>
      </c>
      <c r="AD999" s="14" t="str">
        <f t="shared" si="248"/>
        <v/>
      </c>
    </row>
    <row r="1000" spans="2:30" x14ac:dyDescent="0.3">
      <c r="B1000" s="13" t="str" cm="1">
        <f t="array" ref="B1000">IF($A1000="","",_xlfn.LET(_xlpm.p,IFERROR(INDEX(tblDados[País],MATCH($A1000,TRIM(tblDados[Mandante]),0)),INDEX(tblDados[País],MATCH($A1000,TRIM(tblDados[Visitante]),0))),_xlpm.l,IFERROR(INDEX(tblDados[Liga],MATCH($A1000,TRIM(tblDados[Mandante]),0)),INDEX(tblDados[Liga],MATCH($A1000,TRIM(tblDados[Visitante]),0))),_xlpm.p&amp;" - "&amp;_xlpm.l))</f>
        <v/>
      </c>
      <c r="C1000" s="14" t="str">
        <f t="shared" si="249"/>
        <v/>
      </c>
      <c r="D1000" s="14" t="str">
        <f t="shared" si="250"/>
        <v/>
      </c>
      <c r="E1000" s="15" t="str" cm="1">
        <f t="array" ref="E1000">IF($A1000="","",SUMPRODUCT((TRIM(tblDados[Mandante])=$A1000)*tblDados[Primeira_Ocorrencia]))</f>
        <v/>
      </c>
      <c r="F1000" s="15" t="str" cm="1">
        <f t="array" ref="F1000">IF($A1000="","",SUMPRODUCT((TRIM(tblDados[Visitante])=$A1000)*tblDados[Primeira_Ocorrencia]))</f>
        <v/>
      </c>
      <c r="G1000" s="15" t="str" cm="1">
        <f t="array" ref="G1000">IF($A1000="","",SUMPRODUCT((TRIM(tblDados[Mandante])=$A1000)*tblDados[Primeira_Ocorrencia])+SUMPRODUCT((TRIM(tblDados[Visitante])=$A1000)*tblDados[Primeira_Ocorrencia]))</f>
        <v/>
      </c>
      <c r="H1000" s="14" t="str">
        <f t="shared" si="251"/>
        <v/>
      </c>
      <c r="I1000" s="14" t="str" cm="1">
        <f t="array" ref="I1000">IF($A1000="","",_xlfn.LET(_xlpm.p,IFERROR(INDEX(tblDados[País],MATCH($A1000,TRIM(tblDados[Mandante]),0)),INDEX(tblDados[País],MATCH($A1000,TRIM(tblDados[Visitante]),0))),_xlpm.l,IFERROR(INDEX(tblDados[Liga],MATCH($A1000,TRIM(tblDados[Mandante]),0)),INDEX(tblDados[Liga],MATCH($A1000,TRIM(tblDados[Visitante]),0))),IFERROR(SUMIFS(Ligas!$D$2:$D$39,Ligas!$H$2:$H$39,_xlpm.p,Ligas!$I$2:$I$39,_xlpm.l),0)))</f>
        <v/>
      </c>
      <c r="J1000" s="16" t="str" cm="1">
        <f t="array" ref="J1000">IF($A1000="","",IFERROR((SUMPRODUCT((TRIM(tblDados[Mandante])=$A1000)*tblDados[Primeira_Ocorrencia]*(tblDados[GM_M]=0))+SUMPRODUCT((TRIM(tblDados[Visitante])=$A1000)*tblDados[Primeira_Ocorrencia]*(tblDados[GM_V]=0)))/G1000,0))</f>
        <v/>
      </c>
      <c r="K1000" s="16" t="str" cm="1">
        <f t="array" ref="K1000">IF($A1000="","",IFERROR((SUMPRODUCT((TRIM(tblDados[Mandante])=$A1000)*tblDados[Primeira_Ocorrencia]*((tblDados[GM_M]+tblDados[GS_M])&gt;0.5))+SUMPRODUCT((TRIM(tblDados[Visitante])=$A1000)*tblDados[Primeira_Ocorrencia]*((tblDados[GM_V]+tblDados[GS_V])&gt;0.5)))/G1000,0))</f>
        <v/>
      </c>
      <c r="L1000" s="16" t="str" cm="1">
        <f t="array" ref="L1000">IF($A1000="","",IFERROR((SUMPRODUCT((TRIM(tblDados[Mandante])=$A1000)*tblDados[Primeira_Ocorrencia]*((tblDados[GM_M]+tblDados[GS_M])&gt;1.5))+SUMPRODUCT((TRIM(tblDados[Visitante])=$A1000)*tblDados[Primeira_Ocorrencia]*((tblDados[GM_V]+tblDados[GS_V])&gt;1.5)))/G1000,0))</f>
        <v/>
      </c>
      <c r="M1000" s="16" t="str" cm="1">
        <f t="array" ref="M1000">IF($A1000="","",IFERROR((SUMPRODUCT((TRIM(tblDados[Mandante])=$A1000)*tblDados[Primeira_Ocorrencia]*((tblDados[GM_M]+tblDados[GS_M])&gt;2.5))+SUMPRODUCT((TRIM(tblDados[Visitante])=$A1000)*tblDados[Primeira_Ocorrencia]*((tblDados[GM_V]+tblDados[GS_V])&gt;2.5)))/G1000,0))</f>
        <v/>
      </c>
      <c r="N1000" s="16" t="str" cm="1">
        <f t="array" ref="N1000">IF($A1000="","",IFERROR((SUMPRODUCT((TRIM(tblDados[Mandante])=$A1000)*tblDados[Primeira_Ocorrencia]*((tblDados[GM_M]+tblDados[GS_M])&gt;3.5))+SUMPRODUCT((TRIM(tblDados[Visitante])=$A1000)*tblDados[Primeira_Ocorrencia]*((tblDados[GM_V]+tblDados[GS_V])&gt;3.5)))/G1000,0))</f>
        <v/>
      </c>
      <c r="O1000" s="16" t="str" cm="1">
        <f t="array" ref="O1000">IF($A1000="","",IFERROR((SUMPRODUCT((TRIM(tblDados[Mandante])=$A1000)*tblDados[Primeira_Ocorrencia]*(tblDados[GM_M]&gt;0)*(tblDados[GS_M]&gt;0))+SUMPRODUCT((TRIM(tblDados[Visitante])=$A1000)*tblDados[Primeira_Ocorrencia]*(tblDados[GM_V]&gt;0)*(tblDados[GS_V]&gt;0)))/G1000,0))</f>
        <v/>
      </c>
      <c r="P1000" s="14" t="str" cm="1">
        <f t="array" ref="P1000">IF($A1000="","",IFERROR((SUMPRODUCT((TRIM(tblDados[Mandante])=$A1000)*tblDados[Primeira_Ocorrencia]*tblDados[GM_M]^2)+SUMPRODUCT((TRIM(tblDados[Visitante])=$A1000)*tblDados[Primeira_Ocorrencia]*tblDados[GM_V]^2))/G1000-H1000^2,0))</f>
        <v/>
      </c>
      <c r="Q1000" s="14" t="str">
        <f t="shared" si="252"/>
        <v/>
      </c>
      <c r="R1000" s="1" t="str">
        <f t="shared" si="253"/>
        <v/>
      </c>
      <c r="S1000" s="14" t="str" cm="1">
        <f t="array" ref="S1000">IF($A1000="","",SUMPRODUCT((TRIM(tblDados[Mandante])=$A1000)*tblDados[Primeira_Ocorrencia]*tblDados[GM_M]))</f>
        <v/>
      </c>
      <c r="T1000" s="14" t="str" cm="1">
        <f t="array" ref="T1000">IF($A1000="","",SUMPRODUCT((TRIM(tblDados[Visitante])=$A1000)*tblDados[Primeira_Ocorrencia]*tblDados[GM_V]))</f>
        <v/>
      </c>
      <c r="U1000" s="14" t="str">
        <f t="shared" si="254"/>
        <v/>
      </c>
      <c r="V1000" s="14" t="str">
        <f t="shared" si="243"/>
        <v/>
      </c>
      <c r="W1000" s="14" t="str" cm="1">
        <f t="array" ref="W1000">IF($A1000="","",SUMPRODUCT((TRIM(tblDados[Mandante])=$A1000)*tblDados[Primeira_Ocorrencia]*tblDados[GS_M]))</f>
        <v/>
      </c>
      <c r="X1000" s="14" t="str" cm="1">
        <f t="array" ref="X1000">IF($A1000="","",SUMPRODUCT((TRIM(tblDados[Visitante])=$A1000)*tblDados[Primeira_Ocorrencia]*tblDados[GS_V]))</f>
        <v/>
      </c>
      <c r="Y1000" s="14" t="str">
        <f t="shared" si="255"/>
        <v/>
      </c>
      <c r="Z1000" s="14" t="str">
        <f t="shared" si="244"/>
        <v/>
      </c>
      <c r="AA1000" s="14" t="str">
        <f t="shared" si="245"/>
        <v/>
      </c>
      <c r="AB1000" s="14" t="str">
        <f t="shared" si="246"/>
        <v/>
      </c>
      <c r="AC1000" s="14" t="str">
        <f t="shared" si="247"/>
        <v/>
      </c>
      <c r="AD1000" s="14" t="str">
        <f t="shared" si="248"/>
        <v/>
      </c>
    </row>
  </sheetData>
  <conditionalFormatting sqref="A2:A1000 C2:D1000 H2:H1000 AA2:AD1000">
    <cfRule type="expression" dxfId="237" priority="8">
      <formula>AND($G2&gt;=3,$H2&gt;3.2)</formula>
    </cfRule>
  </conditionalFormatting>
  <conditionalFormatting sqref="R2:R401">
    <cfRule type="expression" dxfId="236" priority="4">
      <formula>AND($G2&gt;=2,$G2&lt;=4)</formula>
    </cfRule>
  </conditionalFormatting>
  <conditionalFormatting sqref="R2:R1000">
    <cfRule type="expression" dxfId="235" priority="7">
      <formula>OR($R2="Poisson",$R2="Binomial Negativa")</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6C538A-5FB3-4AD7-8351-131408F498F3}">
  <dimension ref="A1:X1000"/>
  <sheetViews>
    <sheetView tabSelected="1" workbookViewId="0">
      <selection activeCell="C16" sqref="C16"/>
    </sheetView>
  </sheetViews>
  <sheetFormatPr defaultRowHeight="14.4" x14ac:dyDescent="0.3"/>
  <cols>
    <col min="1" max="1" width="8.33203125" customWidth="1"/>
    <col min="2" max="2" width="19.44140625" customWidth="1"/>
    <col min="3" max="3" width="20" customWidth="1"/>
    <col min="4" max="6" width="6.77734375" customWidth="1"/>
    <col min="7" max="10" width="12.77734375" customWidth="1"/>
    <col min="11" max="11" width="12.21875" customWidth="1"/>
    <col min="12" max="17" width="9.77734375" customWidth="1"/>
    <col min="18" max="19" width="16.6640625" customWidth="1"/>
    <col min="20" max="20" width="13" customWidth="1"/>
    <col min="21" max="21" width="7.6640625" hidden="1" customWidth="1"/>
    <col min="22" max="50" width="0" hidden="1" customWidth="1"/>
  </cols>
  <sheetData>
    <row r="1" spans="1:24" ht="30" customHeight="1" x14ac:dyDescent="0.45">
      <c r="A1" s="249" t="s">
        <v>660</v>
      </c>
      <c r="B1" s="249"/>
      <c r="C1" s="249"/>
      <c r="D1" s="249"/>
      <c r="E1" s="249"/>
      <c r="F1" s="249"/>
      <c r="G1" s="249"/>
      <c r="H1" s="249"/>
      <c r="I1" s="249"/>
      <c r="J1" s="249"/>
      <c r="K1" s="249"/>
      <c r="L1" s="249"/>
      <c r="M1" s="249"/>
      <c r="N1" s="249"/>
      <c r="O1" s="249"/>
      <c r="P1" s="249"/>
      <c r="Q1" s="249"/>
      <c r="R1" s="249"/>
      <c r="S1" s="249"/>
      <c r="T1" s="249"/>
      <c r="U1" s="23"/>
      <c r="V1" t="s">
        <v>1057</v>
      </c>
      <c r="W1" t="s">
        <v>1058</v>
      </c>
      <c r="X1" t="s">
        <v>1059</v>
      </c>
    </row>
    <row r="2" spans="1:24" x14ac:dyDescent="0.3">
      <c r="A2" s="229" t="s">
        <v>8306</v>
      </c>
      <c r="B2" s="229"/>
      <c r="C2" s="229"/>
      <c r="D2" s="229"/>
      <c r="E2" s="229"/>
      <c r="F2" s="229"/>
      <c r="G2" s="229"/>
      <c r="H2" s="229"/>
      <c r="I2" s="229"/>
      <c r="J2" s="229"/>
      <c r="K2" s="229"/>
      <c r="L2" s="229"/>
      <c r="M2" s="229"/>
      <c r="N2" s="229"/>
      <c r="O2" s="229"/>
      <c r="P2" s="229"/>
      <c r="Q2" s="229"/>
      <c r="R2" s="229"/>
      <c r="S2" s="229"/>
      <c r="T2" s="229"/>
      <c r="U2" s="24"/>
      <c r="V2">
        <f>IF(AND(Equipes!A2&lt;&gt;"",Equipes!B2&lt;&gt;"USA - MLS-Cross",Equipes!G2&gt;=4,Equipes!K2&gt;=90%),IFERROR((Equipes!C2*Equipes!E2+Equipes!D2*Equipes!F2)/Equipes!G2,0),"")</f>
        <v>4.3157894736842106</v>
      </c>
      <c r="W2">
        <f>IF(V2="","",IFERROR((Equipes!G2/(Equipes!G2+4))*V2+(1-Equipes!G2/(Equipes!G2+4))*Equipes!I2,V2))</f>
        <v>4.2191304347826089</v>
      </c>
      <c r="X2">
        <f>IF(V2="","",ROUND(Equipes!L2*1000000000,0)+ROUND(W2*1000000,0)+Equipes!G2*1000+(1001-ROW()))</f>
        <v>951607550</v>
      </c>
    </row>
    <row r="3" spans="1:24" ht="30" customHeight="1" x14ac:dyDescent="0.3">
      <c r="A3" s="248" t="s">
        <v>661</v>
      </c>
      <c r="B3" s="248"/>
      <c r="C3" s="248"/>
      <c r="D3" s="248"/>
      <c r="E3" s="248"/>
      <c r="F3" s="248"/>
      <c r="G3" s="248"/>
      <c r="H3" s="248"/>
      <c r="I3" s="248"/>
      <c r="J3" s="248"/>
      <c r="K3" s="248"/>
      <c r="L3" s="248"/>
      <c r="M3" s="248"/>
      <c r="N3" s="248"/>
      <c r="O3" s="248"/>
      <c r="P3" s="248"/>
      <c r="Q3" s="248"/>
      <c r="R3" s="248"/>
      <c r="S3" s="248"/>
      <c r="T3" s="248"/>
      <c r="U3" s="37"/>
      <c r="V3">
        <f>IF(AND(Equipes!A3&lt;&gt;"",Equipes!B3&lt;&gt;"USA - MLS-Cross",Equipes!G3&gt;=4,Equipes!K3&gt;=90%),IFERROR((Equipes!C3*Equipes!E3+Equipes!D3*Equipes!F3)/Equipes!G3,0),"")</f>
        <v>3.9444444444444446</v>
      </c>
      <c r="W3">
        <f>IF(V3="","",IFERROR((Equipes!G3/(Equipes!G3+4))*V3+(1-Equipes!G3/(Equipes!G3+4))*Equipes!I3,V3))</f>
        <v>3.9109090909090911</v>
      </c>
      <c r="X3">
        <f>IF(V3="","",ROUND(Equipes!L3*1000000000,0)+ROUND(W3*1000000,0)+Equipes!G3*1000+(1001-ROW()))</f>
        <v>948374351</v>
      </c>
    </row>
    <row r="4" spans="1:24" ht="30" customHeight="1" x14ac:dyDescent="0.3">
      <c r="A4" s="38" t="s">
        <v>407</v>
      </c>
      <c r="B4" s="38" t="s">
        <v>345</v>
      </c>
      <c r="C4" s="38" t="s">
        <v>346</v>
      </c>
      <c r="D4" s="38" t="s">
        <v>403</v>
      </c>
      <c r="E4" s="38" t="s">
        <v>656</v>
      </c>
      <c r="F4" s="38" t="s">
        <v>657</v>
      </c>
      <c r="G4" s="38" t="s">
        <v>408</v>
      </c>
      <c r="H4" s="38" t="s">
        <v>659</v>
      </c>
      <c r="I4" s="38" t="s">
        <v>658</v>
      </c>
      <c r="J4" s="38" t="s">
        <v>479</v>
      </c>
      <c r="K4" s="38" t="s">
        <v>347</v>
      </c>
      <c r="L4" s="38" t="s">
        <v>427</v>
      </c>
      <c r="M4" s="38" t="s">
        <v>428</v>
      </c>
      <c r="N4" s="38" t="s">
        <v>409</v>
      </c>
      <c r="O4" s="38" t="s">
        <v>410</v>
      </c>
      <c r="P4" s="38" t="s">
        <v>411</v>
      </c>
      <c r="Q4" s="38" t="s">
        <v>348</v>
      </c>
      <c r="R4" s="38" t="s">
        <v>356</v>
      </c>
      <c r="S4" s="38" t="s">
        <v>412</v>
      </c>
      <c r="T4" s="38" t="s">
        <v>413</v>
      </c>
    </row>
    <row r="5" spans="1:24" x14ac:dyDescent="0.3">
      <c r="A5" s="27" cm="1">
        <f t="array" ref="A5:T44">_xlfn.LET(_xlpm.teams,_xlfn._xlws.FILTER(Equipes!A2:A1000,(Equipes!A2:A1000&lt;&gt;"")*(Equipes!B2:B1000&lt;&gt;"USA - MLS-Cross")*(Equipes!G2:G1000&gt;=4)*(Equipes!K2:K1000&gt;=90%)),_xlpm.leagues,_xlfn._xlws.FILTER(Equipes!B2:B1000,(Equipes!A2:A1000&lt;&gt;"")*(Equipes!B2:B1000&lt;&gt;"USA - MLS-Cross")*(Equipes!G2:G1000&gt;=4)*(Equipes!K2:K1000&gt;=90%)),_xlpm.homegames,_xlfn._xlws.FILTER(Equipes!E2:E1000,(Equipes!A2:A1000&lt;&gt;"")*(Equipes!B2:B1000&lt;&gt;"USA - MLS-Cross")*(Equipes!G2:G1000&gt;=4)*(Equipes!K2:K1000&gt;=90%)),_xlpm.awaygames,_xlfn._xlws.FILTER(Equipes!F2:F1000,(Equipes!A2:A1000&lt;&gt;"")*(Equipes!B2:B1000&lt;&gt;"USA - MLS-Cross")*(Equipes!G2:G1000&gt;=4)*(Equipes!K2:K1000&gt;=90%)),_xlpm.games,_xlfn._xlws.FILTER(Equipes!G2:G1000,(Equipes!A2:A1000&lt;&gt;"")*(Equipes!B2:B1000&lt;&gt;"USA - MLS-Cross")*(Equipes!G2:G1000&gt;=4)*(Equipes!K2:K1000&gt;=90%)),_xlpm.homeindex,_xlfn._xlws.FILTER(Equipes!C2:C1000,(Equipes!A2:A1000&lt;&gt;"")*(Equipes!B2:B1000&lt;&gt;"USA - MLS-Cross")*(Equipes!G2:G1000&gt;=4)*(Equipes!K2:K1000&gt;=90%)),_xlpm.awayindex,_xlfn._xlws.FILTER(Equipes!D2:D1000,(Equipes!A2:A1000&lt;&gt;"")*(Equipes!B2:B1000&lt;&gt;"USA - MLS-Cross")*(Equipes!G2:G1000&gt;=4)*(Equipes!K2:K1000&gt;=90%)),_xlpm.goalsavg,_xlfn._xlws.FILTER(Equipes!H2:H1000,(Equipes!A2:A1000&lt;&gt;"")*(Equipes!B2:B1000&lt;&gt;"USA - MLS-Cross")*(Equipes!G2:G1000&gt;=4)*(Equipes!K2:K1000&gt;=90%)),_xlpm.leagueavg,_xlfn._xlws.FILTER(Equipes!I2:I1000,(Equipes!A2:A1000&lt;&gt;"")*(Equipes!B2:B1000&lt;&gt;"USA - MLS-Cross")*(Equipes!G2:G1000&gt;=4)*(Equipes!K2:K1000&gt;=90%)),_xlpm.over05,_xlfn._xlws.FILTER(Equipes!K2:K1000,(Equipes!A2:A1000&lt;&gt;"")*(Equipes!B2:B1000&lt;&gt;"USA - MLS-Cross")*(Equipes!G2:G1000&gt;=4)*(Equipes!K2:K1000&gt;=90%)),_xlpm.over15,_xlfn._xlws.FILTER(Equipes!L2:L1000,(Equipes!A2:A1000&lt;&gt;"")*(Equipes!B2:B1000&lt;&gt;"USA - MLS-Cross")*(Equipes!G2:G1000&gt;=4)*(Equipes!K2:K1000&gt;=90%)),_xlpm.over25,_xlfn._xlws.FILTER(Equipes!M2:M1000,(Equipes!A2:A1000&lt;&gt;"")*(Equipes!B2:B1000&lt;&gt;"USA - MLS-Cross")*(Equipes!G2:G1000&gt;=4)*(Equipes!K2:K1000&gt;=90%)),_xlpm.over35,_xlfn._xlws.FILTER(Equipes!N2:N1000,(Equipes!A2:A1000&lt;&gt;"")*(Equipes!B2:B1000&lt;&gt;"USA - MLS-Cross")*(Equipes!G2:G1000&gt;=4)*(Equipes!K2:K1000&gt;=90%)),_xlpm.bothscore,_xlfn._xlws.FILTER(Equipes!O2:O1000,(Equipes!A2:A1000&lt;&gt;"")*(Equipes!B2:B1000&lt;&gt;"USA - MLS-Cross")*(Equipes!G2:G1000&gt;=4)*(Equipes!K2:K1000&gt;=90%)),_xlpm.nomark,_xlfn._xlws.FILTER(Equipes!J2:J1000,(Equipes!A2:A1000&lt;&gt;"")*(Equipes!B2:B1000&lt;&gt;"USA - MLS-Cross")*(Equipes!G2:G1000&gt;=4)*(Equipes!K2:K1000&gt;=90%)),_xlpm.model,_xlfn._xlws.FILTER(Equipes!R2:R1000,(Equipes!A2:A1000&lt;&gt;"")*(Equipes!B2:B1000&lt;&gt;"USA - MLS-Cross")*(Equipes!G2:G1000&gt;=4)*(Equipes!K2:K1000&gt;=90%)),_xlpm.score,IFERROR((_xlpm.homeindex*_xlpm.homegames+_xlpm.awayindex*_xlpm.awaygames)/_xlpm.games,0),_xlpm.weight,_xlpm.games/(_xlpm.games+4),_xlpm.adjusted,IFERROR(_xlpm.weight*_xlpm.score+(1-_xlpm.weight)*_xlpm.leagueavg,_xlpm.score),_xlpm.normalized,IFERROR(_xlpm.score/_xlpm.leagueavg,0),_xlpm.quality,IF(_xlpm.games&gt;=8,"Robusta","Em formação"),_xlpm.dataset,_xlfn.HSTACK(_xlpm.teams,_xlpm.leagues,_xlpm.games,_xlpm.homeindex,_xlpm.awayindex,_xlpm.score,_xlpm.adjusted,_xlpm.normalized,_xlpm.goalsavg,_xlpm.leagueavg,_xlpm.over05,_xlpm.over15,_xlpm.over25,_xlpm.over35,_xlpm.bothscore,_xlpm.nomark,_xlpm.model,_xlpm.quality),_xlpm.sorted,_xlfn.SORTBY(_xlpm.dataset,_xlpm.over15,-1,_xlpm.adjusted,-1,_xlpm.games,-1),_xlpm.topteams,_xlfn.TAKE(_xlpm.sorted,MIN(40,ROWS(_xlpm.sorted))),_xlfn.HSTACK(_xlfn.SEQUENCE(ROWS(_xlpm.topteams)),_xlpm.topteams,IF(_xlfn.SEQUENCE(ROWS(_xlpm.topteams))&gt;0,"Selecionada","")))</f>
        <v>1</v>
      </c>
      <c r="B5" t="str">
        <v>FK Haugesund</v>
      </c>
      <c r="C5" t="str">
        <v>NOR - OBOS-ligaen</v>
      </c>
      <c r="D5" s="27">
        <v>12</v>
      </c>
      <c r="E5" s="26">
        <v>4.8333333333333339</v>
      </c>
      <c r="F5" s="26">
        <v>6.3333333333333339</v>
      </c>
      <c r="G5" s="26">
        <v>5.583333333333333</v>
      </c>
      <c r="H5" s="40">
        <v>4.8125</v>
      </c>
      <c r="I5" s="26">
        <v>2.2333333333333334</v>
      </c>
      <c r="J5" s="26">
        <v>3.4166666666666665</v>
      </c>
      <c r="K5" s="26">
        <v>2.5</v>
      </c>
      <c r="L5" s="29">
        <v>1</v>
      </c>
      <c r="M5" s="29">
        <v>1</v>
      </c>
      <c r="N5" s="29">
        <v>0.91666666666666663</v>
      </c>
      <c r="O5" s="29">
        <v>0.83333333333333337</v>
      </c>
      <c r="P5" s="29">
        <v>0.91666666666666663</v>
      </c>
      <c r="Q5" s="29">
        <v>0</v>
      </c>
      <c r="R5" t="str">
        <v>Poisson</v>
      </c>
      <c r="S5" s="28" t="str">
        <v>Robusta</v>
      </c>
      <c r="T5" s="28" t="str">
        <v>Selecionada</v>
      </c>
      <c r="U5" s="28"/>
    </row>
    <row r="6" spans="1:24" x14ac:dyDescent="0.3">
      <c r="A6" s="27">
        <v>2</v>
      </c>
      <c r="B6" t="str">
        <v>Jaro 2</v>
      </c>
      <c r="C6" t="str">
        <v>FIN - Kakkonen C</v>
      </c>
      <c r="D6" s="27">
        <v>13</v>
      </c>
      <c r="E6" s="26">
        <v>4.2857142857142856</v>
      </c>
      <c r="F6" s="26">
        <v>5.666666666666667</v>
      </c>
      <c r="G6" s="26">
        <v>4.9230769230769234</v>
      </c>
      <c r="H6" s="40">
        <v>4.7811764705882354</v>
      </c>
      <c r="I6" s="26">
        <v>1.1396011396011396</v>
      </c>
      <c r="J6" s="26">
        <v>1.6923076923076923</v>
      </c>
      <c r="K6" s="26">
        <v>4.32</v>
      </c>
      <c r="L6" s="29">
        <v>1</v>
      </c>
      <c r="M6" s="29">
        <v>1</v>
      </c>
      <c r="N6" s="29">
        <v>0.76923076923076927</v>
      </c>
      <c r="O6" s="29">
        <v>0.61538461538461542</v>
      </c>
      <c r="P6" s="29">
        <v>0.69230769230769229</v>
      </c>
      <c r="Q6" s="29">
        <v>0.15384615384615385</v>
      </c>
      <c r="R6" t="str">
        <v>Poisson</v>
      </c>
      <c r="S6" s="28" t="str">
        <v>Robusta</v>
      </c>
      <c r="T6" s="28" t="str">
        <v>Selecionada</v>
      </c>
      <c r="U6" s="28"/>
    </row>
    <row r="7" spans="1:24" x14ac:dyDescent="0.3">
      <c r="A7" s="27">
        <v>3</v>
      </c>
      <c r="B7" t="str">
        <v>KR Reykjavik (KR Reykjavík)</v>
      </c>
      <c r="C7" t="str">
        <v>ISL - Besta-deild karla (PL)</v>
      </c>
      <c r="D7" s="27">
        <v>12</v>
      </c>
      <c r="E7" s="26">
        <v>6</v>
      </c>
      <c r="F7" s="26">
        <v>4.8333333333333339</v>
      </c>
      <c r="G7" s="26">
        <v>5.416666666666667</v>
      </c>
      <c r="H7" s="40">
        <v>4.6875</v>
      </c>
      <c r="I7" s="26">
        <v>2.166666666666667</v>
      </c>
      <c r="J7" s="26">
        <v>3.0833333333333335</v>
      </c>
      <c r="K7" s="26">
        <v>2.5</v>
      </c>
      <c r="L7" s="29">
        <v>1</v>
      </c>
      <c r="M7" s="29">
        <v>1</v>
      </c>
      <c r="N7" s="29">
        <v>0.83333333333333337</v>
      </c>
      <c r="O7" s="29">
        <v>0.83333333333333337</v>
      </c>
      <c r="P7" s="29">
        <v>0.83333333333333337</v>
      </c>
      <c r="Q7" s="29">
        <v>8.3333333333333329E-2</v>
      </c>
      <c r="R7" t="str">
        <v>Poisson</v>
      </c>
      <c r="S7" s="28" t="str">
        <v>Robusta</v>
      </c>
      <c r="T7" s="28" t="str">
        <v>Selecionada</v>
      </c>
      <c r="U7" s="28"/>
    </row>
    <row r="8" spans="1:24" x14ac:dyDescent="0.3">
      <c r="A8" s="27">
        <v>4</v>
      </c>
      <c r="B8" t="str">
        <v>VPS Akatemia</v>
      </c>
      <c r="C8" t="str">
        <v>FIN - Kakkonen C</v>
      </c>
      <c r="D8" s="27">
        <v>14</v>
      </c>
      <c r="E8" s="26">
        <v>5</v>
      </c>
      <c r="F8" s="26">
        <v>4.5714285714285712</v>
      </c>
      <c r="G8" s="26">
        <v>4.7857142857142856</v>
      </c>
      <c r="H8" s="40">
        <v>4.6822222222222223</v>
      </c>
      <c r="I8" s="26">
        <v>1.1078042328042328</v>
      </c>
      <c r="J8" s="26">
        <v>2.8571428571428572</v>
      </c>
      <c r="K8" s="26">
        <v>4.32</v>
      </c>
      <c r="L8" s="29">
        <v>1</v>
      </c>
      <c r="M8" s="29">
        <v>1</v>
      </c>
      <c r="N8" s="29">
        <v>0.9285714285714286</v>
      </c>
      <c r="O8" s="29">
        <v>0.7142857142857143</v>
      </c>
      <c r="P8" s="29">
        <v>0.7857142857142857</v>
      </c>
      <c r="Q8" s="29">
        <v>7.1428571428571425E-2</v>
      </c>
      <c r="R8" t="str">
        <v>Poisson</v>
      </c>
      <c r="S8" s="28" t="str">
        <v>Robusta</v>
      </c>
      <c r="T8" s="28" t="str">
        <v>Selecionada</v>
      </c>
      <c r="U8" s="28"/>
    </row>
    <row r="9" spans="1:24" x14ac:dyDescent="0.3">
      <c r="A9" s="27">
        <v>5</v>
      </c>
      <c r="B9" t="str">
        <v>Ranheim Fotball</v>
      </c>
      <c r="C9" t="str">
        <v>NOR - OBOS-ligaen</v>
      </c>
      <c r="D9" s="27">
        <v>12</v>
      </c>
      <c r="E9" s="26">
        <v>5.3333333333333339</v>
      </c>
      <c r="F9" s="26">
        <v>5.1666666666666661</v>
      </c>
      <c r="G9" s="26">
        <v>5.25</v>
      </c>
      <c r="H9" s="40">
        <v>4.5625</v>
      </c>
      <c r="I9" s="26">
        <v>2.1</v>
      </c>
      <c r="J9" s="26">
        <v>2.4166666666666665</v>
      </c>
      <c r="K9" s="26">
        <v>2.5</v>
      </c>
      <c r="L9" s="29">
        <v>1</v>
      </c>
      <c r="M9" s="29">
        <v>1</v>
      </c>
      <c r="N9" s="29">
        <v>0.91666666666666663</v>
      </c>
      <c r="O9" s="29">
        <v>0.83333333333333337</v>
      </c>
      <c r="P9" s="29">
        <v>0.91666666666666663</v>
      </c>
      <c r="Q9" s="29">
        <v>8.3333333333333329E-2</v>
      </c>
      <c r="R9" t="str">
        <v>Poisson</v>
      </c>
      <c r="S9" s="28" t="str">
        <v>Robusta</v>
      </c>
      <c r="T9" s="28" t="str">
        <v>Selecionada</v>
      </c>
      <c r="U9" s="28"/>
    </row>
    <row r="10" spans="1:24" x14ac:dyDescent="0.3">
      <c r="A10" s="27">
        <v>6</v>
      </c>
      <c r="B10" t="str">
        <v>HPS</v>
      </c>
      <c r="C10" t="str">
        <v>FIN - Kakkonen A</v>
      </c>
      <c r="D10" s="27">
        <v>13</v>
      </c>
      <c r="E10" s="26">
        <v>5.7142857142857144</v>
      </c>
      <c r="F10" s="26">
        <v>3.333333333333333</v>
      </c>
      <c r="G10" s="26">
        <v>4.615384615384615</v>
      </c>
      <c r="H10" s="40">
        <v>4.421176470588235</v>
      </c>
      <c r="I10" s="26">
        <v>1.2177795818956767</v>
      </c>
      <c r="J10" s="26">
        <v>2.4615384615384617</v>
      </c>
      <c r="K10" s="26">
        <v>3.79</v>
      </c>
      <c r="L10" s="29">
        <v>1</v>
      </c>
      <c r="M10" s="29">
        <v>1</v>
      </c>
      <c r="N10" s="29">
        <v>0.69230769230769229</v>
      </c>
      <c r="O10" s="29">
        <v>0.61538461538461542</v>
      </c>
      <c r="P10" s="29">
        <v>0.69230769230769229</v>
      </c>
      <c r="Q10" s="29">
        <v>7.6923076923076927E-2</v>
      </c>
      <c r="R10" t="str">
        <v>Poisson</v>
      </c>
      <c r="S10" s="28" t="str">
        <v>Robusta</v>
      </c>
      <c r="T10" s="28" t="str">
        <v>Selecionada</v>
      </c>
      <c r="U10" s="28"/>
    </row>
    <row r="11" spans="1:24" x14ac:dyDescent="0.3">
      <c r="A11" s="27">
        <v>7</v>
      </c>
      <c r="B11" t="str">
        <v>Real Oruro</v>
      </c>
      <c r="C11" t="str">
        <v>BOL - Div. Profesional</v>
      </c>
      <c r="D11" s="27">
        <v>14</v>
      </c>
      <c r="E11" s="26">
        <v>4.5</v>
      </c>
      <c r="F11" s="26">
        <v>4.125</v>
      </c>
      <c r="G11" s="26">
        <v>4.2857142857142856</v>
      </c>
      <c r="H11" s="40">
        <v>4.137777777777778</v>
      </c>
      <c r="I11" s="26">
        <v>1.1838989739542225</v>
      </c>
      <c r="J11" s="26">
        <v>1.7857142857142858</v>
      </c>
      <c r="K11" s="26">
        <v>3.62</v>
      </c>
      <c r="L11" s="29">
        <v>1</v>
      </c>
      <c r="M11" s="29">
        <v>1</v>
      </c>
      <c r="N11" s="29">
        <v>0.9285714285714286</v>
      </c>
      <c r="O11" s="29">
        <v>0.6428571428571429</v>
      </c>
      <c r="P11" s="29">
        <v>0.8571428571428571</v>
      </c>
      <c r="Q11" s="29">
        <v>0.14285714285714285</v>
      </c>
      <c r="R11" t="str">
        <v>Poisson</v>
      </c>
      <c r="S11" s="28" t="str">
        <v>Robusta</v>
      </c>
      <c r="T11" s="28" t="str">
        <v>Selecionada</v>
      </c>
      <c r="U11" s="28"/>
    </row>
    <row r="12" spans="1:24" x14ac:dyDescent="0.3">
      <c r="A12" s="27">
        <v>8</v>
      </c>
      <c r="B12" t="str">
        <v>Sogndal Fotball</v>
      </c>
      <c r="C12" t="str">
        <v>NOR - OBOS-ligaen</v>
      </c>
      <c r="D12" s="27">
        <v>12</v>
      </c>
      <c r="E12" s="26">
        <v>4.833333333333333</v>
      </c>
      <c r="F12" s="26">
        <v>4.3333333333333339</v>
      </c>
      <c r="G12" s="26">
        <v>4.583333333333333</v>
      </c>
      <c r="H12" s="40">
        <v>4.0625</v>
      </c>
      <c r="I12" s="26">
        <v>1.8333333333333333</v>
      </c>
      <c r="J12" s="26">
        <v>2.0833333333333335</v>
      </c>
      <c r="K12" s="26">
        <v>2.5</v>
      </c>
      <c r="L12" s="29">
        <v>1</v>
      </c>
      <c r="M12" s="29">
        <v>1</v>
      </c>
      <c r="N12" s="29">
        <v>0.83333333333333337</v>
      </c>
      <c r="O12" s="29">
        <v>0.83333333333333337</v>
      </c>
      <c r="P12" s="29">
        <v>0.83333333333333337</v>
      </c>
      <c r="Q12" s="29">
        <v>0.16666666666666666</v>
      </c>
      <c r="R12" t="str">
        <v>Poisson</v>
      </c>
      <c r="S12" s="28" t="str">
        <v>Robusta</v>
      </c>
      <c r="T12" s="28" t="str">
        <v>Selecionada</v>
      </c>
      <c r="U12" s="28"/>
    </row>
    <row r="13" spans="1:24" x14ac:dyDescent="0.3">
      <c r="A13" s="27">
        <v>9</v>
      </c>
      <c r="B13" t="str">
        <v>EPS</v>
      </c>
      <c r="C13" t="str">
        <v>FIN - Kakkonen B</v>
      </c>
      <c r="D13" s="27">
        <v>7</v>
      </c>
      <c r="E13" s="26">
        <v>4.75</v>
      </c>
      <c r="F13" s="26">
        <v>3.666666666666667</v>
      </c>
      <c r="G13" s="26">
        <v>4.2857142857142856</v>
      </c>
      <c r="H13" s="40">
        <v>4.0218181818181815</v>
      </c>
      <c r="I13" s="26">
        <v>1.203852327447833</v>
      </c>
      <c r="J13" s="26">
        <v>2.2857142857142856</v>
      </c>
      <c r="K13" s="26">
        <v>3.56</v>
      </c>
      <c r="L13" s="29">
        <v>1</v>
      </c>
      <c r="M13" s="29">
        <v>1</v>
      </c>
      <c r="N13" s="29">
        <v>0.8571428571428571</v>
      </c>
      <c r="O13" s="29">
        <v>0.5714285714285714</v>
      </c>
      <c r="P13" s="29">
        <v>0.8571428571428571</v>
      </c>
      <c r="Q13" s="29">
        <v>0</v>
      </c>
      <c r="R13" t="str">
        <v>Poisson</v>
      </c>
      <c r="S13" s="28" t="str">
        <v>Em formação</v>
      </c>
      <c r="T13" s="28" t="str">
        <v>Selecionada</v>
      </c>
      <c r="U13" s="28"/>
    </row>
    <row r="14" spans="1:24" x14ac:dyDescent="0.3">
      <c r="A14" s="27">
        <v>10</v>
      </c>
      <c r="B14" t="str">
        <v>Kongsvinger IL</v>
      </c>
      <c r="C14" t="str">
        <v>NOR - OBOS-ligaen</v>
      </c>
      <c r="D14" s="27">
        <v>12</v>
      </c>
      <c r="E14" s="26">
        <v>5.6</v>
      </c>
      <c r="F14" s="26">
        <v>3.7142857142857144</v>
      </c>
      <c r="G14" s="26">
        <v>4.5</v>
      </c>
      <c r="H14" s="40">
        <v>4</v>
      </c>
      <c r="I14" s="26">
        <v>1.8</v>
      </c>
      <c r="J14" s="26">
        <v>2.75</v>
      </c>
      <c r="K14" s="26">
        <v>2.5</v>
      </c>
      <c r="L14" s="29">
        <v>1</v>
      </c>
      <c r="M14" s="29">
        <v>1</v>
      </c>
      <c r="N14" s="29">
        <v>0.83333333333333337</v>
      </c>
      <c r="O14" s="29">
        <v>0.58333333333333337</v>
      </c>
      <c r="P14" s="29">
        <v>0.83333333333333337</v>
      </c>
      <c r="Q14" s="29">
        <v>8.3333333333333329E-2</v>
      </c>
      <c r="R14" t="str">
        <v>Poisson</v>
      </c>
      <c r="S14" s="28" t="str">
        <v>Robusta</v>
      </c>
      <c r="T14" s="28" t="str">
        <v>Selecionada</v>
      </c>
      <c r="U14" s="28"/>
    </row>
    <row r="15" spans="1:24" x14ac:dyDescent="0.3">
      <c r="A15" s="27">
        <v>11</v>
      </c>
      <c r="B15" t="str">
        <v>Rochedale Rovers</v>
      </c>
      <c r="C15" t="str">
        <v>AUS - NPL Queensland</v>
      </c>
      <c r="D15" s="27">
        <v>17</v>
      </c>
      <c r="E15" s="26">
        <v>4.125</v>
      </c>
      <c r="F15" s="26">
        <v>3.8888888888888888</v>
      </c>
      <c r="G15" s="26">
        <v>4</v>
      </c>
      <c r="H15" s="40">
        <v>3.9542857142857142</v>
      </c>
      <c r="I15" s="26">
        <v>1.0638297872340425</v>
      </c>
      <c r="J15" s="26">
        <v>1.5294117647058822</v>
      </c>
      <c r="K15" s="26">
        <v>3.76</v>
      </c>
      <c r="L15" s="29">
        <v>1</v>
      </c>
      <c r="M15" s="29">
        <v>1</v>
      </c>
      <c r="N15" s="29">
        <v>0.82352941176470584</v>
      </c>
      <c r="O15" s="29">
        <v>0.6470588235294118</v>
      </c>
      <c r="P15" s="29">
        <v>0.76470588235294112</v>
      </c>
      <c r="Q15" s="29">
        <v>0.17647058823529413</v>
      </c>
      <c r="R15" t="str">
        <v>Poisson</v>
      </c>
      <c r="S15" s="28" t="str">
        <v>Robusta</v>
      </c>
      <c r="T15" s="28" t="str">
        <v>Selecionada</v>
      </c>
      <c r="U15" s="28"/>
    </row>
    <row r="16" spans="1:24" x14ac:dyDescent="0.3">
      <c r="A16" s="27">
        <v>12</v>
      </c>
      <c r="B16" t="str">
        <v>HIFK</v>
      </c>
      <c r="C16" t="str">
        <v>FIN - Kakkonen A</v>
      </c>
      <c r="D16" s="27">
        <v>13</v>
      </c>
      <c r="E16" s="26">
        <v>3.875</v>
      </c>
      <c r="F16" s="26">
        <v>4.2</v>
      </c>
      <c r="G16" s="26">
        <v>4</v>
      </c>
      <c r="H16" s="40">
        <v>3.9505882352941177</v>
      </c>
      <c r="I16" s="26">
        <v>1.0554089709762533</v>
      </c>
      <c r="J16" s="26">
        <v>2.3076923076923075</v>
      </c>
      <c r="K16" s="26">
        <v>3.79</v>
      </c>
      <c r="L16" s="29">
        <v>1</v>
      </c>
      <c r="M16" s="29">
        <v>1</v>
      </c>
      <c r="N16" s="29">
        <v>0.69230769230769229</v>
      </c>
      <c r="O16" s="29">
        <v>0.46153846153846156</v>
      </c>
      <c r="P16" s="29">
        <v>0.76923076923076927</v>
      </c>
      <c r="Q16" s="29">
        <v>7.6923076923076927E-2</v>
      </c>
      <c r="R16" t="str">
        <v>Poisson</v>
      </c>
      <c r="S16" s="28" t="str">
        <v>Robusta</v>
      </c>
      <c r="T16" s="28" t="str">
        <v>Selecionada</v>
      </c>
      <c r="U16" s="28"/>
    </row>
    <row r="17" spans="1:21" x14ac:dyDescent="0.3">
      <c r="A17" s="27">
        <v>13</v>
      </c>
      <c r="B17" t="str">
        <v>San Jose Earthquakes</v>
      </c>
      <c r="C17" t="str">
        <v>USA - MLS-West</v>
      </c>
      <c r="D17" s="27">
        <v>12</v>
      </c>
      <c r="E17" s="26">
        <v>3.8</v>
      </c>
      <c r="F17" s="26">
        <v>4.4285714285714288</v>
      </c>
      <c r="G17" s="26">
        <v>4.166666666666667</v>
      </c>
      <c r="H17" s="40">
        <v>3.95</v>
      </c>
      <c r="I17" s="26">
        <v>1.2626262626262628</v>
      </c>
      <c r="J17" s="26">
        <v>2.25</v>
      </c>
      <c r="K17" s="26">
        <v>3.3</v>
      </c>
      <c r="L17" s="29">
        <v>1</v>
      </c>
      <c r="M17" s="29">
        <v>1</v>
      </c>
      <c r="N17" s="29">
        <v>0.75</v>
      </c>
      <c r="O17" s="29">
        <v>0.75</v>
      </c>
      <c r="P17" s="29">
        <v>0.91666666666666663</v>
      </c>
      <c r="Q17" s="29">
        <v>8.3333333333333329E-2</v>
      </c>
      <c r="R17" t="str">
        <v>Poisson</v>
      </c>
      <c r="S17" s="28" t="str">
        <v>Robusta</v>
      </c>
      <c r="T17" s="28" t="str">
        <v>Selecionada</v>
      </c>
      <c r="U17" s="28"/>
    </row>
    <row r="18" spans="1:21" x14ac:dyDescent="0.3">
      <c r="A18" s="27">
        <v>14</v>
      </c>
      <c r="B18" t="str">
        <v>Hestrafors IF</v>
      </c>
      <c r="C18" t="str">
        <v>SWE - 2ª D Västra Götaland</v>
      </c>
      <c r="D18" s="27">
        <v>12</v>
      </c>
      <c r="E18" s="26">
        <v>4.8</v>
      </c>
      <c r="F18" s="26">
        <v>4.1428571428571423</v>
      </c>
      <c r="G18" s="26">
        <v>4.416666666666667</v>
      </c>
      <c r="H18" s="40">
        <v>3.9375</v>
      </c>
      <c r="I18" s="26">
        <v>1.7666666666666668</v>
      </c>
      <c r="J18" s="26">
        <v>2.3333333333333335</v>
      </c>
      <c r="K18" s="26">
        <v>2.5</v>
      </c>
      <c r="L18" s="29">
        <v>1</v>
      </c>
      <c r="M18" s="29">
        <v>1</v>
      </c>
      <c r="N18" s="29">
        <v>0.91666666666666663</v>
      </c>
      <c r="O18" s="29">
        <v>0.66666666666666663</v>
      </c>
      <c r="P18" s="29">
        <v>0.83333333333333337</v>
      </c>
      <c r="Q18" s="29">
        <v>8.3333333333333329E-2</v>
      </c>
      <c r="R18" t="str">
        <v>Poisson</v>
      </c>
      <c r="S18" s="28" t="str">
        <v>Robusta</v>
      </c>
      <c r="T18" s="28" t="str">
        <v>Selecionada</v>
      </c>
      <c r="U18" s="28"/>
    </row>
    <row r="19" spans="1:21" x14ac:dyDescent="0.3">
      <c r="A19" s="27">
        <v>15</v>
      </c>
      <c r="B19" t="str">
        <v>Avondale FC</v>
      </c>
      <c r="C19" t="str">
        <v>AUS - NPL Victoria</v>
      </c>
      <c r="D19" s="27">
        <v>12</v>
      </c>
      <c r="E19" s="26">
        <v>5.166666666666667</v>
      </c>
      <c r="F19" s="26">
        <v>3.3333333333333335</v>
      </c>
      <c r="G19" s="26">
        <v>4.25</v>
      </c>
      <c r="H19" s="40">
        <v>3.91</v>
      </c>
      <c r="I19" s="26">
        <v>1.4705882352941175</v>
      </c>
      <c r="J19" s="26">
        <v>2.9166666666666665</v>
      </c>
      <c r="K19" s="26">
        <v>2.89</v>
      </c>
      <c r="L19" s="29">
        <v>1</v>
      </c>
      <c r="M19" s="29">
        <v>1</v>
      </c>
      <c r="N19" s="29">
        <v>0.75</v>
      </c>
      <c r="O19" s="29">
        <v>0.58333333333333337</v>
      </c>
      <c r="P19" s="29">
        <v>0.5</v>
      </c>
      <c r="Q19" s="29">
        <v>0.16666666666666666</v>
      </c>
      <c r="R19" t="str">
        <v>Binomial Negativa</v>
      </c>
      <c r="S19" s="28" t="str">
        <v>Robusta</v>
      </c>
      <c r="T19" s="28" t="str">
        <v>Selecionada</v>
      </c>
      <c r="U19" s="28"/>
    </row>
    <row r="20" spans="1:21" x14ac:dyDescent="0.3">
      <c r="A20" s="27">
        <v>16</v>
      </c>
      <c r="B20" t="str">
        <v>Western Sydney Youth</v>
      </c>
      <c r="C20" t="str">
        <v>AUS - NPL New South Wales</v>
      </c>
      <c r="D20" s="27">
        <v>12</v>
      </c>
      <c r="E20" s="26">
        <v>3.8571428571428568</v>
      </c>
      <c r="F20" s="26">
        <v>4.2</v>
      </c>
      <c r="G20" s="26">
        <v>4</v>
      </c>
      <c r="H20" s="40">
        <v>3.9024999999999999</v>
      </c>
      <c r="I20" s="26">
        <v>1.10803324099723</v>
      </c>
      <c r="J20" s="26">
        <v>2.1666666666666665</v>
      </c>
      <c r="K20" s="26">
        <v>3.61</v>
      </c>
      <c r="L20" s="29">
        <v>1</v>
      </c>
      <c r="M20" s="29">
        <v>1</v>
      </c>
      <c r="N20" s="29">
        <v>0.83333333333333337</v>
      </c>
      <c r="O20" s="29">
        <v>0.41666666666666669</v>
      </c>
      <c r="P20" s="29">
        <v>0.41666666666666669</v>
      </c>
      <c r="Q20" s="29">
        <v>0.33333333333333331</v>
      </c>
      <c r="R20" t="str">
        <v>Binomial Negativa</v>
      </c>
      <c r="S20" s="28" t="str">
        <v>Robusta</v>
      </c>
      <c r="T20" s="28" t="str">
        <v>Selecionada</v>
      </c>
      <c r="U20" s="28"/>
    </row>
    <row r="21" spans="1:21" x14ac:dyDescent="0.3">
      <c r="A21" s="27">
        <v>17</v>
      </c>
      <c r="B21" t="str">
        <v>Moss FK</v>
      </c>
      <c r="C21" t="str">
        <v>NOR - OBOS-ligaen</v>
      </c>
      <c r="D21" s="27">
        <v>12</v>
      </c>
      <c r="E21" s="26">
        <v>4.166666666666667</v>
      </c>
      <c r="F21" s="26">
        <v>4.333333333333333</v>
      </c>
      <c r="G21" s="26">
        <v>4.25</v>
      </c>
      <c r="H21" s="40">
        <v>3.8125</v>
      </c>
      <c r="I21" s="26">
        <v>1.7</v>
      </c>
      <c r="J21" s="26">
        <v>1.75</v>
      </c>
      <c r="K21" s="26">
        <v>2.5</v>
      </c>
      <c r="L21" s="29">
        <v>1</v>
      </c>
      <c r="M21" s="29">
        <v>1</v>
      </c>
      <c r="N21" s="29">
        <v>0.91666666666666663</v>
      </c>
      <c r="O21" s="29">
        <v>0.66666666666666663</v>
      </c>
      <c r="P21" s="29">
        <v>0.91666666666666663</v>
      </c>
      <c r="Q21" s="29">
        <v>8.3333333333333329E-2</v>
      </c>
      <c r="R21" t="str">
        <v>Poisson</v>
      </c>
      <c r="S21" s="28" t="str">
        <v>Robusta</v>
      </c>
      <c r="T21" s="28" t="str">
        <v>Selecionada</v>
      </c>
      <c r="U21" s="28"/>
    </row>
    <row r="22" spans="1:21" x14ac:dyDescent="0.3">
      <c r="A22" s="27">
        <v>18</v>
      </c>
      <c r="B22" t="str">
        <v>Vikingur Reykjavik (Víkingur Reykjavík)</v>
      </c>
      <c r="C22" t="str">
        <v>ISL - Besta-deild karla (PL)</v>
      </c>
      <c r="D22" s="27">
        <v>12</v>
      </c>
      <c r="E22" s="26">
        <v>4.4000000000000004</v>
      </c>
      <c r="F22" s="26">
        <v>4.1428571428571423</v>
      </c>
      <c r="G22" s="26">
        <v>4.25</v>
      </c>
      <c r="H22" s="40">
        <v>3.8125</v>
      </c>
      <c r="I22" s="26">
        <v>1.7</v>
      </c>
      <c r="J22" s="26">
        <v>3.25</v>
      </c>
      <c r="K22" s="26">
        <v>2.5</v>
      </c>
      <c r="L22" s="29">
        <v>1</v>
      </c>
      <c r="M22" s="29">
        <v>1</v>
      </c>
      <c r="N22" s="29">
        <v>0.83333333333333337</v>
      </c>
      <c r="O22" s="29">
        <v>0.75</v>
      </c>
      <c r="P22" s="29">
        <v>0.66666666666666663</v>
      </c>
      <c r="Q22" s="29">
        <v>0</v>
      </c>
      <c r="R22" t="str">
        <v>Poisson</v>
      </c>
      <c r="S22" s="28" t="str">
        <v>Robusta</v>
      </c>
      <c r="T22" s="28" t="str">
        <v>Selecionada</v>
      </c>
      <c r="U22" s="28"/>
    </row>
    <row r="23" spans="1:21" x14ac:dyDescent="0.3">
      <c r="A23" s="27">
        <v>19</v>
      </c>
      <c r="B23" t="str">
        <v>FC Järfälla</v>
      </c>
      <c r="C23" t="str">
        <v>SWE - 1ª D Norra</v>
      </c>
      <c r="D23" s="27">
        <v>12</v>
      </c>
      <c r="E23" s="26">
        <v>4.666666666666667</v>
      </c>
      <c r="F23" s="26">
        <v>3.6666666666666665</v>
      </c>
      <c r="G23" s="26">
        <v>4.166666666666667</v>
      </c>
      <c r="H23" s="40">
        <v>3.75</v>
      </c>
      <c r="I23" s="26">
        <v>1.6666666666666667</v>
      </c>
      <c r="J23" s="26">
        <v>1.5833333333333333</v>
      </c>
      <c r="K23" s="26">
        <v>2.5</v>
      </c>
      <c r="L23" s="29">
        <v>1</v>
      </c>
      <c r="M23" s="29">
        <v>1</v>
      </c>
      <c r="N23" s="29">
        <v>0.83333333333333337</v>
      </c>
      <c r="O23" s="29">
        <v>0.75</v>
      </c>
      <c r="P23" s="29">
        <v>0.66666666666666663</v>
      </c>
      <c r="Q23" s="29">
        <v>0.25</v>
      </c>
      <c r="R23" t="str">
        <v>Poisson</v>
      </c>
      <c r="S23" s="28" t="str">
        <v>Robusta</v>
      </c>
      <c r="T23" s="28" t="str">
        <v>Selecionada</v>
      </c>
      <c r="U23" s="28"/>
    </row>
    <row r="24" spans="1:21" x14ac:dyDescent="0.3">
      <c r="A24" s="27">
        <v>20</v>
      </c>
      <c r="B24" t="str">
        <v>Torns IF</v>
      </c>
      <c r="C24" t="str">
        <v>SWE - 2ª D Södra Götaland</v>
      </c>
      <c r="D24" s="27">
        <v>12</v>
      </c>
      <c r="E24" s="26">
        <v>3.2</v>
      </c>
      <c r="F24" s="26">
        <v>4.8571428571428577</v>
      </c>
      <c r="G24" s="26">
        <v>4.166666666666667</v>
      </c>
      <c r="H24" s="40">
        <v>3.75</v>
      </c>
      <c r="I24" s="26">
        <v>1.6666666666666667</v>
      </c>
      <c r="J24" s="26">
        <v>1.25</v>
      </c>
      <c r="K24" s="26">
        <v>2.5</v>
      </c>
      <c r="L24" s="29">
        <v>1</v>
      </c>
      <c r="M24" s="29">
        <v>1</v>
      </c>
      <c r="N24" s="29">
        <v>0.83333333333333337</v>
      </c>
      <c r="O24" s="29">
        <v>0.66666666666666663</v>
      </c>
      <c r="P24" s="29">
        <v>0.66666666666666663</v>
      </c>
      <c r="Q24" s="29">
        <v>0.25</v>
      </c>
      <c r="R24" t="str">
        <v>Poisson</v>
      </c>
      <c r="S24" s="28" t="str">
        <v>Robusta</v>
      </c>
      <c r="T24" s="28" t="str">
        <v>Selecionada</v>
      </c>
      <c r="U24" s="28"/>
    </row>
    <row r="25" spans="1:21" x14ac:dyDescent="0.3">
      <c r="A25" s="27">
        <v>21</v>
      </c>
      <c r="B25" t="str">
        <v>New York Red Bulls</v>
      </c>
      <c r="C25" t="str">
        <v>USA - MLS-East</v>
      </c>
      <c r="D25" s="27">
        <v>12</v>
      </c>
      <c r="E25" s="26">
        <v>4</v>
      </c>
      <c r="F25" s="26">
        <v>3.6666666666666665</v>
      </c>
      <c r="G25" s="26">
        <v>3.8333333333333335</v>
      </c>
      <c r="H25" s="40">
        <v>3.7</v>
      </c>
      <c r="I25" s="26">
        <v>1.1616161616161618</v>
      </c>
      <c r="J25" s="26">
        <v>1.6666666666666667</v>
      </c>
      <c r="K25" s="26">
        <v>3.3</v>
      </c>
      <c r="L25" s="29">
        <v>1</v>
      </c>
      <c r="M25" s="29">
        <v>1</v>
      </c>
      <c r="N25" s="29">
        <v>0.66666666666666663</v>
      </c>
      <c r="O25" s="29">
        <v>0.58333333333333337</v>
      </c>
      <c r="P25" s="29">
        <v>0.75</v>
      </c>
      <c r="Q25" s="29">
        <v>0.25</v>
      </c>
      <c r="R25" t="str">
        <v>Poisson</v>
      </c>
      <c r="S25" s="28" t="str">
        <v>Robusta</v>
      </c>
      <c r="T25" s="28" t="str">
        <v>Selecionada</v>
      </c>
      <c r="U25" s="28"/>
    </row>
    <row r="26" spans="1:21" x14ac:dyDescent="0.3">
      <c r="A26" s="27">
        <v>22</v>
      </c>
      <c r="B26" t="str">
        <v>IK Sirius</v>
      </c>
      <c r="C26" t="str">
        <v>SWE - Allsvenskan</v>
      </c>
      <c r="D26" s="27">
        <v>12</v>
      </c>
      <c r="E26" s="26">
        <v>4.5</v>
      </c>
      <c r="F26" s="26">
        <v>3.5</v>
      </c>
      <c r="G26" s="26">
        <v>4</v>
      </c>
      <c r="H26" s="40">
        <v>3.625</v>
      </c>
      <c r="I26" s="26">
        <v>1.6</v>
      </c>
      <c r="J26" s="26">
        <v>2.6666666666666665</v>
      </c>
      <c r="K26" s="26">
        <v>2.5</v>
      </c>
      <c r="L26" s="29">
        <v>1</v>
      </c>
      <c r="M26" s="29">
        <v>1</v>
      </c>
      <c r="N26" s="29">
        <v>0.83333333333333337</v>
      </c>
      <c r="O26" s="29">
        <v>0.58333333333333337</v>
      </c>
      <c r="P26" s="29">
        <v>0.75</v>
      </c>
      <c r="Q26" s="29">
        <v>0</v>
      </c>
      <c r="R26" t="str">
        <v>Poisson</v>
      </c>
      <c r="S26" s="28" t="str">
        <v>Robusta</v>
      </c>
      <c r="T26" s="28" t="str">
        <v>Selecionada</v>
      </c>
      <c r="U26" s="28"/>
    </row>
    <row r="27" spans="1:21" x14ac:dyDescent="0.3">
      <c r="A27" s="27">
        <v>23</v>
      </c>
      <c r="B27" t="str">
        <v>Sporting Kansas City</v>
      </c>
      <c r="C27" t="str">
        <v>USA - MLS-West</v>
      </c>
      <c r="D27" s="27">
        <v>13</v>
      </c>
      <c r="E27" s="26">
        <v>3</v>
      </c>
      <c r="F27" s="26">
        <v>4.2857142857142856</v>
      </c>
      <c r="G27" s="26">
        <v>3.6923076923076925</v>
      </c>
      <c r="H27" s="40">
        <v>3.6000000000000005</v>
      </c>
      <c r="I27" s="26">
        <v>1.118881118881119</v>
      </c>
      <c r="J27" s="26">
        <v>1</v>
      </c>
      <c r="K27" s="26">
        <v>3.3</v>
      </c>
      <c r="L27" s="29">
        <v>1</v>
      </c>
      <c r="M27" s="29">
        <v>1</v>
      </c>
      <c r="N27" s="29">
        <v>0.84615384615384615</v>
      </c>
      <c r="O27" s="29">
        <v>0.53846153846153844</v>
      </c>
      <c r="P27" s="29">
        <v>0.61538461538461542</v>
      </c>
      <c r="Q27" s="29">
        <v>0.38461538461538464</v>
      </c>
      <c r="R27" t="str">
        <v>Poisson</v>
      </c>
      <c r="S27" s="28" t="str">
        <v>Robusta</v>
      </c>
      <c r="T27" s="28" t="str">
        <v>Selecionada</v>
      </c>
      <c r="U27" s="28"/>
    </row>
    <row r="28" spans="1:21" x14ac:dyDescent="0.3">
      <c r="A28" s="27">
        <v>24</v>
      </c>
      <c r="B28" t="str">
        <v>Portland Timbers</v>
      </c>
      <c r="C28" t="str">
        <v>USA - MLS-West</v>
      </c>
      <c r="D28" s="27">
        <v>13</v>
      </c>
      <c r="E28" s="26">
        <v>3.833333333333333</v>
      </c>
      <c r="F28" s="26">
        <v>3.4285714285714288</v>
      </c>
      <c r="G28" s="26">
        <v>3.6153846153846154</v>
      </c>
      <c r="H28" s="40">
        <v>3.5411764705882351</v>
      </c>
      <c r="I28" s="26">
        <v>1.0955710955710956</v>
      </c>
      <c r="J28" s="26">
        <v>2</v>
      </c>
      <c r="K28" s="26">
        <v>3.3</v>
      </c>
      <c r="L28" s="29">
        <v>1</v>
      </c>
      <c r="M28" s="29">
        <v>1</v>
      </c>
      <c r="N28" s="29">
        <v>0.76923076923076927</v>
      </c>
      <c r="O28" s="29">
        <v>0.46153846153846156</v>
      </c>
      <c r="P28" s="29">
        <v>0.69230769230769229</v>
      </c>
      <c r="Q28" s="29">
        <v>0.23076923076923078</v>
      </c>
      <c r="R28" t="str">
        <v>Poisson</v>
      </c>
      <c r="S28" s="28" t="str">
        <v>Robusta</v>
      </c>
      <c r="T28" s="28" t="str">
        <v>Selecionada</v>
      </c>
      <c r="U28" s="28"/>
    </row>
    <row r="29" spans="1:21" x14ac:dyDescent="0.3">
      <c r="A29" s="27">
        <v>25</v>
      </c>
      <c r="B29" t="str">
        <v>Changchun Yatai</v>
      </c>
      <c r="C29" t="str">
        <v>CHN - League One</v>
      </c>
      <c r="D29" s="27">
        <v>12</v>
      </c>
      <c r="E29" s="26">
        <v>3.7142857142857144</v>
      </c>
      <c r="F29" s="26">
        <v>4</v>
      </c>
      <c r="G29" s="26">
        <v>3.8333333333333335</v>
      </c>
      <c r="H29" s="40">
        <v>3.5</v>
      </c>
      <c r="I29" s="26">
        <v>1.5333333333333334</v>
      </c>
      <c r="J29" s="26">
        <v>1.5833333333333333</v>
      </c>
      <c r="K29" s="26">
        <v>2.5</v>
      </c>
      <c r="L29" s="29">
        <v>1</v>
      </c>
      <c r="M29" s="29">
        <v>1</v>
      </c>
      <c r="N29" s="29">
        <v>1</v>
      </c>
      <c r="O29" s="29">
        <v>0.58333333333333337</v>
      </c>
      <c r="P29" s="29">
        <v>0.91666666666666663</v>
      </c>
      <c r="Q29" s="29">
        <v>8.3333333333333329E-2</v>
      </c>
      <c r="R29" t="str">
        <v>Poisson</v>
      </c>
      <c r="S29" s="28" t="str">
        <v>Robusta</v>
      </c>
      <c r="T29" s="28" t="str">
        <v>Selecionada</v>
      </c>
      <c r="U29" s="28"/>
    </row>
    <row r="30" spans="1:21" x14ac:dyDescent="0.3">
      <c r="A30" s="27">
        <v>26</v>
      </c>
      <c r="B30" t="str">
        <v>Falkenbergs FF</v>
      </c>
      <c r="C30" t="str">
        <v>SWE - Superettan</v>
      </c>
      <c r="D30" s="27">
        <v>12</v>
      </c>
      <c r="E30" s="26">
        <v>3.166666666666667</v>
      </c>
      <c r="F30" s="26">
        <v>4.5</v>
      </c>
      <c r="G30" s="26">
        <v>3.8333333333333335</v>
      </c>
      <c r="H30" s="40">
        <v>3.5</v>
      </c>
      <c r="I30" s="26">
        <v>1.5333333333333334</v>
      </c>
      <c r="J30" s="26">
        <v>2.0833333333333335</v>
      </c>
      <c r="K30" s="26">
        <v>2.5</v>
      </c>
      <c r="L30" s="29">
        <v>1</v>
      </c>
      <c r="M30" s="29">
        <v>1</v>
      </c>
      <c r="N30" s="29">
        <v>0.83333333333333337</v>
      </c>
      <c r="O30" s="29">
        <v>0.5</v>
      </c>
      <c r="P30" s="29">
        <v>0.91666666666666663</v>
      </c>
      <c r="Q30" s="29">
        <v>8.3333333333333329E-2</v>
      </c>
      <c r="R30" t="str">
        <v>Poisson</v>
      </c>
      <c r="S30" s="28" t="str">
        <v>Robusta</v>
      </c>
      <c r="T30" s="28" t="str">
        <v>Selecionada</v>
      </c>
      <c r="U30" s="28"/>
    </row>
    <row r="31" spans="1:21" x14ac:dyDescent="0.3">
      <c r="A31" s="27">
        <v>27</v>
      </c>
      <c r="B31" t="str">
        <v>Västra Frölunda IF</v>
      </c>
      <c r="C31" t="str">
        <v>SWE - 2ª D Västra Götaland</v>
      </c>
      <c r="D31" s="27">
        <v>12</v>
      </c>
      <c r="E31" s="26">
        <v>4.1428571428571432</v>
      </c>
      <c r="F31" s="26">
        <v>3.4000000000000004</v>
      </c>
      <c r="G31" s="26">
        <v>3.8333333333333335</v>
      </c>
      <c r="H31" s="40">
        <v>3.5</v>
      </c>
      <c r="I31" s="26">
        <v>1.5333333333333334</v>
      </c>
      <c r="J31" s="26">
        <v>2.3333333333333335</v>
      </c>
      <c r="K31" s="26">
        <v>2.5</v>
      </c>
      <c r="L31" s="29">
        <v>1</v>
      </c>
      <c r="M31" s="29">
        <v>1</v>
      </c>
      <c r="N31" s="29">
        <v>0.66666666666666663</v>
      </c>
      <c r="O31" s="29">
        <v>0.41666666666666669</v>
      </c>
      <c r="P31" s="29">
        <v>0.58333333333333337</v>
      </c>
      <c r="Q31" s="29">
        <v>0.16666666666666666</v>
      </c>
      <c r="R31" t="str">
        <v>Poisson</v>
      </c>
      <c r="S31" s="28" t="str">
        <v>Robusta</v>
      </c>
      <c r="T31" s="28" t="str">
        <v>Selecionada</v>
      </c>
      <c r="U31" s="28"/>
    </row>
    <row r="32" spans="1:21" x14ac:dyDescent="0.3">
      <c r="A32" s="27">
        <v>28</v>
      </c>
      <c r="B32" t="str">
        <v>SK Brann</v>
      </c>
      <c r="C32" t="str">
        <v>NOR - Eliteserien</v>
      </c>
      <c r="D32" s="27">
        <v>12</v>
      </c>
      <c r="E32" s="26">
        <v>3.833333333333333</v>
      </c>
      <c r="F32" s="26">
        <v>3.666666666666667</v>
      </c>
      <c r="G32" s="26">
        <v>3.75</v>
      </c>
      <c r="H32" s="40">
        <v>3.4375</v>
      </c>
      <c r="I32" s="26">
        <v>1.5</v>
      </c>
      <c r="J32" s="26">
        <v>2.0833333333333335</v>
      </c>
      <c r="K32" s="26">
        <v>2.5</v>
      </c>
      <c r="L32" s="29">
        <v>1</v>
      </c>
      <c r="M32" s="29">
        <v>1</v>
      </c>
      <c r="N32" s="29">
        <v>0.91666666666666663</v>
      </c>
      <c r="O32" s="29">
        <v>0.5</v>
      </c>
      <c r="P32" s="29">
        <v>0.91666666666666663</v>
      </c>
      <c r="Q32" s="29">
        <v>0</v>
      </c>
      <c r="R32" t="str">
        <v>Poisson</v>
      </c>
      <c r="S32" s="28" t="str">
        <v>Robusta</v>
      </c>
      <c r="T32" s="28" t="str">
        <v>Selecionada</v>
      </c>
      <c r="U32" s="28"/>
    </row>
    <row r="33" spans="1:22" x14ac:dyDescent="0.3">
      <c r="A33" s="27">
        <v>29</v>
      </c>
      <c r="B33" t="str">
        <v>Zhejiang Professional FC</v>
      </c>
      <c r="C33" t="str">
        <v>CHN - Super League</v>
      </c>
      <c r="D33" s="27">
        <v>12</v>
      </c>
      <c r="E33" s="26">
        <v>4.4000000000000004</v>
      </c>
      <c r="F33" s="26">
        <v>3.2857142857142856</v>
      </c>
      <c r="G33" s="26">
        <v>3.75</v>
      </c>
      <c r="H33" s="40">
        <v>3.4375</v>
      </c>
      <c r="I33" s="26">
        <v>1.5</v>
      </c>
      <c r="J33" s="26">
        <v>1.8333333333333333</v>
      </c>
      <c r="K33" s="26">
        <v>2.5</v>
      </c>
      <c r="L33" s="29">
        <v>1</v>
      </c>
      <c r="M33" s="29">
        <v>1</v>
      </c>
      <c r="N33" s="29">
        <v>0.75</v>
      </c>
      <c r="O33" s="29">
        <v>0.58333333333333337</v>
      </c>
      <c r="P33" s="29">
        <v>0.83333333333333337</v>
      </c>
      <c r="Q33" s="29">
        <v>8.3333333333333329E-2</v>
      </c>
      <c r="R33" t="str">
        <v>Poisson</v>
      </c>
      <c r="S33" s="28" t="str">
        <v>Robusta</v>
      </c>
      <c r="T33" s="28" t="str">
        <v>Selecionada</v>
      </c>
      <c r="U33" s="28"/>
    </row>
    <row r="34" spans="1:22" x14ac:dyDescent="0.3">
      <c r="A34" s="27">
        <v>30</v>
      </c>
      <c r="B34" t="str">
        <v>Qviding FIF</v>
      </c>
      <c r="C34" t="str">
        <v>SWE - 2ª D Västra Götaland</v>
      </c>
      <c r="D34" s="27">
        <v>12</v>
      </c>
      <c r="E34" s="26">
        <v>4</v>
      </c>
      <c r="F34" s="26">
        <v>3.333333333333333</v>
      </c>
      <c r="G34" s="26">
        <v>3.6666666666666665</v>
      </c>
      <c r="H34" s="40">
        <v>3.375</v>
      </c>
      <c r="I34" s="26">
        <v>1.4666666666666666</v>
      </c>
      <c r="J34" s="26">
        <v>1.9166666666666667</v>
      </c>
      <c r="K34" s="26">
        <v>2.5</v>
      </c>
      <c r="L34" s="29">
        <v>1</v>
      </c>
      <c r="M34" s="29">
        <v>1</v>
      </c>
      <c r="N34" s="29">
        <v>0.91666666666666663</v>
      </c>
      <c r="O34" s="29">
        <v>0.58333333333333337</v>
      </c>
      <c r="P34" s="29">
        <v>0.83333333333333337</v>
      </c>
      <c r="Q34" s="29">
        <v>8.3333333333333329E-2</v>
      </c>
      <c r="R34" t="str">
        <v>Poisson</v>
      </c>
      <c r="S34" s="28" t="str">
        <v>Robusta</v>
      </c>
      <c r="T34" s="28" t="str">
        <v>Selecionada</v>
      </c>
      <c r="U34" s="28"/>
    </row>
    <row r="35" spans="1:22" x14ac:dyDescent="0.3">
      <c r="A35" s="27">
        <v>31</v>
      </c>
      <c r="B35" t="str">
        <v>IFK Karlshamn</v>
      </c>
      <c r="C35" t="str">
        <v>SWE - 2ª D Södra Götaland</v>
      </c>
      <c r="D35" s="27">
        <v>12</v>
      </c>
      <c r="E35" s="26">
        <v>3.333333333333333</v>
      </c>
      <c r="F35" s="26">
        <v>3.833333333333333</v>
      </c>
      <c r="G35" s="26">
        <v>3.5833333333333335</v>
      </c>
      <c r="H35" s="40">
        <v>3.3125</v>
      </c>
      <c r="I35" s="26">
        <v>1.4333333333333333</v>
      </c>
      <c r="J35" s="26">
        <v>1.1666666666666667</v>
      </c>
      <c r="K35" s="26">
        <v>2.5</v>
      </c>
      <c r="L35" s="29">
        <v>1</v>
      </c>
      <c r="M35" s="29">
        <v>1</v>
      </c>
      <c r="N35" s="29">
        <v>0.83333333333333337</v>
      </c>
      <c r="O35" s="29">
        <v>0.5</v>
      </c>
      <c r="P35" s="29">
        <v>0.75</v>
      </c>
      <c r="Q35" s="29">
        <v>0.16666666666666666</v>
      </c>
      <c r="R35" t="str">
        <v>Poisson</v>
      </c>
      <c r="S35" s="28" t="str">
        <v>Robusta</v>
      </c>
      <c r="T35" s="28" t="str">
        <v>Selecionada</v>
      </c>
      <c r="U35" s="28"/>
    </row>
    <row r="36" spans="1:22" x14ac:dyDescent="0.3">
      <c r="A36" s="27">
        <v>32</v>
      </c>
      <c r="B36" t="str">
        <v>Sydney Olympic</v>
      </c>
      <c r="C36" t="str">
        <v>AUS - NPL New South Wales</v>
      </c>
      <c r="D36" s="27">
        <v>12</v>
      </c>
      <c r="E36" s="26">
        <v>3.75</v>
      </c>
      <c r="F36" s="26">
        <v>2.875</v>
      </c>
      <c r="G36" s="26">
        <v>3.1666666666666665</v>
      </c>
      <c r="H36" s="40">
        <v>3.2774999999999999</v>
      </c>
      <c r="I36" s="26">
        <v>0.8771929824561403</v>
      </c>
      <c r="J36" s="26">
        <v>1.25</v>
      </c>
      <c r="K36" s="26">
        <v>3.61</v>
      </c>
      <c r="L36" s="29">
        <v>1</v>
      </c>
      <c r="M36" s="29">
        <v>1</v>
      </c>
      <c r="N36" s="29">
        <v>0.66666666666666663</v>
      </c>
      <c r="O36" s="29">
        <v>0.41666666666666669</v>
      </c>
      <c r="P36" s="29">
        <v>0.66666666666666663</v>
      </c>
      <c r="Q36" s="29">
        <v>0.25</v>
      </c>
      <c r="R36" t="str">
        <v>Poisson</v>
      </c>
      <c r="S36" s="28" t="str">
        <v>Robusta</v>
      </c>
      <c r="T36" s="28" t="str">
        <v>Selecionada</v>
      </c>
      <c r="U36" s="28"/>
    </row>
    <row r="37" spans="1:22" x14ac:dyDescent="0.3">
      <c r="A37" s="27">
        <v>33</v>
      </c>
      <c r="B37" t="str">
        <v>Grebbestads IF</v>
      </c>
      <c r="C37" t="str">
        <v>SWE - 2ª D Norra Götaland</v>
      </c>
      <c r="D37" s="27">
        <v>12</v>
      </c>
      <c r="E37" s="26">
        <v>3.1428571428571432</v>
      </c>
      <c r="F37" s="26">
        <v>4</v>
      </c>
      <c r="G37" s="26">
        <v>3.5</v>
      </c>
      <c r="H37" s="40">
        <v>3.25</v>
      </c>
      <c r="I37" s="26">
        <v>1.4</v>
      </c>
      <c r="J37" s="26">
        <v>2.1666666666666665</v>
      </c>
      <c r="K37" s="26">
        <v>2.5</v>
      </c>
      <c r="L37" s="29">
        <v>1</v>
      </c>
      <c r="M37" s="29">
        <v>1</v>
      </c>
      <c r="N37" s="29">
        <v>0.75</v>
      </c>
      <c r="O37" s="29">
        <v>0.41666666666666669</v>
      </c>
      <c r="P37" s="29">
        <v>0.66666666666666663</v>
      </c>
      <c r="Q37" s="29">
        <v>8.3333333333333329E-2</v>
      </c>
      <c r="R37" t="str">
        <v>Poisson</v>
      </c>
      <c r="S37" s="28" t="str">
        <v>Robusta</v>
      </c>
      <c r="T37" s="28" t="str">
        <v>Selecionada</v>
      </c>
      <c r="U37" s="28"/>
    </row>
    <row r="38" spans="1:22" x14ac:dyDescent="0.3">
      <c r="A38" s="27">
        <v>34</v>
      </c>
      <c r="B38" t="str">
        <v>Real Salt Lake</v>
      </c>
      <c r="C38" t="str">
        <v>USA - MLS-West</v>
      </c>
      <c r="D38" s="27">
        <v>12</v>
      </c>
      <c r="E38" s="26">
        <v>3.3333333333333335</v>
      </c>
      <c r="F38" s="26">
        <v>3</v>
      </c>
      <c r="G38" s="26">
        <v>3.1666666666666665</v>
      </c>
      <c r="H38" s="40">
        <v>3.2</v>
      </c>
      <c r="I38" s="26">
        <v>0.95959595959595956</v>
      </c>
      <c r="J38" s="26">
        <v>1.6666666666666667</v>
      </c>
      <c r="K38" s="26">
        <v>3.3</v>
      </c>
      <c r="L38" s="29">
        <v>1</v>
      </c>
      <c r="M38" s="29">
        <v>1</v>
      </c>
      <c r="N38" s="29">
        <v>0.66666666666666663</v>
      </c>
      <c r="O38" s="29">
        <v>0.33333333333333331</v>
      </c>
      <c r="P38" s="29">
        <v>0.75</v>
      </c>
      <c r="Q38" s="29">
        <v>8.3333333333333329E-2</v>
      </c>
      <c r="R38" t="str">
        <v>Poisson</v>
      </c>
      <c r="S38" s="28" t="str">
        <v>Robusta</v>
      </c>
      <c r="T38" s="28" t="str">
        <v>Selecionada</v>
      </c>
      <c r="U38" s="28"/>
    </row>
    <row r="39" spans="1:22" x14ac:dyDescent="0.3">
      <c r="A39" s="27">
        <v>35</v>
      </c>
      <c r="B39" t="str">
        <v>Columbus Crew</v>
      </c>
      <c r="C39" t="str">
        <v>USA - MLS-East</v>
      </c>
      <c r="D39" s="27">
        <v>12</v>
      </c>
      <c r="E39" s="26">
        <v>2.8571428571428568</v>
      </c>
      <c r="F39" s="26">
        <v>3.4000000000000004</v>
      </c>
      <c r="G39" s="26">
        <v>3.0833333333333335</v>
      </c>
      <c r="H39" s="40">
        <v>3.1375000000000002</v>
      </c>
      <c r="I39" s="26">
        <v>0.93434343434343448</v>
      </c>
      <c r="J39" s="26">
        <v>1.5</v>
      </c>
      <c r="K39" s="26">
        <v>3.3</v>
      </c>
      <c r="L39" s="29">
        <v>1</v>
      </c>
      <c r="M39" s="29">
        <v>1</v>
      </c>
      <c r="N39" s="29">
        <v>0.66666666666666663</v>
      </c>
      <c r="O39" s="29">
        <v>0.25</v>
      </c>
      <c r="P39" s="29">
        <v>0.75</v>
      </c>
      <c r="Q39" s="29">
        <v>8.3333333333333329E-2</v>
      </c>
      <c r="R39" t="str">
        <v>Poisson</v>
      </c>
      <c r="S39" s="28" t="str">
        <v>Robusta</v>
      </c>
      <c r="T39" s="28" t="str">
        <v>Selecionada</v>
      </c>
      <c r="U39" s="28"/>
    </row>
    <row r="40" spans="1:22" x14ac:dyDescent="0.3">
      <c r="A40" s="27">
        <v>36</v>
      </c>
      <c r="B40" t="str">
        <v>Lindome GIF</v>
      </c>
      <c r="C40" t="str">
        <v>SWE - 2ª D Västra Götaland</v>
      </c>
      <c r="D40" s="27">
        <v>12</v>
      </c>
      <c r="E40" s="26">
        <v>3.6666666666666665</v>
      </c>
      <c r="F40" s="26">
        <v>3</v>
      </c>
      <c r="G40" s="26">
        <v>3.3333333333333335</v>
      </c>
      <c r="H40" s="40">
        <v>3.125</v>
      </c>
      <c r="I40" s="26">
        <v>1.3333333333333335</v>
      </c>
      <c r="J40" s="26">
        <v>2.0833333333333335</v>
      </c>
      <c r="K40" s="26">
        <v>2.5</v>
      </c>
      <c r="L40" s="29">
        <v>1</v>
      </c>
      <c r="M40" s="29">
        <v>1</v>
      </c>
      <c r="N40" s="29">
        <v>0.66666666666666663</v>
      </c>
      <c r="O40" s="29">
        <v>0.41666666666666669</v>
      </c>
      <c r="P40" s="29">
        <v>0.58333333333333337</v>
      </c>
      <c r="Q40" s="29">
        <v>8.3333333333333329E-2</v>
      </c>
      <c r="R40" t="str">
        <v>Poisson</v>
      </c>
      <c r="S40" s="28" t="str">
        <v>Robusta</v>
      </c>
      <c r="T40" s="28" t="str">
        <v>Selecionada</v>
      </c>
      <c r="U40" s="28"/>
    </row>
    <row r="41" spans="1:22" x14ac:dyDescent="0.3">
      <c r="A41" s="27">
        <v>37</v>
      </c>
      <c r="B41" t="str">
        <v>Åstorps FF</v>
      </c>
      <c r="C41" t="str">
        <v>SWE - 2ª D Västra Götaland</v>
      </c>
      <c r="D41" s="27">
        <v>12</v>
      </c>
      <c r="E41" s="26">
        <v>2.166666666666667</v>
      </c>
      <c r="F41" s="26">
        <v>3.833333333333333</v>
      </c>
      <c r="G41" s="26">
        <v>3</v>
      </c>
      <c r="H41" s="40">
        <v>2.875</v>
      </c>
      <c r="I41" s="26">
        <v>1.2</v>
      </c>
      <c r="J41" s="26">
        <v>1.1666666666666667</v>
      </c>
      <c r="K41" s="26">
        <v>2.5</v>
      </c>
      <c r="L41" s="29">
        <v>1</v>
      </c>
      <c r="M41" s="29">
        <v>1</v>
      </c>
      <c r="N41" s="29">
        <v>0.58333333333333337</v>
      </c>
      <c r="O41" s="29">
        <v>0.25</v>
      </c>
      <c r="P41" s="29">
        <v>0.66666666666666663</v>
      </c>
      <c r="Q41" s="29">
        <v>0.33333333333333331</v>
      </c>
      <c r="R41" t="str">
        <v>Poisson</v>
      </c>
      <c r="S41" s="28" t="str">
        <v>Robusta</v>
      </c>
      <c r="T41" s="28" t="str">
        <v>Selecionada</v>
      </c>
      <c r="U41" s="28"/>
    </row>
    <row r="42" spans="1:22" x14ac:dyDescent="0.3">
      <c r="A42" s="27">
        <v>38</v>
      </c>
      <c r="B42" t="str">
        <v>IF Karlstad B</v>
      </c>
      <c r="C42" t="str">
        <v>SWE - 2ª D Norra Götaland</v>
      </c>
      <c r="D42" s="27">
        <v>12</v>
      </c>
      <c r="E42" s="26">
        <v>3</v>
      </c>
      <c r="F42" s="26">
        <v>2.833333333333333</v>
      </c>
      <c r="G42" s="26">
        <v>2.9166666666666665</v>
      </c>
      <c r="H42" s="40">
        <v>2.8125</v>
      </c>
      <c r="I42" s="26">
        <v>1.1666666666666665</v>
      </c>
      <c r="J42" s="26">
        <v>0.83333333333333337</v>
      </c>
      <c r="K42" s="26">
        <v>2.5</v>
      </c>
      <c r="L42" s="29">
        <v>1</v>
      </c>
      <c r="M42" s="29">
        <v>1</v>
      </c>
      <c r="N42" s="29">
        <v>0.41666666666666669</v>
      </c>
      <c r="O42" s="29">
        <v>0.33333333333333331</v>
      </c>
      <c r="P42" s="29">
        <v>0.58333333333333337</v>
      </c>
      <c r="Q42" s="29">
        <v>0.33333333333333331</v>
      </c>
      <c r="R42" t="str">
        <v>Poisson</v>
      </c>
      <c r="S42" s="28" t="str">
        <v>Robusta</v>
      </c>
      <c r="T42" s="28" t="str">
        <v>Selecionada</v>
      </c>
      <c r="U42" s="28"/>
    </row>
    <row r="43" spans="1:22" x14ac:dyDescent="0.3">
      <c r="A43" s="27">
        <v>39</v>
      </c>
      <c r="B43" t="str">
        <v>Halmstads BK</v>
      </c>
      <c r="C43" t="str">
        <v>SWE - Allsvenskan</v>
      </c>
      <c r="D43" s="27">
        <v>12</v>
      </c>
      <c r="E43" s="26">
        <v>2.5714285714285716</v>
      </c>
      <c r="F43" s="26">
        <v>3.2</v>
      </c>
      <c r="G43" s="26">
        <v>2.8333333333333335</v>
      </c>
      <c r="H43" s="40">
        <v>2.75</v>
      </c>
      <c r="I43" s="26">
        <v>1.1333333333333333</v>
      </c>
      <c r="J43" s="26">
        <v>0.66666666666666663</v>
      </c>
      <c r="K43" s="26">
        <v>2.5</v>
      </c>
      <c r="L43" s="29">
        <v>1</v>
      </c>
      <c r="M43" s="29">
        <v>1</v>
      </c>
      <c r="N43" s="29">
        <v>0.33333333333333331</v>
      </c>
      <c r="O43" s="29">
        <v>0.25</v>
      </c>
      <c r="P43" s="29">
        <v>0.41666666666666669</v>
      </c>
      <c r="Q43" s="29">
        <v>0.5</v>
      </c>
      <c r="R43" t="str">
        <v>Poisson</v>
      </c>
      <c r="S43" s="28" t="str">
        <v>Robusta</v>
      </c>
      <c r="T43" s="28" t="str">
        <v>Selecionada</v>
      </c>
      <c r="U43" s="28"/>
    </row>
    <row r="44" spans="1:22" x14ac:dyDescent="0.3">
      <c r="A44" s="27">
        <v>40</v>
      </c>
      <c r="B44" t="str">
        <v>Croydon</v>
      </c>
      <c r="C44" t="str">
        <v>AUS - NPL South Australia</v>
      </c>
      <c r="D44" s="27">
        <v>10</v>
      </c>
      <c r="E44" s="26">
        <v>4.0999999999999996</v>
      </c>
      <c r="F44" s="26" t="str">
        <v/>
      </c>
      <c r="G44" s="26">
        <v>0</v>
      </c>
      <c r="H44" s="40">
        <v>0.99714285714285711</v>
      </c>
      <c r="I44" s="26">
        <v>0</v>
      </c>
      <c r="J44" s="26">
        <v>2.1</v>
      </c>
      <c r="K44" s="26">
        <v>3.49</v>
      </c>
      <c r="L44" s="29">
        <v>1</v>
      </c>
      <c r="M44" s="29">
        <v>1</v>
      </c>
      <c r="N44" s="29">
        <v>0.9</v>
      </c>
      <c r="O44" s="29">
        <v>0.7</v>
      </c>
      <c r="P44" s="29">
        <v>0.7</v>
      </c>
      <c r="Q44" s="29">
        <v>0.2</v>
      </c>
      <c r="R44" t="str">
        <v>Poisson</v>
      </c>
      <c r="S44" s="28" t="str">
        <v>Robusta</v>
      </c>
      <c r="T44" s="28" t="str">
        <v>Selecionada</v>
      </c>
      <c r="U44" s="28"/>
    </row>
    <row r="45" spans="1:22" ht="18" customHeight="1" x14ac:dyDescent="0.3"/>
    <row r="46" spans="1:22" ht="18" customHeight="1" x14ac:dyDescent="0.3">
      <c r="U46" s="42" t="s">
        <v>43</v>
      </c>
      <c r="V46" s="42" t="s">
        <v>1583</v>
      </c>
    </row>
    <row r="47" spans="1:22" ht="18" customHeight="1" x14ac:dyDescent="0.3">
      <c r="U47" t="s">
        <v>18</v>
      </c>
      <c r="V47" s="97">
        <f>COUNTIF($C$5:$C$44,U47&amp;" - *")</f>
        <v>5</v>
      </c>
    </row>
    <row r="48" spans="1:22" ht="18" customHeight="1" x14ac:dyDescent="0.3">
      <c r="U48" t="s">
        <v>7</v>
      </c>
      <c r="V48" s="97">
        <f>COUNTIF($C$5:$C$44,U48&amp;" - *")</f>
        <v>5</v>
      </c>
    </row>
    <row r="49" spans="21:22" ht="18" customHeight="1" x14ac:dyDescent="0.3">
      <c r="U49" t="s">
        <v>10</v>
      </c>
      <c r="V49" s="97">
        <f>COUNTIF($C$5:$C$44,U49&amp;" - *")</f>
        <v>1</v>
      </c>
    </row>
    <row r="50" spans="21:22" ht="18" customHeight="1" x14ac:dyDescent="0.3">
      <c r="U50" t="s">
        <v>12</v>
      </c>
      <c r="V50" s="97">
        <f>COUNTIF($C$5:$C$44,U50&amp;" - *")</f>
        <v>0</v>
      </c>
    </row>
    <row r="51" spans="21:22" ht="18" customHeight="1" x14ac:dyDescent="0.3">
      <c r="U51" t="s">
        <v>24</v>
      </c>
      <c r="V51" s="97">
        <f>COUNTIF($C$5:$C$44,U51&amp;" - *")</f>
        <v>2</v>
      </c>
    </row>
    <row r="52" spans="21:22" ht="18" customHeight="1" x14ac:dyDescent="0.3">
      <c r="U52" s="98" t="s">
        <v>1584</v>
      </c>
      <c r="V52" s="99">
        <f>COUNTA($C$5:$C$44)-SUM($V$47:$V$51)</f>
        <v>27</v>
      </c>
    </row>
    <row r="53" spans="21:22" ht="18" customHeight="1" x14ac:dyDescent="0.3"/>
    <row r="54" spans="21:22" ht="18" customHeight="1" x14ac:dyDescent="0.3"/>
    <row r="55" spans="21:22" ht="18" customHeight="1" x14ac:dyDescent="0.3"/>
    <row r="56" spans="21:22" ht="18" customHeight="1" x14ac:dyDescent="0.3"/>
    <row r="57" spans="21:22" ht="18" customHeight="1" x14ac:dyDescent="0.3"/>
    <row r="58" spans="21:22" ht="18" customHeight="1" x14ac:dyDescent="0.3"/>
    <row r="59" spans="21:22" ht="18" customHeight="1" x14ac:dyDescent="0.3"/>
    <row r="60" spans="21:22" ht="18" customHeight="1" x14ac:dyDescent="0.3"/>
    <row r="61" spans="21:22" ht="18" customHeight="1" x14ac:dyDescent="0.3"/>
    <row r="62" spans="21:22" ht="18" customHeight="1" x14ac:dyDescent="0.3"/>
    <row r="63" spans="21:22" ht="18" customHeight="1" x14ac:dyDescent="0.3"/>
    <row r="64" spans="21:22" ht="18" customHeight="1" x14ac:dyDescent="0.3"/>
    <row r="65" ht="18" customHeight="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sheetData>
  <mergeCells count="3">
    <mergeCell ref="A2:T2"/>
    <mergeCell ref="A3:T3"/>
    <mergeCell ref="A1:T1"/>
  </mergeCells>
  <conditionalFormatting sqref="H5:H44">
    <cfRule type="colorScale" priority="10">
      <colorScale>
        <cfvo type="min"/>
        <cfvo type="percentile" val="50"/>
        <cfvo type="max"/>
        <color rgb="FFF8696B"/>
        <color rgb="FFFFEB84"/>
        <color rgb="FF63BE7B"/>
      </colorScale>
    </cfRule>
  </conditionalFormatting>
  <conditionalFormatting sqref="I5:I44">
    <cfRule type="expression" dxfId="234" priority="6">
      <formula>AND($I5&lt;&gt;"",$I5&gt;=1.1)</formula>
    </cfRule>
  </conditionalFormatting>
  <conditionalFormatting sqref="L5:M44">
    <cfRule type="expression" dxfId="233" priority="7">
      <formula>AND($L5&gt;=90%,$M5&gt;=80%)</formula>
    </cfRule>
  </conditionalFormatting>
  <conditionalFormatting sqref="N5:N44">
    <cfRule type="expression" dxfId="232" priority="8">
      <formula>AND($N5&lt;&gt;"",$N5&gt;=70%)</formula>
    </cfRule>
  </conditionalFormatting>
  <conditionalFormatting sqref="T5:T44">
    <cfRule type="expression" dxfId="231" priority="9">
      <formula>$T5="Selecionada"</formula>
    </cfRule>
  </conditionalFormatting>
  <conditionalFormatting sqref="U5:U44">
    <cfRule type="expression" dxfId="230" priority="5">
      <formula>$U5="Selecionada"</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362F5-ED23-4145-9CAB-140B17BC9FCD}">
  <dimension ref="A1:O17"/>
  <sheetViews>
    <sheetView topLeftCell="B1" workbookViewId="0">
      <selection activeCell="N10" sqref="N10"/>
    </sheetView>
  </sheetViews>
  <sheetFormatPr defaultRowHeight="14.4" x14ac:dyDescent="0.3"/>
  <cols>
    <col min="1" max="1" width="9.77734375" bestFit="1" customWidth="1"/>
    <col min="2" max="4" width="22.21875" customWidth="1"/>
    <col min="5" max="5" width="5.88671875" bestFit="1" customWidth="1"/>
    <col min="6" max="6" width="5.21875" bestFit="1" customWidth="1"/>
    <col min="7" max="7" width="6.109375" bestFit="1" customWidth="1"/>
    <col min="9" max="10" width="7.77734375" bestFit="1" customWidth="1"/>
    <col min="11" max="12" width="11.77734375" bestFit="1" customWidth="1"/>
    <col min="14" max="14" width="18.5546875" customWidth="1"/>
    <col min="15" max="15" width="26.88671875" customWidth="1"/>
  </cols>
  <sheetData>
    <row r="1" spans="1:15" ht="31.95" customHeight="1" x14ac:dyDescent="0.45">
      <c r="A1" s="269" t="s">
        <v>8270</v>
      </c>
      <c r="B1" s="269"/>
      <c r="C1" s="269"/>
      <c r="D1" s="269"/>
      <c r="E1" s="269"/>
      <c r="F1" s="269"/>
      <c r="G1" s="269"/>
      <c r="H1" s="269"/>
      <c r="I1" s="269"/>
      <c r="J1" s="269"/>
      <c r="K1" s="269"/>
      <c r="L1" s="269"/>
      <c r="M1" s="269"/>
      <c r="N1" s="269"/>
      <c r="O1" s="269"/>
    </row>
    <row r="2" spans="1:15" x14ac:dyDescent="0.3">
      <c r="A2" s="229" t="s">
        <v>8271</v>
      </c>
      <c r="B2" s="229"/>
      <c r="C2" s="229"/>
      <c r="D2" s="229"/>
      <c r="E2" s="229"/>
      <c r="F2" s="229"/>
      <c r="G2" s="229"/>
      <c r="H2" s="229"/>
      <c r="I2" s="229"/>
      <c r="J2" s="229"/>
      <c r="K2" s="229"/>
      <c r="L2" s="229"/>
      <c r="M2" s="229"/>
      <c r="N2" s="229"/>
      <c r="O2" s="229"/>
    </row>
    <row r="4" spans="1:15" x14ac:dyDescent="0.3">
      <c r="A4" s="270" t="s">
        <v>8272</v>
      </c>
      <c r="B4" s="270"/>
      <c r="C4" s="270"/>
      <c r="D4" s="270"/>
      <c r="E4" s="270"/>
      <c r="F4" s="270"/>
      <c r="G4" s="270"/>
      <c r="H4" s="270"/>
      <c r="I4" s="270"/>
      <c r="J4" s="270"/>
      <c r="K4" s="270"/>
      <c r="L4" s="270"/>
      <c r="M4" s="270"/>
      <c r="N4" s="270"/>
      <c r="O4" s="270"/>
    </row>
    <row r="5" spans="1:15" x14ac:dyDescent="0.3">
      <c r="A5" s="271" t="s">
        <v>8273</v>
      </c>
      <c r="B5" s="271" t="s">
        <v>45</v>
      </c>
      <c r="C5" s="271" t="s">
        <v>48</v>
      </c>
      <c r="D5" s="271" t="s">
        <v>0</v>
      </c>
      <c r="E5" s="271" t="s">
        <v>8274</v>
      </c>
      <c r="F5" s="271" t="s">
        <v>8275</v>
      </c>
      <c r="G5" s="271" t="s">
        <v>3102</v>
      </c>
      <c r="H5" s="271" t="s">
        <v>8276</v>
      </c>
      <c r="I5" s="271" t="s">
        <v>8281</v>
      </c>
      <c r="J5" s="271" t="s">
        <v>8282</v>
      </c>
      <c r="K5" s="271" t="s">
        <v>8277</v>
      </c>
      <c r="L5" s="271" t="s">
        <v>8278</v>
      </c>
      <c r="M5" s="271" t="s">
        <v>8279</v>
      </c>
      <c r="N5" s="271" t="s">
        <v>8283</v>
      </c>
      <c r="O5" s="271" t="s">
        <v>8284</v>
      </c>
    </row>
    <row r="6" spans="1:15" x14ac:dyDescent="0.3">
      <c r="A6" s="28">
        <f>_xlfn.RANK.EQ(J6,$J$6:$J$10,0)</f>
        <v>4</v>
      </c>
      <c r="B6" t="s">
        <v>259</v>
      </c>
      <c r="C6" t="s">
        <v>1159</v>
      </c>
      <c r="D6" t="str">
        <f>IFERROR(_xlfn.XLOOKUP(B6,Equipes!$A$2:$A$1000,Equipes!$B$2:$B$1000,"Sem histórico"),"Sem histórico")</f>
        <v>AUS - NPL Queensland</v>
      </c>
      <c r="E6" s="181">
        <f>COUNTIFS(tblDados[Mandante],B6,tblDados[Primeira_Ocorrencia],1)</f>
        <v>8</v>
      </c>
      <c r="F6" s="181">
        <f>COUNTIFS(tblDados[Visitante],C6,tblDados[Primeira_Ocorrencia],1)</f>
        <v>9</v>
      </c>
      <c r="G6" s="100">
        <f>_xlfn.LET(_xlpm.h,AVERAGE(_xlfn.XLOOKUP(B6,Equipes!$A$2:$A$1000,Equipes!$AA$2:$AA$1000),_xlfn.XLOOKUP(C6,Equipes!$A$2:$A$1000,Equipes!$AD$2:$AD$1000)),_xlpm.a,AVERAGE(_xlfn.XLOOKUP(C6,Equipes!$A$2:$A$1000,Equipes!$AC$2:$AC$1000),_xlfn.XLOOKUP(B6,Equipes!$A$2:$A$1000,Equipes!$AB$2:$AB$1000)),_xlpm.h+_xlpm.a)</f>
        <v>3.5069444444444446</v>
      </c>
      <c r="H6" s="103">
        <f>EXP(-G6)</f>
        <v>2.9988405827257543E-2</v>
      </c>
      <c r="I6" s="103">
        <f>1-_xlfn.POISSON.DIST(1,G6,TRUE)</f>
        <v>0.86484392095909624</v>
      </c>
      <c r="J6" s="103">
        <f>1-_xlfn.POISSON.DIST(2,G6,TRUE)</f>
        <v>0.68043532730322343</v>
      </c>
      <c r="K6" s="103" cm="1">
        <f t="array" ref="K6">MIN(IFERROR(SUMPRODUCT((tblDados[Mandante]=B6)*(tblDados[Primeira_Ocorrencia]=1)*((tblDados[GM_M]+tblDados[GS_M])&gt;=2))/E6,0),IFERROR(SUMPRODUCT((tblDados[Visitante]=C6)*(tblDados[Primeira_Ocorrencia]=1)*((tblDados[GM_V]+tblDados[GS_V])&gt;=2))/F6,0))</f>
        <v>0.875</v>
      </c>
      <c r="L6" s="103" cm="1">
        <f t="array" ref="L6">MIN(IFERROR(SUMPRODUCT((tblDados[Mandante]=B6)*(tblDados[Primeira_Ocorrencia]=1)*((tblDados[GM_M]+tblDados[GS_M])&gt;=3))/E6,0),IFERROR(SUMPRODUCT((tblDados[Visitante]=C6)*(tblDados[Primeira_Ocorrencia]=1)*((tblDados[GM_V]+tblDados[GS_V])&gt;=3))/F6,0))</f>
        <v>0.625</v>
      </c>
      <c r="M6" s="100" cm="1">
        <f t="array" ref="M6">_xlfn.LET(_xlpm.h,_xlfn._xlws.FILTER(tblDados[GM_M]+tblDados[GS_M],(tblDados[Mandante]=B6)*(tblDados[Primeira_Ocorrencia]=1),""),_xlpm.a,_xlfn._xlws.FILTER(tblDados[GM_V]+tblDados[GS_V],(tblDados[Visitante]=C6)*(tblDados[Primeira_Ocorrencia]=1),""),AVERAGE(IFERROR(AVERAGE(_xlfn.TAKE(_xlpm.h,-MIN(5,ROWS(_xlpm.h)))),0),IFERROR(AVERAGE(_xlfn.TAKE(_xlpm.a,-MIN(5,ROWS(_xlpm.a)))),0)))</f>
        <v>4.0999999999999996</v>
      </c>
      <c r="N6" t="str">
        <f>IF(AND(I6&gt;=80%,J6&gt;=55%),"OVER 2,00","NÃO ELEGÍVEL")</f>
        <v>OVER 2,00</v>
      </c>
      <c r="O6" t="str">
        <f>IF(AND(J6&gt;=80%,L6&gt;=75%),"FORTE",IF(AND(J6&gt;=65%,I6&gt;=85%),"BOA","ELEGÍVEL COM CAUTELA"))</f>
        <v>BOA</v>
      </c>
    </row>
    <row r="7" spans="1:15" x14ac:dyDescent="0.3">
      <c r="A7" s="28">
        <f t="shared" ref="A7:A10" si="0">_xlfn.RANK.EQ(J7,$J$6:$J$10,0)</f>
        <v>1</v>
      </c>
      <c r="B7" t="s">
        <v>7346</v>
      </c>
      <c r="C7" t="s">
        <v>7339</v>
      </c>
      <c r="D7" t="str">
        <f>IFERROR(_xlfn.XLOOKUP(B7,Equipes!$A$2:$A$1000,Equipes!$B$2:$B$1000,"Sem histórico"),"Sem histórico")</f>
        <v>CHN - Super League</v>
      </c>
      <c r="E7" s="181">
        <f>COUNTIFS(tblDados[Mandante],B7,tblDados[Primeira_Ocorrencia],1)</f>
        <v>6</v>
      </c>
      <c r="F7" s="181">
        <f>COUNTIFS(tblDados[Visitante],C7,tblDados[Primeira_Ocorrencia],1)</f>
        <v>7</v>
      </c>
      <c r="G7" s="100">
        <f>_xlfn.LET(_xlpm.h,AVERAGE(_xlfn.XLOOKUP(B7,Equipes!$A$2:$A$1000,Equipes!$AA$2:$AA$1000),_xlfn.XLOOKUP(C7,Equipes!$A$2:$A$1000,Equipes!$AD$2:$AD$1000)),_xlpm.a,AVERAGE(_xlfn.XLOOKUP(C7,Equipes!$A$2:$A$1000,Equipes!$AC$2:$AC$1000),_xlfn.XLOOKUP(B7,Equipes!$A$2:$A$1000,Equipes!$AB$2:$AB$1000)),_xlpm.h+_xlpm.a)</f>
        <v>4.5476190476190474</v>
      </c>
      <c r="H7" s="103">
        <f t="shared" ref="H7:H10" si="1">EXP(-G7)</f>
        <v>1.0592394370469676E-2</v>
      </c>
      <c r="I7" s="103">
        <f t="shared" ref="I7:I10" si="2">1-_xlfn.POISSON.DIST(1,G7,TRUE)</f>
        <v>0.94123743123048964</v>
      </c>
      <c r="J7" s="103">
        <f t="shared" ref="J7:J10" si="3">1-_xlfn.POISSON.DIST(2,G7,TRUE)</f>
        <v>0.83170762991838532</v>
      </c>
      <c r="K7" s="103" cm="1">
        <f t="array" ref="K7">MIN(IFERROR(SUMPRODUCT((tblDados[Mandante]=B7)*(tblDados[Primeira_Ocorrencia]=1)*((tblDados[GM_M]+tblDados[GS_M])&gt;=2))/E7,0),IFERROR(SUMPRODUCT((tblDados[Visitante]=C7)*(tblDados[Primeira_Ocorrencia]=1)*((tblDados[GM_V]+tblDados[GS_V])&gt;=2))/F7,0))</f>
        <v>1</v>
      </c>
      <c r="L7" s="103" cm="1">
        <f t="array" ref="L7">MIN(IFERROR(SUMPRODUCT((tblDados[Mandante]=B7)*(tblDados[Primeira_Ocorrencia]=1)*((tblDados[GM_M]+tblDados[GS_M])&gt;=3))/E7,0),IFERROR(SUMPRODUCT((tblDados[Visitante]=C7)*(tblDados[Primeira_Ocorrencia]=1)*((tblDados[GM_V]+tblDados[GS_V])&gt;=3))/F7,0))</f>
        <v>0.8571428571428571</v>
      </c>
      <c r="M7" s="100" cm="1">
        <f t="array" ref="M7">_xlfn.LET(_xlpm.h,_xlfn._xlws.FILTER(tblDados[GM_M]+tblDados[GS_M],(tblDados[Mandante]=B7)*(tblDados[Primeira_Ocorrencia]=1),""),_xlpm.a,_xlfn._xlws.FILTER(tblDados[GM_V]+tblDados[GS_V],(tblDados[Visitante]=C7)*(tblDados[Primeira_Ocorrencia]=1),""),AVERAGE(IFERROR(AVERAGE(_xlfn.TAKE(_xlpm.h,-MIN(5,ROWS(_xlpm.h)))),0),IFERROR(AVERAGE(_xlfn.TAKE(_xlpm.a,-MIN(5,ROWS(_xlpm.a)))),0)))</f>
        <v>4.4000000000000004</v>
      </c>
      <c r="N7" t="str">
        <f t="shared" ref="N7:N10" si="4">IF(AND(I7&gt;=80%,J7&gt;=55%),"OVER 2,00","NÃO ELEGÍVEL")</f>
        <v>OVER 2,00</v>
      </c>
      <c r="O7" t="str">
        <f t="shared" ref="O7:O10" si="5">IF(AND(J7&gt;=80%,L7&gt;=75%),"FORTE",IF(AND(J7&gt;=65%,I7&gt;=85%),"BOA","ELEGÍVEL COM CAUTELA"))</f>
        <v>FORTE</v>
      </c>
    </row>
    <row r="8" spans="1:15" x14ac:dyDescent="0.3">
      <c r="A8" s="28">
        <f t="shared" si="0"/>
        <v>2</v>
      </c>
      <c r="B8" t="s">
        <v>262</v>
      </c>
      <c r="C8" t="s">
        <v>1124</v>
      </c>
      <c r="D8" t="str">
        <f>IFERROR(_xlfn.XLOOKUP(B8,Equipes!$A$2:$A$1000,Equipes!$B$2:$B$1000,"Sem histórico"),"Sem histórico")</f>
        <v>AUS - NPL Queensland</v>
      </c>
      <c r="E8" s="181">
        <f>COUNTIFS(tblDados[Mandante],B8,tblDados[Primeira_Ocorrencia],1)</f>
        <v>6</v>
      </c>
      <c r="F8" s="181">
        <f>COUNTIFS(tblDados[Visitante],C8,tblDados[Primeira_Ocorrencia],1)</f>
        <v>6</v>
      </c>
      <c r="G8" s="100">
        <f>_xlfn.LET(_xlpm.h,AVERAGE(_xlfn.XLOOKUP(B8,Equipes!$A$2:$A$1000,Equipes!$AA$2:$AA$1000),_xlfn.XLOOKUP(C8,Equipes!$A$2:$A$1000,Equipes!$AD$2:$AD$1000)),_xlpm.a,AVERAGE(_xlfn.XLOOKUP(C8,Equipes!$A$2:$A$1000,Equipes!$AC$2:$AC$1000),_xlfn.XLOOKUP(B8,Equipes!$A$2:$A$1000,Equipes!$AB$2:$AB$1000)),_xlpm.h+_xlpm.a)</f>
        <v>3.75</v>
      </c>
      <c r="H8" s="103">
        <f t="shared" si="1"/>
        <v>2.3517745856009107E-2</v>
      </c>
      <c r="I8" s="103">
        <f t="shared" si="2"/>
        <v>0.88829070718395675</v>
      </c>
      <c r="J8" s="103">
        <f t="shared" si="3"/>
        <v>0.72293155663389275</v>
      </c>
      <c r="K8" s="103" cm="1">
        <f t="array" ref="K8">MIN(IFERROR(SUMPRODUCT((tblDados[Mandante]=B8)*(tblDados[Primeira_Ocorrencia]=1)*((tblDados[GM_M]+tblDados[GS_M])&gt;=2))/E8,0),IFERROR(SUMPRODUCT((tblDados[Visitante]=C8)*(tblDados[Primeira_Ocorrencia]=1)*((tblDados[GM_V]+tblDados[GS_V])&gt;=2))/F8,0))</f>
        <v>0.66666666666666663</v>
      </c>
      <c r="L8" s="103" cm="1">
        <f t="array" ref="L8">MIN(IFERROR(SUMPRODUCT((tblDados[Mandante]=B8)*(tblDados[Primeira_Ocorrencia]=1)*((tblDados[GM_M]+tblDados[GS_M])&gt;=3))/E8,0),IFERROR(SUMPRODUCT((tblDados[Visitante]=C8)*(tblDados[Primeira_Ocorrencia]=1)*((tblDados[GM_V]+tblDados[GS_V])&gt;=3))/F8,0))</f>
        <v>0.66666666666666663</v>
      </c>
      <c r="M8" s="100" cm="1">
        <f t="array" ref="M8">_xlfn.LET(_xlpm.h,_xlfn._xlws.FILTER(tblDados[GM_M]+tblDados[GS_M],(tblDados[Mandante]=B8)*(tblDados[Primeira_Ocorrencia]=1),""),_xlpm.a,_xlfn._xlws.FILTER(tblDados[GM_V]+tblDados[GS_V],(tblDados[Visitante]=C8)*(tblDados[Primeira_Ocorrencia]=1),""),AVERAGE(IFERROR(AVERAGE(_xlfn.TAKE(_xlpm.h,-MIN(5,ROWS(_xlpm.h)))),0),IFERROR(AVERAGE(_xlfn.TAKE(_xlpm.a,-MIN(5,ROWS(_xlpm.a)))),0)))</f>
        <v>3.6</v>
      </c>
      <c r="N8" t="str">
        <f t="shared" si="4"/>
        <v>OVER 2,00</v>
      </c>
      <c r="O8" t="str">
        <f t="shared" si="5"/>
        <v>BOA</v>
      </c>
    </row>
    <row r="9" spans="1:15" x14ac:dyDescent="0.3">
      <c r="A9" s="28">
        <f t="shared" si="0"/>
        <v>3</v>
      </c>
      <c r="B9" t="s">
        <v>1139</v>
      </c>
      <c r="C9" t="s">
        <v>258</v>
      </c>
      <c r="D9" t="str">
        <f>IFERROR(_xlfn.XLOOKUP(B9,Equipes!$A$2:$A$1000,Equipes!$B$2:$B$1000,"Sem histórico"),"Sem histórico")</f>
        <v>AUS - NPL Queensland</v>
      </c>
      <c r="E9" s="181">
        <f>COUNTIFS(tblDados[Mandante],B9,tblDados[Primeira_Ocorrencia],1)</f>
        <v>6</v>
      </c>
      <c r="F9" s="181">
        <f>COUNTIFS(tblDados[Visitante],C9,tblDados[Primeira_Ocorrencia],1)</f>
        <v>10</v>
      </c>
      <c r="G9" s="100">
        <f>_xlfn.LET(_xlpm.h,AVERAGE(_xlfn.XLOOKUP(B9,Equipes!$A$2:$A$1000,Equipes!$AA$2:$AA$1000),_xlfn.XLOOKUP(C9,Equipes!$A$2:$A$1000,Equipes!$AD$2:$AD$1000)),_xlpm.a,AVERAGE(_xlfn.XLOOKUP(C9,Equipes!$A$2:$A$1000,Equipes!$AC$2:$AC$1000),_xlfn.XLOOKUP(B9,Equipes!$A$2:$A$1000,Equipes!$AB$2:$AB$1000)),_xlpm.h+_xlpm.a)</f>
        <v>3.6999999999999997</v>
      </c>
      <c r="H9" s="103">
        <f t="shared" si="1"/>
        <v>2.4723526470339399E-2</v>
      </c>
      <c r="I9" s="103">
        <f t="shared" si="2"/>
        <v>0.88379942558940483</v>
      </c>
      <c r="J9" s="103">
        <f t="shared" si="3"/>
        <v>0.71456688689993175</v>
      </c>
      <c r="K9" s="103" cm="1">
        <f t="array" ref="K9">MIN(IFERROR(SUMPRODUCT((tblDados[Mandante]=B9)*(tblDados[Primeira_Ocorrencia]=1)*((tblDados[GM_M]+tblDados[GS_M])&gt;=2))/E9,0),IFERROR(SUMPRODUCT((tblDados[Visitante]=C9)*(tblDados[Primeira_Ocorrencia]=1)*((tblDados[GM_V]+tblDados[GS_V])&gt;=2))/F9,0))</f>
        <v>0.9</v>
      </c>
      <c r="L9" s="103" cm="1">
        <f t="array" ref="L9">MIN(IFERROR(SUMPRODUCT((tblDados[Mandante]=B9)*(tblDados[Primeira_Ocorrencia]=1)*((tblDados[GM_M]+tblDados[GS_M])&gt;=3))/E9,0),IFERROR(SUMPRODUCT((tblDados[Visitante]=C9)*(tblDados[Primeira_Ocorrencia]=1)*((tblDados[GM_V]+tblDados[GS_V])&gt;=3))/F9,0))</f>
        <v>0.66666666666666663</v>
      </c>
      <c r="M9" s="100" cm="1">
        <f t="array" ref="M9">_xlfn.LET(_xlpm.h,_xlfn._xlws.FILTER(tblDados[GM_M]+tblDados[GS_M],(tblDados[Mandante]=B9)*(tblDados[Primeira_Ocorrencia]=1),""),_xlpm.a,_xlfn._xlws.FILTER(tblDados[GM_V]+tblDados[GS_V],(tblDados[Visitante]=C9)*(tblDados[Primeira_Ocorrencia]=1),""),AVERAGE(IFERROR(AVERAGE(_xlfn.TAKE(_xlpm.h,-MIN(5,ROWS(_xlpm.h)))),0),IFERROR(AVERAGE(_xlfn.TAKE(_xlpm.a,-MIN(5,ROWS(_xlpm.a)))),0)))</f>
        <v>4.1999999999999993</v>
      </c>
      <c r="N9" t="str">
        <f t="shared" si="4"/>
        <v>OVER 2,00</v>
      </c>
      <c r="O9" t="str">
        <f t="shared" si="5"/>
        <v>BOA</v>
      </c>
    </row>
    <row r="10" spans="1:15" x14ac:dyDescent="0.3">
      <c r="A10" s="28">
        <f t="shared" si="0"/>
        <v>5</v>
      </c>
      <c r="B10" t="s">
        <v>1151</v>
      </c>
      <c r="C10" t="s">
        <v>1135</v>
      </c>
      <c r="D10" t="str">
        <f>IFERROR(_xlfn.XLOOKUP(B10,Equipes!$A$2:$A$1000,Equipes!$B$2:$B$1000,"Sem histórico"),"Sem histórico")</f>
        <v>AUS - NPL Queensland</v>
      </c>
      <c r="E10" s="181">
        <f>COUNTIFS(tblDados[Mandante],B10,tblDados[Primeira_Ocorrencia],1)</f>
        <v>10</v>
      </c>
      <c r="F10" s="181">
        <f>COUNTIFS(tblDados[Visitante],C10,tblDados[Primeira_Ocorrencia],1)</f>
        <v>5</v>
      </c>
      <c r="G10" s="100">
        <f>_xlfn.LET(_xlpm.h,AVERAGE(_xlfn.XLOOKUP(B10,Equipes!$A$2:$A$1000,Equipes!$AA$2:$AA$1000),_xlfn.XLOOKUP(C10,Equipes!$A$2:$A$1000,Equipes!$AD$2:$AD$1000)),_xlpm.a,AVERAGE(_xlfn.XLOOKUP(C10,Equipes!$A$2:$A$1000,Equipes!$AC$2:$AC$1000),_xlfn.XLOOKUP(B10,Equipes!$A$2:$A$1000,Equipes!$AB$2:$AB$1000)),_xlpm.h+_xlpm.a)</f>
        <v>3</v>
      </c>
      <c r="H10" s="103">
        <f t="shared" si="1"/>
        <v>4.9787068367863944E-2</v>
      </c>
      <c r="I10" s="103">
        <f t="shared" si="2"/>
        <v>0.80085172652854419</v>
      </c>
      <c r="J10" s="103">
        <f t="shared" si="3"/>
        <v>0.57680991887315658</v>
      </c>
      <c r="K10" s="103" cm="1">
        <f t="array" ref="K10">MIN(IFERROR(SUMPRODUCT((tblDados[Mandante]=B10)*(tblDados[Primeira_Ocorrencia]=1)*((tblDados[GM_M]+tblDados[GS_M])&gt;=2))/E10,0),IFERROR(SUMPRODUCT((tblDados[Visitante]=C10)*(tblDados[Primeira_Ocorrencia]=1)*((tblDados[GM_V]+tblDados[GS_V])&gt;=2))/F10,0))</f>
        <v>0.7</v>
      </c>
      <c r="L10" s="103" cm="1">
        <f t="array" ref="L10">MIN(IFERROR(SUMPRODUCT((tblDados[Mandante]=B10)*(tblDados[Primeira_Ocorrencia]=1)*((tblDados[GM_M]+tblDados[GS_M])&gt;=3))/E10,0),IFERROR(SUMPRODUCT((tblDados[Visitante]=C10)*(tblDados[Primeira_Ocorrencia]=1)*((tblDados[GM_V]+tblDados[GS_V])&gt;=3))/F10,0))</f>
        <v>0.6</v>
      </c>
      <c r="M10" s="100" cm="1">
        <f t="array" ref="M10">_xlfn.LET(_xlpm.h,_xlfn._xlws.FILTER(tblDados[GM_M]+tblDados[GS_M],(tblDados[Mandante]=B10)*(tblDados[Primeira_Ocorrencia]=1),""),_xlpm.a,_xlfn._xlws.FILTER(tblDados[GM_V]+tblDados[GS_V],(tblDados[Visitante]=C10)*(tblDados[Primeira_Ocorrencia]=1),""),AVERAGE(IFERROR(AVERAGE(_xlfn.TAKE(_xlpm.h,-MIN(5,ROWS(_xlpm.h)))),0),IFERROR(AVERAGE(_xlfn.TAKE(_xlpm.a,-MIN(5,ROWS(_xlpm.a)))),0)))</f>
        <v>3</v>
      </c>
      <c r="N10" t="s">
        <v>8285</v>
      </c>
      <c r="O10" t="s">
        <v>8286</v>
      </c>
    </row>
    <row r="12" spans="1:15" x14ac:dyDescent="0.3">
      <c r="A12" s="270" t="s">
        <v>8280</v>
      </c>
      <c r="B12" s="270"/>
      <c r="C12" s="270"/>
      <c r="D12" s="270"/>
      <c r="E12" s="270"/>
      <c r="F12" s="270"/>
      <c r="G12" s="270"/>
      <c r="H12" s="270"/>
      <c r="I12" s="270"/>
      <c r="J12" s="270"/>
      <c r="K12" s="270"/>
      <c r="L12" s="270"/>
      <c r="M12" s="270"/>
      <c r="N12" s="270"/>
      <c r="O12" s="270"/>
    </row>
    <row r="13" spans="1:15" ht="28.05" customHeight="1" x14ac:dyDescent="0.3">
      <c r="A13" s="272" t="s">
        <v>8287</v>
      </c>
      <c r="B13" s="272"/>
      <c r="C13" s="272"/>
      <c r="D13" s="272"/>
      <c r="E13" s="272"/>
      <c r="F13" s="272"/>
      <c r="G13" s="272"/>
      <c r="H13" s="272"/>
      <c r="I13" s="272"/>
      <c r="J13" s="272"/>
      <c r="K13" s="272"/>
      <c r="L13" s="272"/>
      <c r="M13" s="272"/>
      <c r="N13" s="272"/>
      <c r="O13" s="272"/>
    </row>
    <row r="14" spans="1:15" ht="28.05" customHeight="1" x14ac:dyDescent="0.3">
      <c r="A14" s="272"/>
      <c r="B14" s="272"/>
      <c r="C14" s="272"/>
      <c r="D14" s="272"/>
      <c r="E14" s="272"/>
      <c r="F14" s="272"/>
      <c r="G14" s="272"/>
      <c r="H14" s="272"/>
      <c r="I14" s="272"/>
      <c r="J14" s="272"/>
      <c r="K14" s="272"/>
      <c r="L14" s="272"/>
      <c r="M14" s="272"/>
      <c r="N14" s="272"/>
      <c r="O14" s="272"/>
    </row>
    <row r="15" spans="1:15" ht="28.05" customHeight="1" x14ac:dyDescent="0.3">
      <c r="A15" s="272"/>
      <c r="B15" s="272"/>
      <c r="C15" s="272"/>
      <c r="D15" s="272"/>
      <c r="E15" s="272"/>
      <c r="F15" s="272"/>
      <c r="G15" s="272"/>
      <c r="H15" s="272"/>
      <c r="I15" s="272"/>
      <c r="J15" s="272"/>
      <c r="K15" s="272"/>
      <c r="L15" s="272"/>
      <c r="M15" s="272"/>
      <c r="N15" s="272"/>
      <c r="O15" s="272"/>
    </row>
    <row r="16" spans="1:15" ht="28.05" customHeight="1" x14ac:dyDescent="0.3">
      <c r="A16" s="272"/>
      <c r="B16" s="272"/>
      <c r="C16" s="272"/>
      <c r="D16" s="272"/>
      <c r="E16" s="272"/>
      <c r="F16" s="272"/>
      <c r="G16" s="272"/>
      <c r="H16" s="272"/>
      <c r="I16" s="272"/>
      <c r="J16" s="272"/>
      <c r="K16" s="272"/>
      <c r="L16" s="272"/>
      <c r="M16" s="272"/>
      <c r="N16" s="272"/>
      <c r="O16" s="272"/>
    </row>
    <row r="17" spans="1:15" ht="28.05" customHeight="1" x14ac:dyDescent="0.3">
      <c r="A17" s="272"/>
      <c r="B17" s="272"/>
      <c r="C17" s="272"/>
      <c r="D17" s="272"/>
      <c r="E17" s="272"/>
      <c r="F17" s="272"/>
      <c r="G17" s="272"/>
      <c r="H17" s="272"/>
      <c r="I17" s="272"/>
      <c r="J17" s="272"/>
      <c r="K17" s="272"/>
      <c r="L17" s="272"/>
      <c r="M17" s="272"/>
      <c r="N17" s="272"/>
      <c r="O17" s="272"/>
    </row>
  </sheetData>
  <mergeCells count="5">
    <mergeCell ref="A13:O17"/>
    <mergeCell ref="A1:O1"/>
    <mergeCell ref="A2:O2"/>
    <mergeCell ref="A4:O4"/>
    <mergeCell ref="A12:O12"/>
  </mergeCells>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AEF22-0E18-4ABD-919D-33231047974C}">
  <dimension ref="A1:J1000"/>
  <sheetViews>
    <sheetView zoomScale="90" zoomScaleNormal="90" workbookViewId="0">
      <selection activeCell="I15" sqref="I15"/>
    </sheetView>
  </sheetViews>
  <sheetFormatPr defaultRowHeight="14.4" x14ac:dyDescent="0.3"/>
  <cols>
    <col min="1" max="1" width="19.44140625" customWidth="1"/>
    <col min="2" max="3" width="17" customWidth="1"/>
    <col min="4" max="4" width="22.21875" customWidth="1"/>
    <col min="5" max="5" width="4.109375" style="43" customWidth="1"/>
    <col min="6" max="6" width="17" customWidth="1"/>
    <col min="7" max="7" width="28.6640625" customWidth="1"/>
    <col min="8" max="8" width="17" customWidth="1"/>
    <col min="9" max="9" width="37" customWidth="1"/>
    <col min="10" max="10" width="4.109375" customWidth="1"/>
    <col min="11" max="11" width="9.6640625" customWidth="1"/>
    <col min="12" max="12" width="13.33203125" customWidth="1"/>
    <col min="13" max="13" width="5.88671875" customWidth="1"/>
    <col min="14" max="24" width="8.109375" customWidth="1"/>
    <col min="25" max="50" width="0" hidden="1" customWidth="1"/>
  </cols>
  <sheetData>
    <row r="1" spans="1:10" ht="28.05" customHeight="1" x14ac:dyDescent="0.3">
      <c r="A1" s="219" t="s">
        <v>414</v>
      </c>
      <c r="B1" s="219"/>
      <c r="C1" s="219"/>
      <c r="D1" s="219"/>
      <c r="E1" s="220"/>
      <c r="F1" s="219"/>
      <c r="G1" s="219"/>
      <c r="H1" s="219"/>
      <c r="I1" s="220"/>
      <c r="J1" s="220"/>
    </row>
    <row r="2" spans="1:10" ht="19.95" customHeight="1" x14ac:dyDescent="0.3">
      <c r="A2" s="221" t="s">
        <v>3124</v>
      </c>
      <c r="B2" s="221"/>
      <c r="C2" s="221"/>
      <c r="D2" s="221"/>
      <c r="E2" s="222"/>
      <c r="F2" s="221"/>
      <c r="G2" s="221"/>
      <c r="H2" s="221"/>
      <c r="I2" s="222"/>
      <c r="J2" s="222"/>
    </row>
    <row r="3" spans="1:10" ht="12" customHeight="1" x14ac:dyDescent="0.3">
      <c r="A3" s="118"/>
      <c r="B3" s="118"/>
      <c r="C3" s="118"/>
      <c r="D3" s="118"/>
      <c r="E3" s="119"/>
      <c r="F3" s="118"/>
      <c r="G3" s="118"/>
      <c r="H3" s="118"/>
      <c r="I3" s="119"/>
      <c r="J3" s="119"/>
    </row>
    <row r="4" spans="1:10" ht="22.05" customHeight="1" x14ac:dyDescent="0.3">
      <c r="A4" s="218" t="s">
        <v>415</v>
      </c>
      <c r="B4" s="218"/>
      <c r="C4" s="218"/>
      <c r="D4" s="218"/>
      <c r="E4" s="223"/>
      <c r="F4" s="218"/>
      <c r="G4" s="218"/>
      <c r="H4" s="218"/>
      <c r="I4" s="223"/>
      <c r="J4" s="223"/>
    </row>
    <row r="5" spans="1:10" ht="19.95" customHeight="1" x14ac:dyDescent="0.3">
      <c r="A5" s="47" t="s">
        <v>45</v>
      </c>
      <c r="B5" s="114" t="s">
        <v>290</v>
      </c>
      <c r="C5" s="49"/>
      <c r="D5" s="131" t="s">
        <v>346</v>
      </c>
      <c r="E5" s="216" t="str">
        <f>IF($B$5="","",IFERROR(INDEX(Equipes!$B$2:$B$1000,MATCH($B$5,Equipes!$A$2:$A$1000,0)),"Sem histórico"))</f>
        <v>FIN - Kakkonen A</v>
      </c>
      <c r="F5" s="217"/>
      <c r="G5" s="217"/>
      <c r="H5" s="224" t="str">
        <f>IF($B$5="","",IF(COUNTIF(Equipes!$A$2:$A$1000,TRIM($B$5))&gt;0,"✓ Histórico disponível",IF(COUNTIF(CadastroEquipes,TRIM($B$5))&gt;0,"⚠ Cadastrada, sem histórico","⚠ Nome não cadastrado")))</f>
        <v>✓ Histórico disponível</v>
      </c>
      <c r="I5" s="225"/>
      <c r="J5" s="226"/>
    </row>
    <row r="6" spans="1:10" ht="19.95" customHeight="1" x14ac:dyDescent="0.3">
      <c r="A6" s="47" t="s">
        <v>48</v>
      </c>
      <c r="B6" s="114" t="s">
        <v>300</v>
      </c>
      <c r="C6" s="49"/>
      <c r="D6" s="131" t="s">
        <v>346</v>
      </c>
      <c r="E6" s="216" t="str">
        <f>IF($B$6="","",IFERROR(INDEX(Equipes!$B$2:$B$1000,MATCH($B$6,Equipes!$A$2:$A$1000,0)),"Sem histórico"))</f>
        <v>FIN - Kakkonen A</v>
      </c>
      <c r="F6" s="217"/>
      <c r="G6" s="217"/>
      <c r="H6" s="224" t="str">
        <f>IF($B$6="","",IF(COUNTIF(Equipes!$A$2:$A$1000,TRIM($B$6))&gt;0,"✓ Histórico disponível",IF(COUNTIF(CadastroEquipes,TRIM($B$6))&gt;0,"⚠ Cadastrada, sem histórico","⚠ Nome não cadastrado")))</f>
        <v>✓ Histórico disponível</v>
      </c>
      <c r="I6" s="225"/>
      <c r="J6" s="226"/>
    </row>
    <row r="7" spans="1:10" ht="12" customHeight="1" x14ac:dyDescent="0.3">
      <c r="A7" s="118"/>
      <c r="B7" s="118"/>
      <c r="C7" s="118"/>
      <c r="D7" s="118"/>
      <c r="E7" s="119"/>
      <c r="F7" s="118"/>
      <c r="G7" s="118"/>
      <c r="H7" s="118"/>
      <c r="I7" s="119"/>
      <c r="J7" s="119"/>
    </row>
    <row r="8" spans="1:10" ht="22.05" customHeight="1" x14ac:dyDescent="0.3">
      <c r="A8" s="218" t="s">
        <v>416</v>
      </c>
      <c r="B8" s="218"/>
      <c r="C8" s="218"/>
      <c r="D8" s="218"/>
      <c r="E8" s="120"/>
      <c r="F8" s="227" t="s">
        <v>818</v>
      </c>
      <c r="G8" s="227"/>
      <c r="H8" s="227"/>
      <c r="I8" s="119"/>
      <c r="J8" s="119"/>
    </row>
    <row r="9" spans="1:10" ht="22.05" customHeight="1" x14ac:dyDescent="0.3">
      <c r="A9" s="132" t="s">
        <v>417</v>
      </c>
      <c r="B9" s="132" t="s">
        <v>45</v>
      </c>
      <c r="C9" s="132" t="s">
        <v>48</v>
      </c>
      <c r="D9" s="132" t="s">
        <v>44</v>
      </c>
      <c r="E9" s="133"/>
      <c r="F9" s="132" t="s">
        <v>807</v>
      </c>
      <c r="G9" s="132" t="s">
        <v>804</v>
      </c>
      <c r="H9" s="132" t="s">
        <v>808</v>
      </c>
      <c r="I9" s="133"/>
      <c r="J9" s="133"/>
    </row>
    <row r="10" spans="1:10" ht="19.95" customHeight="1" x14ac:dyDescent="0.3">
      <c r="A10" s="47" t="s">
        <v>418</v>
      </c>
      <c r="B10" s="134">
        <f>IF(OR($B$5="",$B$6=""),"",_xlfn.LET(_xlpm.x,IFERROR(INDEX(Equipes!$AA$2:$AA$1000,MATCH($B$5,Equipes!$A$2:$A$1000,0)),""),_xlpm.y,IFERROR(INDEX(Equipes!$AD$2:$AD$1000,MATCH($B$6,Equipes!$A$2:$A$1000,0)),""),IF(OR(_xlpm.x="",_xlpm.y=""),"",AVERAGE(_xlpm.x,_xlpm.y))))</f>
        <v>2.4642857142857144</v>
      </c>
      <c r="C10" s="134">
        <f>IF(OR($B$5="",$B$6=""),"",_xlfn.LET(_xlpm.x,IFERROR(INDEX(Equipes!$AC$2:$AC$1000,MATCH($B$6,Equipes!$A$2:$A$1000,0)),""),_xlpm.y,IFERROR(INDEX(Equipes!$AB$2:$AB$1000,MATCH($B$5,Equipes!$A$2:$A$1000,0)),""),IF(OR(_xlpm.x="",_xlpm.y=""),"",AVERAGE(_xlpm.x,_xlpm.y))))</f>
        <v>1.2261904761904763</v>
      </c>
      <c r="D10" s="134">
        <f>IF(OR(B10="",C10=""),"",B10+C10)</f>
        <v>3.6904761904761907</v>
      </c>
      <c r="E10" s="119"/>
      <c r="F10" s="47" t="s">
        <v>809</v>
      </c>
      <c r="G10" s="121" t="str">
        <f>IF($H$10=0,"Sem linha aprovada","Até Over "&amp;FIXED($H$10,2,FALSE))</f>
        <v>Até Over 1,00</v>
      </c>
      <c r="H10" s="135" cm="1">
        <f t="array" ref="H10">IF($D$10="",0,_xlfn.LET(_xlpm.ls,{0.5;0.75;1;1.25;1.5;1.75;2;2.25;2.5;2.75;3},_xlpm.th,{0.95;0.94;0.925;0.9125;0.9;0.88;0.86;0.84;0.82;0.8025;0.785},_xlpm.sc,_xlfn.MAP(_xlpm.ls,_xlfn.LAMBDA(_xlpm.l,_xlfn.LET(_xlpm.n,INT(_xlpm.l),_xlpm.f,ROUND(MOD(_xlpm.l,1),2),_xlpm.si,_xlfn.LAMBDA(_xlpm.k,1-_xlfn.POISSON.DIST(_xlpm.k,$D$10,TRUE)+0.5*_xlfn.POISSON.DIST(_xlpm.k,$D$10,FALSE)),_xlpm.sh,_xlfn.LAMBDA(_xlpm.k,1-_xlfn.POISSON.DIST(_xlpm.k,$D$10,TRUE)),IF(_xlpm.f=0.5,_xlpm.sh(_xlpm.n),IF(_xlpm.f=0,_xlpm.si(_xlpm.n),IF(_xlpm.f=0.25,AVERAGE(_xlpm.si(_xlpm.n),_xlpm.sh(_xlpm.n)),AVERAGE(_xlpm.sh(_xlpm.n),_xlpm.si(_xlpm.n+1)))))))),IFERROR(MAX(_xlfn._xlws.FILTER(_xlpm.ls,_xlpm.sc&gt;=_xlpm.th)),0)))</f>
        <v>1</v>
      </c>
      <c r="I10" s="119"/>
      <c r="J10" s="119"/>
    </row>
    <row r="11" spans="1:10" ht="19.95" customHeight="1" x14ac:dyDescent="0.3">
      <c r="A11" s="47" t="s">
        <v>419</v>
      </c>
      <c r="B11" s="136">
        <f>IFERROR(INDEX(Equipes!$E$2:$E$1000,MATCH($B$5,Equipes!$A$2:$A$1000,0)),"")</f>
        <v>7</v>
      </c>
      <c r="C11" s="136">
        <f>IFERROR(INDEX(Equipes!$F$2:$F$1000,MATCH($B$6,Equipes!$A$2:$A$1000,0)),"")</f>
        <v>6</v>
      </c>
      <c r="D11" s="136">
        <f>IF(OR(B11="",C11=""),"",MIN(B11,C11))</f>
        <v>6</v>
      </c>
      <c r="E11" s="119"/>
      <c r="F11" s="47" t="s">
        <v>430</v>
      </c>
      <c r="G11" s="121" t="str">
        <f>IF($D$10="","Aguardando histórico",IF($H$11=0,"Baixo potencial","Suporta Over "&amp;FIXED($H$11,2,FALSE)))</f>
        <v>Suporta Over 2,50</v>
      </c>
      <c r="H11" s="135">
        <f>IF($D$10="",0,IF($D$10&lt;1.5,0,IF($D$10&lt;2.5,0.5,IF($D$10&lt;3.5,1.5,IF($D$10&lt;4.5,2.5,3)))))</f>
        <v>2.5</v>
      </c>
      <c r="I11" s="119"/>
      <c r="J11" s="119"/>
    </row>
    <row r="12" spans="1:10" ht="19.95" customHeight="1" x14ac:dyDescent="0.3">
      <c r="A12" s="47" t="s">
        <v>420</v>
      </c>
      <c r="B12" s="137">
        <f>IFERROR(INDEX(Equipes!$C$2:$C$1000,MATCH($B$5,Equipes!$A$2:$A$1000,0)),"")</f>
        <v>2.7142857142857144</v>
      </c>
      <c r="C12" s="137">
        <f>IFERROR(INDEX(Equipes!$D$2:$D$1000,MATCH($B$6,Equipes!$A$2:$A$1000,0)),"")</f>
        <v>4.666666666666667</v>
      </c>
      <c r="D12" s="137">
        <f>IF(OR(B12="",C12=""),"",AVERAGE(B12,C12))</f>
        <v>3.6904761904761907</v>
      </c>
      <c r="E12" s="119"/>
      <c r="F12" s="47" t="s">
        <v>3123</v>
      </c>
      <c r="G12" s="121" t="str">
        <f>IF($H$12=0,"Sem concentração Over","Top 8 suporta Over "&amp;FIXED($H$12,2,FALSE))</f>
        <v>Top 8 suporta Over 2,50</v>
      </c>
      <c r="H12" s="135" cm="1">
        <f t="array" ref="H12">IF($D$10="",0,_xlfn.LET(_xlpm.t,VALUE(_xlfn.TEXTBEFORE($G$19:$G$26," x "))+VALUE(_xlfn.TEXTAFTER($G$19:$G$26," x ")),MAX(0,MIN(3,FLOOR(MEDIAN(_xlpm.t)-0.5,0.25)))))</f>
        <v>2.5</v>
      </c>
      <c r="I12" s="119"/>
      <c r="J12" s="119"/>
    </row>
    <row r="13" spans="1:10" ht="19.95" customHeight="1" x14ac:dyDescent="0.3">
      <c r="A13" s="47" t="s">
        <v>421</v>
      </c>
      <c r="B13" s="127" t="str">
        <f>IFERROR(INDEX(Equipes!$R$2:$R$1000,MATCH($B$5,Equipes!$A$2:$A$1000,0)),"")</f>
        <v>Poisson</v>
      </c>
      <c r="C13" s="127" t="str">
        <f>IFERROR(INDEX(Equipes!$R$2:$R$1000,MATCH($B$6,Equipes!$A$2:$A$1000,0)),"")</f>
        <v>Poisson</v>
      </c>
      <c r="D13" s="127" t="str">
        <f>IF(OR(B13="",C13=""),"",IF(OR(B13="Amostra Insuficiente",C13="Amostra Insuficiente"),"Poisson preliminar",IF(B13=C13,B13,"Poisson base / dispersão")))</f>
        <v>Poisson</v>
      </c>
      <c r="E13" s="119"/>
      <c r="F13" s="47" t="s">
        <v>851</v>
      </c>
      <c r="G13" s="122" t="str">
        <f>IF($H$13=0,"SEM CONSENSO","OVER "&amp;FIXED($H$13,2,FALSE))</f>
        <v>OVER 2,50</v>
      </c>
      <c r="H13" s="138">
        <f>MEDIAN($H$10:$H$12)</f>
        <v>2.5</v>
      </c>
      <c r="I13" s="119"/>
      <c r="J13" s="119"/>
    </row>
    <row r="14" spans="1:10" ht="19.95" customHeight="1" x14ac:dyDescent="0.3">
      <c r="A14" s="47" t="s">
        <v>422</v>
      </c>
      <c r="B14" s="127" t="str">
        <f>IF(B11="","",IF(B11&gt;=10,"Robusta",IF(B11&gt;=5,"Em formação","Preliminar")))</f>
        <v>Em formação</v>
      </c>
      <c r="C14" s="127" t="str">
        <f>IF(C11="","",IF(C11&gt;=10,"Robusta",IF(C11&gt;=5,"Em formação","Preliminar")))</f>
        <v>Em formação</v>
      </c>
      <c r="D14" s="127" t="str">
        <f>IF(OR(B11="",C11=""),"",IF(MIN(B11,C11)&gt;=10,"Robusta",IF(MIN(B11,C11)&gt;=5,"Em formação","Preliminar")))</f>
        <v>Em formação</v>
      </c>
      <c r="E14" s="119"/>
      <c r="F14" s="47" t="s">
        <v>852</v>
      </c>
      <c r="G14" s="123" t="str">
        <f>IF($H$14&gt;=15,"FASE 2 — OTIMIZAR LUCRO","FASE 1 — PRESERVAR CAPITAL")</f>
        <v>FASE 1 — PRESERVAR CAPITAL</v>
      </c>
      <c r="H14" s="139">
        <f>_xlfn.LET(_xlpm.l,IF($E$5=$E$6,$E$5,IF(AND(ISNUMBER(SEARCH("Kakkonen",$E$5)),ISNUMBER(SEARCH("Kakkonen",$E$6))),"FIN - Kakkonen",$E$5&amp;" / "&amp;$E$6)),COUNTIF(tblCalibracao[Liga],_xlpm.l))</f>
        <v>1</v>
      </c>
      <c r="I14" s="119"/>
      <c r="J14" s="119"/>
    </row>
    <row r="15" spans="1:10" ht="30" customHeight="1" x14ac:dyDescent="0.3">
      <c r="A15" s="47" t="s">
        <v>423</v>
      </c>
      <c r="B15" s="214">
        <v>0</v>
      </c>
      <c r="C15" s="215"/>
      <c r="D15" s="113" t="s">
        <v>424</v>
      </c>
      <c r="E15" s="119"/>
      <c r="F15" s="47" t="s">
        <v>810</v>
      </c>
      <c r="G15" s="115" t="str">
        <f>IF($H$13=0,"NÃO APOSTAR",IF(1-$H$40&gt;10%,"NÃO APOSTAR — 0x0 "&amp;TEXT(1-$H$40,"0.0%"),"ANALISAR OVER "&amp;FIXED(MIN(3,$H$13+IF(AND($D$10&gt;=2.5,$D$10&lt;3.5),IF(1-$H$40&lt;7.5%,0.5,0.25),0)),2,FALSE)))</f>
        <v>ANALISAR OVER 2,50</v>
      </c>
      <c r="H15" s="140" t="str">
        <f>IF($H$13=0,"—",IF(1-$H$40&gt;10%,"IMPEDITIVO",IF(AND($D$10&gt;=2.5,$D$10&lt;3.5),IF(1-$H$40&lt;7.5%,"Avançar +0,50","Avançar +0,25"),IF($D$10&gt;=3.5,"Sem avanço automático","Máxima proteção"))))</f>
        <v>Sem avanço automático</v>
      </c>
      <c r="I15" s="119"/>
      <c r="J15" s="119"/>
    </row>
    <row r="16" spans="1:10" ht="12" customHeight="1" x14ac:dyDescent="0.3">
      <c r="A16" s="118"/>
      <c r="B16" s="118"/>
      <c r="C16" s="118"/>
      <c r="D16" s="118"/>
      <c r="E16" s="119"/>
      <c r="F16" s="124"/>
      <c r="G16" s="124"/>
      <c r="H16" s="124"/>
      <c r="I16" s="119"/>
      <c r="J16" s="119"/>
    </row>
    <row r="17" spans="1:10" ht="22.05" customHeight="1" x14ac:dyDescent="0.3">
      <c r="A17" s="218" t="s">
        <v>819</v>
      </c>
      <c r="B17" s="218"/>
      <c r="C17" s="218"/>
      <c r="D17" s="218"/>
      <c r="E17" s="120"/>
      <c r="F17" s="218" t="s">
        <v>833</v>
      </c>
      <c r="G17" s="218"/>
      <c r="H17" s="218"/>
      <c r="I17" s="119"/>
      <c r="J17" s="119"/>
    </row>
    <row r="18" spans="1:10" ht="22.05" customHeight="1" x14ac:dyDescent="0.3">
      <c r="A18" s="132" t="s">
        <v>820</v>
      </c>
      <c r="B18" s="132" t="s">
        <v>821</v>
      </c>
      <c r="C18" s="132" t="s">
        <v>426</v>
      </c>
      <c r="D18" s="48" t="s">
        <v>822</v>
      </c>
      <c r="E18" s="133"/>
      <c r="F18" s="132" t="s">
        <v>407</v>
      </c>
      <c r="G18" s="132" t="s">
        <v>745</v>
      </c>
      <c r="H18" s="132" t="s">
        <v>425</v>
      </c>
      <c r="I18" s="133"/>
      <c r="J18" s="133"/>
    </row>
    <row r="19" spans="1:10" ht="22.05" customHeight="1" x14ac:dyDescent="0.3">
      <c r="A19" s="125">
        <v>0.5</v>
      </c>
      <c r="B19" s="126">
        <f t="shared" ref="B19:B29" si="0">IF($D$10="","",_xlfn.LET(_xlpm.l,$A19,_xlpm.n,INT(_xlpm.l),_xlpm.f,ROUND(MOD(_xlpm.l,1),2),_xlpm.si,1-_xlfn.POISSON.DIST(_xlpm.n,$D$10,TRUE)+0.5*_xlfn.POISSON.DIST(_xlpm.n,$D$10,FALSE),_xlpm.sh,1-_xlfn.POISSON.DIST(_xlpm.n,$D$10,TRUE),IF(_xlpm.f=0.5,_xlpm.sh,IF(_xlpm.f=0,_xlpm.si,IF(_xlpm.f=0.25,AVERAGE(_xlpm.si,_xlpm.sh),AVERAGE(_xlpm.sh,1-_xlfn.POISSON.DIST(_xlpm.n+1,$D$10,TRUE)+0.5*_xlfn.POISSON.DIST(_xlpm.n+1,$D$10,FALSE)))))))</f>
        <v>0.97503988655642437</v>
      </c>
      <c r="C19" s="127" t="str" cm="1">
        <f t="array" ref="C19">IF($B19="","",_xlfn.LET(_xlpm.l,$A19,_xlpm.lim,_xlfn.XLOOKUP(_xlpm.l,{0.5,0.75,1,1.25,1.5,1.75,2,2.25,2.5,2.75,3},{0.95,0.94,0.925,0.9125,0.9,0.88,0.86,0.84,0.82,0.8025,0.785}),IF($B19&gt;=_xlpm.lim,"APROVADA",IF($B19&gt;=_xlpm.lim-5%,"PRÓXIMA","ABAIXO"))))</f>
        <v>APROVADA</v>
      </c>
      <c r="D19" s="141" t="s">
        <v>823</v>
      </c>
      <c r="E19" s="119"/>
      <c r="F19" s="154" cm="1">
        <f t="array" ref="F19:H26">IF(OR($B$10="",$C$10=""),"",_xlfn.LET(_xlpm.n,9,_xlpm.i,_xlfn.SEQUENCE(_xlpm.n*_xlpm.n,1,0),_xlpm.h,INT(_xlpm.i/_xlpm.n),_xlpm.a,MOD(_xlpm.i,_xlpm.n),_xlpm.p,_xlfn.POISSON.DIST(_xlpm.h,$B$10,FALSE)*_xlfn.POISSON.DIST(_xlpm.a,$C$10,FALSE)*IF((_xlpm.h=0)*(_xlpm.a=0),1-$B$10*$C$10*$B$15,IF((_xlpm.h=0)*(_xlpm.a=1),1+$B$10*$B$15,IF((_xlpm.h=1)*(_xlpm.a=0),1+$C$10*$B$15,IF((_xlpm.h=1)*(_xlpm.a=1),1-$B$15,1)))),_xlpm.s,_xlfn.SORTBY(_xlfn.HSTACK(_xlpm.h&amp;" x "&amp;_xlpm.a,_xlpm.p),_xlpm.p,-1),_xlfn.HSTACK(_xlfn.SEQUENCE(8),_xlfn.TAKE(_xlpm.s,8))))</f>
        <v>1</v>
      </c>
      <c r="G19" s="140" t="str">
        <v>2 x 1</v>
      </c>
      <c r="H19" s="155">
        <v>9.2930145399059597E-2</v>
      </c>
      <c r="I19" s="119"/>
      <c r="J19" s="119"/>
    </row>
    <row r="20" spans="1:10" ht="22.05" customHeight="1" x14ac:dyDescent="0.3">
      <c r="A20" s="125">
        <v>0.75</v>
      </c>
      <c r="B20" s="126">
        <f t="shared" si="0"/>
        <v>0.95201121046264925</v>
      </c>
      <c r="C20" s="127" t="str" cm="1">
        <f t="array" ref="C20">IF($B20="","",_xlfn.LET(_xlpm.l,$A20,_xlpm.lim,_xlfn.XLOOKUP(_xlpm.l,{0.5,0.75,1,1.25,1.5,1.75,2,2.25,2.5,2.75,3},{0.95,0.94,0.925,0.9125,0.9,0.88,0.86,0.84,0.82,0.8025,0.785}),IF($B20&gt;=_xlpm.lim,"APROVADA",IF($B20&gt;=_xlpm.lim-5%,"PRÓXIMA","ABAIXO"))))</f>
        <v>APROVADA</v>
      </c>
      <c r="D20" s="141" t="s">
        <v>824</v>
      </c>
      <c r="E20" s="119"/>
      <c r="F20" s="154">
        <v>2</v>
      </c>
      <c r="G20" s="140" t="str">
        <v>3 x 1</v>
      </c>
      <c r="H20" s="155">
        <v>7.6335476577798947E-2</v>
      </c>
      <c r="I20" s="119"/>
      <c r="J20" s="119"/>
    </row>
    <row r="21" spans="1:10" ht="22.05" customHeight="1" x14ac:dyDescent="0.3">
      <c r="A21" s="125">
        <v>1</v>
      </c>
      <c r="B21" s="126">
        <f t="shared" si="0"/>
        <v>0.92898253436887424</v>
      </c>
      <c r="C21" s="127" t="str" cm="1">
        <f t="array" ref="C21">IF($B21="","",_xlfn.LET(_xlpm.l,$A21,_xlpm.lim,_xlfn.XLOOKUP(_xlpm.l,{0.5,0.75,1,1.25,1.5,1.75,2,2.25,2.5,2.75,3},{0.95,0.94,0.925,0.9125,0.9,0.88,0.86,0.84,0.82,0.8025,0.785}),IF($B21&gt;=_xlpm.lim,"APROVADA",IF($B21&gt;=_xlpm.lim-5%,"PRÓXIMA","ABAIXO"))))</f>
        <v>APROVADA</v>
      </c>
      <c r="D21" s="141" t="s">
        <v>825</v>
      </c>
      <c r="E21" s="119"/>
      <c r="F21" s="136">
        <v>3</v>
      </c>
      <c r="G21" s="153" t="str">
        <v>2 x 0</v>
      </c>
      <c r="H21" s="152">
        <v>7.5787691393407811E-2</v>
      </c>
      <c r="I21" s="119"/>
      <c r="J21" s="119"/>
    </row>
    <row r="22" spans="1:10" ht="22.05" customHeight="1" x14ac:dyDescent="0.3">
      <c r="A22" s="125">
        <v>1.25</v>
      </c>
      <c r="B22" s="126">
        <f t="shared" si="0"/>
        <v>0.90595385827509911</v>
      </c>
      <c r="C22" s="127" t="str" cm="1">
        <f t="array" ref="C22">IF($B22="","",_xlfn.LET(_xlpm.l,$A22,_xlpm.lim,_xlfn.XLOOKUP(_xlpm.l,{0.5,0.75,1,1.25,1.5,1.75,2,2.25,2.5,2.75,3},{0.95,0.94,0.925,0.9125,0.9,0.88,0.86,0.84,0.82,0.8025,0.785}),IF($B22&gt;=_xlpm.lim,"APROVADA",IF($B22&gt;=_xlpm.lim-5%,"PRÓXIMA","ABAIXO"))))</f>
        <v>PRÓXIMA</v>
      </c>
      <c r="D22" s="141" t="s">
        <v>826</v>
      </c>
      <c r="E22" s="119"/>
      <c r="F22" s="136">
        <v>4</v>
      </c>
      <c r="G22" s="153" t="str">
        <v>1 x 1</v>
      </c>
      <c r="H22" s="152">
        <v>7.5421567280396173E-2</v>
      </c>
      <c r="I22" s="119"/>
      <c r="J22" s="119"/>
    </row>
    <row r="23" spans="1:10" ht="22.05" customHeight="1" x14ac:dyDescent="0.3">
      <c r="A23" s="125">
        <v>1.5</v>
      </c>
      <c r="B23" s="126">
        <f t="shared" si="0"/>
        <v>0.88292518218132399</v>
      </c>
      <c r="C23" s="127" t="str" cm="1">
        <f t="array" ref="C23">IF($B23="","",_xlfn.LET(_xlpm.l,$A23,_xlpm.lim,_xlfn.XLOOKUP(_xlpm.l,{0.5,0.75,1,1.25,1.5,1.75,2,2.25,2.5,2.75,3},{0.95,0.94,0.925,0.9125,0.9,0.88,0.86,0.84,0.82,0.8025,0.785}),IF($B23&gt;=_xlpm.lim,"APROVADA",IF($B23&gt;=_xlpm.lim-5%,"PRÓXIMA","ABAIXO"))))</f>
        <v>PRÓXIMA</v>
      </c>
      <c r="D23" s="141" t="s">
        <v>823</v>
      </c>
      <c r="E23" s="119"/>
      <c r="F23" s="136">
        <v>5</v>
      </c>
      <c r="G23" s="153" t="str">
        <v>3 x 0</v>
      </c>
      <c r="H23" s="152">
        <v>6.225417507315642E-2</v>
      </c>
      <c r="I23" s="119"/>
      <c r="J23" s="119"/>
    </row>
    <row r="24" spans="1:10" ht="22.05" customHeight="1" x14ac:dyDescent="0.3">
      <c r="A24" s="125">
        <v>1.75</v>
      </c>
      <c r="B24" s="126">
        <f t="shared" si="0"/>
        <v>0.84043179177019134</v>
      </c>
      <c r="C24" s="127" t="str" cm="1">
        <f t="array" ref="C24">IF($B24="","",_xlfn.LET(_xlpm.l,$A24,_xlpm.lim,_xlfn.XLOOKUP(_xlpm.l,{0.5,0.75,1,1.25,1.5,1.75,2,2.25,2.5,2.75,3},{0.95,0.94,0.925,0.9125,0.9,0.88,0.86,0.84,0.82,0.8025,0.785}),IF($B24&gt;=_xlpm.lim,"APROVADA",IF($B24&gt;=_xlpm.lim-5%,"PRÓXIMA","ABAIXO"))))</f>
        <v>PRÓXIMA</v>
      </c>
      <c r="D24" s="141" t="s">
        <v>827</v>
      </c>
      <c r="E24" s="119"/>
      <c r="F24" s="136">
        <v>6</v>
      </c>
      <c r="G24" s="136" t="str">
        <v>1 x 0</v>
      </c>
      <c r="H24" s="152">
        <v>6.1508850985954155E-2</v>
      </c>
      <c r="I24" s="119"/>
      <c r="J24" s="119"/>
    </row>
    <row r="25" spans="1:10" ht="22.05" customHeight="1" x14ac:dyDescent="0.3">
      <c r="A25" s="125">
        <v>2</v>
      </c>
      <c r="B25" s="126">
        <f t="shared" si="0"/>
        <v>0.79793840135905869</v>
      </c>
      <c r="C25" s="127" t="str" cm="1">
        <f t="array" ref="C25">IF($B25="","",_xlfn.LET(_xlpm.l,$A25,_xlpm.lim,_xlfn.XLOOKUP(_xlpm.l,{0.5,0.75,1,1.25,1.5,1.75,2,2.25,2.5,2.75,3},{0.95,0.94,0.925,0.9125,0.9,0.88,0.86,0.84,0.82,0.8025,0.785}),IF($B25&gt;=_xlpm.lim,"APROVADA",IF($B25&gt;=_xlpm.lim-5%,"PRÓXIMA","ABAIXO"))))</f>
        <v>ABAIXO</v>
      </c>
      <c r="D25" s="141" t="s">
        <v>828</v>
      </c>
      <c r="E25" s="119"/>
      <c r="F25" s="136">
        <v>7</v>
      </c>
      <c r="G25" s="137" t="str">
        <v>2 x 2</v>
      </c>
      <c r="H25" s="152">
        <v>5.6975029619661534E-2</v>
      </c>
      <c r="I25" s="119"/>
      <c r="J25" s="119"/>
    </row>
    <row r="26" spans="1:10" ht="22.05" customHeight="1" x14ac:dyDescent="0.3">
      <c r="A26" s="125">
        <v>2.25</v>
      </c>
      <c r="B26" s="126">
        <f t="shared" si="0"/>
        <v>0.75544501094792604</v>
      </c>
      <c r="C26" s="127" t="str" cm="1">
        <f t="array" ref="C26">IF($B26="","",_xlfn.LET(_xlpm.l,$A26,_xlpm.lim,_xlfn.XLOOKUP(_xlpm.l,{0.5,0.75,1,1.25,1.5,1.75,2,2.25,2.5,2.75,3},{0.95,0.94,0.925,0.9125,0.9,0.88,0.86,0.84,0.82,0.8025,0.785}),IF($B26&gt;=_xlpm.lim,"APROVADA",IF($B26&gt;=_xlpm.lim-5%,"PRÓXIMA","ABAIXO"))))</f>
        <v>ABAIXO</v>
      </c>
      <c r="D26" s="141" t="s">
        <v>829</v>
      </c>
      <c r="E26" s="119"/>
      <c r="F26" s="136">
        <v>8</v>
      </c>
      <c r="G26" s="153" t="str">
        <v>4 x 1</v>
      </c>
      <c r="H26" s="152">
        <v>4.7028106105965431E-2</v>
      </c>
      <c r="I26" s="119"/>
      <c r="J26" s="119"/>
    </row>
    <row r="27" spans="1:10" ht="22.05" customHeight="1" x14ac:dyDescent="0.3">
      <c r="A27" s="125">
        <v>2.5</v>
      </c>
      <c r="B27" s="126">
        <f t="shared" si="0"/>
        <v>0.7129516205367934</v>
      </c>
      <c r="C27" s="127" t="str" cm="1">
        <f t="array" ref="C27">IF($B27="","",_xlfn.LET(_xlpm.l,$A27,_xlpm.lim,_xlfn.XLOOKUP(_xlpm.l,{0.5,0.75,1,1.25,1.5,1.75,2,2.25,2.5,2.75,3},{0.95,0.94,0.925,0.9125,0.9,0.88,0.86,0.84,0.82,0.8025,0.785}),IF($B27&gt;=_xlpm.lim,"APROVADA",IF($B27&gt;=_xlpm.lim-5%,"PRÓXIMA","ABAIXO"))))</f>
        <v>ABAIXO</v>
      </c>
      <c r="D27" s="141" t="s">
        <v>823</v>
      </c>
      <c r="E27" s="120"/>
      <c r="F27" s="128"/>
      <c r="G27" s="128"/>
      <c r="H27" s="128"/>
      <c r="I27" s="119"/>
      <c r="J27" s="119"/>
    </row>
    <row r="28" spans="1:10" ht="22.05" customHeight="1" x14ac:dyDescent="0.3">
      <c r="A28" s="125">
        <v>2.75</v>
      </c>
      <c r="B28" s="126">
        <f t="shared" si="0"/>
        <v>0.66067800534849552</v>
      </c>
      <c r="C28" s="127" t="str" cm="1">
        <f t="array" ref="C28">IF($B28="","",_xlfn.LET(_xlpm.l,$A28,_xlpm.lim,_xlfn.XLOOKUP(_xlpm.l,{0.5,0.75,1,1.25,1.5,1.75,2,2.25,2.5,2.75,3},{0.95,0.94,0.925,0.9125,0.9,0.88,0.86,0.84,0.82,0.8025,0.785}),IF($B28&gt;=_xlpm.lim,"APROVADA",IF($B28&gt;=_xlpm.lim-5%,"PRÓXIMA","ABAIXO"))))</f>
        <v>ABAIXO</v>
      </c>
      <c r="D28" s="141" t="s">
        <v>830</v>
      </c>
      <c r="E28" s="119"/>
      <c r="I28" s="119"/>
      <c r="J28" s="119"/>
    </row>
    <row r="29" spans="1:10" ht="22.05" customHeight="1" x14ac:dyDescent="0.3">
      <c r="A29" s="125">
        <v>3</v>
      </c>
      <c r="B29" s="126">
        <f t="shared" si="0"/>
        <v>0.60840439016019754</v>
      </c>
      <c r="C29" s="127" t="str" cm="1">
        <f t="array" ref="C29">IF($B29="","",_xlfn.LET(_xlpm.l,$A29,_xlpm.lim,_xlfn.XLOOKUP(_xlpm.l,{0.5,0.75,1,1.25,1.5,1.75,2,2.25,2.5,2.75,3},{0.95,0.94,0.925,0.9125,0.9,0.88,0.86,0.84,0.82,0.8025,0.785}),IF($B29&gt;=_xlpm.lim,"APROVADA",IF($B29&gt;=_xlpm.lim-5%,"PRÓXIMA","ABAIXO"))))</f>
        <v>ABAIXO</v>
      </c>
      <c r="D29" s="141" t="s">
        <v>831</v>
      </c>
      <c r="E29" s="119"/>
      <c r="I29" s="119"/>
      <c r="J29" s="119"/>
    </row>
    <row r="30" spans="1:10" ht="36" customHeight="1" x14ac:dyDescent="0.3">
      <c r="A30" s="213" t="s">
        <v>832</v>
      </c>
      <c r="B30" s="213"/>
      <c r="C30" s="213"/>
      <c r="D30" s="213"/>
      <c r="E30" s="119"/>
      <c r="I30" s="119"/>
      <c r="J30" s="119"/>
    </row>
    <row r="31" spans="1:10" ht="12" customHeight="1" x14ac:dyDescent="0.3">
      <c r="A31" s="129"/>
      <c r="B31" s="129"/>
      <c r="C31" s="129"/>
      <c r="D31" s="129"/>
      <c r="E31" s="130"/>
      <c r="F31" s="129"/>
      <c r="G31" s="129"/>
      <c r="H31" s="129"/>
      <c r="I31" s="130"/>
      <c r="J31" s="130"/>
    </row>
    <row r="32" spans="1:10" ht="12" customHeight="1" x14ac:dyDescent="0.3">
      <c r="A32" s="124"/>
      <c r="B32" s="124"/>
      <c r="C32" s="124"/>
      <c r="D32" s="124"/>
      <c r="E32" s="124"/>
      <c r="F32" s="124"/>
      <c r="G32" s="124"/>
      <c r="H32" s="124"/>
      <c r="I32" s="124"/>
      <c r="J32" s="124"/>
    </row>
    <row r="33" spans="1:10" ht="25.95" customHeight="1" x14ac:dyDescent="0.4">
      <c r="A33" s="228" t="s">
        <v>3112</v>
      </c>
      <c r="B33" s="228"/>
      <c r="C33" s="228"/>
      <c r="D33" s="228"/>
      <c r="E33" s="228"/>
      <c r="F33" s="228"/>
      <c r="G33" s="228"/>
      <c r="H33" s="228"/>
      <c r="I33" s="228"/>
    </row>
    <row r="34" spans="1:10" ht="19.95" customHeight="1" x14ac:dyDescent="0.3">
      <c r="A34" s="229" t="s">
        <v>3113</v>
      </c>
      <c r="B34" s="229"/>
      <c r="C34" s="229"/>
      <c r="D34" s="229"/>
      <c r="E34" s="229"/>
      <c r="F34" s="229"/>
      <c r="G34" s="229"/>
      <c r="H34" s="229"/>
      <c r="I34" s="229"/>
    </row>
    <row r="35" spans="1:10" ht="12" customHeight="1" x14ac:dyDescent="0.3">
      <c r="E35"/>
    </row>
    <row r="36" spans="1:10" ht="22.05" customHeight="1" x14ac:dyDescent="0.3">
      <c r="A36" s="143" t="s">
        <v>3102</v>
      </c>
      <c r="B36" s="100">
        <f>$D$10</f>
        <v>3.6904761904761907</v>
      </c>
      <c r="C36" s="144" t="s">
        <v>3114</v>
      </c>
      <c r="D36" s="100">
        <f>IF(OR(B36="",NOT(ISNUMBER(I36)),NOT(ISNUMBER(J36))),"",MAX(B36*1.05,AVERAGE(I36,J36)))</f>
        <v>3.8750000000000004</v>
      </c>
      <c r="E36" s="143" t="s">
        <v>3115</v>
      </c>
      <c r="F36" t="s">
        <v>1586</v>
      </c>
      <c r="G36" s="143" t="s">
        <v>3105</v>
      </c>
      <c r="H36" t="str">
        <f>IF(D36="","",IF(D36&gt;B36*1.15,"SUPERDISPERSÃO","PRÓXIMA DO POISSON"))</f>
        <v>PRÓXIMA DO POISSON</v>
      </c>
      <c r="I36" cm="1">
        <f t="array" ref="I36">_xlfn.LET(_xlpm.n,$B$5,_xlpm.c,SUMPRODUCT((TRIM(tblDados[Mandante])=_xlpm.n)*tblDados[Primeira_Ocorrencia])+SUMPRODUCT((TRIM(tblDados[Visitante])=_xlpm.n)*tblDados[Primeira_Ocorrencia]),_xlpm.s,SUMPRODUCT((TRIM(tblDados[Mandante])=_xlpm.n)*tblDados[Primeira_Ocorrencia]*(tblDados[GM_M]+tblDados[GS_M]))+SUMPRODUCT((TRIM(tblDados[Visitante])=_xlpm.n)*tblDados[Primeira_Ocorrencia]*(tblDados[GM_V]+tblDados[GS_V])),_xlpm.q,SUMPRODUCT((TRIM(tblDados[Mandante])=_xlpm.n)*tblDados[Primeira_Ocorrencia]*(tblDados[GM_M]+tblDados[GS_M])^2)+SUMPRODUCT((TRIM(tblDados[Visitante])=_xlpm.n)*tblDados[Primeira_Ocorrencia]*(tblDados[GM_V]+tblDados[GS_V])^2),IF(_xlpm.c&gt;1,(_xlpm.q-_xlpm.s^2/_xlpm.c)/(_xlpm.c-1),$B$36))</f>
        <v>2.3736263736263741</v>
      </c>
      <c r="J36" cm="1">
        <f t="array" ref="J36">_xlfn.LET(_xlpm.n,$B$6,_xlpm.c,SUMPRODUCT((TRIM(tblDados[Mandante])=_xlpm.n)*tblDados[Primeira_Ocorrencia])+SUMPRODUCT((TRIM(tblDados[Visitante])=_xlpm.n)*tblDados[Primeira_Ocorrencia]),_xlpm.s,SUMPRODUCT((TRIM(tblDados[Mandante])=_xlpm.n)*tblDados[Primeira_Ocorrencia]*(tblDados[GM_M]+tblDados[GS_M]))+SUMPRODUCT((TRIM(tblDados[Visitante])=_xlpm.n)*tblDados[Primeira_Ocorrencia]*(tblDados[GM_V]+tblDados[GS_V])),_xlpm.q,SUMPRODUCT((TRIM(tblDados[Mandante])=_xlpm.n)*tblDados[Primeira_Ocorrencia]*(tblDados[GM_M]+tblDados[GS_M])^2)+SUMPRODUCT((TRIM(tblDados[Visitante])=_xlpm.n)*tblDados[Primeira_Ocorrencia]*(tblDados[GM_V]+tblDados[GS_V])^2),IF(_xlpm.c&gt;1,(_xlpm.q-_xlpm.s^2/_xlpm.c)/(_xlpm.c-1),$B$36))</f>
        <v>4.8181818181818183</v>
      </c>
    </row>
    <row r="37" spans="1:10" ht="22.05" customHeight="1" x14ac:dyDescent="0.3">
      <c r="A37" s="143" t="s">
        <v>3104</v>
      </c>
      <c r="B37" cm="1">
        <f t="array" ref="B37">SUMPRODUCT((TRIM(tblDados[Mandante])=$B$5)*tblDados[Primeira_Ocorrencia])+SUMPRODUCT((TRIM(tblDados[Visitante])=$B$5)*tblDados[Primeira_Ocorrencia])+SUMPRODUCT((TRIM(tblDados[Mandante])=$B$6)*tblDados[Primeira_Ocorrencia])+SUMPRODUCT((TRIM(tblDados[Visitante])=$B$6)*tblDados[Primeira_Ocorrencia])</f>
        <v>26</v>
      </c>
      <c r="C37" s="143" t="s">
        <v>3103</v>
      </c>
      <c r="D37" s="100">
        <f>IF(OR(D36="",B36="",D36&lt;=B36),"",B36^2/(D36-B36))</f>
        <v>73.809523809523725</v>
      </c>
      <c r="E37" s="143" t="s">
        <v>3116</v>
      </c>
      <c r="F37" s="103">
        <f>IF(OR(D37="",B36=""),"",D37/(D37+B36))</f>
        <v>0.95238095238095233</v>
      </c>
      <c r="G37" s="143" t="s">
        <v>3111</v>
      </c>
      <c r="H37" s="142">
        <v>0.75</v>
      </c>
    </row>
    <row r="38" spans="1:10" x14ac:dyDescent="0.3">
      <c r="E38"/>
    </row>
    <row r="39" spans="1:10" ht="42" customHeight="1" x14ac:dyDescent="0.3">
      <c r="A39" s="117" t="s">
        <v>820</v>
      </c>
      <c r="B39" s="117" t="s">
        <v>3106</v>
      </c>
      <c r="C39" s="117" t="s">
        <v>3107</v>
      </c>
      <c r="D39" s="117" t="s">
        <v>3120</v>
      </c>
      <c r="E39" s="148"/>
      <c r="F39" s="117" t="s">
        <v>3121</v>
      </c>
      <c r="G39" s="117" t="s">
        <v>3108</v>
      </c>
      <c r="H39" s="117" t="s">
        <v>3109</v>
      </c>
      <c r="I39" s="147" t="s">
        <v>3110</v>
      </c>
    </row>
    <row r="40" spans="1:10" ht="19.95" customHeight="1" x14ac:dyDescent="0.3">
      <c r="A40" s="26">
        <v>0.5</v>
      </c>
      <c r="B40" s="29">
        <f t="shared" ref="B40:B50" si="1">IF($B$36="","",1-_xlfn.POISSON.DIST(IF(ROUND(MOD($A40,1),2)=0.75,INT($A40)+1,INT($A40)),$B$36,TRUE))</f>
        <v>0.97503988655642437</v>
      </c>
      <c r="C40" s="29">
        <f t="shared" ref="C40:C50" si="2">IF($B$36="","",1-_xlfn.POISSON.DIST(IF(ROUND(MOD($A40,1),2)=0.5,INT($A40),IF(ROUND(MOD($A40,1),2)=0,INT($A40)-1,IF(ROUND(MOD($A40,1),2)=0.25,INT($A40)-1,INT($A40)))),$B$36,TRUE))</f>
        <v>0.97503988655642437</v>
      </c>
      <c r="D40" s="29">
        <f t="shared" ref="D40:D50" si="3">IF(OR($D$37="",$F$37=""),"",1-_xlfn.NEGBINOM.DIST(IF(ROUND(MOD($A40,1),2)=0.75,INT($A40)+1,INT($A40)),$D$37,$F$37,TRUE))</f>
        <v>0.97160896873925606</v>
      </c>
      <c r="E40" s="149"/>
      <c r="F40" s="29">
        <f t="shared" ref="F40:F50" si="4">IF(OR($D$37="",$F$37=""),"",1-_xlfn.NEGBINOM.DIST(IF(ROUND(MOD($A40,1),2)=0.5,INT($A40),IF(ROUND(MOD($A40,1),2)=0,INT($A40)-1,IF(ROUND(MOD($A40,1),2)=0.25,INT($A40)-1,INT($A40)))),$D$37,$F$37,TRUE))</f>
        <v>0.97160896873925606</v>
      </c>
      <c r="G40" s="29">
        <f t="shared" ref="G40:G50" si="5">IF(OR(B40="",D40=""),"",MIN(B40,D40))</f>
        <v>0.97160896873925606</v>
      </c>
      <c r="H40" s="29">
        <f t="shared" ref="H40:H50" si="6">IF(OR(C40="",F40=""),"",MIN(C40,F40))</f>
        <v>0.97160896873925606</v>
      </c>
      <c r="I40" s="28" t="str">
        <f t="shared" ref="I40:I50" si="7">IF(G40="","",IF(G40&gt;=75%,"GREEN ≥75%",IF(H40&gt;=75%,"PROTEÇÃO ≥75%","ABAIXO")))</f>
        <v>GREEN ≥75%</v>
      </c>
    </row>
    <row r="41" spans="1:10" ht="19.95" customHeight="1" x14ac:dyDescent="0.3">
      <c r="A41" s="26">
        <v>0.75</v>
      </c>
      <c r="B41" s="29">
        <f t="shared" si="1"/>
        <v>0.88292518218132399</v>
      </c>
      <c r="C41" s="29">
        <f t="shared" si="2"/>
        <v>0.97503988655642437</v>
      </c>
      <c r="D41" s="29">
        <f t="shared" si="3"/>
        <v>0.87291633626143161</v>
      </c>
      <c r="E41" s="149"/>
      <c r="F41" s="29">
        <f t="shared" si="4"/>
        <v>0.97160896873925606</v>
      </c>
      <c r="G41" s="29">
        <f t="shared" si="5"/>
        <v>0.87291633626143161</v>
      </c>
      <c r="H41" s="29">
        <f t="shared" si="6"/>
        <v>0.97160896873925606</v>
      </c>
      <c r="I41" s="28" t="str">
        <f t="shared" si="7"/>
        <v>GREEN ≥75%</v>
      </c>
    </row>
    <row r="42" spans="1:10" ht="19.95" customHeight="1" x14ac:dyDescent="0.3">
      <c r="A42" s="26">
        <v>1</v>
      </c>
      <c r="B42" s="29">
        <f t="shared" si="1"/>
        <v>0.88292518218132399</v>
      </c>
      <c r="C42" s="29">
        <f t="shared" si="2"/>
        <v>0.97503988655642437</v>
      </c>
      <c r="D42" s="29">
        <f t="shared" si="3"/>
        <v>0.87291633626143161</v>
      </c>
      <c r="E42" s="149"/>
      <c r="F42" s="29">
        <f t="shared" si="4"/>
        <v>0.97160896873925606</v>
      </c>
      <c r="G42" s="29">
        <f t="shared" si="5"/>
        <v>0.87291633626143161</v>
      </c>
      <c r="H42" s="29">
        <f t="shared" si="6"/>
        <v>0.97160896873925606</v>
      </c>
      <c r="I42" s="28" t="str">
        <f t="shared" si="7"/>
        <v>GREEN ≥75%</v>
      </c>
    </row>
    <row r="43" spans="1:10" ht="19.95" customHeight="1" x14ac:dyDescent="0.3">
      <c r="A43" s="26">
        <v>1.25</v>
      </c>
      <c r="B43" s="29">
        <f t="shared" si="1"/>
        <v>0.88292518218132399</v>
      </c>
      <c r="C43" s="29">
        <f t="shared" si="2"/>
        <v>0.97503988655642437</v>
      </c>
      <c r="D43" s="29">
        <f t="shared" si="3"/>
        <v>0.87291633626143161</v>
      </c>
      <c r="E43" s="149"/>
      <c r="F43" s="29">
        <f t="shared" si="4"/>
        <v>0.97160896873925606</v>
      </c>
      <c r="G43" s="29">
        <f t="shared" si="5"/>
        <v>0.87291633626143161</v>
      </c>
      <c r="H43" s="29">
        <f t="shared" si="6"/>
        <v>0.97160896873925606</v>
      </c>
      <c r="I43" s="28" t="str">
        <f t="shared" si="7"/>
        <v>GREEN ≥75%</v>
      </c>
    </row>
    <row r="44" spans="1:10" ht="19.95" customHeight="1" x14ac:dyDescent="0.3">
      <c r="A44" s="26">
        <v>1.5</v>
      </c>
      <c r="B44" s="29">
        <f t="shared" si="1"/>
        <v>0.88292518218132399</v>
      </c>
      <c r="C44" s="29">
        <f t="shared" si="2"/>
        <v>0.88292518218132399</v>
      </c>
      <c r="D44" s="29">
        <f t="shared" si="3"/>
        <v>0.87291633626143161</v>
      </c>
      <c r="E44" s="149"/>
      <c r="F44" s="29">
        <f t="shared" si="4"/>
        <v>0.87291633626143161</v>
      </c>
      <c r="G44" s="29">
        <f t="shared" si="5"/>
        <v>0.87291633626143161</v>
      </c>
      <c r="H44" s="29">
        <f t="shared" si="6"/>
        <v>0.87291633626143161</v>
      </c>
      <c r="I44" s="28" t="str">
        <f t="shared" si="7"/>
        <v>GREEN ≥75%</v>
      </c>
    </row>
    <row r="45" spans="1:10" ht="19.95" customHeight="1" x14ac:dyDescent="0.3">
      <c r="A45" s="26">
        <v>1.75</v>
      </c>
      <c r="B45" s="29">
        <f t="shared" si="1"/>
        <v>0.7129516205367934</v>
      </c>
      <c r="C45" s="29">
        <f t="shared" si="2"/>
        <v>0.88292518218132399</v>
      </c>
      <c r="D45" s="29">
        <f t="shared" si="3"/>
        <v>0.69902931713383598</v>
      </c>
      <c r="E45" s="149"/>
      <c r="F45" s="29">
        <f t="shared" si="4"/>
        <v>0.87291633626143161</v>
      </c>
      <c r="G45" s="29">
        <f t="shared" si="5"/>
        <v>0.69902931713383598</v>
      </c>
      <c r="H45" s="29">
        <f t="shared" si="6"/>
        <v>0.87291633626143161</v>
      </c>
      <c r="I45" s="28" t="str">
        <f t="shared" si="7"/>
        <v>PROTEÇÃO ≥75%</v>
      </c>
    </row>
    <row r="46" spans="1:10" ht="19.95" customHeight="1" x14ac:dyDescent="0.3">
      <c r="A46" s="26">
        <v>2</v>
      </c>
      <c r="B46" s="29">
        <f t="shared" si="1"/>
        <v>0.7129516205367934</v>
      </c>
      <c r="C46" s="29">
        <f t="shared" si="2"/>
        <v>0.88292518218132399</v>
      </c>
      <c r="D46" s="29">
        <f t="shared" si="3"/>
        <v>0.69902931713383598</v>
      </c>
      <c r="E46" s="149"/>
      <c r="F46" s="29">
        <f t="shared" si="4"/>
        <v>0.87291633626143161</v>
      </c>
      <c r="G46" s="29">
        <f t="shared" si="5"/>
        <v>0.69902931713383598</v>
      </c>
      <c r="H46" s="29">
        <f t="shared" si="6"/>
        <v>0.87291633626143161</v>
      </c>
      <c r="I46" s="150" t="str">
        <f t="shared" si="7"/>
        <v>PROTEÇÃO ≥75%</v>
      </c>
      <c r="J46" s="116"/>
    </row>
    <row r="47" spans="1:10" ht="19.95" customHeight="1" x14ac:dyDescent="0.3">
      <c r="A47" s="26">
        <v>2.25</v>
      </c>
      <c r="B47" s="29">
        <f t="shared" si="1"/>
        <v>0.7129516205367934</v>
      </c>
      <c r="C47" s="29">
        <f t="shared" si="2"/>
        <v>0.88292518218132399</v>
      </c>
      <c r="D47" s="29">
        <f t="shared" si="3"/>
        <v>0.69902931713383598</v>
      </c>
      <c r="E47" s="149"/>
      <c r="F47" s="29">
        <f t="shared" si="4"/>
        <v>0.87291633626143161</v>
      </c>
      <c r="G47" s="29">
        <f t="shared" si="5"/>
        <v>0.69902931713383598</v>
      </c>
      <c r="H47" s="29">
        <f t="shared" si="6"/>
        <v>0.87291633626143161</v>
      </c>
      <c r="I47" s="28" t="str">
        <f t="shared" si="7"/>
        <v>PROTEÇÃO ≥75%</v>
      </c>
    </row>
    <row r="48" spans="1:10" ht="19.95" customHeight="1" x14ac:dyDescent="0.3">
      <c r="A48" s="26">
        <v>2.5</v>
      </c>
      <c r="B48" s="29">
        <f t="shared" si="1"/>
        <v>0.7129516205367934</v>
      </c>
      <c r="C48" s="29">
        <f t="shared" si="2"/>
        <v>0.7129516205367934</v>
      </c>
      <c r="D48" s="29">
        <f t="shared" si="3"/>
        <v>0.69902931713383598</v>
      </c>
      <c r="E48" s="149"/>
      <c r="F48" s="29">
        <f t="shared" si="4"/>
        <v>0.69902931713383598</v>
      </c>
      <c r="G48" s="29">
        <f t="shared" si="5"/>
        <v>0.69902931713383598</v>
      </c>
      <c r="H48" s="29">
        <f t="shared" si="6"/>
        <v>0.69902931713383598</v>
      </c>
      <c r="I48" s="28" t="str">
        <f t="shared" si="7"/>
        <v>ABAIXO</v>
      </c>
    </row>
    <row r="49" spans="1:9" ht="19.95" customHeight="1" x14ac:dyDescent="0.3">
      <c r="A49" s="26">
        <v>2.75</v>
      </c>
      <c r="B49" s="29">
        <f t="shared" si="1"/>
        <v>0.50385715978360135</v>
      </c>
      <c r="C49" s="29">
        <f t="shared" si="2"/>
        <v>0.7129516205367934</v>
      </c>
      <c r="D49" s="29">
        <f t="shared" si="3"/>
        <v>0.49202096102955473</v>
      </c>
      <c r="E49" s="149"/>
      <c r="F49" s="29">
        <f t="shared" si="4"/>
        <v>0.69902931713383598</v>
      </c>
      <c r="G49" s="29">
        <f t="shared" si="5"/>
        <v>0.49202096102955473</v>
      </c>
      <c r="H49" s="29">
        <f t="shared" si="6"/>
        <v>0.69902931713383598</v>
      </c>
      <c r="I49" s="28" t="str">
        <f t="shared" si="7"/>
        <v>ABAIXO</v>
      </c>
    </row>
    <row r="50" spans="1:9" ht="19.95" customHeight="1" x14ac:dyDescent="0.3">
      <c r="A50" s="26">
        <v>3</v>
      </c>
      <c r="B50" s="29">
        <f t="shared" si="1"/>
        <v>0.50385715978360135</v>
      </c>
      <c r="C50" s="29">
        <f t="shared" si="2"/>
        <v>0.7129516205367934</v>
      </c>
      <c r="D50" s="29">
        <f t="shared" si="3"/>
        <v>0.49202096102955473</v>
      </c>
      <c r="E50" s="149"/>
      <c r="F50" s="29">
        <f t="shared" si="4"/>
        <v>0.69902931713383598</v>
      </c>
      <c r="G50" s="29">
        <f t="shared" si="5"/>
        <v>0.49202096102955473</v>
      </c>
      <c r="H50" s="29">
        <f t="shared" si="6"/>
        <v>0.69902931713383598</v>
      </c>
      <c r="I50" s="28" t="str">
        <f t="shared" si="7"/>
        <v>ABAIXO</v>
      </c>
    </row>
    <row r="51" spans="1:9" ht="24" customHeight="1" x14ac:dyDescent="0.3">
      <c r="A51" s="145" t="s">
        <v>3117</v>
      </c>
      <c r="B51" s="145" t="s">
        <v>3118</v>
      </c>
      <c r="C51" s="151" cm="1">
        <f t="array" ref="C51">IFERROR(MAX(_xlfn._xlws.FILTER($A$40:$A$50,$G$40:$G$50&gt;=75%)),"")</f>
        <v>1.5</v>
      </c>
      <c r="D51" s="146"/>
      <c r="E51" s="146"/>
      <c r="F51" s="146" t="s">
        <v>3119</v>
      </c>
      <c r="G51" s="151" cm="1">
        <f t="array" ref="G51">IFERROR(MAX(_xlfn._xlws.FILTER($A$40:$A$50,$H$40:$H$50&gt;=75%)),"")</f>
        <v>2.25</v>
      </c>
      <c r="H51" s="230" t="s">
        <v>3122</v>
      </c>
      <c r="I51" s="230"/>
    </row>
    <row r="52" spans="1:9" ht="18" customHeight="1" x14ac:dyDescent="0.3">
      <c r="E52"/>
    </row>
    <row r="53" spans="1:9" ht="19.8" x14ac:dyDescent="0.4">
      <c r="A53" s="228" t="s">
        <v>4710</v>
      </c>
      <c r="B53" s="228"/>
      <c r="C53" s="228"/>
      <c r="D53" s="228"/>
      <c r="E53" s="228"/>
      <c r="F53" s="228"/>
      <c r="G53" s="228"/>
      <c r="H53" s="228"/>
      <c r="I53" s="228"/>
    </row>
    <row r="54" spans="1:9" x14ac:dyDescent="0.3">
      <c r="A54" s="229" t="s">
        <v>4711</v>
      </c>
      <c r="B54" s="229"/>
      <c r="C54" s="229"/>
      <c r="D54" s="229"/>
      <c r="E54" s="229"/>
      <c r="F54" s="229"/>
      <c r="G54" s="229"/>
      <c r="H54" s="229"/>
      <c r="I54" s="229"/>
    </row>
    <row r="55" spans="1:9" x14ac:dyDescent="0.3">
      <c r="E55"/>
    </row>
    <row r="56" spans="1:9" x14ac:dyDescent="0.3">
      <c r="A56" s="117" t="s">
        <v>3111</v>
      </c>
      <c r="B56" s="117" t="s">
        <v>4712</v>
      </c>
      <c r="C56" s="117" t="s">
        <v>3110</v>
      </c>
      <c r="D56" s="117" t="s">
        <v>4713</v>
      </c>
      <c r="E56"/>
      <c r="F56" s="117" t="s">
        <v>807</v>
      </c>
      <c r="G56" s="117" t="s">
        <v>429</v>
      </c>
      <c r="H56" s="117" t="s">
        <v>4714</v>
      </c>
      <c r="I56" s="147" t="s">
        <v>4715</v>
      </c>
    </row>
    <row r="57" spans="1:9" x14ac:dyDescent="0.3">
      <c r="A57" s="26" t="s">
        <v>3102</v>
      </c>
      <c r="B57" s="26">
        <f>$D$10</f>
        <v>3.6904761904761907</v>
      </c>
      <c r="C57" s="29" t="str">
        <f>IF(B57&lt;2.5,"Proteção máxima",IF(B57&lt;3.5,"Faixa de avanço","Sem avanço automático"))</f>
        <v>Sem avanço automático</v>
      </c>
      <c r="D57" s="29" t="s">
        <v>4720</v>
      </c>
      <c r="E57"/>
      <c r="F57" s="29" t="s">
        <v>4725</v>
      </c>
      <c r="G57" s="29" t="str">
        <f>C57</f>
        <v>Sem avanço automático</v>
      </c>
      <c r="H57" s="29" t="s">
        <v>4729</v>
      </c>
      <c r="I57" s="178" t="s">
        <v>4732</v>
      </c>
    </row>
    <row r="58" spans="1:9" ht="28.8" x14ac:dyDescent="0.3">
      <c r="A58" s="26" t="s">
        <v>4716</v>
      </c>
      <c r="B58" s="29">
        <f>IF($H$40="","",1-$H$40)</f>
        <v>2.8391031260743937E-2</v>
      </c>
      <c r="C58" s="29" t="str">
        <f>IF(B58&lt;=5%,"Baixo",IF(B58&lt;=10%,"Atenção","Impeditivo"))</f>
        <v>Baixo</v>
      </c>
      <c r="D58" s="29" t="s">
        <v>4721</v>
      </c>
      <c r="E58"/>
      <c r="F58" s="29" t="s">
        <v>4726</v>
      </c>
      <c r="G58" s="29">
        <f>$B$58</f>
        <v>2.8391031260743937E-2</v>
      </c>
      <c r="H58" s="29" t="s">
        <v>4730</v>
      </c>
      <c r="I58" s="178" t="s">
        <v>4733</v>
      </c>
    </row>
    <row r="59" spans="1:9" x14ac:dyDescent="0.3">
      <c r="A59" s="26" t="s">
        <v>4717</v>
      </c>
      <c r="B59" s="26">
        <f>IF(OR($D$10="",$B$58&gt;10%),0,IF(AND($D$10&gt;=2.5,$D$10&lt;3.5),IF($B$58&lt;7.5%,0.5,0.25),0))</f>
        <v>0</v>
      </c>
      <c r="C59" s="29" t="str">
        <f>IF(B58&gt;10%,"Bloqueado",IF(B59=0.5,"Avançar 0,50",IF(B59=0.25,"Avançar 0,25","Sem avanço")))</f>
        <v>Sem avanço</v>
      </c>
      <c r="D59" s="29" t="s">
        <v>4722</v>
      </c>
      <c r="E59"/>
      <c r="F59" s="29" t="s">
        <v>4727</v>
      </c>
      <c r="G59" s="26">
        <f>$B$59</f>
        <v>0</v>
      </c>
      <c r="H59" s="29" t="s">
        <v>4730</v>
      </c>
      <c r="I59" s="178" t="s">
        <v>4734</v>
      </c>
    </row>
    <row r="60" spans="1:9" x14ac:dyDescent="0.3">
      <c r="A60" s="26" t="s">
        <v>851</v>
      </c>
      <c r="B60" s="26">
        <f>$H$13</f>
        <v>2.5</v>
      </c>
      <c r="C60" s="29" t="s">
        <v>4719</v>
      </c>
      <c r="D60" s="29" t="s">
        <v>4723</v>
      </c>
      <c r="E60"/>
      <c r="F60" s="29" t="s">
        <v>4728</v>
      </c>
      <c r="G60" s="29" t="str">
        <f>IF(B61=0,"—","OVER "&amp;FIXED(B61,2,FALSE))</f>
        <v>OVER 2,50</v>
      </c>
      <c r="H60" s="29" t="s">
        <v>4730</v>
      </c>
      <c r="I60" s="178" t="s">
        <v>4735</v>
      </c>
    </row>
    <row r="61" spans="1:9" x14ac:dyDescent="0.3">
      <c r="A61" s="26" t="s">
        <v>4718</v>
      </c>
      <c r="B61" s="26">
        <f>IF(OR($H$13=0,$B$58&gt;10%),0,MIN(3,$H$13+$B$59))</f>
        <v>2.5</v>
      </c>
      <c r="C61" s="29" t="str">
        <f>IF(B61=0,"Sem entrada","OVER "&amp;FIXED(B61,2,FALSE))</f>
        <v>OVER 2,50</v>
      </c>
      <c r="D61" s="29" t="s">
        <v>4724</v>
      </c>
      <c r="E61"/>
      <c r="F61" s="29" t="s">
        <v>810</v>
      </c>
      <c r="G61" s="29" t="str">
        <f>$G$15</f>
        <v>ANALISAR OVER 2,50</v>
      </c>
      <c r="H61" s="29" t="s">
        <v>4731</v>
      </c>
      <c r="I61" s="178" t="s">
        <v>4736</v>
      </c>
    </row>
    <row r="62" spans="1:9" ht="22.05" customHeight="1" x14ac:dyDescent="0.3">
      <c r="E62"/>
    </row>
    <row r="63" spans="1:9" ht="22.05" customHeight="1" x14ac:dyDescent="0.3">
      <c r="E63"/>
    </row>
    <row r="64" spans="1:9" ht="22.05" customHeight="1" x14ac:dyDescent="0.3">
      <c r="E64"/>
    </row>
    <row r="65" spans="5:5" ht="14.4" hidden="1" customHeight="1" x14ac:dyDescent="0.3">
      <c r="E65"/>
    </row>
    <row r="66" spans="5:5" ht="24" customHeight="1" x14ac:dyDescent="0.3">
      <c r="E66"/>
    </row>
    <row r="67" spans="5:5" ht="48" customHeight="1" x14ac:dyDescent="0.3">
      <c r="E67"/>
    </row>
    <row r="68" spans="5:5" ht="42" customHeight="1" x14ac:dyDescent="0.3">
      <c r="E68"/>
    </row>
    <row r="69" spans="5:5" ht="14.4" hidden="1" customHeight="1" x14ac:dyDescent="0.3">
      <c r="E69"/>
    </row>
    <row r="70" spans="5:5" ht="14.4" hidden="1" customHeight="1" x14ac:dyDescent="0.3">
      <c r="E70"/>
    </row>
    <row r="71" spans="5:5" ht="14.4" hidden="1" customHeight="1" x14ac:dyDescent="0.3">
      <c r="E71"/>
    </row>
    <row r="72" spans="5:5" ht="14.4" hidden="1" customHeight="1" x14ac:dyDescent="0.3">
      <c r="E72"/>
    </row>
    <row r="73" spans="5:5" ht="14.4" hidden="1" customHeight="1" x14ac:dyDescent="0.3">
      <c r="E73"/>
    </row>
    <row r="74" spans="5:5" ht="14.4" hidden="1" customHeight="1" x14ac:dyDescent="0.3">
      <c r="E74"/>
    </row>
    <row r="75" spans="5:5" ht="14.4" hidden="1" customHeight="1" x14ac:dyDescent="0.3">
      <c r="E75"/>
    </row>
    <row r="76" spans="5:5" ht="14.4" hidden="1" customHeight="1" x14ac:dyDescent="0.3">
      <c r="E76"/>
    </row>
    <row r="77" spans="5:5" ht="14.4" hidden="1" customHeight="1" x14ac:dyDescent="0.3">
      <c r="E77"/>
    </row>
    <row r="78" spans="5:5" ht="14.4" hidden="1" customHeight="1" x14ac:dyDescent="0.3">
      <c r="E78"/>
    </row>
    <row r="79" spans="5:5" ht="14.4" hidden="1" customHeight="1" x14ac:dyDescent="0.3">
      <c r="E79"/>
    </row>
    <row r="80" spans="5:5" ht="14.4" hidden="1" customHeight="1" x14ac:dyDescent="0.3">
      <c r="E80"/>
    </row>
    <row r="81" spans="5:5" ht="14.4" hidden="1" customHeight="1" x14ac:dyDescent="0.3">
      <c r="E81"/>
    </row>
    <row r="82" spans="5:5" ht="14.4" hidden="1" customHeight="1" x14ac:dyDescent="0.3">
      <c r="E82"/>
    </row>
    <row r="83" spans="5:5" ht="14.4" hidden="1" customHeight="1" x14ac:dyDescent="0.3">
      <c r="E83"/>
    </row>
    <row r="84" spans="5:5" ht="14.4" hidden="1" customHeight="1" x14ac:dyDescent="0.3">
      <c r="E84"/>
    </row>
    <row r="85" spans="5:5" ht="14.4" hidden="1" customHeight="1" x14ac:dyDescent="0.3">
      <c r="E85"/>
    </row>
    <row r="86" spans="5:5" ht="14.4" hidden="1" customHeight="1" x14ac:dyDescent="0.3">
      <c r="E86"/>
    </row>
    <row r="87" spans="5:5" ht="14.4" hidden="1" customHeight="1" x14ac:dyDescent="0.3">
      <c r="E87"/>
    </row>
    <row r="88" spans="5:5" ht="14.4" hidden="1" customHeight="1" x14ac:dyDescent="0.3">
      <c r="E88"/>
    </row>
    <row r="89" spans="5:5" ht="14.4" hidden="1" customHeight="1" x14ac:dyDescent="0.3">
      <c r="E89"/>
    </row>
    <row r="90" spans="5:5" ht="14.4" hidden="1" customHeight="1" x14ac:dyDescent="0.3">
      <c r="E90"/>
    </row>
    <row r="91" spans="5:5" ht="14.4" hidden="1" customHeight="1" x14ac:dyDescent="0.3">
      <c r="E91"/>
    </row>
    <row r="92" spans="5:5" ht="14.4" hidden="1" customHeight="1" x14ac:dyDescent="0.3">
      <c r="E92"/>
    </row>
    <row r="93" spans="5:5" ht="14.4" hidden="1" customHeight="1" x14ac:dyDescent="0.3">
      <c r="E93"/>
    </row>
    <row r="94" spans="5:5" ht="14.4" hidden="1" customHeight="1" x14ac:dyDescent="0.3">
      <c r="E94"/>
    </row>
    <row r="95" spans="5:5" ht="14.4" hidden="1" customHeight="1" x14ac:dyDescent="0.3">
      <c r="E95"/>
    </row>
    <row r="96" spans="5:5" ht="14.4" hidden="1" customHeight="1" x14ac:dyDescent="0.3">
      <c r="E96"/>
    </row>
    <row r="97" spans="5:5" ht="14.4" hidden="1" customHeight="1" x14ac:dyDescent="0.3">
      <c r="E97"/>
    </row>
    <row r="98" spans="5:5" ht="14.4" hidden="1" customHeight="1" x14ac:dyDescent="0.3">
      <c r="E98"/>
    </row>
    <row r="99" spans="5:5" ht="14.4" hidden="1" customHeight="1" x14ac:dyDescent="0.3">
      <c r="E99"/>
    </row>
    <row r="100" spans="5:5" ht="14.4" hidden="1" customHeight="1" x14ac:dyDescent="0.3">
      <c r="E100"/>
    </row>
    <row r="101" spans="5:5" ht="14.4" hidden="1" customHeight="1" x14ac:dyDescent="0.3">
      <c r="E101"/>
    </row>
    <row r="102" spans="5:5" ht="14.4" hidden="1" customHeight="1" x14ac:dyDescent="0.3">
      <c r="E102"/>
    </row>
    <row r="103" spans="5:5" ht="14.4" hidden="1" customHeight="1" x14ac:dyDescent="0.3">
      <c r="E103"/>
    </row>
    <row r="104" spans="5:5" ht="14.4" hidden="1" customHeight="1" x14ac:dyDescent="0.3">
      <c r="E104"/>
    </row>
    <row r="105" spans="5:5" ht="14.4" hidden="1" customHeight="1" x14ac:dyDescent="0.3">
      <c r="E105"/>
    </row>
    <row r="106" spans="5:5" ht="14.4" hidden="1" customHeight="1" x14ac:dyDescent="0.3">
      <c r="E106"/>
    </row>
    <row r="107" spans="5:5" ht="14.4" hidden="1" customHeight="1" x14ac:dyDescent="0.3">
      <c r="E107"/>
    </row>
    <row r="108" spans="5:5" ht="14.4" hidden="1" customHeight="1" x14ac:dyDescent="0.3">
      <c r="E108"/>
    </row>
    <row r="109" spans="5:5" ht="14.4" hidden="1" customHeight="1" x14ac:dyDescent="0.3">
      <c r="E109"/>
    </row>
    <row r="110" spans="5:5" ht="14.4" hidden="1" customHeight="1" x14ac:dyDescent="0.3">
      <c r="E110"/>
    </row>
    <row r="111" spans="5:5" ht="14.4" hidden="1" customHeight="1" x14ac:dyDescent="0.3">
      <c r="E111"/>
    </row>
    <row r="112" spans="5:5" ht="14.4" hidden="1" customHeight="1" x14ac:dyDescent="0.3">
      <c r="E112"/>
    </row>
    <row r="113" spans="5:5" ht="14.4" hidden="1" customHeight="1" x14ac:dyDescent="0.3">
      <c r="E113"/>
    </row>
    <row r="114" spans="5:5" ht="14.4" hidden="1" customHeight="1" x14ac:dyDescent="0.3">
      <c r="E114"/>
    </row>
    <row r="115" spans="5:5" ht="14.4" hidden="1" customHeight="1" x14ac:dyDescent="0.3">
      <c r="E115"/>
    </row>
    <row r="116" spans="5:5" ht="14.4" hidden="1" customHeight="1" x14ac:dyDescent="0.3">
      <c r="E116"/>
    </row>
    <row r="117" spans="5:5" ht="14.4" hidden="1" customHeight="1" x14ac:dyDescent="0.3">
      <c r="E117"/>
    </row>
    <row r="118" spans="5:5" ht="14.4" hidden="1" customHeight="1" x14ac:dyDescent="0.3">
      <c r="E118"/>
    </row>
    <row r="119" spans="5:5" ht="14.4" hidden="1" customHeight="1" x14ac:dyDescent="0.3">
      <c r="E119"/>
    </row>
    <row r="120" spans="5:5" ht="14.4" hidden="1" customHeight="1" x14ac:dyDescent="0.3">
      <c r="E120"/>
    </row>
    <row r="121" spans="5:5" ht="14.4" hidden="1" customHeight="1" x14ac:dyDescent="0.3">
      <c r="E121"/>
    </row>
    <row r="122" spans="5:5" ht="14.4" hidden="1" customHeight="1" x14ac:dyDescent="0.3">
      <c r="E122"/>
    </row>
    <row r="123" spans="5:5" ht="14.4" hidden="1" customHeight="1" x14ac:dyDescent="0.3">
      <c r="E123"/>
    </row>
    <row r="124" spans="5:5" ht="14.4" hidden="1" customHeight="1" x14ac:dyDescent="0.3">
      <c r="E124"/>
    </row>
    <row r="125" spans="5:5" ht="14.4" hidden="1" customHeight="1" x14ac:dyDescent="0.3">
      <c r="E125"/>
    </row>
    <row r="126" spans="5:5" ht="14.4" hidden="1" customHeight="1" x14ac:dyDescent="0.3">
      <c r="E126"/>
    </row>
    <row r="127" spans="5:5" ht="14.4" hidden="1" customHeight="1" x14ac:dyDescent="0.3">
      <c r="E127"/>
    </row>
    <row r="128" spans="5:5" ht="14.4" hidden="1" customHeight="1" x14ac:dyDescent="0.3">
      <c r="E128"/>
    </row>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sheetData>
  <mergeCells count="18">
    <mergeCell ref="A53:I53"/>
    <mergeCell ref="A54:I54"/>
    <mergeCell ref="A33:I33"/>
    <mergeCell ref="A34:I34"/>
    <mergeCell ref="H51:I51"/>
    <mergeCell ref="A30:D30"/>
    <mergeCell ref="B15:C15"/>
    <mergeCell ref="E5:G5"/>
    <mergeCell ref="F17:H17"/>
    <mergeCell ref="A1:J1"/>
    <mergeCell ref="A2:J2"/>
    <mergeCell ref="A4:J4"/>
    <mergeCell ref="A17:D17"/>
    <mergeCell ref="H5:J5"/>
    <mergeCell ref="E6:G6"/>
    <mergeCell ref="H6:J6"/>
    <mergeCell ref="A8:D8"/>
    <mergeCell ref="F8:H8"/>
  </mergeCells>
  <phoneticPr fontId="16" type="noConversion"/>
  <conditionalFormatting sqref="C19:C29">
    <cfRule type="expression" dxfId="229" priority="23">
      <formula>$C19="APROVADA"</formula>
    </cfRule>
    <cfRule type="expression" dxfId="228" priority="24">
      <formula>$C19="PRÓXIMA"</formula>
    </cfRule>
    <cfRule type="expression" dxfId="227" priority="25">
      <formula>$C19="ABAIXO"</formula>
    </cfRule>
  </conditionalFormatting>
  <conditionalFormatting sqref="G40:G50">
    <cfRule type="cellIs" dxfId="226" priority="26" operator="greaterThanOrEqual">
      <formula>0.75</formula>
    </cfRule>
  </conditionalFormatting>
  <conditionalFormatting sqref="G57:G61">
    <cfRule type="cellIs" dxfId="225" priority="1" operator="greaterThanOrEqual">
      <formula>0.75</formula>
    </cfRule>
  </conditionalFormatting>
  <conditionalFormatting sqref="H40:H50">
    <cfRule type="cellIs" dxfId="224" priority="27" operator="greaterThanOrEqual">
      <formula>0.75</formula>
    </cfRule>
  </conditionalFormatting>
  <conditionalFormatting sqref="H57:H61">
    <cfRule type="cellIs" dxfId="223" priority="2" operator="greaterThanOrEqual">
      <formula>0.75</formula>
    </cfRule>
  </conditionalFormatting>
  <dataValidations count="3">
    <dataValidation type="list" errorStyle="warning" allowBlank="1" showInputMessage="1" showErrorMessage="1" errorTitle="Grafia não encontrada" error="O nome não corresponde ao cadastro. Confirme e consulte a sugestão exibida ao lado." promptTitle="Seleção da equipe" prompt="Escolha na lista ou digite o nome. Divergências de grafia serão sinalizadas." sqref="B5:B6" xr:uid="{54AC079E-DBD6-4C10-9374-934E05063780}">
      <formula1>CadastroEquipes</formula1>
    </dataValidation>
    <dataValidation type="whole" operator="greaterThanOrEqual" allowBlank="1" showErrorMessage="1" errorTitle="Placar inválido" error="Informe gols inteiros iguais ou maiores que zero." sqref="G24:H24" xr:uid="{5791F81B-EF18-43F4-978D-03BD6F441321}">
      <formula1>0</formula1>
    </dataValidation>
    <dataValidation type="decimal" allowBlank="1" showErrorMessage="1" errorTitle="Linha inválida" error="Informe uma linha Over entre 0 e 10." sqref="G25" xr:uid="{518B8548-9CCE-4D51-8050-EFE0E63D8C13}">
      <formula1>0</formula1>
      <formula2>10</formula2>
    </dataValidation>
  </dataValidations>
  <pageMargins left="0.511811024" right="0.511811024" top="0.78740157499999996" bottom="0.78740157499999996" header="0.31496062000000002" footer="0.31496062000000002"/>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F7E29-C31D-460E-89C1-5577BAFD9FCE}">
  <dimension ref="A1:H38"/>
  <sheetViews>
    <sheetView workbookViewId="0">
      <selection activeCell="A20" sqref="A20:H20"/>
    </sheetView>
  </sheetViews>
  <sheetFormatPr defaultRowHeight="14.4" x14ac:dyDescent="0.3"/>
  <cols>
    <col min="1" max="1" width="27.77734375" customWidth="1"/>
    <col min="2" max="4" width="19.44140625" customWidth="1"/>
    <col min="5" max="5" width="17.88671875" bestFit="1" customWidth="1"/>
    <col min="6" max="6" width="25" customWidth="1"/>
    <col min="7" max="7" width="19.44140625" customWidth="1"/>
    <col min="8" max="8" width="23.109375" customWidth="1"/>
  </cols>
  <sheetData>
    <row r="1" spans="1:8" ht="31.95" customHeight="1" x14ac:dyDescent="0.45">
      <c r="A1" s="249" t="s">
        <v>7632</v>
      </c>
      <c r="B1" s="249"/>
      <c r="C1" s="249"/>
      <c r="D1" s="249"/>
      <c r="E1" s="249"/>
      <c r="F1" s="249"/>
      <c r="G1" s="249"/>
      <c r="H1" s="249"/>
    </row>
    <row r="2" spans="1:8" x14ac:dyDescent="0.3">
      <c r="A2" s="251" t="s">
        <v>7633</v>
      </c>
      <c r="B2" s="251"/>
      <c r="C2" s="251"/>
      <c r="D2" s="251"/>
      <c r="E2" s="251"/>
      <c r="F2" s="251"/>
      <c r="G2" s="251"/>
      <c r="H2" s="251"/>
    </row>
    <row r="4" spans="1:8" x14ac:dyDescent="0.3">
      <c r="A4" s="232" t="s">
        <v>7634</v>
      </c>
      <c r="B4" s="232"/>
      <c r="C4" s="232"/>
      <c r="D4" s="232"/>
      <c r="E4" s="232"/>
      <c r="F4" s="232"/>
      <c r="G4" s="232"/>
      <c r="H4" s="232"/>
    </row>
    <row r="5" spans="1:8" x14ac:dyDescent="0.3">
      <c r="A5" t="s">
        <v>45</v>
      </c>
      <c r="B5" s="252" t="str">
        <f>Confronto!B5</f>
        <v>PPJ</v>
      </c>
      <c r="C5" s="252"/>
      <c r="D5" s="180" t="s">
        <v>7635</v>
      </c>
      <c r="E5" s="252" t="str">
        <f>Confronto!E5</f>
        <v>FIN - Kakkonen A</v>
      </c>
      <c r="F5" s="252"/>
      <c r="G5" s="180" t="s">
        <v>7636</v>
      </c>
      <c r="H5" s="180" t="str">
        <f>Confronto!H5</f>
        <v>✓ Histórico disponível</v>
      </c>
    </row>
    <row r="6" spans="1:8" x14ac:dyDescent="0.3">
      <c r="A6" t="s">
        <v>48</v>
      </c>
      <c r="B6" s="252" t="str">
        <f>Confronto!B6</f>
        <v>MyPa</v>
      </c>
      <c r="C6" s="252"/>
      <c r="D6" s="180" t="s">
        <v>7635</v>
      </c>
      <c r="E6" s="252" t="str">
        <f>Confronto!E6</f>
        <v>FIN - Kakkonen A</v>
      </c>
      <c r="F6" s="252"/>
      <c r="G6" s="180" t="s">
        <v>7636</v>
      </c>
      <c r="H6" s="180" t="str">
        <f>Confronto!H6</f>
        <v>✓ Histórico disponível</v>
      </c>
    </row>
    <row r="8" spans="1:8" x14ac:dyDescent="0.3">
      <c r="A8" s="232" t="s">
        <v>7637</v>
      </c>
      <c r="B8" s="232"/>
      <c r="C8" s="232"/>
      <c r="D8" s="232"/>
      <c r="F8" s="232" t="s">
        <v>7663</v>
      </c>
      <c r="G8" s="232"/>
      <c r="H8" s="232"/>
    </row>
    <row r="9" spans="1:8" x14ac:dyDescent="0.3">
      <c r="A9" s="179" t="s">
        <v>417</v>
      </c>
      <c r="B9" s="179" t="s">
        <v>7638</v>
      </c>
      <c r="C9" s="179" t="s">
        <v>7639</v>
      </c>
      <c r="D9" s="179" t="s">
        <v>7640</v>
      </c>
      <c r="F9" s="179" t="s">
        <v>7647</v>
      </c>
      <c r="G9" s="179" t="s">
        <v>7648</v>
      </c>
      <c r="H9" s="179" t="s">
        <v>7649</v>
      </c>
    </row>
    <row r="10" spans="1:8" x14ac:dyDescent="0.3">
      <c r="A10" t="s">
        <v>419</v>
      </c>
      <c r="B10" s="181">
        <f>COUNTIFS(tblDados[Mandante],$B$5,tblDados[Primeira_Ocorrencia],1)</f>
        <v>7</v>
      </c>
      <c r="C10" s="181">
        <f>COUNTIFS(tblDados[Visitante],$B$6,tblDados[Primeira_Ocorrencia],1)</f>
        <v>6</v>
      </c>
      <c r="D10" s="181">
        <f>MIN(B10,C10)</f>
        <v>6</v>
      </c>
      <c r="F10" t="s">
        <v>7650</v>
      </c>
      <c r="G10" s="103">
        <f>IFERROR(EXP(-Confronto!D10),0)</f>
        <v>2.4960113443575599E-2</v>
      </c>
      <c r="H10" s="81" t="str">
        <f>IF(G10&gt;10%,"Alto",IF(G10&gt;7.5%,"Moderado","Baixo"))</f>
        <v>Baixo</v>
      </c>
    </row>
    <row r="11" spans="1:8" x14ac:dyDescent="0.3">
      <c r="A11" t="s">
        <v>7641</v>
      </c>
      <c r="B11" s="100">
        <f>IFERROR(SUMIFS(tblDados[GM_M],tblDados[Mandante],$B$5,tblDados[Primeira_Ocorrencia],1)/B10,0)</f>
        <v>1.4285714285714286</v>
      </c>
      <c r="C11" s="100">
        <f>IFERROR(SUMIFS(tblDados[GM_V],tblDados[Visitante],$B$6,tblDados[Primeira_Ocorrencia],1)/C10,0)</f>
        <v>1.1666666666666667</v>
      </c>
      <c r="D11" s="100">
        <f t="shared" ref="D11:D18" si="0">AVERAGE(B11,C11)</f>
        <v>1.2976190476190477</v>
      </c>
      <c r="F11" t="s">
        <v>7651</v>
      </c>
      <c r="G11" s="103">
        <f>IFERROR(1-Confronto!H40,0)</f>
        <v>2.8391031260743937E-2</v>
      </c>
      <c r="H11" s="81" t="str">
        <f>IF(G11&gt;10%,"Alto",IF(G11&gt;7.5%,"Moderado","Baixo"))</f>
        <v>Baixo</v>
      </c>
    </row>
    <row r="12" spans="1:8" x14ac:dyDescent="0.3">
      <c r="A12" t="s">
        <v>7642</v>
      </c>
      <c r="B12" s="100">
        <f>IFERROR(SUMIFS(tblDados[GS_M],tblDados[Mandante],$B$5,tblDados[Primeira_Ocorrencia],1)/B10,0)</f>
        <v>1.2857142857142858</v>
      </c>
      <c r="C12" s="100">
        <f>IFERROR(SUMIFS(tblDados[GS_V],tblDados[Visitante],$B$6,tblDados[Primeira_Ocorrencia],1)/C10,0)</f>
        <v>3.5</v>
      </c>
      <c r="D12" s="100">
        <f t="shared" si="0"/>
        <v>2.3928571428571428</v>
      </c>
      <c r="F12" t="s">
        <v>7652</v>
      </c>
      <c r="G12" s="103">
        <f>B14</f>
        <v>0.14285714285714285</v>
      </c>
      <c r="H12" s="81" t="str">
        <f>B10&amp;" jogos na condição"</f>
        <v>7 jogos na condição</v>
      </c>
    </row>
    <row r="13" spans="1:8" x14ac:dyDescent="0.3">
      <c r="A13" t="s">
        <v>7643</v>
      </c>
      <c r="B13" s="100">
        <f>IFERROR((SUMIFS(tblDados[GM_M],tblDados[Mandante],$B$5,tblDados[Primeira_Ocorrencia],1)+SUMIFS(tblDados[GS_M],tblDados[Mandante],$B$5,tblDados[Primeira_Ocorrencia],1))/B10,0)</f>
        <v>2.7142857142857144</v>
      </c>
      <c r="C13" s="100">
        <f>IFERROR((SUMIFS(tblDados[GM_V],tblDados[Visitante],$B$6,tblDados[Primeira_Ocorrencia],1)+SUMIFS(tblDados[GS_V],tblDados[Visitante],$B$6,tblDados[Primeira_Ocorrencia],1))/C10,0)</f>
        <v>4.666666666666667</v>
      </c>
      <c r="D13" s="100">
        <f t="shared" si="0"/>
        <v>3.6904761904761907</v>
      </c>
      <c r="F13" t="s">
        <v>7653</v>
      </c>
      <c r="G13" s="103">
        <f>C14</f>
        <v>0</v>
      </c>
      <c r="H13" s="81" t="str">
        <f>C10&amp;" jogos na condição"</f>
        <v>6 jogos na condição</v>
      </c>
    </row>
    <row r="14" spans="1:8" x14ac:dyDescent="0.3">
      <c r="A14" t="s">
        <v>863</v>
      </c>
      <c r="B14" s="103">
        <f>IFERROR(COUNTIFS(tblDados[Mandante],$B$5,tblDados[GM_M],0,tblDados[GS_M],0,tblDados[Primeira_Ocorrencia],1)/B10,0)</f>
        <v>0.14285714285714285</v>
      </c>
      <c r="C14" s="103">
        <f>IFERROR(COUNTIFS(tblDados[Visitante],$B$6,tblDados[GM_V],0,tblDados[GS_V],0,tblDados[Primeira_Ocorrencia],1)/C10,0)</f>
        <v>0</v>
      </c>
      <c r="D14" s="103">
        <f t="shared" si="0"/>
        <v>7.1428571428571425E-2</v>
      </c>
      <c r="F14" t="s">
        <v>7654</v>
      </c>
      <c r="G14" s="103">
        <f>IFERROR(COUNTIFS(tblDados[País],LEFT($E$5,3),tblDados[Liga],TRIM(MID($E$5,7,99)),tblDados[GM_M],0,tblDados[GS_M],0,tblDados[Primeira_Ocorrencia],1)/COUNTIFS(tblDados[País],LEFT($E$5,3),tblDados[Liga],TRIM(MID($E$5,7,99)),tblDados[Primeira_Ocorrencia],1),0)</f>
        <v>4.6153846153846156E-2</v>
      </c>
      <c r="H14" s="81" t="str">
        <f>"Base: "&amp;COUNTIFS(tblDados[País],LEFT($E$5,3),tblDados[Liga],TRIM(MID($E$5,7,99)),tblDados[Primeira_Ocorrencia],1)&amp;" jogos"</f>
        <v>Base: 65 jogos</v>
      </c>
    </row>
    <row r="15" spans="1:8" x14ac:dyDescent="0.3">
      <c r="A15" t="s">
        <v>7644</v>
      </c>
      <c r="B15" s="103" cm="1">
        <f t="array" ref="B15">IFERROR(SUMPRODUCT((tblDados[Mandante]=$B$5)*(tblDados[Primeira_Ocorrencia]=1)*((tblDados[GM_M]+tblDados[GS_M])=1))/B10,0)</f>
        <v>0.14285714285714285</v>
      </c>
      <c r="C15" s="103" cm="1">
        <f t="array" ref="C15">IFERROR(SUMPRODUCT((tblDados[Visitante]=$B$6)*(tblDados[Primeira_Ocorrencia]=1)*((tblDados[GM_V]+tblDados[GS_V])=1))/C10,0)</f>
        <v>0</v>
      </c>
      <c r="D15" s="103">
        <f t="shared" si="0"/>
        <v>7.1428571428571425E-2</v>
      </c>
      <c r="F15" t="s">
        <v>7655</v>
      </c>
      <c r="G15" s="103">
        <f>AVERAGE((B10*B14+5*G14)/(B10+5),(C10*C14+5*G14)/(C10+5))</f>
        <v>6.1771561771561775E-2</v>
      </c>
      <c r="H15" s="81" t="str">
        <f>IF(G15&gt;10%,"Confirma risco elevado","Não confirma veto")</f>
        <v>Não confirma veto</v>
      </c>
    </row>
    <row r="16" spans="1:8" ht="28.8" x14ac:dyDescent="0.3">
      <c r="A16" t="s">
        <v>7645</v>
      </c>
      <c r="B16" s="103" cm="1">
        <f t="array" ref="B16">IFERROR(SUMPRODUCT((tblDados[Mandante]=$B$5)*(tblDados[Primeira_Ocorrencia]=1)*((tblDados[GM_M]+tblDados[GS_M])&gt;=2))/B10,0)</f>
        <v>0.7142857142857143</v>
      </c>
      <c r="C16" s="103" cm="1">
        <f t="array" ref="C16">IFERROR(SUMPRODUCT((tblDados[Visitante]=$B$6)*(tblDados[Primeira_Ocorrencia]=1)*((tblDados[GM_V]+tblDados[GS_V])&gt;=2))/C10,0)</f>
        <v>1</v>
      </c>
      <c r="D16" s="103">
        <f t="shared" si="0"/>
        <v>0.85714285714285721</v>
      </c>
      <c r="F16" t="s">
        <v>7656</v>
      </c>
      <c r="G16" s="181">
        <f>--AND(G11&gt;10%,G15&gt;10%)</f>
        <v>0</v>
      </c>
      <c r="H16" s="81" t="str">
        <f>IF(G16=1,"VETO CONFIRMADO","SEM CONFIRMAÇÃO DUPLA")</f>
        <v>SEM CONFIRMAÇÃO DUPLA</v>
      </c>
    </row>
    <row r="17" spans="1:8" x14ac:dyDescent="0.3">
      <c r="A17" t="s">
        <v>411</v>
      </c>
      <c r="B17" s="103">
        <f>IFERROR(COUNTIFS(tblDados[Mandante],$B$5,tblDados[GM_M],"&gt;0",tblDados[GS_M],"&gt;0",tblDados[Primeira_Ocorrencia],1)/B10,0)</f>
        <v>0.5714285714285714</v>
      </c>
      <c r="C17" s="103">
        <f>IFERROR(COUNTIFS(tblDados[Visitante],$B$6,tblDados[GM_V],"&gt;0",tblDados[GS_V],"&gt;0",tblDados[Primeira_Ocorrencia],1)/C10,0)</f>
        <v>0.83333333333333337</v>
      </c>
      <c r="D17" s="103">
        <f t="shared" si="0"/>
        <v>0.70238095238095233</v>
      </c>
    </row>
    <row r="18" spans="1:8" x14ac:dyDescent="0.3">
      <c r="A18" t="s">
        <v>7646</v>
      </c>
      <c r="B18" s="100" cm="1">
        <f t="array" ref="B18">IFERROR(AVERAGE(_xlfn.TAKE(_xlfn.SORTBY(_xlfn._xlws.FILTER(tblDados[GM_M]+tblDados[GS_M],(tblDados[Mandante]=$B$5)*(tblDados[Primeira_Ocorrencia]=1)),_xlfn._xlws.FILTER(tblDados[Data],(tblDados[Mandante]=$B$5)*(tblDados[Primeira_Ocorrencia]=1)),-1),5)),0)</f>
        <v>3.4</v>
      </c>
      <c r="C18" s="100" cm="1">
        <f t="array" ref="C18">IFERROR(AVERAGE(_xlfn.TAKE(_xlfn.SORTBY(_xlfn._xlws.FILTER(tblDados[GM_V]+tblDados[GS_V],(tblDados[Visitante]=$B$6)*(tblDados[Primeira_Ocorrencia]=1)),_xlfn._xlws.FILTER(tblDados[Data],(tblDados[Visitante]=$B$6)*(tblDados[Primeira_Ocorrencia]=1)),-1),5)),0)</f>
        <v>4.8</v>
      </c>
      <c r="D18" s="100">
        <f t="shared" si="0"/>
        <v>4.0999999999999996</v>
      </c>
    </row>
    <row r="20" spans="1:8" x14ac:dyDescent="0.3">
      <c r="A20" s="232" t="s">
        <v>7657</v>
      </c>
      <c r="B20" s="232"/>
      <c r="C20" s="232"/>
      <c r="D20" s="232"/>
      <c r="E20" s="232"/>
      <c r="F20" s="232"/>
      <c r="G20" s="232"/>
      <c r="H20" s="232"/>
    </row>
    <row r="21" spans="1:8" x14ac:dyDescent="0.3">
      <c r="A21" s="179" t="s">
        <v>820</v>
      </c>
      <c r="B21" s="179" t="s">
        <v>3106</v>
      </c>
      <c r="C21" s="179" t="s">
        <v>3107</v>
      </c>
      <c r="D21" s="179" t="s">
        <v>7658</v>
      </c>
      <c r="E21" s="179" t="s">
        <v>7659</v>
      </c>
      <c r="F21" s="179" t="s">
        <v>3108</v>
      </c>
      <c r="G21" s="179" t="s">
        <v>3109</v>
      </c>
      <c r="H21" s="179" t="s">
        <v>3110</v>
      </c>
    </row>
    <row r="22" spans="1:8" x14ac:dyDescent="0.3">
      <c r="A22" s="100">
        <v>0.5</v>
      </c>
      <c r="B22" s="103">
        <f>Confronto!B40</f>
        <v>0.97503988655642437</v>
      </c>
      <c r="C22" s="103">
        <f>Confronto!C40</f>
        <v>0.97503988655642437</v>
      </c>
      <c r="D22" s="103">
        <f>Confronto!D40</f>
        <v>0.97160896873925606</v>
      </c>
      <c r="E22" s="103">
        <f>Confronto!F40</f>
        <v>0.97160896873925606</v>
      </c>
      <c r="F22" s="103">
        <f>Confronto!G40</f>
        <v>0.97160896873925606</v>
      </c>
      <c r="G22" s="103">
        <f>Confronto!H40</f>
        <v>0.97160896873925606</v>
      </c>
      <c r="H22" s="81" t="str">
        <f>Confronto!I40</f>
        <v>GREEN ≥75%</v>
      </c>
    </row>
    <row r="23" spans="1:8" x14ac:dyDescent="0.3">
      <c r="A23" s="100">
        <v>0.75</v>
      </c>
      <c r="B23" s="103">
        <f>Confronto!B41</f>
        <v>0.88292518218132399</v>
      </c>
      <c r="C23" s="103">
        <f>Confronto!C41</f>
        <v>0.97503988655642437</v>
      </c>
      <c r="D23" s="103">
        <f>Confronto!D41</f>
        <v>0.87291633626143161</v>
      </c>
      <c r="E23" s="103">
        <f>Confronto!F41</f>
        <v>0.97160896873925606</v>
      </c>
      <c r="F23" s="103">
        <f>Confronto!G41</f>
        <v>0.87291633626143161</v>
      </c>
      <c r="G23" s="103">
        <f>Confronto!H41</f>
        <v>0.97160896873925606</v>
      </c>
      <c r="H23" s="81" t="str">
        <f>Confronto!I41</f>
        <v>GREEN ≥75%</v>
      </c>
    </row>
    <row r="24" spans="1:8" x14ac:dyDescent="0.3">
      <c r="A24" s="100">
        <v>1</v>
      </c>
      <c r="B24" s="103">
        <f>Confronto!B42</f>
        <v>0.88292518218132399</v>
      </c>
      <c r="C24" s="103">
        <f>Confronto!C42</f>
        <v>0.97503988655642437</v>
      </c>
      <c r="D24" s="103">
        <f>Confronto!D42</f>
        <v>0.87291633626143161</v>
      </c>
      <c r="E24" s="103">
        <f>Confronto!F42</f>
        <v>0.97160896873925606</v>
      </c>
      <c r="F24" s="103">
        <f>Confronto!G42</f>
        <v>0.87291633626143161</v>
      </c>
      <c r="G24" s="103">
        <f>Confronto!H42</f>
        <v>0.97160896873925606</v>
      </c>
      <c r="H24" s="81" t="str">
        <f>Confronto!I42</f>
        <v>GREEN ≥75%</v>
      </c>
    </row>
    <row r="25" spans="1:8" x14ac:dyDescent="0.3">
      <c r="A25" s="100">
        <v>1.25</v>
      </c>
      <c r="B25" s="103">
        <f>Confronto!B43</f>
        <v>0.88292518218132399</v>
      </c>
      <c r="C25" s="103">
        <f>Confronto!C43</f>
        <v>0.97503988655642437</v>
      </c>
      <c r="D25" s="103">
        <f>Confronto!D43</f>
        <v>0.87291633626143161</v>
      </c>
      <c r="E25" s="103">
        <f>Confronto!F43</f>
        <v>0.97160896873925606</v>
      </c>
      <c r="F25" s="103">
        <f>Confronto!G43</f>
        <v>0.87291633626143161</v>
      </c>
      <c r="G25" s="103">
        <f>Confronto!H43</f>
        <v>0.97160896873925606</v>
      </c>
      <c r="H25" s="81" t="str">
        <f>Confronto!I43</f>
        <v>GREEN ≥75%</v>
      </c>
    </row>
    <row r="26" spans="1:8" x14ac:dyDescent="0.3">
      <c r="A26" s="100">
        <v>1.5</v>
      </c>
      <c r="B26" s="103">
        <f>Confronto!B44</f>
        <v>0.88292518218132399</v>
      </c>
      <c r="C26" s="103">
        <f>Confronto!C44</f>
        <v>0.88292518218132399</v>
      </c>
      <c r="D26" s="103">
        <f>Confronto!D44</f>
        <v>0.87291633626143161</v>
      </c>
      <c r="E26" s="103">
        <f>Confronto!F44</f>
        <v>0.87291633626143161</v>
      </c>
      <c r="F26" s="103">
        <f>Confronto!G44</f>
        <v>0.87291633626143161</v>
      </c>
      <c r="G26" s="103">
        <f>Confronto!H44</f>
        <v>0.87291633626143161</v>
      </c>
      <c r="H26" s="81" t="str">
        <f>Confronto!I44</f>
        <v>GREEN ≥75%</v>
      </c>
    </row>
    <row r="27" spans="1:8" x14ac:dyDescent="0.3">
      <c r="A27" s="100">
        <v>1.75</v>
      </c>
      <c r="B27" s="103">
        <f>Confronto!B45</f>
        <v>0.7129516205367934</v>
      </c>
      <c r="C27" s="103">
        <f>Confronto!C45</f>
        <v>0.88292518218132399</v>
      </c>
      <c r="D27" s="103">
        <f>Confronto!D45</f>
        <v>0.69902931713383598</v>
      </c>
      <c r="E27" s="103">
        <f>Confronto!F45</f>
        <v>0.87291633626143161</v>
      </c>
      <c r="F27" s="103">
        <f>Confronto!G45</f>
        <v>0.69902931713383598</v>
      </c>
      <c r="G27" s="103">
        <f>Confronto!H45</f>
        <v>0.87291633626143161</v>
      </c>
      <c r="H27" s="81" t="str">
        <f>Confronto!I45</f>
        <v>PROTEÇÃO ≥75%</v>
      </c>
    </row>
    <row r="28" spans="1:8" x14ac:dyDescent="0.3">
      <c r="A28" s="100">
        <v>2</v>
      </c>
      <c r="B28" s="103">
        <f>Confronto!B46</f>
        <v>0.7129516205367934</v>
      </c>
      <c r="C28" s="103">
        <f>Confronto!C46</f>
        <v>0.88292518218132399</v>
      </c>
      <c r="D28" s="103">
        <f>Confronto!D46</f>
        <v>0.69902931713383598</v>
      </c>
      <c r="E28" s="103">
        <f>Confronto!F46</f>
        <v>0.87291633626143161</v>
      </c>
      <c r="F28" s="103">
        <f>Confronto!G46</f>
        <v>0.69902931713383598</v>
      </c>
      <c r="G28" s="103">
        <f>Confronto!H46</f>
        <v>0.87291633626143161</v>
      </c>
      <c r="H28" s="81" t="str">
        <f>Confronto!I46</f>
        <v>PROTEÇÃO ≥75%</v>
      </c>
    </row>
    <row r="29" spans="1:8" x14ac:dyDescent="0.3">
      <c r="A29" s="100">
        <v>2.25</v>
      </c>
      <c r="B29" s="103">
        <f>Confronto!B47</f>
        <v>0.7129516205367934</v>
      </c>
      <c r="C29" s="103">
        <f>Confronto!C47</f>
        <v>0.88292518218132399</v>
      </c>
      <c r="D29" s="103">
        <f>Confronto!D47</f>
        <v>0.69902931713383598</v>
      </c>
      <c r="E29" s="103">
        <f>Confronto!F47</f>
        <v>0.87291633626143161</v>
      </c>
      <c r="F29" s="103">
        <f>Confronto!G47</f>
        <v>0.69902931713383598</v>
      </c>
      <c r="G29" s="103">
        <f>Confronto!H47</f>
        <v>0.87291633626143161</v>
      </c>
      <c r="H29" s="81" t="str">
        <f>Confronto!I47</f>
        <v>PROTEÇÃO ≥75%</v>
      </c>
    </row>
    <row r="30" spans="1:8" x14ac:dyDescent="0.3">
      <c r="A30" s="100">
        <v>2.5</v>
      </c>
      <c r="B30" s="103">
        <f>Confronto!B48</f>
        <v>0.7129516205367934</v>
      </c>
      <c r="C30" s="103">
        <f>Confronto!C48</f>
        <v>0.7129516205367934</v>
      </c>
      <c r="D30" s="103">
        <f>Confronto!D48</f>
        <v>0.69902931713383598</v>
      </c>
      <c r="E30" s="103">
        <f>Confronto!F48</f>
        <v>0.69902931713383598</v>
      </c>
      <c r="F30" s="103">
        <f>Confronto!G48</f>
        <v>0.69902931713383598</v>
      </c>
      <c r="G30" s="103">
        <f>Confronto!H48</f>
        <v>0.69902931713383598</v>
      </c>
      <c r="H30" s="81" t="str">
        <f>Confronto!I48</f>
        <v>ABAIXO</v>
      </c>
    </row>
    <row r="31" spans="1:8" x14ac:dyDescent="0.3">
      <c r="A31" s="100">
        <v>2.75</v>
      </c>
      <c r="B31" s="103">
        <f>Confronto!B49</f>
        <v>0.50385715978360135</v>
      </c>
      <c r="C31" s="103">
        <f>Confronto!C49</f>
        <v>0.7129516205367934</v>
      </c>
      <c r="D31" s="103">
        <f>Confronto!D49</f>
        <v>0.49202096102955473</v>
      </c>
      <c r="E31" s="103">
        <f>Confronto!F49</f>
        <v>0.69902931713383598</v>
      </c>
      <c r="F31" s="103">
        <f>Confronto!G49</f>
        <v>0.49202096102955473</v>
      </c>
      <c r="G31" s="103">
        <f>Confronto!H49</f>
        <v>0.69902931713383598</v>
      </c>
      <c r="H31" s="81" t="str">
        <f>Confronto!I49</f>
        <v>ABAIXO</v>
      </c>
    </row>
    <row r="32" spans="1:8" x14ac:dyDescent="0.3">
      <c r="A32" s="100">
        <v>3</v>
      </c>
      <c r="B32" s="103">
        <f>Confronto!B50</f>
        <v>0.50385715978360135</v>
      </c>
      <c r="C32" s="103">
        <f>Confronto!C50</f>
        <v>0.7129516205367934</v>
      </c>
      <c r="D32" s="103">
        <f>Confronto!D50</f>
        <v>0.49202096102955473</v>
      </c>
      <c r="E32" s="103">
        <f>Confronto!F50</f>
        <v>0.69902931713383598</v>
      </c>
      <c r="F32" s="103">
        <f>Confronto!G50</f>
        <v>0.49202096102955473</v>
      </c>
      <c r="G32" s="103">
        <f>Confronto!H50</f>
        <v>0.69902931713383598</v>
      </c>
      <c r="H32" s="81" t="str">
        <f>Confronto!I50</f>
        <v>ABAIXO</v>
      </c>
    </row>
    <row r="34" spans="1:8" x14ac:dyDescent="0.3">
      <c r="A34" s="232" t="s">
        <v>7660</v>
      </c>
      <c r="B34" s="232"/>
      <c r="C34" s="232"/>
      <c r="D34" s="232"/>
      <c r="E34" s="232"/>
      <c r="F34" s="232"/>
      <c r="G34" s="232"/>
      <c r="H34" s="232"/>
    </row>
    <row r="35" spans="1:8" ht="25.95" customHeight="1" x14ac:dyDescent="0.3">
      <c r="A35" s="253" t="str">
        <f>IF($G$16=1,"VETO CONFIRMADO: distribuições e histórico casa/fora apontam risco de 0 x 0 acima de 10%.",IF($G$11&gt;10%,"DIVERGÊNCIA: o pior modelo supera 10%, mas o histórico casa/fora não confirma o veto. Priorizar a menor linha realmente disponível e máxima proteção.","SEM VETO POR 0 x 0: modelos e histórico não confirmam risco impeditivo. Avaliar somente as linhas realmente disponíveis, priorizando a maior probabilidade de acerto."))</f>
        <v>SEM VETO POR 0 x 0: modelos e histórico não confirmam risco impeditivo. Avaliar somente as linhas realmente disponíveis, priorizando a maior probabilidade de acerto.</v>
      </c>
      <c r="B35" s="253"/>
      <c r="C35" s="253"/>
      <c r="D35" s="253"/>
      <c r="E35" s="253"/>
      <c r="F35" s="253"/>
      <c r="G35" s="253"/>
      <c r="H35" s="253"/>
    </row>
    <row r="36" spans="1:8" ht="25.95" customHeight="1" x14ac:dyDescent="0.3">
      <c r="A36" s="253"/>
      <c r="B36" s="253"/>
      <c r="C36" s="253"/>
      <c r="D36" s="253"/>
      <c r="E36" s="253"/>
      <c r="F36" s="253"/>
      <c r="G36" s="253"/>
      <c r="H36" s="253"/>
    </row>
    <row r="37" spans="1:8" ht="25.95" customHeight="1" x14ac:dyDescent="0.3">
      <c r="A37" s="253"/>
      <c r="B37" s="253"/>
      <c r="C37" s="253"/>
      <c r="D37" s="253"/>
      <c r="E37" s="253"/>
      <c r="F37" s="253"/>
      <c r="G37" s="253"/>
      <c r="H37" s="253"/>
    </row>
    <row r="38" spans="1:8" ht="30" customHeight="1" x14ac:dyDescent="0.3">
      <c r="A38" t="s">
        <v>7661</v>
      </c>
      <c r="B38" s="250" t="s">
        <v>7662</v>
      </c>
      <c r="C38" s="250"/>
      <c r="D38" s="250"/>
      <c r="E38" s="250"/>
      <c r="F38" s="250"/>
      <c r="G38" s="250"/>
      <c r="H38" s="250"/>
    </row>
  </sheetData>
  <mergeCells count="13">
    <mergeCell ref="B38:H38"/>
    <mergeCell ref="A1:H1"/>
    <mergeCell ref="A2:H2"/>
    <mergeCell ref="A4:H4"/>
    <mergeCell ref="B5:C5"/>
    <mergeCell ref="E5:F5"/>
    <mergeCell ref="B6:C6"/>
    <mergeCell ref="E6:F6"/>
    <mergeCell ref="A8:D8"/>
    <mergeCell ref="F8:H8"/>
    <mergeCell ref="A20:H20"/>
    <mergeCell ref="A34:H34"/>
    <mergeCell ref="A35:H37"/>
  </mergeCells>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42E2B-E09E-4EE2-908F-BA9AB0152F85}">
  <dimension ref="A1:H396"/>
  <sheetViews>
    <sheetView topLeftCell="A339" zoomScaleNormal="100" workbookViewId="0">
      <selection activeCell="B358" sqref="B358:D358"/>
    </sheetView>
  </sheetViews>
  <sheetFormatPr defaultRowHeight="14.4" x14ac:dyDescent="0.3"/>
  <cols>
    <col min="1" max="1" width="16.6640625" customWidth="1"/>
    <col min="2" max="2" width="28.6640625" customWidth="1"/>
    <col min="3" max="4" width="15.77734375" customWidth="1"/>
    <col min="5" max="5" width="31.44140625" customWidth="1"/>
    <col min="6" max="6" width="18.5546875" customWidth="1"/>
    <col min="7" max="8" width="21.33203125" customWidth="1"/>
    <col min="9" max="9" width="8.109375" bestFit="1" customWidth="1"/>
    <col min="10" max="10" width="9.33203125" bestFit="1" customWidth="1"/>
    <col min="11" max="11" width="8.109375" bestFit="1" customWidth="1"/>
    <col min="12" max="12" width="8.6640625" bestFit="1" customWidth="1"/>
    <col min="13" max="13" width="37" customWidth="1"/>
    <col min="14" max="15" width="40.77734375" customWidth="1"/>
    <col min="16" max="16" width="25" customWidth="1"/>
    <col min="17" max="17" width="40.77734375" customWidth="1"/>
  </cols>
  <sheetData>
    <row r="1" spans="1:8" ht="24" customHeight="1" x14ac:dyDescent="0.45">
      <c r="A1" s="238" t="s">
        <v>1399</v>
      </c>
      <c r="B1" s="238"/>
      <c r="C1" s="238"/>
      <c r="D1" s="238"/>
      <c r="E1" s="238"/>
      <c r="F1" s="238"/>
      <c r="G1" s="238"/>
      <c r="H1" s="238"/>
    </row>
    <row r="2" spans="1:8" ht="24" customHeight="1" x14ac:dyDescent="0.3">
      <c r="A2" s="229" t="s">
        <v>1400</v>
      </c>
      <c r="B2" s="229"/>
      <c r="C2" s="229"/>
      <c r="D2" s="229"/>
      <c r="E2" s="229"/>
      <c r="F2" s="229"/>
      <c r="G2" s="229"/>
      <c r="H2" s="229"/>
    </row>
    <row r="3" spans="1:8" ht="24" customHeight="1" x14ac:dyDescent="0.3">
      <c r="A3" s="259" t="s">
        <v>1490</v>
      </c>
      <c r="B3" s="259"/>
      <c r="C3" s="259"/>
      <c r="D3" s="259"/>
      <c r="E3" s="259"/>
      <c r="F3" s="259"/>
      <c r="G3" s="259"/>
      <c r="H3" s="259"/>
    </row>
    <row r="4" spans="1:8" ht="17.399999999999999" x14ac:dyDescent="0.35">
      <c r="A4" s="254">
        <v>46242</v>
      </c>
      <c r="B4" s="257"/>
      <c r="C4" s="255" t="s">
        <v>1401</v>
      </c>
      <c r="D4" s="255"/>
      <c r="E4" s="255"/>
      <c r="F4" s="255"/>
      <c r="G4" s="255"/>
      <c r="H4" s="255"/>
    </row>
    <row r="5" spans="1:8" x14ac:dyDescent="0.3">
      <c r="A5" s="256" t="s">
        <v>854</v>
      </c>
      <c r="B5" s="256"/>
      <c r="C5" s="256"/>
      <c r="D5" s="256"/>
      <c r="E5" s="256" t="s">
        <v>1415</v>
      </c>
      <c r="F5" s="256"/>
      <c r="G5" s="256" t="s">
        <v>1416</v>
      </c>
      <c r="H5" s="256"/>
    </row>
    <row r="6" spans="1:8" x14ac:dyDescent="0.3">
      <c r="A6" s="25" t="s">
        <v>1402</v>
      </c>
      <c r="B6" s="234" t="s">
        <v>1395</v>
      </c>
      <c r="C6" s="234"/>
      <c r="D6" s="234"/>
      <c r="E6" s="81" t="s">
        <v>1403</v>
      </c>
      <c r="F6" s="81" t="s">
        <v>1389</v>
      </c>
      <c r="G6" s="81" t="s">
        <v>804</v>
      </c>
      <c r="H6" s="81" t="s">
        <v>1390</v>
      </c>
    </row>
    <row r="7" spans="1:8" x14ac:dyDescent="0.3">
      <c r="A7" s="25" t="s">
        <v>1404</v>
      </c>
      <c r="B7" s="234" t="s">
        <v>1396</v>
      </c>
      <c r="C7" s="234"/>
      <c r="D7" s="234"/>
      <c r="E7" s="234"/>
      <c r="F7" s="234"/>
      <c r="G7" s="234"/>
      <c r="H7" s="234"/>
    </row>
    <row r="8" spans="1:8" x14ac:dyDescent="0.3">
      <c r="A8" s="25" t="s">
        <v>1405</v>
      </c>
      <c r="B8" s="234" t="s">
        <v>1397</v>
      </c>
      <c r="C8" s="234"/>
      <c r="D8" s="81" t="s">
        <v>803</v>
      </c>
      <c r="E8" s="234" t="s">
        <v>1398</v>
      </c>
      <c r="F8" s="234"/>
      <c r="G8" s="234"/>
      <c r="H8" s="234"/>
    </row>
    <row r="9" spans="1:8" x14ac:dyDescent="0.3">
      <c r="A9" s="25" t="s">
        <v>1406</v>
      </c>
      <c r="B9" t="s">
        <v>1391</v>
      </c>
      <c r="C9" t="s">
        <v>53</v>
      </c>
      <c r="D9" s="80">
        <v>1.1299999999999999</v>
      </c>
      <c r="E9" t="s">
        <v>54</v>
      </c>
      <c r="F9" s="83">
        <v>0.5</v>
      </c>
      <c r="G9" t="s">
        <v>1388</v>
      </c>
      <c r="H9" t="str">
        <f>IF(C10="","Pendente","Finalizado")</f>
        <v>Finalizado</v>
      </c>
    </row>
    <row r="10" spans="1:8" x14ac:dyDescent="0.3">
      <c r="A10" s="84" t="s">
        <v>1417</v>
      </c>
      <c r="B10" s="92" t="s">
        <v>45</v>
      </c>
      <c r="C10" s="90">
        <v>2</v>
      </c>
      <c r="D10" s="93" t="s">
        <v>48</v>
      </c>
      <c r="E10" s="91">
        <v>1</v>
      </c>
      <c r="F10" s="85" t="s">
        <v>1418</v>
      </c>
      <c r="G10" s="86">
        <f>IF(OR(C10="",E10=""),"",C10+E10)</f>
        <v>3</v>
      </c>
      <c r="H10" s="82"/>
    </row>
    <row r="11" spans="1:8" x14ac:dyDescent="0.3">
      <c r="A11" s="25" t="s">
        <v>1419</v>
      </c>
      <c r="B11" t="s">
        <v>429</v>
      </c>
      <c r="C11" s="111" t="str">
        <f>IF(G10="","",IF(G10&gt;2,"Green",IF(G10=2,"Devolvida","Red")))</f>
        <v>Green</v>
      </c>
      <c r="D11" t="s">
        <v>1387</v>
      </c>
      <c r="E11" s="83">
        <f>IF(C11="","",IF(C11="Green",F9*(D9-1),IF(C11="Red",-F9,IF(C11="Meio Green",F9*(D9-1)/2,IF(C11="Meio Red",-F9/2,IF(C11="Devolvida",0,""))))))</f>
        <v>6.4999999999999947E-2</v>
      </c>
      <c r="F11" s="258" t="s">
        <v>1392</v>
      </c>
      <c r="G11" s="258"/>
      <c r="H11" s="258"/>
    </row>
    <row r="13" spans="1:8" ht="17.399999999999999" x14ac:dyDescent="0.35">
      <c r="A13" s="254">
        <v>46242</v>
      </c>
      <c r="B13" s="257"/>
      <c r="C13" s="255" t="s">
        <v>1407</v>
      </c>
      <c r="D13" s="255"/>
      <c r="E13" s="255"/>
      <c r="F13" s="255"/>
      <c r="G13" s="255"/>
      <c r="H13" s="255"/>
    </row>
    <row r="14" spans="1:8" x14ac:dyDescent="0.3">
      <c r="A14" s="256" t="s">
        <v>854</v>
      </c>
      <c r="B14" s="256"/>
      <c r="C14" s="256"/>
      <c r="D14" s="256"/>
      <c r="E14" s="256" t="s">
        <v>1415</v>
      </c>
      <c r="F14" s="256"/>
      <c r="G14" s="256" t="s">
        <v>1416</v>
      </c>
      <c r="H14" s="256"/>
    </row>
    <row r="15" spans="1:8" x14ac:dyDescent="0.3">
      <c r="A15" s="25" t="s">
        <v>1402</v>
      </c>
      <c r="B15" s="234" t="s">
        <v>1472</v>
      </c>
      <c r="C15" s="234"/>
      <c r="D15" s="234"/>
      <c r="E15" s="81" t="s">
        <v>1403</v>
      </c>
      <c r="F15" s="81" t="s">
        <v>1393</v>
      </c>
      <c r="G15" s="81" t="s">
        <v>804</v>
      </c>
      <c r="H15" s="81" t="s">
        <v>1394</v>
      </c>
    </row>
    <row r="16" spans="1:8" x14ac:dyDescent="0.3">
      <c r="A16" s="25" t="s">
        <v>1404</v>
      </c>
      <c r="B16" s="234" t="s">
        <v>1473</v>
      </c>
      <c r="C16" s="234"/>
      <c r="D16" s="234"/>
      <c r="E16" s="234"/>
      <c r="F16" s="234"/>
      <c r="G16" s="234"/>
      <c r="H16" s="234"/>
    </row>
    <row r="17" spans="1:8" x14ac:dyDescent="0.3">
      <c r="A17" s="25" t="s">
        <v>1405</v>
      </c>
      <c r="B17" s="234" t="s">
        <v>1474</v>
      </c>
      <c r="C17" s="234"/>
      <c r="D17" s="81" t="s">
        <v>803</v>
      </c>
      <c r="E17" s="234" t="s">
        <v>1475</v>
      </c>
      <c r="F17" s="234"/>
      <c r="G17" s="234"/>
      <c r="H17" s="234"/>
    </row>
    <row r="18" spans="1:8" x14ac:dyDescent="0.3">
      <c r="A18" s="25" t="s">
        <v>1406</v>
      </c>
      <c r="B18" t="s">
        <v>1391</v>
      </c>
      <c r="C18" t="s">
        <v>53</v>
      </c>
      <c r="D18" s="80">
        <v>1.125</v>
      </c>
      <c r="E18" t="s">
        <v>54</v>
      </c>
      <c r="F18" s="83">
        <v>0.5</v>
      </c>
      <c r="G18" t="s">
        <v>1388</v>
      </c>
      <c r="H18" t="str">
        <f>IF(C19="","Pendente","Finalizado")</f>
        <v>Finalizado</v>
      </c>
    </row>
    <row r="19" spans="1:8" x14ac:dyDescent="0.3">
      <c r="A19" s="84" t="s">
        <v>1417</v>
      </c>
      <c r="B19" s="92" t="s">
        <v>45</v>
      </c>
      <c r="C19" s="90">
        <v>1</v>
      </c>
      <c r="D19" s="93" t="s">
        <v>48</v>
      </c>
      <c r="E19" s="91">
        <v>2</v>
      </c>
      <c r="F19" s="85" t="s">
        <v>1418</v>
      </c>
      <c r="G19" s="86">
        <f>IF(OR(C19="",E19=""),"",C19+E19)</f>
        <v>3</v>
      </c>
      <c r="H19" s="82"/>
    </row>
    <row r="20" spans="1:8" x14ac:dyDescent="0.3">
      <c r="A20" s="25" t="s">
        <v>1419</v>
      </c>
      <c r="B20" t="s">
        <v>429</v>
      </c>
      <c r="C20" s="111" t="str">
        <f>IF(G19="","",IF(G19&gt;2,"Green",IF(G19=2,"Devolvida","Red")))</f>
        <v>Green</v>
      </c>
      <c r="D20" t="s">
        <v>1387</v>
      </c>
      <c r="E20" s="83">
        <f>IF(C20="","",IF(C20="Green",F18*(D18-1),IF(C20="Red",-F18,IF(C20="Meio Green",F18*(D18-1)/2,IF(C20="Meio Red",-F18/2,IF(C20="Devolvida",0,""))))))</f>
        <v>6.25E-2</v>
      </c>
      <c r="F20" s="258"/>
      <c r="G20" s="258"/>
      <c r="H20" s="258"/>
    </row>
    <row r="22" spans="1:8" ht="17.399999999999999" x14ac:dyDescent="0.35">
      <c r="A22" s="254">
        <v>46242</v>
      </c>
      <c r="B22" s="257"/>
      <c r="C22" s="255" t="s">
        <v>1408</v>
      </c>
      <c r="D22" s="255"/>
      <c r="E22" s="255"/>
      <c r="F22" s="255"/>
      <c r="G22" s="255"/>
      <c r="H22" s="255"/>
    </row>
    <row r="23" spans="1:8" x14ac:dyDescent="0.3">
      <c r="A23" s="256" t="s">
        <v>854</v>
      </c>
      <c r="B23" s="256"/>
      <c r="C23" s="256"/>
      <c r="D23" s="256"/>
      <c r="E23" s="256" t="s">
        <v>1415</v>
      </c>
      <c r="F23" s="256"/>
      <c r="G23" s="256" t="s">
        <v>1416</v>
      </c>
      <c r="H23" s="256"/>
    </row>
    <row r="24" spans="1:8" x14ac:dyDescent="0.3">
      <c r="A24" s="25" t="s">
        <v>1402</v>
      </c>
      <c r="B24" s="234" t="s">
        <v>1476</v>
      </c>
      <c r="C24" s="234"/>
      <c r="D24" s="234"/>
      <c r="E24" s="81" t="s">
        <v>1403</v>
      </c>
      <c r="F24" s="81" t="s">
        <v>1389</v>
      </c>
      <c r="G24" s="81" t="s">
        <v>804</v>
      </c>
      <c r="H24" s="81" t="s">
        <v>1390</v>
      </c>
    </row>
    <row r="25" spans="1:8" x14ac:dyDescent="0.3">
      <c r="A25" s="25" t="s">
        <v>1404</v>
      </c>
      <c r="B25" s="234" t="s">
        <v>1477</v>
      </c>
      <c r="C25" s="234"/>
      <c r="D25" s="234"/>
      <c r="E25" s="234"/>
      <c r="F25" s="234"/>
      <c r="G25" s="234"/>
      <c r="H25" s="234"/>
    </row>
    <row r="26" spans="1:8" x14ac:dyDescent="0.3">
      <c r="A26" s="25" t="s">
        <v>1405</v>
      </c>
      <c r="B26" s="234" t="s">
        <v>1470</v>
      </c>
      <c r="C26" s="234"/>
      <c r="D26" s="81" t="s">
        <v>803</v>
      </c>
      <c r="E26" s="234" t="s">
        <v>1478</v>
      </c>
      <c r="F26" s="234"/>
      <c r="G26" s="234"/>
      <c r="H26" s="234"/>
    </row>
    <row r="27" spans="1:8" x14ac:dyDescent="0.3">
      <c r="A27" s="25" t="s">
        <v>1406</v>
      </c>
      <c r="B27" t="s">
        <v>1391</v>
      </c>
      <c r="C27" t="s">
        <v>53</v>
      </c>
      <c r="D27" s="80">
        <v>1.1499999999999999</v>
      </c>
      <c r="E27" t="s">
        <v>54</v>
      </c>
      <c r="F27" s="83">
        <v>0.5</v>
      </c>
      <c r="G27" t="s">
        <v>1388</v>
      </c>
      <c r="H27" t="str">
        <f>IF(C28="","Pendente","Finalizado")</f>
        <v>Finalizado</v>
      </c>
    </row>
    <row r="28" spans="1:8" x14ac:dyDescent="0.3">
      <c r="A28" s="84" t="s">
        <v>1417</v>
      </c>
      <c r="B28" s="92" t="s">
        <v>45</v>
      </c>
      <c r="C28" s="90">
        <v>2</v>
      </c>
      <c r="D28" s="93" t="s">
        <v>48</v>
      </c>
      <c r="E28" s="91">
        <v>0</v>
      </c>
      <c r="F28" s="85" t="s">
        <v>1418</v>
      </c>
      <c r="G28" s="86">
        <f>IF(OR(C28="",E28=""),"",C28+E28)</f>
        <v>2</v>
      </c>
      <c r="H28" s="82"/>
    </row>
    <row r="29" spans="1:8" x14ac:dyDescent="0.3">
      <c r="A29" s="25" t="s">
        <v>1419</v>
      </c>
      <c r="B29" t="s">
        <v>429</v>
      </c>
      <c r="C29" s="111" t="str">
        <f>IF(G28="","",IF(G28&gt;2,"Green",IF(G28=2,"Devolvida","Red")))</f>
        <v>Devolvida</v>
      </c>
      <c r="D29" t="s">
        <v>1387</v>
      </c>
      <c r="E29" s="83">
        <f>IF(C29="","",IF(C29="Green",F27*(D27-1),IF(C29="Red",-F27,IF(C29="Meio Green",F27*(D27-1)/2,IF(C29="Meio Red",-F27/2,IF(C29="Devolvida",0,""))))))</f>
        <v>0</v>
      </c>
      <c r="F29" s="258"/>
      <c r="G29" s="258"/>
      <c r="H29" s="258"/>
    </row>
    <row r="31" spans="1:8" ht="17.399999999999999" x14ac:dyDescent="0.35">
      <c r="A31" s="254">
        <v>46242</v>
      </c>
      <c r="B31" s="257"/>
      <c r="C31" s="255" t="s">
        <v>1409</v>
      </c>
      <c r="D31" s="255"/>
      <c r="E31" s="255"/>
      <c r="F31" s="255"/>
      <c r="G31" s="255"/>
      <c r="H31" s="255"/>
    </row>
    <row r="32" spans="1:8" x14ac:dyDescent="0.3">
      <c r="A32" s="256" t="s">
        <v>854</v>
      </c>
      <c r="B32" s="256"/>
      <c r="C32" s="256"/>
      <c r="D32" s="256"/>
      <c r="E32" s="256" t="s">
        <v>1415</v>
      </c>
      <c r="F32" s="256"/>
      <c r="G32" s="256" t="s">
        <v>1416</v>
      </c>
      <c r="H32" s="256"/>
    </row>
    <row r="33" spans="1:8" x14ac:dyDescent="0.3">
      <c r="A33" s="25" t="s">
        <v>1402</v>
      </c>
      <c r="B33" s="234" t="s">
        <v>1482</v>
      </c>
      <c r="C33" s="234"/>
      <c r="D33" s="234"/>
      <c r="E33" s="81" t="s">
        <v>1403</v>
      </c>
      <c r="F33" s="81" t="s">
        <v>1389</v>
      </c>
      <c r="G33" s="81" t="s">
        <v>804</v>
      </c>
      <c r="H33" s="81" t="s">
        <v>1390</v>
      </c>
    </row>
    <row r="34" spans="1:8" x14ac:dyDescent="0.3">
      <c r="A34" s="25" t="s">
        <v>1404</v>
      </c>
      <c r="B34" s="234" t="s">
        <v>1483</v>
      </c>
      <c r="C34" s="234"/>
      <c r="D34" s="234"/>
      <c r="E34" s="234"/>
      <c r="F34" s="234"/>
      <c r="G34" s="234"/>
      <c r="H34" s="234"/>
    </row>
    <row r="35" spans="1:8" x14ac:dyDescent="0.3">
      <c r="A35" s="25" t="s">
        <v>1405</v>
      </c>
      <c r="B35" s="234" t="s">
        <v>1484</v>
      </c>
      <c r="C35" s="234"/>
      <c r="D35" s="81" t="s">
        <v>803</v>
      </c>
      <c r="E35" s="234" t="s">
        <v>1485</v>
      </c>
      <c r="F35" s="234"/>
      <c r="G35" s="234"/>
      <c r="H35" s="234"/>
    </row>
    <row r="36" spans="1:8" x14ac:dyDescent="0.3">
      <c r="A36" s="25" t="s">
        <v>1406</v>
      </c>
      <c r="B36" t="s">
        <v>1481</v>
      </c>
      <c r="C36" t="s">
        <v>53</v>
      </c>
      <c r="D36" s="80">
        <v>1.3</v>
      </c>
      <c r="E36" t="s">
        <v>54</v>
      </c>
      <c r="F36" s="83">
        <v>0.5</v>
      </c>
      <c r="G36" t="s">
        <v>1388</v>
      </c>
      <c r="H36" t="str">
        <f>IF(C37="","Pendente","Finalizado")</f>
        <v>Finalizado</v>
      </c>
    </row>
    <row r="37" spans="1:8" x14ac:dyDescent="0.3">
      <c r="A37" s="84" t="s">
        <v>1417</v>
      </c>
      <c r="B37" s="92" t="s">
        <v>45</v>
      </c>
      <c r="C37" s="90">
        <v>0</v>
      </c>
      <c r="D37" s="93" t="s">
        <v>48</v>
      </c>
      <c r="E37" s="91">
        <v>0</v>
      </c>
      <c r="F37" s="85" t="s">
        <v>1418</v>
      </c>
      <c r="G37" s="86">
        <f>IF(OR(C37="",E37=""),"",C37+E37)</f>
        <v>0</v>
      </c>
      <c r="H37" s="82"/>
    </row>
    <row r="38" spans="1:8" x14ac:dyDescent="0.3">
      <c r="A38" s="25" t="s">
        <v>1419</v>
      </c>
      <c r="B38" t="s">
        <v>429</v>
      </c>
      <c r="C38" s="111" t="str">
        <f>IF(G37="","",IF(G37&gt;=3,"Green",IF(G37=2,"Meio Red","Red")))</f>
        <v>Red</v>
      </c>
      <c r="D38" t="s">
        <v>1387</v>
      </c>
      <c r="E38" s="83">
        <f>IF(C38="","",IF(C38="Green",F36*(D36-1),IF(C38="Red",-F36,IF(C38="Meio Green",F36*(D36-1)/2,IF(C38="Meio Red",-F36/2,IF(C38="Devolvida",0,""))))))</f>
        <v>-0.5</v>
      </c>
      <c r="F38" s="258"/>
      <c r="G38" s="258"/>
      <c r="H38" s="258"/>
    </row>
    <row r="40" spans="1:8" ht="17.399999999999999" x14ac:dyDescent="0.35">
      <c r="A40" s="254">
        <v>46242</v>
      </c>
      <c r="B40" s="257"/>
      <c r="C40" s="255" t="s">
        <v>1410</v>
      </c>
      <c r="D40" s="255"/>
      <c r="E40" s="255"/>
      <c r="F40" s="255"/>
      <c r="G40" s="255"/>
      <c r="H40" s="255"/>
    </row>
    <row r="41" spans="1:8" x14ac:dyDescent="0.3">
      <c r="A41" s="256" t="s">
        <v>854</v>
      </c>
      <c r="B41" s="256"/>
      <c r="C41" s="256"/>
      <c r="D41" s="256"/>
      <c r="E41" s="256" t="s">
        <v>1415</v>
      </c>
      <c r="F41" s="256"/>
      <c r="G41" s="256" t="s">
        <v>1416</v>
      </c>
      <c r="H41" s="256"/>
    </row>
    <row r="42" spans="1:8" x14ac:dyDescent="0.3">
      <c r="A42" s="25" t="s">
        <v>1402</v>
      </c>
      <c r="B42" s="234" t="s">
        <v>1486</v>
      </c>
      <c r="C42" s="234"/>
      <c r="D42" s="234"/>
      <c r="E42" s="81" t="s">
        <v>1403</v>
      </c>
      <c r="F42" s="81" t="s">
        <v>1393</v>
      </c>
      <c r="G42" s="81" t="s">
        <v>804</v>
      </c>
      <c r="H42" s="81" t="s">
        <v>1394</v>
      </c>
    </row>
    <row r="43" spans="1:8" x14ac:dyDescent="0.3">
      <c r="A43" s="25" t="s">
        <v>1404</v>
      </c>
      <c r="B43" s="234" t="s">
        <v>1488</v>
      </c>
      <c r="C43" s="234"/>
      <c r="D43" s="234"/>
      <c r="E43" s="234"/>
      <c r="F43" s="234"/>
      <c r="G43" s="234"/>
      <c r="H43" s="234"/>
    </row>
    <row r="44" spans="1:8" x14ac:dyDescent="0.3">
      <c r="A44" s="25" t="s">
        <v>1405</v>
      </c>
      <c r="B44" s="234" t="s">
        <v>1489</v>
      </c>
      <c r="C44" s="234"/>
      <c r="D44" s="81" t="s">
        <v>803</v>
      </c>
      <c r="E44" s="234" t="s">
        <v>1487</v>
      </c>
      <c r="F44" s="234"/>
      <c r="G44" s="234"/>
      <c r="H44" s="234"/>
    </row>
    <row r="45" spans="1:8" x14ac:dyDescent="0.3">
      <c r="A45" s="25" t="s">
        <v>1406</v>
      </c>
      <c r="B45" t="s">
        <v>1391</v>
      </c>
      <c r="C45" t="s">
        <v>53</v>
      </c>
      <c r="D45" s="80">
        <v>1.22</v>
      </c>
      <c r="E45" t="s">
        <v>54</v>
      </c>
      <c r="F45" s="83">
        <v>0.5</v>
      </c>
      <c r="G45" t="s">
        <v>1388</v>
      </c>
      <c r="H45" t="str">
        <f>IF(C46="","Pendente","Finalizado")</f>
        <v>Finalizado</v>
      </c>
    </row>
    <row r="46" spans="1:8" x14ac:dyDescent="0.3">
      <c r="A46" s="84" t="s">
        <v>1417</v>
      </c>
      <c r="B46" s="92" t="s">
        <v>45</v>
      </c>
      <c r="C46" s="90">
        <v>2</v>
      </c>
      <c r="D46" s="93" t="s">
        <v>48</v>
      </c>
      <c r="E46" s="91">
        <v>2</v>
      </c>
      <c r="F46" s="85" t="s">
        <v>1418</v>
      </c>
      <c r="G46" s="86">
        <f>IF(OR(C46="",E46=""),"",C46+E46)</f>
        <v>4</v>
      </c>
      <c r="H46" s="82"/>
    </row>
    <row r="47" spans="1:8" x14ac:dyDescent="0.3">
      <c r="A47" s="25" t="s">
        <v>1419</v>
      </c>
      <c r="B47" t="s">
        <v>429</v>
      </c>
      <c r="C47" s="111" t="str">
        <f>IF(G46="","",IF(G46&gt;2,"Green",IF(G46=2,"Devolvida","Red")))</f>
        <v>Green</v>
      </c>
      <c r="D47" t="s">
        <v>1387</v>
      </c>
      <c r="E47" s="83">
        <f>IF(C47="","",IF(C47="Green",F45*(D45-1),IF(C47="Red",-F45,IF(C47="Meio Green",F45*(D45-1)/2,IF(C47="Meio Red",-F45/2,IF(C47="Devolvida",0,""))))))</f>
        <v>0.10999999999999999</v>
      </c>
      <c r="F47" s="258"/>
      <c r="G47" s="258"/>
      <c r="H47" s="258"/>
    </row>
    <row r="49" spans="1:8" ht="17.399999999999999" x14ac:dyDescent="0.35">
      <c r="A49" s="254">
        <v>46242</v>
      </c>
      <c r="B49" s="257"/>
      <c r="C49" s="255" t="s">
        <v>1411</v>
      </c>
      <c r="D49" s="255"/>
      <c r="E49" s="255"/>
      <c r="F49" s="255"/>
      <c r="G49" s="255"/>
      <c r="H49" s="255"/>
    </row>
    <row r="50" spans="1:8" x14ac:dyDescent="0.3">
      <c r="A50" s="256" t="s">
        <v>976</v>
      </c>
      <c r="B50" s="256"/>
      <c r="C50" s="256"/>
      <c r="D50" s="256"/>
      <c r="E50" s="256" t="s">
        <v>1415</v>
      </c>
      <c r="F50" s="256"/>
      <c r="G50" s="256" t="s">
        <v>1416</v>
      </c>
      <c r="H50" s="256"/>
    </row>
    <row r="51" spans="1:8" x14ac:dyDescent="0.3">
      <c r="A51" s="25" t="s">
        <v>1402</v>
      </c>
      <c r="B51" s="234" t="s">
        <v>1420</v>
      </c>
      <c r="C51" s="234"/>
      <c r="D51" s="234"/>
      <c r="E51" s="81" t="s">
        <v>1403</v>
      </c>
      <c r="F51" s="81" t="s">
        <v>1389</v>
      </c>
      <c r="G51" s="81" t="s">
        <v>804</v>
      </c>
      <c r="H51" s="81" t="s">
        <v>1390</v>
      </c>
    </row>
    <row r="52" spans="1:8" x14ac:dyDescent="0.3">
      <c r="A52" s="25" t="s">
        <v>1404</v>
      </c>
      <c r="B52" s="234" t="s">
        <v>1421</v>
      </c>
      <c r="C52" s="234"/>
      <c r="D52" s="234"/>
      <c r="E52" s="234"/>
      <c r="F52" s="234"/>
      <c r="G52" s="234"/>
      <c r="H52" s="234"/>
    </row>
    <row r="53" spans="1:8" x14ac:dyDescent="0.3">
      <c r="A53" s="25" t="s">
        <v>1405</v>
      </c>
      <c r="B53" s="234" t="s">
        <v>1479</v>
      </c>
      <c r="C53" s="234"/>
      <c r="D53" s="81" t="s">
        <v>803</v>
      </c>
      <c r="E53" s="234" t="s">
        <v>1480</v>
      </c>
      <c r="F53" s="234"/>
      <c r="G53" s="234"/>
      <c r="H53" s="234"/>
    </row>
    <row r="54" spans="1:8" x14ac:dyDescent="0.3">
      <c r="A54" s="25" t="s">
        <v>1406</v>
      </c>
      <c r="B54" t="s">
        <v>1481</v>
      </c>
      <c r="C54" t="s">
        <v>53</v>
      </c>
      <c r="D54" s="80">
        <v>1.26</v>
      </c>
      <c r="E54" t="s">
        <v>54</v>
      </c>
      <c r="F54" s="83">
        <v>0.5</v>
      </c>
      <c r="G54" t="s">
        <v>1388</v>
      </c>
      <c r="H54" t="str">
        <f>IF(C55="","Pendente","Finalizado")</f>
        <v>Finalizado</v>
      </c>
    </row>
    <row r="55" spans="1:8" x14ac:dyDescent="0.3">
      <c r="A55" s="84" t="s">
        <v>1417</v>
      </c>
      <c r="B55" s="92" t="s">
        <v>45</v>
      </c>
      <c r="C55" s="90">
        <v>1</v>
      </c>
      <c r="D55" s="93" t="s">
        <v>48</v>
      </c>
      <c r="E55" s="91">
        <v>1</v>
      </c>
      <c r="F55" s="85" t="s">
        <v>1418</v>
      </c>
      <c r="G55" s="86">
        <f>IF(OR(C55="",E55=""),"",C55+E55)</f>
        <v>2</v>
      </c>
      <c r="H55" s="82"/>
    </row>
    <row r="56" spans="1:8" x14ac:dyDescent="0.3">
      <c r="A56" s="25" t="s">
        <v>1419</v>
      </c>
      <c r="B56" t="s">
        <v>429</v>
      </c>
      <c r="C56" s="111" t="str">
        <f>IF(G55="","",IF(G55&gt;=3,"Green",IF(G55=2,"Meio Red","Red")))</f>
        <v>Meio Red</v>
      </c>
      <c r="D56" t="s">
        <v>1387</v>
      </c>
      <c r="E56" s="83">
        <f>IF(C56="","",IF(C56="Green",F54*(D54-1),IF(C56="Red",-F54,IF(C56="Meio Green",F54*(D54-1)/2,IF(C56="Meio Red",-F54/2,IF(C56="Devolvida",0,""))))))</f>
        <v>-0.25</v>
      </c>
      <c r="F56" s="258"/>
      <c r="G56" s="258"/>
      <c r="H56" s="258"/>
    </row>
    <row r="58" spans="1:8" ht="17.399999999999999" x14ac:dyDescent="0.35">
      <c r="A58" s="254">
        <v>46242</v>
      </c>
      <c r="B58" s="257"/>
      <c r="C58" s="255" t="s">
        <v>1467</v>
      </c>
      <c r="D58" s="255"/>
      <c r="E58" s="255"/>
      <c r="F58" s="255"/>
      <c r="G58" s="255"/>
      <c r="H58" s="255"/>
    </row>
    <row r="59" spans="1:8" x14ac:dyDescent="0.3">
      <c r="A59" s="256" t="s">
        <v>1450</v>
      </c>
      <c r="B59" s="256"/>
      <c r="C59" s="256"/>
      <c r="D59" s="256"/>
      <c r="E59" s="256" t="s">
        <v>1415</v>
      </c>
      <c r="F59" s="256"/>
      <c r="G59" s="260">
        <v>0.125</v>
      </c>
      <c r="H59" s="256"/>
    </row>
    <row r="60" spans="1:8" x14ac:dyDescent="0.3">
      <c r="A60" s="25" t="s">
        <v>1402</v>
      </c>
      <c r="B60" s="234" t="s">
        <v>1468</v>
      </c>
      <c r="C60" s="234"/>
      <c r="D60" s="234"/>
      <c r="E60" s="81" t="s">
        <v>1403</v>
      </c>
      <c r="F60" s="81" t="s">
        <v>1393</v>
      </c>
      <c r="G60" s="81" t="s">
        <v>804</v>
      </c>
      <c r="H60" s="81" t="s">
        <v>1394</v>
      </c>
    </row>
    <row r="61" spans="1:8" x14ac:dyDescent="0.3">
      <c r="A61" s="25" t="s">
        <v>1404</v>
      </c>
      <c r="B61" s="234" t="s">
        <v>1469</v>
      </c>
      <c r="C61" s="234"/>
      <c r="D61" s="234"/>
      <c r="E61" s="234"/>
      <c r="F61" s="234"/>
      <c r="G61" s="234"/>
      <c r="H61" s="234"/>
    </row>
    <row r="62" spans="1:8" x14ac:dyDescent="0.3">
      <c r="A62" s="25" t="s">
        <v>1405</v>
      </c>
      <c r="B62" s="234" t="s">
        <v>1470</v>
      </c>
      <c r="C62" s="234"/>
      <c r="D62" s="81" t="s">
        <v>803</v>
      </c>
      <c r="E62" s="234" t="s">
        <v>1471</v>
      </c>
      <c r="F62" s="234"/>
      <c r="G62" s="234"/>
      <c r="H62" s="234"/>
    </row>
    <row r="63" spans="1:8" x14ac:dyDescent="0.3">
      <c r="A63" s="25" t="s">
        <v>1406</v>
      </c>
      <c r="B63" t="s">
        <v>1391</v>
      </c>
      <c r="C63" t="s">
        <v>53</v>
      </c>
      <c r="D63" s="80">
        <v>1.1499999999999999</v>
      </c>
      <c r="E63" t="s">
        <v>54</v>
      </c>
      <c r="F63" s="83">
        <v>0.5</v>
      </c>
      <c r="G63" t="s">
        <v>1388</v>
      </c>
      <c r="H63" t="str">
        <f>IF(C64="","Pendente","Finalizado")</f>
        <v>Finalizado</v>
      </c>
    </row>
    <row r="64" spans="1:8" x14ac:dyDescent="0.3">
      <c r="A64" s="25" t="s">
        <v>1417</v>
      </c>
      <c r="B64" s="92" t="s">
        <v>45</v>
      </c>
      <c r="C64" s="90">
        <v>7</v>
      </c>
      <c r="D64" s="93" t="s">
        <v>48</v>
      </c>
      <c r="E64" s="91">
        <v>1</v>
      </c>
      <c r="F64" s="88" t="s">
        <v>1418</v>
      </c>
      <c r="G64" s="89">
        <f>IF(OR(C64="",E64=""),"",C64+E64)</f>
        <v>8</v>
      </c>
    </row>
    <row r="65" spans="1:8" x14ac:dyDescent="0.3">
      <c r="A65" s="25" t="s">
        <v>1419</v>
      </c>
      <c r="B65" t="s">
        <v>429</v>
      </c>
      <c r="C65" s="111" t="str">
        <f>IF(G64="","",IF(G64&gt;2,"Green",IF(G64=2,"Devolvida","Red")))</f>
        <v>Green</v>
      </c>
      <c r="D65" t="s">
        <v>1387</v>
      </c>
      <c r="E65" s="83">
        <f>IF(C65="","",IF(C65="Green",F63*(D63-1),IF(C65="Red",-F63,IF(C65="Meio Green",F63*(D63-1)/2,IF(C65="Meio Red",-F63/2,IF(C65="Devolvida",0,""))))))</f>
        <v>7.4999999999999956E-2</v>
      </c>
      <c r="F65" s="231"/>
      <c r="G65" s="231"/>
      <c r="H65" s="231"/>
    </row>
    <row r="67" spans="1:8" ht="17.399999999999999" x14ac:dyDescent="0.35">
      <c r="A67" s="254">
        <v>46242</v>
      </c>
      <c r="B67" s="257"/>
      <c r="C67" s="255" t="s">
        <v>1513</v>
      </c>
      <c r="D67" s="255"/>
      <c r="E67" s="255"/>
      <c r="F67" s="255"/>
      <c r="G67" s="255"/>
      <c r="H67" s="255"/>
    </row>
    <row r="68" spans="1:8" x14ac:dyDescent="0.3">
      <c r="A68" s="256" t="s">
        <v>885</v>
      </c>
      <c r="B68" s="256"/>
      <c r="C68" s="256"/>
      <c r="D68" s="256"/>
      <c r="E68" s="256" t="s">
        <v>1415</v>
      </c>
      <c r="F68" s="256"/>
      <c r="G68" s="256" t="s">
        <v>1416</v>
      </c>
      <c r="H68" s="256"/>
    </row>
    <row r="69" spans="1:8" x14ac:dyDescent="0.3">
      <c r="A69" s="25" t="s">
        <v>1402</v>
      </c>
      <c r="B69" s="234" t="s">
        <v>1514</v>
      </c>
      <c r="C69" s="234"/>
      <c r="D69" s="234"/>
      <c r="E69" s="81" t="s">
        <v>1403</v>
      </c>
      <c r="F69" s="81" t="s">
        <v>1393</v>
      </c>
      <c r="G69" s="81" t="s">
        <v>804</v>
      </c>
      <c r="H69" s="81" t="s">
        <v>1394</v>
      </c>
    </row>
    <row r="70" spans="1:8" x14ac:dyDescent="0.3">
      <c r="A70" s="25" t="s">
        <v>1404</v>
      </c>
      <c r="B70" s="234" t="s">
        <v>1515</v>
      </c>
      <c r="C70" s="234"/>
      <c r="D70" s="234"/>
      <c r="E70" s="234"/>
      <c r="F70" s="234"/>
      <c r="G70" s="234"/>
      <c r="H70" s="234"/>
    </row>
    <row r="71" spans="1:8" x14ac:dyDescent="0.3">
      <c r="A71" s="25" t="s">
        <v>1405</v>
      </c>
      <c r="B71" s="234" t="s">
        <v>1516</v>
      </c>
      <c r="C71" s="234"/>
      <c r="D71" s="81" t="s">
        <v>803</v>
      </c>
      <c r="E71" s="234" t="s">
        <v>1517</v>
      </c>
      <c r="F71" s="234"/>
      <c r="G71" s="234"/>
      <c r="H71" s="234"/>
    </row>
    <row r="72" spans="1:8" x14ac:dyDescent="0.3">
      <c r="A72" s="25" t="s">
        <v>1406</v>
      </c>
      <c r="B72" t="s">
        <v>1391</v>
      </c>
      <c r="C72" t="s">
        <v>53</v>
      </c>
      <c r="D72" s="80">
        <v>1.1100000000000001</v>
      </c>
      <c r="E72" t="s">
        <v>54</v>
      </c>
      <c r="F72" s="83">
        <v>0.5</v>
      </c>
      <c r="G72" t="s">
        <v>1388</v>
      </c>
      <c r="H72" t="str">
        <f>IF(C73="","Pendente","Finalizado")</f>
        <v>Finalizado</v>
      </c>
    </row>
    <row r="73" spans="1:8" x14ac:dyDescent="0.3">
      <c r="A73" s="25" t="s">
        <v>1417</v>
      </c>
      <c r="B73" s="41" t="s">
        <v>45</v>
      </c>
      <c r="C73" s="87">
        <v>1</v>
      </c>
      <c r="D73" s="41" t="s">
        <v>48</v>
      </c>
      <c r="E73" s="87">
        <v>2</v>
      </c>
      <c r="F73" t="s">
        <v>1418</v>
      </c>
      <c r="G73">
        <f>IF(OR(C73="",E73=""),"",C73+E73)</f>
        <v>3</v>
      </c>
    </row>
    <row r="74" spans="1:8" x14ac:dyDescent="0.3">
      <c r="A74" s="25" t="s">
        <v>1419</v>
      </c>
      <c r="B74" t="s">
        <v>429</v>
      </c>
      <c r="C74" s="111" t="str">
        <f>IF(G73="","",IF(G73&gt;2,"Green",IF(G73=2,"Devolvida","Red")))</f>
        <v>Green</v>
      </c>
      <c r="D74" t="s">
        <v>1387</v>
      </c>
      <c r="E74" s="83">
        <f>IF(C74="","",IF(C74="Green",F72*(D72-1),IF(C74="Red",-F72,IF(C74="Meio Green",F72*(D72-1)/2,IF(C74="Meio Red",-F72/2,IF(C74="Devolvida",0,""))))))</f>
        <v>5.5000000000000049E-2</v>
      </c>
      <c r="F74" s="231"/>
      <c r="G74" s="231"/>
      <c r="H74" s="231"/>
    </row>
    <row r="76" spans="1:8" ht="17.399999999999999" x14ac:dyDescent="0.35">
      <c r="A76" s="254">
        <v>46242</v>
      </c>
      <c r="B76" s="257"/>
      <c r="C76" s="255" t="s">
        <v>1531</v>
      </c>
      <c r="D76" s="255"/>
      <c r="E76" s="255"/>
      <c r="F76" s="255"/>
      <c r="G76" s="255"/>
      <c r="H76" s="255"/>
    </row>
    <row r="77" spans="1:8" x14ac:dyDescent="0.3">
      <c r="A77" s="256" t="s">
        <v>1381</v>
      </c>
      <c r="B77" s="256"/>
      <c r="C77" s="256"/>
      <c r="D77" s="256"/>
      <c r="E77" s="256" t="s">
        <v>1415</v>
      </c>
      <c r="F77" s="256"/>
      <c r="G77" s="256" t="s">
        <v>1416</v>
      </c>
      <c r="H77" s="256"/>
    </row>
    <row r="78" spans="1:8" x14ac:dyDescent="0.3">
      <c r="A78" s="25" t="s">
        <v>1402</v>
      </c>
      <c r="B78" s="234" t="s">
        <v>1532</v>
      </c>
      <c r="C78" s="234"/>
      <c r="D78" s="234"/>
      <c r="E78" s="81" t="s">
        <v>1403</v>
      </c>
      <c r="F78" s="81" t="s">
        <v>1389</v>
      </c>
      <c r="G78" s="81" t="s">
        <v>804</v>
      </c>
      <c r="H78" s="81" t="s">
        <v>1390</v>
      </c>
    </row>
    <row r="79" spans="1:8" x14ac:dyDescent="0.3">
      <c r="A79" s="25" t="s">
        <v>1404</v>
      </c>
      <c r="B79" s="234" t="s">
        <v>1533</v>
      </c>
      <c r="C79" s="234"/>
      <c r="D79" s="234"/>
      <c r="E79" s="234"/>
      <c r="F79" s="234"/>
      <c r="G79" s="234"/>
      <c r="H79" s="234"/>
    </row>
    <row r="80" spans="1:8" x14ac:dyDescent="0.3">
      <c r="A80" s="25" t="s">
        <v>1405</v>
      </c>
      <c r="B80" s="234" t="s">
        <v>1534</v>
      </c>
      <c r="C80" s="234"/>
      <c r="D80" s="81" t="s">
        <v>803</v>
      </c>
      <c r="E80" s="234" t="s">
        <v>1535</v>
      </c>
      <c r="F80" s="234"/>
      <c r="G80" s="234"/>
      <c r="H80" s="234"/>
    </row>
    <row r="81" spans="1:8" x14ac:dyDescent="0.3">
      <c r="A81" s="25" t="s">
        <v>1406</v>
      </c>
      <c r="B81" t="s">
        <v>1481</v>
      </c>
      <c r="C81" t="s">
        <v>53</v>
      </c>
      <c r="D81" s="80">
        <v>1.19</v>
      </c>
      <c r="E81" t="s">
        <v>54</v>
      </c>
      <c r="F81" s="83">
        <v>0.5</v>
      </c>
      <c r="G81" t="s">
        <v>1388</v>
      </c>
      <c r="H81" t="str">
        <f>IF(C82="","Pendente","Finalizado")</f>
        <v>Finalizado</v>
      </c>
    </row>
    <row r="82" spans="1:8" x14ac:dyDescent="0.3">
      <c r="A82" s="25" t="s">
        <v>1417</v>
      </c>
      <c r="B82" s="41" t="s">
        <v>45</v>
      </c>
      <c r="C82" s="87">
        <v>2</v>
      </c>
      <c r="D82" s="41" t="s">
        <v>48</v>
      </c>
      <c r="E82" s="87">
        <v>2</v>
      </c>
      <c r="F82" t="s">
        <v>1418</v>
      </c>
      <c r="G82">
        <f>IF(OR(C82="",E82=""),"",C82+E82)</f>
        <v>4</v>
      </c>
    </row>
    <row r="83" spans="1:8" x14ac:dyDescent="0.3">
      <c r="A83" s="25" t="s">
        <v>1419</v>
      </c>
      <c r="B83" t="s">
        <v>429</v>
      </c>
      <c r="C83" s="111" t="str">
        <f>IF(G82="","",IF(G82&gt;=3,"Green",IF(G82=2,"Meio Red","Red")))</f>
        <v>Green</v>
      </c>
      <c r="D83" t="s">
        <v>1387</v>
      </c>
      <c r="E83" s="83">
        <f>IF(C83="","",IF(C83="Green",F81*(D81-1),IF(C83="Red",-F81,IF(C83="Meio Green",F81*(D81-1)/2,IF(C83="Meio Red",-F81/2,IF(C83="Devolvida",0,""))))))</f>
        <v>9.4999999999999973E-2</v>
      </c>
      <c r="F83" s="231"/>
      <c r="G83" s="231"/>
      <c r="H83" s="231"/>
    </row>
    <row r="85" spans="1:8" ht="17.399999999999999" x14ac:dyDescent="0.35">
      <c r="A85" s="254">
        <v>46242</v>
      </c>
      <c r="B85" s="257"/>
      <c r="C85" s="255" t="s">
        <v>1552</v>
      </c>
      <c r="D85" s="255"/>
      <c r="E85" s="255"/>
      <c r="F85" s="255"/>
      <c r="G85" s="255"/>
      <c r="H85" s="255"/>
    </row>
    <row r="86" spans="1:8" x14ac:dyDescent="0.3">
      <c r="A86" s="256" t="s">
        <v>885</v>
      </c>
      <c r="B86" s="256"/>
      <c r="C86" s="256"/>
      <c r="D86" s="256"/>
      <c r="E86" s="256" t="s">
        <v>1415</v>
      </c>
      <c r="F86" s="256"/>
      <c r="G86" s="256" t="s">
        <v>1416</v>
      </c>
      <c r="H86" s="256"/>
    </row>
    <row r="87" spans="1:8" x14ac:dyDescent="0.3">
      <c r="A87" s="25" t="s">
        <v>1402</v>
      </c>
      <c r="B87" s="234" t="s">
        <v>1553</v>
      </c>
      <c r="C87" s="234"/>
      <c r="D87" s="234"/>
      <c r="E87" s="81" t="s">
        <v>1403</v>
      </c>
      <c r="F87" s="81" t="s">
        <v>1393</v>
      </c>
      <c r="G87" s="81" t="s">
        <v>804</v>
      </c>
      <c r="H87" s="81" t="s">
        <v>1394</v>
      </c>
    </row>
    <row r="88" spans="1:8" x14ac:dyDescent="0.3">
      <c r="A88" s="25" t="s">
        <v>1404</v>
      </c>
      <c r="B88" s="234" t="s">
        <v>1554</v>
      </c>
      <c r="C88" s="234"/>
      <c r="D88" s="234"/>
      <c r="E88" s="234"/>
      <c r="F88" s="234"/>
      <c r="G88" s="234"/>
      <c r="H88" s="234"/>
    </row>
    <row r="89" spans="1:8" x14ac:dyDescent="0.3">
      <c r="A89" s="25" t="s">
        <v>1405</v>
      </c>
      <c r="B89" s="234" t="s">
        <v>1470</v>
      </c>
      <c r="C89" s="234"/>
      <c r="D89" s="81" t="s">
        <v>803</v>
      </c>
      <c r="E89" s="234" t="s">
        <v>1555</v>
      </c>
      <c r="F89" s="234"/>
      <c r="G89" s="234"/>
      <c r="H89" s="234"/>
    </row>
    <row r="90" spans="1:8" x14ac:dyDescent="0.3">
      <c r="A90" s="25" t="s">
        <v>1406</v>
      </c>
      <c r="B90" t="s">
        <v>1391</v>
      </c>
      <c r="C90" t="s">
        <v>53</v>
      </c>
      <c r="D90" s="80">
        <v>1.1499999999999999</v>
      </c>
      <c r="E90" t="s">
        <v>54</v>
      </c>
      <c r="F90" s="83">
        <v>0.5</v>
      </c>
      <c r="G90" t="s">
        <v>1388</v>
      </c>
      <c r="H90" t="str">
        <f>IF(C91="","Pendente","Finalizado")</f>
        <v>Finalizado</v>
      </c>
    </row>
    <row r="91" spans="1:8" x14ac:dyDescent="0.3">
      <c r="A91" s="25" t="s">
        <v>1417</v>
      </c>
      <c r="B91" s="41" t="s">
        <v>45</v>
      </c>
      <c r="C91" s="87">
        <v>2</v>
      </c>
      <c r="D91" s="41" t="s">
        <v>48</v>
      </c>
      <c r="E91" s="87">
        <v>0</v>
      </c>
      <c r="F91" t="s">
        <v>1418</v>
      </c>
      <c r="G91">
        <f>IF(OR(C91="",E91=""),"",C91+E91)</f>
        <v>2</v>
      </c>
    </row>
    <row r="92" spans="1:8" x14ac:dyDescent="0.3">
      <c r="A92" s="25" t="s">
        <v>1419</v>
      </c>
      <c r="B92" t="s">
        <v>429</v>
      </c>
      <c r="C92" s="111" t="str">
        <f>IF(G91="","",IF(G91&gt;2,"Green",IF(G91=2,"Devolvida","Red")))</f>
        <v>Devolvida</v>
      </c>
      <c r="D92" t="s">
        <v>1387</v>
      </c>
      <c r="E92" s="83">
        <f>IF(C92="","",IF(C92="Green",F90*(D90-1),IF(C92="Red",-F90,IF(C92="Meio Green",F90*(D90-1)/2,IF(C92="Meio Red",-F90/2,IF(C92="Devolvida",0,""))))))</f>
        <v>0</v>
      </c>
      <c r="F92" s="231"/>
      <c r="G92" s="231"/>
      <c r="H92" s="231"/>
    </row>
    <row r="94" spans="1:8" ht="17.399999999999999" x14ac:dyDescent="0.35">
      <c r="A94" s="254">
        <v>46242</v>
      </c>
      <c r="B94" s="257"/>
      <c r="C94" s="255" t="s">
        <v>1556</v>
      </c>
      <c r="D94" s="255"/>
      <c r="E94" s="255"/>
      <c r="F94" s="255"/>
      <c r="G94" s="255"/>
      <c r="H94" s="255"/>
    </row>
    <row r="95" spans="1:8" x14ac:dyDescent="0.3">
      <c r="A95" s="256" t="s">
        <v>848</v>
      </c>
      <c r="B95" s="256"/>
      <c r="C95" s="256"/>
      <c r="D95" s="256"/>
      <c r="E95" s="256" t="s">
        <v>1415</v>
      </c>
      <c r="F95" s="256"/>
      <c r="G95" s="256" t="s">
        <v>1416</v>
      </c>
      <c r="H95" s="256"/>
    </row>
    <row r="96" spans="1:8" x14ac:dyDescent="0.3">
      <c r="A96" s="25" t="s">
        <v>1402</v>
      </c>
      <c r="B96" s="234" t="s">
        <v>1557</v>
      </c>
      <c r="C96" s="234"/>
      <c r="D96" s="234"/>
      <c r="E96" s="81" t="s">
        <v>1403</v>
      </c>
      <c r="F96" s="81" t="s">
        <v>1389</v>
      </c>
      <c r="G96" s="81" t="s">
        <v>804</v>
      </c>
      <c r="H96" s="81" t="s">
        <v>1390</v>
      </c>
    </row>
    <row r="97" spans="1:8" x14ac:dyDescent="0.3">
      <c r="A97" s="25" t="s">
        <v>1404</v>
      </c>
      <c r="B97" s="234" t="s">
        <v>1558</v>
      </c>
      <c r="C97" s="234"/>
      <c r="D97" s="234"/>
      <c r="E97" s="234"/>
      <c r="F97" s="234"/>
      <c r="G97" s="234"/>
      <c r="H97" s="234"/>
    </row>
    <row r="98" spans="1:8" x14ac:dyDescent="0.3">
      <c r="A98" s="25" t="s">
        <v>1405</v>
      </c>
      <c r="B98" s="234" t="s">
        <v>1560</v>
      </c>
      <c r="C98" s="234"/>
      <c r="D98" s="81" t="s">
        <v>803</v>
      </c>
      <c r="E98" s="234" t="s">
        <v>1561</v>
      </c>
      <c r="F98" s="234"/>
      <c r="G98" s="234"/>
      <c r="H98" s="234"/>
    </row>
    <row r="99" spans="1:8" x14ac:dyDescent="0.3">
      <c r="A99" s="25" t="s">
        <v>1406</v>
      </c>
      <c r="B99" t="s">
        <v>1481</v>
      </c>
      <c r="C99" t="s">
        <v>53</v>
      </c>
      <c r="D99" s="80">
        <v>1.18</v>
      </c>
      <c r="E99" t="s">
        <v>54</v>
      </c>
      <c r="F99" s="83">
        <v>0.5</v>
      </c>
      <c r="G99" t="s">
        <v>1388</v>
      </c>
      <c r="H99" t="str">
        <f>IF(C100="","Pendente","Finalizado")</f>
        <v>Finalizado</v>
      </c>
    </row>
    <row r="100" spans="1:8" x14ac:dyDescent="0.3">
      <c r="A100" s="25" t="s">
        <v>1417</v>
      </c>
      <c r="B100" s="41" t="s">
        <v>45</v>
      </c>
      <c r="C100" s="87">
        <v>0</v>
      </c>
      <c r="D100" s="41" t="s">
        <v>48</v>
      </c>
      <c r="E100" s="87">
        <v>3</v>
      </c>
      <c r="F100" t="s">
        <v>1418</v>
      </c>
      <c r="G100">
        <f>IF(OR(C100="",E100=""),"",C100+E100)</f>
        <v>3</v>
      </c>
    </row>
    <row r="101" spans="1:8" x14ac:dyDescent="0.3">
      <c r="A101" s="25" t="s">
        <v>1419</v>
      </c>
      <c r="B101" t="s">
        <v>429</v>
      </c>
      <c r="C101" s="111" t="str">
        <f>IF(G100="","",IF(G100&gt;=3,"Green",IF(G100=2,"Meio Red","Red")))</f>
        <v>Green</v>
      </c>
      <c r="D101" t="s">
        <v>1387</v>
      </c>
      <c r="E101" s="83">
        <f>IF(C101="","",IF(C101="Green",F99*(D99-1),IF(C101="Red",-F99,IF(C101="Meio Green",F99*(D99-1)/2,IF(C101="Meio Red",-F99/2,IF(C101="Devolvida",0,""))))))</f>
        <v>8.9999999999999969E-2</v>
      </c>
      <c r="F101" s="231"/>
      <c r="G101" s="231"/>
      <c r="H101" s="231"/>
    </row>
    <row r="103" spans="1:8" ht="17.399999999999999" x14ac:dyDescent="0.35">
      <c r="A103" s="254">
        <v>46242</v>
      </c>
      <c r="B103" s="257"/>
      <c r="C103" s="255" t="s">
        <v>1570</v>
      </c>
      <c r="D103" s="255"/>
      <c r="E103" s="255"/>
      <c r="F103" s="255"/>
      <c r="G103" s="255"/>
      <c r="H103" s="255"/>
    </row>
    <row r="104" spans="1:8" x14ac:dyDescent="0.3">
      <c r="A104" s="256" t="s">
        <v>848</v>
      </c>
      <c r="B104" s="256"/>
      <c r="C104" s="256"/>
      <c r="D104" s="256"/>
      <c r="E104" s="256" t="s">
        <v>1415</v>
      </c>
      <c r="F104" s="256"/>
      <c r="G104" s="256" t="s">
        <v>1416</v>
      </c>
      <c r="H104" s="256"/>
    </row>
    <row r="105" spans="1:8" x14ac:dyDescent="0.3">
      <c r="A105" s="25" t="s">
        <v>1402</v>
      </c>
      <c r="B105" s="234" t="s">
        <v>1571</v>
      </c>
      <c r="C105" s="234"/>
      <c r="D105" s="234"/>
      <c r="E105" s="81" t="s">
        <v>1403</v>
      </c>
      <c r="F105" s="81" t="s">
        <v>1572</v>
      </c>
      <c r="G105" s="81" t="s">
        <v>804</v>
      </c>
      <c r="H105" s="81" t="s">
        <v>1573</v>
      </c>
    </row>
    <row r="106" spans="1:8" x14ac:dyDescent="0.3">
      <c r="A106" s="25" t="s">
        <v>1404</v>
      </c>
      <c r="B106" s="234" t="s">
        <v>1558</v>
      </c>
      <c r="C106" s="234"/>
      <c r="D106" s="234"/>
      <c r="E106" s="234"/>
      <c r="F106" s="234"/>
      <c r="G106" s="234"/>
      <c r="H106" s="234"/>
    </row>
    <row r="107" spans="1:8" x14ac:dyDescent="0.3">
      <c r="A107" s="25" t="s">
        <v>1405</v>
      </c>
      <c r="B107" s="234" t="s">
        <v>1559</v>
      </c>
      <c r="C107" s="234"/>
      <c r="D107" s="81" t="s">
        <v>803</v>
      </c>
      <c r="E107" s="234" t="s">
        <v>1574</v>
      </c>
      <c r="F107" s="234"/>
      <c r="G107" s="234"/>
      <c r="H107" s="234"/>
    </row>
    <row r="108" spans="1:8" x14ac:dyDescent="0.3">
      <c r="A108" s="25" t="s">
        <v>1406</v>
      </c>
      <c r="B108" t="s">
        <v>1389</v>
      </c>
      <c r="C108" t="s">
        <v>53</v>
      </c>
      <c r="D108" s="80">
        <v>1.2749999999999999</v>
      </c>
      <c r="E108" t="s">
        <v>54</v>
      </c>
      <c r="F108" s="83">
        <v>0.5</v>
      </c>
      <c r="G108" t="s">
        <v>1388</v>
      </c>
      <c r="H108" t="str">
        <f>IF(C109="","Pendente","Finalizado")</f>
        <v>Finalizado</v>
      </c>
    </row>
    <row r="109" spans="1:8" x14ac:dyDescent="0.3">
      <c r="A109" s="25" t="s">
        <v>1417</v>
      </c>
      <c r="B109" s="41" t="s">
        <v>45</v>
      </c>
      <c r="C109" s="87">
        <v>2</v>
      </c>
      <c r="D109" s="41" t="s">
        <v>48</v>
      </c>
      <c r="E109" s="87">
        <v>1</v>
      </c>
      <c r="F109" t="s">
        <v>1418</v>
      </c>
      <c r="G109">
        <f>IF(OR(C109="",E109=""),"",C109+E109)</f>
        <v>3</v>
      </c>
    </row>
    <row r="110" spans="1:8" x14ac:dyDescent="0.3">
      <c r="A110" s="25" t="s">
        <v>1419</v>
      </c>
      <c r="B110" t="s">
        <v>429</v>
      </c>
      <c r="C110" s="111" t="str">
        <f>IF(G109="","",IF(G109&gt;2.5,"Green","Red"))</f>
        <v>Green</v>
      </c>
      <c r="D110" t="s">
        <v>1387</v>
      </c>
      <c r="E110" s="83">
        <f>IF(C110="","",IF(C110="Green",F108*(D108-1),IF(C110="Red",-F108,IF(C110="Meio Green",F108*(D108-1)/2,IF(C110="Meio Red",-F108/2,IF(C110="Devolvida",0,""))))))</f>
        <v>0.13749999999999996</v>
      </c>
      <c r="F110" s="231"/>
      <c r="G110" s="231"/>
      <c r="H110" s="231"/>
    </row>
    <row r="112" spans="1:8" ht="17.399999999999999" x14ac:dyDescent="0.35">
      <c r="A112" s="254">
        <v>46242</v>
      </c>
      <c r="B112" s="257"/>
      <c r="C112" s="255" t="s">
        <v>1654</v>
      </c>
      <c r="D112" s="255"/>
      <c r="E112" s="255"/>
      <c r="F112" s="255"/>
      <c r="G112" s="255"/>
      <c r="H112" s="255"/>
    </row>
    <row r="113" spans="1:8" x14ac:dyDescent="0.3">
      <c r="A113" s="256" t="s">
        <v>1377</v>
      </c>
      <c r="B113" s="256"/>
      <c r="C113" s="256"/>
      <c r="D113" s="256"/>
      <c r="E113" s="256" t="s">
        <v>1415</v>
      </c>
      <c r="F113" s="256"/>
      <c r="G113" s="256" t="s">
        <v>1655</v>
      </c>
      <c r="H113" s="256"/>
    </row>
    <row r="114" spans="1:8" x14ac:dyDescent="0.3">
      <c r="A114" s="25" t="s">
        <v>1402</v>
      </c>
      <c r="B114" s="234" t="s">
        <v>1660</v>
      </c>
      <c r="C114" s="234"/>
      <c r="D114" s="234"/>
      <c r="E114" s="81" t="s">
        <v>1403</v>
      </c>
      <c r="F114" s="81" t="s">
        <v>1393</v>
      </c>
      <c r="G114" s="81" t="s">
        <v>804</v>
      </c>
      <c r="H114" s="81" t="s">
        <v>1394</v>
      </c>
    </row>
    <row r="115" spans="1:8" x14ac:dyDescent="0.3">
      <c r="A115" s="25" t="s">
        <v>1404</v>
      </c>
      <c r="B115" s="234" t="s">
        <v>1661</v>
      </c>
      <c r="C115" s="234"/>
      <c r="D115" s="234"/>
      <c r="E115" s="234"/>
      <c r="F115" s="234"/>
      <c r="G115" s="234"/>
      <c r="H115" s="234"/>
    </row>
    <row r="116" spans="1:8" x14ac:dyDescent="0.3">
      <c r="A116" s="25" t="s">
        <v>1405</v>
      </c>
      <c r="B116" s="234" t="s">
        <v>1662</v>
      </c>
      <c r="C116" s="234"/>
      <c r="D116" s="81" t="s">
        <v>803</v>
      </c>
      <c r="E116" s="234" t="s">
        <v>1663</v>
      </c>
      <c r="F116" s="234"/>
      <c r="G116" s="234"/>
      <c r="H116" s="234"/>
    </row>
    <row r="117" spans="1:8" x14ac:dyDescent="0.3">
      <c r="A117" s="25" t="s">
        <v>1406</v>
      </c>
      <c r="B117" t="s">
        <v>1393</v>
      </c>
      <c r="C117" t="s">
        <v>53</v>
      </c>
      <c r="D117" s="80">
        <v>1.175</v>
      </c>
      <c r="E117" t="s">
        <v>54</v>
      </c>
      <c r="F117" s="83">
        <v>0.5</v>
      </c>
      <c r="G117" t="s">
        <v>1388</v>
      </c>
      <c r="H117" t="str">
        <f>IF(C118="","Pendente","Finalizado")</f>
        <v>Finalizado</v>
      </c>
    </row>
    <row r="118" spans="1:8" x14ac:dyDescent="0.3">
      <c r="A118" s="25" t="s">
        <v>1417</v>
      </c>
      <c r="B118" s="41" t="s">
        <v>45</v>
      </c>
      <c r="C118" s="87">
        <v>2</v>
      </c>
      <c r="D118" s="41" t="s">
        <v>48</v>
      </c>
      <c r="E118" s="87">
        <v>1</v>
      </c>
      <c r="F118" t="s">
        <v>1418</v>
      </c>
      <c r="G118">
        <f>IF(OR(C118="",E118=""),"",C118+E118)</f>
        <v>3</v>
      </c>
    </row>
    <row r="119" spans="1:8" x14ac:dyDescent="0.3">
      <c r="A119" s="25" t="s">
        <v>1419</v>
      </c>
      <c r="B119" t="s">
        <v>429</v>
      </c>
      <c r="C119" s="111" t="str">
        <f>IF(G118="","",IF(G118&gt;1.5,"Green","Red"))</f>
        <v>Green</v>
      </c>
      <c r="D119" t="s">
        <v>1387</v>
      </c>
      <c r="E119" s="83">
        <f>IF(C119="","",IF(C119="Green",F117*(D117-1),IF(C119="Red",-F117,IF(C119="Meio Green",F117*(D117-1)/2,IF(C119="Meio Red",-F117/2,IF(C119="Devolvida",0,""))))))</f>
        <v>8.7500000000000022E-2</v>
      </c>
      <c r="F119" s="231"/>
      <c r="G119" s="231"/>
      <c r="H119" s="231"/>
    </row>
    <row r="121" spans="1:8" ht="17.399999999999999" x14ac:dyDescent="0.35">
      <c r="A121" s="254">
        <v>46242</v>
      </c>
      <c r="B121" s="257"/>
      <c r="C121" s="255" t="s">
        <v>1656</v>
      </c>
      <c r="D121" s="255"/>
      <c r="E121" s="255"/>
      <c r="F121" s="255"/>
      <c r="G121" s="255"/>
      <c r="H121" s="255"/>
    </row>
    <row r="122" spans="1:8" x14ac:dyDescent="0.3">
      <c r="A122" s="256" t="s">
        <v>1377</v>
      </c>
      <c r="B122" s="256"/>
      <c r="C122" s="256"/>
      <c r="D122" s="256"/>
      <c r="E122" s="256" t="s">
        <v>1415</v>
      </c>
      <c r="F122" s="256"/>
      <c r="G122" s="256" t="s">
        <v>1657</v>
      </c>
      <c r="H122" s="256"/>
    </row>
    <row r="123" spans="1:8" x14ac:dyDescent="0.3">
      <c r="A123" s="25" t="s">
        <v>1402</v>
      </c>
      <c r="B123" s="234" t="s">
        <v>1664</v>
      </c>
      <c r="C123" s="234"/>
      <c r="D123" s="234"/>
      <c r="E123" s="81" t="s">
        <v>1403</v>
      </c>
      <c r="F123" s="81" t="s">
        <v>1393</v>
      </c>
      <c r="G123" s="81" t="s">
        <v>804</v>
      </c>
      <c r="H123" s="81" t="s">
        <v>1394</v>
      </c>
    </row>
    <row r="124" spans="1:8" x14ac:dyDescent="0.3">
      <c r="A124" s="25" t="s">
        <v>1404</v>
      </c>
      <c r="B124" s="234" t="s">
        <v>1665</v>
      </c>
      <c r="C124" s="234"/>
      <c r="D124" s="234"/>
      <c r="E124" s="234"/>
      <c r="F124" s="234"/>
      <c r="G124" s="234"/>
      <c r="H124" s="234"/>
    </row>
    <row r="125" spans="1:8" x14ac:dyDescent="0.3">
      <c r="A125" s="25" t="s">
        <v>1405</v>
      </c>
      <c r="B125" s="234" t="s">
        <v>1666</v>
      </c>
      <c r="C125" s="234"/>
      <c r="D125" s="81" t="s">
        <v>803</v>
      </c>
      <c r="E125" s="234" t="s">
        <v>1663</v>
      </c>
      <c r="F125" s="234"/>
      <c r="G125" s="234"/>
      <c r="H125" s="234"/>
    </row>
    <row r="126" spans="1:8" x14ac:dyDescent="0.3">
      <c r="A126" s="25" t="s">
        <v>1406</v>
      </c>
      <c r="B126" t="s">
        <v>1393</v>
      </c>
      <c r="C126" t="s">
        <v>53</v>
      </c>
      <c r="D126" s="80">
        <v>1.1000000000000001</v>
      </c>
      <c r="E126" t="s">
        <v>54</v>
      </c>
      <c r="F126" s="83">
        <v>0.5</v>
      </c>
      <c r="G126" t="s">
        <v>1388</v>
      </c>
      <c r="H126" t="str">
        <f>IF(C127="","Pendente","Finalizado")</f>
        <v>Finalizado</v>
      </c>
    </row>
    <row r="127" spans="1:8" x14ac:dyDescent="0.3">
      <c r="A127" s="25" t="s">
        <v>1417</v>
      </c>
      <c r="B127" s="41" t="s">
        <v>45</v>
      </c>
      <c r="C127" s="87">
        <v>1</v>
      </c>
      <c r="D127" s="41" t="s">
        <v>48</v>
      </c>
      <c r="E127" s="87">
        <v>2</v>
      </c>
      <c r="F127" t="s">
        <v>1418</v>
      </c>
      <c r="G127">
        <f>IF(OR(C127="",E127=""),"",C127+E127)</f>
        <v>3</v>
      </c>
    </row>
    <row r="128" spans="1:8" x14ac:dyDescent="0.3">
      <c r="A128" s="25" t="s">
        <v>1419</v>
      </c>
      <c r="B128" t="s">
        <v>429</v>
      </c>
      <c r="C128" s="111" t="str">
        <f>IF(G127="","",IF(G127&gt;1.5,"Green","Red"))</f>
        <v>Green</v>
      </c>
      <c r="D128" t="s">
        <v>1387</v>
      </c>
      <c r="E128" s="83">
        <f>IF(C128="","",IF(C128="Green",F126*(D126-1),IF(C128="Red",-F126,IF(C128="Meio Green",F126*(D126-1)/2,IF(C128="Meio Red",-F126/2,IF(C128="Devolvida",0,""))))))</f>
        <v>5.0000000000000044E-2</v>
      </c>
      <c r="F128" s="231"/>
      <c r="G128" s="231"/>
      <c r="H128" s="231"/>
    </row>
    <row r="130" spans="1:8" ht="17.399999999999999" x14ac:dyDescent="0.35">
      <c r="A130" s="254">
        <v>46242</v>
      </c>
      <c r="B130" s="257"/>
      <c r="C130" s="255" t="s">
        <v>1658</v>
      </c>
      <c r="D130" s="255"/>
      <c r="E130" s="255"/>
      <c r="F130" s="255"/>
      <c r="G130" s="255"/>
      <c r="H130" s="255"/>
    </row>
    <row r="131" spans="1:8" x14ac:dyDescent="0.3">
      <c r="A131" s="256" t="s">
        <v>1377</v>
      </c>
      <c r="B131" s="256"/>
      <c r="C131" s="256"/>
      <c r="D131" s="256"/>
      <c r="E131" s="256" t="s">
        <v>1415</v>
      </c>
      <c r="F131" s="256"/>
      <c r="G131" s="256" t="s">
        <v>1659</v>
      </c>
      <c r="H131" s="256"/>
    </row>
    <row r="132" spans="1:8" x14ac:dyDescent="0.3">
      <c r="A132" s="25" t="s">
        <v>1402</v>
      </c>
      <c r="B132" s="234" t="s">
        <v>1667</v>
      </c>
      <c r="C132" s="234"/>
      <c r="D132" s="234"/>
      <c r="E132" s="81" t="s">
        <v>1403</v>
      </c>
      <c r="F132" s="81" t="s">
        <v>1393</v>
      </c>
      <c r="G132" s="81" t="s">
        <v>804</v>
      </c>
      <c r="H132" s="81" t="s">
        <v>1394</v>
      </c>
    </row>
    <row r="133" spans="1:8" x14ac:dyDescent="0.3">
      <c r="A133" s="25" t="s">
        <v>1404</v>
      </c>
      <c r="B133" s="234" t="s">
        <v>1668</v>
      </c>
      <c r="C133" s="234"/>
      <c r="D133" s="234"/>
      <c r="E133" s="234"/>
      <c r="F133" s="234"/>
      <c r="G133" s="234"/>
      <c r="H133" s="234"/>
    </row>
    <row r="134" spans="1:8" x14ac:dyDescent="0.3">
      <c r="A134" s="25" t="s">
        <v>1405</v>
      </c>
      <c r="B134" s="234" t="s">
        <v>1669</v>
      </c>
      <c r="C134" s="234"/>
      <c r="D134" s="81" t="s">
        <v>803</v>
      </c>
      <c r="E134" s="234" t="s">
        <v>1663</v>
      </c>
      <c r="F134" s="234"/>
      <c r="G134" s="234"/>
      <c r="H134" s="234"/>
    </row>
    <row r="135" spans="1:8" x14ac:dyDescent="0.3">
      <c r="A135" s="25" t="s">
        <v>1406</v>
      </c>
      <c r="B135" t="s">
        <v>1393</v>
      </c>
      <c r="C135" t="s">
        <v>53</v>
      </c>
      <c r="D135" s="80">
        <v>1.18</v>
      </c>
      <c r="E135" t="s">
        <v>54</v>
      </c>
      <c r="F135" s="83">
        <v>0.5</v>
      </c>
      <c r="G135" t="s">
        <v>1388</v>
      </c>
      <c r="H135" t="str">
        <f>IF(C136="","Pendente","Finalizado")</f>
        <v>Finalizado</v>
      </c>
    </row>
    <row r="136" spans="1:8" x14ac:dyDescent="0.3">
      <c r="A136" s="25" t="s">
        <v>1417</v>
      </c>
      <c r="B136" s="41" t="s">
        <v>45</v>
      </c>
      <c r="C136" s="87">
        <v>2</v>
      </c>
      <c r="D136" s="41" t="s">
        <v>48</v>
      </c>
      <c r="E136" s="87">
        <v>4</v>
      </c>
      <c r="F136" t="s">
        <v>1418</v>
      </c>
      <c r="G136">
        <f>IF(OR(C136="",E136=""),"",C136+E136)</f>
        <v>6</v>
      </c>
    </row>
    <row r="137" spans="1:8" x14ac:dyDescent="0.3">
      <c r="A137" s="25" t="s">
        <v>1419</v>
      </c>
      <c r="B137" t="s">
        <v>429</v>
      </c>
      <c r="C137" s="111" t="str">
        <f>IF(G136="","",IF(G136&gt;1.5,"Green","Red"))</f>
        <v>Green</v>
      </c>
      <c r="D137" t="s">
        <v>1387</v>
      </c>
      <c r="E137" s="83">
        <f>IF(C137="","",IF(C137="Green",F135*(D135-1),IF(C137="Red",-F135,IF(C137="Meio Green",F135*(D135-1)/2,IF(C137="Meio Red",-F135/2,IF(C137="Devolvida",0,""))))))</f>
        <v>8.9999999999999969E-2</v>
      </c>
      <c r="F137" s="231"/>
      <c r="G137" s="231"/>
      <c r="H137" s="231"/>
    </row>
    <row r="139" spans="1:8" ht="17.399999999999999" x14ac:dyDescent="0.35">
      <c r="A139" s="254">
        <v>46242</v>
      </c>
      <c r="B139" s="257"/>
      <c r="C139" s="255" t="s">
        <v>1865</v>
      </c>
      <c r="D139" s="255"/>
      <c r="E139" s="255"/>
      <c r="F139" s="255"/>
      <c r="G139" s="255"/>
      <c r="H139" s="255"/>
    </row>
    <row r="140" spans="1:8" x14ac:dyDescent="0.3">
      <c r="A140" s="256" t="s">
        <v>1378</v>
      </c>
      <c r="B140" s="256"/>
      <c r="C140" s="256"/>
      <c r="D140" s="256"/>
      <c r="E140" s="256" t="s">
        <v>1415</v>
      </c>
      <c r="F140" s="256"/>
      <c r="G140" s="256" t="s">
        <v>1655</v>
      </c>
      <c r="H140" s="256"/>
    </row>
    <row r="141" spans="1:8" x14ac:dyDescent="0.3">
      <c r="A141" s="25" t="s">
        <v>1402</v>
      </c>
      <c r="B141" s="234" t="s">
        <v>1866</v>
      </c>
      <c r="C141" s="234"/>
      <c r="D141" s="234"/>
      <c r="E141" s="81" t="s">
        <v>1403</v>
      </c>
      <c r="F141" s="81" t="s">
        <v>1867</v>
      </c>
      <c r="G141" s="81" t="s">
        <v>804</v>
      </c>
      <c r="H141" s="81" t="s">
        <v>1868</v>
      </c>
    </row>
    <row r="142" spans="1:8" x14ac:dyDescent="0.3">
      <c r="A142" s="25" t="s">
        <v>1404</v>
      </c>
      <c r="B142" s="234" t="s">
        <v>1869</v>
      </c>
      <c r="C142" s="234"/>
      <c r="D142" s="234"/>
      <c r="E142" s="234"/>
      <c r="F142" s="234"/>
      <c r="G142" s="234"/>
      <c r="H142" s="234"/>
    </row>
    <row r="143" spans="1:8" x14ac:dyDescent="0.3">
      <c r="A143" s="25" t="s">
        <v>1405</v>
      </c>
      <c r="B143" s="234" t="s">
        <v>1870</v>
      </c>
      <c r="C143" s="234"/>
      <c r="D143" s="81" t="s">
        <v>803</v>
      </c>
      <c r="E143" s="234" t="s">
        <v>1871</v>
      </c>
      <c r="F143" s="234"/>
      <c r="G143" s="234"/>
      <c r="H143" s="234"/>
    </row>
    <row r="144" spans="1:8" x14ac:dyDescent="0.3">
      <c r="A144" s="25" t="s">
        <v>1406</v>
      </c>
      <c r="B144" t="s">
        <v>1872</v>
      </c>
      <c r="C144" t="s">
        <v>53</v>
      </c>
      <c r="D144" s="80">
        <v>1.1299999999999999</v>
      </c>
      <c r="E144" t="s">
        <v>54</v>
      </c>
      <c r="F144" s="83">
        <v>0.5</v>
      </c>
      <c r="G144" t="s">
        <v>1388</v>
      </c>
      <c r="H144" t="str">
        <f>IF(C145="","Pendente","Finalizado")</f>
        <v>Finalizado</v>
      </c>
    </row>
    <row r="145" spans="1:8" x14ac:dyDescent="0.3">
      <c r="A145" s="25" t="s">
        <v>1417</v>
      </c>
      <c r="B145" s="41" t="s">
        <v>45</v>
      </c>
      <c r="C145" s="87">
        <v>2</v>
      </c>
      <c r="D145" s="41" t="s">
        <v>48</v>
      </c>
      <c r="E145" s="87">
        <v>1</v>
      </c>
      <c r="F145" t="s">
        <v>1418</v>
      </c>
      <c r="G145">
        <f>IF(OR(C145="",E145=""),"",C145+E145)</f>
        <v>3</v>
      </c>
    </row>
    <row r="146" spans="1:8" x14ac:dyDescent="0.3">
      <c r="A146" s="25" t="s">
        <v>1419</v>
      </c>
      <c r="B146" t="s">
        <v>429</v>
      </c>
      <c r="C146" s="111" t="str">
        <f>IF(G145="","",IF(G145&gt;1,"Green",IF(G145=1,"Devolvida","Red")))</f>
        <v>Green</v>
      </c>
      <c r="D146" t="s">
        <v>1387</v>
      </c>
      <c r="E146" s="83">
        <f>IF(OR(C146="",D144=""),"",IF(C146="Green",F144*(D144-1),IF(C146="Red",-F144,IF(C146="Meio Green",F144*(D144-1)/2,IF(C146="Meio Red",-F144/2,IF(C146="Devolvida",0,""))))))</f>
        <v>6.4999999999999947E-2</v>
      </c>
      <c r="F146" s="231"/>
      <c r="G146" s="231"/>
      <c r="H146" s="231"/>
    </row>
    <row r="148" spans="1:8" ht="17.399999999999999" x14ac:dyDescent="0.35">
      <c r="A148" s="254">
        <v>46242</v>
      </c>
      <c r="B148" s="257"/>
      <c r="C148" s="255" t="s">
        <v>1873</v>
      </c>
      <c r="D148" s="255"/>
      <c r="E148" s="255"/>
      <c r="F148" s="255"/>
      <c r="G148" s="255"/>
      <c r="H148" s="255"/>
    </row>
    <row r="149" spans="1:8" x14ac:dyDescent="0.3">
      <c r="A149" s="256" t="s">
        <v>1378</v>
      </c>
      <c r="B149" s="256"/>
      <c r="C149" s="256"/>
      <c r="D149" s="256"/>
      <c r="E149" s="256" t="s">
        <v>1415</v>
      </c>
      <c r="F149" s="256"/>
      <c r="G149" s="256" t="s">
        <v>1874</v>
      </c>
      <c r="H149" s="256"/>
    </row>
    <row r="150" spans="1:8" x14ac:dyDescent="0.3">
      <c r="A150" s="25" t="s">
        <v>1402</v>
      </c>
      <c r="B150" s="234" t="s">
        <v>1875</v>
      </c>
      <c r="C150" s="234"/>
      <c r="D150" s="234"/>
      <c r="E150" s="81" t="s">
        <v>1403</v>
      </c>
      <c r="F150" s="81" t="s">
        <v>1867</v>
      </c>
      <c r="G150" s="81" t="s">
        <v>804</v>
      </c>
      <c r="H150" s="81" t="s">
        <v>1868</v>
      </c>
    </row>
    <row r="151" spans="1:8" x14ac:dyDescent="0.3">
      <c r="A151" s="25" t="s">
        <v>1404</v>
      </c>
      <c r="B151" s="234" t="s">
        <v>1876</v>
      </c>
      <c r="C151" s="234"/>
      <c r="D151" s="234"/>
      <c r="E151" s="234"/>
      <c r="F151" s="234"/>
      <c r="G151" s="234"/>
      <c r="H151" s="234"/>
    </row>
    <row r="152" spans="1:8" x14ac:dyDescent="0.3">
      <c r="A152" s="25" t="s">
        <v>1405</v>
      </c>
      <c r="B152" s="234" t="s">
        <v>1877</v>
      </c>
      <c r="C152" s="234"/>
      <c r="D152" s="81" t="s">
        <v>803</v>
      </c>
      <c r="E152" s="234" t="s">
        <v>1871</v>
      </c>
      <c r="F152" s="234"/>
      <c r="G152" s="234"/>
      <c r="H152" s="234"/>
    </row>
    <row r="153" spans="1:8" x14ac:dyDescent="0.3">
      <c r="A153" s="25" t="s">
        <v>1406</v>
      </c>
      <c r="B153" t="s">
        <v>1872</v>
      </c>
      <c r="C153" t="s">
        <v>53</v>
      </c>
      <c r="D153" s="80">
        <v>1.1100000000000001</v>
      </c>
      <c r="E153" t="s">
        <v>54</v>
      </c>
      <c r="F153" s="83">
        <v>0.5</v>
      </c>
      <c r="G153" t="s">
        <v>1388</v>
      </c>
      <c r="H153" t="str">
        <f>IF(C154="","Pendente","Finalizado")</f>
        <v>Finalizado</v>
      </c>
    </row>
    <row r="154" spans="1:8" x14ac:dyDescent="0.3">
      <c r="A154" s="25" t="s">
        <v>1417</v>
      </c>
      <c r="B154" s="41" t="s">
        <v>45</v>
      </c>
      <c r="C154" s="87">
        <v>2</v>
      </c>
      <c r="D154" s="41" t="s">
        <v>48</v>
      </c>
      <c r="E154" s="87">
        <v>2</v>
      </c>
      <c r="F154" t="s">
        <v>1418</v>
      </c>
      <c r="G154">
        <f>IF(OR(C154="",E154=""),"",C154+E154)</f>
        <v>4</v>
      </c>
    </row>
    <row r="155" spans="1:8" x14ac:dyDescent="0.3">
      <c r="A155" s="25" t="s">
        <v>1419</v>
      </c>
      <c r="B155" t="s">
        <v>429</v>
      </c>
      <c r="C155" s="111" t="str">
        <f>IF(G154="","",IF(G154&gt;1,"Green",IF(G154=1,"Devolvida","Red")))</f>
        <v>Green</v>
      </c>
      <c r="D155" t="s">
        <v>1387</v>
      </c>
      <c r="E155" s="83">
        <f>IF(OR(C155="",D153=""),"",IF(C155="Green",F153*(D153-1),IF(C155="Red",-F153,IF(C155="Meio Green",F153*(D153-1)/2,IF(C155="Meio Red",-F153/2,IF(C155="Devolvida",0,""))))))</f>
        <v>5.5000000000000049E-2</v>
      </c>
      <c r="F155" s="231"/>
      <c r="G155" s="231"/>
      <c r="H155" s="231"/>
    </row>
    <row r="157" spans="1:8" ht="17.399999999999999" x14ac:dyDescent="0.35">
      <c r="A157" s="254">
        <v>46242</v>
      </c>
      <c r="B157" s="257"/>
      <c r="C157" s="255" t="s">
        <v>1878</v>
      </c>
      <c r="D157" s="255"/>
      <c r="E157" s="255"/>
      <c r="F157" s="255"/>
      <c r="G157" s="255"/>
      <c r="H157" s="255"/>
    </row>
    <row r="158" spans="1:8" x14ac:dyDescent="0.3">
      <c r="A158" s="256" t="s">
        <v>1378</v>
      </c>
      <c r="B158" s="256"/>
      <c r="C158" s="256"/>
      <c r="D158" s="256"/>
      <c r="E158" s="256" t="s">
        <v>1415</v>
      </c>
      <c r="F158" s="256"/>
      <c r="G158" s="256" t="s">
        <v>1659</v>
      </c>
      <c r="H158" s="256"/>
    </row>
    <row r="159" spans="1:8" x14ac:dyDescent="0.3">
      <c r="A159" s="25" t="s">
        <v>1402</v>
      </c>
      <c r="B159" s="234" t="s">
        <v>1879</v>
      </c>
      <c r="C159" s="234"/>
      <c r="D159" s="234"/>
      <c r="E159" s="81" t="s">
        <v>1403</v>
      </c>
      <c r="F159" s="81" t="s">
        <v>1393</v>
      </c>
      <c r="G159" s="81" t="s">
        <v>804</v>
      </c>
      <c r="H159" s="81" t="s">
        <v>1394</v>
      </c>
    </row>
    <row r="160" spans="1:8" x14ac:dyDescent="0.3">
      <c r="A160" s="25" t="s">
        <v>1404</v>
      </c>
      <c r="B160" s="234" t="s">
        <v>1880</v>
      </c>
      <c r="C160" s="234"/>
      <c r="D160" s="234"/>
      <c r="E160" s="234"/>
      <c r="F160" s="234"/>
      <c r="G160" s="234"/>
      <c r="H160" s="234"/>
    </row>
    <row r="161" spans="1:8" x14ac:dyDescent="0.3">
      <c r="A161" s="25" t="s">
        <v>1405</v>
      </c>
      <c r="B161" s="234" t="s">
        <v>1881</v>
      </c>
      <c r="C161" s="234"/>
      <c r="D161" s="81" t="s">
        <v>803</v>
      </c>
      <c r="E161" s="234" t="s">
        <v>1882</v>
      </c>
      <c r="F161" s="234"/>
      <c r="G161" s="234"/>
      <c r="H161" s="234"/>
    </row>
    <row r="162" spans="1:8" x14ac:dyDescent="0.3">
      <c r="A162" s="25" t="s">
        <v>1406</v>
      </c>
      <c r="B162" t="s">
        <v>1883</v>
      </c>
      <c r="C162" t="s">
        <v>53</v>
      </c>
      <c r="D162" s="80">
        <v>1.2</v>
      </c>
      <c r="E162" t="s">
        <v>54</v>
      </c>
      <c r="F162" s="83">
        <v>0.5</v>
      </c>
      <c r="G162" t="s">
        <v>1388</v>
      </c>
      <c r="H162" t="str">
        <f>IF(C163="","Pendente","Finalizado")</f>
        <v>Finalizado</v>
      </c>
    </row>
    <row r="163" spans="1:8" x14ac:dyDescent="0.3">
      <c r="A163" s="25" t="s">
        <v>1417</v>
      </c>
      <c r="B163" s="41" t="s">
        <v>45</v>
      </c>
      <c r="C163" s="87">
        <v>2</v>
      </c>
      <c r="D163" s="41" t="s">
        <v>48</v>
      </c>
      <c r="E163" s="87">
        <v>1</v>
      </c>
      <c r="F163" t="s">
        <v>1418</v>
      </c>
      <c r="G163">
        <f>IF(OR(C163="",E163=""),"",C163+E163)</f>
        <v>3</v>
      </c>
    </row>
    <row r="164" spans="1:8" x14ac:dyDescent="0.3">
      <c r="A164" s="25" t="s">
        <v>1419</v>
      </c>
      <c r="B164" t="s">
        <v>429</v>
      </c>
      <c r="C164" s="111" t="str">
        <f>IF(G163="","",IF(G163&gt;=2,"Green",IF(G163=1,"Meio Red","Red")))</f>
        <v>Green</v>
      </c>
      <c r="D164" t="s">
        <v>1387</v>
      </c>
      <c r="E164" s="83">
        <f>IF(OR(C164="",D162=""),"",IF(C164="Green",F162*(D162-1),IF(C164="Red",-F162,IF(C164="Meio Green",F162*(D162-1)/2,IF(C164="Meio Red",-F162/2,IF(C164="Devolvida",0,""))))))</f>
        <v>9.9999999999999978E-2</v>
      </c>
      <c r="F164" s="231"/>
      <c r="G164" s="231"/>
      <c r="H164" s="231"/>
    </row>
    <row r="166" spans="1:8" ht="17.399999999999999" x14ac:dyDescent="0.35">
      <c r="A166" s="254">
        <v>46242</v>
      </c>
      <c r="B166" s="257"/>
      <c r="C166" s="255" t="s">
        <v>1931</v>
      </c>
      <c r="D166" s="255"/>
      <c r="E166" s="255"/>
      <c r="F166" s="255"/>
      <c r="G166" s="255"/>
      <c r="H166" s="255"/>
    </row>
    <row r="167" spans="1:8" x14ac:dyDescent="0.3">
      <c r="A167" s="256" t="s">
        <v>1379</v>
      </c>
      <c r="B167" s="256"/>
      <c r="C167" s="256"/>
      <c r="D167" s="256"/>
      <c r="E167" s="256" t="s">
        <v>1415</v>
      </c>
      <c r="F167" s="256"/>
      <c r="G167" s="256" t="s">
        <v>1655</v>
      </c>
      <c r="H167" s="256"/>
    </row>
    <row r="168" spans="1:8" x14ac:dyDescent="0.3">
      <c r="A168" s="25" t="s">
        <v>1402</v>
      </c>
      <c r="B168" s="234" t="s">
        <v>1932</v>
      </c>
      <c r="C168" s="234"/>
      <c r="D168" s="234"/>
      <c r="E168" s="81" t="s">
        <v>1403</v>
      </c>
      <c r="F168" s="81" t="s">
        <v>1867</v>
      </c>
      <c r="G168" s="81" t="s">
        <v>804</v>
      </c>
      <c r="H168" s="81" t="s">
        <v>1868</v>
      </c>
    </row>
    <row r="169" spans="1:8" x14ac:dyDescent="0.3">
      <c r="A169" s="25" t="s">
        <v>1404</v>
      </c>
      <c r="B169" s="234" t="s">
        <v>1933</v>
      </c>
      <c r="C169" s="234"/>
      <c r="D169" s="234"/>
      <c r="E169" s="234"/>
      <c r="F169" s="234"/>
      <c r="G169" s="234"/>
      <c r="H169" s="234"/>
    </row>
    <row r="170" spans="1:8" x14ac:dyDescent="0.3">
      <c r="A170" s="25" t="s">
        <v>1405</v>
      </c>
      <c r="B170" s="234" t="s">
        <v>1934</v>
      </c>
      <c r="C170" s="234"/>
      <c r="D170" s="81" t="s">
        <v>803</v>
      </c>
      <c r="E170" s="234" t="s">
        <v>1871</v>
      </c>
      <c r="F170" s="234"/>
      <c r="G170" s="234"/>
      <c r="H170" s="234"/>
    </row>
    <row r="171" spans="1:8" x14ac:dyDescent="0.3">
      <c r="A171" s="25" t="s">
        <v>1406</v>
      </c>
      <c r="B171" t="s">
        <v>1872</v>
      </c>
      <c r="C171" t="s">
        <v>53</v>
      </c>
      <c r="D171" s="80">
        <v>1.105</v>
      </c>
      <c r="E171" t="s">
        <v>54</v>
      </c>
      <c r="F171" s="83">
        <v>0.5</v>
      </c>
      <c r="G171" t="s">
        <v>1388</v>
      </c>
      <c r="H171" t="str">
        <f>IF(C172="","Pendente","Finalizado")</f>
        <v>Finalizado</v>
      </c>
    </row>
    <row r="172" spans="1:8" x14ac:dyDescent="0.3">
      <c r="A172" s="25" t="s">
        <v>1417</v>
      </c>
      <c r="B172" s="41" t="s">
        <v>45</v>
      </c>
      <c r="C172" s="87">
        <v>1</v>
      </c>
      <c r="D172" s="41" t="s">
        <v>48</v>
      </c>
      <c r="E172" s="87">
        <v>0</v>
      </c>
      <c r="F172" t="s">
        <v>1418</v>
      </c>
      <c r="G172">
        <f>IF(OR(C172="",E172=""),"",C172+E172)</f>
        <v>1</v>
      </c>
    </row>
    <row r="173" spans="1:8" x14ac:dyDescent="0.3">
      <c r="A173" s="25" t="s">
        <v>1419</v>
      </c>
      <c r="B173" t="s">
        <v>429</v>
      </c>
      <c r="C173" s="112" t="s">
        <v>62</v>
      </c>
      <c r="D173" t="s">
        <v>1387</v>
      </c>
      <c r="E173" s="83">
        <f>0.55-F171</f>
        <v>5.0000000000000044E-2</v>
      </c>
      <c r="F173" s="231" t="s">
        <v>3099</v>
      </c>
      <c r="G173" s="231"/>
      <c r="H173" s="231"/>
    </row>
    <row r="176" spans="1:8" ht="17.399999999999999" x14ac:dyDescent="0.35">
      <c r="A176" s="254">
        <v>46243</v>
      </c>
      <c r="B176" s="257"/>
      <c r="C176" s="255" t="s">
        <v>3079</v>
      </c>
      <c r="D176" s="255"/>
      <c r="E176" s="255"/>
      <c r="F176" s="255"/>
      <c r="G176" s="255"/>
      <c r="H176" s="255"/>
    </row>
    <row r="177" spans="1:8" x14ac:dyDescent="0.3">
      <c r="A177" s="256" t="s">
        <v>847</v>
      </c>
      <c r="B177" s="256"/>
      <c r="C177" s="256"/>
      <c r="D177" s="256"/>
      <c r="E177" s="256" t="s">
        <v>1415</v>
      </c>
      <c r="F177" s="256"/>
      <c r="G177" s="256" t="s">
        <v>3088</v>
      </c>
      <c r="H177" s="256"/>
    </row>
    <row r="178" spans="1:8" x14ac:dyDescent="0.3">
      <c r="A178" s="25" t="s">
        <v>1402</v>
      </c>
      <c r="B178" s="234" t="s">
        <v>3082</v>
      </c>
      <c r="C178" s="234"/>
      <c r="D178" s="234"/>
      <c r="E178" s="81" t="s">
        <v>1403</v>
      </c>
      <c r="F178" s="81" t="s">
        <v>1391</v>
      </c>
      <c r="G178" s="81" t="s">
        <v>804</v>
      </c>
      <c r="H178" s="81" t="s">
        <v>3083</v>
      </c>
    </row>
    <row r="179" spans="1:8" x14ac:dyDescent="0.3">
      <c r="A179" s="25" t="s">
        <v>1404</v>
      </c>
      <c r="B179" s="234" t="s">
        <v>3089</v>
      </c>
      <c r="C179" s="234"/>
      <c r="D179" s="234"/>
      <c r="E179" s="234"/>
      <c r="F179" s="234"/>
      <c r="G179" s="234"/>
      <c r="H179" s="234"/>
    </row>
    <row r="180" spans="1:8" x14ac:dyDescent="0.3">
      <c r="A180" s="25" t="s">
        <v>1405</v>
      </c>
      <c r="B180" s="234" t="s">
        <v>1391</v>
      </c>
      <c r="C180" s="234"/>
      <c r="D180" s="81" t="s">
        <v>803</v>
      </c>
      <c r="E180" s="234" t="s">
        <v>3084</v>
      </c>
      <c r="F180" s="234"/>
      <c r="G180" s="234"/>
      <c r="H180" s="234"/>
    </row>
    <row r="181" spans="1:8" x14ac:dyDescent="0.3">
      <c r="A181" s="25" t="s">
        <v>1406</v>
      </c>
      <c r="B181" t="s">
        <v>1391</v>
      </c>
      <c r="C181" t="s">
        <v>53</v>
      </c>
      <c r="D181" s="80">
        <v>1.125</v>
      </c>
      <c r="E181" t="s">
        <v>54</v>
      </c>
      <c r="F181" s="83">
        <v>0.5</v>
      </c>
      <c r="G181" t="s">
        <v>1388</v>
      </c>
      <c r="H181" t="str">
        <f>IF(C182="","Pendente","Finalizado")</f>
        <v>Finalizado</v>
      </c>
    </row>
    <row r="182" spans="1:8" x14ac:dyDescent="0.3">
      <c r="A182" s="25" t="s">
        <v>1417</v>
      </c>
      <c r="B182" s="41" t="s">
        <v>45</v>
      </c>
      <c r="C182" s="87">
        <v>2</v>
      </c>
      <c r="D182" s="41" t="s">
        <v>48</v>
      </c>
      <c r="E182" s="87">
        <v>1</v>
      </c>
      <c r="F182" t="s">
        <v>1418</v>
      </c>
      <c r="G182">
        <f>IF(OR(C182="",E182=""),"",C182+E182)</f>
        <v>3</v>
      </c>
    </row>
    <row r="183" spans="1:8" x14ac:dyDescent="0.3">
      <c r="A183" s="25" t="s">
        <v>1419</v>
      </c>
      <c r="B183" t="s">
        <v>429</v>
      </c>
      <c r="C183" s="111" t="str">
        <f>IF(G182="","",IF(G182&gt;2,"Green",IF(G182=2,"Devolvida","Red")))</f>
        <v>Green</v>
      </c>
      <c r="D183" t="s">
        <v>1387</v>
      </c>
      <c r="E183" s="83">
        <f>IF(OR(C183="",D181=""),"",IF(C183="Green",F181*(D181-1),IF(C183="Red",-F181,IF(C183="Meio Green",F181*(D181-1)/2,IF(C183="Meio Red",-F181/2,IF(C183="Devolvida",0,""))))))</f>
        <v>6.25E-2</v>
      </c>
      <c r="F183" s="231"/>
      <c r="G183" s="231"/>
      <c r="H183" s="231"/>
    </row>
    <row r="186" spans="1:8" ht="17.399999999999999" x14ac:dyDescent="0.35">
      <c r="A186" s="254">
        <v>46243</v>
      </c>
      <c r="B186" s="257"/>
      <c r="C186" s="255" t="s">
        <v>3080</v>
      </c>
      <c r="D186" s="255"/>
      <c r="E186" s="255"/>
      <c r="F186" s="255"/>
      <c r="G186" s="255"/>
      <c r="H186" s="255"/>
    </row>
    <row r="187" spans="1:8" x14ac:dyDescent="0.3">
      <c r="A187" s="256" t="s">
        <v>848</v>
      </c>
      <c r="B187" s="256"/>
      <c r="C187" s="256"/>
      <c r="D187" s="256"/>
      <c r="E187" s="256" t="s">
        <v>1415</v>
      </c>
      <c r="F187" s="256"/>
      <c r="G187" s="256" t="s">
        <v>3081</v>
      </c>
      <c r="H187" s="256"/>
    </row>
    <row r="188" spans="1:8" x14ac:dyDescent="0.3">
      <c r="A188" s="25" t="s">
        <v>1402</v>
      </c>
      <c r="B188" s="234" t="s">
        <v>3085</v>
      </c>
      <c r="C188" s="234"/>
      <c r="D188" s="234"/>
      <c r="E188" s="81" t="s">
        <v>1403</v>
      </c>
      <c r="F188" s="81" t="s">
        <v>3086</v>
      </c>
      <c r="G188" s="81" t="s">
        <v>804</v>
      </c>
      <c r="H188" s="81" t="s">
        <v>3087</v>
      </c>
    </row>
    <row r="189" spans="1:8" x14ac:dyDescent="0.3">
      <c r="A189" s="25" t="s">
        <v>1404</v>
      </c>
      <c r="B189" s="234" t="s">
        <v>3090</v>
      </c>
      <c r="C189" s="234"/>
      <c r="D189" s="234"/>
      <c r="E189" s="234"/>
      <c r="F189" s="234"/>
      <c r="G189" s="234"/>
      <c r="H189" s="234"/>
    </row>
    <row r="190" spans="1:8" x14ac:dyDescent="0.3">
      <c r="A190" s="25" t="s">
        <v>1405</v>
      </c>
      <c r="B190" s="234" t="s">
        <v>3091</v>
      </c>
      <c r="C190" s="234"/>
      <c r="D190" s="81" t="s">
        <v>803</v>
      </c>
      <c r="E190" s="234" t="s">
        <v>3092</v>
      </c>
      <c r="F190" s="234"/>
      <c r="G190" s="234"/>
      <c r="H190" s="234"/>
    </row>
    <row r="191" spans="1:8" x14ac:dyDescent="0.3">
      <c r="A191" s="25" t="s">
        <v>1406</v>
      </c>
      <c r="B191" t="s">
        <v>1481</v>
      </c>
      <c r="C191" t="s">
        <v>53</v>
      </c>
      <c r="D191" s="80">
        <v>1.125</v>
      </c>
      <c r="E191" t="s">
        <v>54</v>
      </c>
      <c r="F191" s="83">
        <v>0.5</v>
      </c>
      <c r="G191" t="s">
        <v>1388</v>
      </c>
      <c r="H191" t="str">
        <f>IF(C192="","Pendente","Finalizado")</f>
        <v>Finalizado</v>
      </c>
    </row>
    <row r="192" spans="1:8" x14ac:dyDescent="0.3">
      <c r="A192" s="25" t="s">
        <v>1417</v>
      </c>
      <c r="B192" s="41" t="s">
        <v>45</v>
      </c>
      <c r="C192" s="87">
        <v>2</v>
      </c>
      <c r="D192" s="41" t="s">
        <v>48</v>
      </c>
      <c r="E192" s="87">
        <v>2</v>
      </c>
      <c r="F192" t="s">
        <v>1418</v>
      </c>
      <c r="G192">
        <f>IF(OR(C192="",E192=""),"",C192+E192)</f>
        <v>4</v>
      </c>
    </row>
    <row r="193" spans="1:8" x14ac:dyDescent="0.3">
      <c r="A193" s="25" t="s">
        <v>1419</v>
      </c>
      <c r="B193" t="s">
        <v>429</v>
      </c>
      <c r="C193" s="111" t="str">
        <f>IF(G192="","",IF(G192&gt;=3,"Green",IF(G192=2,"Meio Red","Red")))</f>
        <v>Green</v>
      </c>
      <c r="D193" t="s">
        <v>1387</v>
      </c>
      <c r="E193" s="83">
        <f>IF(OR(C193="",D191=""),"",IF(C193="Green",F191*(D191-1),IF(C193="Red",-F191,IF(C193="Meio Green",F191*(D191-1)/2,IF(C193="Meio Red",-F191/2,IF(C193="Devolvida",0,""))))))</f>
        <v>6.25E-2</v>
      </c>
      <c r="F193" s="231"/>
      <c r="G193" s="231"/>
      <c r="H193" s="231"/>
    </row>
    <row r="196" spans="1:8" ht="17.399999999999999" x14ac:dyDescent="0.35">
      <c r="A196" s="254">
        <v>46243</v>
      </c>
      <c r="B196" s="257"/>
      <c r="C196" s="255" t="s">
        <v>3093</v>
      </c>
      <c r="D196" s="255"/>
      <c r="E196" s="255"/>
      <c r="F196" s="255"/>
      <c r="G196" s="255"/>
      <c r="H196" s="255"/>
    </row>
    <row r="197" spans="1:8" x14ac:dyDescent="0.3">
      <c r="A197" s="256" t="s">
        <v>847</v>
      </c>
      <c r="B197" s="256"/>
      <c r="C197" s="256"/>
      <c r="D197" s="256"/>
      <c r="E197" s="256" t="s">
        <v>1415</v>
      </c>
      <c r="F197" s="256"/>
      <c r="G197" s="256" t="s">
        <v>3094</v>
      </c>
      <c r="H197" s="256"/>
    </row>
    <row r="198" spans="1:8" x14ac:dyDescent="0.3">
      <c r="A198" s="25" t="s">
        <v>1402</v>
      </c>
      <c r="B198" s="234" t="s">
        <v>3095</v>
      </c>
      <c r="C198" s="234"/>
      <c r="D198" s="234"/>
      <c r="E198" s="81" t="s">
        <v>1403</v>
      </c>
      <c r="F198" s="81" t="s">
        <v>1391</v>
      </c>
      <c r="G198" s="81" t="s">
        <v>804</v>
      </c>
      <c r="H198" s="81" t="s">
        <v>3083</v>
      </c>
    </row>
    <row r="199" spans="1:8" x14ac:dyDescent="0.3">
      <c r="A199" s="25" t="s">
        <v>1404</v>
      </c>
      <c r="B199" s="234" t="s">
        <v>3098</v>
      </c>
      <c r="C199" s="234"/>
      <c r="D199" s="234"/>
      <c r="E199" s="234"/>
      <c r="F199" s="234"/>
      <c r="G199" s="234"/>
      <c r="H199" s="234"/>
    </row>
    <row r="200" spans="1:8" x14ac:dyDescent="0.3">
      <c r="A200" s="25" t="s">
        <v>1405</v>
      </c>
      <c r="B200" s="234" t="s">
        <v>3096</v>
      </c>
      <c r="C200" s="234"/>
      <c r="D200" s="81" t="s">
        <v>803</v>
      </c>
      <c r="E200" s="234" t="s">
        <v>3097</v>
      </c>
      <c r="F200" s="234"/>
      <c r="G200" s="234"/>
      <c r="H200" s="234"/>
    </row>
    <row r="201" spans="1:8" x14ac:dyDescent="0.3">
      <c r="A201" s="25" t="s">
        <v>1406</v>
      </c>
      <c r="B201" t="s">
        <v>1391</v>
      </c>
      <c r="C201" t="s">
        <v>53</v>
      </c>
      <c r="D201" s="80">
        <v>1.1299999999999999</v>
      </c>
      <c r="E201" t="s">
        <v>54</v>
      </c>
      <c r="F201" s="83">
        <v>0.5</v>
      </c>
      <c r="G201" t="s">
        <v>1388</v>
      </c>
      <c r="H201" t="str">
        <f>IF(C202="","Pendente","Finalizado")</f>
        <v>Finalizado</v>
      </c>
    </row>
    <row r="202" spans="1:8" x14ac:dyDescent="0.3">
      <c r="A202" s="25" t="s">
        <v>1417</v>
      </c>
      <c r="B202" s="41" t="s">
        <v>45</v>
      </c>
      <c r="C202" s="87">
        <v>1</v>
      </c>
      <c r="D202" s="41" t="s">
        <v>48</v>
      </c>
      <c r="E202" s="87">
        <v>1</v>
      </c>
      <c r="F202" t="s">
        <v>1418</v>
      </c>
      <c r="G202">
        <f>IF(OR(C202="",E202=""),"",C202+E202)</f>
        <v>2</v>
      </c>
    </row>
    <row r="203" spans="1:8" x14ac:dyDescent="0.3">
      <c r="A203" s="25" t="s">
        <v>1419</v>
      </c>
      <c r="B203" t="s">
        <v>429</v>
      </c>
      <c r="C203" s="111" t="str">
        <f>IF(G202="","",IF(G202&gt;2,"Green",IF(G202=2,"Devolvida","Red")))</f>
        <v>Devolvida</v>
      </c>
      <c r="D203" t="s">
        <v>1387</v>
      </c>
      <c r="E203" s="83">
        <f>IF(OR(C203="",D201=""),"",IF(C203="Green",F201*(D201-1),IF(C203="Red",-F201,IF(C203="Meio Green",F201*(D201-1)/2,IF(C203="Meio Red",-F201/2,IF(C203="Devolvida",0,""))))))</f>
        <v>0</v>
      </c>
      <c r="F203" s="231"/>
      <c r="G203" s="231"/>
      <c r="H203" s="231"/>
    </row>
    <row r="206" spans="1:8" ht="17.399999999999999" x14ac:dyDescent="0.35">
      <c r="A206" s="254">
        <v>46243</v>
      </c>
      <c r="B206" s="257"/>
      <c r="C206" s="255" t="s">
        <v>3337</v>
      </c>
      <c r="D206" s="255"/>
      <c r="E206" s="255"/>
      <c r="F206" s="255"/>
      <c r="G206" s="255"/>
      <c r="H206" s="255"/>
    </row>
    <row r="207" spans="1:8" x14ac:dyDescent="0.3">
      <c r="A207" s="256" t="s">
        <v>1378</v>
      </c>
      <c r="B207" s="256"/>
      <c r="C207" s="256"/>
      <c r="D207" s="256"/>
      <c r="E207" s="256" t="s">
        <v>1415</v>
      </c>
      <c r="F207" s="256"/>
      <c r="G207" s="256" t="s">
        <v>3338</v>
      </c>
      <c r="H207" s="256"/>
    </row>
    <row r="208" spans="1:8" x14ac:dyDescent="0.3">
      <c r="A208" s="25" t="s">
        <v>1402</v>
      </c>
      <c r="B208" s="234" t="s">
        <v>3339</v>
      </c>
      <c r="C208" s="234"/>
      <c r="D208" s="234"/>
      <c r="E208" s="81" t="s">
        <v>1403</v>
      </c>
      <c r="F208" s="81" t="s">
        <v>1883</v>
      </c>
      <c r="G208" s="81" t="s">
        <v>804</v>
      </c>
      <c r="H208" s="81" t="s">
        <v>3340</v>
      </c>
    </row>
    <row r="209" spans="1:8" x14ac:dyDescent="0.3">
      <c r="A209" s="25" t="s">
        <v>1404</v>
      </c>
      <c r="B209" s="234" t="s">
        <v>3341</v>
      </c>
      <c r="C209" s="234"/>
      <c r="D209" s="234"/>
      <c r="E209" s="234"/>
      <c r="F209" s="234"/>
      <c r="G209" s="234"/>
      <c r="H209" s="234"/>
    </row>
    <row r="210" spans="1:8" x14ac:dyDescent="0.3">
      <c r="A210" s="25" t="s">
        <v>1405</v>
      </c>
      <c r="B210" s="234" t="s">
        <v>3342</v>
      </c>
      <c r="C210" s="234"/>
      <c r="D210" s="81" t="s">
        <v>803</v>
      </c>
      <c r="E210" s="234" t="s">
        <v>3343</v>
      </c>
      <c r="F210" s="234"/>
      <c r="G210" s="234"/>
      <c r="H210" s="234"/>
    </row>
    <row r="211" spans="1:8" x14ac:dyDescent="0.3">
      <c r="A211" s="25" t="s">
        <v>1406</v>
      </c>
      <c r="B211" t="s">
        <v>1883</v>
      </c>
      <c r="C211" t="s">
        <v>53</v>
      </c>
      <c r="D211" s="80">
        <v>1.125</v>
      </c>
      <c r="E211" t="s">
        <v>54</v>
      </c>
      <c r="F211" s="83">
        <v>0.5</v>
      </c>
      <c r="G211" t="s">
        <v>1388</v>
      </c>
      <c r="H211" t="str">
        <f>IF(C212="","Pendente","Finalizado")</f>
        <v>Finalizado</v>
      </c>
    </row>
    <row r="212" spans="1:8" x14ac:dyDescent="0.3">
      <c r="A212" s="25" t="s">
        <v>1417</v>
      </c>
      <c r="B212" s="41" t="s">
        <v>45</v>
      </c>
      <c r="C212" s="87">
        <v>0</v>
      </c>
      <c r="D212" s="41" t="s">
        <v>48</v>
      </c>
      <c r="E212" s="87">
        <v>0</v>
      </c>
      <c r="F212" t="s">
        <v>1418</v>
      </c>
      <c r="G212">
        <f>IF(OR(C212="",E212=""),"",C212+E212)</f>
        <v>0</v>
      </c>
    </row>
    <row r="213" spans="1:8" x14ac:dyDescent="0.3">
      <c r="A213" s="25" t="s">
        <v>1419</v>
      </c>
      <c r="B213" t="s">
        <v>429</v>
      </c>
      <c r="C213" s="111" t="str">
        <f>IF(G212="","",IF(G212&gt;=2,"Green",IF(G212=1,"Meio Red","Red")))</f>
        <v>Red</v>
      </c>
      <c r="D213" t="s">
        <v>1387</v>
      </c>
      <c r="E213" s="83">
        <f>IF(OR(C213="",D211=""),"",IF(C213="Green",F211*(D211-1),IF(C213="Meio Red",-F211/2,IF(C213="Red",-F211,""))))</f>
        <v>-0.5</v>
      </c>
      <c r="F213" s="231"/>
      <c r="G213" s="231"/>
      <c r="H213" s="231"/>
    </row>
    <row r="216" spans="1:8" ht="17.399999999999999" x14ac:dyDescent="0.35">
      <c r="A216" s="254">
        <v>46243</v>
      </c>
      <c r="B216" s="257"/>
      <c r="C216" s="255" t="s">
        <v>3344</v>
      </c>
      <c r="D216" s="255"/>
      <c r="E216" s="255"/>
      <c r="F216" s="255"/>
      <c r="G216" s="255"/>
      <c r="H216" s="255"/>
    </row>
    <row r="217" spans="1:8" x14ac:dyDescent="0.3">
      <c r="A217" s="256" t="s">
        <v>1378</v>
      </c>
      <c r="B217" s="256"/>
      <c r="C217" s="256"/>
      <c r="D217" s="256"/>
      <c r="E217" s="256" t="s">
        <v>1415</v>
      </c>
      <c r="F217" s="256"/>
      <c r="G217" s="256" t="s">
        <v>3338</v>
      </c>
      <c r="H217" s="256"/>
    </row>
    <row r="218" spans="1:8" x14ac:dyDescent="0.3">
      <c r="A218" s="25" t="s">
        <v>1402</v>
      </c>
      <c r="B218" s="234" t="s">
        <v>3345</v>
      </c>
      <c r="C218" s="234"/>
      <c r="D218" s="234"/>
      <c r="E218" s="81" t="s">
        <v>1403</v>
      </c>
      <c r="F218" s="81" t="s">
        <v>1883</v>
      </c>
      <c r="G218" s="81" t="s">
        <v>804</v>
      </c>
      <c r="H218" s="81" t="s">
        <v>3340</v>
      </c>
    </row>
    <row r="219" spans="1:8" x14ac:dyDescent="0.3">
      <c r="A219" s="25" t="s">
        <v>1404</v>
      </c>
      <c r="B219" s="234" t="s">
        <v>3346</v>
      </c>
      <c r="C219" s="234"/>
      <c r="D219" s="234"/>
      <c r="E219" s="234"/>
      <c r="F219" s="234"/>
      <c r="G219" s="234"/>
      <c r="H219" s="234"/>
    </row>
    <row r="220" spans="1:8" x14ac:dyDescent="0.3">
      <c r="A220" s="25" t="s">
        <v>1405</v>
      </c>
      <c r="B220" s="234" t="s">
        <v>3347</v>
      </c>
      <c r="C220" s="234"/>
      <c r="D220" s="81" t="s">
        <v>803</v>
      </c>
      <c r="E220" s="234" t="s">
        <v>3348</v>
      </c>
      <c r="F220" s="234"/>
      <c r="G220" s="234"/>
      <c r="H220" s="234"/>
    </row>
    <row r="221" spans="1:8" x14ac:dyDescent="0.3">
      <c r="A221" s="25" t="s">
        <v>1406</v>
      </c>
      <c r="B221" t="s">
        <v>1393</v>
      </c>
      <c r="C221" t="s">
        <v>53</v>
      </c>
      <c r="D221" s="80">
        <v>1.23</v>
      </c>
      <c r="E221" t="s">
        <v>54</v>
      </c>
      <c r="F221" s="83">
        <v>0.5</v>
      </c>
      <c r="G221" t="s">
        <v>1388</v>
      </c>
      <c r="H221" t="str">
        <f>IF(C222="","Pendente","Finalizado")</f>
        <v>Finalizado</v>
      </c>
    </row>
    <row r="222" spans="1:8" x14ac:dyDescent="0.3">
      <c r="A222" s="25" t="s">
        <v>1417</v>
      </c>
      <c r="B222" s="41" t="s">
        <v>45</v>
      </c>
      <c r="C222" s="87">
        <v>0</v>
      </c>
      <c r="D222" s="41" t="s">
        <v>48</v>
      </c>
      <c r="E222" s="87">
        <v>0</v>
      </c>
      <c r="F222" t="s">
        <v>1418</v>
      </c>
      <c r="G222">
        <f>IF(OR(C222="",E222=""),"",C222+E222)</f>
        <v>0</v>
      </c>
    </row>
    <row r="223" spans="1:8" x14ac:dyDescent="0.3">
      <c r="A223" s="25" t="s">
        <v>1419</v>
      </c>
      <c r="B223" t="s">
        <v>429</v>
      </c>
      <c r="C223" s="111" t="str">
        <f>IF(G222="","",IF(G222&gt;=2,"Green","Red"))</f>
        <v>Red</v>
      </c>
      <c r="D223" t="s">
        <v>1387</v>
      </c>
      <c r="E223" s="83">
        <f>IF(OR(C223="",D221=""),"",IF(C223="Green",F221*(D221-1),IF(C223="Red",-F221,"")))</f>
        <v>-0.5</v>
      </c>
      <c r="F223" s="231"/>
      <c r="G223" s="231"/>
      <c r="H223" s="231"/>
    </row>
    <row r="226" spans="1:8" ht="17.399999999999999" x14ac:dyDescent="0.35">
      <c r="A226" s="254">
        <v>46243</v>
      </c>
      <c r="B226" s="257"/>
      <c r="C226" s="255" t="s">
        <v>3349</v>
      </c>
      <c r="D226" s="255"/>
      <c r="E226" s="255"/>
      <c r="F226" s="255"/>
      <c r="G226" s="255"/>
      <c r="H226" s="255"/>
    </row>
    <row r="227" spans="1:8" x14ac:dyDescent="0.3">
      <c r="A227" s="256" t="s">
        <v>1379</v>
      </c>
      <c r="B227" s="256"/>
      <c r="C227" s="256"/>
      <c r="D227" s="256"/>
      <c r="E227" s="256" t="s">
        <v>1415</v>
      </c>
      <c r="F227" s="256"/>
      <c r="G227" s="256" t="s">
        <v>3338</v>
      </c>
      <c r="H227" s="256"/>
    </row>
    <row r="228" spans="1:8" x14ac:dyDescent="0.3">
      <c r="A228" s="25" t="s">
        <v>1402</v>
      </c>
      <c r="B228" s="234" t="s">
        <v>3350</v>
      </c>
      <c r="C228" s="234"/>
      <c r="D228" s="234"/>
      <c r="E228" s="81" t="s">
        <v>1403</v>
      </c>
      <c r="F228" s="81" t="s">
        <v>1867</v>
      </c>
      <c r="G228" s="81" t="s">
        <v>804</v>
      </c>
      <c r="H228" s="81" t="s">
        <v>1868</v>
      </c>
    </row>
    <row r="229" spans="1:8" x14ac:dyDescent="0.3">
      <c r="A229" s="25" t="s">
        <v>1404</v>
      </c>
      <c r="B229" s="234" t="s">
        <v>3351</v>
      </c>
      <c r="C229" s="234"/>
      <c r="D229" s="234"/>
      <c r="E229" s="234"/>
      <c r="F229" s="234"/>
      <c r="G229" s="234"/>
      <c r="H229" s="234"/>
    </row>
    <row r="230" spans="1:8" x14ac:dyDescent="0.3">
      <c r="A230" s="25" t="s">
        <v>1405</v>
      </c>
      <c r="B230" s="234" t="s">
        <v>3352</v>
      </c>
      <c r="C230" s="234"/>
      <c r="D230" s="81" t="s">
        <v>803</v>
      </c>
      <c r="E230" s="234" t="s">
        <v>3353</v>
      </c>
      <c r="F230" s="234"/>
      <c r="G230" s="234"/>
      <c r="H230" s="234"/>
    </row>
    <row r="231" spans="1:8" x14ac:dyDescent="0.3">
      <c r="A231" s="25" t="s">
        <v>1406</v>
      </c>
      <c r="B231" t="s">
        <v>1867</v>
      </c>
      <c r="C231" t="s">
        <v>53</v>
      </c>
      <c r="D231" s="80">
        <v>1.1000000000000001</v>
      </c>
      <c r="E231" t="s">
        <v>54</v>
      </c>
      <c r="F231" s="83">
        <v>0.5</v>
      </c>
      <c r="G231" t="s">
        <v>1388</v>
      </c>
      <c r="H231" t="str">
        <f>IF(C232="","Pendente","Finalizado")</f>
        <v>Finalizado</v>
      </c>
    </row>
    <row r="232" spans="1:8" x14ac:dyDescent="0.3">
      <c r="A232" s="25" t="s">
        <v>1417</v>
      </c>
      <c r="B232" s="41" t="s">
        <v>45</v>
      </c>
      <c r="C232" s="87">
        <v>1</v>
      </c>
      <c r="D232" s="41" t="s">
        <v>48</v>
      </c>
      <c r="E232" s="87">
        <v>1</v>
      </c>
      <c r="F232" t="s">
        <v>1418</v>
      </c>
      <c r="G232">
        <f>IF(OR(C232="",E232=""),"",C232+E232)</f>
        <v>2</v>
      </c>
    </row>
    <row r="233" spans="1:8" x14ac:dyDescent="0.3">
      <c r="A233" s="25" t="s">
        <v>1419</v>
      </c>
      <c r="B233" t="s">
        <v>429</v>
      </c>
      <c r="C233" s="111" t="str">
        <f>IF(G232="","",IF(G232&gt;=1,"Green","Red"))</f>
        <v>Green</v>
      </c>
      <c r="D233" t="s">
        <v>1387</v>
      </c>
      <c r="E233" s="83">
        <f>IF(OR(C233="",D231=""),"",IF(C233="Green",F231*(D231-1),IF(C233="Red",-F231,"")))</f>
        <v>5.0000000000000044E-2</v>
      </c>
      <c r="F233" s="231"/>
      <c r="G233" s="231"/>
      <c r="H233" s="231"/>
    </row>
    <row r="236" spans="1:8" ht="17.399999999999999" x14ac:dyDescent="0.35">
      <c r="A236" s="254">
        <v>46243</v>
      </c>
      <c r="B236" s="257"/>
      <c r="C236" s="255" t="s">
        <v>3354</v>
      </c>
      <c r="D236" s="255"/>
      <c r="E236" s="255"/>
      <c r="F236" s="255"/>
      <c r="G236" s="255"/>
      <c r="H236" s="255"/>
    </row>
    <row r="237" spans="1:8" x14ac:dyDescent="0.3">
      <c r="A237" s="256" t="s">
        <v>1379</v>
      </c>
      <c r="B237" s="256"/>
      <c r="C237" s="256"/>
      <c r="D237" s="256"/>
      <c r="E237" s="256" t="s">
        <v>1415</v>
      </c>
      <c r="F237" s="256"/>
      <c r="G237" s="256" t="s">
        <v>3338</v>
      </c>
      <c r="H237" s="256"/>
    </row>
    <row r="238" spans="1:8" x14ac:dyDescent="0.3">
      <c r="A238" s="25" t="s">
        <v>1402</v>
      </c>
      <c r="B238" s="234" t="s">
        <v>3355</v>
      </c>
      <c r="C238" s="234"/>
      <c r="D238" s="234"/>
      <c r="E238" s="81" t="s">
        <v>1403</v>
      </c>
      <c r="F238" s="81" t="s">
        <v>1867</v>
      </c>
      <c r="G238" s="81" t="s">
        <v>804</v>
      </c>
      <c r="H238" s="81" t="s">
        <v>1868</v>
      </c>
    </row>
    <row r="239" spans="1:8" x14ac:dyDescent="0.3">
      <c r="A239" s="25" t="s">
        <v>1404</v>
      </c>
      <c r="B239" s="234" t="s">
        <v>3356</v>
      </c>
      <c r="C239" s="234"/>
      <c r="D239" s="234"/>
      <c r="E239" s="234"/>
      <c r="F239" s="234"/>
      <c r="G239" s="234"/>
      <c r="H239" s="234"/>
    </row>
    <row r="240" spans="1:8" x14ac:dyDescent="0.3">
      <c r="A240" s="25" t="s">
        <v>1405</v>
      </c>
      <c r="B240" s="234" t="s">
        <v>3358</v>
      </c>
      <c r="C240" s="234"/>
      <c r="D240" s="81" t="s">
        <v>803</v>
      </c>
      <c r="E240" s="234" t="s">
        <v>3359</v>
      </c>
      <c r="F240" s="234"/>
      <c r="G240" s="234"/>
      <c r="H240" s="234"/>
    </row>
    <row r="241" spans="1:8" x14ac:dyDescent="0.3">
      <c r="A241" s="25" t="s">
        <v>1406</v>
      </c>
      <c r="B241" t="s">
        <v>1872</v>
      </c>
      <c r="C241" t="s">
        <v>53</v>
      </c>
      <c r="D241" s="80">
        <v>1.1599999999999999</v>
      </c>
      <c r="E241" t="s">
        <v>54</v>
      </c>
      <c r="F241" s="83">
        <v>0.5</v>
      </c>
      <c r="G241" t="s">
        <v>1388</v>
      </c>
      <c r="H241" t="s">
        <v>4311</v>
      </c>
    </row>
    <row r="242" spans="1:8" x14ac:dyDescent="0.3">
      <c r="A242" s="25" t="s">
        <v>1417</v>
      </c>
      <c r="B242" s="41" t="s">
        <v>45</v>
      </c>
      <c r="C242" s="87">
        <v>1</v>
      </c>
      <c r="D242" s="41" t="s">
        <v>48</v>
      </c>
      <c r="E242" s="87">
        <v>0</v>
      </c>
      <c r="F242" t="s">
        <v>1418</v>
      </c>
      <c r="G242">
        <f>IF(OR(C242="",E242=""),"",C242+E242)</f>
        <v>1</v>
      </c>
    </row>
    <row r="243" spans="1:8" x14ac:dyDescent="0.3">
      <c r="A243" s="25" t="s">
        <v>1419</v>
      </c>
      <c r="B243" t="s">
        <v>429</v>
      </c>
      <c r="C243" s="111" t="s">
        <v>62</v>
      </c>
      <c r="D243" t="s">
        <v>1387</v>
      </c>
      <c r="E243" s="83">
        <v>0.06</v>
      </c>
      <c r="F243" s="234" t="s">
        <v>4310</v>
      </c>
      <c r="G243" s="234"/>
      <c r="H243" s="234"/>
    </row>
    <row r="246" spans="1:8" ht="17.399999999999999" x14ac:dyDescent="0.35">
      <c r="A246" s="254">
        <v>46243</v>
      </c>
      <c r="B246" s="254"/>
      <c r="C246" s="255" t="s">
        <v>3362</v>
      </c>
      <c r="D246" s="255"/>
      <c r="E246" s="255"/>
      <c r="F246" s="255"/>
      <c r="G246" s="255"/>
      <c r="H246" s="255"/>
    </row>
    <row r="247" spans="1:8" x14ac:dyDescent="0.3">
      <c r="A247" s="256" t="s">
        <v>1379</v>
      </c>
      <c r="B247" s="256"/>
      <c r="C247" s="256"/>
      <c r="D247" s="256"/>
      <c r="E247" s="231"/>
      <c r="F247" s="231"/>
      <c r="G247" s="256" t="s">
        <v>3363</v>
      </c>
      <c r="H247" s="256"/>
    </row>
    <row r="248" spans="1:8" x14ac:dyDescent="0.3">
      <c r="A248" s="25" t="s">
        <v>1402</v>
      </c>
      <c r="B248" s="234" t="s">
        <v>3364</v>
      </c>
      <c r="C248" s="234"/>
      <c r="D248" s="234"/>
      <c r="E248" s="81" t="s">
        <v>1403</v>
      </c>
      <c r="F248" s="81" t="s">
        <v>1867</v>
      </c>
      <c r="G248" s="81" t="s">
        <v>804</v>
      </c>
      <c r="H248" s="81" t="s">
        <v>1868</v>
      </c>
    </row>
    <row r="249" spans="1:8" x14ac:dyDescent="0.3">
      <c r="A249" s="25" t="s">
        <v>1404</v>
      </c>
      <c r="B249" s="234" t="s">
        <v>3365</v>
      </c>
      <c r="C249" s="234"/>
      <c r="D249" s="234"/>
      <c r="E249" s="234"/>
      <c r="F249" s="234"/>
      <c r="G249" s="234"/>
      <c r="H249" s="234"/>
    </row>
    <row r="250" spans="1:8" x14ac:dyDescent="0.3">
      <c r="A250" s="25" t="s">
        <v>1405</v>
      </c>
      <c r="B250" s="234" t="s">
        <v>3366</v>
      </c>
      <c r="C250" s="234"/>
      <c r="D250" s="81" t="s">
        <v>803</v>
      </c>
      <c r="E250" s="234" t="s">
        <v>3367</v>
      </c>
      <c r="F250" s="234"/>
      <c r="G250" s="234"/>
      <c r="H250" s="234"/>
    </row>
    <row r="251" spans="1:8" x14ac:dyDescent="0.3">
      <c r="A251" s="25" t="s">
        <v>1406</v>
      </c>
      <c r="B251" t="s">
        <v>1867</v>
      </c>
      <c r="C251" t="s">
        <v>53</v>
      </c>
      <c r="D251" s="80">
        <v>1.1399999999999999</v>
      </c>
      <c r="E251" t="s">
        <v>54</v>
      </c>
      <c r="F251" s="174">
        <v>0.5</v>
      </c>
      <c r="G251" t="s">
        <v>1388</v>
      </c>
      <c r="H251" t="str">
        <f>IF(C252="","Pendente","Finalizado")</f>
        <v>Finalizado</v>
      </c>
    </row>
    <row r="252" spans="1:8" x14ac:dyDescent="0.3">
      <c r="A252" s="25" t="s">
        <v>1417</v>
      </c>
      <c r="B252" s="41" t="s">
        <v>45</v>
      </c>
      <c r="C252" s="87">
        <v>1</v>
      </c>
      <c r="D252" s="41" t="s">
        <v>48</v>
      </c>
      <c r="E252" s="87">
        <v>1</v>
      </c>
      <c r="F252" t="s">
        <v>1418</v>
      </c>
      <c r="G252">
        <f>IF(OR(C252="",E252=""),"",C252+E252)</f>
        <v>2</v>
      </c>
    </row>
    <row r="253" spans="1:8" x14ac:dyDescent="0.3">
      <c r="A253" s="25" t="s">
        <v>1419</v>
      </c>
      <c r="B253" t="s">
        <v>429</v>
      </c>
      <c r="C253" s="111" t="str">
        <f>IF(G252="","",IF(G252&gt;=1,"Green","Red"))</f>
        <v>Green</v>
      </c>
      <c r="D253" t="s">
        <v>1387</v>
      </c>
      <c r="E253" s="175">
        <f>IF(OR(C253="",D251=""),"",IF(C253="Green",F251*(D251-1),IF(C253="Red",-F251,"")))</f>
        <v>6.9999999999999951E-2</v>
      </c>
      <c r="F253" s="231"/>
      <c r="G253" s="231"/>
      <c r="H253" s="231"/>
    </row>
    <row r="256" spans="1:8" ht="17.399999999999999" x14ac:dyDescent="0.35">
      <c r="A256" s="254">
        <v>46243</v>
      </c>
      <c r="B256" s="254"/>
      <c r="C256" s="255" t="s">
        <v>3368</v>
      </c>
      <c r="D256" s="255"/>
      <c r="E256" s="255"/>
      <c r="F256" s="255"/>
      <c r="G256" s="255"/>
      <c r="H256" s="255"/>
    </row>
    <row r="257" spans="1:8" x14ac:dyDescent="0.3">
      <c r="A257" s="256" t="s">
        <v>1377</v>
      </c>
      <c r="B257" s="256"/>
      <c r="C257" s="256"/>
      <c r="D257" s="256"/>
      <c r="E257" s="231" t="s">
        <v>1415</v>
      </c>
      <c r="F257" s="231"/>
      <c r="G257" s="256" t="s">
        <v>3363</v>
      </c>
      <c r="H257" s="256"/>
    </row>
    <row r="258" spans="1:8" x14ac:dyDescent="0.3">
      <c r="A258" s="25" t="s">
        <v>1402</v>
      </c>
      <c r="B258" s="234" t="s">
        <v>3369</v>
      </c>
      <c r="C258" s="234"/>
      <c r="D258" s="234"/>
      <c r="E258" s="81" t="s">
        <v>1403</v>
      </c>
      <c r="F258" s="81" t="s">
        <v>1393</v>
      </c>
      <c r="G258" s="81" t="s">
        <v>804</v>
      </c>
      <c r="H258" s="81" t="s">
        <v>1394</v>
      </c>
    </row>
    <row r="259" spans="1:8" x14ac:dyDescent="0.3">
      <c r="A259" s="25" t="s">
        <v>1404</v>
      </c>
      <c r="B259" s="234" t="s">
        <v>3370</v>
      </c>
      <c r="C259" s="234"/>
      <c r="D259" s="234"/>
      <c r="E259" s="234"/>
      <c r="F259" s="234"/>
      <c r="G259" s="234"/>
      <c r="H259" s="234"/>
    </row>
    <row r="260" spans="1:8" x14ac:dyDescent="0.3">
      <c r="A260" s="25" t="s">
        <v>1405</v>
      </c>
      <c r="B260" s="234" t="s">
        <v>3371</v>
      </c>
      <c r="C260" s="234"/>
      <c r="D260" s="81" t="s">
        <v>803</v>
      </c>
      <c r="E260" s="234" t="s">
        <v>3372</v>
      </c>
      <c r="F260" s="234"/>
      <c r="G260" s="234"/>
      <c r="H260" s="234"/>
    </row>
    <row r="261" spans="1:8" x14ac:dyDescent="0.3">
      <c r="A261" s="25" t="s">
        <v>1406</v>
      </c>
      <c r="B261" t="s">
        <v>1393</v>
      </c>
      <c r="C261" t="s">
        <v>53</v>
      </c>
      <c r="D261" s="80">
        <v>1.2250000000000001</v>
      </c>
      <c r="E261" t="s">
        <v>54</v>
      </c>
      <c r="F261" s="174">
        <v>0.5</v>
      </c>
      <c r="G261" t="s">
        <v>1388</v>
      </c>
      <c r="H261" t="str">
        <f>IF(C262="","Pendente","Finalizado")</f>
        <v>Finalizado</v>
      </c>
    </row>
    <row r="262" spans="1:8" x14ac:dyDescent="0.3">
      <c r="A262" s="25" t="s">
        <v>1417</v>
      </c>
      <c r="B262" s="41" t="s">
        <v>45</v>
      </c>
      <c r="C262" s="87">
        <v>2</v>
      </c>
      <c r="D262" s="41" t="s">
        <v>48</v>
      </c>
      <c r="E262" s="87">
        <v>0</v>
      </c>
      <c r="F262" t="s">
        <v>1418</v>
      </c>
      <c r="G262">
        <f>IF(OR(C262="",E262=""),"",C262+E262)</f>
        <v>2</v>
      </c>
    </row>
    <row r="263" spans="1:8" x14ac:dyDescent="0.3">
      <c r="A263" s="25" t="s">
        <v>1419</v>
      </c>
      <c r="B263" t="s">
        <v>429</v>
      </c>
      <c r="C263" s="111" t="str">
        <f>IF(G262="","",IF(G262&gt;=2,"Green","Red"))</f>
        <v>Green</v>
      </c>
      <c r="D263" t="s">
        <v>1387</v>
      </c>
      <c r="E263" s="175">
        <f>IF(OR(C263="",D261=""),"",IF(C263="Green",F261*(D261-1),IF(C263="Red",-F261,"")))</f>
        <v>0.11250000000000004</v>
      </c>
      <c r="F263" s="231"/>
      <c r="G263" s="231"/>
      <c r="H263" s="231"/>
    </row>
    <row r="266" spans="1:8" ht="17.399999999999999" x14ac:dyDescent="0.35">
      <c r="A266" s="254">
        <v>46243</v>
      </c>
      <c r="B266" s="254"/>
      <c r="C266" s="255" t="s">
        <v>3373</v>
      </c>
      <c r="D266" s="255"/>
      <c r="E266" s="255"/>
      <c r="F266" s="255"/>
      <c r="G266" s="255"/>
      <c r="H266" s="255"/>
    </row>
    <row r="267" spans="1:8" x14ac:dyDescent="0.3">
      <c r="A267" s="256" t="s">
        <v>1378</v>
      </c>
      <c r="B267" s="256"/>
      <c r="C267" s="256"/>
      <c r="D267" s="256"/>
      <c r="E267" s="231" t="s">
        <v>1415</v>
      </c>
      <c r="F267" s="231"/>
      <c r="G267" s="256" t="s">
        <v>3374</v>
      </c>
      <c r="H267" s="256"/>
    </row>
    <row r="268" spans="1:8" x14ac:dyDescent="0.3">
      <c r="A268" s="25" t="s">
        <v>1402</v>
      </c>
      <c r="B268" s="234" t="s">
        <v>3375</v>
      </c>
      <c r="C268" s="234"/>
      <c r="D268" s="234"/>
      <c r="E268" s="81" t="s">
        <v>1403</v>
      </c>
      <c r="F268" s="81" t="s">
        <v>1393</v>
      </c>
      <c r="G268" s="81" t="s">
        <v>804</v>
      </c>
      <c r="H268" s="81" t="s">
        <v>1394</v>
      </c>
    </row>
    <row r="269" spans="1:8" x14ac:dyDescent="0.3">
      <c r="A269" s="25" t="s">
        <v>1404</v>
      </c>
      <c r="B269" s="234" t="s">
        <v>3376</v>
      </c>
      <c r="C269" s="234"/>
      <c r="D269" s="234"/>
      <c r="E269" s="234"/>
      <c r="F269" s="234"/>
      <c r="G269" s="234"/>
      <c r="H269" s="234"/>
    </row>
    <row r="270" spans="1:8" x14ac:dyDescent="0.3">
      <c r="A270" s="25" t="s">
        <v>1405</v>
      </c>
      <c r="B270" s="234" t="s">
        <v>3357</v>
      </c>
      <c r="C270" s="234"/>
      <c r="D270" s="81" t="s">
        <v>803</v>
      </c>
      <c r="E270" s="234" t="s">
        <v>3377</v>
      </c>
      <c r="F270" s="234"/>
      <c r="G270" s="234"/>
      <c r="H270" s="234"/>
    </row>
    <row r="271" spans="1:8" x14ac:dyDescent="0.3">
      <c r="A271" s="25" t="s">
        <v>1406</v>
      </c>
      <c r="B271" t="s">
        <v>1867</v>
      </c>
      <c r="C271" t="s">
        <v>53</v>
      </c>
      <c r="D271" s="80">
        <v>1.1100000000000001</v>
      </c>
      <c r="E271" t="s">
        <v>54</v>
      </c>
      <c r="F271" s="174">
        <v>0.5</v>
      </c>
      <c r="G271" t="s">
        <v>1388</v>
      </c>
      <c r="H271" t="str">
        <f>IF(C272="","Pendente","Finalizado")</f>
        <v>Finalizado</v>
      </c>
    </row>
    <row r="272" spans="1:8" x14ac:dyDescent="0.3">
      <c r="A272" s="25" t="s">
        <v>1417</v>
      </c>
      <c r="B272" s="41" t="s">
        <v>45</v>
      </c>
      <c r="C272" s="87">
        <v>0</v>
      </c>
      <c r="D272" s="41" t="s">
        <v>48</v>
      </c>
      <c r="E272" s="87">
        <v>2</v>
      </c>
      <c r="F272" t="s">
        <v>1418</v>
      </c>
      <c r="G272">
        <f>IF(OR(C272="",E272=""),"",C272+E272)</f>
        <v>2</v>
      </c>
    </row>
    <row r="273" spans="1:8" x14ac:dyDescent="0.3">
      <c r="A273" s="25" t="s">
        <v>1419</v>
      </c>
      <c r="B273" t="s">
        <v>429</v>
      </c>
      <c r="C273" s="111" t="str">
        <f>IF(G272="","",IF(G272&gt;=1,"Green","Red"))</f>
        <v>Green</v>
      </c>
      <c r="D273" t="s">
        <v>1387</v>
      </c>
      <c r="E273" s="175">
        <f>IF(OR(C273="",D271=""),"",IF(C273="Green",F271*(D271-1),IF(C273="Red",-F271,"")))</f>
        <v>5.5000000000000049E-2</v>
      </c>
      <c r="F273" s="231"/>
      <c r="G273" s="231"/>
      <c r="H273" s="231"/>
    </row>
    <row r="276" spans="1:8" ht="17.399999999999999" x14ac:dyDescent="0.35">
      <c r="A276" s="254">
        <v>46243</v>
      </c>
      <c r="B276" s="254"/>
      <c r="C276" s="255" t="s">
        <v>3378</v>
      </c>
      <c r="D276" s="255"/>
      <c r="E276" s="255"/>
      <c r="F276" s="255"/>
      <c r="G276" s="255"/>
      <c r="H276" s="255"/>
    </row>
    <row r="277" spans="1:8" x14ac:dyDescent="0.3">
      <c r="A277" s="256" t="s">
        <v>1378</v>
      </c>
      <c r="B277" s="256"/>
      <c r="C277" s="256"/>
      <c r="D277" s="256"/>
      <c r="E277" s="231" t="s">
        <v>1415</v>
      </c>
      <c r="F277" s="231"/>
      <c r="G277" s="256" t="s">
        <v>3374</v>
      </c>
      <c r="H277" s="256"/>
    </row>
    <row r="278" spans="1:8" x14ac:dyDescent="0.3">
      <c r="A278" s="25" t="s">
        <v>1402</v>
      </c>
      <c r="B278" s="234" t="s">
        <v>3379</v>
      </c>
      <c r="C278" s="234"/>
      <c r="D278" s="234"/>
      <c r="E278" s="81" t="s">
        <v>1403</v>
      </c>
      <c r="F278" s="81" t="s">
        <v>1867</v>
      </c>
      <c r="G278" s="81" t="s">
        <v>804</v>
      </c>
      <c r="H278" s="81" t="s">
        <v>1868</v>
      </c>
    </row>
    <row r="279" spans="1:8" x14ac:dyDescent="0.3">
      <c r="A279" s="25" t="s">
        <v>1404</v>
      </c>
      <c r="B279" s="234" t="s">
        <v>1933</v>
      </c>
      <c r="C279" s="234"/>
      <c r="D279" s="234"/>
      <c r="E279" s="234"/>
      <c r="F279" s="234"/>
      <c r="G279" s="234"/>
      <c r="H279" s="234"/>
    </row>
    <row r="280" spans="1:8" x14ac:dyDescent="0.3">
      <c r="A280" s="25" t="s">
        <v>1405</v>
      </c>
      <c r="B280" s="234" t="s">
        <v>1934</v>
      </c>
      <c r="C280" s="234"/>
      <c r="D280" s="81" t="s">
        <v>803</v>
      </c>
      <c r="E280" s="234" t="s">
        <v>3380</v>
      </c>
      <c r="F280" s="234"/>
      <c r="G280" s="234"/>
      <c r="H280" s="234"/>
    </row>
    <row r="281" spans="1:8" x14ac:dyDescent="0.3">
      <c r="A281" s="25" t="s">
        <v>1406</v>
      </c>
      <c r="B281" t="s">
        <v>1872</v>
      </c>
      <c r="C281" t="s">
        <v>53</v>
      </c>
      <c r="D281" s="80">
        <v>1.105</v>
      </c>
      <c r="E281" t="s">
        <v>54</v>
      </c>
      <c r="F281" s="174">
        <v>0.5</v>
      </c>
      <c r="G281" t="s">
        <v>1388</v>
      </c>
      <c r="H281" t="str">
        <f>IF(C282="","Pendente","Finalizado")</f>
        <v>Finalizado</v>
      </c>
    </row>
    <row r="282" spans="1:8" x14ac:dyDescent="0.3">
      <c r="A282" s="25" t="s">
        <v>1417</v>
      </c>
      <c r="B282" s="41" t="s">
        <v>45</v>
      </c>
      <c r="C282" s="87">
        <v>0</v>
      </c>
      <c r="D282" s="41" t="s">
        <v>48</v>
      </c>
      <c r="E282" s="87">
        <v>2</v>
      </c>
      <c r="F282" t="s">
        <v>1418</v>
      </c>
      <c r="G282">
        <f>IF(OR(C282="",E282=""),"",C282+E282)</f>
        <v>2</v>
      </c>
    </row>
    <row r="283" spans="1:8" x14ac:dyDescent="0.3">
      <c r="A283" s="25" t="s">
        <v>1419</v>
      </c>
      <c r="B283" t="s">
        <v>429</v>
      </c>
      <c r="C283" s="111" t="str">
        <f>IF(G282="","",IF(G282&gt;=2,"Green",IF(G282=1,"Devolvida","Red")))</f>
        <v>Green</v>
      </c>
      <c r="D283" t="s">
        <v>1387</v>
      </c>
      <c r="E283" s="175">
        <f>IF(OR(C283="",D281=""),"",IF(C283="Green",F281*(D281-1),IF(C283="Devolvida",0,IF(C283="Red",-F281,""))))</f>
        <v>5.2499999999999991E-2</v>
      </c>
      <c r="F283" s="231"/>
      <c r="G283" s="231"/>
      <c r="H283" s="231"/>
    </row>
    <row r="286" spans="1:8" ht="17.399999999999999" x14ac:dyDescent="0.35">
      <c r="A286" s="254">
        <v>46243</v>
      </c>
      <c r="B286" s="254"/>
      <c r="C286" s="255" t="s">
        <v>3383</v>
      </c>
      <c r="D286" s="255"/>
      <c r="E286" s="255"/>
      <c r="F286" s="255"/>
      <c r="G286" s="255"/>
      <c r="H286" s="255"/>
    </row>
    <row r="287" spans="1:8" x14ac:dyDescent="0.3">
      <c r="A287" s="256" t="s">
        <v>1378</v>
      </c>
      <c r="B287" s="256"/>
      <c r="C287" s="256"/>
      <c r="D287" s="256"/>
      <c r="E287" s="231" t="s">
        <v>1415</v>
      </c>
      <c r="F287" s="231"/>
      <c r="G287" s="256" t="s">
        <v>3374</v>
      </c>
      <c r="H287" s="256"/>
    </row>
    <row r="288" spans="1:8" x14ac:dyDescent="0.3">
      <c r="A288" s="25" t="s">
        <v>1402</v>
      </c>
      <c r="B288" s="234" t="s">
        <v>3384</v>
      </c>
      <c r="C288" s="234"/>
      <c r="D288" s="234"/>
      <c r="E288" s="81" t="s">
        <v>1403</v>
      </c>
      <c r="F288" s="81" t="s">
        <v>1393</v>
      </c>
      <c r="G288" s="81" t="s">
        <v>804</v>
      </c>
      <c r="H288" s="81" t="s">
        <v>1394</v>
      </c>
    </row>
    <row r="289" spans="1:8" x14ac:dyDescent="0.3">
      <c r="A289" s="25" t="s">
        <v>1404</v>
      </c>
      <c r="B289" s="234" t="s">
        <v>3385</v>
      </c>
      <c r="C289" s="234"/>
      <c r="D289" s="234"/>
      <c r="E289" s="234"/>
      <c r="F289" s="234"/>
      <c r="G289" s="234"/>
      <c r="H289" s="234"/>
    </row>
    <row r="290" spans="1:8" x14ac:dyDescent="0.3">
      <c r="A290" s="25" t="s">
        <v>1405</v>
      </c>
      <c r="B290" s="234" t="s">
        <v>1669</v>
      </c>
      <c r="C290" s="234"/>
      <c r="D290" s="81" t="s">
        <v>803</v>
      </c>
      <c r="E290" s="234" t="s">
        <v>3386</v>
      </c>
      <c r="F290" s="234"/>
      <c r="G290" s="234"/>
      <c r="H290" s="234"/>
    </row>
    <row r="291" spans="1:8" x14ac:dyDescent="0.3">
      <c r="A291" s="25" t="s">
        <v>1406</v>
      </c>
      <c r="B291" t="s">
        <v>1393</v>
      </c>
      <c r="C291" t="s">
        <v>53</v>
      </c>
      <c r="D291" s="80">
        <v>1.18</v>
      </c>
      <c r="E291" t="s">
        <v>54</v>
      </c>
      <c r="F291" s="174">
        <v>0.5</v>
      </c>
      <c r="G291" t="s">
        <v>1388</v>
      </c>
      <c r="H291" t="str">
        <f>IF(C292="","Pendente","Finalizado")</f>
        <v>Finalizado</v>
      </c>
    </row>
    <row r="292" spans="1:8" x14ac:dyDescent="0.3">
      <c r="A292" s="25" t="s">
        <v>1417</v>
      </c>
      <c r="B292" s="41" t="s">
        <v>45</v>
      </c>
      <c r="C292" s="87">
        <v>2</v>
      </c>
      <c r="D292" s="41" t="s">
        <v>48</v>
      </c>
      <c r="E292" s="87">
        <v>0</v>
      </c>
      <c r="F292" t="s">
        <v>1418</v>
      </c>
      <c r="G292">
        <f>IF(OR(C292="",E292=""),"",C292+E292)</f>
        <v>2</v>
      </c>
    </row>
    <row r="293" spans="1:8" x14ac:dyDescent="0.3">
      <c r="A293" s="25" t="s">
        <v>1419</v>
      </c>
      <c r="B293" t="s">
        <v>429</v>
      </c>
      <c r="C293" s="111" t="str">
        <f>IF(G292="","",IF(G292&gt;=2,"Green","Red"))</f>
        <v>Green</v>
      </c>
      <c r="D293" t="s">
        <v>1387</v>
      </c>
      <c r="E293" s="175">
        <f>IF(OR(C293="",D291=""),"",IF(C293="Green",F291*(D291-1),IF(C293="Red",-F291,"")))</f>
        <v>8.9999999999999969E-2</v>
      </c>
      <c r="F293" s="231"/>
      <c r="G293" s="231"/>
      <c r="H293" s="231"/>
    </row>
    <row r="296" spans="1:8" ht="17.399999999999999" x14ac:dyDescent="0.35">
      <c r="A296" s="254">
        <v>46243</v>
      </c>
      <c r="B296" s="254"/>
      <c r="C296" s="255" t="s">
        <v>3387</v>
      </c>
      <c r="D296" s="255"/>
      <c r="E296" s="255"/>
      <c r="F296" s="255"/>
      <c r="G296" s="255"/>
      <c r="H296" s="255"/>
    </row>
    <row r="297" spans="1:8" x14ac:dyDescent="0.3">
      <c r="A297" s="256" t="s">
        <v>1377</v>
      </c>
      <c r="B297" s="256"/>
      <c r="C297" s="256"/>
      <c r="D297" s="256"/>
      <c r="E297" s="231" t="s">
        <v>1415</v>
      </c>
      <c r="F297" s="231"/>
      <c r="G297" s="256" t="s">
        <v>3094</v>
      </c>
      <c r="H297" s="256"/>
    </row>
    <row r="298" spans="1:8" x14ac:dyDescent="0.3">
      <c r="A298" s="25" t="s">
        <v>1402</v>
      </c>
      <c r="B298" s="234" t="s">
        <v>3388</v>
      </c>
      <c r="C298" s="234"/>
      <c r="D298" s="234"/>
      <c r="E298" s="81" t="s">
        <v>1403</v>
      </c>
      <c r="F298" s="81" t="s">
        <v>1393</v>
      </c>
      <c r="G298" s="81" t="s">
        <v>804</v>
      </c>
      <c r="H298" s="81" t="s">
        <v>1394</v>
      </c>
    </row>
    <row r="299" spans="1:8" x14ac:dyDescent="0.3">
      <c r="A299" s="25" t="s">
        <v>1404</v>
      </c>
      <c r="B299" s="234" t="s">
        <v>3389</v>
      </c>
      <c r="C299" s="234"/>
      <c r="D299" s="234"/>
      <c r="E299" s="234"/>
      <c r="F299" s="234"/>
      <c r="G299" s="234"/>
      <c r="H299" s="234"/>
    </row>
    <row r="300" spans="1:8" x14ac:dyDescent="0.3">
      <c r="A300" s="25" t="s">
        <v>1405</v>
      </c>
      <c r="B300" s="234" t="s">
        <v>3390</v>
      </c>
      <c r="C300" s="234"/>
      <c r="D300" s="81" t="s">
        <v>803</v>
      </c>
      <c r="E300" s="234" t="s">
        <v>3391</v>
      </c>
      <c r="F300" s="234"/>
      <c r="G300" s="234"/>
      <c r="H300" s="234"/>
    </row>
    <row r="301" spans="1:8" x14ac:dyDescent="0.3">
      <c r="A301" s="25" t="s">
        <v>1406</v>
      </c>
      <c r="B301" t="s">
        <v>1391</v>
      </c>
      <c r="C301" t="s">
        <v>53</v>
      </c>
      <c r="D301" s="80">
        <v>1.24</v>
      </c>
      <c r="E301" t="s">
        <v>54</v>
      </c>
      <c r="F301" s="174">
        <v>0.5</v>
      </c>
      <c r="G301" t="s">
        <v>1388</v>
      </c>
      <c r="H301" t="str">
        <f>IF(C302="","Pendente","Finalizado")</f>
        <v>Finalizado</v>
      </c>
    </row>
    <row r="302" spans="1:8" x14ac:dyDescent="0.3">
      <c r="A302" s="25" t="s">
        <v>1417</v>
      </c>
      <c r="B302" s="41" t="s">
        <v>45</v>
      </c>
      <c r="C302" s="87">
        <v>5</v>
      </c>
      <c r="D302" s="41" t="s">
        <v>48</v>
      </c>
      <c r="E302" s="87">
        <v>0</v>
      </c>
      <c r="F302" t="s">
        <v>1418</v>
      </c>
      <c r="G302">
        <f>IF(OR(C302="",E302=""),"",C302+E302)</f>
        <v>5</v>
      </c>
    </row>
    <row r="303" spans="1:8" x14ac:dyDescent="0.3">
      <c r="A303" s="25" t="s">
        <v>1419</v>
      </c>
      <c r="B303" t="s">
        <v>429</v>
      </c>
      <c r="C303" s="111" t="str">
        <f>IF(G302="","",IF(G302&gt;2,"Green",IF(G302=2,"Devolvida","Red")))</f>
        <v>Green</v>
      </c>
      <c r="D303" t="s">
        <v>1387</v>
      </c>
      <c r="E303" s="175">
        <f>IF(OR(C303="",D301=""),"",IF(C303="Green",F301*(D301-1),IF(C303="Devolvida",0,IF(C303="Red",-F301,""))))</f>
        <v>0.12</v>
      </c>
      <c r="F303" s="231"/>
      <c r="G303" s="231"/>
      <c r="H303" s="231"/>
    </row>
    <row r="306" spans="1:8" ht="17.399999999999999" x14ac:dyDescent="0.35">
      <c r="A306" s="254">
        <v>46243</v>
      </c>
      <c r="B306" s="254"/>
      <c r="C306" s="255" t="s">
        <v>4312</v>
      </c>
      <c r="D306" s="255"/>
      <c r="E306" s="255"/>
      <c r="F306" s="255"/>
      <c r="G306" s="255"/>
      <c r="H306" s="255"/>
    </row>
    <row r="307" spans="1:8" x14ac:dyDescent="0.3">
      <c r="A307" s="256" t="s">
        <v>1377</v>
      </c>
      <c r="B307" s="256"/>
      <c r="C307" s="256"/>
      <c r="D307" s="256"/>
      <c r="E307" s="231" t="s">
        <v>1415</v>
      </c>
      <c r="F307" s="231"/>
      <c r="G307" s="256" t="s">
        <v>3338</v>
      </c>
      <c r="H307" s="256"/>
    </row>
    <row r="308" spans="1:8" x14ac:dyDescent="0.3">
      <c r="A308" s="25" t="s">
        <v>1402</v>
      </c>
      <c r="B308" s="234" t="s">
        <v>4313</v>
      </c>
      <c r="C308" s="234"/>
      <c r="D308" s="234"/>
      <c r="E308" s="81" t="s">
        <v>1403</v>
      </c>
      <c r="F308" s="81" t="s">
        <v>1393</v>
      </c>
      <c r="G308" s="234" t="s">
        <v>804</v>
      </c>
      <c r="H308" s="234"/>
    </row>
    <row r="309" spans="1:8" x14ac:dyDescent="0.3">
      <c r="A309" s="25" t="s">
        <v>1404</v>
      </c>
      <c r="B309" s="234" t="s">
        <v>4314</v>
      </c>
      <c r="C309" s="234"/>
      <c r="D309" s="234"/>
      <c r="E309" s="234"/>
      <c r="F309" s="234"/>
      <c r="G309" s="234"/>
      <c r="H309" s="234"/>
    </row>
    <row r="310" spans="1:8" x14ac:dyDescent="0.3">
      <c r="A310" s="25" t="s">
        <v>1405</v>
      </c>
      <c r="B310" s="234" t="s">
        <v>4315</v>
      </c>
      <c r="C310" s="234"/>
      <c r="D310" s="81" t="s">
        <v>803</v>
      </c>
      <c r="E310" s="234" t="s">
        <v>4316</v>
      </c>
      <c r="F310" s="234"/>
      <c r="G310" s="234"/>
      <c r="H310" s="234"/>
    </row>
    <row r="311" spans="1:8" x14ac:dyDescent="0.3">
      <c r="A311" s="25" t="s">
        <v>1406</v>
      </c>
      <c r="B311" t="s">
        <v>1393</v>
      </c>
      <c r="C311" t="s">
        <v>53</v>
      </c>
      <c r="D311" s="80">
        <v>1.17</v>
      </c>
      <c r="E311" t="s">
        <v>54</v>
      </c>
      <c r="F311" s="83">
        <v>0.5</v>
      </c>
      <c r="G311" t="s">
        <v>1388</v>
      </c>
      <c r="H311" t="s">
        <v>4311</v>
      </c>
    </row>
    <row r="312" spans="1:8" x14ac:dyDescent="0.3">
      <c r="A312" s="25" t="s">
        <v>1417</v>
      </c>
      <c r="B312" s="41" t="s">
        <v>45</v>
      </c>
      <c r="C312" s="87">
        <v>2</v>
      </c>
      <c r="D312" s="41" t="s">
        <v>48</v>
      </c>
      <c r="E312" s="87">
        <v>3</v>
      </c>
      <c r="F312" t="s">
        <v>1418</v>
      </c>
      <c r="G312">
        <f>IF(OR(C312="",E312=""),"",C312+E312)</f>
        <v>5</v>
      </c>
    </row>
    <row r="313" spans="1:8" x14ac:dyDescent="0.3">
      <c r="A313" s="25" t="s">
        <v>1419</v>
      </c>
      <c r="B313" t="s">
        <v>429</v>
      </c>
      <c r="C313" s="111" t="s">
        <v>61</v>
      </c>
      <c r="D313" t="s">
        <v>1387</v>
      </c>
      <c r="E313" s="83">
        <v>8.5000000000000006E-2</v>
      </c>
      <c r="F313" s="234" t="s">
        <v>4317</v>
      </c>
      <c r="G313" s="234"/>
      <c r="H313" s="234"/>
    </row>
    <row r="316" spans="1:8" ht="17.399999999999999" x14ac:dyDescent="0.35">
      <c r="A316" s="254">
        <v>46244</v>
      </c>
      <c r="B316" s="254"/>
      <c r="C316" s="255" t="s">
        <v>4587</v>
      </c>
      <c r="D316" s="255"/>
      <c r="E316" s="255"/>
      <c r="F316" s="255"/>
      <c r="G316" s="255"/>
      <c r="H316" s="255"/>
    </row>
    <row r="317" spans="1:8" x14ac:dyDescent="0.3">
      <c r="A317" s="256" t="s">
        <v>4336</v>
      </c>
      <c r="B317" s="256"/>
      <c r="C317" s="256"/>
      <c r="D317" s="256"/>
      <c r="E317" s="231" t="s">
        <v>1415</v>
      </c>
      <c r="F317" s="231"/>
      <c r="G317" s="256" t="s">
        <v>4588</v>
      </c>
      <c r="H317" s="256"/>
    </row>
    <row r="318" spans="1:8" x14ac:dyDescent="0.3">
      <c r="A318" s="25" t="s">
        <v>1402</v>
      </c>
      <c r="B318" s="234" t="s">
        <v>4589</v>
      </c>
      <c r="C318" s="234"/>
      <c r="D318" s="234"/>
      <c r="E318" s="81" t="s">
        <v>1403</v>
      </c>
      <c r="F318" s="81" t="s">
        <v>1572</v>
      </c>
      <c r="G318" s="81" t="s">
        <v>804</v>
      </c>
      <c r="H318" s="81" t="s">
        <v>1573</v>
      </c>
    </row>
    <row r="319" spans="1:8" x14ac:dyDescent="0.3">
      <c r="A319" s="25" t="s">
        <v>1404</v>
      </c>
      <c r="B319" s="234" t="s">
        <v>4592</v>
      </c>
      <c r="C319" s="234"/>
      <c r="D319" s="234"/>
      <c r="E319" s="234"/>
      <c r="F319" s="234"/>
      <c r="G319" s="234"/>
      <c r="H319" s="234"/>
    </row>
    <row r="320" spans="1:8" x14ac:dyDescent="0.3">
      <c r="A320" s="25" t="s">
        <v>1405</v>
      </c>
      <c r="B320" s="234" t="s">
        <v>4593</v>
      </c>
      <c r="C320" s="234"/>
      <c r="D320" s="81" t="s">
        <v>803</v>
      </c>
      <c r="E320" s="234" t="s">
        <v>4590</v>
      </c>
      <c r="F320" s="234"/>
      <c r="G320" s="234"/>
      <c r="H320" s="234"/>
    </row>
    <row r="321" spans="1:8" x14ac:dyDescent="0.3">
      <c r="A321" s="25" t="s">
        <v>1406</v>
      </c>
      <c r="B321" t="s">
        <v>1389</v>
      </c>
      <c r="C321" t="s">
        <v>53</v>
      </c>
      <c r="D321" s="80">
        <v>1.1499999999999999</v>
      </c>
      <c r="E321" t="s">
        <v>54</v>
      </c>
      <c r="F321" s="83">
        <v>0.5</v>
      </c>
      <c r="G321" t="s">
        <v>1388</v>
      </c>
      <c r="H321" t="str">
        <f>IF(C322="","Pendente","Finalizado")</f>
        <v>Finalizado</v>
      </c>
    </row>
    <row r="322" spans="1:8" x14ac:dyDescent="0.3">
      <c r="A322" s="25" t="s">
        <v>1417</v>
      </c>
      <c r="B322" s="41" t="s">
        <v>45</v>
      </c>
      <c r="C322" s="177">
        <v>2</v>
      </c>
      <c r="D322" s="41" t="s">
        <v>48</v>
      </c>
      <c r="E322" s="177">
        <v>5</v>
      </c>
      <c r="F322" t="s">
        <v>1418</v>
      </c>
      <c r="G322">
        <f>IF(OR(C322="",E322=""),"",C322+E322)</f>
        <v>7</v>
      </c>
    </row>
    <row r="323" spans="1:8" x14ac:dyDescent="0.3">
      <c r="A323" s="25" t="s">
        <v>1419</v>
      </c>
      <c r="B323" t="s">
        <v>429</v>
      </c>
      <c r="C323" s="111" t="str">
        <f>IF(G322="","",IF(G322&gt;=3,"Green","Red"))</f>
        <v>Green</v>
      </c>
      <c r="D323" t="s">
        <v>1387</v>
      </c>
      <c r="E323" s="176">
        <f>IF(OR(C323="",D321=""),"",IF(C323="Green",F321*(D321-1),IF(C323="Red",-F321,"")))</f>
        <v>7.4999999999999956E-2</v>
      </c>
      <c r="F323" s="234" t="s">
        <v>4591</v>
      </c>
      <c r="G323" s="234"/>
      <c r="H323" s="234"/>
    </row>
    <row r="326" spans="1:8" ht="17.399999999999999" x14ac:dyDescent="0.35">
      <c r="A326" s="254">
        <v>46244</v>
      </c>
      <c r="B326" s="254"/>
      <c r="C326" s="255" t="s">
        <v>4594</v>
      </c>
      <c r="D326" s="255"/>
      <c r="E326" s="255"/>
      <c r="F326" s="255"/>
      <c r="G326" s="255"/>
      <c r="H326" s="255"/>
    </row>
    <row r="327" spans="1:8" x14ac:dyDescent="0.3">
      <c r="A327" s="256" t="s">
        <v>1379</v>
      </c>
      <c r="B327" s="256"/>
      <c r="C327" s="256"/>
      <c r="D327" s="256"/>
      <c r="E327" s="231" t="s">
        <v>1415</v>
      </c>
      <c r="F327" s="231"/>
      <c r="G327" s="256" t="s">
        <v>4595</v>
      </c>
      <c r="H327" s="256"/>
    </row>
    <row r="328" spans="1:8" x14ac:dyDescent="0.3">
      <c r="A328" s="25" t="s">
        <v>1402</v>
      </c>
      <c r="B328" s="234" t="s">
        <v>4596</v>
      </c>
      <c r="C328" s="234"/>
      <c r="D328" s="234"/>
      <c r="E328" s="81" t="s">
        <v>1403</v>
      </c>
      <c r="F328" s="81" t="s">
        <v>1393</v>
      </c>
      <c r="G328" s="81" t="s">
        <v>804</v>
      </c>
      <c r="H328" s="81" t="s">
        <v>1394</v>
      </c>
    </row>
    <row r="329" spans="1:8" x14ac:dyDescent="0.3">
      <c r="A329" s="25" t="s">
        <v>1404</v>
      </c>
      <c r="B329" s="234" t="s">
        <v>4597</v>
      </c>
      <c r="C329" s="234"/>
      <c r="D329" s="234"/>
      <c r="E329" s="234"/>
      <c r="F329" s="234"/>
      <c r="G329" s="234"/>
      <c r="H329" s="234"/>
    </row>
    <row r="330" spans="1:8" x14ac:dyDescent="0.3">
      <c r="A330" s="25" t="s">
        <v>1405</v>
      </c>
      <c r="B330" s="234" t="s">
        <v>4598</v>
      </c>
      <c r="C330" s="234"/>
      <c r="D330" s="81" t="s">
        <v>803</v>
      </c>
      <c r="E330" s="234" t="s">
        <v>4599</v>
      </c>
      <c r="F330" s="234"/>
      <c r="G330" s="234"/>
      <c r="H330" s="234"/>
    </row>
    <row r="331" spans="1:8" x14ac:dyDescent="0.3">
      <c r="A331" s="25" t="s">
        <v>1406</v>
      </c>
      <c r="B331" t="s">
        <v>1872</v>
      </c>
      <c r="C331" t="s">
        <v>53</v>
      </c>
      <c r="D331" s="80">
        <v>1.1200000000000001</v>
      </c>
      <c r="E331" t="s">
        <v>54</v>
      </c>
      <c r="F331" s="83">
        <v>0.5</v>
      </c>
      <c r="G331" t="s">
        <v>1388</v>
      </c>
      <c r="H331" t="str">
        <f>IF(C332="","Pendente","Finalizado")</f>
        <v>Finalizado</v>
      </c>
    </row>
    <row r="332" spans="1:8" x14ac:dyDescent="0.3">
      <c r="A332" s="25" t="s">
        <v>1417</v>
      </c>
      <c r="B332" s="41" t="s">
        <v>45</v>
      </c>
      <c r="C332" s="177">
        <v>1</v>
      </c>
      <c r="D332" s="41" t="s">
        <v>48</v>
      </c>
      <c r="E332" s="177">
        <v>0</v>
      </c>
      <c r="F332" t="s">
        <v>1418</v>
      </c>
      <c r="G332">
        <f>IF(OR(C332="",E332=""),"",C332+E332)</f>
        <v>1</v>
      </c>
    </row>
    <row r="333" spans="1:8" x14ac:dyDescent="0.3">
      <c r="A333" s="25" t="s">
        <v>1419</v>
      </c>
      <c r="B333" t="s">
        <v>429</v>
      </c>
      <c r="C333" s="111" t="s">
        <v>62</v>
      </c>
      <c r="D333" t="s">
        <v>1387</v>
      </c>
      <c r="E333" s="174">
        <v>0.06</v>
      </c>
      <c r="F333" s="234" t="s">
        <v>7631</v>
      </c>
      <c r="G333" s="234"/>
      <c r="H333" s="234"/>
    </row>
    <row r="336" spans="1:8" ht="17.399999999999999" x14ac:dyDescent="0.35">
      <c r="A336" s="254">
        <v>46244</v>
      </c>
      <c r="B336" s="254"/>
      <c r="C336" s="255" t="s">
        <v>4704</v>
      </c>
      <c r="D336" s="255"/>
      <c r="E336" s="255"/>
      <c r="F336" s="255"/>
      <c r="G336" s="255"/>
      <c r="H336" s="255"/>
    </row>
    <row r="337" spans="1:8" x14ac:dyDescent="0.3">
      <c r="A337" s="256" t="s">
        <v>4703</v>
      </c>
      <c r="B337" s="256"/>
      <c r="C337" s="256"/>
      <c r="D337" s="256"/>
      <c r="E337" s="231" t="s">
        <v>1415</v>
      </c>
      <c r="F337" s="231"/>
      <c r="G337" s="256" t="s">
        <v>4705</v>
      </c>
      <c r="H337" s="256"/>
    </row>
    <row r="338" spans="1:8" x14ac:dyDescent="0.3">
      <c r="A338" s="25" t="s">
        <v>1402</v>
      </c>
      <c r="B338" s="234" t="s">
        <v>4706</v>
      </c>
      <c r="C338" s="234"/>
      <c r="D338" s="234"/>
      <c r="E338" s="81" t="s">
        <v>1403</v>
      </c>
      <c r="F338" s="81" t="s">
        <v>1883</v>
      </c>
      <c r="G338" s="81" t="s">
        <v>804</v>
      </c>
      <c r="H338" s="81" t="s">
        <v>3340</v>
      </c>
    </row>
    <row r="339" spans="1:8" x14ac:dyDescent="0.3">
      <c r="A339" s="25" t="s">
        <v>1404</v>
      </c>
      <c r="B339" s="234" t="s">
        <v>4707</v>
      </c>
      <c r="C339" s="234"/>
      <c r="D339" s="234"/>
      <c r="E339" s="234"/>
      <c r="F339" s="234"/>
      <c r="G339" s="234"/>
      <c r="H339" s="234"/>
    </row>
    <row r="340" spans="1:8" x14ac:dyDescent="0.3">
      <c r="A340" s="25" t="s">
        <v>1405</v>
      </c>
      <c r="B340" s="234" t="s">
        <v>4708</v>
      </c>
      <c r="C340" s="234"/>
      <c r="D340" s="81" t="s">
        <v>803</v>
      </c>
      <c r="E340" s="234" t="s">
        <v>4709</v>
      </c>
      <c r="F340" s="234"/>
      <c r="G340" s="234"/>
      <c r="H340" s="234"/>
    </row>
    <row r="341" spans="1:8" x14ac:dyDescent="0.3">
      <c r="A341" s="25" t="s">
        <v>1406</v>
      </c>
      <c r="B341" t="s">
        <v>1883</v>
      </c>
      <c r="C341" t="s">
        <v>53</v>
      </c>
      <c r="D341" s="80">
        <v>1.17</v>
      </c>
      <c r="E341" t="s">
        <v>54</v>
      </c>
      <c r="F341" s="83">
        <v>0.5</v>
      </c>
      <c r="G341" t="s">
        <v>1388</v>
      </c>
      <c r="H341" t="str">
        <f>IF(C342="","Pendente","Finalizado")</f>
        <v>Finalizado</v>
      </c>
    </row>
    <row r="342" spans="1:8" x14ac:dyDescent="0.3">
      <c r="A342" s="25" t="s">
        <v>1417</v>
      </c>
      <c r="B342" s="41" t="s">
        <v>45</v>
      </c>
      <c r="C342" s="177">
        <v>2</v>
      </c>
      <c r="D342" s="41" t="s">
        <v>48</v>
      </c>
      <c r="E342" s="177">
        <v>1</v>
      </c>
      <c r="F342" t="s">
        <v>1418</v>
      </c>
      <c r="G342">
        <f>IF(OR(C342="",E342=""),"",C342+E342)</f>
        <v>3</v>
      </c>
    </row>
    <row r="343" spans="1:8" x14ac:dyDescent="0.3">
      <c r="A343" s="25" t="s">
        <v>1419</v>
      </c>
      <c r="B343" t="s">
        <v>429</v>
      </c>
      <c r="C343" s="111" t="str">
        <f>IF(G342="","",IF(G342&gt;=2,"Green",IF(G342=1,"Meio Red","Red")))</f>
        <v>Green</v>
      </c>
      <c r="D343" t="s">
        <v>1387</v>
      </c>
      <c r="E343" s="176">
        <f>IF(OR(C343="",D341=""),"",IF(C343="Green",F341*(D341-1),IF(C343="Meio Red",-F341/2,IF(C343="Red",-F341,""))))</f>
        <v>8.4999999999999964E-2</v>
      </c>
      <c r="F343" s="234" t="s">
        <v>4600</v>
      </c>
      <c r="G343" s="234"/>
      <c r="H343" s="234"/>
    </row>
    <row r="346" spans="1:8" ht="17.55" customHeight="1" x14ac:dyDescent="0.35">
      <c r="A346" s="254" t="s">
        <v>8288</v>
      </c>
      <c r="B346" s="254"/>
      <c r="C346" s="255" t="s">
        <v>8289</v>
      </c>
      <c r="D346" s="255"/>
      <c r="E346" s="255"/>
      <c r="F346" s="255"/>
      <c r="G346" s="255"/>
      <c r="H346" s="255"/>
    </row>
    <row r="347" spans="1:8" ht="14.55" customHeight="1" x14ac:dyDescent="0.3">
      <c r="A347" s="256" t="s">
        <v>850</v>
      </c>
      <c r="B347" s="256"/>
      <c r="C347" s="256"/>
      <c r="D347" s="256"/>
      <c r="E347" s="231" t="s">
        <v>1415</v>
      </c>
      <c r="F347" s="231"/>
      <c r="G347" s="256" t="s">
        <v>8290</v>
      </c>
      <c r="H347" s="256"/>
    </row>
    <row r="348" spans="1:8" ht="14.55" customHeight="1" x14ac:dyDescent="0.3">
      <c r="A348" s="25" t="s">
        <v>1402</v>
      </c>
      <c r="B348" s="234" t="s">
        <v>8291</v>
      </c>
      <c r="C348" s="234"/>
      <c r="D348" s="234"/>
      <c r="E348" s="81" t="s">
        <v>1403</v>
      </c>
      <c r="F348" s="81" t="s">
        <v>1391</v>
      </c>
      <c r="G348" s="81" t="s">
        <v>804</v>
      </c>
      <c r="H348" s="81" t="s">
        <v>8292</v>
      </c>
    </row>
    <row r="349" spans="1:8" ht="14.55" customHeight="1" x14ac:dyDescent="0.3">
      <c r="A349" s="25" t="s">
        <v>1404</v>
      </c>
      <c r="B349" s="234" t="s">
        <v>8293</v>
      </c>
      <c r="C349" s="234"/>
      <c r="D349" s="234"/>
      <c r="E349" s="234"/>
      <c r="F349" s="234"/>
      <c r="G349" s="234"/>
      <c r="H349" s="234"/>
    </row>
    <row r="350" spans="1:8" ht="14.55" customHeight="1" x14ac:dyDescent="0.3">
      <c r="A350" s="25" t="s">
        <v>1405</v>
      </c>
      <c r="B350" s="234" t="s">
        <v>8294</v>
      </c>
      <c r="C350" s="234"/>
      <c r="D350" s="81" t="s">
        <v>803</v>
      </c>
      <c r="E350" s="234" t="s">
        <v>8295</v>
      </c>
      <c r="F350" s="234"/>
      <c r="G350" s="234"/>
      <c r="H350" s="234"/>
    </row>
    <row r="351" spans="1:8" ht="14.55" customHeight="1" x14ac:dyDescent="0.3">
      <c r="A351" s="25" t="s">
        <v>1406</v>
      </c>
      <c r="B351" t="s">
        <v>1391</v>
      </c>
      <c r="C351" t="s">
        <v>53</v>
      </c>
      <c r="D351" s="80"/>
      <c r="E351" t="s">
        <v>54</v>
      </c>
      <c r="F351" s="83">
        <v>0.5</v>
      </c>
      <c r="G351" t="s">
        <v>1388</v>
      </c>
      <c r="H351" t="s">
        <v>8296</v>
      </c>
    </row>
    <row r="352" spans="1:8" ht="14.55" customHeight="1" x14ac:dyDescent="0.3">
      <c r="A352" s="25" t="s">
        <v>1417</v>
      </c>
      <c r="B352" s="41" t="s">
        <v>45</v>
      </c>
      <c r="C352" s="177"/>
      <c r="D352" s="41" t="s">
        <v>48</v>
      </c>
      <c r="E352" s="177"/>
      <c r="F352" t="s">
        <v>1418</v>
      </c>
      <c r="G352" t="str">
        <f>IF(OR(C352="",E352=""),"",C352+E352)</f>
        <v/>
      </c>
    </row>
    <row r="353" spans="1:8" ht="14.55" customHeight="1" x14ac:dyDescent="0.3">
      <c r="A353" s="25" t="s">
        <v>1419</v>
      </c>
      <c r="B353" t="s">
        <v>429</v>
      </c>
      <c r="C353" s="111" t="str">
        <f>IF(G352="","",IF(G352&gt;2,"Green",IF(G352=2,"Devolvida","Red")))</f>
        <v/>
      </c>
      <c r="D353" t="s">
        <v>1387</v>
      </c>
      <c r="E353" s="176" t="str">
        <f>IF(OR(G352="",D351=""),"",IF(G352&gt;2,F351*(D351-1),IF(G352=2,0,-F351)))</f>
        <v/>
      </c>
      <c r="F353" s="234" t="s">
        <v>8297</v>
      </c>
      <c r="G353" s="234"/>
      <c r="H353" s="234"/>
    </row>
    <row r="354" spans="1:8" ht="14.55" customHeight="1" x14ac:dyDescent="0.3"/>
    <row r="355" spans="1:8" ht="14.55" customHeight="1" x14ac:dyDescent="0.3"/>
    <row r="356" spans="1:8" ht="17.55" customHeight="1" x14ac:dyDescent="0.35">
      <c r="A356" s="254" t="s">
        <v>8288</v>
      </c>
      <c r="B356" s="254"/>
      <c r="C356" s="255" t="s">
        <v>8298</v>
      </c>
      <c r="D356" s="255"/>
      <c r="E356" s="255"/>
      <c r="F356" s="255"/>
      <c r="G356" s="255"/>
      <c r="H356" s="255"/>
    </row>
    <row r="357" spans="1:8" ht="14.55" customHeight="1" x14ac:dyDescent="0.3">
      <c r="A357" s="256" t="s">
        <v>854</v>
      </c>
      <c r="B357" s="256"/>
      <c r="C357" s="256"/>
      <c r="D357" s="256"/>
      <c r="E357" s="231" t="s">
        <v>1415</v>
      </c>
      <c r="F357" s="231"/>
      <c r="G357" s="256" t="s">
        <v>8290</v>
      </c>
      <c r="H357" s="256"/>
    </row>
    <row r="358" spans="1:8" ht="14.55" customHeight="1" x14ac:dyDescent="0.3">
      <c r="A358" s="25" t="s">
        <v>1402</v>
      </c>
      <c r="B358" s="234" t="s">
        <v>8299</v>
      </c>
      <c r="C358" s="234"/>
      <c r="D358" s="234"/>
      <c r="E358" s="81" t="s">
        <v>1403</v>
      </c>
      <c r="F358" s="81" t="s">
        <v>1391</v>
      </c>
      <c r="G358" s="81" t="s">
        <v>804</v>
      </c>
      <c r="H358" s="81" t="s">
        <v>8292</v>
      </c>
    </row>
    <row r="359" spans="1:8" ht="14.55" customHeight="1" x14ac:dyDescent="0.3">
      <c r="A359" s="25" t="s">
        <v>1404</v>
      </c>
      <c r="B359" s="234" t="s">
        <v>8293</v>
      </c>
      <c r="C359" s="234"/>
      <c r="D359" s="234"/>
      <c r="E359" s="234"/>
      <c r="F359" s="234"/>
      <c r="G359" s="234"/>
      <c r="H359" s="234"/>
    </row>
    <row r="360" spans="1:8" ht="14.55" customHeight="1" x14ac:dyDescent="0.3">
      <c r="A360" s="25" t="s">
        <v>1405</v>
      </c>
      <c r="B360" s="234" t="s">
        <v>8294</v>
      </c>
      <c r="C360" s="234"/>
      <c r="D360" s="81" t="s">
        <v>803</v>
      </c>
      <c r="E360" s="234" t="s">
        <v>8295</v>
      </c>
      <c r="F360" s="234"/>
      <c r="G360" s="234"/>
      <c r="H360" s="234"/>
    </row>
    <row r="361" spans="1:8" ht="14.55" customHeight="1" x14ac:dyDescent="0.3">
      <c r="A361" s="25" t="s">
        <v>1406</v>
      </c>
      <c r="B361" t="s">
        <v>1391</v>
      </c>
      <c r="C361" t="s">
        <v>53</v>
      </c>
      <c r="D361" s="80"/>
      <c r="E361" t="s">
        <v>54</v>
      </c>
      <c r="F361" s="83">
        <v>0.5</v>
      </c>
      <c r="G361" t="s">
        <v>1388</v>
      </c>
      <c r="H361" t="s">
        <v>8296</v>
      </c>
    </row>
    <row r="362" spans="1:8" ht="14.55" customHeight="1" x14ac:dyDescent="0.3">
      <c r="A362" s="25" t="s">
        <v>1417</v>
      </c>
      <c r="B362" s="41" t="s">
        <v>45</v>
      </c>
      <c r="C362" s="177"/>
      <c r="D362" s="41" t="s">
        <v>48</v>
      </c>
      <c r="E362" s="177"/>
      <c r="F362" t="s">
        <v>1418</v>
      </c>
      <c r="G362" t="str">
        <f>IF(OR(C362="",E362=""),"",C362+E362)</f>
        <v/>
      </c>
    </row>
    <row r="363" spans="1:8" ht="14.55" customHeight="1" x14ac:dyDescent="0.3">
      <c r="A363" s="25" t="s">
        <v>1419</v>
      </c>
      <c r="B363" t="s">
        <v>429</v>
      </c>
      <c r="C363" s="111" t="str">
        <f>IF(G362="","",IF(G362&gt;2,"Green",IF(G362=2,"Devolvida","Red")))</f>
        <v/>
      </c>
      <c r="D363" t="s">
        <v>1387</v>
      </c>
      <c r="E363" s="176" t="str">
        <f>IF(OR(G362="",D361=""),"",IF(G362&gt;2,F361*(D361-1),IF(G362=2,0,-F361)))</f>
        <v/>
      </c>
      <c r="F363" s="234" t="s">
        <v>8297</v>
      </c>
      <c r="G363" s="234"/>
      <c r="H363" s="234"/>
    </row>
    <row r="364" spans="1:8" ht="14.55" customHeight="1" x14ac:dyDescent="0.3"/>
    <row r="365" spans="1:8" ht="14.55" customHeight="1" x14ac:dyDescent="0.3"/>
    <row r="366" spans="1:8" ht="17.55" customHeight="1" x14ac:dyDescent="0.35">
      <c r="A366" s="254" t="s">
        <v>8288</v>
      </c>
      <c r="B366" s="254"/>
      <c r="C366" s="255" t="s">
        <v>8300</v>
      </c>
      <c r="D366" s="255"/>
      <c r="E366" s="255"/>
      <c r="F366" s="255"/>
      <c r="G366" s="255"/>
      <c r="H366" s="255"/>
    </row>
    <row r="367" spans="1:8" ht="14.55" customHeight="1" x14ac:dyDescent="0.3">
      <c r="A367" s="256" t="s">
        <v>854</v>
      </c>
      <c r="B367" s="256"/>
      <c r="C367" s="256"/>
      <c r="D367" s="256"/>
      <c r="E367" s="231" t="s">
        <v>1415</v>
      </c>
      <c r="F367" s="231"/>
      <c r="G367" s="256" t="s">
        <v>8290</v>
      </c>
      <c r="H367" s="256"/>
    </row>
    <row r="368" spans="1:8" ht="14.55" customHeight="1" x14ac:dyDescent="0.3">
      <c r="A368" s="25" t="s">
        <v>1402</v>
      </c>
      <c r="B368" s="234" t="s">
        <v>8301</v>
      </c>
      <c r="C368" s="234"/>
      <c r="D368" s="234"/>
      <c r="E368" s="81" t="s">
        <v>1403</v>
      </c>
      <c r="F368" s="81" t="s">
        <v>1391</v>
      </c>
      <c r="G368" s="81" t="s">
        <v>804</v>
      </c>
      <c r="H368" s="81" t="s">
        <v>8302</v>
      </c>
    </row>
    <row r="369" spans="1:8" ht="14.55" customHeight="1" x14ac:dyDescent="0.3">
      <c r="A369" s="25" t="s">
        <v>1404</v>
      </c>
      <c r="B369" s="234" t="s">
        <v>8293</v>
      </c>
      <c r="C369" s="234"/>
      <c r="D369" s="234"/>
      <c r="E369" s="234"/>
      <c r="F369" s="234"/>
      <c r="G369" s="234"/>
      <c r="H369" s="234"/>
    </row>
    <row r="370" spans="1:8" ht="14.55" customHeight="1" x14ac:dyDescent="0.3">
      <c r="A370" s="25" t="s">
        <v>1405</v>
      </c>
      <c r="B370" s="234" t="s">
        <v>8294</v>
      </c>
      <c r="C370" s="234"/>
      <c r="D370" s="81" t="s">
        <v>803</v>
      </c>
      <c r="E370" s="234" t="s">
        <v>8295</v>
      </c>
      <c r="F370" s="234"/>
      <c r="G370" s="234"/>
      <c r="H370" s="234"/>
    </row>
    <row r="371" spans="1:8" ht="14.55" customHeight="1" x14ac:dyDescent="0.3">
      <c r="A371" s="25" t="s">
        <v>1406</v>
      </c>
      <c r="B371" t="s">
        <v>1391</v>
      </c>
      <c r="C371" t="s">
        <v>53</v>
      </c>
      <c r="D371" s="80"/>
      <c r="E371" t="s">
        <v>54</v>
      </c>
      <c r="F371" s="83">
        <v>0.5</v>
      </c>
      <c r="G371" t="s">
        <v>1388</v>
      </c>
      <c r="H371" t="s">
        <v>8296</v>
      </c>
    </row>
    <row r="372" spans="1:8" ht="14.55" customHeight="1" x14ac:dyDescent="0.3">
      <c r="A372" s="25" t="s">
        <v>1417</v>
      </c>
      <c r="B372" s="41" t="s">
        <v>45</v>
      </c>
      <c r="C372" s="177"/>
      <c r="D372" s="41" t="s">
        <v>48</v>
      </c>
      <c r="E372" s="177"/>
      <c r="F372" t="s">
        <v>1418</v>
      </c>
      <c r="G372" t="str">
        <f>IF(OR(C372="",E372=""),"",C372+E372)</f>
        <v/>
      </c>
    </row>
    <row r="373" spans="1:8" ht="14.55" customHeight="1" x14ac:dyDescent="0.3">
      <c r="A373" s="25" t="s">
        <v>1419</v>
      </c>
      <c r="B373" t="s">
        <v>429</v>
      </c>
      <c r="C373" s="111" t="str">
        <f>IF(G372="","",IF(G372&gt;2,"Green",IF(G372=2,"Devolvida","Red")))</f>
        <v/>
      </c>
      <c r="D373" t="s">
        <v>1387</v>
      </c>
      <c r="E373" s="176" t="str">
        <f>IF(OR(G372="",D371=""),"",IF(G372&gt;2,F371*(D371-1),IF(G372=2,0,-F371)))</f>
        <v/>
      </c>
      <c r="F373" s="234" t="s">
        <v>8297</v>
      </c>
      <c r="G373" s="234"/>
      <c r="H373" s="234"/>
    </row>
    <row r="374" spans="1:8" ht="14.55" customHeight="1" x14ac:dyDescent="0.3"/>
    <row r="375" spans="1:8" ht="14.55" customHeight="1" x14ac:dyDescent="0.3"/>
    <row r="376" spans="1:8" ht="17.55" customHeight="1" x14ac:dyDescent="0.35">
      <c r="A376" s="254" t="s">
        <v>8288</v>
      </c>
      <c r="B376" s="254"/>
      <c r="C376" s="255" t="s">
        <v>8303</v>
      </c>
      <c r="D376" s="255"/>
      <c r="E376" s="255"/>
      <c r="F376" s="255"/>
      <c r="G376" s="255"/>
      <c r="H376" s="255"/>
    </row>
    <row r="377" spans="1:8" ht="14.55" customHeight="1" x14ac:dyDescent="0.3">
      <c r="A377" s="256" t="s">
        <v>854</v>
      </c>
      <c r="B377" s="256"/>
      <c r="C377" s="256"/>
      <c r="D377" s="256"/>
      <c r="E377" s="231" t="s">
        <v>1415</v>
      </c>
      <c r="F377" s="231"/>
      <c r="G377" s="256" t="s">
        <v>8290</v>
      </c>
      <c r="H377" s="256"/>
    </row>
    <row r="378" spans="1:8" ht="14.55" customHeight="1" x14ac:dyDescent="0.3">
      <c r="A378" s="25" t="s">
        <v>1402</v>
      </c>
      <c r="B378" s="234" t="s">
        <v>8304</v>
      </c>
      <c r="C378" s="234"/>
      <c r="D378" s="234"/>
      <c r="E378" s="81" t="s">
        <v>1403</v>
      </c>
      <c r="F378" s="81" t="s">
        <v>1391</v>
      </c>
      <c r="G378" s="81" t="s">
        <v>804</v>
      </c>
      <c r="H378" s="81" t="s">
        <v>8302</v>
      </c>
    </row>
    <row r="379" spans="1:8" ht="14.55" customHeight="1" x14ac:dyDescent="0.3">
      <c r="A379" s="25" t="s">
        <v>1404</v>
      </c>
      <c r="B379" s="234" t="s">
        <v>8293</v>
      </c>
      <c r="C379" s="234"/>
      <c r="D379" s="234"/>
      <c r="E379" s="234"/>
      <c r="F379" s="234"/>
      <c r="G379" s="234"/>
      <c r="H379" s="234"/>
    </row>
    <row r="380" spans="1:8" ht="14.55" customHeight="1" x14ac:dyDescent="0.3">
      <c r="A380" s="25" t="s">
        <v>1405</v>
      </c>
      <c r="B380" s="234" t="s">
        <v>8294</v>
      </c>
      <c r="C380" s="234"/>
      <c r="D380" s="81" t="s">
        <v>803</v>
      </c>
      <c r="E380" s="234" t="s">
        <v>8295</v>
      </c>
      <c r="F380" s="234"/>
      <c r="G380" s="234"/>
      <c r="H380" s="234"/>
    </row>
    <row r="381" spans="1:8" ht="14.55" customHeight="1" x14ac:dyDescent="0.3">
      <c r="A381" s="25" t="s">
        <v>1406</v>
      </c>
      <c r="B381" t="s">
        <v>1391</v>
      </c>
      <c r="C381" t="s">
        <v>53</v>
      </c>
      <c r="D381" s="80"/>
      <c r="E381" t="s">
        <v>54</v>
      </c>
      <c r="F381" s="83">
        <v>0.5</v>
      </c>
      <c r="G381" t="s">
        <v>1388</v>
      </c>
      <c r="H381" t="s">
        <v>8296</v>
      </c>
    </row>
    <row r="382" spans="1:8" ht="14.55" customHeight="1" x14ac:dyDescent="0.3">
      <c r="A382" s="25" t="s">
        <v>1417</v>
      </c>
      <c r="B382" s="41" t="s">
        <v>45</v>
      </c>
      <c r="C382" s="177"/>
      <c r="D382" s="41" t="s">
        <v>48</v>
      </c>
      <c r="E382" s="177"/>
      <c r="F382" t="s">
        <v>1418</v>
      </c>
      <c r="G382" t="str">
        <f>IF(OR(C382="",E382=""),"",C382+E382)</f>
        <v/>
      </c>
    </row>
    <row r="383" spans="1:8" ht="14.55" customHeight="1" x14ac:dyDescent="0.3">
      <c r="A383" s="25" t="s">
        <v>1419</v>
      </c>
      <c r="B383" t="s">
        <v>429</v>
      </c>
      <c r="C383" s="111" t="str">
        <f>IF(G382="","",IF(G382&gt;2,"Green",IF(G382=2,"Devolvida","Red")))</f>
        <v/>
      </c>
      <c r="D383" t="s">
        <v>1387</v>
      </c>
      <c r="E383" s="176" t="str">
        <f>IF(OR(G382="",D381=""),"",IF(G382&gt;2,F381*(D381-1),IF(G382=2,0,-F381)))</f>
        <v/>
      </c>
      <c r="F383" s="234" t="s">
        <v>8297</v>
      </c>
      <c r="G383" s="234"/>
      <c r="H383" s="234"/>
    </row>
    <row r="384" spans="1:8" ht="14.55" customHeight="1" x14ac:dyDescent="0.3"/>
    <row r="385" spans="1:8" ht="14.55" customHeight="1" x14ac:dyDescent="0.3"/>
    <row r="386" spans="1:8" ht="28.8" x14ac:dyDescent="0.3">
      <c r="A386" s="273" t="s">
        <v>1412</v>
      </c>
      <c r="B386" s="81"/>
      <c r="C386" s="81"/>
      <c r="D386" s="81" t="s">
        <v>1413</v>
      </c>
      <c r="E386" s="274">
        <f>SUMIF($A:$A,"LIQUIDAÇÃO",$E:$E)</f>
        <v>0.47749999999999987</v>
      </c>
      <c r="F386" s="81" t="s">
        <v>1414</v>
      </c>
      <c r="G386" s="81" t="s">
        <v>8305</v>
      </c>
      <c r="H386" s="81"/>
    </row>
    <row r="387" spans="1:8" ht="17.399999999999999" x14ac:dyDescent="0.35">
      <c r="A387" s="275" t="s">
        <v>4323</v>
      </c>
      <c r="B387" s="275"/>
      <c r="C387" s="275"/>
      <c r="D387" s="275"/>
      <c r="E387" s="275"/>
      <c r="F387" s="275"/>
      <c r="G387" s="275"/>
      <c r="H387" s="275"/>
    </row>
    <row r="388" spans="1:8" ht="15.6" x14ac:dyDescent="0.3">
      <c r="A388" s="276" t="s">
        <v>4318</v>
      </c>
      <c r="B388" s="276"/>
      <c r="C388" s="277">
        <f>COUNTIF($C$1:INDEX($C:$C,ROW()-1),"Green")</f>
        <v>26</v>
      </c>
      <c r="D388" s="278"/>
      <c r="E388" s="261" t="s">
        <v>4326</v>
      </c>
      <c r="F388" s="261"/>
      <c r="G388" s="261"/>
      <c r="H388" s="261"/>
    </row>
    <row r="389" spans="1:8" ht="15.6" x14ac:dyDescent="0.3">
      <c r="A389" s="276" t="s">
        <v>4322</v>
      </c>
      <c r="B389" s="276"/>
      <c r="C389" s="277">
        <f>COUNTIF($C$1:INDEX($C:$C,ROW()-1),"Cashout")</f>
        <v>3</v>
      </c>
      <c r="D389" s="278"/>
      <c r="E389" s="261" t="s">
        <v>4327</v>
      </c>
      <c r="F389" s="261"/>
      <c r="G389" s="261"/>
      <c r="H389" s="261"/>
    </row>
    <row r="390" spans="1:8" ht="15.6" x14ac:dyDescent="0.3">
      <c r="A390" s="276" t="s">
        <v>961</v>
      </c>
      <c r="B390" s="276"/>
      <c r="C390" s="277">
        <f>COUNTIF($C$1:INDEX($C:$C,ROW()-1),"Meio Red")</f>
        <v>1</v>
      </c>
      <c r="D390" s="278"/>
      <c r="E390" s="261" t="s">
        <v>4328</v>
      </c>
      <c r="F390" s="261"/>
      <c r="G390" s="261"/>
      <c r="H390" s="261"/>
    </row>
    <row r="391" spans="1:8" ht="15.6" x14ac:dyDescent="0.3">
      <c r="A391" s="276" t="s">
        <v>4320</v>
      </c>
      <c r="B391" s="276"/>
      <c r="C391" s="277">
        <f>COUNTIF($C$1:INDEX($C:$C,ROW()-1),"Red")</f>
        <v>3</v>
      </c>
      <c r="D391" s="278"/>
      <c r="E391" s="261" t="s">
        <v>4329</v>
      </c>
      <c r="F391" s="261"/>
      <c r="G391" s="261"/>
      <c r="H391" s="261"/>
    </row>
    <row r="392" spans="1:8" ht="15.6" x14ac:dyDescent="0.3">
      <c r="A392" s="276" t="s">
        <v>4319</v>
      </c>
      <c r="B392" s="276"/>
      <c r="C392" s="277">
        <f>COUNTIF($C$1:INDEX($C:$C,ROW()-1),"Devolvida")</f>
        <v>3</v>
      </c>
      <c r="D392" s="278"/>
      <c r="E392" s="261" t="s">
        <v>4330</v>
      </c>
      <c r="F392" s="261"/>
      <c r="G392" s="261"/>
      <c r="H392" s="261"/>
    </row>
    <row r="393" spans="1:8" ht="15.6" x14ac:dyDescent="0.3">
      <c r="A393" s="276" t="s">
        <v>4324</v>
      </c>
      <c r="B393" s="276"/>
      <c r="C393" s="277">
        <f>SUM(C388:C391)</f>
        <v>33</v>
      </c>
      <c r="D393" s="278"/>
      <c r="E393" s="261" t="s">
        <v>4331</v>
      </c>
      <c r="F393" s="261"/>
      <c r="G393" s="261"/>
      <c r="H393" s="261"/>
    </row>
    <row r="394" spans="1:8" ht="15.6" x14ac:dyDescent="0.3">
      <c r="A394" s="276" t="s">
        <v>4325</v>
      </c>
      <c r="B394" s="276"/>
      <c r="C394" s="277">
        <f>C392</f>
        <v>3</v>
      </c>
      <c r="D394" s="278"/>
      <c r="E394" s="261" t="s">
        <v>4319</v>
      </c>
      <c r="F394" s="261"/>
      <c r="G394" s="261"/>
      <c r="H394" s="261"/>
    </row>
    <row r="395" spans="1:8" ht="15.6" x14ac:dyDescent="0.3">
      <c r="A395" s="279" t="s">
        <v>4321</v>
      </c>
      <c r="B395" s="279"/>
      <c r="C395" s="280">
        <f>IFERROR((C388+C389+(C390*0.5))/C393,0)</f>
        <v>0.89393939393939392</v>
      </c>
      <c r="D395" s="281"/>
      <c r="E395" s="261" t="s">
        <v>4332</v>
      </c>
      <c r="F395" s="261"/>
      <c r="G395" s="261"/>
      <c r="H395" s="261"/>
    </row>
    <row r="396" spans="1:8" x14ac:dyDescent="0.3">
      <c r="A396" s="262" t="s">
        <v>4333</v>
      </c>
      <c r="B396" s="262"/>
      <c r="C396" s="262"/>
      <c r="D396" s="262"/>
      <c r="E396" s="262"/>
      <c r="F396" s="262"/>
      <c r="G396" s="262"/>
      <c r="H396" s="262"/>
    </row>
  </sheetData>
  <mergeCells count="430">
    <mergeCell ref="B378:D378"/>
    <mergeCell ref="B379:H379"/>
    <mergeCell ref="B380:C380"/>
    <mergeCell ref="E380:H380"/>
    <mergeCell ref="F383:H383"/>
    <mergeCell ref="B368:D368"/>
    <mergeCell ref="B369:H369"/>
    <mergeCell ref="B370:C370"/>
    <mergeCell ref="E370:H370"/>
    <mergeCell ref="F373:H373"/>
    <mergeCell ref="A376:B376"/>
    <mergeCell ref="C376:H376"/>
    <mergeCell ref="A377:D377"/>
    <mergeCell ref="E377:F377"/>
    <mergeCell ref="G377:H377"/>
    <mergeCell ref="B359:H359"/>
    <mergeCell ref="B360:C360"/>
    <mergeCell ref="E360:H360"/>
    <mergeCell ref="F363:H363"/>
    <mergeCell ref="A366:B366"/>
    <mergeCell ref="C366:H366"/>
    <mergeCell ref="A367:D367"/>
    <mergeCell ref="E367:F367"/>
    <mergeCell ref="G367:H367"/>
    <mergeCell ref="B350:C350"/>
    <mergeCell ref="E350:H350"/>
    <mergeCell ref="F353:H353"/>
    <mergeCell ref="A356:B356"/>
    <mergeCell ref="C356:H356"/>
    <mergeCell ref="A357:D357"/>
    <mergeCell ref="E357:F357"/>
    <mergeCell ref="G357:H357"/>
    <mergeCell ref="B358:D358"/>
    <mergeCell ref="A395:B395"/>
    <mergeCell ref="C395:D395"/>
    <mergeCell ref="E395:H395"/>
    <mergeCell ref="A396:H396"/>
    <mergeCell ref="A316:B316"/>
    <mergeCell ref="C316:H316"/>
    <mergeCell ref="A317:D317"/>
    <mergeCell ref="E317:F317"/>
    <mergeCell ref="G317:H317"/>
    <mergeCell ref="B318:D318"/>
    <mergeCell ref="B319:H319"/>
    <mergeCell ref="B320:C320"/>
    <mergeCell ref="E320:H320"/>
    <mergeCell ref="F323:H323"/>
    <mergeCell ref="A326:B326"/>
    <mergeCell ref="C326:H326"/>
    <mergeCell ref="A327:D327"/>
    <mergeCell ref="E327:F327"/>
    <mergeCell ref="G327:H327"/>
    <mergeCell ref="B328:D328"/>
    <mergeCell ref="B329:H329"/>
    <mergeCell ref="B330:C330"/>
    <mergeCell ref="E330:H330"/>
    <mergeCell ref="A392:B392"/>
    <mergeCell ref="C392:D392"/>
    <mergeCell ref="E392:H392"/>
    <mergeCell ref="A393:B393"/>
    <mergeCell ref="C393:D393"/>
    <mergeCell ref="E393:H393"/>
    <mergeCell ref="A394:B394"/>
    <mergeCell ref="C394:D394"/>
    <mergeCell ref="E394:H394"/>
    <mergeCell ref="A389:B389"/>
    <mergeCell ref="C389:D389"/>
    <mergeCell ref="E389:H389"/>
    <mergeCell ref="A390:B390"/>
    <mergeCell ref="C390:D390"/>
    <mergeCell ref="E390:H390"/>
    <mergeCell ref="A391:B391"/>
    <mergeCell ref="C391:D391"/>
    <mergeCell ref="E391:H391"/>
    <mergeCell ref="F313:H313"/>
    <mergeCell ref="G308:H308"/>
    <mergeCell ref="A388:B388"/>
    <mergeCell ref="E388:H388"/>
    <mergeCell ref="A387:H387"/>
    <mergeCell ref="C388:D388"/>
    <mergeCell ref="F333:H333"/>
    <mergeCell ref="A336:B336"/>
    <mergeCell ref="C336:H336"/>
    <mergeCell ref="A337:D337"/>
    <mergeCell ref="E337:F337"/>
    <mergeCell ref="G337:H337"/>
    <mergeCell ref="B338:D338"/>
    <mergeCell ref="B339:H339"/>
    <mergeCell ref="B340:C340"/>
    <mergeCell ref="E340:H340"/>
    <mergeCell ref="F343:H343"/>
    <mergeCell ref="A346:B346"/>
    <mergeCell ref="C346:H346"/>
    <mergeCell ref="A347:D347"/>
    <mergeCell ref="E347:F347"/>
    <mergeCell ref="G347:H347"/>
    <mergeCell ref="B348:D348"/>
    <mergeCell ref="B349:H349"/>
    <mergeCell ref="A306:B306"/>
    <mergeCell ref="C306:H306"/>
    <mergeCell ref="A307:D307"/>
    <mergeCell ref="E307:F307"/>
    <mergeCell ref="G307:H307"/>
    <mergeCell ref="B308:D308"/>
    <mergeCell ref="B309:H309"/>
    <mergeCell ref="B310:C310"/>
    <mergeCell ref="E310:H310"/>
    <mergeCell ref="F213:H213"/>
    <mergeCell ref="A216:B216"/>
    <mergeCell ref="F203:H203"/>
    <mergeCell ref="A206:B206"/>
    <mergeCell ref="C206:H206"/>
    <mergeCell ref="A207:D207"/>
    <mergeCell ref="E207:F207"/>
    <mergeCell ref="G207:H207"/>
    <mergeCell ref="B208:D208"/>
    <mergeCell ref="B209:H209"/>
    <mergeCell ref="B210:C210"/>
    <mergeCell ref="E210:H210"/>
    <mergeCell ref="C216:H216"/>
    <mergeCell ref="F193:H193"/>
    <mergeCell ref="A196:B196"/>
    <mergeCell ref="C196:H196"/>
    <mergeCell ref="A197:D197"/>
    <mergeCell ref="E197:F197"/>
    <mergeCell ref="G197:H197"/>
    <mergeCell ref="B198:D198"/>
    <mergeCell ref="B199:H199"/>
    <mergeCell ref="B200:C200"/>
    <mergeCell ref="E200:H200"/>
    <mergeCell ref="F183:H183"/>
    <mergeCell ref="A186:B186"/>
    <mergeCell ref="C186:H186"/>
    <mergeCell ref="A187:D187"/>
    <mergeCell ref="E187:F187"/>
    <mergeCell ref="G187:H187"/>
    <mergeCell ref="B188:D188"/>
    <mergeCell ref="B189:H189"/>
    <mergeCell ref="B190:C190"/>
    <mergeCell ref="E190:H190"/>
    <mergeCell ref="A176:B176"/>
    <mergeCell ref="C176:H176"/>
    <mergeCell ref="A177:D177"/>
    <mergeCell ref="E177:F177"/>
    <mergeCell ref="G177:H177"/>
    <mergeCell ref="B178:D178"/>
    <mergeCell ref="B179:H179"/>
    <mergeCell ref="B180:C180"/>
    <mergeCell ref="E180:H180"/>
    <mergeCell ref="B168:D168"/>
    <mergeCell ref="B169:H169"/>
    <mergeCell ref="B170:C170"/>
    <mergeCell ref="E170:H170"/>
    <mergeCell ref="F173:H173"/>
    <mergeCell ref="A166:B166"/>
    <mergeCell ref="C166:H166"/>
    <mergeCell ref="A167:D167"/>
    <mergeCell ref="E167:F167"/>
    <mergeCell ref="G167:H167"/>
    <mergeCell ref="B159:D159"/>
    <mergeCell ref="B160:H160"/>
    <mergeCell ref="B161:C161"/>
    <mergeCell ref="E161:H161"/>
    <mergeCell ref="F164:H164"/>
    <mergeCell ref="B150:D150"/>
    <mergeCell ref="B151:H151"/>
    <mergeCell ref="B152:C152"/>
    <mergeCell ref="E152:H152"/>
    <mergeCell ref="F155:H155"/>
    <mergeCell ref="A157:B157"/>
    <mergeCell ref="C157:H157"/>
    <mergeCell ref="A158:D158"/>
    <mergeCell ref="E158:F158"/>
    <mergeCell ref="G158:H158"/>
    <mergeCell ref="B141:D141"/>
    <mergeCell ref="B142:H142"/>
    <mergeCell ref="B143:C143"/>
    <mergeCell ref="E143:H143"/>
    <mergeCell ref="F146:H146"/>
    <mergeCell ref="A148:B148"/>
    <mergeCell ref="C148:H148"/>
    <mergeCell ref="A149:D149"/>
    <mergeCell ref="E149:F149"/>
    <mergeCell ref="G149:H149"/>
    <mergeCell ref="B132:D132"/>
    <mergeCell ref="B133:H133"/>
    <mergeCell ref="B134:C134"/>
    <mergeCell ref="E134:H134"/>
    <mergeCell ref="F137:H137"/>
    <mergeCell ref="A139:B139"/>
    <mergeCell ref="C139:H139"/>
    <mergeCell ref="A140:D140"/>
    <mergeCell ref="E140:F140"/>
    <mergeCell ref="G140:H140"/>
    <mergeCell ref="B124:H124"/>
    <mergeCell ref="B125:C125"/>
    <mergeCell ref="E125:H125"/>
    <mergeCell ref="F128:H128"/>
    <mergeCell ref="A130:B130"/>
    <mergeCell ref="C130:H130"/>
    <mergeCell ref="A131:D131"/>
    <mergeCell ref="E131:F131"/>
    <mergeCell ref="G131:H131"/>
    <mergeCell ref="A1:H1"/>
    <mergeCell ref="A2:H2"/>
    <mergeCell ref="A5:D5"/>
    <mergeCell ref="E5:F5"/>
    <mergeCell ref="A112:B112"/>
    <mergeCell ref="C112:H112"/>
    <mergeCell ref="A113:D113"/>
    <mergeCell ref="E113:F113"/>
    <mergeCell ref="G113:H113"/>
    <mergeCell ref="A14:D14"/>
    <mergeCell ref="E14:F14"/>
    <mergeCell ref="G14:H14"/>
    <mergeCell ref="B15:D15"/>
    <mergeCell ref="B16:H16"/>
    <mergeCell ref="G5:H5"/>
    <mergeCell ref="B6:D6"/>
    <mergeCell ref="B7:H7"/>
    <mergeCell ref="B8:C8"/>
    <mergeCell ref="E8:H8"/>
    <mergeCell ref="B24:D24"/>
    <mergeCell ref="B25:H25"/>
    <mergeCell ref="B26:C26"/>
    <mergeCell ref="E26:H26"/>
    <mergeCell ref="F29:H29"/>
    <mergeCell ref="A31:B31"/>
    <mergeCell ref="C31:H31"/>
    <mergeCell ref="B17:C17"/>
    <mergeCell ref="E17:H17"/>
    <mergeCell ref="A23:D23"/>
    <mergeCell ref="E23:F23"/>
    <mergeCell ref="G23:H23"/>
    <mergeCell ref="A22:B22"/>
    <mergeCell ref="C22:H22"/>
    <mergeCell ref="F38:H38"/>
    <mergeCell ref="A40:B40"/>
    <mergeCell ref="C40:H40"/>
    <mergeCell ref="A32:D32"/>
    <mergeCell ref="E32:F32"/>
    <mergeCell ref="G32:H32"/>
    <mergeCell ref="B33:D33"/>
    <mergeCell ref="B34:H34"/>
    <mergeCell ref="B35:C35"/>
    <mergeCell ref="E35:H35"/>
    <mergeCell ref="B114:D114"/>
    <mergeCell ref="B115:H115"/>
    <mergeCell ref="B116:C116"/>
    <mergeCell ref="E116:H116"/>
    <mergeCell ref="F119:H119"/>
    <mergeCell ref="A121:B121"/>
    <mergeCell ref="C121:H121"/>
    <mergeCell ref="A122:D122"/>
    <mergeCell ref="E122:F122"/>
    <mergeCell ref="G122:H122"/>
    <mergeCell ref="B123:D123"/>
    <mergeCell ref="A3:H3"/>
    <mergeCell ref="A67:B67"/>
    <mergeCell ref="C67:H67"/>
    <mergeCell ref="C49:H49"/>
    <mergeCell ref="F56:H56"/>
    <mergeCell ref="A58:B58"/>
    <mergeCell ref="C58:H58"/>
    <mergeCell ref="A59:D59"/>
    <mergeCell ref="E59:F59"/>
    <mergeCell ref="G59:H59"/>
    <mergeCell ref="A4:B4"/>
    <mergeCell ref="C4:H4"/>
    <mergeCell ref="F11:H11"/>
    <mergeCell ref="A13:B13"/>
    <mergeCell ref="C13:H13"/>
    <mergeCell ref="F20:H20"/>
    <mergeCell ref="B51:D51"/>
    <mergeCell ref="B52:H52"/>
    <mergeCell ref="B53:C53"/>
    <mergeCell ref="E53:H53"/>
    <mergeCell ref="A41:D41"/>
    <mergeCell ref="E41:F41"/>
    <mergeCell ref="G41:H41"/>
    <mergeCell ref="B42:D42"/>
    <mergeCell ref="A68:D68"/>
    <mergeCell ref="E68:F68"/>
    <mergeCell ref="G68:H68"/>
    <mergeCell ref="B69:D69"/>
    <mergeCell ref="B70:H70"/>
    <mergeCell ref="B71:C71"/>
    <mergeCell ref="E71:H71"/>
    <mergeCell ref="E62:H62"/>
    <mergeCell ref="F65:H65"/>
    <mergeCell ref="B60:D60"/>
    <mergeCell ref="B61:H61"/>
    <mergeCell ref="B62:C62"/>
    <mergeCell ref="B43:H43"/>
    <mergeCell ref="B44:C44"/>
    <mergeCell ref="E44:H44"/>
    <mergeCell ref="A50:D50"/>
    <mergeCell ref="E50:F50"/>
    <mergeCell ref="G50:H50"/>
    <mergeCell ref="F47:H47"/>
    <mergeCell ref="A49:B49"/>
    <mergeCell ref="B78:D78"/>
    <mergeCell ref="B79:H79"/>
    <mergeCell ref="B80:C80"/>
    <mergeCell ref="E80:H80"/>
    <mergeCell ref="F83:H83"/>
    <mergeCell ref="A85:B85"/>
    <mergeCell ref="C85:H85"/>
    <mergeCell ref="F74:H74"/>
    <mergeCell ref="A76:B76"/>
    <mergeCell ref="C76:H76"/>
    <mergeCell ref="A77:D77"/>
    <mergeCell ref="E77:F77"/>
    <mergeCell ref="G77:H77"/>
    <mergeCell ref="F92:H92"/>
    <mergeCell ref="A94:B94"/>
    <mergeCell ref="C94:H94"/>
    <mergeCell ref="A95:D95"/>
    <mergeCell ref="E95:F95"/>
    <mergeCell ref="G95:H95"/>
    <mergeCell ref="A86:D86"/>
    <mergeCell ref="E86:F86"/>
    <mergeCell ref="G86:H86"/>
    <mergeCell ref="B87:D87"/>
    <mergeCell ref="B88:H88"/>
    <mergeCell ref="B89:C89"/>
    <mergeCell ref="E89:H89"/>
    <mergeCell ref="F110:H110"/>
    <mergeCell ref="A104:D104"/>
    <mergeCell ref="E104:F104"/>
    <mergeCell ref="G104:H104"/>
    <mergeCell ref="B105:D105"/>
    <mergeCell ref="B106:H106"/>
    <mergeCell ref="B107:C107"/>
    <mergeCell ref="E107:H107"/>
    <mergeCell ref="B96:D96"/>
    <mergeCell ref="B97:H97"/>
    <mergeCell ref="B98:C98"/>
    <mergeCell ref="E98:H98"/>
    <mergeCell ref="F101:H101"/>
    <mergeCell ref="A103:B103"/>
    <mergeCell ref="C103:H103"/>
    <mergeCell ref="A217:D217"/>
    <mergeCell ref="E217:F217"/>
    <mergeCell ref="G217:H217"/>
    <mergeCell ref="B218:D218"/>
    <mergeCell ref="B219:H219"/>
    <mergeCell ref="B220:C220"/>
    <mergeCell ref="E220:H220"/>
    <mergeCell ref="F223:H223"/>
    <mergeCell ref="A226:B226"/>
    <mergeCell ref="C226:H226"/>
    <mergeCell ref="A227:D227"/>
    <mergeCell ref="E227:F227"/>
    <mergeCell ref="G227:H227"/>
    <mergeCell ref="B228:D228"/>
    <mergeCell ref="B229:H229"/>
    <mergeCell ref="B230:C230"/>
    <mergeCell ref="E230:H230"/>
    <mergeCell ref="A266:B266"/>
    <mergeCell ref="C266:H266"/>
    <mergeCell ref="F263:H263"/>
    <mergeCell ref="A246:B246"/>
    <mergeCell ref="C246:H246"/>
    <mergeCell ref="A247:D247"/>
    <mergeCell ref="E247:F247"/>
    <mergeCell ref="G247:H247"/>
    <mergeCell ref="B248:D248"/>
    <mergeCell ref="B249:H249"/>
    <mergeCell ref="B250:C250"/>
    <mergeCell ref="E250:H250"/>
    <mergeCell ref="A267:D267"/>
    <mergeCell ref="E267:F267"/>
    <mergeCell ref="G267:H267"/>
    <mergeCell ref="F243:H243"/>
    <mergeCell ref="A256:B256"/>
    <mergeCell ref="C256:H256"/>
    <mergeCell ref="F233:H233"/>
    <mergeCell ref="A236:B236"/>
    <mergeCell ref="C236:H236"/>
    <mergeCell ref="A237:D237"/>
    <mergeCell ref="E237:F237"/>
    <mergeCell ref="G237:H237"/>
    <mergeCell ref="B238:D238"/>
    <mergeCell ref="B239:H239"/>
    <mergeCell ref="B240:C240"/>
    <mergeCell ref="E240:H240"/>
    <mergeCell ref="F253:H253"/>
    <mergeCell ref="A257:D257"/>
    <mergeCell ref="E257:F257"/>
    <mergeCell ref="G257:H257"/>
    <mergeCell ref="B258:D258"/>
    <mergeCell ref="B259:H259"/>
    <mergeCell ref="B260:C260"/>
    <mergeCell ref="E260:H260"/>
    <mergeCell ref="B268:D268"/>
    <mergeCell ref="B269:H269"/>
    <mergeCell ref="B270:C270"/>
    <mergeCell ref="E270:H270"/>
    <mergeCell ref="A276:B276"/>
    <mergeCell ref="C276:H276"/>
    <mergeCell ref="A277:D277"/>
    <mergeCell ref="E277:F277"/>
    <mergeCell ref="G277:H277"/>
    <mergeCell ref="F273:H273"/>
    <mergeCell ref="B278:D278"/>
    <mergeCell ref="B279:H279"/>
    <mergeCell ref="B280:C280"/>
    <mergeCell ref="E280:H280"/>
    <mergeCell ref="F283:H283"/>
    <mergeCell ref="A286:B286"/>
    <mergeCell ref="C286:H286"/>
    <mergeCell ref="A287:D287"/>
    <mergeCell ref="E287:F287"/>
    <mergeCell ref="G287:H287"/>
    <mergeCell ref="B298:D298"/>
    <mergeCell ref="B299:H299"/>
    <mergeCell ref="B300:C300"/>
    <mergeCell ref="E300:H300"/>
    <mergeCell ref="F303:H303"/>
    <mergeCell ref="B288:D288"/>
    <mergeCell ref="B289:H289"/>
    <mergeCell ref="B290:C290"/>
    <mergeCell ref="E290:H290"/>
    <mergeCell ref="F293:H293"/>
    <mergeCell ref="A296:B296"/>
    <mergeCell ref="C296:H296"/>
    <mergeCell ref="A297:D297"/>
    <mergeCell ref="E297:F297"/>
    <mergeCell ref="G297:H297"/>
  </mergeCells>
  <conditionalFormatting sqref="C11">
    <cfRule type="expression" dxfId="222" priority="146">
      <formula>C11="Green"</formula>
    </cfRule>
    <cfRule type="expression" dxfId="221" priority="147">
      <formula>C11="Meio Green"</formula>
    </cfRule>
    <cfRule type="expression" dxfId="220" priority="148">
      <formula>C11="Devolvida"</formula>
    </cfRule>
    <cfRule type="expression" dxfId="219" priority="149">
      <formula>C11="Meio Red"</formula>
    </cfRule>
    <cfRule type="expression" dxfId="218" priority="150">
      <formula>C11="Red"</formula>
    </cfRule>
  </conditionalFormatting>
  <conditionalFormatting sqref="C20">
    <cfRule type="expression" dxfId="217" priority="151">
      <formula>C20="Green"</formula>
    </cfRule>
    <cfRule type="expression" dxfId="216" priority="152">
      <formula>C20="Meio Green"</formula>
    </cfRule>
    <cfRule type="expression" dxfId="215" priority="153">
      <formula>C20="Devolvida"</formula>
    </cfRule>
    <cfRule type="expression" dxfId="214" priority="154">
      <formula>C20="Meio Red"</formula>
    </cfRule>
    <cfRule type="expression" dxfId="213" priority="155">
      <formula>C20="Red"</formula>
    </cfRule>
  </conditionalFormatting>
  <conditionalFormatting sqref="C29">
    <cfRule type="expression" dxfId="212" priority="156">
      <formula>C29="Green"</formula>
    </cfRule>
    <cfRule type="expression" dxfId="211" priority="157">
      <formula>C29="Meio Green"</formula>
    </cfRule>
    <cfRule type="expression" dxfId="210" priority="158">
      <formula>C29="Devolvida"</formula>
    </cfRule>
    <cfRule type="expression" dxfId="209" priority="159">
      <formula>C29="Meio Red"</formula>
    </cfRule>
    <cfRule type="expression" dxfId="208" priority="160">
      <formula>C29="Red"</formula>
    </cfRule>
  </conditionalFormatting>
  <conditionalFormatting sqref="C38">
    <cfRule type="expression" dxfId="207" priority="161">
      <formula>C38="Green"</formula>
    </cfRule>
    <cfRule type="expression" dxfId="206" priority="162">
      <formula>C38="Meio Green"</formula>
    </cfRule>
    <cfRule type="expression" dxfId="205" priority="163">
      <formula>C38="Devolvida"</formula>
    </cfRule>
    <cfRule type="expression" dxfId="204" priority="164">
      <formula>C38="Meio Red"</formula>
    </cfRule>
    <cfRule type="expression" dxfId="203" priority="165">
      <formula>C38="Red"</formula>
    </cfRule>
  </conditionalFormatting>
  <conditionalFormatting sqref="C47">
    <cfRule type="expression" dxfId="202" priority="166">
      <formula>C47="Green"</formula>
    </cfRule>
    <cfRule type="expression" dxfId="201" priority="167">
      <formula>C47="Meio Green"</formula>
    </cfRule>
    <cfRule type="expression" dxfId="200" priority="168">
      <formula>C47="Devolvida"</formula>
    </cfRule>
    <cfRule type="expression" dxfId="199" priority="169">
      <formula>C47="Meio Red"</formula>
    </cfRule>
    <cfRule type="expression" dxfId="198" priority="170">
      <formula>C47="Red"</formula>
    </cfRule>
  </conditionalFormatting>
  <conditionalFormatting sqref="C56">
    <cfRule type="expression" dxfId="197" priority="171">
      <formula>C56="Green"</formula>
    </cfRule>
    <cfRule type="expression" dxfId="196" priority="172">
      <formula>C56="Meio Green"</formula>
    </cfRule>
    <cfRule type="expression" dxfId="195" priority="173">
      <formula>C56="Devolvida"</formula>
    </cfRule>
    <cfRule type="expression" dxfId="194" priority="174">
      <formula>C56="Meio Red"</formula>
    </cfRule>
    <cfRule type="expression" dxfId="193" priority="175">
      <formula>C56="Red"</formula>
    </cfRule>
  </conditionalFormatting>
  <conditionalFormatting sqref="C65">
    <cfRule type="expression" dxfId="192" priority="176">
      <formula>C65="Green"</formula>
    </cfRule>
    <cfRule type="expression" dxfId="191" priority="177">
      <formula>C65="Meio Green"</formula>
    </cfRule>
    <cfRule type="expression" dxfId="190" priority="178">
      <formula>C65="Devolvida"</formula>
    </cfRule>
    <cfRule type="expression" dxfId="189" priority="179">
      <formula>C65="Meio Red"</formula>
    </cfRule>
    <cfRule type="expression" dxfId="188" priority="180">
      <formula>C65="Red"</formula>
    </cfRule>
  </conditionalFormatting>
  <conditionalFormatting sqref="C74">
    <cfRule type="expression" dxfId="187" priority="181">
      <formula>C74="Green"</formula>
    </cfRule>
    <cfRule type="expression" dxfId="186" priority="182">
      <formula>C74="Meio Green"</formula>
    </cfRule>
    <cfRule type="expression" dxfId="185" priority="183">
      <formula>C74="Devolvida"</formula>
    </cfRule>
    <cfRule type="expression" dxfId="184" priority="184">
      <formula>C74="Meio Red"</formula>
    </cfRule>
    <cfRule type="expression" dxfId="183" priority="185">
      <formula>C74="Red"</formula>
    </cfRule>
  </conditionalFormatting>
  <conditionalFormatting sqref="C83">
    <cfRule type="expression" dxfId="182" priority="186">
      <formula>C83="Green"</formula>
    </cfRule>
    <cfRule type="expression" dxfId="181" priority="187">
      <formula>C83="Meio Green"</formula>
    </cfRule>
    <cfRule type="expression" dxfId="180" priority="188">
      <formula>C83="Devolvida"</formula>
    </cfRule>
    <cfRule type="expression" dxfId="179" priority="189">
      <formula>C83="Meio Red"</formula>
    </cfRule>
    <cfRule type="expression" dxfId="178" priority="190">
      <formula>C83="Red"</formula>
    </cfRule>
  </conditionalFormatting>
  <conditionalFormatting sqref="C92">
    <cfRule type="expression" dxfId="177" priority="191">
      <formula>C92="Green"</formula>
    </cfRule>
    <cfRule type="expression" dxfId="176" priority="192">
      <formula>C92="Meio Green"</formula>
    </cfRule>
    <cfRule type="expression" dxfId="175" priority="193">
      <formula>C92="Devolvida"</formula>
    </cfRule>
    <cfRule type="expression" dxfId="174" priority="194">
      <formula>C92="Meio Red"</formula>
    </cfRule>
    <cfRule type="expression" dxfId="173" priority="195">
      <formula>C92="Red"</formula>
    </cfRule>
  </conditionalFormatting>
  <conditionalFormatting sqref="C101">
    <cfRule type="expression" dxfId="172" priority="196">
      <formula>C101="Green"</formula>
    </cfRule>
    <cfRule type="expression" dxfId="171" priority="197">
      <formula>C101="Meio Green"</formula>
    </cfRule>
    <cfRule type="expression" dxfId="170" priority="198">
      <formula>C101="Devolvida"</formula>
    </cfRule>
    <cfRule type="expression" dxfId="169" priority="199">
      <formula>C101="Meio Red"</formula>
    </cfRule>
    <cfRule type="expression" dxfId="168" priority="200">
      <formula>C101="Red"</formula>
    </cfRule>
  </conditionalFormatting>
  <conditionalFormatting sqref="C110">
    <cfRule type="expression" dxfId="167" priority="201">
      <formula>C110="Green"</formula>
    </cfRule>
    <cfRule type="expression" dxfId="166" priority="202">
      <formula>C110="Meio Green"</formula>
    </cfRule>
    <cfRule type="expression" dxfId="165" priority="203">
      <formula>C110="Devolvida"</formula>
    </cfRule>
    <cfRule type="expression" dxfId="164" priority="204">
      <formula>C110="Meio Red"</formula>
    </cfRule>
    <cfRule type="expression" dxfId="163" priority="205">
      <formula>C110="Red"</formula>
    </cfRule>
  </conditionalFormatting>
  <conditionalFormatting sqref="C119">
    <cfRule type="expression" dxfId="162" priority="206">
      <formula>C119="Green"</formula>
    </cfRule>
    <cfRule type="expression" dxfId="161" priority="207">
      <formula>C119="Meio Green"</formula>
    </cfRule>
    <cfRule type="expression" dxfId="160" priority="208">
      <formula>C119="Devolvida"</formula>
    </cfRule>
    <cfRule type="expression" dxfId="159" priority="209">
      <formula>C119="Meio Red"</formula>
    </cfRule>
    <cfRule type="expression" dxfId="158" priority="210">
      <formula>C119="Red"</formula>
    </cfRule>
  </conditionalFormatting>
  <conditionalFormatting sqref="C128">
    <cfRule type="expression" dxfId="157" priority="211">
      <formula>C128="Green"</formula>
    </cfRule>
    <cfRule type="expression" dxfId="156" priority="212">
      <formula>C128="Meio Green"</formula>
    </cfRule>
    <cfRule type="expression" dxfId="155" priority="213">
      <formula>C128="Devolvida"</formula>
    </cfRule>
    <cfRule type="expression" dxfId="154" priority="214">
      <formula>C128="Meio Red"</formula>
    </cfRule>
    <cfRule type="expression" dxfId="153" priority="215">
      <formula>C128="Red"</formula>
    </cfRule>
  </conditionalFormatting>
  <conditionalFormatting sqref="C137">
    <cfRule type="expression" dxfId="152" priority="216">
      <formula>C137="Green"</formula>
    </cfRule>
    <cfRule type="expression" dxfId="151" priority="217">
      <formula>C137="Meio Green"</formula>
    </cfRule>
    <cfRule type="expression" dxfId="150" priority="218">
      <formula>C137="Devolvida"</formula>
    </cfRule>
    <cfRule type="expression" dxfId="149" priority="219">
      <formula>C137="Meio Red"</formula>
    </cfRule>
    <cfRule type="expression" dxfId="148" priority="220">
      <formula>C137="Red"</formula>
    </cfRule>
  </conditionalFormatting>
  <conditionalFormatting sqref="C146">
    <cfRule type="expression" dxfId="147" priority="221">
      <formula>C146="Green"</formula>
    </cfRule>
    <cfRule type="expression" dxfId="146" priority="222">
      <formula>C146="Meio Green"</formula>
    </cfRule>
    <cfRule type="expression" dxfId="145" priority="223">
      <formula>C146="Devolvida"</formula>
    </cfRule>
    <cfRule type="expression" dxfId="144" priority="224">
      <formula>C146="Meio Red"</formula>
    </cfRule>
    <cfRule type="expression" dxfId="143" priority="225">
      <formula>C146="Red"</formula>
    </cfRule>
  </conditionalFormatting>
  <conditionalFormatting sqref="C155">
    <cfRule type="expression" dxfId="142" priority="226">
      <formula>C155="Green"</formula>
    </cfRule>
    <cfRule type="expression" dxfId="141" priority="227">
      <formula>C155="Meio Green"</formula>
    </cfRule>
    <cfRule type="expression" dxfId="140" priority="228">
      <formula>C155="Devolvida"</formula>
    </cfRule>
    <cfRule type="expression" dxfId="139" priority="229">
      <formula>C155="Meio Red"</formula>
    </cfRule>
    <cfRule type="expression" dxfId="138" priority="230">
      <formula>C155="Red"</formula>
    </cfRule>
  </conditionalFormatting>
  <conditionalFormatting sqref="C164">
    <cfRule type="expression" dxfId="137" priority="231">
      <formula>C164="Green"</formula>
    </cfRule>
    <cfRule type="expression" dxfId="136" priority="232">
      <formula>C164="Meio Green"</formula>
    </cfRule>
    <cfRule type="expression" dxfId="135" priority="233">
      <formula>C164="Devolvida"</formula>
    </cfRule>
    <cfRule type="expression" dxfId="134" priority="234">
      <formula>C164="Meio Red"</formula>
    </cfRule>
    <cfRule type="expression" dxfId="133" priority="235">
      <formula>C164="Red"</formula>
    </cfRule>
  </conditionalFormatting>
  <conditionalFormatting sqref="C183">
    <cfRule type="expression" dxfId="132" priority="236">
      <formula>C183="Green"</formula>
    </cfRule>
    <cfRule type="expression" dxfId="131" priority="237">
      <formula>C183="Meio Green"</formula>
    </cfRule>
    <cfRule type="expression" dxfId="130" priority="238">
      <formula>C183="Devolvida"</formula>
    </cfRule>
    <cfRule type="expression" dxfId="129" priority="239">
      <formula>C183="Meio Red"</formula>
    </cfRule>
    <cfRule type="expression" dxfId="128" priority="240">
      <formula>C183="Red"</formula>
    </cfRule>
  </conditionalFormatting>
  <conditionalFormatting sqref="C193">
    <cfRule type="expression" dxfId="127" priority="241">
      <formula>C193="Green"</formula>
    </cfRule>
    <cfRule type="expression" dxfId="126" priority="242">
      <formula>C193="Meio Green"</formula>
    </cfRule>
    <cfRule type="expression" dxfId="125" priority="243">
      <formula>C193="Devolvida"</formula>
    </cfRule>
    <cfRule type="expression" dxfId="124" priority="244">
      <formula>C193="Meio Red"</formula>
    </cfRule>
    <cfRule type="expression" dxfId="123" priority="245">
      <formula>C193="Red"</formula>
    </cfRule>
  </conditionalFormatting>
  <conditionalFormatting sqref="C203">
    <cfRule type="expression" dxfId="122" priority="246">
      <formula>C203="Green"</formula>
    </cfRule>
    <cfRule type="expression" dxfId="121" priority="247">
      <formula>C203="Meio Green"</formula>
    </cfRule>
    <cfRule type="expression" dxfId="120" priority="248">
      <formula>C203="Devolvida"</formula>
    </cfRule>
    <cfRule type="expression" dxfId="119" priority="249">
      <formula>C203="Meio Red"</formula>
    </cfRule>
    <cfRule type="expression" dxfId="118" priority="250">
      <formula>C203="Red"</formula>
    </cfRule>
  </conditionalFormatting>
  <conditionalFormatting sqref="C213">
    <cfRule type="expression" dxfId="117" priority="141">
      <formula>C213="Green"</formula>
    </cfRule>
    <cfRule type="expression" dxfId="116" priority="142">
      <formula>C213="Meio Green"</formula>
    </cfRule>
    <cfRule type="expression" dxfId="115" priority="143">
      <formula>C213="Devolvida"</formula>
    </cfRule>
    <cfRule type="expression" dxfId="114" priority="144">
      <formula>C213="Meio Red"</formula>
    </cfRule>
    <cfRule type="expression" dxfId="113" priority="145">
      <formula>C213="Red"</formula>
    </cfRule>
  </conditionalFormatting>
  <conditionalFormatting sqref="C223">
    <cfRule type="expression" dxfId="112" priority="136">
      <formula>C223="Green"</formula>
    </cfRule>
    <cfRule type="expression" dxfId="111" priority="137">
      <formula>C223="Meio Green"</formula>
    </cfRule>
    <cfRule type="expression" dxfId="110" priority="138">
      <formula>C223="Devolvida"</formula>
    </cfRule>
    <cfRule type="expression" dxfId="109" priority="139">
      <formula>C223="Meio Red"</formula>
    </cfRule>
    <cfRule type="expression" dxfId="108" priority="140">
      <formula>C223="Red"</formula>
    </cfRule>
  </conditionalFormatting>
  <conditionalFormatting sqref="C233">
    <cfRule type="expression" dxfId="107" priority="131">
      <formula>C233="Green"</formula>
    </cfRule>
    <cfRule type="expression" dxfId="106" priority="132">
      <formula>C233="Meio Green"</formula>
    </cfRule>
    <cfRule type="expression" dxfId="105" priority="133">
      <formula>C233="Devolvida"</formula>
    </cfRule>
    <cfRule type="expression" dxfId="104" priority="134">
      <formula>C233="Meio Red"</formula>
    </cfRule>
    <cfRule type="expression" dxfId="103" priority="135">
      <formula>C233="Red"</formula>
    </cfRule>
  </conditionalFormatting>
  <conditionalFormatting sqref="C243">
    <cfRule type="expression" dxfId="102" priority="126">
      <formula>C243="Green"</formula>
    </cfRule>
    <cfRule type="expression" dxfId="101" priority="127">
      <formula>C243="Meio Green"</formula>
    </cfRule>
    <cfRule type="expression" dxfId="100" priority="128">
      <formula>C243="Devolvida"</formula>
    </cfRule>
    <cfRule type="expression" dxfId="99" priority="129">
      <formula>C243="Meio Red"</formula>
    </cfRule>
    <cfRule type="expression" dxfId="98" priority="130">
      <formula>C243="Red"</formula>
    </cfRule>
  </conditionalFormatting>
  <conditionalFormatting sqref="C253">
    <cfRule type="expression" dxfId="97" priority="116">
      <formula>C253="Green"</formula>
    </cfRule>
    <cfRule type="expression" dxfId="96" priority="117">
      <formula>C253="Meio Green"</formula>
    </cfRule>
    <cfRule type="expression" dxfId="95" priority="118">
      <formula>C253="Devolvida"</formula>
    </cfRule>
    <cfRule type="expression" dxfId="94" priority="119">
      <formula>C253="Meio Red"</formula>
    </cfRule>
    <cfRule type="expression" dxfId="93" priority="120">
      <formula>C253="Red"</formula>
    </cfRule>
  </conditionalFormatting>
  <conditionalFormatting sqref="C263">
    <cfRule type="expression" dxfId="92" priority="106">
      <formula>C263="Green"</formula>
    </cfRule>
    <cfRule type="expression" dxfId="91" priority="107">
      <formula>C263="Meio Green"</formula>
    </cfRule>
    <cfRule type="expression" dxfId="90" priority="108">
      <formula>C263="Devolvida"</formula>
    </cfRule>
    <cfRule type="expression" dxfId="89" priority="109">
      <formula>C263="Meio Red"</formula>
    </cfRule>
    <cfRule type="expression" dxfId="88" priority="110">
      <formula>C263="Red"</formula>
    </cfRule>
  </conditionalFormatting>
  <conditionalFormatting sqref="C273">
    <cfRule type="expression" dxfId="87" priority="91">
      <formula>C273="Green"</formula>
    </cfRule>
    <cfRule type="expression" dxfId="86" priority="92">
      <formula>C273="Meio Green"</formula>
    </cfRule>
    <cfRule type="expression" dxfId="85" priority="93">
      <formula>C273="Devolvida"</formula>
    </cfRule>
    <cfRule type="expression" dxfId="84" priority="94">
      <formula>C273="Meio Red"</formula>
    </cfRule>
    <cfRule type="expression" dxfId="83" priority="95">
      <formula>C273="Red"</formula>
    </cfRule>
  </conditionalFormatting>
  <conditionalFormatting sqref="C283">
    <cfRule type="expression" dxfId="82" priority="86">
      <formula>C283="Green"</formula>
    </cfRule>
    <cfRule type="expression" dxfId="81" priority="87">
      <formula>C283="Meio Green"</formula>
    </cfRule>
    <cfRule type="expression" dxfId="80" priority="88">
      <formula>C283="Devolvida"</formula>
    </cfRule>
    <cfRule type="expression" dxfId="79" priority="89">
      <formula>C283="Meio Red"</formula>
    </cfRule>
    <cfRule type="expression" dxfId="78" priority="90">
      <formula>C283="Red"</formula>
    </cfRule>
  </conditionalFormatting>
  <conditionalFormatting sqref="C293">
    <cfRule type="expression" dxfId="77" priority="76">
      <formula>C293="Green"</formula>
    </cfRule>
    <cfRule type="expression" dxfId="76" priority="77">
      <formula>C293="Meio Green"</formula>
    </cfRule>
    <cfRule type="expression" dxfId="75" priority="78">
      <formula>C293="Devolvida"</formula>
    </cfRule>
    <cfRule type="expression" dxfId="74" priority="79">
      <formula>C293="Meio Red"</formula>
    </cfRule>
    <cfRule type="expression" dxfId="73" priority="80">
      <formula>C293="Red"</formula>
    </cfRule>
  </conditionalFormatting>
  <conditionalFormatting sqref="C303">
    <cfRule type="expression" dxfId="72" priority="66">
      <formula>C303="Green"</formula>
    </cfRule>
    <cfRule type="expression" dxfId="71" priority="67">
      <formula>C303="Meio Green"</formula>
    </cfRule>
    <cfRule type="expression" dxfId="70" priority="68">
      <formula>C303="Devolvida"</formula>
    </cfRule>
    <cfRule type="expression" dxfId="69" priority="69">
      <formula>C303="Meio Red"</formula>
    </cfRule>
    <cfRule type="expression" dxfId="68" priority="70">
      <formula>C303="Red"</formula>
    </cfRule>
  </conditionalFormatting>
  <conditionalFormatting sqref="C313">
    <cfRule type="expression" dxfId="67" priority="61">
      <formula>C313="Green"</formula>
    </cfRule>
    <cfRule type="expression" dxfId="66" priority="62">
      <formula>C313="Meio Green"</formula>
    </cfRule>
    <cfRule type="expression" dxfId="65" priority="63">
      <formula>C313="Devolvida"</formula>
    </cfRule>
    <cfRule type="expression" dxfId="64" priority="64">
      <formula>C313="Meio Red"</formula>
    </cfRule>
    <cfRule type="expression" dxfId="63" priority="65">
      <formula>C313="Red"</formula>
    </cfRule>
  </conditionalFormatting>
  <conditionalFormatting sqref="C323">
    <cfRule type="expression" dxfId="62" priority="56">
      <formula>C323="Green"</formula>
    </cfRule>
    <cfRule type="expression" dxfId="61" priority="57">
      <formula>C323="Meio Green"</formula>
    </cfRule>
    <cfRule type="expression" dxfId="60" priority="58">
      <formula>C323="Devolvida"</formula>
    </cfRule>
    <cfRule type="expression" dxfId="59" priority="59">
      <formula>C323="Meio Red"</formula>
    </cfRule>
    <cfRule type="expression" dxfId="58" priority="60">
      <formula>C323="Red"</formula>
    </cfRule>
  </conditionalFormatting>
  <conditionalFormatting sqref="C333">
    <cfRule type="expression" dxfId="57" priority="51">
      <formula>C333="Green"</formula>
    </cfRule>
    <cfRule type="expression" dxfId="56" priority="52">
      <formula>C333="Meio Green"</formula>
    </cfRule>
    <cfRule type="expression" dxfId="55" priority="53">
      <formula>C333="Devolvida"</formula>
    </cfRule>
    <cfRule type="expression" dxfId="54" priority="54">
      <formula>C333="Meio Red"</formula>
    </cfRule>
    <cfRule type="expression" dxfId="53" priority="55">
      <formula>C333="Red"</formula>
    </cfRule>
  </conditionalFormatting>
  <conditionalFormatting sqref="C343">
    <cfRule type="expression" dxfId="52" priority="41">
      <formula>C343="Green"</formula>
    </cfRule>
    <cfRule type="expression" dxfId="51" priority="42">
      <formula>C343="Meio Green"</formula>
    </cfRule>
    <cfRule type="expression" dxfId="50" priority="43">
      <formula>C343="Devolvida"</formula>
    </cfRule>
    <cfRule type="expression" dxfId="49" priority="44">
      <formula>C343="Meio Red"</formula>
    </cfRule>
    <cfRule type="expression" dxfId="48" priority="45">
      <formula>C343="Red"</formula>
    </cfRule>
  </conditionalFormatting>
  <conditionalFormatting sqref="C353">
    <cfRule type="expression" dxfId="19" priority="16">
      <formula>C353="Green"</formula>
    </cfRule>
    <cfRule type="expression" dxfId="18" priority="17">
      <formula>C353="Meio Green"</formula>
    </cfRule>
    <cfRule type="expression" dxfId="17" priority="18">
      <formula>C353="Devolvida"</formula>
    </cfRule>
    <cfRule type="expression" dxfId="16" priority="19">
      <formula>C353="Meio Red"</formula>
    </cfRule>
    <cfRule type="expression" dxfId="15" priority="20">
      <formula>C353="Red"</formula>
    </cfRule>
  </conditionalFormatting>
  <conditionalFormatting sqref="C363">
    <cfRule type="expression" dxfId="14" priority="11">
      <formula>C363="Green"</formula>
    </cfRule>
    <cfRule type="expression" dxfId="13" priority="12">
      <formula>C363="Meio Green"</formula>
    </cfRule>
    <cfRule type="expression" dxfId="12" priority="13">
      <formula>C363="Devolvida"</formula>
    </cfRule>
    <cfRule type="expression" dxfId="11" priority="14">
      <formula>C363="Meio Red"</formula>
    </cfRule>
    <cfRule type="expression" dxfId="10" priority="15">
      <formula>C363="Red"</formula>
    </cfRule>
  </conditionalFormatting>
  <conditionalFormatting sqref="C373">
    <cfRule type="expression" dxfId="9" priority="6">
      <formula>C373="Green"</formula>
    </cfRule>
    <cfRule type="expression" dxfId="8" priority="7">
      <formula>C373="Meio Green"</formula>
    </cfRule>
    <cfRule type="expression" dxfId="7" priority="8">
      <formula>C373="Devolvida"</formula>
    </cfRule>
    <cfRule type="expression" dxfId="6" priority="9">
      <formula>C373="Meio Red"</formula>
    </cfRule>
    <cfRule type="expression" dxfId="5" priority="10">
      <formula>C373="Red"</formula>
    </cfRule>
  </conditionalFormatting>
  <conditionalFormatting sqref="C383">
    <cfRule type="expression" dxfId="4" priority="1">
      <formula>C383="Green"</formula>
    </cfRule>
    <cfRule type="expression" dxfId="3" priority="2">
      <formula>C383="Meio Green"</formula>
    </cfRule>
    <cfRule type="expression" dxfId="2" priority="3">
      <formula>C383="Devolvida"</formula>
    </cfRule>
    <cfRule type="expression" dxfId="1" priority="4">
      <formula>C383="Meio Red"</formula>
    </cfRule>
    <cfRule type="expression" dxfId="0" priority="5">
      <formula>C383="Red"</formula>
    </cfRule>
  </conditionalFormatting>
  <dataValidations count="2">
    <dataValidation type="list" allowBlank="1" showInputMessage="1" showErrorMessage="1" sqref="B10 C65 B19 B28 B37 B46 C11 C20 C29 C38 C47 C56 B55 B64 C74 C83 C92 C101 C110 C128 C119 C137 C146 C155 C164 C173 C183 C193 C203 C213 C223 C233 C243" xr:uid="{25EE94F1-F06E-41AA-9ED4-69E31D30007F}">
      <formula1>"Green,Red,Meio Green,Meio Red,Devolvida"</formula1>
    </dataValidation>
    <dataValidation type="whole" operator="greaterThanOrEqual" allowBlank="1" showInputMessage="1" showErrorMessage="1" sqref="C10 E10 C55 E55 C19 E19 C28 E28 C37 E37 C46 E46 C64 E64 C73 E73 C82 E82 C91 E91 C100 E100 C109 E109 C127 E127 C118 E118 C136 E136 C145 E145 C154 E154 C163 E163 C172 E172 C182 E182 C192 E192 C202 E202 C212 E212 C222 E222 C232 E232 C242 E242" xr:uid="{6DFD2E25-F620-4554-A649-806C839213B5}">
      <formula1>0</formula1>
    </dataValidation>
  </dataValidations>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EE18B-6535-4B07-B5CB-37F0AF33D8B7}">
  <dimension ref="A1:Y99"/>
  <sheetViews>
    <sheetView topLeftCell="E1" workbookViewId="0">
      <selection activeCell="Y70" sqref="Y70"/>
    </sheetView>
  </sheetViews>
  <sheetFormatPr defaultRowHeight="14.4" x14ac:dyDescent="0.3"/>
  <cols>
    <col min="1" max="1" width="12" customWidth="1"/>
    <col min="2" max="2" width="35.21875" customWidth="1"/>
    <col min="3" max="3" width="24.109375" customWidth="1"/>
    <col min="4" max="4" width="10.21875" customWidth="1"/>
    <col min="6" max="6" width="11.44140625" customWidth="1"/>
    <col min="7" max="7" width="7.77734375" customWidth="1"/>
    <col min="9" max="10" width="9.6640625" customWidth="1"/>
    <col min="11" max="11" width="11.44140625" customWidth="1"/>
    <col min="12" max="12" width="15.21875" customWidth="1"/>
    <col min="14" max="24" width="8.5546875" customWidth="1"/>
    <col min="25" max="25" width="37" customWidth="1"/>
  </cols>
  <sheetData>
    <row r="1" spans="1:25" ht="28.05" customHeight="1" x14ac:dyDescent="0.4">
      <c r="A1" s="263" t="s">
        <v>874</v>
      </c>
      <c r="B1" s="263"/>
      <c r="C1" s="263"/>
      <c r="D1" s="263"/>
      <c r="E1" s="263"/>
      <c r="F1" s="263"/>
      <c r="G1" s="263"/>
      <c r="H1" s="263"/>
      <c r="I1" s="263"/>
      <c r="J1" s="263"/>
      <c r="K1" s="263"/>
      <c r="L1" s="263"/>
      <c r="M1" s="263"/>
      <c r="N1" s="263"/>
      <c r="O1" s="263"/>
      <c r="P1" s="263"/>
      <c r="Q1" s="263"/>
      <c r="R1" s="263"/>
      <c r="S1" s="263"/>
      <c r="T1" s="263"/>
      <c r="U1" s="263"/>
      <c r="V1" s="263"/>
      <c r="W1" s="263"/>
      <c r="X1" s="263"/>
    </row>
    <row r="2" spans="1:25" ht="18" customHeight="1" thickBot="1" x14ac:dyDescent="0.35">
      <c r="A2" s="50" t="s">
        <v>41</v>
      </c>
      <c r="B2" s="51" t="s">
        <v>812</v>
      </c>
      <c r="C2" s="51" t="s">
        <v>0</v>
      </c>
      <c r="D2" s="51" t="s">
        <v>745</v>
      </c>
      <c r="E2" s="52" t="s">
        <v>53</v>
      </c>
      <c r="F2" s="51" t="s">
        <v>870</v>
      </c>
      <c r="G2" s="51" t="s">
        <v>813</v>
      </c>
      <c r="H2" s="51" t="s">
        <v>871</v>
      </c>
      <c r="I2" s="51" t="s">
        <v>872</v>
      </c>
      <c r="J2" s="52" t="s">
        <v>875</v>
      </c>
      <c r="K2" s="51" t="s">
        <v>876</v>
      </c>
      <c r="L2" s="51" t="s">
        <v>877</v>
      </c>
      <c r="M2" s="51" t="s">
        <v>873</v>
      </c>
      <c r="N2" s="51" t="s">
        <v>836</v>
      </c>
      <c r="O2" s="51" t="s">
        <v>837</v>
      </c>
      <c r="P2" s="51" t="s">
        <v>838</v>
      </c>
      <c r="Q2" s="51" t="s">
        <v>839</v>
      </c>
      <c r="R2" s="51" t="s">
        <v>840</v>
      </c>
      <c r="S2" s="51" t="s">
        <v>841</v>
      </c>
      <c r="T2" s="51" t="s">
        <v>842</v>
      </c>
      <c r="U2" s="51" t="s">
        <v>843</v>
      </c>
      <c r="V2" s="69" t="s">
        <v>844</v>
      </c>
      <c r="W2" s="51" t="s">
        <v>845</v>
      </c>
      <c r="X2" s="53" t="s">
        <v>846</v>
      </c>
      <c r="Y2" s="53" t="s">
        <v>1494</v>
      </c>
    </row>
    <row r="3" spans="1:25" ht="15" customHeight="1" thickTop="1" thickBot="1" x14ac:dyDescent="0.35">
      <c r="A3" s="54">
        <v>46241</v>
      </c>
      <c r="B3" s="55" t="s">
        <v>814</v>
      </c>
      <c r="C3" s="55" t="s">
        <v>847</v>
      </c>
      <c r="D3" s="56" t="s">
        <v>802</v>
      </c>
      <c r="E3" s="57">
        <v>1.2250000000000001</v>
      </c>
      <c r="F3"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3" s="59">
        <f>IF(tblCalibracao[[#This Row],[Placar]]="","",VALUE(_xlfn.TEXTBEFORE(tblCalibracao[[#This Row],[Placar]]," x "))+VALUE(_xlfn.TEXTAFTER(tblCalibracao[[#This Row],[Placar]]," x ")))</f>
        <v>1</v>
      </c>
      <c r="H3" s="57">
        <v>2.5</v>
      </c>
      <c r="I3" s="57">
        <f>IF(tblCalibracao[[#This Row],[Gols]]="","",IF(tblCalibracao[[#This Row],[Gols]]&lt;1,0,MIN(3,tblCalibracao[[#This Row],[Gols]]-0.5)))</f>
        <v>0.5</v>
      </c>
      <c r="J3" s="57">
        <v>1.01</v>
      </c>
      <c r="K3"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5.0000000000000044E-3</v>
      </c>
      <c r="L3" s="57" t="s">
        <v>878</v>
      </c>
      <c r="M3" s="57">
        <f>IF(OR(tblCalibracao[[#This Row],[Usada]]="",tblCalibracao[[#This Row],[Melhor G]]=""),"",MAX(0,tblCalibracao[[#This Row],[Melhor G]]-tblCalibracao[[#This Row],[Usada]]))</f>
        <v>0</v>
      </c>
      <c r="N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3"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3"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3"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3"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3" s="4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 s="70"/>
    </row>
    <row r="4" spans="1:25" ht="15" customHeight="1" thickTop="1" thickBot="1" x14ac:dyDescent="0.35">
      <c r="A4" s="54">
        <v>46241</v>
      </c>
      <c r="B4" s="55" t="s">
        <v>815</v>
      </c>
      <c r="C4" s="55" t="s">
        <v>848</v>
      </c>
      <c r="D4" s="56" t="s">
        <v>805</v>
      </c>
      <c r="E4" s="57">
        <v>1.1599999999999999</v>
      </c>
      <c r="F4"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7.999999999999996E-2</v>
      </c>
      <c r="G4" s="59">
        <f>IF(tblCalibracao[[#This Row],[Placar]]="","",VALUE(_xlfn.TEXTBEFORE(tblCalibracao[[#This Row],[Placar]]," x "))+VALUE(_xlfn.TEXTAFTER(tblCalibracao[[#This Row],[Placar]]," x ")))</f>
        <v>6</v>
      </c>
      <c r="H4" s="57">
        <v>2.5</v>
      </c>
      <c r="I4" s="57">
        <f>IF(tblCalibracao[[#This Row],[Gols]]="","",IF(tblCalibracao[[#This Row],[Gols]]&lt;1,0,MIN(3,tblCalibracao[[#This Row],[Gols]]-0.5)))</f>
        <v>3</v>
      </c>
      <c r="J4" s="57"/>
      <c r="K4"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4" s="57"/>
      <c r="M4" s="57">
        <f>IF(OR(tblCalibracao[[#This Row],[Usada]]="",tblCalibracao[[#This Row],[Melhor G]]=""),"",MAX(0,tblCalibracao[[#This Row],[Melhor G]]-tblCalibracao[[#This Row],[Usada]]))</f>
        <v>0.5</v>
      </c>
      <c r="N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 s="63"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 s="56"/>
    </row>
    <row r="5" spans="1:25" ht="15" customHeight="1" thickTop="1" thickBot="1" x14ac:dyDescent="0.35">
      <c r="A5" s="54">
        <v>46241</v>
      </c>
      <c r="B5" s="55" t="s">
        <v>816</v>
      </c>
      <c r="C5" s="55" t="s">
        <v>849</v>
      </c>
      <c r="D5" s="56" t="s">
        <v>806</v>
      </c>
      <c r="E5" s="57">
        <v>1.1000000000000001</v>
      </c>
      <c r="F5"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5" s="59">
        <f>IF(tblCalibracao[[#This Row],[Placar]]="","",VALUE(_xlfn.TEXTBEFORE(tblCalibracao[[#This Row],[Placar]]," x "))+VALUE(_xlfn.TEXTAFTER(tblCalibracao[[#This Row],[Placar]]," x ")))</f>
        <v>4</v>
      </c>
      <c r="H5" s="57">
        <v>1.5</v>
      </c>
      <c r="I5" s="57">
        <f>IF(tblCalibracao[[#This Row],[Gols]]="","",IF(tblCalibracao[[#This Row],[Gols]]&lt;1,0,MIN(3,tblCalibracao[[#This Row],[Gols]]-0.5)))</f>
        <v>3</v>
      </c>
      <c r="J5" s="57"/>
      <c r="K5"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5" s="57"/>
      <c r="M5" s="57">
        <f>IF(OR(tblCalibracao[[#This Row],[Usada]]="",tblCalibracao[[#This Row],[Melhor G]]=""),"",MAX(0,tblCalibracao[[#This Row],[Melhor G]]-tblCalibracao[[#This Row],[Usada]]))</f>
        <v>1.5</v>
      </c>
      <c r="N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 s="6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 s="70"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 s="56"/>
    </row>
    <row r="6" spans="1:25" ht="15" customHeight="1" thickTop="1" thickBot="1" x14ac:dyDescent="0.35">
      <c r="A6" s="54">
        <v>46241</v>
      </c>
      <c r="B6" s="55" t="s">
        <v>817</v>
      </c>
      <c r="C6" s="55" t="s">
        <v>848</v>
      </c>
      <c r="D6" s="56" t="s">
        <v>811</v>
      </c>
      <c r="E6" s="57">
        <v>1.2</v>
      </c>
      <c r="F6"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9.9999999999999978E-2</v>
      </c>
      <c r="G6" s="59">
        <f>IF(tblCalibracao[[#This Row],[Placar]]="","",VALUE(_xlfn.TEXTBEFORE(tblCalibracao[[#This Row],[Placar]]," x "))+VALUE(_xlfn.TEXTAFTER(tblCalibracao[[#This Row],[Placar]]," x ")))</f>
        <v>4</v>
      </c>
      <c r="H6" s="57">
        <v>2.25</v>
      </c>
      <c r="I6" s="57">
        <f>IF(tblCalibracao[[#This Row],[Gols]]="","",IF(tblCalibracao[[#This Row],[Gols]]&lt;1,0,MIN(3,tblCalibracao[[#This Row],[Gols]]-0.5)))</f>
        <v>3</v>
      </c>
      <c r="J6" s="57"/>
      <c r="K6"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6" s="57"/>
      <c r="M6" s="57">
        <f>IF(OR(tblCalibracao[[#This Row],[Usada]]="",tblCalibracao[[#This Row],[Melhor G]]=""),"",MAX(0,tblCalibracao[[#This Row],[Melhor G]]-tblCalibracao[[#This Row],[Usada]]))</f>
        <v>0.75</v>
      </c>
      <c r="N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 s="70"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 s="68"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 s="56"/>
    </row>
    <row r="7" spans="1:25" ht="15" customHeight="1" thickTop="1" thickBot="1" x14ac:dyDescent="0.35">
      <c r="A7" s="54">
        <v>46241</v>
      </c>
      <c r="B7" s="55" t="s">
        <v>834</v>
      </c>
      <c r="C7" s="55" t="s">
        <v>850</v>
      </c>
      <c r="D7" s="56" t="s">
        <v>835</v>
      </c>
      <c r="E7" s="57">
        <v>1.1399999999999999</v>
      </c>
      <c r="F7"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6.9999999999999951E-2</v>
      </c>
      <c r="G7" s="59">
        <f>IF(tblCalibracao[[#This Row],[Placar]]="","",VALUE(_xlfn.TEXTBEFORE(tblCalibracao[[#This Row],[Placar]]," x "))+VALUE(_xlfn.TEXTAFTER(tblCalibracao[[#This Row],[Placar]]," x ")))</f>
        <v>4</v>
      </c>
      <c r="H7" s="57">
        <v>2</v>
      </c>
      <c r="I7" s="57">
        <f>IF(tblCalibracao[[#This Row],[Gols]]="","",IF(tblCalibracao[[#This Row],[Gols]]&lt;1,0,MIN(3,tblCalibracao[[#This Row],[Gols]]-0.5)))</f>
        <v>3</v>
      </c>
      <c r="J7" s="57">
        <v>1.48</v>
      </c>
      <c r="K7"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0.24</v>
      </c>
      <c r="L7" s="57" t="s">
        <v>879</v>
      </c>
      <c r="M7" s="57">
        <f>IF(OR(tblCalibracao[[#This Row],[Usada]]="",tblCalibracao[[#This Row],[Melhor G]]=""),"",MAX(0,tblCalibracao[[#This Row],[Melhor G]]-tblCalibracao[[#This Row],[Usada]]))</f>
        <v>1</v>
      </c>
      <c r="N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7"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7"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7"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7"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7" s="7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7"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7"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7" s="56"/>
    </row>
    <row r="8" spans="1:25" ht="15" customHeight="1" thickTop="1" thickBot="1" x14ac:dyDescent="0.35">
      <c r="A8" s="54">
        <v>46241</v>
      </c>
      <c r="B8" s="55" t="s">
        <v>853</v>
      </c>
      <c r="C8" s="55" t="s">
        <v>854</v>
      </c>
      <c r="D8" s="56" t="s">
        <v>805</v>
      </c>
      <c r="E8" s="57">
        <v>1.26</v>
      </c>
      <c r="F8"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v>
      </c>
      <c r="G8" s="59">
        <f>IF(tblCalibracao[[#This Row],[Placar]]="","",VALUE(_xlfn.TEXTBEFORE(tblCalibracao[[#This Row],[Placar]]," x "))+VALUE(_xlfn.TEXTAFTER(tblCalibracao[[#This Row],[Placar]]," x ")))</f>
        <v>6</v>
      </c>
      <c r="H8" s="57">
        <v>2.5</v>
      </c>
      <c r="I8" s="57">
        <f>IF(tblCalibracao[[#This Row],[Gols]]="","",IF(tblCalibracao[[#This Row],[Gols]]&lt;1,0,MIN(3,tblCalibracao[[#This Row],[Gols]]-0.5)))</f>
        <v>3</v>
      </c>
      <c r="J8" s="57"/>
      <c r="K8"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8" s="57" t="s">
        <v>878</v>
      </c>
      <c r="M8" s="57">
        <f>IF(OR(tblCalibracao[[#This Row],[Usada]]="",tblCalibracao[[#This Row],[Melhor G]]=""),"",MAX(0,tblCalibracao[[#This Row],[Melhor G]]-tblCalibracao[[#This Row],[Usada]]))</f>
        <v>0.5</v>
      </c>
      <c r="N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8"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8"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8" s="7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8" s="6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8"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8"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8" s="56"/>
    </row>
    <row r="9" spans="1:25" ht="15" customHeight="1" thickTop="1" thickBot="1" x14ac:dyDescent="0.35">
      <c r="A9" s="54">
        <v>46239</v>
      </c>
      <c r="B9" s="55" t="s">
        <v>855</v>
      </c>
      <c r="C9" s="55" t="s">
        <v>856</v>
      </c>
      <c r="D9" s="56" t="s">
        <v>857</v>
      </c>
      <c r="E9" s="57">
        <v>1.17</v>
      </c>
      <c r="F9"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8.4999999999999964E-2</v>
      </c>
      <c r="G9" s="59">
        <f>IF(tblCalibracao[[#This Row],[Placar]]="","",VALUE(_xlfn.TEXTBEFORE(tblCalibracao[[#This Row],[Placar]]," x "))+VALUE(_xlfn.TEXTAFTER(tblCalibracao[[#This Row],[Placar]]," x ")))</f>
        <v>3</v>
      </c>
      <c r="H9" s="57">
        <v>2.25</v>
      </c>
      <c r="I9" s="57">
        <f>IF(tblCalibracao[[#This Row],[Gols]]="","",IF(tblCalibracao[[#This Row],[Gols]]&lt;1,0,MIN(3,tblCalibracao[[#This Row],[Gols]]-0.5)))</f>
        <v>2.5</v>
      </c>
      <c r="J9" s="57">
        <v>1.29</v>
      </c>
      <c r="K9"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0.14500000000000002</v>
      </c>
      <c r="L9" s="57" t="s">
        <v>878</v>
      </c>
      <c r="M9" s="57">
        <f>IF(OR(tblCalibracao[[#This Row],[Usada]]="",tblCalibracao[[#This Row],[Melhor G]]=""),"",MAX(0,tblCalibracao[[#This Row],[Melhor G]]-tblCalibracao[[#This Row],[Usada]]))</f>
        <v>0.25</v>
      </c>
      <c r="N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9"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9"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9"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9"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9"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9" s="71"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9" s="56"/>
    </row>
    <row r="10" spans="1:25" ht="15" customHeight="1" thickTop="1" thickBot="1" x14ac:dyDescent="0.35">
      <c r="A10" s="54">
        <v>46239</v>
      </c>
      <c r="B10" s="55" t="s">
        <v>858</v>
      </c>
      <c r="C10" s="55" t="s">
        <v>856</v>
      </c>
      <c r="D10" s="56" t="s">
        <v>859</v>
      </c>
      <c r="E10" s="57">
        <v>1.2250000000000001</v>
      </c>
      <c r="F10"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0.11250000000000004</v>
      </c>
      <c r="G10" s="59">
        <f>IF(tblCalibracao[[#This Row],[Placar]]="","",VALUE(_xlfn.TEXTBEFORE(tblCalibracao[[#This Row],[Placar]]," x "))+VALUE(_xlfn.TEXTAFTER(tblCalibracao[[#This Row],[Placar]]," x ")))</f>
        <v>5</v>
      </c>
      <c r="H10" s="57">
        <v>2</v>
      </c>
      <c r="I10" s="57">
        <f>IF(tblCalibracao[[#This Row],[Gols]]="","",IF(tblCalibracao[[#This Row],[Gols]]&lt;1,0,MIN(3,tblCalibracao[[#This Row],[Gols]]-0.5)))</f>
        <v>3</v>
      </c>
      <c r="J10" s="57"/>
      <c r="K10"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0" s="57"/>
      <c r="M10" s="57">
        <f>IF(OR(tblCalibracao[[#This Row],[Usada]]="",tblCalibracao[[#This Row],[Melhor G]]=""),"",MAX(0,tblCalibracao[[#This Row],[Melhor G]]-tblCalibracao[[#This Row],[Usada]]))</f>
        <v>1</v>
      </c>
      <c r="N1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0"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0"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0"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0"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0"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0" s="7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0"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0" s="56"/>
    </row>
    <row r="11" spans="1:25" ht="15" customHeight="1" thickTop="1" thickBot="1" x14ac:dyDescent="0.35">
      <c r="A11" s="54">
        <v>46239</v>
      </c>
      <c r="B11" s="55" t="s">
        <v>860</v>
      </c>
      <c r="C11" s="55" t="s">
        <v>4336</v>
      </c>
      <c r="D11" s="56" t="s">
        <v>861</v>
      </c>
      <c r="E11" s="57">
        <v>1.24</v>
      </c>
      <c r="F11"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v>
      </c>
      <c r="G11" s="59">
        <f>IF(tblCalibracao[[#This Row],[Placar]]="","",VALUE(_xlfn.TEXTBEFORE(tblCalibracao[[#This Row],[Placar]]," x "))+VALUE(_xlfn.TEXTAFTER(tblCalibracao[[#This Row],[Placar]]," x ")))</f>
        <v>3</v>
      </c>
      <c r="H11" s="57">
        <v>2.25</v>
      </c>
      <c r="I11" s="57">
        <f>IF(tblCalibracao[[#This Row],[Gols]]="","",IF(tblCalibracao[[#This Row],[Gols]]&lt;1,0,MIN(3,tblCalibracao[[#This Row],[Gols]]-0.5)))</f>
        <v>2.5</v>
      </c>
      <c r="J11" s="57">
        <v>1.29</v>
      </c>
      <c r="K11"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0.14500000000000002</v>
      </c>
      <c r="L11" s="57" t="s">
        <v>880</v>
      </c>
      <c r="M11" s="57">
        <f>IF(OR(tblCalibracao[[#This Row],[Usada]]="",tblCalibracao[[#This Row],[Melhor G]]=""),"",MAX(0,tblCalibracao[[#This Row],[Melhor G]]-tblCalibracao[[#This Row],[Usada]]))</f>
        <v>0.25</v>
      </c>
      <c r="N1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1"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1"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1"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1"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1" s="7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1"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1" s="68"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1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11" s="56"/>
    </row>
    <row r="12" spans="1:25" ht="15" customHeight="1" thickTop="1" thickBot="1" x14ac:dyDescent="0.35">
      <c r="A12" s="54">
        <v>46239</v>
      </c>
      <c r="B12" s="55" t="s">
        <v>862</v>
      </c>
      <c r="C12" s="55" t="s">
        <v>847</v>
      </c>
      <c r="D12" s="56" t="s">
        <v>863</v>
      </c>
      <c r="E12" s="57">
        <v>1.125</v>
      </c>
      <c r="F12"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12" s="59">
        <f>IF(tblCalibracao[[#This Row],[Placar]]="","",VALUE(_xlfn.TEXTBEFORE(tblCalibracao[[#This Row],[Placar]]," x "))+VALUE(_xlfn.TEXTAFTER(tblCalibracao[[#This Row],[Placar]]," x ")))</f>
        <v>0</v>
      </c>
      <c r="H12" s="57">
        <v>2</v>
      </c>
      <c r="I12" s="57">
        <f>IF(tblCalibracao[[#This Row],[Gols]]="","",IF(tblCalibracao[[#This Row],[Gols]]&lt;1,0,MIN(3,tblCalibracao[[#This Row],[Gols]]-0.5)))</f>
        <v>0</v>
      </c>
      <c r="J12" s="57"/>
      <c r="K12"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2" s="57" t="s">
        <v>879</v>
      </c>
      <c r="M12" s="57">
        <f>IF(OR(tblCalibracao[[#This Row],[Usada]]="",tblCalibracao[[#This Row],[Melhor G]]=""),"",MAX(0,tblCalibracao[[#This Row],[Melhor G]]-tblCalibracao[[#This Row],[Usada]]))</f>
        <v>0</v>
      </c>
      <c r="N1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1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12"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1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12"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12"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12"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12" s="7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12"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1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1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12" s="56"/>
    </row>
    <row r="13" spans="1:25" ht="15" customHeight="1" thickTop="1" thickBot="1" x14ac:dyDescent="0.35">
      <c r="A13" s="54">
        <v>46239</v>
      </c>
      <c r="B13" s="55" t="s">
        <v>864</v>
      </c>
      <c r="C13" s="55" t="s">
        <v>847</v>
      </c>
      <c r="D13" s="56" t="s">
        <v>857</v>
      </c>
      <c r="E13" s="57">
        <v>1.1299999999999999</v>
      </c>
      <c r="F13"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13" s="59">
        <f>IF(tblCalibracao[[#This Row],[Placar]]="","",VALUE(_xlfn.TEXTBEFORE(tblCalibracao[[#This Row],[Placar]]," x "))+VALUE(_xlfn.TEXTAFTER(tblCalibracao[[#This Row],[Placar]]," x ")))</f>
        <v>3</v>
      </c>
      <c r="H13" s="57">
        <v>2</v>
      </c>
      <c r="I13" s="57">
        <f>IF(tblCalibracao[[#This Row],[Gols]]="","",IF(tblCalibracao[[#This Row],[Gols]]&lt;1,0,MIN(3,tblCalibracao[[#This Row],[Gols]]-0.5)))</f>
        <v>2.5</v>
      </c>
      <c r="J13" s="57">
        <v>1.29</v>
      </c>
      <c r="K13"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0.14500000000000002</v>
      </c>
      <c r="L13" s="57" t="s">
        <v>879</v>
      </c>
      <c r="M13" s="57">
        <f>IF(OR(tblCalibracao[[#This Row],[Usada]]="",tblCalibracao[[#This Row],[Melhor G]]=""),"",MAX(0,tblCalibracao[[#This Row],[Melhor G]]-tblCalibracao[[#This Row],[Usada]]))</f>
        <v>0.5</v>
      </c>
      <c r="N1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3"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3"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3"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3" s="75"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3"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1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13" s="56"/>
    </row>
    <row r="14" spans="1:25" ht="15" customHeight="1" thickTop="1" thickBot="1" x14ac:dyDescent="0.35">
      <c r="A14" s="54">
        <v>46239</v>
      </c>
      <c r="B14" s="55" t="s">
        <v>865</v>
      </c>
      <c r="C14" s="55" t="s">
        <v>847</v>
      </c>
      <c r="D14" s="56" t="s">
        <v>806</v>
      </c>
      <c r="E14" s="57">
        <v>1.2250000000000001</v>
      </c>
      <c r="F14"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0.11250000000000004</v>
      </c>
      <c r="G14" s="59">
        <f>IF(tblCalibracao[[#This Row],[Placar]]="","",VALUE(_xlfn.TEXTBEFORE(tblCalibracao[[#This Row],[Placar]]," x "))+VALUE(_xlfn.TEXTAFTER(tblCalibracao[[#This Row],[Placar]]," x ")))</f>
        <v>4</v>
      </c>
      <c r="H14" s="57">
        <v>2.25</v>
      </c>
      <c r="I14" s="57">
        <f>IF(tblCalibracao[[#This Row],[Gols]]="","",IF(tblCalibracao[[#This Row],[Gols]]&lt;1,0,MIN(3,tblCalibracao[[#This Row],[Gols]]-0.5)))</f>
        <v>3</v>
      </c>
      <c r="J14" s="57">
        <v>1.48</v>
      </c>
      <c r="K14"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0.24</v>
      </c>
      <c r="L14" s="57" t="s">
        <v>879</v>
      </c>
      <c r="M14" s="57">
        <f>IF(OR(tblCalibracao[[#This Row],[Usada]]="",tblCalibracao[[#This Row],[Melhor G]]=""),"",MAX(0,tblCalibracao[[#This Row],[Melhor G]]-tblCalibracao[[#This Row],[Usada]]))</f>
        <v>0.75</v>
      </c>
      <c r="N1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4"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4"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4" s="72"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4"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4" s="68"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4"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4" s="56"/>
    </row>
    <row r="15" spans="1:25" ht="15" customHeight="1" thickTop="1" thickBot="1" x14ac:dyDescent="0.35">
      <c r="A15" s="54">
        <v>46239</v>
      </c>
      <c r="B15" s="55" t="s">
        <v>866</v>
      </c>
      <c r="C15" s="55" t="s">
        <v>847</v>
      </c>
      <c r="D15" s="56" t="s">
        <v>805</v>
      </c>
      <c r="E15" s="57">
        <v>1.1200000000000001</v>
      </c>
      <c r="F15"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6.0000000000000053E-2</v>
      </c>
      <c r="G15" s="59">
        <f>IF(tblCalibracao[[#This Row],[Placar]]="","",VALUE(_xlfn.TEXTBEFORE(tblCalibracao[[#This Row],[Placar]]," x "))+VALUE(_xlfn.TEXTAFTER(tblCalibracao[[#This Row],[Placar]]," x ")))</f>
        <v>6</v>
      </c>
      <c r="H15" s="57">
        <v>1.75</v>
      </c>
      <c r="I15" s="57">
        <f>IF(tblCalibracao[[#This Row],[Gols]]="","",IF(tblCalibracao[[#This Row],[Gols]]&lt;1,0,MIN(3,tblCalibracao[[#This Row],[Gols]]-0.5)))</f>
        <v>3</v>
      </c>
      <c r="J15" s="57">
        <v>1.5</v>
      </c>
      <c r="K15"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0.25</v>
      </c>
      <c r="L15" s="57" t="s">
        <v>879</v>
      </c>
      <c r="M15" s="57">
        <f>IF(OR(tblCalibracao[[#This Row],[Usada]]="",tblCalibracao[[#This Row],[Melhor G]]=""),"",MAX(0,tblCalibracao[[#This Row],[Melhor G]]-tblCalibracao[[#This Row],[Usada]]))</f>
        <v>1.25</v>
      </c>
      <c r="N1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5" s="6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5" s="44"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5" s="68"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5" s="7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5"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5" s="56"/>
    </row>
    <row r="16" spans="1:25" ht="15" customHeight="1" thickTop="1" thickBot="1" x14ac:dyDescent="0.35">
      <c r="A16" s="54">
        <v>46238</v>
      </c>
      <c r="B16" s="55" t="s">
        <v>867</v>
      </c>
      <c r="C16" s="55" t="s">
        <v>856</v>
      </c>
      <c r="D16" s="56" t="s">
        <v>861</v>
      </c>
      <c r="E16" s="57">
        <v>1.115</v>
      </c>
      <c r="F16"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5.7499999999999996E-2</v>
      </c>
      <c r="G16" s="59">
        <f>IF(tblCalibracao[[#This Row],[Placar]]="","",VALUE(_xlfn.TEXTBEFORE(tblCalibracao[[#This Row],[Placar]]," x "))+VALUE(_xlfn.TEXTAFTER(tblCalibracao[[#This Row],[Placar]]," x ")))</f>
        <v>3</v>
      </c>
      <c r="H16" s="57">
        <v>1.5</v>
      </c>
      <c r="I16" s="57">
        <f>IF(tblCalibracao[[#This Row],[Gols]]="","",IF(tblCalibracao[[#This Row],[Gols]]&lt;1,0,MIN(3,tblCalibracao[[#This Row],[Gols]]-0.5)))</f>
        <v>2.5</v>
      </c>
      <c r="J16" s="57">
        <v>1.44</v>
      </c>
      <c r="K16"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0.21999999999999997</v>
      </c>
      <c r="L16" s="57" t="s">
        <v>879</v>
      </c>
      <c r="M16" s="57">
        <f>IF(OR(tblCalibracao[[#This Row],[Usada]]="",tblCalibracao[[#This Row],[Melhor G]]=""),"",MAX(0,tblCalibracao[[#This Row],[Melhor G]]-tblCalibracao[[#This Row],[Usada]]))</f>
        <v>1</v>
      </c>
      <c r="N1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6"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6"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6" s="71"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6" s="6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16"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16" s="56"/>
    </row>
    <row r="17" spans="1:25" ht="15" customHeight="1" thickTop="1" thickBot="1" x14ac:dyDescent="0.35">
      <c r="A17" s="54">
        <v>46238</v>
      </c>
      <c r="B17" s="55" t="s">
        <v>868</v>
      </c>
      <c r="C17" s="55" t="s">
        <v>4336</v>
      </c>
      <c r="D17" s="56" t="s">
        <v>869</v>
      </c>
      <c r="E17" s="57">
        <v>1.1299999999999999</v>
      </c>
      <c r="F17"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17" s="59">
        <f>IF(tblCalibracao[[#This Row],[Placar]]="","",VALUE(_xlfn.TEXTBEFORE(tblCalibracao[[#This Row],[Placar]]," x "))+VALUE(_xlfn.TEXTAFTER(tblCalibracao[[#This Row],[Placar]]," x ")))</f>
        <v>1</v>
      </c>
      <c r="H17" s="57">
        <v>2</v>
      </c>
      <c r="I17" s="57">
        <f>IF(tblCalibracao[[#This Row],[Gols]]="","",IF(tblCalibracao[[#This Row],[Gols]]&lt;1,0,MIN(3,tblCalibracao[[#This Row],[Gols]]-0.5)))</f>
        <v>0.5</v>
      </c>
      <c r="J17" s="57"/>
      <c r="K17"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7" s="57" t="s">
        <v>881</v>
      </c>
      <c r="M17" s="57">
        <f>IF(OR(tblCalibracao[[#This Row],[Usada]]="",tblCalibracao[[#This Row],[Melhor G]]=""),"",MAX(0,tblCalibracao[[#This Row],[Melhor G]]-tblCalibracao[[#This Row],[Usada]]))</f>
        <v>0</v>
      </c>
      <c r="N1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1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17"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17" s="70"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17"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17"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17" s="6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17"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1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17"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17" s="56"/>
    </row>
    <row r="18" spans="1:25" ht="15" customHeight="1" thickTop="1" thickBot="1" x14ac:dyDescent="0.35">
      <c r="A18" s="54">
        <v>46238</v>
      </c>
      <c r="B18" s="55" t="s">
        <v>882</v>
      </c>
      <c r="C18" s="55" t="s">
        <v>856</v>
      </c>
      <c r="D18" s="56" t="s">
        <v>883</v>
      </c>
      <c r="E18" s="57">
        <v>1.125</v>
      </c>
      <c r="F18"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18" s="59">
        <f>IF(tblCalibracao[[#This Row],[Placar]]="","",VALUE(_xlfn.TEXTBEFORE(tblCalibracao[[#This Row],[Placar]]," x "))+VALUE(_xlfn.TEXTAFTER(tblCalibracao[[#This Row],[Placar]]," x ")))</f>
        <v>5</v>
      </c>
      <c r="H18" s="57">
        <v>2</v>
      </c>
      <c r="I18" s="57">
        <f>IF(tblCalibracao[[#This Row],[Gols]]="","",IF(tblCalibracao[[#This Row],[Gols]]&lt;1,0,MIN(3,tblCalibracao[[#This Row],[Gols]]-0.5)))</f>
        <v>3</v>
      </c>
      <c r="J18" s="57"/>
      <c r="K18"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8" s="57" t="s">
        <v>881</v>
      </c>
      <c r="M18" s="57">
        <f>IF(OR(tblCalibracao[[#This Row],[Usada]]="",tblCalibracao[[#This Row],[Melhor G]]=""),"",MAX(0,tblCalibracao[[#This Row],[Melhor G]]-tblCalibracao[[#This Row],[Usada]]))</f>
        <v>1</v>
      </c>
      <c r="N1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8"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8"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8"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8" s="6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8"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8"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8" s="56"/>
    </row>
    <row r="19" spans="1:25" ht="15" customHeight="1" thickTop="1" thickBot="1" x14ac:dyDescent="0.35">
      <c r="A19" s="54">
        <v>46238</v>
      </c>
      <c r="B19" s="55" t="s">
        <v>884</v>
      </c>
      <c r="C19" s="55" t="s">
        <v>885</v>
      </c>
      <c r="D19" s="56" t="s">
        <v>886</v>
      </c>
      <c r="E19" s="57">
        <v>1.1399999999999999</v>
      </c>
      <c r="F19"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6.9999999999999951E-2</v>
      </c>
      <c r="G19" s="59">
        <f>IF(tblCalibracao[[#This Row],[Placar]]="","",VALUE(_xlfn.TEXTBEFORE(tblCalibracao[[#This Row],[Placar]]," x "))+VALUE(_xlfn.TEXTAFTER(tblCalibracao[[#This Row],[Placar]]," x ")))</f>
        <v>7</v>
      </c>
      <c r="H19" s="57">
        <v>2.5</v>
      </c>
      <c r="I19" s="57">
        <f>IF(tblCalibracao[[#This Row],[Gols]]="","",IF(tblCalibracao[[#This Row],[Gols]]&lt;1,0,MIN(3,tblCalibracao[[#This Row],[Gols]]-0.5)))</f>
        <v>3</v>
      </c>
      <c r="J19" s="57"/>
      <c r="K19"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9" s="57" t="s">
        <v>881</v>
      </c>
      <c r="M19" s="57">
        <f>IF(OR(tblCalibracao[[#This Row],[Usada]]="",tblCalibracao[[#This Row],[Melhor G]]=""),"",MAX(0,tblCalibracao[[#This Row],[Melhor G]]-tblCalibracao[[#This Row],[Usada]]))</f>
        <v>0.5</v>
      </c>
      <c r="N1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9"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9"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9"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9" s="7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9"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9"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9"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9" s="56"/>
    </row>
    <row r="20" spans="1:25" ht="15" customHeight="1" thickTop="1" thickBot="1" x14ac:dyDescent="0.35">
      <c r="A20" s="54">
        <v>46237</v>
      </c>
      <c r="B20" s="55" t="s">
        <v>935</v>
      </c>
      <c r="C20" s="55" t="s">
        <v>4101</v>
      </c>
      <c r="D20" s="56" t="s">
        <v>857</v>
      </c>
      <c r="E20" s="57">
        <v>1.18</v>
      </c>
      <c r="F20"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20" s="59">
        <f>IF(tblCalibracao[[#This Row],[Placar]]="","",VALUE(_xlfn.TEXTBEFORE(tblCalibracao[[#This Row],[Placar]]," x "))+VALUE(_xlfn.TEXTAFTER(tblCalibracao[[#This Row],[Placar]]," x ")))</f>
        <v>3</v>
      </c>
      <c r="H20" s="57">
        <v>1.25</v>
      </c>
      <c r="I20" s="57">
        <f>IF(tblCalibracao[[#This Row],[Gols]]="","",IF(tblCalibracao[[#This Row],[Gols]]&lt;1,0,MIN(3,tblCalibracao[[#This Row],[Gols]]-0.5)))</f>
        <v>2.5</v>
      </c>
      <c r="J20" s="57"/>
      <c r="K20"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0" s="57" t="s">
        <v>881</v>
      </c>
      <c r="M20" s="57">
        <f>IF(OR(tblCalibracao[[#This Row],[Usada]]="",tblCalibracao[[#This Row],[Melhor G]]=""),"",MAX(0,tblCalibracao[[#This Row],[Melhor G]]-tblCalibracao[[#This Row],[Usada]]))</f>
        <v>1.25</v>
      </c>
      <c r="N2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0" s="67"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0" s="44"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0" s="68"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0"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0"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0"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0" s="70"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2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20" s="56"/>
    </row>
    <row r="21" spans="1:25" ht="15" customHeight="1" thickTop="1" thickBot="1" x14ac:dyDescent="0.35">
      <c r="A21" s="54">
        <v>46237</v>
      </c>
      <c r="B21" s="55" t="s">
        <v>938</v>
      </c>
      <c r="C21" s="55" t="s">
        <v>939</v>
      </c>
      <c r="D21" s="56" t="s">
        <v>940</v>
      </c>
      <c r="E21" s="57">
        <v>1.1000000000000001</v>
      </c>
      <c r="F21"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21" s="59">
        <f>IF(tblCalibracao[[#This Row],[Placar]]="","",VALUE(_xlfn.TEXTBEFORE(tblCalibracao[[#This Row],[Placar]]," x "))+VALUE(_xlfn.TEXTAFTER(tblCalibracao[[#This Row],[Placar]]," x ")))</f>
        <v>5</v>
      </c>
      <c r="H21" s="57">
        <v>1</v>
      </c>
      <c r="I21" s="57">
        <f>IF(tblCalibracao[[#This Row],[Gols]]="","",IF(tblCalibracao[[#This Row],[Gols]]&lt;1,0,MIN(3,tblCalibracao[[#This Row],[Gols]]-0.5)))</f>
        <v>3</v>
      </c>
      <c r="J21" s="57"/>
      <c r="K21"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1" s="57" t="s">
        <v>881</v>
      </c>
      <c r="M21" s="57">
        <f>IF(OR(tblCalibracao[[#This Row],[Usada]]="",tblCalibracao[[#This Row],[Melhor G]]=""),"",MAX(0,tblCalibracao[[#This Row],[Melhor G]]-tblCalibracao[[#This Row],[Usada]]))</f>
        <v>2</v>
      </c>
      <c r="N2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1"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1" s="4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1" s="71"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1"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1"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1"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1"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1"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1" s="56"/>
    </row>
    <row r="22" spans="1:25" ht="15" customHeight="1" thickTop="1" thickBot="1" x14ac:dyDescent="0.35">
      <c r="A22" s="54">
        <v>46237</v>
      </c>
      <c r="B22" s="55" t="s">
        <v>945</v>
      </c>
      <c r="C22" s="55" t="s">
        <v>4336</v>
      </c>
      <c r="D22" s="56" t="s">
        <v>859</v>
      </c>
      <c r="E22" s="57">
        <v>1.2749999999999999</v>
      </c>
      <c r="F22"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0.13749999999999996</v>
      </c>
      <c r="G22" s="59">
        <f>IF(tblCalibracao[[#This Row],[Placar]]="","",VALUE(_xlfn.TEXTBEFORE(tblCalibracao[[#This Row],[Placar]]," x "))+VALUE(_xlfn.TEXTAFTER(tblCalibracao[[#This Row],[Placar]]," x ")))</f>
        <v>5</v>
      </c>
      <c r="H22" s="57">
        <v>2.5</v>
      </c>
      <c r="I22" s="57">
        <f>IF(tblCalibracao[[#This Row],[Gols]]="","",IF(tblCalibracao[[#This Row],[Gols]]&lt;1,0,MIN(3,tblCalibracao[[#This Row],[Gols]]-0.5)))</f>
        <v>3</v>
      </c>
      <c r="J22" s="57"/>
      <c r="K22"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2" s="57" t="s">
        <v>881</v>
      </c>
      <c r="M22" s="57">
        <f>IF(OR(tblCalibracao[[#This Row],[Usada]]="",tblCalibracao[[#This Row],[Melhor G]]=""),"",MAX(0,tblCalibracao[[#This Row],[Melhor G]]-tblCalibracao[[#This Row],[Usada]]))</f>
        <v>0.5</v>
      </c>
      <c r="N2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2" s="70"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2" s="63"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2"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2"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2"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2"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2" s="56"/>
    </row>
    <row r="23" spans="1:25" ht="15" customHeight="1" thickTop="1" thickBot="1" x14ac:dyDescent="0.35">
      <c r="A23" s="54">
        <v>46241</v>
      </c>
      <c r="B23" s="55" t="s">
        <v>946</v>
      </c>
      <c r="C23" s="55" t="s">
        <v>947</v>
      </c>
      <c r="D23" s="56" t="s">
        <v>948</v>
      </c>
      <c r="E23" s="57">
        <v>1.2749999999999999</v>
      </c>
      <c r="F23"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0.13749999999999996</v>
      </c>
      <c r="G23" s="56">
        <v>2</v>
      </c>
      <c r="H23" s="57">
        <v>1.5</v>
      </c>
      <c r="I23" s="57">
        <f>IF(tblCalibracao[[#This Row],[Gols]]="","",IF(tblCalibracao[[#This Row],[Gols]]&lt;1,0,MIN(3,tblCalibracao[[#This Row],[Gols]]-0.5)))</f>
        <v>1.5</v>
      </c>
      <c r="J23" s="57"/>
      <c r="K23"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3" s="57" t="s">
        <v>881</v>
      </c>
      <c r="M23" s="57">
        <f>IF(OR(tblCalibracao[[#This Row],[Usada]]="",tblCalibracao[[#This Row],[Melhor G]]=""),"",MAX(0,tblCalibracao[[#This Row],[Melhor G]]-tblCalibracao[[#This Row],[Usada]]))</f>
        <v>0</v>
      </c>
      <c r="N2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3"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3"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3"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23"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23" s="6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23" s="70"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3" s="56"/>
    </row>
    <row r="24" spans="1:25" ht="15" customHeight="1" thickTop="1" thickBot="1" x14ac:dyDescent="0.35">
      <c r="A24" s="61">
        <v>46241</v>
      </c>
      <c r="B24" s="62" t="s">
        <v>951</v>
      </c>
      <c r="C24" s="62" t="s">
        <v>4337</v>
      </c>
      <c r="D24" s="63" t="s">
        <v>883</v>
      </c>
      <c r="E24" s="64">
        <v>1.25</v>
      </c>
      <c r="F24"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0.125</v>
      </c>
      <c r="G24" s="63">
        <v>5</v>
      </c>
      <c r="H24" s="64">
        <v>2.25</v>
      </c>
      <c r="I24" s="64">
        <f>IF(tblCalibracao[[#This Row],[Gols]]="","",IF(tblCalibracao[[#This Row],[Gols]]&lt;1,0,MIN(3,tblCalibracao[[#This Row],[Gols]]-0.5)))</f>
        <v>3</v>
      </c>
      <c r="J24" s="64"/>
      <c r="K24"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4" s="64" t="s">
        <v>881</v>
      </c>
      <c r="M24" s="64">
        <f>IF(OR(tblCalibracao[[#This Row],[Usada]]="",tblCalibracao[[#This Row],[Melhor G]]=""),"",MAX(0,tblCalibracao[[#This Row],[Melhor G]]-tblCalibracao[[#This Row],[Usada]]))</f>
        <v>0.75</v>
      </c>
      <c r="N24"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4"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4"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4"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4" s="7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4"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4"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4"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4" s="7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4"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4"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4" s="56"/>
    </row>
    <row r="25" spans="1:25" ht="15" customHeight="1" thickTop="1" thickBot="1" x14ac:dyDescent="0.35">
      <c r="A25" s="61">
        <v>46241</v>
      </c>
      <c r="B25" s="62" t="s">
        <v>956</v>
      </c>
      <c r="C25" s="62" t="s">
        <v>957</v>
      </c>
      <c r="D25" s="63" t="s">
        <v>869</v>
      </c>
      <c r="E25" s="64">
        <v>1.26</v>
      </c>
      <c r="F25"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25" s="63">
        <v>1</v>
      </c>
      <c r="H25" s="64">
        <v>1.5</v>
      </c>
      <c r="I25" s="64">
        <f>IF(tblCalibracao[[#This Row],[Gols]]="","",IF(tblCalibracao[[#This Row],[Gols]]&lt;1,0,MIN(3,tblCalibracao[[#This Row],[Gols]]-0.5)))</f>
        <v>0.5</v>
      </c>
      <c r="J25" s="64"/>
      <c r="K25"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5" s="64" t="s">
        <v>881</v>
      </c>
      <c r="M25" s="64">
        <f>IF(OR(tblCalibracao[[#This Row],[Usada]]="",tblCalibracao[[#This Row],[Melhor G]]=""),"",MAX(0,tblCalibracao[[#This Row],[Melhor G]]-tblCalibracao[[#This Row],[Usada]]))</f>
        <v>0</v>
      </c>
      <c r="N25"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5"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25"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25" s="6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25"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25" s="75"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25" s="6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25"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25"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5"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5"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5" s="56"/>
    </row>
    <row r="26" spans="1:25" ht="15" customHeight="1" thickTop="1" thickBot="1" x14ac:dyDescent="0.35">
      <c r="A26" s="61">
        <v>46241</v>
      </c>
      <c r="B26" s="62" t="s">
        <v>962</v>
      </c>
      <c r="C26" s="62" t="s">
        <v>963</v>
      </c>
      <c r="D26" s="63" t="s">
        <v>948</v>
      </c>
      <c r="E26" s="64">
        <v>1.24</v>
      </c>
      <c r="F26"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-0.25</v>
      </c>
      <c r="G26" s="63">
        <v>2</v>
      </c>
      <c r="H26" s="64">
        <v>2.25</v>
      </c>
      <c r="I26" s="64">
        <f>IF(tblCalibracao[[#This Row],[Gols]]="","",IF(tblCalibracao[[#This Row],[Gols]]&lt;1,0,MIN(3,tblCalibracao[[#This Row],[Gols]]-0.5)))</f>
        <v>1.5</v>
      </c>
      <c r="J26" s="64"/>
      <c r="K26"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6" s="64" t="s">
        <v>881</v>
      </c>
      <c r="M26" s="64">
        <f>IF(OR(tblCalibracao[[#This Row],[Usada]]="",tblCalibracao[[#This Row],[Melhor G]]=""),"",MAX(0,tblCalibracao[[#This Row],[Melhor G]]-tblCalibracao[[#This Row],[Usada]]))</f>
        <v>0</v>
      </c>
      <c r="N26"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6"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6"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6"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6"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6"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26"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26"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26" s="7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6"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6"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6" s="56"/>
    </row>
    <row r="27" spans="1:25" ht="15" customHeight="1" thickTop="1" thickBot="1" x14ac:dyDescent="0.35">
      <c r="A27" s="61">
        <v>46241</v>
      </c>
      <c r="B27" s="62" t="s">
        <v>968</v>
      </c>
      <c r="C27" s="62" t="s">
        <v>969</v>
      </c>
      <c r="D27" s="63" t="s">
        <v>857</v>
      </c>
      <c r="E27" s="64">
        <v>1.23</v>
      </c>
      <c r="F27"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0.11499999999999999</v>
      </c>
      <c r="G27" s="63">
        <v>3</v>
      </c>
      <c r="H27" s="64">
        <v>2</v>
      </c>
      <c r="I27" s="64">
        <f>IF(tblCalibracao[[#This Row],[Gols]]="","",IF(tblCalibracao[[#This Row],[Gols]]&lt;1,0,MIN(3,tblCalibracao[[#This Row],[Gols]]-0.5)))</f>
        <v>2.5</v>
      </c>
      <c r="J27" s="64"/>
      <c r="K27"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7" s="64" t="s">
        <v>881</v>
      </c>
      <c r="M27" s="64">
        <f>IF(OR(tblCalibracao[[#This Row],[Usada]]="",tblCalibracao[[#This Row],[Melhor G]]=""),"",MAX(0,tblCalibracao[[#This Row],[Melhor G]]-tblCalibracao[[#This Row],[Usada]]))</f>
        <v>0.5</v>
      </c>
      <c r="N27"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7"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7"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7"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7"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7"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7"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7"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7"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7"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27"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27" s="56"/>
    </row>
    <row r="28" spans="1:25" ht="15" customHeight="1" thickTop="1" thickBot="1" x14ac:dyDescent="0.35">
      <c r="A28" s="61">
        <v>46241</v>
      </c>
      <c r="B28" s="62" t="s">
        <v>975</v>
      </c>
      <c r="C28" s="62" t="s">
        <v>976</v>
      </c>
      <c r="D28" s="63" t="s">
        <v>977</v>
      </c>
      <c r="E28" s="64">
        <v>1.25</v>
      </c>
      <c r="F28"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0.125</v>
      </c>
      <c r="G28" s="63">
        <v>7</v>
      </c>
      <c r="H28" s="64">
        <v>2.25</v>
      </c>
      <c r="I28" s="64">
        <f>IF(tblCalibracao[[#This Row],[Gols]]="","",IF(tblCalibracao[[#This Row],[Gols]]&lt;1,0,MIN(3,tblCalibracao[[#This Row],[Gols]]-0.5)))</f>
        <v>3</v>
      </c>
      <c r="J28" s="64"/>
      <c r="K28"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8" s="64" t="s">
        <v>881</v>
      </c>
      <c r="M28" s="64">
        <f>IF(OR(tblCalibracao[[#This Row],[Usada]]="",tblCalibracao[[#This Row],[Melhor G]]=""),"",MAX(0,tblCalibracao[[#This Row],[Melhor G]]-tblCalibracao[[#This Row],[Usada]]))</f>
        <v>0.75</v>
      </c>
      <c r="N28"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8"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8"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8"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8"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8"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8" s="78"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8"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8" s="7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8"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8"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8" s="56"/>
    </row>
    <row r="29" spans="1:25" ht="15" customHeight="1" thickTop="1" thickBot="1" x14ac:dyDescent="0.35">
      <c r="A29" s="61">
        <v>46241</v>
      </c>
      <c r="B29" s="62" t="s">
        <v>982</v>
      </c>
      <c r="C29" s="62" t="s">
        <v>976</v>
      </c>
      <c r="D29" s="63" t="s">
        <v>802</v>
      </c>
      <c r="E29" s="64">
        <v>1.175</v>
      </c>
      <c r="F29"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29" s="63">
        <v>1</v>
      </c>
      <c r="H29" s="64">
        <v>2</v>
      </c>
      <c r="I29" s="64">
        <f>IF(tblCalibracao[[#This Row],[Gols]]="","",IF(tblCalibracao[[#This Row],[Gols]]&lt;1,0,MIN(3,tblCalibracao[[#This Row],[Gols]]-0.5)))</f>
        <v>0.5</v>
      </c>
      <c r="J29" s="64"/>
      <c r="K29"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9" s="64" t="s">
        <v>881</v>
      </c>
      <c r="M29" s="64">
        <f>IF(OR(tblCalibracao[[#This Row],[Usada]]="",tblCalibracao[[#This Row],[Melhor G]]=""),"",MAX(0,tblCalibracao[[#This Row],[Melhor G]]-tblCalibracao[[#This Row],[Usada]]))</f>
        <v>0</v>
      </c>
      <c r="N29"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9"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29"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29"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29"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29"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29"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29"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29"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9"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9"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9" s="56"/>
    </row>
    <row r="30" spans="1:25" ht="15" customHeight="1" thickTop="1" thickBot="1" x14ac:dyDescent="0.35">
      <c r="A30" s="61">
        <v>46237</v>
      </c>
      <c r="B30" s="62" t="s">
        <v>987</v>
      </c>
      <c r="C30" s="62" t="s">
        <v>969</v>
      </c>
      <c r="D30" s="63" t="s">
        <v>948</v>
      </c>
      <c r="E30" s="64">
        <v>1.24</v>
      </c>
      <c r="F30"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30" s="63">
        <v>2</v>
      </c>
      <c r="H30" s="64">
        <v>2</v>
      </c>
      <c r="I30" s="64">
        <f>IF(tblCalibracao[[#This Row],[Gols]]="","",IF(tblCalibracao[[#This Row],[Gols]]&lt;1,0,MIN(3,tblCalibracao[[#This Row],[Gols]]-0.5)))</f>
        <v>1.5</v>
      </c>
      <c r="J30" s="64"/>
      <c r="K30"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0" s="64" t="s">
        <v>881</v>
      </c>
      <c r="M30" s="64">
        <f>IF(OR(tblCalibracao[[#This Row],[Usada]]="",tblCalibracao[[#This Row],[Melhor G]]=""),"",MAX(0,tblCalibracao[[#This Row],[Melhor G]]-tblCalibracao[[#This Row],[Usada]]))</f>
        <v>0</v>
      </c>
      <c r="N30"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0"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0"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0"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0"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0"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30"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30"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30"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0"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0"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0" s="56"/>
    </row>
    <row r="31" spans="1:25" ht="15" customHeight="1" thickTop="1" thickBot="1" x14ac:dyDescent="0.35">
      <c r="A31" s="61">
        <v>46237</v>
      </c>
      <c r="B31" s="62" t="s">
        <v>989</v>
      </c>
      <c r="C31" s="62" t="s">
        <v>990</v>
      </c>
      <c r="D31" s="63" t="s">
        <v>991</v>
      </c>
      <c r="E31" s="64">
        <v>1.23</v>
      </c>
      <c r="F31"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0.11499999999999999</v>
      </c>
      <c r="G31" s="63">
        <v>7</v>
      </c>
      <c r="H31" s="64">
        <v>2.5</v>
      </c>
      <c r="I31" s="64">
        <f>IF(tblCalibracao[[#This Row],[Gols]]="","",IF(tblCalibracao[[#This Row],[Gols]]&lt;1,0,MIN(3,tblCalibracao[[#This Row],[Gols]]-0.5)))</f>
        <v>3</v>
      </c>
      <c r="J31" s="64"/>
      <c r="K31"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1" s="64" t="s">
        <v>881</v>
      </c>
      <c r="M31" s="64">
        <f>IF(OR(tblCalibracao[[#This Row],[Usada]]="",tblCalibracao[[#This Row],[Melhor G]]=""),"",MAX(0,tblCalibracao[[#This Row],[Melhor G]]-tblCalibracao[[#This Row],[Usada]]))</f>
        <v>0.5</v>
      </c>
      <c r="N31"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1"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1"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1"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1"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1"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1"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1" s="7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1"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1" s="75"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31"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31" s="56"/>
    </row>
    <row r="32" spans="1:25" ht="15" customHeight="1" thickTop="1" thickBot="1" x14ac:dyDescent="0.35">
      <c r="A32" s="61">
        <v>46237</v>
      </c>
      <c r="B32" s="62" t="s">
        <v>996</v>
      </c>
      <c r="C32" s="62" t="s">
        <v>997</v>
      </c>
      <c r="D32" s="63" t="s">
        <v>861</v>
      </c>
      <c r="E32" s="64">
        <v>1.21</v>
      </c>
      <c r="F32"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0.10499999999999998</v>
      </c>
      <c r="G32" s="63">
        <v>3</v>
      </c>
      <c r="H32" s="64">
        <v>2</v>
      </c>
      <c r="I32" s="64">
        <f>IF(tblCalibracao[[#This Row],[Gols]]="","",IF(tblCalibracao[[#This Row],[Gols]]&lt;1,0,MIN(3,tblCalibracao[[#This Row],[Gols]]-0.5)))</f>
        <v>2.5</v>
      </c>
      <c r="J32" s="64"/>
      <c r="K32"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2" s="64" t="s">
        <v>881</v>
      </c>
      <c r="M32" s="64">
        <f>IF(OR(tblCalibracao[[#This Row],[Usada]]="",tblCalibracao[[#This Row],[Melhor G]]=""),"",MAX(0,tblCalibracao[[#This Row],[Melhor G]]-tblCalibracao[[#This Row],[Usada]]))</f>
        <v>0.5</v>
      </c>
      <c r="N32"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2"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2"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2"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2"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2"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2"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2"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2"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2"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2"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2" s="56"/>
    </row>
    <row r="33" spans="1:25" ht="15" customHeight="1" thickTop="1" thickBot="1" x14ac:dyDescent="0.35">
      <c r="A33" s="61">
        <v>46237</v>
      </c>
      <c r="B33" s="62" t="s">
        <v>1002</v>
      </c>
      <c r="C33" s="62" t="s">
        <v>1003</v>
      </c>
      <c r="D33" s="63" t="s">
        <v>1004</v>
      </c>
      <c r="E33" s="64">
        <v>1.1299999999999999</v>
      </c>
      <c r="F33"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33" s="63">
        <v>2</v>
      </c>
      <c r="H33" s="64">
        <v>1.5</v>
      </c>
      <c r="I33" s="64">
        <f>IF(tblCalibracao[[#This Row],[Gols]]="","",IF(tblCalibracao[[#This Row],[Gols]]&lt;1,0,MIN(3,tblCalibracao[[#This Row],[Gols]]-0.5)))</f>
        <v>1.5</v>
      </c>
      <c r="J33" s="64"/>
      <c r="K33"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3" s="64" t="s">
        <v>881</v>
      </c>
      <c r="M33" s="64">
        <f>IF(OR(tblCalibracao[[#This Row],[Usada]]="",tblCalibracao[[#This Row],[Melhor G]]=""),"",MAX(0,tblCalibracao[[#This Row],[Melhor G]]-tblCalibracao[[#This Row],[Usada]]))</f>
        <v>0</v>
      </c>
      <c r="N33"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3"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3"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3" s="6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3"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3" s="75"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33"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33"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33"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3"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3"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3" s="56"/>
    </row>
    <row r="34" spans="1:25" ht="15" customHeight="1" thickTop="1" thickBot="1" x14ac:dyDescent="0.35">
      <c r="A34" s="61">
        <v>46241</v>
      </c>
      <c r="B34" s="62" t="s">
        <v>1491</v>
      </c>
      <c r="C34" s="62" t="s">
        <v>1377</v>
      </c>
      <c r="D34" s="63" t="s">
        <v>1492</v>
      </c>
      <c r="E34" s="94">
        <v>1.105</v>
      </c>
      <c r="F34"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5.2499999999999991E-2</v>
      </c>
      <c r="G34" s="63">
        <v>3</v>
      </c>
      <c r="H34" s="64">
        <v>1.5</v>
      </c>
      <c r="I34" s="64">
        <v>2</v>
      </c>
      <c r="J34" s="64"/>
      <c r="K34"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4" s="64" t="s">
        <v>881</v>
      </c>
      <c r="M34" s="64">
        <f>IF(OR(tblCalibracao[[#This Row],[Usada]]="",tblCalibracao[[#This Row],[Melhor G]]=""),"",MAX(0,tblCalibracao[[#This Row],[Melhor G]]-tblCalibracao[[#This Row],[Usada]]))</f>
        <v>0.5</v>
      </c>
      <c r="N34"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4"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4"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4" s="6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4"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4" s="75"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4"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4"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4"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4"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4"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4" s="96" t="s">
        <v>1493</v>
      </c>
    </row>
    <row r="35" spans="1:25" ht="15" customHeight="1" thickTop="1" thickBot="1" x14ac:dyDescent="0.35">
      <c r="A35" s="61">
        <v>46242</v>
      </c>
      <c r="B35" s="62" t="s">
        <v>1935</v>
      </c>
      <c r="C35" s="62" t="s">
        <v>1378</v>
      </c>
      <c r="D35" s="63" t="s">
        <v>857</v>
      </c>
      <c r="E35" s="94">
        <v>1.1299999999999999</v>
      </c>
      <c r="F35"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35" s="63">
        <v>3</v>
      </c>
      <c r="H35" s="64">
        <v>1</v>
      </c>
      <c r="I35" s="64">
        <v>1.5</v>
      </c>
      <c r="J35" s="64">
        <v>1.425</v>
      </c>
      <c r="K35"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0.21250000000000002</v>
      </c>
      <c r="L35" s="64" t="s">
        <v>881</v>
      </c>
      <c r="M35" s="162">
        <f>IF(OR(tblCalibracao[[#This Row],[Usada]]="",tblCalibracao[[#This Row],[Melhor G]]=""),"",MAX(0,tblCalibracao[[#This Row],[Melhor G]]-tblCalibracao[[#This Row],[Usada]]))</f>
        <v>0.5</v>
      </c>
      <c r="N3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5"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5" s="45"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5" s="68"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5"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5"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5"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5" s="163" t="s">
        <v>1936</v>
      </c>
    </row>
    <row r="36" spans="1:25" ht="15" customHeight="1" thickTop="1" thickBot="1" x14ac:dyDescent="0.35">
      <c r="A36" s="61">
        <v>46242</v>
      </c>
      <c r="B36" s="62" t="s">
        <v>3100</v>
      </c>
      <c r="C36" s="62" t="s">
        <v>1379</v>
      </c>
      <c r="D36" s="63" t="s">
        <v>869</v>
      </c>
      <c r="E36" s="94">
        <v>1.105</v>
      </c>
      <c r="F36" s="95">
        <v>0.05</v>
      </c>
      <c r="G36" s="63">
        <v>1</v>
      </c>
      <c r="H36" s="64">
        <v>1</v>
      </c>
      <c r="I36" s="64">
        <v>1.5</v>
      </c>
      <c r="J36" s="64"/>
      <c r="K36"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6" s="64" t="s">
        <v>881</v>
      </c>
      <c r="M36" s="162">
        <f>IF(OR(tblCalibracao[[#This Row],[Usada]]="",tblCalibracao[[#This Row],[Melhor G]]=""),"",MAX(0,tblCalibracao[[#This Row],[Melhor G]]-tblCalibracao[[#This Row],[Usada]]))</f>
        <v>0.5</v>
      </c>
      <c r="N3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6"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36" s="4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36" s="68"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36"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3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36"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3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3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6"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6" s="163" t="s">
        <v>3101</v>
      </c>
    </row>
    <row r="37" spans="1:25" ht="15" customHeight="1" thickTop="1" thickBot="1" x14ac:dyDescent="0.35">
      <c r="A37" s="54">
        <v>46242</v>
      </c>
      <c r="B37" s="55" t="s">
        <v>3125</v>
      </c>
      <c r="C37" s="55" t="s">
        <v>854</v>
      </c>
      <c r="D37" s="56" t="s">
        <v>857</v>
      </c>
      <c r="E37" s="104">
        <v>1.1299999999999999</v>
      </c>
      <c r="F37"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37" s="56">
        <v>3</v>
      </c>
      <c r="H37" s="57">
        <v>2</v>
      </c>
      <c r="I37" s="104">
        <v>2.5</v>
      </c>
      <c r="J37" s="104">
        <v>1.25</v>
      </c>
      <c r="K37"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0.125</v>
      </c>
      <c r="L37" s="57" t="s">
        <v>881</v>
      </c>
      <c r="M37" s="57">
        <f>IF(OR(tblCalibracao[[#This Row],[Usada]]="",tblCalibracao[[#This Row],[Melhor G]]=""),"",MAX(0,tblCalibracao[[#This Row],[Melhor G]]-tblCalibracao[[#This Row],[Usada]]))</f>
        <v>0.5</v>
      </c>
      <c r="N37" s="70"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7" s="7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7" s="70"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7" s="7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7" s="15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7" s="72"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7" s="16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7" s="159"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7" s="157"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7" s="70"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7" s="72"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7" s="96" t="s">
        <v>3146</v>
      </c>
    </row>
    <row r="38" spans="1:25" ht="15" customHeight="1" thickTop="1" thickBot="1" x14ac:dyDescent="0.35">
      <c r="A38" s="54">
        <v>46242</v>
      </c>
      <c r="B38" s="55" t="s">
        <v>3126</v>
      </c>
      <c r="C38" s="55" t="s">
        <v>854</v>
      </c>
      <c r="D38" s="56" t="s">
        <v>1492</v>
      </c>
      <c r="E38" s="104">
        <v>1.125</v>
      </c>
      <c r="F38"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38" s="56">
        <v>3</v>
      </c>
      <c r="H38" s="57">
        <v>2</v>
      </c>
      <c r="I38" s="104">
        <v>2</v>
      </c>
      <c r="J38" s="104">
        <v>1.125</v>
      </c>
      <c r="K38"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6.25E-2</v>
      </c>
      <c r="L38" s="57" t="s">
        <v>881</v>
      </c>
      <c r="M38" s="57">
        <f>IF(OR(tblCalibracao[[#This Row],[Usada]]="",tblCalibracao[[#This Row],[Melhor G]]=""),"",MAX(0,tblCalibracao[[#This Row],[Melhor G]]-tblCalibracao[[#This Row],[Usada]]))</f>
        <v>0</v>
      </c>
      <c r="N3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8"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8"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8"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8" s="1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8"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8"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8" s="96" t="s">
        <v>3147</v>
      </c>
    </row>
    <row r="39" spans="1:25" ht="15" customHeight="1" thickTop="1" thickBot="1" x14ac:dyDescent="0.35">
      <c r="A39" s="54">
        <v>46242</v>
      </c>
      <c r="B39" s="55" t="s">
        <v>3127</v>
      </c>
      <c r="C39" s="55" t="s">
        <v>854</v>
      </c>
      <c r="D39" s="56" t="s">
        <v>3128</v>
      </c>
      <c r="E39" s="104">
        <v>1.1499999999999999</v>
      </c>
      <c r="F39"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39" s="56">
        <v>2</v>
      </c>
      <c r="H39" s="57">
        <v>2</v>
      </c>
      <c r="I39" s="104">
        <v>1.5</v>
      </c>
      <c r="J39" s="104">
        <v>1.115</v>
      </c>
      <c r="K39"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5.7499999999999996E-2</v>
      </c>
      <c r="L39" s="57" t="s">
        <v>881</v>
      </c>
      <c r="M39" s="57">
        <f>IF(OR(tblCalibracao[[#This Row],[Usada]]="",tblCalibracao[[#This Row],[Melhor G]]=""),"",MAX(0,tblCalibracao[[#This Row],[Melhor G]]-tblCalibracao[[#This Row],[Usada]]))</f>
        <v>0</v>
      </c>
      <c r="N3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9"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9"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9"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39"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39"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39"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9" s="96" t="s">
        <v>3148</v>
      </c>
    </row>
    <row r="40" spans="1:25" ht="15" customHeight="1" thickTop="1" thickBot="1" x14ac:dyDescent="0.35">
      <c r="A40" s="54">
        <v>46242</v>
      </c>
      <c r="B40" s="55" t="s">
        <v>3129</v>
      </c>
      <c r="C40" s="55" t="s">
        <v>854</v>
      </c>
      <c r="D40" s="56" t="s">
        <v>863</v>
      </c>
      <c r="E40" s="104">
        <v>1.3</v>
      </c>
      <c r="F40"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40" s="56">
        <v>0</v>
      </c>
      <c r="H40" s="57">
        <v>2.25</v>
      </c>
      <c r="I40" s="104"/>
      <c r="J40" s="104"/>
      <c r="K40" s="105"/>
      <c r="L40" s="57" t="s">
        <v>881</v>
      </c>
      <c r="M40" s="57" t="str">
        <f>IF(OR(tblCalibracao[[#This Row],[Usada]]="",tblCalibracao[[#This Row],[Melhor G]]=""),"",MAX(0,tblCalibracao[[#This Row],[Melhor G]]-tblCalibracao[[#This Row],[Usada]]))</f>
        <v/>
      </c>
      <c r="N4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4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40"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40"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40"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40"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40" s="16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40"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40" s="1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4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4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40" s="96" t="s">
        <v>3149</v>
      </c>
    </row>
    <row r="41" spans="1:25" ht="15" customHeight="1" thickTop="1" thickBot="1" x14ac:dyDescent="0.35">
      <c r="A41" s="54">
        <v>46242</v>
      </c>
      <c r="B41" s="55" t="s">
        <v>3130</v>
      </c>
      <c r="C41" s="55" t="s">
        <v>854</v>
      </c>
      <c r="D41" s="56" t="s">
        <v>806</v>
      </c>
      <c r="E41" s="104">
        <v>1.22</v>
      </c>
      <c r="F41"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0.10999999999999999</v>
      </c>
      <c r="G41" s="56">
        <v>4</v>
      </c>
      <c r="H41" s="57">
        <v>2</v>
      </c>
      <c r="I41" s="104">
        <v>2.25</v>
      </c>
      <c r="J41" s="104">
        <v>1.35</v>
      </c>
      <c r="K41"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0.17500000000000004</v>
      </c>
      <c r="L41" s="57" t="s">
        <v>881</v>
      </c>
      <c r="M41" s="57">
        <f>IF(OR(tblCalibracao[[#This Row],[Usada]]="",tblCalibracao[[#This Row],[Melhor G]]=""),"",MAX(0,tblCalibracao[[#This Row],[Melhor G]]-tblCalibracao[[#This Row],[Usada]]))</f>
        <v>0.25</v>
      </c>
      <c r="N4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1"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1"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1"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1"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1"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1" s="16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1"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1" s="96" t="s">
        <v>3150</v>
      </c>
    </row>
    <row r="42" spans="1:25" ht="15" customHeight="1" thickTop="1" thickBot="1" x14ac:dyDescent="0.35">
      <c r="A42" s="54">
        <v>46242</v>
      </c>
      <c r="B42" s="55" t="s">
        <v>3131</v>
      </c>
      <c r="C42" s="55" t="s">
        <v>976</v>
      </c>
      <c r="D42" s="56" t="s">
        <v>948</v>
      </c>
      <c r="E42" s="104">
        <v>1.26</v>
      </c>
      <c r="F42"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-0.25</v>
      </c>
      <c r="G42" s="56">
        <v>2</v>
      </c>
      <c r="H42" s="57">
        <v>2.25</v>
      </c>
      <c r="I42" s="104">
        <v>1.75</v>
      </c>
      <c r="J42" s="104">
        <v>1.125</v>
      </c>
      <c r="K42"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3.125E-2</v>
      </c>
      <c r="L42" s="57" t="s">
        <v>881</v>
      </c>
      <c r="M42" s="57">
        <f>IF(OR(tblCalibracao[[#This Row],[Usada]]="",tblCalibracao[[#This Row],[Melhor G]]=""),"",MAX(0,tblCalibracao[[#This Row],[Melhor G]]-tblCalibracao[[#This Row],[Usada]]))</f>
        <v>0</v>
      </c>
      <c r="N4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2"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2"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42" s="16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42"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42" s="1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4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4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42" s="96" t="s">
        <v>3151</v>
      </c>
    </row>
    <row r="43" spans="1:25" ht="15" customHeight="1" thickTop="1" thickBot="1" x14ac:dyDescent="0.35">
      <c r="A43" s="54">
        <v>46242</v>
      </c>
      <c r="B43" s="55" t="s">
        <v>3132</v>
      </c>
      <c r="C43" s="55" t="s">
        <v>1450</v>
      </c>
      <c r="D43" s="56" t="s">
        <v>3133</v>
      </c>
      <c r="E43" s="104">
        <v>1.1499999999999999</v>
      </c>
      <c r="F43"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7.4999999999999956E-2</v>
      </c>
      <c r="G43" s="56">
        <v>8</v>
      </c>
      <c r="H43" s="57">
        <v>2</v>
      </c>
      <c r="I43" s="104">
        <v>2</v>
      </c>
      <c r="J43" s="104">
        <v>1.1499999999999999</v>
      </c>
      <c r="K43"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7.4999999999999956E-2</v>
      </c>
      <c r="L43" s="57" t="s">
        <v>881</v>
      </c>
      <c r="M43" s="57">
        <f>IF(OR(tblCalibracao[[#This Row],[Usada]]="",tblCalibracao[[#This Row],[Melhor G]]=""),"",MAX(0,tblCalibracao[[#This Row],[Melhor G]]-tblCalibracao[[#This Row],[Usada]]))</f>
        <v>0</v>
      </c>
      <c r="N4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3"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3"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3"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3" s="159"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3"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3" s="96" t="s">
        <v>3152</v>
      </c>
    </row>
    <row r="44" spans="1:25" ht="15" customHeight="1" thickTop="1" thickBot="1" x14ac:dyDescent="0.35">
      <c r="A44" s="54">
        <v>46242</v>
      </c>
      <c r="B44" s="55" t="s">
        <v>3134</v>
      </c>
      <c r="C44" s="55" t="s">
        <v>885</v>
      </c>
      <c r="D44" s="56" t="s">
        <v>1492</v>
      </c>
      <c r="E44" s="104">
        <v>1.1100000000000001</v>
      </c>
      <c r="F44"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5.5000000000000049E-2</v>
      </c>
      <c r="G44" s="56">
        <v>3</v>
      </c>
      <c r="H44" s="57">
        <v>2</v>
      </c>
      <c r="I44" s="104">
        <v>2.5</v>
      </c>
      <c r="J44" s="104">
        <v>1.325</v>
      </c>
      <c r="K44"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0.16249999999999998</v>
      </c>
      <c r="L44" s="57" t="s">
        <v>881</v>
      </c>
      <c r="M44" s="57">
        <f>IF(OR(tblCalibracao[[#This Row],[Usada]]="",tblCalibracao[[#This Row],[Melhor G]]=""),"",MAX(0,tblCalibracao[[#This Row],[Melhor G]]-tblCalibracao[[#This Row],[Usada]]))</f>
        <v>0.5</v>
      </c>
      <c r="N4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4"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4"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4"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4"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4"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4"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4" s="96" t="s">
        <v>3153</v>
      </c>
    </row>
    <row r="45" spans="1:25" ht="15" customHeight="1" thickTop="1" thickBot="1" x14ac:dyDescent="0.35">
      <c r="A45" s="54">
        <v>46242</v>
      </c>
      <c r="B45" s="55" t="s">
        <v>3135</v>
      </c>
      <c r="C45" s="55" t="s">
        <v>1381</v>
      </c>
      <c r="D45" s="56" t="s">
        <v>806</v>
      </c>
      <c r="E45" s="104">
        <v>1.19</v>
      </c>
      <c r="F45"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9.4999999999999973E-2</v>
      </c>
      <c r="G45" s="56">
        <v>4</v>
      </c>
      <c r="H45" s="57">
        <v>2.25</v>
      </c>
      <c r="I45" s="104">
        <v>2.75</v>
      </c>
      <c r="J45" s="104">
        <v>1.325</v>
      </c>
      <c r="K45"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0.16249999999999998</v>
      </c>
      <c r="L45" s="57" t="s">
        <v>881</v>
      </c>
      <c r="M45" s="57">
        <f>IF(OR(tblCalibracao[[#This Row],[Usada]]="",tblCalibracao[[#This Row],[Melhor G]]=""),"",MAX(0,tblCalibracao[[#This Row],[Melhor G]]-tblCalibracao[[#This Row],[Usada]]))</f>
        <v>0.5</v>
      </c>
      <c r="N4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5"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5" s="16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5"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5" s="1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5"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5" s="96" t="s">
        <v>3154</v>
      </c>
    </row>
    <row r="46" spans="1:25" ht="15" customHeight="1" thickTop="1" thickBot="1" x14ac:dyDescent="0.35">
      <c r="A46" s="54">
        <v>46242</v>
      </c>
      <c r="B46" s="55" t="s">
        <v>3136</v>
      </c>
      <c r="C46" s="55" t="s">
        <v>885</v>
      </c>
      <c r="D46" s="56" t="s">
        <v>3128</v>
      </c>
      <c r="E46" s="104">
        <v>1.1499999999999999</v>
      </c>
      <c r="F46"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46" s="56">
        <v>2</v>
      </c>
      <c r="H46" s="57">
        <v>2</v>
      </c>
      <c r="I46" s="104">
        <v>1.5</v>
      </c>
      <c r="J46" s="104">
        <v>1.115</v>
      </c>
      <c r="K46"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5.7499999999999996E-2</v>
      </c>
      <c r="L46" s="57" t="s">
        <v>881</v>
      </c>
      <c r="M46" s="57">
        <f>IF(OR(tblCalibracao[[#This Row],[Usada]]="",tblCalibracao[[#This Row],[Melhor G]]=""),"",MAX(0,tblCalibracao[[#This Row],[Melhor G]]-tblCalibracao[[#This Row],[Usada]]))</f>
        <v>0</v>
      </c>
      <c r="N4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6"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6"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46"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46" s="16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46"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4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46"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46" s="96" t="s">
        <v>3148</v>
      </c>
    </row>
    <row r="47" spans="1:25" ht="15" customHeight="1" thickTop="1" thickBot="1" x14ac:dyDescent="0.35">
      <c r="A47" s="54">
        <v>46242</v>
      </c>
      <c r="B47" s="55" t="s">
        <v>3137</v>
      </c>
      <c r="C47" s="55" t="s">
        <v>848</v>
      </c>
      <c r="D47" s="56" t="s">
        <v>3138</v>
      </c>
      <c r="E47" s="104">
        <v>1.18</v>
      </c>
      <c r="F47"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47" s="56">
        <v>3</v>
      </c>
      <c r="H47" s="57">
        <v>2.25</v>
      </c>
      <c r="I47" s="104">
        <v>2.5</v>
      </c>
      <c r="J47" s="104">
        <v>1.2749999999999999</v>
      </c>
      <c r="K47"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0.13749999999999996</v>
      </c>
      <c r="L47" s="57" t="s">
        <v>881</v>
      </c>
      <c r="M47" s="57">
        <f>IF(OR(tblCalibracao[[#This Row],[Usada]]="",tblCalibracao[[#This Row],[Melhor G]]=""),"",MAX(0,tblCalibracao[[#This Row],[Melhor G]]-tblCalibracao[[#This Row],[Usada]]))</f>
        <v>0.25</v>
      </c>
      <c r="N4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7"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7"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7"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7" s="158"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7"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7" s="77"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7"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7" s="96" t="s">
        <v>3155</v>
      </c>
    </row>
    <row r="48" spans="1:25" ht="15" customHeight="1" thickTop="1" thickBot="1" x14ac:dyDescent="0.35">
      <c r="A48" s="54">
        <v>46242</v>
      </c>
      <c r="B48" s="55" t="s">
        <v>3139</v>
      </c>
      <c r="C48" s="55" t="s">
        <v>848</v>
      </c>
      <c r="D48" s="56" t="s">
        <v>857</v>
      </c>
      <c r="E48" s="104">
        <v>1.2749999999999999</v>
      </c>
      <c r="F48"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0.13749999999999996</v>
      </c>
      <c r="G48" s="56">
        <v>3</v>
      </c>
      <c r="H48" s="57">
        <v>2.5</v>
      </c>
      <c r="I48" s="104">
        <v>2.5</v>
      </c>
      <c r="J48" s="104">
        <v>1.2749999999999999</v>
      </c>
      <c r="K48"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0.13749999999999996</v>
      </c>
      <c r="L48" s="57" t="s">
        <v>881</v>
      </c>
      <c r="M48" s="57">
        <f>IF(OR(tblCalibracao[[#This Row],[Usada]]="",tblCalibracao[[#This Row],[Melhor G]]=""),"",MAX(0,tblCalibracao[[#This Row],[Melhor G]]-tblCalibracao[[#This Row],[Usada]]))</f>
        <v>0</v>
      </c>
      <c r="N4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8"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8"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8"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8" s="15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8"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8"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8" s="96" t="s">
        <v>3156</v>
      </c>
    </row>
    <row r="49" spans="1:25" ht="15" customHeight="1" thickTop="1" thickBot="1" x14ac:dyDescent="0.35">
      <c r="A49" s="54">
        <v>46242</v>
      </c>
      <c r="B49" s="55" t="s">
        <v>3140</v>
      </c>
      <c r="C49" s="55" t="s">
        <v>1377</v>
      </c>
      <c r="D49" s="56" t="s">
        <v>857</v>
      </c>
      <c r="E49" s="104">
        <v>1.175</v>
      </c>
      <c r="F49"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8.7500000000000022E-2</v>
      </c>
      <c r="G49" s="56">
        <v>3</v>
      </c>
      <c r="H49" s="57">
        <v>1.5</v>
      </c>
      <c r="I49" s="104">
        <v>2</v>
      </c>
      <c r="J49" s="104">
        <v>1.24</v>
      </c>
      <c r="K49"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49" s="57" t="s">
        <v>881</v>
      </c>
      <c r="M49" s="57">
        <f>IF(OR(tblCalibracao[[#This Row],[Usada]]="",tblCalibracao[[#This Row],[Melhor G]]=""),"",MAX(0,tblCalibracao[[#This Row],[Melhor G]]-tblCalibracao[[#This Row],[Usada]]))</f>
        <v>0.5</v>
      </c>
      <c r="N4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9"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9"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9"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9"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9"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9" s="157"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9" s="96" t="s">
        <v>3157</v>
      </c>
    </row>
    <row r="50" spans="1:25" ht="15" customHeight="1" thickTop="1" thickBot="1" x14ac:dyDescent="0.35">
      <c r="A50" s="54">
        <v>46242</v>
      </c>
      <c r="B50" s="55" t="s">
        <v>3141</v>
      </c>
      <c r="C50" s="55" t="s">
        <v>1377</v>
      </c>
      <c r="D50" s="56" t="s">
        <v>1492</v>
      </c>
      <c r="E50" s="104">
        <v>1.1000000000000001</v>
      </c>
      <c r="F50"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50" s="56">
        <v>3</v>
      </c>
      <c r="H50" s="57">
        <v>1.5</v>
      </c>
      <c r="I50" s="104">
        <v>2.25</v>
      </c>
      <c r="J50" s="104">
        <v>1.24</v>
      </c>
      <c r="K50"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50" s="57" t="s">
        <v>881</v>
      </c>
      <c r="M50" s="57">
        <f>IF(OR(tblCalibracao[[#This Row],[Usada]]="",tblCalibracao[[#This Row],[Melhor G]]=""),"",MAX(0,tblCalibracao[[#This Row],[Melhor G]]-tblCalibracao[[#This Row],[Usada]]))</f>
        <v>0.75</v>
      </c>
      <c r="N5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0"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0"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0"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0"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0"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0"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0"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5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50" s="96" t="s">
        <v>3158</v>
      </c>
    </row>
    <row r="51" spans="1:25" ht="15" customHeight="1" thickTop="1" thickBot="1" x14ac:dyDescent="0.35">
      <c r="A51" s="54">
        <v>46242</v>
      </c>
      <c r="B51" s="55" t="s">
        <v>3142</v>
      </c>
      <c r="C51" s="55" t="s">
        <v>1377</v>
      </c>
      <c r="D51" s="56" t="s">
        <v>3143</v>
      </c>
      <c r="E51" s="104">
        <v>1.18</v>
      </c>
      <c r="F51"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51" s="56">
        <v>6</v>
      </c>
      <c r="H51" s="57">
        <v>1.5</v>
      </c>
      <c r="I51" s="104">
        <v>2</v>
      </c>
      <c r="J51" s="104">
        <v>1.24</v>
      </c>
      <c r="K51"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51" s="57" t="s">
        <v>881</v>
      </c>
      <c r="M51" s="57">
        <f>IF(OR(tblCalibracao[[#This Row],[Usada]]="",tblCalibracao[[#This Row],[Melhor G]]=""),"",MAX(0,tblCalibracao[[#This Row],[Melhor G]]-tblCalibracao[[#This Row],[Usada]]))</f>
        <v>0.5</v>
      </c>
      <c r="N5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1"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1"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1"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1"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1"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1"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1"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1" s="96" t="s">
        <v>3159</v>
      </c>
    </row>
    <row r="52" spans="1:25" ht="15" customHeight="1" thickTop="1" thickBot="1" x14ac:dyDescent="0.35">
      <c r="A52" s="54">
        <v>46242</v>
      </c>
      <c r="B52" s="55" t="s">
        <v>3144</v>
      </c>
      <c r="C52" s="55" t="s">
        <v>1378</v>
      </c>
      <c r="D52" s="56" t="s">
        <v>806</v>
      </c>
      <c r="E52" s="104">
        <v>1.1100000000000001</v>
      </c>
      <c r="F52"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5.5000000000000049E-2</v>
      </c>
      <c r="G52" s="56">
        <v>4</v>
      </c>
      <c r="H52" s="57">
        <v>1</v>
      </c>
      <c r="I52" s="104">
        <v>1.75</v>
      </c>
      <c r="J52" s="104">
        <v>1.4750000000000001</v>
      </c>
      <c r="K52"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0.23750000000000004</v>
      </c>
      <c r="L52" s="57" t="s">
        <v>881</v>
      </c>
      <c r="M52" s="57">
        <f>IF(OR(tblCalibracao[[#This Row],[Usada]]="",tblCalibracao[[#This Row],[Melhor G]]=""),"",MAX(0,tblCalibracao[[#This Row],[Melhor G]]-tblCalibracao[[#This Row],[Usada]]))</f>
        <v>0.75</v>
      </c>
      <c r="N5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2"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2" s="4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2" s="75"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2" s="15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2"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2"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2"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2" s="96" t="s">
        <v>3160</v>
      </c>
    </row>
    <row r="53" spans="1:25" ht="15" customHeight="1" thickTop="1" thickBot="1" x14ac:dyDescent="0.35">
      <c r="A53" s="61">
        <v>46242</v>
      </c>
      <c r="B53" s="62" t="s">
        <v>3145</v>
      </c>
      <c r="C53" s="62" t="s">
        <v>1378</v>
      </c>
      <c r="D53" s="63" t="s">
        <v>857</v>
      </c>
      <c r="E53" s="94">
        <v>1.2</v>
      </c>
      <c r="F53"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9.9999999999999978E-2</v>
      </c>
      <c r="G53" s="63">
        <v>3</v>
      </c>
      <c r="H53" s="64">
        <v>1.25</v>
      </c>
      <c r="I53" s="94">
        <v>2</v>
      </c>
      <c r="J53" s="94">
        <v>1.5</v>
      </c>
      <c r="K53" s="9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0.25</v>
      </c>
      <c r="L53" s="64" t="s">
        <v>881</v>
      </c>
      <c r="M53" s="64">
        <f>IF(OR(tblCalibracao[[#This Row],[Usada]]="",tblCalibracao[[#This Row],[Melhor G]]=""),"",MAX(0,tblCalibracao[[#This Row],[Melhor G]]-tblCalibracao[[#This Row],[Usada]]))</f>
        <v>0.75</v>
      </c>
      <c r="N53"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3"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3" s="7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3" s="44"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3" s="7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3"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3"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3"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3"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3"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53"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53" s="96" t="s">
        <v>3161</v>
      </c>
    </row>
    <row r="54" spans="1:25" ht="15" customHeight="1" thickTop="1" thickBot="1" x14ac:dyDescent="0.35">
      <c r="A54" s="61">
        <v>46243</v>
      </c>
      <c r="B54" s="62" t="s">
        <v>4758</v>
      </c>
      <c r="C54" s="62" t="s">
        <v>847</v>
      </c>
      <c r="D54" s="63" t="s">
        <v>857</v>
      </c>
      <c r="E54" s="94">
        <v>1.125</v>
      </c>
      <c r="F54"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54" s="63">
        <v>3</v>
      </c>
      <c r="H54" s="64">
        <v>2</v>
      </c>
      <c r="I54" s="64">
        <v>2.25</v>
      </c>
      <c r="J54" s="64">
        <v>1.24</v>
      </c>
      <c r="K54"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54" s="64" t="s">
        <v>881</v>
      </c>
      <c r="M54" s="162">
        <f>IF(OR(tblCalibracao[[#This Row],[Usada]]="",tblCalibracao[[#This Row],[Melhor G]]=""),"",MAX(0,tblCalibracao[[#This Row],[Melhor G]]-tblCalibracao[[#This Row],[Usada]]))</f>
        <v>0.25</v>
      </c>
      <c r="N5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4"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4"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4"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4"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4"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54"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54" s="163" t="s">
        <v>4759</v>
      </c>
    </row>
    <row r="55" spans="1:25" ht="15" customHeight="1" thickTop="1" thickBot="1" x14ac:dyDescent="0.35">
      <c r="A55" s="61">
        <v>46243</v>
      </c>
      <c r="B55" s="62" t="s">
        <v>4760</v>
      </c>
      <c r="C55" s="62" t="s">
        <v>848</v>
      </c>
      <c r="D55" s="63" t="s">
        <v>806</v>
      </c>
      <c r="E55" s="94">
        <v>1.125</v>
      </c>
      <c r="F55"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55" s="63">
        <v>4</v>
      </c>
      <c r="H55" s="64">
        <v>2.25</v>
      </c>
      <c r="I55" s="64">
        <v>3</v>
      </c>
      <c r="J55" s="64">
        <v>1.25</v>
      </c>
      <c r="K55"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0.125</v>
      </c>
      <c r="L55" s="64" t="s">
        <v>881</v>
      </c>
      <c r="M55" s="162">
        <f>IF(OR(tblCalibracao[[#This Row],[Usada]]="",tblCalibracao[[#This Row],[Melhor G]]=""),"",MAX(0,tblCalibracao[[#This Row],[Melhor G]]-tblCalibracao[[#This Row],[Usada]]))</f>
        <v>0.75</v>
      </c>
      <c r="N5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5"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5" s="45"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5"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5" s="163" t="s">
        <v>4761</v>
      </c>
    </row>
    <row r="56" spans="1:25" ht="15" customHeight="1" thickTop="1" thickBot="1" x14ac:dyDescent="0.35">
      <c r="A56" s="61">
        <v>46243</v>
      </c>
      <c r="B56" s="62" t="s">
        <v>4762</v>
      </c>
      <c r="C56" s="62" t="s">
        <v>847</v>
      </c>
      <c r="D56" s="63" t="s">
        <v>948</v>
      </c>
      <c r="E56" s="94">
        <v>1.1299999999999999</v>
      </c>
      <c r="F56"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56" s="63">
        <v>2</v>
      </c>
      <c r="H56" s="64">
        <v>2</v>
      </c>
      <c r="I56" s="64">
        <v>1.5</v>
      </c>
      <c r="J56" s="64">
        <v>1.105</v>
      </c>
      <c r="K56"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5.2499999999999991E-2</v>
      </c>
      <c r="L56" s="64" t="s">
        <v>881</v>
      </c>
      <c r="M56" s="162">
        <f>IF(OR(tblCalibracao[[#This Row],[Usada]]="",tblCalibracao[[#This Row],[Melhor G]]=""),"",MAX(0,tblCalibracao[[#This Row],[Melhor G]]-tblCalibracao[[#This Row],[Usada]]))</f>
        <v>0</v>
      </c>
      <c r="N5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6"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56"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5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5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6"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6" s="163" t="s">
        <v>4763</v>
      </c>
    </row>
    <row r="57" spans="1:25" ht="15" customHeight="1" thickTop="1" thickBot="1" x14ac:dyDescent="0.35">
      <c r="A57" s="61">
        <v>46243</v>
      </c>
      <c r="B57" s="62" t="s">
        <v>4764</v>
      </c>
      <c r="C57" s="62" t="s">
        <v>1378</v>
      </c>
      <c r="D57" s="63" t="s">
        <v>863</v>
      </c>
      <c r="E57" s="94">
        <v>1.125</v>
      </c>
      <c r="F57"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57" s="63">
        <v>0</v>
      </c>
      <c r="H57" s="64">
        <v>1.25</v>
      </c>
      <c r="I57" s="64"/>
      <c r="J57" s="64"/>
      <c r="K57"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57" s="64" t="s">
        <v>881</v>
      </c>
      <c r="M57" s="162" t="str">
        <f>IF(OR(tblCalibracao[[#This Row],[Usada]]="",tblCalibracao[[#This Row],[Melhor G]]=""),"",MAX(0,tblCalibracao[[#This Row],[Melhor G]]-tblCalibracao[[#This Row],[Usada]]))</f>
        <v/>
      </c>
      <c r="N5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5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5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57" s="45"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57"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57"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57"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57"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57"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7"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7" s="163" t="s">
        <v>4765</v>
      </c>
    </row>
    <row r="58" spans="1:25" ht="15" customHeight="1" thickTop="1" thickBot="1" x14ac:dyDescent="0.35">
      <c r="A58" s="61">
        <v>46243</v>
      </c>
      <c r="B58" s="62" t="s">
        <v>4766</v>
      </c>
      <c r="C58" s="62" t="s">
        <v>1378</v>
      </c>
      <c r="D58" s="63" t="s">
        <v>863</v>
      </c>
      <c r="E58" s="94">
        <v>1.23</v>
      </c>
      <c r="F58"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58" s="63">
        <v>0</v>
      </c>
      <c r="H58" s="64">
        <v>1.5</v>
      </c>
      <c r="I58" s="64"/>
      <c r="J58" s="64"/>
      <c r="K58"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58" s="64" t="s">
        <v>881</v>
      </c>
      <c r="M58" s="162" t="str">
        <f>IF(OR(tblCalibracao[[#This Row],[Usada]]="",tblCalibracao[[#This Row],[Melhor G]]=""),"",MAX(0,tblCalibracao[[#This Row],[Melhor G]]-tblCalibracao[[#This Row],[Usada]]))</f>
        <v/>
      </c>
      <c r="N5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5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5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5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58"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58"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58"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58"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58"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8"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8"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8" s="163" t="s">
        <v>4767</v>
      </c>
    </row>
    <row r="59" spans="1:25" ht="15" customHeight="1" thickTop="1" thickBot="1" x14ac:dyDescent="0.35">
      <c r="A59" s="61">
        <v>46243</v>
      </c>
      <c r="B59" s="62" t="s">
        <v>4768</v>
      </c>
      <c r="C59" s="62" t="s">
        <v>1379</v>
      </c>
      <c r="D59" s="63" t="s">
        <v>948</v>
      </c>
      <c r="E59" s="94">
        <v>1.1000000000000001</v>
      </c>
      <c r="F59"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59" s="63">
        <v>2</v>
      </c>
      <c r="H59" s="64">
        <v>0.5</v>
      </c>
      <c r="I59" s="64">
        <v>1.25</v>
      </c>
      <c r="J59" s="64">
        <v>1.1399999999999999</v>
      </c>
      <c r="K59"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6.9999999999999951E-2</v>
      </c>
      <c r="L59" s="64" t="s">
        <v>881</v>
      </c>
      <c r="M59" s="162">
        <f>IF(OR(tblCalibracao[[#This Row],[Usada]]="",tblCalibracao[[#This Row],[Melhor G]]=""),"",MAX(0,tblCalibracao[[#This Row],[Melhor G]]-tblCalibracao[[#This Row],[Usada]]))</f>
        <v>0.75</v>
      </c>
      <c r="N59" s="45"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9"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9"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9"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59"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59"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59"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9"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9" s="163" t="s">
        <v>4769</v>
      </c>
    </row>
    <row r="60" spans="1:25" ht="15" customHeight="1" thickTop="1" thickBot="1" x14ac:dyDescent="0.35">
      <c r="A60" s="61">
        <v>46243</v>
      </c>
      <c r="B60" s="62" t="s">
        <v>4770</v>
      </c>
      <c r="C60" s="62" t="s">
        <v>1379</v>
      </c>
      <c r="D60" s="63" t="s">
        <v>869</v>
      </c>
      <c r="E60" s="94">
        <v>1.1599999999999999</v>
      </c>
      <c r="F60" s="95">
        <v>0.06</v>
      </c>
      <c r="G60" s="63">
        <v>1</v>
      </c>
      <c r="H60" s="64">
        <v>1</v>
      </c>
      <c r="I60" s="64">
        <v>0.5</v>
      </c>
      <c r="J60" s="64">
        <v>1.1100000000000001</v>
      </c>
      <c r="K60"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5.5000000000000049E-2</v>
      </c>
      <c r="L60" s="64" t="s">
        <v>881</v>
      </c>
      <c r="M60" s="162">
        <f>IF(OR(tblCalibracao[[#This Row],[Usada]]="",tblCalibracao[[#This Row],[Melhor G]]=""),"",MAX(0,tblCalibracao[[#This Row],[Melhor G]]-tblCalibracao[[#This Row],[Usada]]))</f>
        <v>0</v>
      </c>
      <c r="N6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60" s="45"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60"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60"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60"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60"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60"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60"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0"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0" s="163" t="s">
        <v>4771</v>
      </c>
    </row>
    <row r="61" spans="1:25" ht="15" customHeight="1" thickTop="1" thickBot="1" x14ac:dyDescent="0.35">
      <c r="A61" s="61">
        <v>46243</v>
      </c>
      <c r="B61" s="62" t="s">
        <v>4772</v>
      </c>
      <c r="C61" s="62" t="s">
        <v>1379</v>
      </c>
      <c r="D61" s="63" t="s">
        <v>948</v>
      </c>
      <c r="E61" s="94">
        <v>1.1399999999999999</v>
      </c>
      <c r="F61"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6.9999999999999951E-2</v>
      </c>
      <c r="G61" s="63">
        <v>2</v>
      </c>
      <c r="H61" s="64">
        <v>0.5</v>
      </c>
      <c r="I61" s="64">
        <v>1.5</v>
      </c>
      <c r="J61" s="64">
        <v>1.6</v>
      </c>
      <c r="K61"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0.30000000000000004</v>
      </c>
      <c r="L61" s="64" t="s">
        <v>881</v>
      </c>
      <c r="M61" s="162">
        <f>IF(OR(tblCalibracao[[#This Row],[Usada]]="",tblCalibracao[[#This Row],[Melhor G]]=""),"",MAX(0,tblCalibracao[[#This Row],[Melhor G]]-tblCalibracao[[#This Row],[Usada]]))</f>
        <v>1</v>
      </c>
      <c r="N61" s="45"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1"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1"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1"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1"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1"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1"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1"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1"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1" s="163" t="s">
        <v>4773</v>
      </c>
    </row>
    <row r="62" spans="1:25" ht="15" customHeight="1" thickTop="1" thickBot="1" x14ac:dyDescent="0.35">
      <c r="A62" s="61">
        <v>46243</v>
      </c>
      <c r="B62" s="62" t="s">
        <v>4774</v>
      </c>
      <c r="C62" s="62" t="s">
        <v>1377</v>
      </c>
      <c r="D62" s="63" t="s">
        <v>3128</v>
      </c>
      <c r="E62" s="94">
        <v>1.2250000000000001</v>
      </c>
      <c r="F62"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0.11250000000000004</v>
      </c>
      <c r="G62" s="63">
        <v>2</v>
      </c>
      <c r="H62" s="64">
        <v>1.5</v>
      </c>
      <c r="I62" s="64">
        <v>1.5</v>
      </c>
      <c r="J62" s="64">
        <v>1.2250000000000001</v>
      </c>
      <c r="K62"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0.11250000000000004</v>
      </c>
      <c r="L62" s="64" t="s">
        <v>881</v>
      </c>
      <c r="M62" s="162">
        <f>IF(OR(tblCalibracao[[#This Row],[Usada]]="",tblCalibracao[[#This Row],[Melhor G]]=""),"",MAX(0,tblCalibracao[[#This Row],[Melhor G]]-tblCalibracao[[#This Row],[Usada]]))</f>
        <v>0</v>
      </c>
      <c r="N6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2"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2"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2"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2"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2"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2"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2" s="163" t="s">
        <v>4775</v>
      </c>
    </row>
    <row r="63" spans="1:25" ht="15" customHeight="1" thickTop="1" thickBot="1" x14ac:dyDescent="0.35">
      <c r="A63" s="61">
        <v>46243</v>
      </c>
      <c r="B63" s="62" t="s">
        <v>4776</v>
      </c>
      <c r="C63" s="62" t="s">
        <v>1378</v>
      </c>
      <c r="D63" s="63" t="s">
        <v>1004</v>
      </c>
      <c r="E63" s="94">
        <v>1.1100000000000001</v>
      </c>
      <c r="F63"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5.5000000000000049E-2</v>
      </c>
      <c r="G63" s="63">
        <v>2</v>
      </c>
      <c r="H63" s="64">
        <v>0.5</v>
      </c>
      <c r="I63" s="64">
        <v>1.25</v>
      </c>
      <c r="J63" s="64">
        <v>1.325</v>
      </c>
      <c r="K63"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0.16249999999999998</v>
      </c>
      <c r="L63" s="64" t="s">
        <v>881</v>
      </c>
      <c r="M63" s="162">
        <f>IF(OR(tblCalibracao[[#This Row],[Usada]]="",tblCalibracao[[#This Row],[Melhor G]]=""),"",MAX(0,tblCalibracao[[#This Row],[Melhor G]]-tblCalibracao[[#This Row],[Usada]]))</f>
        <v>0.75</v>
      </c>
      <c r="N63" s="45"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3"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3"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3"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3"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3"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3"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3" s="163" t="s">
        <v>4777</v>
      </c>
    </row>
    <row r="64" spans="1:25" ht="15" customHeight="1" thickTop="1" thickBot="1" x14ac:dyDescent="0.35">
      <c r="A64" s="61">
        <v>46243</v>
      </c>
      <c r="B64" s="62" t="s">
        <v>4778</v>
      </c>
      <c r="C64" s="62" t="s">
        <v>1378</v>
      </c>
      <c r="D64" s="63" t="s">
        <v>1004</v>
      </c>
      <c r="E64" s="94">
        <v>1.105</v>
      </c>
      <c r="F64"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5.2499999999999991E-2</v>
      </c>
      <c r="G64" s="63">
        <v>2</v>
      </c>
      <c r="H64" s="64">
        <v>1</v>
      </c>
      <c r="I64" s="64">
        <v>1.5</v>
      </c>
      <c r="J64" s="64">
        <v>1.375</v>
      </c>
      <c r="K64"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0.1875</v>
      </c>
      <c r="L64" s="64" t="s">
        <v>881</v>
      </c>
      <c r="M64" s="162">
        <f>IF(OR(tblCalibracao[[#This Row],[Usada]]="",tblCalibracao[[#This Row],[Melhor G]]=""),"",MAX(0,tblCalibracao[[#This Row],[Melhor G]]-tblCalibracao[[#This Row],[Usada]]))</f>
        <v>0.5</v>
      </c>
      <c r="N6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4" s="45"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4"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4"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4"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4"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4"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4"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4" s="163" t="s">
        <v>4779</v>
      </c>
    </row>
    <row r="65" spans="1:25" ht="15" customHeight="1" thickTop="1" thickBot="1" x14ac:dyDescent="0.35">
      <c r="A65" s="61">
        <v>46243</v>
      </c>
      <c r="B65" s="62" t="s">
        <v>4780</v>
      </c>
      <c r="C65" s="62" t="s">
        <v>1378</v>
      </c>
      <c r="D65" s="63" t="s">
        <v>3128</v>
      </c>
      <c r="E65" s="94">
        <v>1.18</v>
      </c>
      <c r="F65"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65" s="63">
        <v>2</v>
      </c>
      <c r="H65" s="64">
        <v>1.5</v>
      </c>
      <c r="I65" s="64">
        <v>1.5</v>
      </c>
      <c r="J65" s="64">
        <v>1.18</v>
      </c>
      <c r="K65"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8.9999999999999969E-2</v>
      </c>
      <c r="L65" s="64" t="s">
        <v>881</v>
      </c>
      <c r="M65" s="162">
        <f>IF(OR(tblCalibracao[[#This Row],[Usada]]="",tblCalibracao[[#This Row],[Melhor G]]=""),"",MAX(0,tblCalibracao[[#This Row],[Melhor G]]-tblCalibracao[[#This Row],[Usada]]))</f>
        <v>0</v>
      </c>
      <c r="N6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5"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5"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5"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5" s="163" t="s">
        <v>4781</v>
      </c>
    </row>
    <row r="66" spans="1:25" ht="15" customHeight="1" thickTop="1" thickBot="1" x14ac:dyDescent="0.35">
      <c r="A66" s="61">
        <v>46243</v>
      </c>
      <c r="B66" s="62" t="s">
        <v>4782</v>
      </c>
      <c r="C66" s="62" t="s">
        <v>1377</v>
      </c>
      <c r="D66" s="63" t="s">
        <v>4783</v>
      </c>
      <c r="E66" s="94">
        <v>1.24</v>
      </c>
      <c r="F66"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v>
      </c>
      <c r="G66" s="63">
        <v>5</v>
      </c>
      <c r="H66" s="64">
        <v>2</v>
      </c>
      <c r="I66" s="64">
        <v>2</v>
      </c>
      <c r="J66" s="64">
        <v>1.24</v>
      </c>
      <c r="K66"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66" s="64" t="s">
        <v>881</v>
      </c>
      <c r="M66" s="162">
        <f>IF(OR(tblCalibracao[[#This Row],[Usada]]="",tblCalibracao[[#This Row],[Melhor G]]=""),"",MAX(0,tblCalibracao[[#This Row],[Melhor G]]-tblCalibracao[[#This Row],[Usada]]))</f>
        <v>0</v>
      </c>
      <c r="N6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6"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6"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6"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6" s="163" t="s">
        <v>4784</v>
      </c>
    </row>
    <row r="67" spans="1:25" ht="15" customHeight="1" thickTop="1" thickBot="1" x14ac:dyDescent="0.35">
      <c r="A67" s="61">
        <v>46243</v>
      </c>
      <c r="B67" s="62" t="s">
        <v>4785</v>
      </c>
      <c r="C67" s="62" t="s">
        <v>1377</v>
      </c>
      <c r="D67" s="63" t="s">
        <v>859</v>
      </c>
      <c r="E67" s="94">
        <v>1.17</v>
      </c>
      <c r="F67"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8.4999999999999964E-2</v>
      </c>
      <c r="G67" s="63">
        <v>5</v>
      </c>
      <c r="H67" s="64">
        <v>1.5</v>
      </c>
      <c r="I67" s="64">
        <v>1.5</v>
      </c>
      <c r="J67" s="64">
        <v>1.17</v>
      </c>
      <c r="K67"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8.4999999999999964E-2</v>
      </c>
      <c r="L67" s="64" t="s">
        <v>881</v>
      </c>
      <c r="M67" s="162">
        <f>IF(OR(tblCalibracao[[#This Row],[Usada]]="",tblCalibracao[[#This Row],[Melhor G]]=""),"",MAX(0,tblCalibracao[[#This Row],[Melhor G]]-tblCalibracao[[#This Row],[Usada]]))</f>
        <v>0</v>
      </c>
      <c r="N67"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7"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7"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7"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7"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7"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7" s="6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7" s="6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7"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7"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7" s="63"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7" s="163" t="s">
        <v>4786</v>
      </c>
    </row>
    <row r="68" spans="1:25" ht="15.6" thickTop="1" thickBot="1" x14ac:dyDescent="0.35">
      <c r="A68" s="61">
        <v>46244</v>
      </c>
      <c r="B68" s="62" t="s">
        <v>7976</v>
      </c>
      <c r="C68" s="62" t="s">
        <v>4336</v>
      </c>
      <c r="D68" s="63" t="s">
        <v>7977</v>
      </c>
      <c r="E68" s="94">
        <v>1.1499999999999999</v>
      </c>
      <c r="F68"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7.4999999999999956E-2</v>
      </c>
      <c r="G68" s="63">
        <v>7</v>
      </c>
      <c r="H68" s="64">
        <v>2.5</v>
      </c>
      <c r="I68" s="64">
        <v>3.25</v>
      </c>
      <c r="J68" s="64">
        <v>1.3</v>
      </c>
      <c r="K68"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0.15000000000000002</v>
      </c>
      <c r="L68" s="64" t="s">
        <v>881</v>
      </c>
      <c r="M68" s="162">
        <f>IF(OR(tblCalibracao[[#This Row],[Usada]]="",tblCalibracao[[#This Row],[Melhor G]]=""),"",MAX(0,tblCalibracao[[#This Row],[Melhor G]]-tblCalibracao[[#This Row],[Usada]]))</f>
        <v>0.75</v>
      </c>
      <c r="N68" s="188"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8" s="189"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8" s="189"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8" s="189"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8" s="182"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8" s="189"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8" s="189"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8" s="19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8" s="191"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8" s="192"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8" s="193"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8" s="163" t="s">
        <v>7978</v>
      </c>
    </row>
    <row r="69" spans="1:25" ht="15.6" thickTop="1" thickBot="1" x14ac:dyDescent="0.35">
      <c r="A69" s="61">
        <v>46244</v>
      </c>
      <c r="B69" s="62" t="s">
        <v>7979</v>
      </c>
      <c r="C69" s="62" t="s">
        <v>1379</v>
      </c>
      <c r="D69" s="63" t="s">
        <v>869</v>
      </c>
      <c r="E69" s="94">
        <v>1.1200000000000001</v>
      </c>
      <c r="F69" s="95">
        <v>0.06</v>
      </c>
      <c r="G69" s="63">
        <v>1</v>
      </c>
      <c r="H69" s="64">
        <v>1</v>
      </c>
      <c r="I69" s="64">
        <v>0.75</v>
      </c>
      <c r="J69" s="64">
        <v>1.1000000000000001</v>
      </c>
      <c r="K69"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2.5000000000000022E-2</v>
      </c>
      <c r="L69" s="64" t="s">
        <v>881</v>
      </c>
      <c r="M69" s="162">
        <f>IF(OR(tblCalibracao[[#This Row],[Usada]]="",tblCalibracao[[#This Row],[Melhor G]]=""),"",MAX(0,tblCalibracao[[#This Row],[Melhor G]]-tblCalibracao[[#This Row],[Usada]]))</f>
        <v>0</v>
      </c>
      <c r="N69" s="188"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9" s="19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69" s="191"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69" s="192"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69" s="182"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69" s="189"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69" s="189"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69" s="189"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69" s="189"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9" s="189"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9" s="193"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9" s="163" t="s">
        <v>7980</v>
      </c>
    </row>
    <row r="70" spans="1:25" ht="15.6" thickTop="1" thickBot="1" x14ac:dyDescent="0.35">
      <c r="A70" s="61">
        <v>46244</v>
      </c>
      <c r="B70" s="62" t="s">
        <v>7981</v>
      </c>
      <c r="C70" s="62" t="s">
        <v>4703</v>
      </c>
      <c r="D70" s="63" t="s">
        <v>857</v>
      </c>
      <c r="E70" s="94">
        <v>1.17</v>
      </c>
      <c r="F70"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8.4999999999999964E-2</v>
      </c>
      <c r="G70" s="63">
        <v>3</v>
      </c>
      <c r="H70" s="64">
        <v>1.25</v>
      </c>
      <c r="I70" s="64">
        <v>2</v>
      </c>
      <c r="J70" s="64">
        <v>1.4</v>
      </c>
      <c r="K70"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0.19999999999999996</v>
      </c>
      <c r="L70" s="64" t="s">
        <v>881</v>
      </c>
      <c r="M70" s="162">
        <f>IF(OR(tblCalibracao[[#This Row],[Usada]]="",tblCalibracao[[#This Row],[Melhor G]]=""),"",MAX(0,tblCalibracao[[#This Row],[Melhor G]]-tblCalibracao[[#This Row],[Usada]]))</f>
        <v>0.75</v>
      </c>
      <c r="N70" s="184"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70" s="18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70" s="18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70" s="18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70" s="19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70" s="18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70" s="18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70" s="18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70" s="18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70" s="18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70" s="185"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70" s="163" t="s">
        <v>7982</v>
      </c>
    </row>
    <row r="71" spans="1:25" ht="24" customHeight="1" thickTop="1" x14ac:dyDescent="0.3"/>
    <row r="72" spans="1:25" ht="24" customHeight="1" x14ac:dyDescent="0.3"/>
    <row r="73" spans="1:25" ht="28.05" customHeight="1" x14ac:dyDescent="0.4">
      <c r="A73" s="264" t="s">
        <v>7983</v>
      </c>
      <c r="B73" s="264"/>
      <c r="C73" s="264"/>
      <c r="D73" s="264"/>
      <c r="E73" s="264"/>
      <c r="F73" s="264"/>
      <c r="G73" s="264"/>
      <c r="H73" s="264"/>
      <c r="I73" s="264"/>
      <c r="J73" s="264"/>
      <c r="K73" s="264"/>
      <c r="L73" s="264"/>
      <c r="M73" s="264"/>
      <c r="N73" s="264"/>
      <c r="O73" s="264"/>
      <c r="P73" s="264"/>
      <c r="Q73" s="264"/>
      <c r="R73" s="264"/>
      <c r="S73" s="264"/>
      <c r="T73" s="264"/>
      <c r="U73" s="264"/>
      <c r="V73" s="264"/>
      <c r="W73" s="264"/>
      <c r="X73" s="264"/>
      <c r="Y73" s="264"/>
    </row>
    <row r="74" spans="1:25" ht="24" customHeight="1" x14ac:dyDescent="0.3">
      <c r="A74" s="229" t="s">
        <v>7984</v>
      </c>
      <c r="B74" s="229"/>
      <c r="C74" s="229"/>
      <c r="D74" s="229"/>
      <c r="E74" s="229"/>
      <c r="F74" s="229"/>
      <c r="G74" s="229"/>
      <c r="H74" s="229"/>
      <c r="I74" s="229"/>
      <c r="J74" s="229"/>
      <c r="K74" s="229"/>
      <c r="L74" s="229"/>
      <c r="M74" s="229"/>
      <c r="N74" s="229"/>
      <c r="O74" s="229"/>
      <c r="P74" s="229"/>
      <c r="Q74" s="229"/>
      <c r="R74" s="229"/>
      <c r="S74" s="229"/>
      <c r="T74" s="229"/>
      <c r="U74" s="229"/>
      <c r="V74" s="229"/>
      <c r="W74" s="229"/>
      <c r="X74" s="229"/>
      <c r="Y74" s="229"/>
    </row>
    <row r="75" spans="1:25" ht="24" customHeight="1" x14ac:dyDescent="0.3"/>
    <row r="76" spans="1:25" ht="24" customHeight="1" x14ac:dyDescent="0.3">
      <c r="A76" s="232" t="s">
        <v>7985</v>
      </c>
      <c r="B76" s="232"/>
      <c r="C76" s="232"/>
      <c r="D76" s="232"/>
      <c r="E76" s="232"/>
      <c r="F76" s="232"/>
      <c r="G76" s="232"/>
      <c r="H76" s="232"/>
      <c r="I76" s="232"/>
      <c r="J76" s="232"/>
      <c r="K76" s="232"/>
      <c r="L76" s="232"/>
      <c r="M76" s="232"/>
      <c r="N76" s="232"/>
      <c r="O76" s="232"/>
      <c r="P76" s="232"/>
      <c r="Q76" s="232"/>
      <c r="R76" s="232"/>
      <c r="S76" s="232"/>
      <c r="T76" s="232"/>
      <c r="U76" s="232"/>
      <c r="V76" s="232"/>
      <c r="W76" s="232"/>
      <c r="X76" s="232"/>
      <c r="Y76" s="232"/>
    </row>
    <row r="77" spans="1:25" ht="24" customHeight="1" x14ac:dyDescent="0.3">
      <c r="A77" s="233" t="s">
        <v>7986</v>
      </c>
      <c r="B77" s="233"/>
      <c r="C77" s="233"/>
      <c r="D77" s="233"/>
      <c r="F77" s="233" t="s">
        <v>7987</v>
      </c>
      <c r="G77" s="233"/>
      <c r="H77" s="233"/>
      <c r="I77" s="233"/>
      <c r="K77" s="233" t="s">
        <v>7988</v>
      </c>
      <c r="L77" s="233"/>
      <c r="M77" s="233"/>
      <c r="N77" s="233"/>
      <c r="P77" s="233" t="s">
        <v>7989</v>
      </c>
      <c r="Q77" s="233"/>
      <c r="R77" s="233"/>
      <c r="S77" s="233"/>
      <c r="U77" s="233" t="s">
        <v>7990</v>
      </c>
      <c r="V77" s="233"/>
      <c r="W77" s="233"/>
      <c r="X77" s="233"/>
      <c r="Y77" s="233"/>
    </row>
    <row r="78" spans="1:25" x14ac:dyDescent="0.3">
      <c r="A78" s="267">
        <f>COUNTA(tblCalibracao[Confronto])</f>
        <v>68</v>
      </c>
      <c r="B78" s="267"/>
      <c r="C78" s="267"/>
      <c r="D78" s="267"/>
      <c r="F78" s="266">
        <f>SUM(tblCalibracao[P/L (R$)])</f>
        <v>1.9999999999999518E-2</v>
      </c>
      <c r="G78" s="266"/>
      <c r="H78" s="266"/>
      <c r="I78" s="266"/>
      <c r="K78" s="268">
        <f>IFERROR(COUNTIF(tblCalibracao[P/L (R$)],"&gt;0")/COUNT(tblCalibracao[P/L (R$)]),0)</f>
        <v>0.79411764705882348</v>
      </c>
      <c r="L78" s="268"/>
      <c r="M78" s="268"/>
      <c r="N78" s="268"/>
      <c r="P78" s="265">
        <f>IFERROR(AVERAGE(tblCalibracao[Usada]),0)</f>
        <v>1.7904411764705883</v>
      </c>
      <c r="Q78" s="265"/>
      <c r="R78" s="265"/>
      <c r="S78" s="265"/>
      <c r="U78" s="266" cm="1">
        <f t="array" ref="U78">SUMPRODUCT(IFERROR((tblCalibracao[P/L M.G.]&gt;tblCalibracao[P/L (R$)])*(tblCalibracao[P/L M.G.]-tblCalibracao[P/L (R$)]),0))</f>
        <v>4.03125</v>
      </c>
      <c r="V78" s="266"/>
      <c r="W78" s="266"/>
      <c r="X78" s="266"/>
      <c r="Y78" s="266"/>
    </row>
    <row r="79" spans="1:25" x14ac:dyDescent="0.3">
      <c r="A79" s="267"/>
      <c r="B79" s="267"/>
      <c r="C79" s="267"/>
      <c r="D79" s="267"/>
      <c r="F79" s="266"/>
      <c r="G79" s="266"/>
      <c r="H79" s="266"/>
      <c r="I79" s="266"/>
      <c r="K79" s="268"/>
      <c r="L79" s="268"/>
      <c r="M79" s="268"/>
      <c r="N79" s="268"/>
      <c r="P79" s="265"/>
      <c r="Q79" s="265"/>
      <c r="R79" s="265"/>
      <c r="S79" s="265"/>
      <c r="U79" s="266"/>
      <c r="V79" s="266"/>
      <c r="W79" s="266"/>
      <c r="X79" s="266"/>
      <c r="Y79" s="266"/>
    </row>
    <row r="81" spans="1:25" x14ac:dyDescent="0.3">
      <c r="A81" s="232" t="s">
        <v>7991</v>
      </c>
      <c r="B81" s="232"/>
      <c r="C81" s="232"/>
      <c r="D81" s="232"/>
      <c r="E81" s="232"/>
      <c r="F81" s="232"/>
      <c r="G81" s="232"/>
      <c r="H81" s="232"/>
      <c r="I81" s="232"/>
      <c r="J81" s="232"/>
      <c r="K81" s="232"/>
      <c r="L81" s="232"/>
      <c r="M81" s="232"/>
      <c r="N81" s="232"/>
      <c r="O81" s="232"/>
      <c r="P81" s="232"/>
      <c r="Q81" s="232"/>
      <c r="R81" s="232"/>
      <c r="S81" s="232"/>
      <c r="T81" s="232"/>
      <c r="U81" s="232"/>
      <c r="V81" s="232"/>
      <c r="W81" s="232"/>
      <c r="X81" s="232"/>
      <c r="Y81" s="232"/>
    </row>
    <row r="82" spans="1:25" x14ac:dyDescent="0.3">
      <c r="A82" s="179" t="s">
        <v>7647</v>
      </c>
      <c r="B82" s="179" t="s">
        <v>4712</v>
      </c>
      <c r="C82" s="179" t="s">
        <v>7992</v>
      </c>
      <c r="D82" s="179" t="s">
        <v>1388</v>
      </c>
      <c r="E82" s="179" t="s">
        <v>3110</v>
      </c>
    </row>
    <row r="83" spans="1:25" x14ac:dyDescent="0.3">
      <c r="A83" s="195" t="s">
        <v>7993</v>
      </c>
      <c r="B83" s="198">
        <f>IFERROR(AVERAGE(tblCalibracao[P/L (R$)]),0)</f>
        <v>2.9411764705881646E-4</v>
      </c>
      <c r="C83" s="195" t="s">
        <v>8001</v>
      </c>
      <c r="D83" s="195" t="str">
        <f>IF(B83&gt;0,"POSITIVO","NEGATIVO")</f>
        <v>POSITIVO</v>
      </c>
      <c r="E83" s="234" t="str">
        <f>"Média de "&amp;TEXT(B83,"R$ 0,000")&amp;" por entrada."</f>
        <v>Média de R$ 0,000 por entrada.</v>
      </c>
      <c r="F83" s="234"/>
      <c r="G83" s="234"/>
      <c r="H83" s="234"/>
      <c r="I83" s="234"/>
      <c r="J83" s="234"/>
      <c r="K83" s="234"/>
      <c r="L83" s="234"/>
      <c r="M83" s="234"/>
      <c r="N83" s="234"/>
      <c r="O83" s="234"/>
      <c r="P83" s="234"/>
      <c r="Q83" s="234"/>
      <c r="R83" s="234"/>
      <c r="S83" s="234"/>
      <c r="T83" s="234"/>
      <c r="U83" s="234"/>
      <c r="V83" s="234"/>
      <c r="W83" s="234"/>
      <c r="X83" s="234"/>
      <c r="Y83" s="234"/>
    </row>
    <row r="84" spans="1:25" x14ac:dyDescent="0.3">
      <c r="A84" s="196" t="s">
        <v>7994</v>
      </c>
      <c r="B84" s="200">
        <f>COUNTIF(tblCalibracao[P/L (R$)],"&gt;0")</f>
        <v>54</v>
      </c>
      <c r="C84" s="196" t="s">
        <v>8002</v>
      </c>
      <c r="D84" s="196" t="str">
        <f>IF(B84&gt;B85,"FAVORÁVEL","ATENÇÃO")</f>
        <v>FAVORÁVEL</v>
      </c>
      <c r="E84" s="234" t="str">
        <f>B84&amp;" entradas produziram lucro."</f>
        <v>54 entradas produziram lucro.</v>
      </c>
      <c r="F84" s="234"/>
      <c r="G84" s="234"/>
      <c r="H84" s="234"/>
      <c r="I84" s="234"/>
      <c r="J84" s="234"/>
      <c r="K84" s="234"/>
      <c r="L84" s="234"/>
      <c r="M84" s="234"/>
      <c r="N84" s="234"/>
      <c r="O84" s="234"/>
      <c r="P84" s="234"/>
      <c r="Q84" s="234"/>
      <c r="R84" s="234"/>
      <c r="S84" s="234"/>
      <c r="T84" s="234"/>
      <c r="U84" s="234"/>
      <c r="V84" s="234"/>
      <c r="W84" s="234"/>
      <c r="X84" s="234"/>
      <c r="Y84" s="234"/>
    </row>
    <row r="85" spans="1:25" x14ac:dyDescent="0.3">
      <c r="A85" s="196" t="s">
        <v>7995</v>
      </c>
      <c r="B85" s="200">
        <f>COUNTIF(tblCalibracao[P/L (R$)],"&lt;0")</f>
        <v>10</v>
      </c>
      <c r="C85" s="196" t="s">
        <v>8003</v>
      </c>
      <c r="D85" s="196" t="str">
        <f>IF(B85&lt;=ROUND(B84/4,0),"CONTROLADO","ATENÇÃO")</f>
        <v>CONTROLADO</v>
      </c>
      <c r="E85" s="234" t="str">
        <f>B85&amp;" entradas produziram perda."</f>
        <v>10 entradas produziram perda.</v>
      </c>
      <c r="F85" s="234"/>
      <c r="G85" s="234"/>
      <c r="H85" s="234"/>
      <c r="I85" s="234"/>
      <c r="J85" s="234"/>
      <c r="K85" s="234"/>
      <c r="L85" s="234"/>
      <c r="M85" s="234"/>
      <c r="N85" s="234"/>
      <c r="O85" s="234"/>
      <c r="P85" s="234"/>
      <c r="Q85" s="234"/>
      <c r="R85" s="234"/>
      <c r="S85" s="234"/>
      <c r="T85" s="234"/>
      <c r="U85" s="234"/>
      <c r="V85" s="234"/>
      <c r="W85" s="234"/>
      <c r="X85" s="234"/>
      <c r="Y85" s="234"/>
    </row>
    <row r="86" spans="1:25" x14ac:dyDescent="0.3">
      <c r="A86" s="196" t="s">
        <v>7996</v>
      </c>
      <c r="B86" s="200">
        <f>COUNTIF(tblCalibracao[P/L (R$)],0)</f>
        <v>4</v>
      </c>
      <c r="C86" s="196" t="s">
        <v>8004</v>
      </c>
      <c r="D86" s="196" t="str">
        <f>IF(B86&gt;0,"PROTEÇÃO ATIVA","SEM DEVOLUÇÕES")</f>
        <v>PROTEÇÃO ATIVA</v>
      </c>
      <c r="E86" s="234" t="str">
        <f>B86&amp;" entradas terminaram sem ganho ou perda."</f>
        <v>4 entradas terminaram sem ganho ou perda.</v>
      </c>
      <c r="F86" s="234"/>
      <c r="G86" s="234"/>
      <c r="H86" s="234"/>
      <c r="I86" s="234"/>
      <c r="J86" s="234"/>
      <c r="K86" s="234"/>
      <c r="L86" s="234"/>
      <c r="M86" s="234"/>
      <c r="N86" s="234"/>
      <c r="O86" s="234"/>
      <c r="P86" s="234"/>
      <c r="Q86" s="234"/>
      <c r="R86" s="234"/>
      <c r="S86" s="234"/>
      <c r="T86" s="234"/>
      <c r="U86" s="234"/>
      <c r="V86" s="234"/>
      <c r="W86" s="234"/>
      <c r="X86" s="234"/>
      <c r="Y86" s="234"/>
    </row>
    <row r="87" spans="1:25" x14ac:dyDescent="0.3">
      <c r="A87" s="196" t="s">
        <v>7997</v>
      </c>
      <c r="B87" s="200">
        <f>COUNTIF(tblCalibracao[Análise da Entrada],"*Cashout*")</f>
        <v>3</v>
      </c>
      <c r="C87" s="196" t="s">
        <v>8005</v>
      </c>
      <c r="D87" s="196" t="str">
        <f>IF(B87&gt;0,"REGISTRADOS","NENHUM")</f>
        <v>REGISTRADOS</v>
      </c>
      <c r="E87" s="234" t="str">
        <f>B87&amp;" liquidações por cashout preservadas."</f>
        <v>3 liquidações por cashout preservadas.</v>
      </c>
      <c r="F87" s="234"/>
      <c r="G87" s="234"/>
      <c r="H87" s="234"/>
      <c r="I87" s="234"/>
      <c r="J87" s="234"/>
      <c r="K87" s="234"/>
      <c r="L87" s="234"/>
      <c r="M87" s="234"/>
      <c r="N87" s="234"/>
      <c r="O87" s="234"/>
      <c r="P87" s="234"/>
      <c r="Q87" s="234"/>
      <c r="R87" s="234"/>
      <c r="S87" s="234"/>
      <c r="T87" s="234"/>
      <c r="U87" s="234"/>
      <c r="V87" s="234"/>
      <c r="W87" s="234"/>
      <c r="X87" s="234"/>
      <c r="Y87" s="234"/>
    </row>
    <row r="88" spans="1:25" x14ac:dyDescent="0.3">
      <c r="A88" s="196" t="s">
        <v>7998</v>
      </c>
      <c r="B88" s="200">
        <f>COUNTIF(tblCalibracao[Placar],"0 x 0")</f>
        <v>4</v>
      </c>
      <c r="C88" s="196" t="s">
        <v>8006</v>
      </c>
      <c r="D88" s="196" t="str">
        <f>IF(B88&lt;=2,"BAIXA","REVISAR")</f>
        <v>REVISAR</v>
      </c>
      <c r="E88" s="234" t="str">
        <f>B88&amp;" placares sem gols na amostra."</f>
        <v>4 placares sem gols na amostra.</v>
      </c>
      <c r="F88" s="234"/>
      <c r="G88" s="234"/>
      <c r="H88" s="234"/>
      <c r="I88" s="234"/>
      <c r="J88" s="234"/>
      <c r="K88" s="234"/>
      <c r="L88" s="234"/>
      <c r="M88" s="234"/>
      <c r="N88" s="234"/>
      <c r="O88" s="234"/>
      <c r="P88" s="234"/>
      <c r="Q88" s="234"/>
      <c r="R88" s="234"/>
      <c r="S88" s="234"/>
      <c r="T88" s="234"/>
      <c r="U88" s="234"/>
      <c r="V88" s="234"/>
      <c r="W88" s="234"/>
      <c r="X88" s="234"/>
      <c r="Y88" s="234"/>
    </row>
    <row r="89" spans="1:25" x14ac:dyDescent="0.3">
      <c r="A89" s="196" t="s">
        <v>7999</v>
      </c>
      <c r="B89" s="200" cm="1">
        <f t="array" ref="B89">SUMPRODUCT(IFERROR(--(tblCalibracao[P/L M.G.] &gt; tblCalibracao[P/L (R$)]),0))</f>
        <v>59</v>
      </c>
      <c r="C89" s="196" t="s">
        <v>8007</v>
      </c>
      <c r="D89" s="196" t="str">
        <f>IF(B89/COUNTA(tblCalibracao[Confronto])&gt;50%,"CONSERVADOR","EQUILIBRADO")</f>
        <v>CONSERVADOR</v>
      </c>
      <c r="E89" s="234" t="str">
        <f>B89&amp;" de "&amp;COUNTA(tblCalibracao[Confronto])&amp;" entradas tinham alternativa cotada mais lucrativa."</f>
        <v>59 de 68 entradas tinham alternativa cotada mais lucrativa.</v>
      </c>
      <c r="F89" s="234"/>
      <c r="G89" s="234"/>
      <c r="H89" s="234"/>
      <c r="I89" s="234"/>
      <c r="J89" s="234"/>
      <c r="K89" s="234"/>
      <c r="L89" s="234"/>
      <c r="M89" s="234"/>
      <c r="N89" s="234"/>
      <c r="O89" s="234"/>
      <c r="P89" s="234"/>
      <c r="Q89" s="234"/>
      <c r="R89" s="234"/>
      <c r="S89" s="234"/>
      <c r="T89" s="234"/>
      <c r="U89" s="234"/>
      <c r="V89" s="234"/>
      <c r="W89" s="234"/>
      <c r="X89" s="234"/>
      <c r="Y89" s="234"/>
    </row>
    <row r="90" spans="1:25" x14ac:dyDescent="0.3">
      <c r="A90" s="197" t="s">
        <v>8000</v>
      </c>
      <c r="B90" s="199" cm="1">
        <f t="array" ref="B90">IFERROR(AVERAGE(_xlfn._xlws.FILTER(IFERROR(tblCalibracao[P/L M.G.]-tblCalibracao[P/L (R$)],""),IFERROR(tblCalibracao[P/L M.G.] &gt; tblCalibracao[P/L (R$)],FALSE))),0)</f>
        <v>0.1259765625</v>
      </c>
      <c r="C90" s="197" t="s">
        <v>8008</v>
      </c>
      <c r="D90" s="197" t="str">
        <f>IF(B90&lt;=0.1,"BAIXA","MATERIAL")</f>
        <v>MATERIAL</v>
      </c>
      <c r="E90" s="234" t="str">
        <f>"Diferença média retrospectiva de "&amp;TEXT(B90,"R$ 0,000")&amp;"."</f>
        <v>Diferença média retrospectiva de R$ 0,126.</v>
      </c>
      <c r="F90" s="234"/>
      <c r="G90" s="234"/>
      <c r="H90" s="234"/>
      <c r="I90" s="234"/>
      <c r="J90" s="234"/>
      <c r="K90" s="234"/>
      <c r="L90" s="234"/>
      <c r="M90" s="234"/>
      <c r="N90" s="234"/>
      <c r="O90" s="234"/>
      <c r="P90" s="234"/>
      <c r="Q90" s="234"/>
      <c r="R90" s="234"/>
      <c r="S90" s="234"/>
      <c r="T90" s="234"/>
      <c r="U90" s="234"/>
      <c r="V90" s="234"/>
      <c r="W90" s="234"/>
      <c r="X90" s="234"/>
      <c r="Y90" s="234"/>
    </row>
    <row r="92" spans="1:25" x14ac:dyDescent="0.3">
      <c r="A92" s="232" t="s">
        <v>8009</v>
      </c>
      <c r="B92" s="232"/>
      <c r="C92" s="232"/>
      <c r="D92" s="232"/>
      <c r="E92" s="232"/>
      <c r="F92" s="232"/>
      <c r="G92" s="232"/>
      <c r="H92" s="232"/>
      <c r="I92" s="232"/>
      <c r="J92" s="232"/>
      <c r="K92" s="232"/>
      <c r="L92" s="232"/>
      <c r="M92" s="232"/>
      <c r="N92" s="232"/>
      <c r="O92" s="232"/>
      <c r="P92" s="232"/>
      <c r="Q92" s="232"/>
      <c r="R92" s="232"/>
      <c r="S92" s="232"/>
      <c r="T92" s="232"/>
      <c r="U92" s="232"/>
      <c r="V92" s="232"/>
      <c r="W92" s="232"/>
      <c r="X92" s="232"/>
      <c r="Y92" s="232"/>
    </row>
    <row r="93" spans="1:25" ht="24" customHeight="1" x14ac:dyDescent="0.3">
      <c r="A93" s="234" t="str" cm="1">
        <f t="array" ref="A93">_xlfn.LET(_xlpm.n,COUNTA(tblCalibracao[Confronto]),_xlpm.pos,COUNTIF(tblCalibracao[P/L (R$)],"&gt;0"),_xlpm.neg,COUNTIF(tblCalibracao[P/L (R$)],"&lt;0"),_xlpm.pl,SUM(tblCalibracao[P/L (R$)]),_xlpm.sup,SUMPRODUCT(--(tblCalibracao[P/L M.G.] &gt; tblCalibracao[P/L (R$)])),"A amostra contém "&amp;_xlpm.n&amp;" entradas, com "&amp;_xlpm.pos&amp;" resultados positivos e "&amp;_xlpm.neg&amp;" negativos, acumulando "&amp;TEXT(_xlpm.pl,"R$ 0,00")&amp;". Em "&amp;_xlpm.sup&amp;" casos, uma linha cotada superior teria produzido P/L maior; este dado mede conservadorismo retrospectivo e não deve avançar automaticamente a linha futura.")</f>
        <v>A amostra contém 68 entradas, com 54 resultados positivos e 10 negativos, acumulando R$ 0,02. Em 59 casos, uma linha cotada superior teria produzido P/L maior; este dado mede conservadorismo retrospectivo e não deve avançar automaticamente a linha futura.</v>
      </c>
      <c r="B93" s="234"/>
      <c r="C93" s="234"/>
      <c r="D93" s="234"/>
      <c r="E93" s="234"/>
      <c r="F93" s="234"/>
      <c r="G93" s="234"/>
      <c r="H93" s="234"/>
      <c r="I93" s="234"/>
      <c r="J93" s="234"/>
      <c r="K93" s="234"/>
      <c r="L93" s="234"/>
      <c r="M93" s="234"/>
      <c r="N93" s="234"/>
      <c r="O93" s="234"/>
      <c r="P93" s="234"/>
      <c r="Q93" s="234"/>
      <c r="R93" s="234"/>
      <c r="S93" s="234"/>
      <c r="T93" s="234"/>
      <c r="U93" s="234"/>
      <c r="V93" s="234"/>
      <c r="W93" s="234"/>
      <c r="X93" s="234"/>
      <c r="Y93" s="234"/>
    </row>
    <row r="94" spans="1:25" ht="24" customHeight="1" x14ac:dyDescent="0.3">
      <c r="A94" s="234"/>
      <c r="B94" s="234"/>
      <c r="C94" s="234"/>
      <c r="D94" s="234"/>
      <c r="E94" s="234"/>
      <c r="F94" s="234"/>
      <c r="G94" s="234"/>
      <c r="H94" s="234"/>
      <c r="I94" s="234"/>
      <c r="J94" s="234"/>
      <c r="K94" s="234"/>
      <c r="L94" s="234"/>
      <c r="M94" s="234"/>
      <c r="N94" s="234"/>
      <c r="O94" s="234"/>
      <c r="P94" s="234"/>
      <c r="Q94" s="234"/>
      <c r="R94" s="234"/>
      <c r="S94" s="234"/>
      <c r="T94" s="234"/>
      <c r="U94" s="234"/>
      <c r="V94" s="234"/>
      <c r="W94" s="234"/>
      <c r="X94" s="234"/>
      <c r="Y94" s="234"/>
    </row>
    <row r="95" spans="1:25" ht="24" customHeight="1" x14ac:dyDescent="0.3">
      <c r="A95" s="234"/>
      <c r="B95" s="234"/>
      <c r="C95" s="234"/>
      <c r="D95" s="234"/>
      <c r="E95" s="234"/>
      <c r="F95" s="234"/>
      <c r="G95" s="234"/>
      <c r="H95" s="234"/>
      <c r="I95" s="234"/>
      <c r="J95" s="234"/>
      <c r="K95" s="234"/>
      <c r="L95" s="234"/>
      <c r="M95" s="234"/>
      <c r="N95" s="234"/>
      <c r="O95" s="234"/>
      <c r="P95" s="234"/>
      <c r="Q95" s="234"/>
      <c r="R95" s="234"/>
      <c r="S95" s="234"/>
      <c r="T95" s="234"/>
      <c r="U95" s="234"/>
      <c r="V95" s="234"/>
      <c r="W95" s="234"/>
      <c r="X95" s="234"/>
      <c r="Y95" s="234"/>
    </row>
    <row r="97" spans="1:25" x14ac:dyDescent="0.3">
      <c r="A97" s="232" t="s">
        <v>8010</v>
      </c>
      <c r="B97" s="232"/>
      <c r="C97" s="232"/>
      <c r="D97" s="232"/>
      <c r="E97" s="232"/>
      <c r="F97" s="232"/>
      <c r="G97" s="232"/>
      <c r="H97" s="232"/>
      <c r="I97" s="232"/>
      <c r="J97" s="232"/>
      <c r="K97" s="232"/>
      <c r="L97" s="232"/>
      <c r="M97" s="232"/>
      <c r="N97" s="232"/>
      <c r="O97" s="232"/>
      <c r="P97" s="232"/>
      <c r="Q97" s="232"/>
      <c r="R97" s="232"/>
      <c r="S97" s="232"/>
      <c r="T97" s="232"/>
      <c r="U97" s="232"/>
      <c r="V97" s="232"/>
      <c r="W97" s="232"/>
      <c r="X97" s="232"/>
      <c r="Y97" s="232"/>
    </row>
    <row r="98" spans="1:25" ht="22.05" customHeight="1" x14ac:dyDescent="0.3">
      <c r="A98" s="250" t="s">
        <v>8011</v>
      </c>
      <c r="B98" s="250"/>
      <c r="C98" s="250"/>
      <c r="D98" s="250"/>
      <c r="E98" s="250"/>
      <c r="F98" s="250"/>
      <c r="G98" s="250"/>
      <c r="H98" s="250"/>
      <c r="I98" s="250"/>
      <c r="J98" s="250"/>
      <c r="K98" s="250"/>
      <c r="L98" s="250"/>
      <c r="M98" s="250"/>
      <c r="N98" s="250"/>
      <c r="O98" s="250"/>
      <c r="P98" s="250"/>
      <c r="Q98" s="250"/>
      <c r="R98" s="250"/>
      <c r="S98" s="250"/>
      <c r="T98" s="250"/>
      <c r="U98" s="250"/>
      <c r="V98" s="250"/>
      <c r="W98" s="250"/>
      <c r="X98" s="250"/>
      <c r="Y98" s="250"/>
    </row>
    <row r="99" spans="1:25" ht="22.05" customHeight="1" x14ac:dyDescent="0.3">
      <c r="A99" s="250"/>
      <c r="B99" s="250"/>
      <c r="C99" s="250"/>
      <c r="D99" s="250"/>
      <c r="E99" s="250"/>
      <c r="F99" s="250"/>
      <c r="G99" s="250"/>
      <c r="H99" s="250"/>
      <c r="I99" s="250"/>
      <c r="J99" s="250"/>
      <c r="K99" s="250"/>
      <c r="L99" s="250"/>
      <c r="M99" s="250"/>
      <c r="N99" s="250"/>
      <c r="O99" s="250"/>
      <c r="P99" s="250"/>
      <c r="Q99" s="250"/>
      <c r="R99" s="250"/>
      <c r="S99" s="250"/>
      <c r="T99" s="250"/>
      <c r="U99" s="250"/>
      <c r="V99" s="250"/>
      <c r="W99" s="250"/>
      <c r="X99" s="250"/>
      <c r="Y99" s="250"/>
    </row>
  </sheetData>
  <mergeCells count="27">
    <mergeCell ref="A97:Y97"/>
    <mergeCell ref="A98:Y99"/>
    <mergeCell ref="E88:Y88"/>
    <mergeCell ref="E89:Y89"/>
    <mergeCell ref="E90:Y90"/>
    <mergeCell ref="A92:Y92"/>
    <mergeCell ref="A93:Y95"/>
    <mergeCell ref="E83:Y83"/>
    <mergeCell ref="E84:Y84"/>
    <mergeCell ref="E85:Y85"/>
    <mergeCell ref="E86:Y86"/>
    <mergeCell ref="E87:Y87"/>
    <mergeCell ref="P78:S79"/>
    <mergeCell ref="U77:Y77"/>
    <mergeCell ref="U78:Y79"/>
    <mergeCell ref="A81:Y81"/>
    <mergeCell ref="A77:D77"/>
    <mergeCell ref="A78:D79"/>
    <mergeCell ref="F77:I77"/>
    <mergeCell ref="F78:I79"/>
    <mergeCell ref="K77:N77"/>
    <mergeCell ref="K78:N79"/>
    <mergeCell ref="A1:X1"/>
    <mergeCell ref="A73:Y73"/>
    <mergeCell ref="A74:Y74"/>
    <mergeCell ref="A76:Y76"/>
    <mergeCell ref="P77:S77"/>
  </mergeCells>
  <conditionalFormatting sqref="D83:D90">
    <cfRule type="expression" dxfId="47" priority="22">
      <formula>OR(D83="POSITIVO",D83="FAVORÁVEL",D83="CONTROLADO",D83="PROTEÇÃO ATIVA",D83="REGISTRADOS",D83="BAIXA",D83="EQUILIBRADO")</formula>
    </cfRule>
    <cfRule type="expression" dxfId="46" priority="23">
      <formula>OR(D83="NEGATIVO",D83="ATENÇÃO",D83="REVISAR",D83="CONSERVADOR",D83="MATERIAL")</formula>
    </cfRule>
  </conditionalFormatting>
  <conditionalFormatting sqref="N3:X70 N72:X72">
    <cfRule type="expression" dxfId="45" priority="19">
      <formula>OR(N3="G",N3="½G")</formula>
    </cfRule>
    <cfRule type="expression" dxfId="44" priority="20">
      <formula>N3="P"</formula>
    </cfRule>
    <cfRule type="expression" dxfId="43" priority="21">
      <formula>OR(N3="R",N3="½R")</formula>
    </cfRule>
  </conditionalFormatting>
  <conditionalFormatting sqref="N101:X246">
    <cfRule type="expression" dxfId="42" priority="1">
      <formula>OR(N101="G",N101="½G")</formula>
    </cfRule>
    <cfRule type="expression" dxfId="41" priority="2">
      <formula>N101="P"</formula>
    </cfRule>
    <cfRule type="expression" dxfId="40" priority="3">
      <formula>OR(N101="R",N101="½R")</formula>
    </cfRule>
  </conditionalFormatting>
  <pageMargins left="0.511811024" right="0.511811024" top="0.78740157499999996" bottom="0.78740157499999996" header="0.31496062000000002" footer="0.31496062000000002"/>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11</vt:i4>
      </vt:variant>
      <vt:variant>
        <vt:lpstr>Intervalos Nomeados</vt:lpstr>
      </vt:variant>
      <vt:variant>
        <vt:i4>1</vt:i4>
      </vt:variant>
    </vt:vector>
  </HeadingPairs>
  <TitlesOfParts>
    <vt:vector size="12" baseType="lpstr">
      <vt:lpstr>Atualização</vt:lpstr>
      <vt:lpstr>Memória</vt:lpstr>
      <vt:lpstr>Dados</vt:lpstr>
      <vt:lpstr>Ligas</vt:lpstr>
      <vt:lpstr>Equipes</vt:lpstr>
      <vt:lpstr>Ranking</vt:lpstr>
      <vt:lpstr>Avaliação Partidas</vt:lpstr>
      <vt:lpstr>Confronto</vt:lpstr>
      <vt:lpstr>Prova Real</vt:lpstr>
      <vt:lpstr>Bilhetes</vt:lpstr>
      <vt:lpstr>Backtest</vt:lpstr>
      <vt:lpstr>CadastroEquipes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Fernanda S de Souza</cp:lastModifiedBy>
  <cp:revision>0</cp:revision>
  <dcterms:created xsi:type="dcterms:W3CDTF">2026-08-03T14:50:35Z</dcterms:created>
  <dcterms:modified xsi:type="dcterms:W3CDTF">2026-08-14T04:25:47Z</dcterms:modified>
  <dc:language>en-US</dc:language>
</cp:coreProperties>
</file>